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ustomProperty3.bin" ContentType="application/vnd.openxmlformats-officedocument.spreadsheetml.customProperty"/>
  <Override PartName="/xl/drawings/drawing2.xml" ContentType="application/vnd.openxmlformats-officedocument.drawing+xml"/>
  <Override PartName="/xl/customProperty4.bin" ContentType="application/vnd.openxmlformats-officedocument.spreadsheetml.customProperty"/>
  <Override PartName="/xl/drawings/drawing3.xml" ContentType="application/vnd.openxmlformats-officedocument.drawing+xml"/>
  <Override PartName="/xl/customProperty5.bin" ContentType="application/vnd.openxmlformats-officedocument.spreadsheetml.customProperty"/>
  <Override PartName="/xl/drawings/drawing4.xml" ContentType="application/vnd.openxmlformats-officedocument.drawing+xml"/>
  <Override PartName="/xl/customProperty6.bin" ContentType="application/vnd.openxmlformats-officedocument.spreadsheetml.customProperty"/>
  <Override PartName="/xl/drawings/drawing5.xml" ContentType="application/vnd.openxmlformats-officedocument.drawing+xml"/>
  <Override PartName="/xl/customProperty7.bin" ContentType="application/vnd.openxmlformats-officedocument.spreadsheetml.customProperty"/>
  <Override PartName="/xl/drawings/drawing6.xml" ContentType="application/vnd.openxmlformats-officedocument.drawing+xml"/>
  <Override PartName="/xl/customProperty8.bin" ContentType="application/vnd.openxmlformats-officedocument.spreadsheetml.customProperty"/>
  <Override PartName="/xl/drawings/drawing7.xml" ContentType="application/vnd.openxmlformats-officedocument.drawing+xml"/>
  <Override PartName="/xl/customProperty9.bin" ContentType="application/vnd.openxmlformats-officedocument.spreadsheetml.customProperty"/>
  <Override PartName="/xl/drawings/drawing8.xml" ContentType="application/vnd.openxmlformats-officedocument.drawing+xml"/>
  <Override PartName="/xl/customProperty10.bin" ContentType="application/vnd.openxmlformats-officedocument.spreadsheetml.customProperty"/>
  <Override PartName="/xl/drawings/drawing9.xml" ContentType="application/vnd.openxmlformats-officedocument.drawing+xml"/>
  <Override PartName="/xl/customProperty11.bin" ContentType="application/vnd.openxmlformats-officedocument.spreadsheetml.customProperty"/>
  <Override PartName="/xl/drawings/drawing10.xml" ContentType="application/vnd.openxmlformats-officedocument.drawing+xml"/>
  <Override PartName="/xl/customProperty12.bin" ContentType="application/vnd.openxmlformats-officedocument.spreadsheetml.customProperty"/>
  <Override PartName="/xl/drawings/drawing11.xml" ContentType="application/vnd.openxmlformats-officedocument.drawing+xml"/>
  <Override PartName="/xl/customProperty13.bin" ContentType="application/vnd.openxmlformats-officedocument.spreadsheetml.customProperty"/>
  <Override PartName="/xl/drawings/drawing12.xml" ContentType="application/vnd.openxmlformats-officedocument.drawing+xml"/>
  <Override PartName="/xl/customProperty14.bin" ContentType="application/vnd.openxmlformats-officedocument.spreadsheetml.customProperty"/>
  <Override PartName="/xl/drawings/drawing13.xml" ContentType="application/vnd.openxmlformats-officedocument.drawing+xml"/>
  <Override PartName="/xl/customProperty15.bin" ContentType="application/vnd.openxmlformats-officedocument.spreadsheetml.customProperty"/>
  <Override PartName="/xl/drawings/drawing1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ustomProperty16.bin" ContentType="application/vnd.openxmlformats-officedocument.spreadsheetml.customProperty"/>
  <Override PartName="/xl/drawings/drawing15.xml" ContentType="application/vnd.openxmlformats-officedocument.drawing+xml"/>
  <Override PartName="/xl/customProperty17.bin" ContentType="application/vnd.openxmlformats-officedocument.spreadsheetml.customProperty"/>
  <Override PartName="/xl/drawings/drawing1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7.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0.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1.xml" ContentType="application/vnd.openxmlformats-officedocument.drawingml.chartshapes+xml"/>
  <Override PartName="/xl/customProperty18.bin" ContentType="application/vnd.openxmlformats-officedocument.spreadsheetml.customProperty"/>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ustomProperty19.bin" ContentType="application/vnd.openxmlformats-officedocument.spreadsheetml.customProperty"/>
  <Override PartName="/xl/drawings/drawing2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ustomProperty20.bin" ContentType="application/vnd.openxmlformats-officedocument.spreadsheetml.customProperty"/>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ustomProperty21.bin" ContentType="application/vnd.openxmlformats-officedocument.spreadsheetml.customProperty"/>
  <Override PartName="/xl/drawings/drawing25.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ustomProperty22.bin" ContentType="application/vnd.openxmlformats-officedocument.spreadsheetml.customProperty"/>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ustomProperty23.bin" ContentType="application/vnd.openxmlformats-officedocument.spreadsheetml.customProperty"/>
  <Override PartName="/xl/drawings/drawing27.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ustomProperty24.bin" ContentType="application/vnd.openxmlformats-officedocument.spreadsheetml.customProperty"/>
  <Override PartName="/xl/drawings/drawing28.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ustomProperty25.bin" ContentType="application/vnd.openxmlformats-officedocument.spreadsheetml.customProperty"/>
  <Override PartName="/xl/drawings/drawing29.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ustomProperty26.bin" ContentType="application/vnd.openxmlformats-officedocument.spreadsheetml.customProperty"/>
  <Override PartName="/xl/drawings/drawing30.xml" ContentType="application/vnd.openxmlformats-officedocument.drawing+xml"/>
  <Override PartName="/xl/customProperty27.bin" ContentType="application/vnd.openxmlformats-officedocument.spreadsheetml.customProperty"/>
  <Override PartName="/xl/drawings/drawing31.xml" ContentType="application/vnd.openxmlformats-officedocument.drawing+xml"/>
  <Override PartName="/xl/customProperty28.bin" ContentType="application/vnd.openxmlformats-officedocument.spreadsheetml.customProperty"/>
  <Override PartName="/xl/drawings/drawing32.xml" ContentType="application/vnd.openxmlformats-officedocument.drawing+xml"/>
  <Override PartName="/xl/customProperty29.bin" ContentType="application/vnd.openxmlformats-officedocument.spreadsheetml.customProperty"/>
  <Override PartName="/xl/drawings/drawing33.xml" ContentType="application/vnd.openxmlformats-officedocument.drawing+xml"/>
  <Override PartName="/xl/customProperty30.bin" ContentType="application/vnd.openxmlformats-officedocument.spreadsheetml.customProperty"/>
  <Override PartName="/xl/drawings/drawing34.xml" ContentType="application/vnd.openxmlformats-officedocument.drawing+xml"/>
  <Override PartName="/xl/customProperty31.bin" ContentType="application/vnd.openxmlformats-officedocument.spreadsheetml.customProperty"/>
  <Override PartName="/xl/drawings/drawing35.xml" ContentType="application/vnd.openxmlformats-officedocument.drawing+xml"/>
  <Override PartName="/xl/customProperty32.bin" ContentType="application/vnd.openxmlformats-officedocument.spreadsheetml.customProperty"/>
  <Override PartName="/xl/drawings/drawing3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ustomProperty33.bin" ContentType="application/vnd.openxmlformats-officedocument.spreadsheetml.customProperty"/>
  <Override PartName="/xl/drawings/drawing37.xml" ContentType="application/vnd.openxmlformats-officedocument.drawing+xml"/>
  <Override PartName="/xl/customProperty34.bin" ContentType="application/vnd.openxmlformats-officedocument.spreadsheetml.customProperty"/>
  <Override PartName="/xl/drawings/drawing38.xml" ContentType="application/vnd.openxmlformats-officedocument.drawing+xml"/>
  <Override PartName="/xl/ctrlProps/ctrlProp1.xml" ContentType="application/vnd.ms-excel.controlproperties+xml"/>
  <Override PartName="/xl/customProperty35.bin" ContentType="application/vnd.openxmlformats-officedocument.spreadsheetml.customProperty"/>
  <Override PartName="/xl/drawings/drawing39.xml" ContentType="application/vnd.openxmlformats-officedocument.drawing+xml"/>
  <Override PartName="/xl/customProperty36.bin" ContentType="application/vnd.openxmlformats-officedocument.spreadsheetml.customProperty"/>
  <Override PartName="/xl/drawings/drawing40.xml" ContentType="application/vnd.openxmlformats-officedocument.drawing+xml"/>
  <Override PartName="/xl/customProperty37.bin" ContentType="application/vnd.openxmlformats-officedocument.spreadsheetml.customProperty"/>
  <Override PartName="/xl/drawings/drawing41.xml" ContentType="application/vnd.openxmlformats-officedocument.drawing+xml"/>
  <Override PartName="/xl/ctrlProps/ctrlProp2.xml" ContentType="application/vnd.ms-excel.controlproperties+xml"/>
  <Override PartName="/xl/customProperty38.bin" ContentType="application/vnd.openxmlformats-officedocument.spreadsheetml.customProperty"/>
  <Override PartName="/xl/drawings/drawing42.xml" ContentType="application/vnd.openxmlformats-officedocument.drawing+xml"/>
  <Override PartName="/xl/customProperty39.bin" ContentType="application/vnd.openxmlformats-officedocument.spreadsheetml.customProperty"/>
  <Override PartName="/xl/drawings/drawing43.xml" ContentType="application/vnd.openxmlformats-officedocument.drawing+xml"/>
  <Override PartName="/xl/customProperty40.bin" ContentType="application/vnd.openxmlformats-officedocument.spreadsheetml.customProperty"/>
  <Override PartName="/xl/drawings/drawing44.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ustomProperty41.bin" ContentType="application/vnd.openxmlformats-officedocument.spreadsheetml.customProperty"/>
  <Override PartName="/xl/drawings/drawing45.xml" ContentType="application/vnd.openxmlformats-officedocument.drawing+xml"/>
  <Override PartName="/xl/ctrlProps/ctrlProp11.xml" ContentType="application/vnd.ms-excel.controlproperties+xml"/>
  <Override PartName="/xl/customProperty42.bin" ContentType="application/vnd.openxmlformats-officedocument.spreadsheetml.customProperty"/>
  <Override PartName="/xl/drawings/drawing46.xml" ContentType="application/vnd.openxmlformats-officedocument.drawing+xml"/>
  <Override PartName="/xl/ctrlProps/ctrlProp12.xml" ContentType="application/vnd.ms-excel.controlproperties+xml"/>
  <Override PartName="/xl/ctrlProps/ctrlProp13.xml" ContentType="application/vnd.ms-excel.controlproperties+xml"/>
  <Override PartName="/xl/customProperty43.bin" ContentType="application/vnd.openxmlformats-officedocument.spreadsheetml.customProperty"/>
  <Override PartName="/xl/drawings/drawing47.xml" ContentType="application/vnd.openxmlformats-officedocument.drawing+xml"/>
  <Override PartName="/xl/ctrlProps/ctrlProp14.xml" ContentType="application/vnd.ms-excel.controlproperties+xml"/>
  <Override PartName="/xl/customProperty44.bin" ContentType="application/vnd.openxmlformats-officedocument.spreadsheetml.customProperty"/>
  <Override PartName="/xl/drawings/drawing48.xml" ContentType="application/vnd.openxmlformats-officedocument.drawing+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ustomProperty45.bin" ContentType="application/vnd.openxmlformats-officedocument.spreadsheetml.customProperty"/>
  <Override PartName="/xl/drawings/drawing49.xml" ContentType="application/vnd.openxmlformats-officedocument.drawing+xml"/>
  <Override PartName="/xl/ctrlProps/ctrlProp18.xml" ContentType="application/vnd.ms-excel.controlproperties+xml"/>
  <Override PartName="/xl/customProperty46.bin" ContentType="application/vnd.openxmlformats-officedocument.spreadsheetml.customProperty"/>
  <Override PartName="/xl/drawings/drawing50.xml" ContentType="application/vnd.openxmlformats-officedocument.drawing+xml"/>
  <Override PartName="/xl/ctrlProps/ctrlProp19.xml" ContentType="application/vnd.ms-excel.controlproperties+xml"/>
  <Override PartName="/xl/customProperty47.bin" ContentType="application/vnd.openxmlformats-officedocument.spreadsheetml.customProperty"/>
  <Override PartName="/xl/drawings/drawing51.xml" ContentType="application/vnd.openxmlformats-officedocument.drawing+xml"/>
  <Override PartName="/xl/ctrlProps/ctrlProp20.xml" ContentType="application/vnd.ms-excel.controlproperties+xml"/>
  <Override PartName="/xl/customProperty48.bin" ContentType="application/vnd.openxmlformats-officedocument.spreadsheetml.customProperty"/>
  <Override PartName="/xl/drawings/drawing52.xml" ContentType="application/vnd.openxmlformats-officedocument.drawing+xml"/>
  <Override PartName="/xl/ctrlProps/ctrlProp21.xml" ContentType="application/vnd.ms-excel.controlproperties+xml"/>
  <Override PartName="/xl/ctrlProps/ctrlProp22.xml" ContentType="application/vnd.ms-excel.controlproperties+xml"/>
  <Override PartName="/xl/customProperty49.bin" ContentType="application/vnd.openxmlformats-officedocument.spreadsheetml.customProperty"/>
  <Override PartName="/xl/drawings/drawing53.xml" ContentType="application/vnd.openxmlformats-officedocument.drawing+xml"/>
  <Override PartName="/xl/ctrlProps/ctrlProp23.xml" ContentType="application/vnd.ms-excel.controlproperties+xml"/>
  <Override PartName="/xl/ctrlProps/ctrlProp24.xml" ContentType="application/vnd.ms-excel.controlproperties+xml"/>
  <Override PartName="/xl/customProperty50.bin" ContentType="application/vnd.openxmlformats-officedocument.spreadsheetml.customProperty"/>
  <Override PartName="/xl/drawings/drawing54.xml" ContentType="application/vnd.openxmlformats-officedocument.drawing+xml"/>
  <Override PartName="/xl/ctrlProps/ctrlProp25.xml" ContentType="application/vnd.ms-excel.controlproperties+xml"/>
  <Override PartName="/xl/customProperty51.bin" ContentType="application/vnd.openxmlformats-officedocument.spreadsheetml.customProperty"/>
  <Override PartName="/xl/drawings/drawing55.xml" ContentType="application/vnd.openxmlformats-officedocument.drawing+xml"/>
  <Override PartName="/xl/ctrlProps/ctrlProp26.xml" ContentType="application/vnd.ms-excel.controlproperties+xml"/>
  <Override PartName="/xl/customProperty52.bin" ContentType="application/vnd.openxmlformats-officedocument.spreadsheetml.customProperty"/>
  <Override PartName="/xl/drawings/drawing56.xml" ContentType="application/vnd.openxmlformats-officedocument.drawing+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ustomProperty53.bin" ContentType="application/vnd.openxmlformats-officedocument.spreadsheetml.customProperty"/>
  <Override PartName="/xl/drawings/drawing57.xml" ContentType="application/vnd.openxmlformats-officedocument.drawing+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ustomProperty54.bin" ContentType="application/vnd.openxmlformats-officedocument.spreadsheetml.customProperty"/>
  <Override PartName="/xl/drawings/drawing58.xml" ContentType="application/vnd.openxmlformats-officedocument.drawing+xml"/>
  <Override PartName="/xl/ctrlProps/ctrlProp33.xml" ContentType="application/vnd.ms-excel.controlproperties+xml"/>
  <Override PartName="/xl/ctrlProps/ctrlProp34.xml" ContentType="application/vnd.ms-excel.controlproperti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https://idom.sharepoint.com/sites/P-102445/Documentos compartidos/04 Doc Elaborada/04 M2 A5 Presentación Calculadora Territorial/"/>
    </mc:Choice>
  </mc:AlternateContent>
  <xr:revisionPtr revIDLastSave="195" documentId="8_{822979F6-5F7E-4A9D-862F-0620CBA3D475}" xr6:coauthVersionLast="47" xr6:coauthVersionMax="47" xr10:uidLastSave="{E7701121-0885-4231-BC90-78A26C894D10}"/>
  <bookViews>
    <workbookView xWindow="28680" yWindow="-120" windowWidth="29040" windowHeight="15840" tabRatio="0" firstSheet="21" activeTab="21" xr2:uid="{E6AA5699-9E32-4D15-BDD9-56279F4BB3C2}"/>
  </bookViews>
  <sheets>
    <sheet name="INICIO" sheetId="23" r:id="rId1"/>
    <sheet name="DESPLEGABLES (ocultar)" sheetId="25" state="hidden" r:id="rId2"/>
    <sheet name="AJUSTES" sheetId="61" r:id="rId3"/>
    <sheet name="INFORMACIÓN" sheetId="35" r:id="rId4"/>
    <sheet name="EQUIVALENCIAS_IPCC" sheetId="63" r:id="rId5"/>
    <sheet name="CONTROL" sheetId="24" r:id="rId6"/>
    <sheet name="GLOSARIO" sheetId="62" r:id="rId7"/>
    <sheet name="COBENEFICIOS" sheetId="67" state="hidden" r:id="rId8"/>
    <sheet name="RESULTADOS_COBENEFICIOS_GENERAL" sheetId="68" r:id="rId9"/>
    <sheet name="RESULTADOS_COBENEFICIOS_CA" sheetId="71" r:id="rId10"/>
    <sheet name="RESULTADOS_COBENEFICIOS_SALUD" sheetId="70" r:id="rId11"/>
    <sheet name="RESULTADOS_COBENEFICIOS_EMPLEO" sheetId="69" r:id="rId12"/>
    <sheet name="INFO_TRAYECTORIAS" sheetId="39" r:id="rId13"/>
    <sheet name="RESULTADOS_Tipo" sheetId="31" r:id="rId14"/>
    <sheet name="RESULTADOS_Generales" sheetId="37" r:id="rId15"/>
    <sheet name="RESULTADOS_sectoriales" sheetId="34" r:id="rId16"/>
    <sheet name="RESULTADOS_ENERGÍA" sheetId="41" r:id="rId17"/>
    <sheet name="RESULTADOS_ELECTRICIDAD" sheetId="45" r:id="rId18"/>
    <sheet name="RESULTADOS_INDUSTRIA" sheetId="46" r:id="rId19"/>
    <sheet name="RESULTADOS_RESIDUOS" sheetId="47" r:id="rId20"/>
    <sheet name="RESULTADOS_EDIFICACIONES" sheetId="48" r:id="rId21"/>
    <sheet name="RESULTADOS_TRANSPORTE" sheetId="49" r:id="rId22"/>
    <sheet name="RESULTADOS_AGRICULTURA" sheetId="50" r:id="rId23"/>
    <sheet name="RESULTADOS_GANADERIA" sheetId="51" r:id="rId24"/>
    <sheet name="RESULTADOS_BOSQUES" sheetId="52" r:id="rId25"/>
    <sheet name="ESCENARIOS" sheetId="33" r:id="rId26"/>
    <sheet name="ESCENARIOS_DatosGen" sheetId="38" r:id="rId27"/>
    <sheet name="DGEN_CONSTANTES" sheetId="2" r:id="rId28"/>
    <sheet name="DGEN_CONVERSIONES" sheetId="1" r:id="rId29"/>
    <sheet name="DGEN_SupuestosGen" sheetId="3" r:id="rId30"/>
    <sheet name="DGEN_SupuestosCostos" sheetId="54" r:id="rId31"/>
    <sheet name="FUENTES" sheetId="21" r:id="rId32"/>
    <sheet name="DGEN_FE" sheetId="55" r:id="rId33"/>
    <sheet name="ENER_CombFosil" sheetId="59" r:id="rId34"/>
    <sheet name="ENER_Bioener" sheetId="57" r:id="rId35"/>
    <sheet name="ENER_Comb_fosil_IMPORT_EXPORT" sheetId="64" r:id="rId36"/>
    <sheet name="ELECT_ Electricidad" sheetId="56" r:id="rId37"/>
    <sheet name="ELECT_ Autogen" sheetId="60" r:id="rId38"/>
    <sheet name="ELECT_ IMPORTEXPORT" sheetId="65" r:id="rId39"/>
    <sheet name="IND_" sheetId="7" r:id="rId40"/>
    <sheet name="RES_SOL" sheetId="16" r:id="rId41"/>
    <sheet name="RES_AGU" sheetId="11" r:id="rId42"/>
    <sheet name="EDI_RES_URB_AER" sheetId="8" r:id="rId43"/>
    <sheet name="EDI_RES_URB_IRCO" sheetId="9" r:id="rId44"/>
    <sheet name="EDI_RES_RURAL" sheetId="10" r:id="rId45"/>
    <sheet name="EDI_COM_AEC" sheetId="14" r:id="rId46"/>
    <sheet name="EDI_COM_UTE" sheetId="15" r:id="rId47"/>
    <sheet name="TRANS_PAS" sheetId="17" r:id="rId48"/>
    <sheet name="TRANS_CAR" sheetId="18" r:id="rId49"/>
    <sheet name="TRANS_AVI" sheetId="19" r:id="rId50"/>
    <sheet name="TRANS_NAV" sheetId="20" r:id="rId51"/>
    <sheet name="AGRO_" sheetId="12" r:id="rId52"/>
    <sheet name="GANA_" sheetId="13" r:id="rId53"/>
    <sheet name="BOSQ_" sheetId="32" r:id="rId54"/>
  </sheets>
  <externalReferences>
    <externalReference r:id="rId55"/>
  </externalReferences>
  <definedNames>
    <definedName name="_2018">1</definedName>
    <definedName name="_2020">2</definedName>
    <definedName name="_2025" localSheetId="42">3</definedName>
    <definedName name="_2025">3</definedName>
    <definedName name="_2030" localSheetId="42">4</definedName>
    <definedName name="_2030">4</definedName>
    <definedName name="_2035">5</definedName>
    <definedName name="_2040">6</definedName>
    <definedName name="_2045">7</definedName>
    <definedName name="_2050">8</definedName>
    <definedName name="_2T" localSheetId="47">1</definedName>
    <definedName name="_4T" localSheetId="47">2</definedName>
    <definedName name="_xlnm._FilterDatabase" localSheetId="31" hidden="1">FUENTES!$A$2:$F$215</definedName>
    <definedName name="AGUAS_INDUSTRIALES_NO_TRATADAS" localSheetId="41">3</definedName>
    <definedName name="AGUAS_INDUSTRIALES_REUTILIZADAS" localSheetId="41">1</definedName>
    <definedName name="AGUAS_INDUSTRIALES_TRATADAS" localSheetId="41">2</definedName>
    <definedName name="AJUSTE_UNIDAD_SELECCIONADA_AGRICULTURA_EMISIONES">IF(RESULTADOS_AGRICULTURA!$AB$8="Mt CO2 e",1,IF(RESULTADOS_AGRICULTURA!$AB$8="t CO2 e",UNIDAD_MT_A_T,IF(RESULTADOS_AGRICULTURA!$AB$8="Gg CO2 e",UNIDAD_MT_A_Gg,"ERROR")))</definedName>
    <definedName name="AJUSTE_UNIDAD_SELECCIONADA_AGRICULTURA_ENERGIA">IF(RESULTADOS_AGRICULTURA!$AB$27="TWh",1,IF(RESULTADOS_AGRICULTURA!$AB$27="MWh",UNIDAD_TWH_A_MWH,IF(RESULTADOS_AGRICULTURA!$AB$27="TJ",UNIDAD_TWH_A_TJ,IF(RESULTADOS_AGRICULTURA!$AB$27="PJ",UNIDAD_TWH_A_PJ,IF(RESULTADOS_AGRICULTURA!$AB$27="GJ",UNIDAD_TWH_A_GJ,"ERROR")))))</definedName>
    <definedName name="AJUSTE_UNIDAD_SELECCIONADA_BOSQUES_EMISIONES">IF(RESULTADOS_BOSQUES!$AB$8="Mt CO2 e",1,IF(RESULTADOS_BOSQUES!$AB$8="t CO2 e",UNIDAD_MT_A_T,IF(RESULTADOS_BOSQUES!$AB$8="Gg CO2 e",UNIDAD_MT_A_Gg,"ERROR")))</definedName>
    <definedName name="AJUSTE_UNIDAD_SELECCIONADA_EDIFICACIONES_EMISIONES">IF(RESULTADOS_EDIFICACIONES!$AB$11="Mt CO2 e",1,IF(RESULTADOS_EDIFICACIONES!$AB$11="t CO2 e",UNIDAD_MT_A_T,IF(RESULTADOS_EDIFICACIONES!$AB$11="Gg CO2 e",UNIDAD_MT_A_Gg,"ERROR")))</definedName>
    <definedName name="AJUSTE_UNIDAD_SELECCIONADA_EDIFICACIONES_ENERGIA">IF(RESULTADOS_EDIFICACIONES!$AB$31="TWh",1,IF(RESULTADOS_EDIFICACIONES!$AB$31="MWh",UNIDAD_TWH_A_MWH,IF(RESULTADOS_EDIFICACIONES!$AB$31="TJ",UNIDAD_TWH_A_TJ,IF(RESULTADOS_EDIFICACIONES!$AB$31="PJ",UNIDAD_TWH_A_PJ,IF(RESULTADOS_EDIFICACIONES!$AB$31="GJ",UNIDAD_TWH_A_GJ,"ERROR")))))</definedName>
    <definedName name="AJUSTE_UNIDAD_SELECCIONADA_GENERAL_EMISIONES">IF(RESULTADOS_Generales!$AA$6="Mt CO2e",1,IF(RESULTADOS_Generales!$AA$6="t CO2e",UNIDAD_MT_A_T,IF(RESULTADOS_Generales!$AA$6="Gg CO2e",UNIDAD_MT_A_Gg,"ERROR")))</definedName>
    <definedName name="AJUSTE_UNIDAD_SELECCIONADA_RESIDUOS_EMISIONES">IF(RESULTADOS_RESIDUOS!$AB$8="Mt CO2 e",1,IF(RESULTADOS_RESIDUOS!$AB$8="t CO2 e",UNIDAD_MT_A_T,IF(RESULTADOS_RESIDUOS!$AB$8="Gg CO2 e",UNIDAD_MT_A_Gg,"ERROR")))</definedName>
    <definedName name="AJUSTE_UNIDAD_SELECCIONADA_RESIDUOS_ENERGIA">IF(RESULTADOS_RESIDUOS!$AB$28="TWh",1,IF(RESULTADOS_RESIDUOS!$AB$28="MWh",UNIDAD_TWH_A_MWH,IF(RESULTADOS_RESIDUOS!$AB$28="TJ",UNIDAD_TWH_A_TJ,IF(RESULTADOS_RESIDUOS!$AB$28="PJ",UNIDAD_TWH_A_PJ,IF(RESULTADOS_RESIDUOS!$AB$28="GJ",UNIDAD_TWH_A_GJ,"ERROR")))))</definedName>
    <definedName name="AJUSTE_UNIDAD_SELECCIONADA_TRANSPORTE_EMISIONES">IF(RESULTADOS_TRANSPORTE!$AB$8="Mt CO2 e",1,IF(RESULTADOS_TRANSPORTE!$AB$8="t CO2 e",UNIDAD_MT_A_T,IF(RESULTADOS_TRANSPORTE!$AB$8="Gg CO2 e",UNIDAD_MT_A_Gg,"ERROR")))</definedName>
    <definedName name="AJUSTE_UNIDAD_SELECCIONADA_TRANSPORTE_ENERGIA">IF(RESULTADOS_TRANSPORTE!$AB$28="TWh",1,IF(RESULTADOS_TRANSPORTE!$AB$28="MWh",UNIDAD_TWH_A_MWH,IF(RESULTADOS_TRANSPORTE!$AB$28="TJ",UNIDAD_TWH_A_TJ,IF(RESULTADOS_TRANSPORTE!$AB$28="PJ",UNIDAD_TWH_A_PJ,IF(RESULTADOS_TRANSPORTE!$AB$28="GJ",UNIDAD_TWH_A_GJ,"ERROR")))))</definedName>
    <definedName name="AJUSTES_PCG_">AJUSTES!$D$20</definedName>
    <definedName name="AJUSTES_UNIDAD_SELECCIONADA_BOSQUES_SUPERFICIE">IF(RESULTADOS_BOSQUES!$AB$27="ha",1,IF(RESULTADOS_BOSQUES!$AB$27="m2",UNIDAD_HA_A_M2,IF(RESULTADOS_BOSQUES!$AB$27="km2",UNIDAD_HA_A_KM2,IF(RESULTADOS_BOSQUES!$AB$27="Mha",UNIDAD_HA_A_MHA,"ERROR"))))</definedName>
    <definedName name="AJUSTES_UNIDAD_SELECCIONADA_ELECTRICIDAD_EMISIONES">IF(RESULTADOS_ELECTRICIDAD!$AB$8="Mt CO2 e",1,IF(RESULTADOS_ELECTRICIDAD!$AB$8="t CO2 e",UNIDAD_MT_A_T,IF(RESULTADOS_ELECTRICIDAD!$AB$8="Gg CO2 e",UNIDAD_MT_A_Gg,"ERROR")))</definedName>
    <definedName name="AJUSTES_UNIDAD_SELECCIONADA_ELECTRICIDAD_ENERGIA">IF(RESULTADOS_ELECTRICIDAD!$AB$28="TWh",1,IF(RESULTADOS_ELECTRICIDAD!$AB$28="MWh",UNIDAD_TWH_A_MWH,IF(RESULTADOS_ELECTRICIDAD!$AB$28="TJ",UNIDAD_TWH_A_TJ,IF(RESULTADOS_ELECTRICIDAD!$AB$28="PJ",UNIDAD_TWH_A_PJ,IF(RESULTADOS_ELECTRICIDAD!$AB$28="GJ",UNIDAD_TWH_A_GJ,"ERROR")))))</definedName>
    <definedName name="AJUSTES_UNIDAD_SELECCIONADA_ENERGIA_EMISIONES">IF(RESULTADOS_ENERGÍA!$AB$7="Mt CO2 e",1,IF(RESULTADOS_ENERGÍA!$AB$7="t CO2 e",UNIDAD_MT_A_T,IF(RESULTADOS_ENERGÍA!$AB$7="Gg CO2 e",UNIDAD_MT_A_Gg,"ERROR")))</definedName>
    <definedName name="AJUSTES_UNIDAD_SELECCIONADA_ENERGIA_ENERGIA">IF(RESULTADOS_ENERGÍA!$AB$27="TWh",1,IF(RESULTADOS_ENERGÍA!$AB$27="MWh",UNIDAD_TWH_A_MWH,IF(RESULTADOS_ENERGÍA!$AB$27="TJ",UNIDAD_TWH_A_TJ,IF(RESULTADOS_ENERGÍA!$AB$27="PJ",UNIDAD_TWH_A_PJ,IF(RESULTADOS_ENERGÍA!$AB$27="GJ",UNIDAD_TWH_A_GJ,"ERROR")))))</definedName>
    <definedName name="AJUSTES_UNIDAD_SELECCIONADA_GANADERIA_EMISIONES">IF(RESULTADOS_GANADERIA!$AB$8="Mt CO2 e",1,IF(RESULTADOS_GANADERIA!$AB$8="t CO2 e",UNIDAD_MT_A_T,IF(RESULTADOS_GANADERIA!$AB$8="Gg CO2 e",UNIDAD_MT_A_Gg,"ERROR")))</definedName>
    <definedName name="AJUSTES_UNIDAD_SELECCIONADA_GANADERIA_ENERGIA">IF(RESULTADOS_GANADERIA!$AB$27="TWh",1,IF(RESULTADOS_GANADERIA!$AB$27="MWh",UNIDAD_TWH_A_MWH,IF(RESULTADOS_GANADERIA!$AB$27="TJ",UNIDAD_TWH_A_TJ,IF(RESULTADOS_GANADERIA!$AB$27="PJ",UNIDAD_TWH_A_PJ,IF(RESULTADOS_GANADERIA!$AB$27="GJ",UNIDAD_TWH_A_GJ,"ERROR")))))</definedName>
    <definedName name="AJUSTES_UNIDAD_SELECCIONADA_GENERAL_ENERGIA">IF(RESULTADOS_Generales!$AA$23="TWh",1,IF(RESULTADOS_Generales!$AA$23="MWh",UNIDAD_TWH_A_MWH,IF(RESULTADOS_Generales!$AA$23="TJ",UNIDAD_TWH_A_TJ,IF(RESULTADOS_Generales!$AA$23="PJ",UNIDAD_TWH_A_PJ,IF(RESULTADOS_Generales!$AA$23="GJ",UNIDAD_TWH_A_GJ,"ERROR")))))</definedName>
    <definedName name="AJUSTES_UNIDAD_SELECCIONADA_INDUSTRIA_EMISIONES">IF(RESULTADOS_INDUSTRIA!$AB$8="Mt CO2 e",1,IF(RESULTADOS_INDUSTRIA!$AB$8="t CO2 e",UNIDAD_MT_A_T,IF(RESULTADOS_INDUSTRIA!$AB$8="Gg CO2 e",UNIDAD_MT_A_Gg,"ERROR")))</definedName>
    <definedName name="AJUSTES_UNIDAD_SELECCIONADA_INDUSTRIA_ENERGIA">IF(RESULTADOS_INDUSTRIA!$AB$28="TWh",1,IF(RESULTADOS_INDUSTRIA!$AB$28="MWh",UNIDAD_TWH_A_MWH,IF(RESULTADOS_INDUSTRIA!$AB$28="TJ",UNIDAD_TWH_A_TJ,IF(RESULTADOS_INDUSTRIA!$AB$28="PJ",UNIDAD_TWH_A_PJ,IF(RESULTADOS_INDUSTRIA!$AB$28="GJ",UNIDAD_TWH_A_GJ,"ERROR")))))</definedName>
    <definedName name="AJUSTES_UNIDADES_AGRICULTURA_EMISIONES">AJUSTES!$D$65</definedName>
    <definedName name="AJUSTES_UNIDADES_AGRICULTURA_ENERGIA">AJUSTES!$D$66</definedName>
    <definedName name="AJUSTES_UNIDADES_BOSQUES_EMISIONES">AJUSTES!$D$73</definedName>
    <definedName name="AJUSTES_UNIDADES_BOSQUES_SUPERFICIE">AJUSTES!$D$74</definedName>
    <definedName name="AJUSTES_UNIDADES_EDIFICACIONES_EMISIONES">AJUSTES!$D$57</definedName>
    <definedName name="AJUSTES_UNIDADES_EDIFICACIONES_ENERGIA">AJUSTES!$D$58</definedName>
    <definedName name="AJUSTES_UNIDADES_ELECTRICIDAD_EMISIONES">AJUSTES!$D$45</definedName>
    <definedName name="AJUSTES_UNIDADES_ELECTRICIDAD_ENERGIA">AJUSTES!$D$46</definedName>
    <definedName name="AJUSTES_UNIDADES_ENERGIA_EMISIONES">AJUSTES!$D$41</definedName>
    <definedName name="AJUSTES_UNIDADES_ENERGIA_ENERGIA">AJUSTES!$D$42</definedName>
    <definedName name="AJUSTES_UNIDADES_GANADERIA_EMISIONES">AJUSTES!$D$69</definedName>
    <definedName name="AJUSTES_UNIDADES_GANADERIA_ENERGIA">AJUSTES!$D$70</definedName>
    <definedName name="AJUSTES_UNIDADES_GENERAL_EMISIONES">AJUSTES!$D$34</definedName>
    <definedName name="AJUSTES_UNIDADES_GENERAL_ENERGIA">AJUSTES!$D$35</definedName>
    <definedName name="AJUSTES_UNIDADES_INDUSTRIA_EMISIONES">AJUSTES!$D$49</definedName>
    <definedName name="AJUSTES_UNIDADES_INDUSTRIA_ENERGIA">AJUSTES!$D$50</definedName>
    <definedName name="AJUSTES_UNIDADES_RESIDUOS_EMISIONES">AJUSTES!$D$53</definedName>
    <definedName name="AJUSTES_UNIDADES_RESIDUOS_ENERGIA">AJUSTES!$D$54</definedName>
    <definedName name="AJUSTES_UNIDADES_TRANSPORTE_EMISIONES">AJUSTES!$D$61</definedName>
    <definedName name="AJUSTES_UNIDADES_TRANSPORTE_ENERGIA">AJUSTES!$D$62</definedName>
    <definedName name="AMAZONIA" localSheetId="53">1</definedName>
    <definedName name="ANDINA" localSheetId="53">2</definedName>
    <definedName name="APROVECHAMIENTO" localSheetId="40">3</definedName>
    <definedName name="BAGAZO" localSheetId="36">10</definedName>
    <definedName name="BICICLETA" localSheetId="47">2</definedName>
    <definedName name="BIOMASA" localSheetId="36">9</definedName>
    <definedName name="BUSES" localSheetId="47">6</definedName>
    <definedName name="BUSES_BRT" localSheetId="47">7</definedName>
    <definedName name="CALIDO_HUMEDO">4</definedName>
    <definedName name="CALIDO_SECO">3</definedName>
    <definedName name="CAMBIO_UNIDAD_TJ" localSheetId="48">DGEN_CONVERSIONES!$H$9</definedName>
    <definedName name="CAMINATA" localSheetId="47">1</definedName>
    <definedName name="CANTIDAD_RESIDUOS_TIPO_GESTION" localSheetId="40">RES_SOL!$F$430:$M$436</definedName>
    <definedName name="CAPACIDAD_INSTALADA_INCINERACION" localSheetId="40">CHOOSE(RES_SOL!TRAYECTORIA,RES_SOL!$G$103:$N$103,RES_SOL!$G$104:$N$104,RES_SOL!$G$105:$N$105,RES_SOL!$G$106:$N$106)</definedName>
    <definedName name="CAPACIDAD_INSTALADA_RECUPERACION_APROVECHAMIENTO_RELLENO_SANITARIO" localSheetId="40">CHOOSE(RES_SOL!TRAYECTORIA,RES_SOL!$G$94:$N$94,RES_SOL!$G$95:$N$95,RES_SOL!$G$96:$N$96,RES_SOL!$G$97:$N$97)</definedName>
    <definedName name="CARIBE" localSheetId="53">3</definedName>
    <definedName name="CELDA_DE_CONTINGENCIA" localSheetId="40">2</definedName>
    <definedName name="COMBUSTIBLE_DERIVADO_RESIDUOS" localSheetId="40">5</definedName>
    <definedName name="CONSUMO_ELECTRICIDAD_EQUIPAMIENTO" localSheetId="46">EDI_COM_UTE!$F$377:$M$380</definedName>
    <definedName name="COSTOS_2019_Euros_MMCOP">DGEN_SupuestosCostos!$E$26</definedName>
    <definedName name="COSTOS_2019_US_dolares_MMCOP">DGEN_SupuestosCostos!$E$25</definedName>
    <definedName name="COSTOS_AGRO_CAÑA_AZUCAR">DGEN_SupuestosCostos!$G$379</definedName>
    <definedName name="COSTOS_AGRO_ESCENARIO_ALTO_CAÑA_AZUCAR">DGEN_SupuestosCostos!$H$379</definedName>
    <definedName name="COSTOS_AGRO_ESCENARIO_ALTO_PALMA_ACEITE">DGEN_SupuestosCostos!$H$378</definedName>
    <definedName name="COSTOS_AGRO_ESCENARIO_ALTO_PLANTACIONES_MANGO_AGUACATE">DGEN_SupuestosCostos!$H$376</definedName>
    <definedName name="COSTOS_AGRO_ESCENARIO_ALTO_SISTEMAS_AGROFORESTALES">DGEN_SupuestosCostos!$H$374</definedName>
    <definedName name="COSTOS_AGRO_ESCENARIO_ALTO_USO_BIODIGESTORES">DGEN_SupuestosCostos!$H$377</definedName>
    <definedName name="COSTOS_AGRO_ESCENARIO_ALTO_USO_EFICIENTE_FERTILIZANTES">DGEN_SupuestosCostos!$H$375</definedName>
    <definedName name="COSTOS_AGRO_ESCENARIO_BAJO_CAÑA_AZUCAR">DGEN_SupuestosCostos!$J$379</definedName>
    <definedName name="COSTOS_AGRO_ESCENARIO_BAJO_PALMA_ACEITE">DGEN_SupuestosCostos!$J$378</definedName>
    <definedName name="COSTOS_AGRO_ESCENARIO_BAJO_PLANTACIONES_MANGO_AGUACATE">DGEN_SupuestosCostos!$J$376</definedName>
    <definedName name="COSTOS_AGRO_ESCENARIO_BAJO_SISTEMAS_AGROFORESTALES">DGEN_SupuestosCostos!$H$374+DGEN_SupuestosCostos!$J$374</definedName>
    <definedName name="COSTOS_AGRO_ESCENARIO_BAJO_USO_BIODIGESTORES">DGEN_SupuestosCostos!$J$377</definedName>
    <definedName name="COSTOS_AGRO_ESCENARIO_BAJO_USO_EFICIENTE_FERTILIZANTES">DGEN_SupuestosCostos!$J$375</definedName>
    <definedName name="COSTOS_AGRO_ESCENARIO_MEDIO_CAÑA_AZUCAR">DGEN_SupuestosCostos!$I$379</definedName>
    <definedName name="COSTOS_AGRO_ESCENARIO_MEDIO_PALMA_ACEITE">DGEN_SupuestosCostos!$I$378</definedName>
    <definedName name="COSTOS_AGRO_ESCENARIO_MEDIO_PLANTACIONES_MANGO_AGUACATE">DGEN_SupuestosCostos!$I$376</definedName>
    <definedName name="COSTOS_AGRO_ESCENARIO_MEDIO_SISTEMAS_AGROFORESTALES">DGEN_SupuestosCostos!$I$374</definedName>
    <definedName name="COSTOS_AGRO_ESCENARIO_MEDIO_USO_BIODIGESTORES">DGEN_SupuestosCostos!$I$377</definedName>
    <definedName name="COSTOS_AGRO_ESCENARIO_MEDIO_USO_EFICIENTE_FERTILIZANTES">DGEN_SupuestosCostos!$I$375</definedName>
    <definedName name="COSTOS_AGRO_PALMA_ACEITE">DGEN_SupuestosCostos!$G$374+DGEN_SupuestosCostos!$G$378</definedName>
    <definedName name="COSTOS_AGRO_PLANTACIONES_MANGO_AGUACATE">DGEN_SupuestosCostos!$G$376</definedName>
    <definedName name="COSTOS_AGRO_SISTEMAS_AGROFORESTALES">DGEN_SupuestosCostos!$G$374</definedName>
    <definedName name="COSTOS_AGRO_USO_BIODIGESTORES">DGEN_SupuestosCostos!$G$377</definedName>
    <definedName name="COSTOS_AGRO_USO_EFICIENTE_FERTILIZANTES">DGEN_SupuestosCostos!$G$375</definedName>
    <definedName name="COSTOS_ALTO">DGEN_SupuestosCostos!$I$30</definedName>
    <definedName name="COSTOS_BAJO">DGEN_SupuestosCostos!$I$32</definedName>
    <definedName name="COSTOS_Billones_de_pesos_Colombianos_BCOP_MMCOP">DGEN_SupuestosCostos!$E$20</definedName>
    <definedName name="COSTOS_CAPITAL_AGUAS_RESIDUALES_TRATAMIENTO_CON_EXTRACCIÓN">DGEN_SupuestosCostos!$G$366</definedName>
    <definedName name="COSTOS_CAPITAL_AGUAS_RESIDUALES_TRATAMIENTO_SIN_EXTRACCIÓN">DGEN_SupuestosCostos!$G$365</definedName>
    <definedName name="COSTOS_CAPITAL_BAGAZO_USD_KW_ALTO">DGEN_SupuestosCostos!$E$121</definedName>
    <definedName name="COSTOS_CAPITAL_BAGAZO_USD_KW_BAJO">DGEN_SupuestosCostos!$G$121</definedName>
    <definedName name="COSTOS_CAPITAL_BAGAZO_USD_KW_MEDIO">DGEN_SupuestosCostos!$F$121</definedName>
    <definedName name="COSTOS_CAPITAL_BIOMASA_USD_KW_ALTO">DGEN_SupuestosCostos!$E$120</definedName>
    <definedName name="COSTOS_CAPITAL_BIOMASA_USD_KW_BAJO">DGEN_SupuestosCostos!$G$120</definedName>
    <definedName name="COSTOS_CAPITAL_BIOMASA_USD_KW_MEDIO">DGEN_SupuestosCostos!$F$120</definedName>
    <definedName name="COSTOS_CAPITAL_ELECTRICIDAD_ACPM_DIESEL_USD_KW_ALTO">DGEN_SupuestosCostos!$E$104</definedName>
    <definedName name="COSTOS_CAPITAL_ELECTRICIDAD_ACPM_DIESEL_USD_KW_BAJO">DGEN_SupuestosCostos!$G$104</definedName>
    <definedName name="COSTOS_CAPITAL_ELECTRICIDAD_ACPM_DIESEL_USD_KW_MEDIO">DGEN_SupuestosCostos!$F$104</definedName>
    <definedName name="COSTOS_CAPITAL_ELECTRICIDAD_FUEL_OIL_USD_KW_ALTO">DGEN_SupuestosCostos!$E$105</definedName>
    <definedName name="COSTOS_CAPITAL_ELECTRICIDAD_FUEL_OIL_USD_KW_BAJO">DGEN_SupuestosCostos!$G$105</definedName>
    <definedName name="COSTOS_CAPITAL_ELECTRICIDAD_FUEL_OIL_USD_KW_MEDIO">DGEN_SupuestosCostos!$F$105</definedName>
    <definedName name="COSTOS_CAPITAL_ELECTRICIDAD_GLP_USD_KW_ALTO">DGEN_SupuestosCostos!$E$107</definedName>
    <definedName name="COSTOS_CAPITAL_ELECTRICIDAD_GLP_USD_KW_BAJO">DGEN_SupuestosCostos!$G$107</definedName>
    <definedName name="COSTOS_CAPITAL_ELECTRICIDAD_GLP_USD_KW_MEIDO">DGEN_SupuestosCostos!$F$107</definedName>
    <definedName name="COSTOS_CAPITAL_ELECTRICIDAD_PETRÓLEO_USD_KW_ALTO">DGEN_SupuestosCostos!$E$106</definedName>
    <definedName name="COSTOS_CAPITAL_ELECTRICIDAD_PETROLEO_USD_KW_BAJO">DGEN_SupuestosCostos!$G$106</definedName>
    <definedName name="COSTOS_CAPITAL_ELECTRICIDAD_PETROLEO_USD_KW_MEDIO">DGEN_SupuestosCostos!$F$106</definedName>
    <definedName name="COSTOS_CAPITAL_ELECTRICIDAD_TERMOELECTRICA_CARBON_CCUS_USD_KW_ALTO">DGEN_SupuestosCostos!$E$109</definedName>
    <definedName name="COSTOS_CAPITAL_ELECTRICIDAD_TERMOELECTRICA_CARBON_CCUS_USD_KW_BAJO">DGEN_SupuestosCostos!$G$109</definedName>
    <definedName name="COSTOS_CAPITAL_ELECTRICIDAD_TERMOELECTRICA_CARBON_CCUS_USD_KW_MEDIO">DGEN_SupuestosCostos!$F$109</definedName>
    <definedName name="COSTOS_CAPITAL_ELECTRICIDAD_TERMOELECTRICA_CARBON_USD_KW_ALTO">DGEN_SupuestosCostos!$E$103</definedName>
    <definedName name="COSTOS_CAPITAL_ELECTRICIDAD_TERMOELECTRICA_CARBON_USD_KW_BAJO">DGEN_SupuestosCostos!$G$103</definedName>
    <definedName name="COSTOS_CAPITAL_ELECTRICIDAD_TERMOELECTRICA_CARBON_USD_KW_MEDIO">DGEN_SupuestosCostos!$F$103</definedName>
    <definedName name="COSTOS_CAPITAL_ELECTRICIDAD_TERMOELECTRICA_GN_CCUS_USD_KW_ALTO">DGEN_SupuestosCostos!$E$108</definedName>
    <definedName name="COSTOS_CAPITAL_ELECTRICIDAD_TERMOELECTRICA_GN_CCUS_USD_KW_BAJO">DGEN_SupuestosCostos!$G$108</definedName>
    <definedName name="COSTOS_CAPITAL_ELECTRICIDAD_TERMOELECTRICA_GN_CCUS_USD_KW_MEDIO">DGEN_SupuestosCostos!$F$108</definedName>
    <definedName name="COSTOS_CAPITAL_ELECTRICIDAD_TERMOELECTRICA_GN_USD_KW_ALTO">DGEN_SupuestosCostos!$E$102</definedName>
    <definedName name="COSTOS_CAPITAL_ELECTRICIDAD_TERMOELECTRICA_GN_USD_KW_BAJO">DGEN_SupuestosCostos!$G$102</definedName>
    <definedName name="COSTOS_CAPITAL_ELECTRICIDAD_TERMOELECTRICA_GN_USD_KW_MEDIO">DGEN_SupuestosCostos!$F$102</definedName>
    <definedName name="COSTOS_CAPITAL_EOLICA_COSTA_AFUERA_USD_KW_ALTO">DGEN_SupuestosCostos!$E$118</definedName>
    <definedName name="COSTOS_CAPITAL_EOLICA_COSTA_AFUERA_USD_KW_BAJO">DGEN_SupuestosCostos!$G$118</definedName>
    <definedName name="COSTOS_CAPITAL_EOLICA_COSTA_AFUERA_USD_KW_MEDIO">DGEN_SupuestosCostos!$F$118</definedName>
    <definedName name="COSTOS_CAPITAL_EOLICA_COSTA_DENTRO_JEPIRACHI_USD_KW_ALTO">DGEN_SupuestosCostos!$E$116</definedName>
    <definedName name="COSTOS_CAPITAL_EOLICA_COSTA_DENTRO_JEPIRACHI_USD_KW_BAJO">DGEN_SupuestosCostos!$G$116</definedName>
    <definedName name="COSTOS_CAPITAL_EOLICA_COSTA_DENTRO_JEPIRACHI_USD_KW_MEDIO">DGEN_SupuestosCostos!$F$116</definedName>
    <definedName name="COSTOS_CAPITAL_EOLICA_COSTA_DENTRO_RESTO_USD_KW_ALTO">DGEN_SupuestosCostos!$E$117</definedName>
    <definedName name="COSTOS_CAPITAL_EOLICA_COSTA_DENTRO_RESTO_USD_KW_BAJO">DGEN_SupuestosCostos!$G$117</definedName>
    <definedName name="COSTOS_CAPITAL_EOLICA_COSTA_DENTRO_RESTO_USD_KW_MEDIO">DGEN_SupuestosCostos!$F$117</definedName>
    <definedName name="COSTOS_CAPITAL_GRANDES_CENTRALES_HIDROELECTRICAS_USD_KW_ALTO">DGEN_SupuestosCostos!$E$112</definedName>
    <definedName name="COSTOS_CAPITAL_GRANDES_CENTRALES_HIDROELECTRICAS_USD_KW_BAJO">DGEN_SupuestosCostos!$G$112</definedName>
    <definedName name="COSTOS_CAPITAL_GRANDES_CENTRALES_HIDROELECTRICAS_USD_KW_MEDIO">DGEN_SupuestosCostos!$F$112</definedName>
    <definedName name="COSTOS_CAPITAL_H2_USD_KW_ALTO">DGEN_SupuestosCostos!$E$119</definedName>
    <definedName name="COSTOS_CAPITAL_H2_USD_KW_BAJO">DGEN_SupuestosCostos!$G$119</definedName>
    <definedName name="COSTOS_CAPITAL_H2_USD_KW_MEDIO">DGEN_SupuestosCostos!$F$119</definedName>
    <definedName name="COSTOS_CAPITAL_PEQUEÑAS_CENTRALES_HIDROELECTRICAS_USD_KW_ALTO">DGEN_SupuestosCostos!$E$113</definedName>
    <definedName name="COSTOS_CAPITAL_PEQUEÑAS_CENTRALES_HIDROELECTRICAS_USD_KW_BAJO">DGEN_SupuestosCostos!$G$113</definedName>
    <definedName name="COSTOS_CAPITAL_PEQUEÑAS_CENTRALES_HIDROELECTRICAS_USD_KW_MEDIO">DGEN_SupuestosCostos!$F$113</definedName>
    <definedName name="COSTOS_CAPITAL_RESIDUOS_SOLIDOS_APROVECHAMIENTO_BIOGAS">DGEN_SupuestosCostos!$G$339</definedName>
    <definedName name="COSTOS_CAPITAL_RESIDUOS_SOLIDOS_CDM_USD_TON">DGEN_SupuestosCostos!$G$343</definedName>
    <definedName name="COSTOS_CAPITAL_RESIDUOS_SOLIDOS_CELDA_CONTINGENCIA_USD_TON">DGEN_SupuestosCostos!$G$340</definedName>
    <definedName name="COSTOS_CAPITAL_RESIDUOS_SOLIDOS_INCINERACION_USD_TON">DGEN_SupuestosCostos!$G$344</definedName>
    <definedName name="COSTOS_CAPITAL_RESIDUOS_SOLIDOS_QUEMA_BIOGAS_USD_M3">DGEN_SupuestosCostos!$G$338</definedName>
    <definedName name="COSTOS_CAPITAL_RESIDUOS_SOLIDOS_RECICLADO_USD_TON">DGEN_SupuestosCostos!$G$345</definedName>
    <definedName name="COSTOS_CAPITAL_RESIDUOS_SOLIDOS_TMB_COMPOSTAJE_USD_TON">DGEN_SupuestosCostos!$G$342</definedName>
    <definedName name="COSTOS_CAPITAL_RESIDUOS_SOLIDOS_TRATAMIENTO_RESIDUOS_RELLENO_USD_TON">DGEN_SupuestosCostos!$G$337</definedName>
    <definedName name="COSTOS_CAPITAL_SOLAR_FOTOVOLTAICA_USD_KW_ALTO">DGEN_SupuestosCostos!$E$115</definedName>
    <definedName name="COSTOS_CAPITAL_SOLAR_FOTOVOLTAICA_USD_KW_BAJO">DGEN_SupuestosCostos!$G$115</definedName>
    <definedName name="COSTOS_CAPITAL_SOLAR_FOTOVOLTAICA_USD_KW_MEDIO">DGEN_SupuestosCostos!$F$115</definedName>
    <definedName name="COSTOS_CAPITAL_SOLAR_TERMICA_USD_KW_ALTO">DGEN_SupuestosCostos!$E$114</definedName>
    <definedName name="COSTOS_CAPITAL_SOLAR_TERMICA_USD_KW_BAJO">DGEN_SupuestosCostos!$G$114</definedName>
    <definedName name="COSTOS_CAPITAL_SOLAR_TERMICA_USD_KW_MEDIO">DGEN_SupuestosCostos!$F$114</definedName>
    <definedName name="COSTOS_CAPITAL_TRANSPORTE_CAR_FERREO_DIESEL">DGEN_SupuestosCostos!$E$288</definedName>
    <definedName name="COSTOS_CAPITAL_TRANSPORTE_CARGA_COMBUSTION_CONVENCIONAL_DIESEL">DGEN_SupuestosCostos!$E$277</definedName>
    <definedName name="COSTOS_CAPITAL_TRANSPORTE_CARGA_COMBUSTION_CONVENCIONAL_GASOLINA">DGEN_SupuestosCostos!$E$276</definedName>
    <definedName name="COSTOS_CAPITAL_TRANSPORTE_CARGA_COMBUSTION_CONVENCIONAL_GLP">DGEN_SupuestosCostos!$E$280</definedName>
    <definedName name="COSTOS_CAPITAL_TRANSPORTE_CARGA_COMBUSTION_CONVENCIONAL_GN_COMPRIMIDO">DGEN_SupuestosCostos!$E$278</definedName>
    <definedName name="COSTOS_CAPITAL_TRANSPORTE_CARGA_COMBUSTION_CONVENCIONAL_GN_LICUADO">DGEN_SupuestosCostos!$E$279</definedName>
    <definedName name="COSTOS_CAPITAL_TRANSPORTE_CARGA_COMBUSTION_CONVENCIONAL_H2">DGEN_SupuestosCostos!$E$284</definedName>
    <definedName name="COSTOS_CAPITAL_TRANSPORTE_CARGA_ELECTRICO">DGEN_SupuestosCostos!$E$283</definedName>
    <definedName name="COSTOS_CAPITAL_TRANSPORTE_CARGA_FERREO_ELECTRICO">DGEN_SupuestosCostos!$E$289</definedName>
    <definedName name="COSTOS_CAPITAL_TRANSPORTE_CARGA_HIBRIDO_DIESEL">DGEN_SupuestosCostos!$E$282</definedName>
    <definedName name="COSTOS_CAPITAL_TRANSPORTE_CARGA_HIBRIDO_GASOLINA">DGEN_SupuestosCostos!$E$281</definedName>
    <definedName name="COSTOS_CAPITAL_UNITARIO">1</definedName>
    <definedName name="COSTOS_COMB_FOSIL_FACTOR_AGRICULTURA">DGEN_SupuestosCostos!$E$94</definedName>
    <definedName name="COSTOS_COMB_FOSIL_FACTOR_EDIFICACIONES">DGEN_SupuestosCostos!$E$92</definedName>
    <definedName name="COSTOS_COMB_FOSIL_FACTOR_ELECTRICIDAD">DGEN_SupuestosCostos!$E$89</definedName>
    <definedName name="COSTOS_COMB_FOSIL_FACTOR_GANADERIA">DGEN_SupuestosCostos!$E$95</definedName>
    <definedName name="COSTOS_COMB_FOSIL_FACTOR_INDUSTRIA">DGEN_SupuestosCostos!$E$90</definedName>
    <definedName name="COSTOS_COMB_FOSIL_FACTOR_RESIDUOS">DGEN_SupuestosCostos!$E$91</definedName>
    <definedName name="COSTOS_COMB_FOSIL_FACTOR_TRANSPORTE">DGEN_SupuestosCostos!$E$93</definedName>
    <definedName name="COSTOS_COMBUSTIBLES_CARBON_ALTO">DGEN_SupuestosCostos!$E$43:$L$43</definedName>
    <definedName name="COSTOS_COMBUSTIBLES_CARBON_BAJO">DGEN_SupuestosCostos!$E$45:$L$45</definedName>
    <definedName name="COSTOS_COMBUSTIBLES_CARBON_MEDIO">DGEN_SupuestosCostos!$E$44:$L$44</definedName>
    <definedName name="COSTOS_COMBUSTIBLES_CRUDO_ALTO">DGEN_SupuestosCostos!$E$38:$L$38</definedName>
    <definedName name="COSTOS_COMBUSTIBLES_CRUDO_BAJO">DGEN_SupuestosCostos!$E$40:$L$40</definedName>
    <definedName name="COSTOS_COMBUSTIBLES_CRUDO_MEDIO">DGEN_SupuestosCostos!$E$39:$L$39</definedName>
    <definedName name="COSTOS_COMBUSTIBLES_GAS_NATURAL_ALTO">DGEN_SupuestosCostos!$E$48:$L$48</definedName>
    <definedName name="COSTOS_COMBUSTIBLES_GAS_NATURAL_BAJO">DGEN_SupuestosCostos!$E$50:$L$50</definedName>
    <definedName name="COSTOS_COMBUSTIBLES_GAS_NATURAL_MEDIO">DGEN_SupuestosCostos!$E$49:$L$49</definedName>
    <definedName name="COSTOS_COSTOS_OPERACION_MANTENIMIENTO_RESIDUOS_SOLIDOS_CDR_USD_TON">DGEN_SupuestosCostos!$G$356</definedName>
    <definedName name="COSTOS_COSTOS_OPERACION_MANTENIMIENTO_RESIDUOS_SOLIDOS_CELDA_CONTINGENCIA_USD_TON">DGEN_SupuestosCostos!$G$353</definedName>
    <definedName name="COSTOS_COSTOS_OPERACION_MANTENIMIENTO_RESIDUOS_SOLIDOS_DISPOSICION_Y_TRANSPORTE_USD_TON">DGEN_SupuestosCostos!$G$348</definedName>
    <definedName name="COSTOS_COSTOS_OPERACION_MANTENIMIENTO_RESIDUOS_SOLIDOS_INCINERACION_USD_TON">DGEN_SupuestosCostos!$G$357</definedName>
    <definedName name="COSTOS_COSTOS_OPERACION_MANTENIMIENTO_RESIDUOS_SOLIDOS_QUEMA_BIOGAS_USD_TON">DGEN_SupuestosCostos!$G$351</definedName>
    <definedName name="COSTOS_COSTOS_OPERACION_MANTENIMIENTO_RESIDUOS_SOLIDOS_RECICLADO_USD_TON">DGEN_SupuestosCostos!$G$358</definedName>
    <definedName name="COSTOS_COSTOS_OPERACION_MANTENIMIENTO_RESIDUOS_SOLIDOS_TMB_COMPOSTAJE_USD_TON">DGEN_SupuestosCostos!$G$355</definedName>
    <definedName name="COSTOS_COSTOS_OPERACION_MANTENIMIENTO_RESIDUOS_SOLIDOS_TRATEMIENTO_RESIDUOS_EN_RELLENO_USD_TON">DGEN_SupuestosCostos!$G$350</definedName>
    <definedName name="COSTOS_Costosdecapital_NEVERASYESTUFAS_ALTO">DGEN_SupuestosCostos!$E$189:$E$191</definedName>
    <definedName name="COSTOS_Costosdecapital_NEVERASYESTUFAS_BAJO">DGEN_SupuestosCostos!$G$189:$G$191</definedName>
    <definedName name="COSTOS_Costosdecapital_NEVERASYESTUFAS_MEDIO">DGEN_SupuestosCostos!$F$189:$F$191</definedName>
    <definedName name="COSTOS_DE_CAPITAL_edif_res_urb_aer_ALTO">DGEN_SupuestosCostos!$E$156:$E$159</definedName>
    <definedName name="COSTOS_DE_CAPITAL_edif_res_urb_aer_BAJO">DGEN_SupuestosCostos!$E$170:$E$173</definedName>
    <definedName name="COSTOS_DE_CAPITAL_edif_res_urb_aer_MEDIO">DGEN_SupuestosCostos!$E$163:$E$166</definedName>
    <definedName name="COSTOS_de_capital_ute_ALTO" localSheetId="46">CHOOSE(EDI_COM_UTE!TRAYECTORIA,EDI_COM_UTE!$F$226,EDI_COM_UTE!$F$227,EDI_COM_UTE!$F$228,EDI_COM_UTE!$F$229)</definedName>
    <definedName name="COSTOS_de_capital_ute_BAJO" localSheetId="46">CHOOSE(EDI_COM_UTE!TRAYECTORIA,EDI_COM_UTE!$H$226,EDI_COM_UTE!$H$227,EDI_COM_UTE!$H$228,EDI_COM_UTE!$H$229)</definedName>
    <definedName name="COSTOS_de_capital_ute_MEDIO" localSheetId="46">CHOOSE(EDI_COM_UTE!TRAYECTORIA,EDI_COM_UTE!$G$226,EDI_COM_UTE!$G$227,EDI_COM_UTE!$G$228,EDI_COM_UTE!$G$229)</definedName>
    <definedName name="COSTOS_DE_OPERACION_edif_res_urb_aer_ALTO">DGEN_SupuestosCostos!$F$156:$F$159</definedName>
    <definedName name="COSTOS_DE_OPERACION_edif_res_urb_aer_BAJO">DGEN_SupuestosCostos!$F$170:$F$173</definedName>
    <definedName name="COSTOS_DE_OPERACION_edif_res_urb_aer_MEDIO">DGEN_SupuestosCostos!$F$163:$F$166</definedName>
    <definedName name="COSTOS_Iluminacion_Costosdecapital_ALTO_">DGEN_SupuestosCostos!$E$181:$E$184</definedName>
    <definedName name="COSTOS_Iluminacion_Costosdecapital_BAJO">DGEN_SupuestosCostos!$G$181:$G$184</definedName>
    <definedName name="COSTOS_Iluminacion_Costosdecapital_MEDIO">DGEN_SupuestosCostos!$F$181:$F$184</definedName>
    <definedName name="COSTOS_INDUSTRIA_AUMENTO_UNIDAD_ENEGIA_BAJO_ALIMENTOS">CHOOSE(IND_!$L$8,DGEN_SupuestosCostos!$E$325,DGEN_SupuestosCostos!$F$325,DGEN_SupuestosCostos!$G$325,DGEN_SupuestosCostos!$H$325)</definedName>
    <definedName name="COSTOS_INDUSTRIA_AUMENTO_UNIDAD_ENERGIA_ALTO_ALIMENTOS">CHOOSE(IND_!$L$8,DGEN_SupuestosCostos!$E$316,DGEN_SupuestosCostos!$F$316,DGEN_SupuestosCostos!$G$316,DGEN_SupuestosCostos!$H$313)</definedName>
    <definedName name="COSTOS_INDUSTRIA_AUMENTO_UNIDAD_ENERGÍA_ALTO_CEMENTO">CHOOSE(IND_!$L$8,DGEN_SupuestosCostos!$E$309,DGEN_SupuestosCostos!$F$309,DGEN_SupuestosCostos!$G$309,DGEN_SupuestosCostos!$H$309)</definedName>
    <definedName name="cOSTOS_INDUSTRIA_AUMENTO_UNIDAD_ENERGIA_ALTO_HIERRO">CHOOSE(IND_!$L$8,DGEN_SupuestosCostos!$E$310,DGEN_SupuestosCostos!$F$310,DGEN_SupuestosCostos!$G$310,DGEN_SupuestosCostos!$H$310)</definedName>
    <definedName name="COSTOS_INDUSTRIA_AUMENTO_UNIDAD_ENERGIA_ALTO_LADRILLERAS">CHOOSE(IND_!$L$8,DGEN_SupuestosCostos!$E$316,DGEN_SupuestosCostos!$F$316,DGEN_SupuestosCostos!$G$316,DGEN_SupuestosCostos!$H$316)</definedName>
    <definedName name="COSTOS_INDUSTRIA_AUMENTO_UNIDAD_ENERGIA_ALTO_OTROS">CHOOSE(IND_!$L$8,DGEN_SupuestosCostos!$E$315,DGEN_SupuestosCostos!$F$315,DGEN_SupuestosCostos!$G$315,DGEN_SupuestosCostos!$H$315)</definedName>
    <definedName name="COSTOS_INDUSTRIA_AUMENTO_UNIDAD_ENERGIA_ALTO_PAPEL">CHOOSE(IND_!$L$8,DGEN_SupuestosCostos!$E$311,DGEN_SupuestosCostos!$F$311,DGEN_SupuestosCostos!$G$311,DGEN_SupuestosCostos!$H$311)</definedName>
    <definedName name="COSTOS_INDUSTRIA_AUMENTO_UNIDAD_ENERGIA_ALTO_QUIMICOS">CHOOSE(IND_!$L$8,DGEN_SupuestosCostos!$E$312,DGEN_SupuestosCostos!$F$312,DGEN_SupuestosCostos!$G$312,DGEN_SupuestosCostos!$H$312)</definedName>
    <definedName name="COSTOS_INDUSTRIA_AUMENTO_UNIDAD_ENERGIA_ALTO_TEXTIL">CHOOSE(IND_!$L$8,DGEN_SupuestosCostos!$E$314,DGEN_SupuestosCostos!$F$314,DGEN_SupuestosCostos!$G$314,DGEN_SupuestosCostos!$H$314)</definedName>
    <definedName name="COSTOS_INDUSTRIA_AUMENTO_UNIDAD_ENERGIA_BAJO_ALIMENTOS">CHOOSE(IND_!$L$8,DGEN_SupuestosCostos!$E$325,DGEN_SupuestosCostos!$F$325,DGEN_SupuestosCostos!$G$325,DGEN_SupuestosCostos!$H$325)</definedName>
    <definedName name="COSTOS_INDUSTRIA_AUMENTO_UNIDAD_ENERGIA_BAJO_CEMENTO">CHOOSE(IND_!$L$8,DGEN_SupuestosCostos!$E$321,DGEN_SupuestosCostos!$F$321,DGEN_SupuestosCostos!$G$321,DGEN_SupuestosCostos!$H$321)</definedName>
    <definedName name="COSTOS_INDUSTRIA_AUMENTO_UNIDAD_ENERGIA_BAJO_HIERRO">CHOOSE(IND_!$L$8,DGEN_SupuestosCostos!$E$322,DGEN_SupuestosCostos!$F$322,DGEN_SupuestosCostos!$G$322,DGEN_SupuestosCostos!$H$322)</definedName>
    <definedName name="COSTOS_INDUSTRIA_AUMENTO_UNIDAD_ENERGIA_BAJO_LADRILLERAS">CHOOSE(IND_!$L$8,DGEN_SupuestosCostos!$E$328,DGEN_SupuestosCostos!$F$328,DGEN_SupuestosCostos!$G$328,DGEN_SupuestosCostos!$H$328)</definedName>
    <definedName name="COSTOS_INDUSTRIA_AUMENTO_UNIDAD_ENERGIA_BAJO_OTROS">CHOOSE(IND_!$L$8,DGEN_SupuestosCostos!$E$327,DGEN_SupuestosCostos!$F$327,DGEN_SupuestosCostos!$G$327,DGEN_SupuestosCostos!$H$327)</definedName>
    <definedName name="COSTOS_INDUSTRIA_AUMENTO_UNIDAD_ENERGIA_BAJO_PAPEL">CHOOSE(IND_!$L$8,DGEN_SupuestosCostos!$E$323,DGEN_SupuestosCostos!$F$323,DGEN_SupuestosCostos!$G$323,DGEN_SupuestosCostos!$H$323)</definedName>
    <definedName name="COSTOS_INDUSTRIA_AUMENTO_UNIDAD_ENERGIA_BAJO_QUIMICOS">CHOOSE(IND_!$L$8,DGEN_SupuestosCostos!$E$324,DGEN_SupuestosCostos!$F$324,DGEN_SupuestosCostos!$G$324,DGEN_SupuestosCostos!$H$324)</definedName>
    <definedName name="COSTOS_INDUSTRIA_AUMENTO_UNIDAD_ENERGIA_BAJO_TEXTIL">CHOOSE(IND_!$L$8,DGEN_SupuestosCostos!$E$326,DGEN_SupuestosCostos!$F$326,DGEN_SupuestosCostos!$G$326,DGEN_SupuestosCostos!$H$326)</definedName>
    <definedName name="COSTOS_INDUSTRIA_PARTIDA_GASTO_CAPITAL_NETO_ALIMENTOS">DGEN_SupuestosCostos!$E$301</definedName>
    <definedName name="COSTOS_INDUSTRIA_PARTIDA_GASTO_CAPITAL_NETO_CEMENTO">DGEN_SupuestosCostos!$E$297</definedName>
    <definedName name="COSTOS_INDUSTRIA_PARTIDA_GASTO_CAPITAL_NETO_HIERRO">DGEN_SupuestosCostos!$E$298</definedName>
    <definedName name="COSTOS_INDUSTRIA_PARTIDA_GASTO_CAPITAL_NETO_LADRILLERAS">DGEN_SupuestosCostos!$E$304</definedName>
    <definedName name="COSTOS_INDUSTRIA_PARTIDA_GASTO_CAPITAL_NETO_OTROS">DGEN_SupuestosCostos!$E$303</definedName>
    <definedName name="COSTOS_INDUSTRIA_PARTIDA_GASTO_CAPITAL_NETO_PAPEL">DGEN_SupuestosCostos!$E$299</definedName>
    <definedName name="COSTOS_INDUSTRIA_PARTIDA_GASTO_CAPITAL_NETO_QUIMICOS">DGEN_SupuestosCostos!$E$300</definedName>
    <definedName name="COSTOS_INDUSTRIA_PARTIDA_GASTO_CAPITAL_NETO_TEXTIL">DGEN_SupuestosCostos!$E$302</definedName>
    <definedName name="COSTOS_INDUSTRIA_PARTIDA_OM_ALIMENTOS">DGEN_SupuestosCostos!$F$301</definedName>
    <definedName name="COSTOS_INDUSTRIA_PARTIDA_OM_CEMENTO">DGEN_SupuestosCostos!$F$297</definedName>
    <definedName name="COSTOS_INDUSTRIA_PARTIDA_OM_HIERRO">DGEN_SupuestosCostos!$F$298</definedName>
    <definedName name="COSTOS_INDUSTRIA_PARTIDA_OM_LADRILLERAS">DGEN_SupuestosCostos!$F$304</definedName>
    <definedName name="COSTOS_INDUSTRIA_PARTIDA_OM_OTROS">DGEN_SupuestosCostos!$F$303</definedName>
    <definedName name="COSTOS_INDUSTRIA_PARTIDA_OM_PAPEL">DGEN_SupuestosCostos!$F$299</definedName>
    <definedName name="COSTOS_INDUSTRIA_PARTIDA_OM_QUIMICOS">DGEN_SupuestosCostos!$F$300</definedName>
    <definedName name="COSTOS_INDUSTRIA_PARTIDA_OM_TEXTIL">DGEN_SupuestosCostos!$F$302</definedName>
    <definedName name="COSTOS_INDUTRIA_AUMENTO_UNIDAD_ENERGIA_BAJO_LADRILLERAS">CHOOSE(IND_!$L$8,DGEN_SupuestosCostos!$E$328,DGEN_SupuestosCostos!$F$328,DGEN_SupuestosCostos!$G$328,DGEN_SupuestosCostos!$H$328)</definedName>
    <definedName name="COSTOS_MEDIO">DGEN_SupuestosCostos!$I$31</definedName>
    <definedName name="COSTOS_Miles_de_millones_de_pesos_Colombianos___MMCOP_MMCOP">DGEN_SupuestosCostos!$E$21</definedName>
    <definedName name="COSTOS_Miles_de_pesos_Colombianos___KCOP_MMCOP">DGEN_SupuestosCostos!$E$23</definedName>
    <definedName name="COSTOS_Millones_de_pesos_Colombianos___MCOP_MMCOP">DGEN_SupuestosCostos!$E$22</definedName>
    <definedName name="COSTOS_O_M">2</definedName>
    <definedName name="COSTOS_OPERACION_MANTENIMIENTO_AGUAS_RESIDUALES_TRATAMIENTO_CON_EXTRACCIÓN">DGEN_SupuestosCostos!$G$369</definedName>
    <definedName name="COSTOS_OPERACION_MANTENIMIENTO_AGUAS_RESIDUALES_TRATAMIENTO_SIN_EXTRACCIÓN">DGEN_SupuestosCostos!$G$368</definedName>
    <definedName name="COSTOS_OPERACION_MANTENIMIENTO_BAGAZO_USD_KW_ALTO">DGEN_SupuestosCostos!$E$145</definedName>
    <definedName name="COSTOS_OPERACION_MANTENIMIENTO_BAGAZO_USD_KW_BAJO">DGEN_SupuestosCostos!$G$145</definedName>
    <definedName name="COSTOS_OPERACION_MANTENIMIENTO_BAGAZO_USD_KW_MEDIO">DGEN_SupuestosCostos!$F$145</definedName>
    <definedName name="COSTOS_OPERACION_MANTENIMIENTO_BIOMASA_USD_KW_ALTO">DGEN_SupuestosCostos!$E$144</definedName>
    <definedName name="COSTOS_OPERACION_MANTENIMIENTO_BIOMASA_USD_KW_BAJO">DGEN_SupuestosCostos!$G$144</definedName>
    <definedName name="COSTOS_OPERACION_MANTENIMIENTO_BIOMASA_USD_KW_MEDIO">DGEN_SupuestosCostos!$F$144</definedName>
    <definedName name="COSTOS_OPERACION_MANTENIMIENTO_ELECTRICIDAD_DIESEL_USD_KW_ALTO">DGEN_SupuestosCostos!$E$128</definedName>
    <definedName name="COSTOS_OPERACION_MANTENIMIENTO_ELECTRICIDAD_DIESEL_USD_KW_BAJO">DGEN_SupuestosCostos!$G$128</definedName>
    <definedName name="COSTOS_OPERACION_MANTENIMIENTO_ELECTRICIDAD_DIESEL_USD_KW_MEDIO">DGEN_SupuestosCostos!$F$128</definedName>
    <definedName name="COSTOS_OPERACION_MANTENIMIENTO_ELECTRICIDAD_FUEL_OIL_USD_KW_ALTO">DGEN_SupuestosCostos!$E$129</definedName>
    <definedName name="COSTOS_OPERACION_MANTENIMIENTO_ELECTRICIDAD_FUEL_OIL_USD_KW_BAJO">DGEN_SupuestosCostos!$G$129</definedName>
    <definedName name="COSTOS_OPERACION_MANTENIMIENTO_ELECTRICIDAD_FUEL_OIL_USD_KW_MEDIO">DGEN_SupuestosCostos!$F$129</definedName>
    <definedName name="COSTOS_OPERACION_MANTENIMIENTO_ELECTRICIDAD_GLP_USD_KW_ALTO">DGEN_SupuestosCostos!$E$131</definedName>
    <definedName name="COSTOS_OPERACION_MANTENIMIENTO_ELECTRICIDAD_GLP_USD_KW_BAJO">DGEN_SupuestosCostos!$G$131</definedName>
    <definedName name="COSTOS_OPERACION_MANTENIMIENTO_ELECTRICIDAD_GLP_USD_KW_MEDIO">DGEN_SupuestosCostos!$F$131</definedName>
    <definedName name="COSTOS_OPERACION_MANTENIMIENTO_ELECTRICIDAD_PETROLEO_USD_KW_ALTO">DGEN_SupuestosCostos!$E$130</definedName>
    <definedName name="COSTOS_OPERACION_MANTENIMIENTO_ELECTRICIDAD_PETROLEO_USD_KW_BAJO">DGEN_SupuestosCostos!$G$130</definedName>
    <definedName name="COSTOS_OPERACION_MANTENIMIENTO_ELECTRICIDAD_PETROLEO_USD_KW_MEDIO">DGEN_SupuestosCostos!$F$130</definedName>
    <definedName name="COSTOS_OPERACION_MANTENIMIENTO_ELECTRICIDAD_TERMOELECTRICA_CARBON_CCUS_USD_KW_ALTO">DGEN_SupuestosCostos!$E$133</definedName>
    <definedName name="COSTOS_OPERACION_MANTENIMIENTO_ELECTRICIDAD_TERMOELECTRICA_CARBON_CCUS_USD_KW_BAJO">DGEN_SupuestosCostos!$G$133</definedName>
    <definedName name="COSTOS_OPERACION_MANTENIMIENTO_ELECTRICIDAD_TERMOELECTRICA_CARBON_CCUS_USD_KW_MEDIO">DGEN_SupuestosCostos!$F$133</definedName>
    <definedName name="COSTOS_OPERACION_MANTENIMIENTO_ELECTRICIDAD_TERMOELECTRICA_CARBON_USD_KW_ABAJO">DGEN_SupuestosCostos!$G$127</definedName>
    <definedName name="COSTOS_OPERACION_MANTENIMIENTO_ELECTRICIDAD_TERMOELECTRICA_CARBON_USD_KW_ALTO">DGEN_SupuestosCostos!$E$127</definedName>
    <definedName name="COSTOS_OPERACION_MANTENIMIENTO_ELECTRICIDAD_TERMOELECTRICA_CARBON_USD_KW_MEDIO">DGEN_SupuestosCostos!$F$127</definedName>
    <definedName name="COSTOS_OPERACION_MANTENIMIENTO_ELECTRICIDAD_TERMOELECTRICA_GN_CCUS_USD_KW_ALTO">DGEN_SupuestosCostos!$E$132</definedName>
    <definedName name="COSTOS_OPERACION_MANTENIMIENTO_ELECTRICIDAD_TERMOELECTRICA_GN_CCUS_USD_KW_BAJO">DGEN_SupuestosCostos!$G$132</definedName>
    <definedName name="COSTOS_OPERACION_MANTENIMIENTO_ELECTRICIDAD_TERMOELECTRICA_GN_CCUS_USD_KW_MEDIO">DGEN_SupuestosCostos!$F$132</definedName>
    <definedName name="COSTOS_OPERACION_MANTENIMIENTO_ELECTRICIDAD_TERMOELECTRICA_GN_USD_KW_ALTO">DGEN_SupuestosCostos!$E$126</definedName>
    <definedName name="COSTOS_OPERACION_MANTENIMIENTO_ELECTRICIDAD_TERMOELECTRICA_GN_USD_KW_BAJO">DGEN_SupuestosCostos!$G$126</definedName>
    <definedName name="COSTOS_OPERACION_MANTENIMIENTO_ELECTRICIDAD_TERMOELECTRICA_GN_USD_KW_MEDIO">DGEN_SupuestosCostos!$F$126</definedName>
    <definedName name="COSTOS_OPERACION_MANTENIMIENTO_EOLICA_COSTA_ADENTRO_JEPIRACHI_USD_KW_ALTO">DGEN_SupuestosCostos!$E$140</definedName>
    <definedName name="COSTOS_OPERACION_MANTENIMIENTO_EOLICA_COSTA_ADENTRO_JEPIRACHI_USD_KW_BAJO">DGEN_SupuestosCostos!$G$140</definedName>
    <definedName name="COSTOS_OPERACION_MANTENIMIENTO_EOLICA_COSTA_ADENTRO_JEPIRACHI_USD_KW_MEDIO">DGEN_SupuestosCostos!$F$140</definedName>
    <definedName name="COSTOS_OPERACION_MANTENIMIENTO_EOLICA_COSTA_ADENTRO_RESTO_USD_KW_ALTO">DGEN_SupuestosCostos!$E$141</definedName>
    <definedName name="COSTOS_OPERACION_MANTENIMIENTO_EOLICA_COSTA_ADENTRO_RESTO_USD_KW_BAJO">DGEN_SupuestosCostos!$G$141</definedName>
    <definedName name="COSTOS_OPERACION_MANTENIMIENTO_EOLICA_COSTA_ADENTRO_RESTO_USD_KW_MEDIO">DGEN_SupuestosCostos!$F$141</definedName>
    <definedName name="COSTOS_OPERACION_MANTENIMIENTO_EOLICA_COSTA_AFUERA_RESTO_USD_KW_ALTO">DGEN_SupuestosCostos!$E$142</definedName>
    <definedName name="COSTOS_OPERACION_MANTENIMIENTO_EOLICA_COSTA_AFUERA_RESTO_USD_KW_BAJO">DGEN_SupuestosCostos!$G$142</definedName>
    <definedName name="COSTOS_OPERACION_MANTENIMIENTO_EOLICA_COSTA_AFUERA_RESTO_USD_KW_MEDIO">DGEN_SupuestosCostos!$F$142</definedName>
    <definedName name="COSTOS_OPERACION_MANTENIMIENTO_GRANDES_CENTRALES_HIDROELECTRICAS_USD_KW_ALTO">DGEN_SupuestosCostos!$E$136</definedName>
    <definedName name="COSTOS_OPERACION_MANTENIMIENTO_GRANDES_CENTRALES_HIDROELECTRICAS_USD_KW_BAJO">DGEN_SupuestosCostos!$G$136</definedName>
    <definedName name="COSTOS_OPERACION_MANTENIMIENTO_GRANDES_CENTRALES_HIDROELECTRICAS_USD_KW_MEDIO">DGEN_SupuestosCostos!$F$136</definedName>
    <definedName name="COSTOS_OPERACION_MANTENIMIENTO_H2_USD_KW_ALTO">DGEN_SupuestosCostos!$E$143</definedName>
    <definedName name="COSTOS_OPERACION_MANTENIMIENTO_H2_USD_KW_BAJO">DGEN_SupuestosCostos!$G$143</definedName>
    <definedName name="COSTOS_OPERACION_MANTENIMIENTO_H2_USD_KW_MEDIO">DGEN_SupuestosCostos!$F$143</definedName>
    <definedName name="COSTOS_OPERACION_MANTENIMIENTO_PEQUEÑAS_CENTRALES_HIDROELECTRICAS_USD_KW_ALTO">DGEN_SupuestosCostos!$E$137</definedName>
    <definedName name="COSTOS_OPERACION_MANTENIMIENTO_PEQUEÑAS_CENTRALES_HIDROELECTRICAS_USD_KW_BAJO">DGEN_SupuestosCostos!$G$137</definedName>
    <definedName name="COSTOS_OPERACION_MANTENIMIENTO_PEQUEÑAS_CENTRALES_HIDROELECTRICAS_USD_KW_MEDIO">DGEN_SupuestosCostos!$F$137</definedName>
    <definedName name="COSTOS_OPERACION_MANTENIMIENTO_RESIDUOS_SOLIDOS_APROVECHAMIENTO_BIOGAS_USD_TON">DGEN_SupuestosCostos!$G$352</definedName>
    <definedName name="COSTOS_OPERACION_MANTENIMIENTO_SOLAR_FOTOVOLTAICA_USD_KW_ALTO">DGEN_SupuestosCostos!$E$139</definedName>
    <definedName name="COSTOS_OPERACION_MANTENIMIENTO_SOLAR_FOTOVOLTAICA_USD_KW_BAJO">DGEN_SupuestosCostos!$G$139</definedName>
    <definedName name="COSTOS_OPERACION_MANTENIMIENTO_SOLAR_FOTOVOLTAICA_USD_KW_MEDIO">DGEN_SupuestosCostos!$F$139</definedName>
    <definedName name="COSTOS_OPERACION_MANTENIMIENTO_SOLAR_TERMICA_USD_KW_ALTO">DGEN_SupuestosCostos!$E$138</definedName>
    <definedName name="COSTOS_OPERACION_MANTENIMIENTO_SOLAR_TERMICA_USD_KW_BAJO">DGEN_SupuestosCostos!$G$138</definedName>
    <definedName name="COSTOS_OPERACION_MANTENIMIENTO_SOLAR_TERMICA_USD_KW_MEDIO">DGEN_SupuestosCostos!$F$138</definedName>
    <definedName name="COSTOS_OPERACION_MANTENIMIENTO_TRANSPORTE_CAR_FERREO_DIESEL">DGEN_SupuestosCostos!$F$288</definedName>
    <definedName name="COSTOS_OPERACION_MANTENIMIENTO_TRANSPORTE_CAR_FERREO_ELECTRICO">DGEN_SupuestosCostos!$F$289</definedName>
    <definedName name="COSTOS_OPERACION_MANTENIMIENTO_TRANSPORTE_CARGA_COMBUSTION_CONVENCIONAL_DIESEL">DGEN_SupuestosCostos!$F$277</definedName>
    <definedName name="COSTOS_OPERACION_MANTENIMIENTO_TRANSPORTE_CARGA_COMBUSTION_CONVENCIONAL_GASOLINA">DGEN_SupuestosCostos!$F$276</definedName>
    <definedName name="COSTOS_OPERACION_MANTENIMIENTO_TRANSPORTE_CARGA_ELECTRICO">DGEN_SupuestosCostos!$F$283</definedName>
    <definedName name="COSTOS_OPERACION_MANTENIMIENTO_TRANSPORTE_CARGA_GLP">DGEN_SupuestosCostos!$F$280</definedName>
    <definedName name="COSTOS_OPERACION_MANTENIMIENTO_TRANSPORTE_CARGA_GN_COMPRIMIDO">DGEN_SupuestosCostos!$F$278</definedName>
    <definedName name="COSTOS_OPERACION_MANTENIMIENTO_TRANSPORTE_CARGA_GN_LICUADO">DGEN_SupuestosCostos!$F$279</definedName>
    <definedName name="COSTOS_OPERACION_MANTENIMIENTO_TRANSPORTE_CARGA_H2">DGEN_SupuestosCostos!$F$284</definedName>
    <definedName name="COSTOS_OPERACION_MANTENIMIENTO_TRANSPORTE_CARGA_HIBRIDO_DIESEL">DGEN_SupuestosCostos!$F$282</definedName>
    <definedName name="COSTOS_OPERACION_MANTENIMIENTO_TRANSPORTE_CARGA_HIBRIDO_GASOLINA">DGEN_SupuestosCostos!$F$281</definedName>
    <definedName name="COSTOS_Pesos_Colombianos_COP_MMCOP">DGEN_SupuestosCostos!$E$24</definedName>
    <definedName name="COSTOS_TRANSPORTE_PASAJEROS_BICICLETA">DGEN_SupuestosCostos!$E$215:$F$215</definedName>
    <definedName name="COSTOS_TRANSPORTE_PASAJEROS_TAXI">DGEN_SupuestosCostos!$E$230:$F$237</definedName>
    <definedName name="COSTOS_TRANSPORTE_PASAJEROS_VEHICULOS">DGEN_SupuestosCostos!$E$219:$F$226</definedName>
    <definedName name="COSTOS_TRASPORTE_PASAJEROS_BUSES">DGEN_SupuestosCostos!$E$247:$F$254</definedName>
    <definedName name="COSTOS_TRASPORTE_PASAJEROS_BUSES_BRT">DGEN_SupuestosCostos!$E$258:$F$265</definedName>
    <definedName name="COSTOS_TRASPORTE_PASAJEROS_FERREO">DGEN_SupuestosCostos!$E$269:$F$270</definedName>
    <definedName name="COSTOS_TRASPORTE_PASAJEROS_MOTOS">DGEN_SupuestosCostos!$E$241:$F$243</definedName>
    <definedName name="COSTOS_VIDA_UTIL_AGUAS_RESIDUALES_TRATAMIENTO_CON_EXTRACCIÓN">DGEN_SupuestosCostos!$H$366</definedName>
    <definedName name="COSTOS_VIDA_UTIL_AGUAS_RESIDUALES_TRATAMIENTO_SIN_EXTRACCIÓN">DGEN_SupuestosCostos!$H$365</definedName>
    <definedName name="COSTOS_VIDA_UTIL_RESIDUOS_SOLIDOS_CDM">DGEN_SupuestosCostos!$H$343</definedName>
    <definedName name="COSTOS_VIDA_UTIL_RESIDUOS_SOLIDOS_CELDA_CONTINGENCIA">DGEN_SupuestosCostos!$H$340</definedName>
    <definedName name="COSTOS_VIDA_UTIL_RESIDUOS_SOLIDOS_INCINERACION">DGEN_SupuestosCostos!$H$344</definedName>
    <definedName name="COSTOS_VIDA_UTIL_RESIDUOS_SOLIDOS_QUEMA_BIOGAS">DGEN_SupuestosCostos!$H$338</definedName>
    <definedName name="COSTOS_VIDA_UTIL_RESIDUOS_SOLIDOS_RECICLADO">DGEN_SupuestosCostos!$H$345</definedName>
    <definedName name="COSTOS_VIDA_UTIL_RESIDUOS_SOLIDOS_TMB_COMPOSTAJE">DGEN_SupuestosCostos!$H$342</definedName>
    <definedName name="COSTOS_VIDA_UTIL_RESIDUOS_SOLIDOS_TRATAMIENTO_APROVECHAMIENTO_BIOGAS">DGEN_SupuestosCostos!$H$339</definedName>
    <definedName name="COSTOS_VIDA_UTIL_RESIDUOS_SOLIDOS_TRATAMIENTO_RES_RELLENO">DGEN_SupuestosCostos!$H$337</definedName>
    <definedName name="DBO_GENERADO_AGUAS_DOMESTICAS" localSheetId="41">RES_AGU!$F$277:$M$280</definedName>
    <definedName name="DBO_GENERADO_AGUAS_INDUSTRIALES" localSheetId="41">RES_AGU!$F$316:$M$319</definedName>
    <definedName name="DEMANDA_TOTAL_POR_ZONA_CLIMATICA_Y_ENERGETICO" localSheetId="43">EDI_RES_URB_IRCO!$F$840:$M$843</definedName>
    <definedName name="DENSIDAD_BIOGAS">DGEN_CONSTANTES!$H$33</definedName>
    <definedName name="DENSIDAD_CH4_M3_A_KG">DGEN_CONSTANTES!$H$90</definedName>
    <definedName name="DENSIDAD_CO2_M3_A_KG">DGEN_CONSTANTES!$H$89</definedName>
    <definedName name="DENSIDAD_COKE_GAS_KG_M3">DGEN_CONSTANTES!$H$34</definedName>
    <definedName name="DENSIDAD_CRUDO_L_A_KG">DGEN_CONSTANTES!$H$44</definedName>
    <definedName name="DENSIDAD_DIESEL" localSheetId="27">DGEN_CONSTANTES!$H$50</definedName>
    <definedName name="DENSIDAD_GAS_NATURAL_GENERICO_M3_A_KG">DGEN_CONSTANTES!$H$35</definedName>
    <definedName name="DENSIDAD_GASOLINA" localSheetId="27">DGEN_CONSTANTES!$H$57</definedName>
    <definedName name="DENSIDAD_GLP_GENERICO">DGEN_CONSTANTES!$H$36</definedName>
    <definedName name="DENSIDAD_N2O_M3_A_T">DGEN_CONSTANTES!$H$91</definedName>
    <definedName name="DENSIDAD_QUEROSENE_KG_L">DGEN_CONSTANTES!$H$45</definedName>
    <definedName name="DIESEL" localSheetId="36">3</definedName>
    <definedName name="DIESEL_PODER_CALORIFICO" localSheetId="27">DGEN_CONSTANTES!$G$22</definedName>
    <definedName name="DISEL_FERREO" localSheetId="47">1</definedName>
    <definedName name="DISTANCIA_TOTAL_POR_MODO" localSheetId="47">TRANS_PAS!$F$1244:$M$1251</definedName>
    <definedName name="EDI_RESIDENCIALES_IRCO_GENERACION_SOLAR_FOTOVOLTAICA">EDI_RES_URB_IRCO!$F$893:$M$893</definedName>
    <definedName name="ELECTRICO_FERREO" localSheetId="47">2</definedName>
    <definedName name="EMISION_TOTAL_SAO" localSheetId="39">IND_!$E$1874:$L$1874</definedName>
    <definedName name="EMISIONES_PRODUCCION_CO2_AMONIACO" localSheetId="39">IND_!$E$1839:$L$1839</definedName>
    <definedName name="EMISIONES_PRODUCCION_CO2_CAL" localSheetId="39">IND_!$E$1830:$L$1830</definedName>
    <definedName name="EMISIONES_PRODUCCION_CO2_CEMENTO" localSheetId="39">IND_!$E$1827:$L$1827</definedName>
    <definedName name="EMISIONES_PRODUCCION_CO2_FERROALEACIONES" localSheetId="39">IND_!$E$1845:$L$1845</definedName>
    <definedName name="EMISIONES_PRODUCCION_CO2_HIERRO" localSheetId="39">IND_!$E$1842:$L$1842</definedName>
    <definedName name="EMISIONES_PRODUCCION_CO2_PLOMO" localSheetId="39">IND_!$E$1848:$L$1848</definedName>
    <definedName name="EMISIONES_PRODUCCION_CO2_VIDRIO">IND_!$E$1833:$L$1833</definedName>
    <definedName name="EMISIONES_TOTALES_CH4_ALIMENTACION" localSheetId="39">IND_!$F$1587:$M$1587</definedName>
    <definedName name="EMISIONES_TOTALES_CH4_CEMENTO" localSheetId="39">IND_!$F$1503:$M$1503</definedName>
    <definedName name="EMISIONES_TOTALES_CH4_HIERRO" localSheetId="39">IND_!$F$1524:$M$1524</definedName>
    <definedName name="EMISIONES_TOTALES_CH4_LADRILLERAS" localSheetId="39">IND_!$F$1629:$M$1629</definedName>
    <definedName name="EMISIONES_TOTALES_CH4_OTROS" localSheetId="39">IND_!$F$1650:$M$1650</definedName>
    <definedName name="EMISIONES_TOTALES_CH4_PAPEL" localSheetId="39">IND_!$F$1545:$M$1545</definedName>
    <definedName name="EMISIONES_TOTALES_CH4_QUIMICO" localSheetId="39">IND_!$F$1566:$M$1566</definedName>
    <definedName name="EMISIONES_TOTALES_CH4_TEXTIL" localSheetId="39">IND_!$F$1608:$M$1608</definedName>
    <definedName name="EMISIONES_TOTALES_CO2_ALIMENTACION" localSheetId="39">IND_!$F$1342:$M$1342</definedName>
    <definedName name="EMISIONES_TOTALES_CO2_CEMENTO" localSheetId="39">IND_!$F$1258:$M$1258</definedName>
    <definedName name="EMISIONES_TOTALES_CO2_HIERRO" localSheetId="39">IND_!$F$1279:$M$1279</definedName>
    <definedName name="EMISIONES_TOTALES_CO2_LADRILLERAS" localSheetId="39">IND_!$F$1384:$M$1384</definedName>
    <definedName name="EMISIONES_TOTALES_CO2_OTROS" localSheetId="39">IND_!$F$1405:$M$1405</definedName>
    <definedName name="EMISIONES_TOTALES_CO2_PAPEL" localSheetId="39">IND_!$F$1300:$M$1300</definedName>
    <definedName name="EMISIONES_TOTALES_CO2_QUIMICO" localSheetId="39">IND_!$F$1321:$M$1321</definedName>
    <definedName name="EMISIONES_TOTALES_CO2_TEXTIL" localSheetId="39">IND_!$F$1363:$M$1363</definedName>
    <definedName name="EMISIONES_TOTALES_N2O_ALIMENTACION" localSheetId="39">IND_!$F$1757:$M$1757</definedName>
    <definedName name="EMISIONES_TOTALES_N2O_CEMENTO" localSheetId="39">IND_!$F$1673:$M$1673</definedName>
    <definedName name="EMISIONES_TOTALES_N2O_HIERRO" localSheetId="39">IND_!$F$1694:$M$1694</definedName>
    <definedName name="EMISIONES_TOTALES_N2O_LADRILLERAS" localSheetId="39">IND_!$F$1799:$M$1799</definedName>
    <definedName name="EMISIONES_TOTALES_N2O_OTROS" localSheetId="39">IND_!$F$1820:$M$1820</definedName>
    <definedName name="EMISIONES_TOTALES_N2O_PAPEL" localSheetId="39">IND_!$F$1715:$M$1715</definedName>
    <definedName name="EMISIONES_TOTALES_N2O_QUIMICO" localSheetId="39">IND_!$F$1736:$M$1736</definedName>
    <definedName name="EMISIONES_TOTALES_N2O_TEXTIL" localSheetId="39">IND_!$F$1778:$M$1778</definedName>
    <definedName name="ENTRADA_AUTOGENERACION" localSheetId="36">'ELECT_ Electricidad'!$F$22:$M$22</definedName>
    <definedName name="EOLICA_EOLICA_COSTA_ADENTRO_JEPIRACHI" localSheetId="36">5</definedName>
    <definedName name="EOLICA_EOLICA_COSTA_ADENTRO_RESTO_PAIS" localSheetId="36">6</definedName>
    <definedName name="EOLICA_EOLICA_COSTA_AFUERA" localSheetId="36">7</definedName>
    <definedName name="ESTUFA_ELECTRICA">3</definedName>
    <definedName name="ESTUFAS_GAS">2</definedName>
    <definedName name="EV" localSheetId="47">4</definedName>
    <definedName name="EV_BUSES_BRT" localSheetId="47">3</definedName>
    <definedName name="EV_ST_DISTRIBU_TECNOLOGIA" localSheetId="47">6</definedName>
    <definedName name="FACTOR_ACTIVIDAD_CARGA_INTERURBANA_POR_TECNOLOGIA" localSheetId="48">TRANS_CAR!$F$585:$M$593</definedName>
    <definedName name="FACTOR_ACTIVIDAD_CARGA_URBANA_POR_TECNOLOGIA" localSheetId="48">TRANS_CAR!$F$571:$M$579</definedName>
    <definedName name="FACTOR_DE_PRODUCCION_ESTIERCOL_KG">GANA_!$E$111</definedName>
    <definedName name="FE_AGRICULTURA_QUEMA_DE_BIOMASA_CH4">DGEN_FE!$G$658</definedName>
    <definedName name="FE_AGRICULTURA_QUEMA_DE_BIOMASA_N2O">DGEN_FE!$G$659</definedName>
    <definedName name="FE_AVIACION_CH4_QUEROSENO">DGEN_FE!$G$496</definedName>
    <definedName name="FE_AVIACION_CO2_QUEROSENO">DGEN_FE!$G$446</definedName>
    <definedName name="FE_AVIACION_N2O_QUEROSENO">DGEN_FE!$G$546</definedName>
    <definedName name="FE_COMBUSTION_REFINACION_CREUDO_CH4_CARBON_MINERAL_KGCH4_TJ">DGEN_FE!$F$112</definedName>
    <definedName name="FE_COMBUSTION_REFINACION_CREUDO_CH4_DIESEL_OIL_KGCH4_TJ">DGEN_FE!$F$114</definedName>
    <definedName name="FE_COMBUSTION_REFINACION_CREUDO_CH4_FUEL_OIL_KGCH4_TJ">DGEN_FE!$F$111</definedName>
    <definedName name="FE_COMBUSTION_REFINACION_CREUDO_CH4_GAS_NATURAL_KGCH4_TJ">DGEN_FE!$F$116</definedName>
    <definedName name="FE_COMBUSTION_REFINACION_CREUDO_CH4_GAS_REFINERIA_KGCH4_TJ">DGEN_FE!$F$113</definedName>
    <definedName name="FE_COMBUSTION_REFINACION_CREUDO_CH4_GASOLINA_MOTORES_KGCH4_TJ">DGEN_FE!$F$109</definedName>
    <definedName name="FE_COMBUSTION_REFINACION_CREUDO_CH4_GLP_KGCH4_TJ">DGEN_FE!$F$108</definedName>
    <definedName name="FE_COMBUSTION_REFINACION_CREUDO_CH4_PETROLEO_KGCH4_TJ">DGEN_FE!$F$110</definedName>
    <definedName name="FE_COMBUSTION_REFINACION_CREUDO_CH4_QUEROSENO_MOTORES_KGCH4_TJ">DGEN_FE!$F$115</definedName>
    <definedName name="FE_COMBUSTION_REFINACION_CREUDO_CO2_CARBON_MINERAL_CO2_TJ">DGEN_FE!$F$100</definedName>
    <definedName name="FE_COMBUSTION_REFINACION_CREUDO_CO2_DIESEL_OIL_CO2_TJ">DGEN_FE!$F$102</definedName>
    <definedName name="FE_COMBUSTION_REFINACION_CREUDO_CO2_FUEL_OIL_CO2_TJ">DGEN_FE!$F$99</definedName>
    <definedName name="FE_COMBUSTION_REFINACION_CREUDO_CO2_GAS_NATURAL_CO2_TJ">DGEN_FE!$F$104</definedName>
    <definedName name="FE_COMBUSTION_REFINACION_CREUDO_CO2_GAS_REFINERIA_CO2_TJ">DGEN_FE!$F$101</definedName>
    <definedName name="FE_COMBUSTION_REFINACION_CREUDO_CO2_GASOLINA_MOTORES_CO2_TJ">DGEN_FE!$F$97</definedName>
    <definedName name="FE_COMBUSTION_REFINACION_CREUDO_CO2_GLP_CO2_TJ">DGEN_FE!$F$96</definedName>
    <definedName name="FE_COMBUSTION_REFINACION_CREUDO_CO2_PETROLEO_CO2_TJ">DGEN_FE!$F$98</definedName>
    <definedName name="FE_COMBUSTION_REFINACION_CREUDO_CO2_QUEROSENO_CO2_TJ">DGEN_FE!$F$103</definedName>
    <definedName name="FE_COMBUSTION_REFINACION_CREUDO_N2O_CARBON_MINERAL_KGN2O_TJ">DGEN_FE!$F$124</definedName>
    <definedName name="FE_COMBUSTION_REFINACION_CREUDO_N2O_DIESEL_OIL_KGN2O_TJ">DGEN_FE!$F$126</definedName>
    <definedName name="FE_COMBUSTION_REFINACION_CREUDO_N2O_FUEL_OIL_KGN2O_TJ">DGEN_FE!$F$123</definedName>
    <definedName name="FE_COMBUSTION_REFINACION_CREUDO_N2O_GAS_NATURAL_KGN2O_TJ">DGEN_FE!$F$128</definedName>
    <definedName name="FE_COMBUSTION_REFINACION_CREUDO_N2O_GAS_REFINERIA_KGN2O_TJ">DGEN_FE!$F$125</definedName>
    <definedName name="FE_COMBUSTION_REFINACION_CREUDO_N2O_GASOLINA_MOTORES_KGN2O_TJ">DGEN_FE!$F$121</definedName>
    <definedName name="FE_COMBUSTION_REFINACION_CREUDO_N2O_GLP_KGN2O_TJ">DGEN_FE!$F$120</definedName>
    <definedName name="FE_COMBUSTION_REFINACION_CREUDO_N2O_PETROLEO_KGN2O_TJ">DGEN_FE!$F$122</definedName>
    <definedName name="FE_COMBUSTION_REFINACION_CREUDO_N2O_QUEROSENO_MOTORES_KGN2O_TJ">DGEN_FE!$F$127</definedName>
    <definedName name="FE_CRUDO_PERFORACION_POZO_CH4_MT_TPC">DGEN_FE!$F$40</definedName>
    <definedName name="FE_CRUDO_PERFORACION_POZO_CO2_GG_DA">DGEN_FE!$F$30</definedName>
    <definedName name="FE_CRUDO_PERFORACION_POZO_N2O_MT_TPC">DGEN_FE!$F$50</definedName>
    <definedName name="FE_CRUDO_PRODUCCION_CH4_MT_TPC">DGEN_FE!$F$43</definedName>
    <definedName name="FE_CRUDO_PRODUCCION_CO2_MT_TPC">DGEN_FE!$F$33</definedName>
    <definedName name="FE_CRUDO_PRODUCCION_N2O_MT_TPC">DGEN_FE!$F$53</definedName>
    <definedName name="FE_CRUDO_PRUEBA_POZO_CH4_MT_TPC">DGEN_FE!$F$41</definedName>
    <definedName name="FE_CRUDO_PRUEBA_POZO_CO2_MT_TPC">DGEN_FE!$F$31</definedName>
    <definedName name="FE_CRUDO_PRUEBA_POZO_N2O_MT_TPC">DGEN_FE!$F$51</definedName>
    <definedName name="FE_CRUDO_REFINACION_CH4_MT_TPC">DGEN_FE!$F$46</definedName>
    <definedName name="FE_CRUDO_REFINACION_CO2_MT_TPC">DGEN_FE!$F$36</definedName>
    <definedName name="FE_CRUDO_REFINACION_N2O_MT_TPC">DGEN_FE!$F$56</definedName>
    <definedName name="FE_CRUDO_SERVICIO_POZO_CH4_MT_TPC">DGEN_FE!$F$42</definedName>
    <definedName name="FE_CRUDO_SERVICIO_POZO_CO2_MT_TPC">DGEN_FE!$F$32</definedName>
    <definedName name="FE_CRUDO_SERVICIO_POZO_N2O_MT_TPC">DGEN_FE!$F$52</definedName>
    <definedName name="FE_CRUDO_TRANSPORTE_GLP_CH4_MT_TPC">DGEN_FE!$F$44</definedName>
    <definedName name="FE_CRUDO_TRANSPORTE_GLP_CO2_MT_TPC">DGEN_FE!$F$34</definedName>
    <definedName name="FE_CRUDO_TRANSPORTE_GLP_N2O_MT_TPC">DGEN_FE!$F$54</definedName>
    <definedName name="FE_CRUDO_TRANSPORTE_OLEODUCTO_CH4_MT_TPC">DGEN_FE!$F$45</definedName>
    <definedName name="FE_CRUDO_TRANSPORTE_OLEODUCTO_CO2_MT_TPC">DGEN_FE!$F$35</definedName>
    <definedName name="FE_CRUDO_TRANSPORTE_OLEODUCTO_N2O_MT_TPC">DGEN_FE!$F$55</definedName>
    <definedName name="FE_EDIFICACIONES_COMERCIAL_DIESEL_CH4">DGEN_FE!$G$385</definedName>
    <definedName name="FE_EDIFICACIONES_COMERCIAL_DIESEL_CO2">DGEN_FE!$G$377</definedName>
    <definedName name="FE_EDIFICACIONES_COMERCIAL_DIESEL_N2O">DGEN_FE!$G$393</definedName>
    <definedName name="FE_EDIFICACIONES_COMERCIAL_FUEL_OIL_CH4">DGEN_FE!$G$386</definedName>
    <definedName name="FE_EDIFICACIONES_COMERCIAL_FUEL_OIL_CO2">DGEN_FE!$G$378</definedName>
    <definedName name="FE_EDIFICACIONES_COMERCIAL_FUEL_OIL_N2O">DGEN_FE!$G$394</definedName>
    <definedName name="FE_EDIFICACIONES_COMERCIAL_GLP_CH4_TJ">DGEN_FE!$G$382</definedName>
    <definedName name="FE_EDIFICACIONES_COMERCIAL_GLP_CO2_TJ">DGEN_FE!$G$374</definedName>
    <definedName name="FE_EDIFICACIONES_COMERCIAL_GLP_N2O_TJ">DGEN_FE!$G$390</definedName>
    <definedName name="FE_EDIFICACIONES_COMERCIAL_GN_CH4_TJ">DGEN_FE!$G$383</definedName>
    <definedName name="FE_EDIFICACIONES_COMERCIAL_GN_CO2_TJ">DGEN_FE!$G$375</definedName>
    <definedName name="FE_EDIFICACIONES_COMERCIAL_GN_N2O_TJ">DGEN_FE!$G$391</definedName>
    <definedName name="FE_EDIFICACIONES_COMERCIAL_QUEROSENO_CH4">DGEN_FE!$G$384</definedName>
    <definedName name="FE_EDIFICACIONES_COMERCIAL_QUEROSENO_CO2">DGEN_FE!$G$376</definedName>
    <definedName name="FE_EDIFICACIONES_COMERCIAL_QUEROSENO_N2O">DGEN_FE!$G$392</definedName>
    <definedName name="FE_EDIFICACIONES_RESIDENCIAL_GAS_NATURAL_CH4">DGEN_FE!$G$356</definedName>
    <definedName name="FE_EDIFICACIONES_RESIDENCIAL_GAS_NATURAL_CO2">DGEN_FE!$G$346</definedName>
    <definedName name="FE_EDIFICACIONES_RESIDENCIAL_GAS_NATURAL_N2O">DGEN_FE!$G$366</definedName>
    <definedName name="FE_EDIFICACIONES_RESIDENCIAL_GLP_CH4">DGEN_FE!$G$354</definedName>
    <definedName name="FE_EDIFICACIONES_RESIDENCIAL_GLP_CO2">DGEN_FE!$G$342</definedName>
    <definedName name="FE_EDIFICACIONES_RESIDENCIAL_GLP_N2O">DGEN_FE!$G$364</definedName>
    <definedName name="FE_EDIFICACIONES_RESIDENCIAL_LENA_CH4">DGEN_FE!$G$357</definedName>
    <definedName name="FE_EDIFICACIONES_RESIDENCIAL_LENA_CO2">DGEN_FE!$G$347</definedName>
    <definedName name="FE_EDIFICACIONES_RESIDENCIAL_LENA_N2O">DGEN_FE!$G$367</definedName>
    <definedName name="FE_GAS_DISTRIBUCION_CH4_MT_CO2E_TPC">DGEN_FE!$F$79</definedName>
    <definedName name="FE_GAS_DISTRIBUCION_CO2_MT_CO2E_TPC">DGEN_FE!$F$69</definedName>
    <definedName name="FE_GAS_DISTRIBUCION_N2O_MT_CO2E_TPC">DGEN_FE!$F$89</definedName>
    <definedName name="FE_GAS_PERFORACION_POZO_CH4_MT_CO2E_TPC">DGEN_FE!$F$73</definedName>
    <definedName name="FE_GAS_PERFORACION_POZO_CO2_CO2E_TPC">DGEN_FE!$F$63</definedName>
    <definedName name="FE_GAS_PERFORACION_POZO_N2O_MT_CO2E_TPC">DGEN_FE!$F$83</definedName>
    <definedName name="FE_GAS_PROCESAMIENTO_GAS_GAS_CH4_MT_CO2E_TPC">DGEN_FE!$F$78</definedName>
    <definedName name="FE_GAS_PROCESAMIENTO_GAS_GAS_CO2_MT_CO2E_TPC">DGEN_FE!$F$68</definedName>
    <definedName name="FE_GAS_PROCESAMIENTO_GAS_GAS_N2O_MT_CO2E_TPC">DGEN_FE!$F$88</definedName>
    <definedName name="FE_GAS_PRODUCCION_GAS_CH4_MT_CO2E_TPC">DGEN_FE!$F$76</definedName>
    <definedName name="FE_GAS_PRODUCCION_GAS_CO2_MT_CO2E_TPC">DGEN_FE!$F$66</definedName>
    <definedName name="FE_GAS_PRODUCCION_GAS_N2O_MT_CO2E_TPC">DGEN_FE!$F$86</definedName>
    <definedName name="FE_GAS_PRUEBA_POZO_CH4_MT_CO2E_TPC">DGEN_FE!$F$74</definedName>
    <definedName name="FE_GAS_PRUEBA_POZO_CO2_MT_CO2E_TPC">DGEN_FE!$F$64</definedName>
    <definedName name="FE_GAS_PRUEBA_POZO_N2O_MT_CO2E_TPC">DGEN_FE!$F$84</definedName>
    <definedName name="FE_GAS_SERVICIO_POZO_CH4_MT_CO2E_TPC">DGEN_FE!$F$75</definedName>
    <definedName name="FE_GAS_SERVICIO_POZO_CO2_MT_CO2E_TPC">DGEN_FE!$F$65</definedName>
    <definedName name="FE_GAS_SERVICIO_POZO_N2O_MT_CO2E_TPC">DGEN_FE!$F$85</definedName>
    <definedName name="FE_GAS_TRANSMISION_ALMACENAMIENTO_GAS_CH4_MT_CO2E_TPC">DGEN_FE!$F$77</definedName>
    <definedName name="FE_GAS_TRANSMISION_ALMACENAMIENTO_GAS_CO2_MT_CO2E_TPC">DGEN_FE!$F$67</definedName>
    <definedName name="FE_GAS_TRANSMISION_ALMACENAMIENTO_GAS_N2O_MT_CO2E_TPC">DGEN_FE!$F$87</definedName>
    <definedName name="FE_GENERACION_DIESEL_MTCO2_TWH">DGEN_FE!$H$16</definedName>
    <definedName name="FE_GENERACION_ESTIERCOL_CG">GANA_!$F$111</definedName>
    <definedName name="FE_GENERACION_FUEL_OIL_MTCO2_TWH">DGEN_FE!$H$17</definedName>
    <definedName name="FE_GENERACION_TERMOELECTRICA_CARBON_CCUS_MTCO2_TWH">DGEN_FE!$H$21</definedName>
    <definedName name="FE_GENERACION_TERMOELECTRICA_CARBON_MTCO2_TWH">DGEN_FE!$H$15</definedName>
    <definedName name="FE_GENERACION_TERMOELECTRICA_GAS_NATURAL_CCUS_MTCO2_TWH">DGEN_FE!$H$20</definedName>
    <definedName name="FE_GENERACION_TERMOELECTRICA_GAS_NATURAL_MTCO2_TWH">DGEN_FE!$H$14</definedName>
    <definedName name="FE_INCINERACION">RES_SOL!$J$210</definedName>
    <definedName name="FE_INCINERACION_CH4">RES_SOL!$G$214</definedName>
    <definedName name="FE_INCINERACION_N2O">RES_SOL!$G$218</definedName>
    <definedName name="FE_INCINERACION_RSM">RES_SOL!$J$210</definedName>
    <definedName name="FE_INDUSTRIA_CH4_BAGAZO">DGEN_FE!$G$219</definedName>
    <definedName name="FE_INDUSTRIA_CH4_BIODIESEL">DGEN_FE!$G$226</definedName>
    <definedName name="FE_INDUSTRIA_CH4_CARBON_MINERAL">DGEN_FE!$G$216</definedName>
    <definedName name="FE_INDUSTRIA_CH4_CARBON_VEGETAL">DGEN_FE!$G$220</definedName>
    <definedName name="FE_INDUSTRIA_CH4_COQUE">DGEN_FE!$G$217</definedName>
    <definedName name="FE_INDUSTRIA_CH4_DIESEL_OIL">DGEN_FE!$G$224</definedName>
    <definedName name="FE_INDUSTRIA_CH4_FUEL_OIL">DGEN_FE!$G$225</definedName>
    <definedName name="FE_INDUSTRIA_CH4_GAS_NATURAL">DGEN_FE!$G$229</definedName>
    <definedName name="FE_INDUSTRIA_CH4_GASOLINA">DGEN_FE!$G$222</definedName>
    <definedName name="FE_INDUSTRIA_CH4_GLP">DGEN_FE!$G$227</definedName>
    <definedName name="FE_INDUSTRIA_CH4_LENA">DGEN_FE!$G$218</definedName>
    <definedName name="FE_INDUSTRIA_CH4_PETROLEP">DGEN_FE!$G$221</definedName>
    <definedName name="FE_INDUSTRIA_CH4_QUEROSENO">DGEN_FE!$G$223</definedName>
    <definedName name="FE_INDUSTRIA_CH4_RESIDUOS">DGEN_FE!$G$230</definedName>
    <definedName name="FE_INDUSTRIA_CO2_BAGAZO">DGEN_FE!$G$197</definedName>
    <definedName name="FE_INDUSTRIA_CO2_BIODIESEL">DGEN_FE!$G$205</definedName>
    <definedName name="FE_INDUSTRIA_CO2_CARBON_MINERAL">DGEN_FE!$G$195</definedName>
    <definedName name="FE_INDUSTRIA_CO2_CARBON_VEGETAL">DGEN_FE!$G$201</definedName>
    <definedName name="FE_INDUSTRIA_CO2_COQUE">DGEN_FE!$G$196</definedName>
    <definedName name="FE_INDUSTRIA_CO2_DIESEL_OIL">DGEN_FE!$G$209</definedName>
    <definedName name="FE_INDUSTRIA_CO2_FUEL_OIL">DGEN_FE!$G$210</definedName>
    <definedName name="FE_INDUSTRIA_CO2_GAS_NATURAL">DGEN_FE!$G$206</definedName>
    <definedName name="FE_INDUSTRIA_CO2_GASOLINA">DGEN_FE!$G$203</definedName>
    <definedName name="FE_INDUSTRIA_CO2_GLP">DGEN_FE!$G$211</definedName>
    <definedName name="FE_INDUSTRIA_CO2_LEÑA">DGEN_FE!$G$208</definedName>
    <definedName name="FE_INDUSTRIA_CO2_PETROLEO">DGEN_FE!$G$202</definedName>
    <definedName name="FE_INDUSTRIA_CO2_QUEROSENO">DGEN_FE!$G$204</definedName>
    <definedName name="FE_INDUSTRIA_CO2_RESIDUOS">DGEN_FE!$G$207</definedName>
    <definedName name="FE_INDUSTRIA_N2O_BAGAZO">DGEN_FE!$G$237</definedName>
    <definedName name="FE_INDUSTRIA_N2O_BIODIESEL">DGEN_FE!$G$244</definedName>
    <definedName name="FE_INDUSTRIA_N2O_CARBON_MINERAL">DGEN_FE!$G$234</definedName>
    <definedName name="FE_INDUSTRIA_N2O_CARBON_VEGETAL">DGEN_FE!$G$238</definedName>
    <definedName name="FE_INDUSTRIA_N2O_COQUE">DGEN_FE!$G$235</definedName>
    <definedName name="FE_INDUSTRIA_N2O_DIESEL_OIL">DGEN_FE!$G$242</definedName>
    <definedName name="FE_INDUSTRIA_N2O_FUEL_OIL">DGEN_FE!$G$243</definedName>
    <definedName name="FE_INDUSTRIA_N2O_GAS_NATURAL">DGEN_FE!$G$247</definedName>
    <definedName name="FE_INDUSTRIA_N2O_GASOLINA">DGEN_FE!$G$240</definedName>
    <definedName name="FE_INDUSTRIA_N2O_GLP">DGEN_FE!$G$245</definedName>
    <definedName name="FE_INDUSTRIA_N2O_LENA">DGEN_FE!$G$236</definedName>
    <definedName name="FE_INDUSTRIA_N2O_PETROLEO">DGEN_FE!$G$239</definedName>
    <definedName name="FE_INDUSTRIA_N2O_QUEROSENO">DGEN_FE!$G$241</definedName>
    <definedName name="FE_INDUSTRIA_N2O_RESIDUOS">DGEN_FE!$G$248</definedName>
    <definedName name="FE_PROD_CARBON_EXTRACCION_CIELO_ABIERTO_M3_CH4_T" localSheetId="33">ENER_CombFosil!$G$143</definedName>
    <definedName name="FE_PROD_CARBON_EXTRACCION_SUBTERRANEA_M3_CO2_T" localSheetId="33">ENER_CombFosil!$G$145</definedName>
    <definedName name="FE_PROD_CARBON_EXTRACCION_SUBTERRANEA_VENTEO_M3_CH4_T" localSheetId="33">ENER_CombFosil!$G$141</definedName>
    <definedName name="FE_PROD_CARBON_POST_EXTRACCION_CIELO_ABIERTO" localSheetId="33">ENER_CombFosil!$G$144</definedName>
    <definedName name="FE_PROD_CARBON_POST_EXTRACCION_SUBTERRANEA_M3_CH4_T" localSheetId="33">ENER_CombFosil!$G$142</definedName>
    <definedName name="FE_PROD_CARBON_POST_EXTRACCION_SUBTERRANEA_M3_CO2_T" localSheetId="33">ENER_CombFosil!$G$146</definedName>
    <definedName name="FE_PRODUCCION_C_AMONIACO">DGEN_FE!$G$151*DGEN_FE!$G$147</definedName>
    <definedName name="FE_PRODUCCION_CEMENTO_CO2">DGEN_FE!$G$167</definedName>
    <definedName name="FE_PRODUCCION_CEMENTO_CO2_CFCKD">DGEN_FE!$G$171</definedName>
    <definedName name="FE_PRODUCCION_CH4_ACERO">DGEN_FE!$G$141</definedName>
    <definedName name="FE_PRODUCCION_CO2_ACERO">DGEN_FE!$G$137</definedName>
    <definedName name="FE_PRODUCCION_CO2_CAL">DGEN_FE!$G$161</definedName>
    <definedName name="FE_PRODUCCION_CO2_FERRONIQUEL">DGEN_FE!$G$177</definedName>
    <definedName name="FE_PRODUCCION_CO2_PLOMO">DGEN_FE!$G$189</definedName>
    <definedName name="FE_PRODUCCION_CO2_VIDRIO">DGEN_FE!$G$183</definedName>
    <definedName name="FE_RES_SOL_TMB_CH4">DGEN_FE!$G$297</definedName>
    <definedName name="FE_RES_SOL_TMB_N2O">DGEN_FE!$G$300</definedName>
    <definedName name="FE_TRANSPORTE_MARITIMO_FLUVIAL_CH4_DIESEL">DGEN_FE!$G$609</definedName>
    <definedName name="FE_TRANSPORTE_MARITIMO_FLUVIAL_CO2_DIESEL">DGEN_FE!$G$602</definedName>
    <definedName name="FE_TRANSPORTE_MARITIMO_FLUVIAL_N2O_DIESEL">DGEN_FE!$G$616</definedName>
    <definedName name="FE_TRANSPORTE_TERRESTRE_CH4_DIESEL">DGEN_FE!$G$636</definedName>
    <definedName name="FE_TRANSPORTE_TERRESTRE_CH4_GAS_NATURAL">DGEN_FE!$G$638</definedName>
    <definedName name="FE_TRANSPORTE_TERRESTRE_CH4_GASOLINA_MOTOCICLETAS">DGEN_FE!$G$640</definedName>
    <definedName name="FE_TRANSPORTE_TERRESTRE_CH4_GASOLINA_MOTORES">DGEN_FE!$G$639</definedName>
    <definedName name="FE_TRANSPORTE_TERRESTRE_CO2_DIESEL">DGEN_FE!$G$626</definedName>
    <definedName name="FE_TRANSPORTE_TERRESTRE_CO2_GAS_NATURAL">DGEN_FE!$G$628</definedName>
    <definedName name="FE_TRANSPORTE_TERRESTRE_CO2_GASOLINA_MOTOCICLETAS">DGEN_FE!$G$629</definedName>
    <definedName name="FE_TRANSPORTE_TERRESTRE_CO2_GASOLINA_MOTORES">DGEN_FE!$G$630</definedName>
    <definedName name="FE_TRANSPORTE_TERRESTRE_CO2_MOTORES">DGEN_FE!$G$630</definedName>
    <definedName name="FE_TRANSPORTE_TERRESTRE_N2O_DIESEL">DGEN_FE!$G$646</definedName>
    <definedName name="FE_TRANSPORTE_TERRESTRE_N2O_GAS_NATURAL">DGEN_FE!$G$648</definedName>
    <definedName name="FE_TRANSPORTE_TERRESTRE_N2O_GASOLINA_MOTOCICLETAS">DGEN_FE!$G$650</definedName>
    <definedName name="FE_TRANSPORTE_TERRESTRE_N2O_GASOLINA_MOTORES">DGEN_FE!$G$649</definedName>
    <definedName name="FERREO" localSheetId="47">8</definedName>
    <definedName name="FRIO">1</definedName>
    <definedName name="FUEL_OIL" localSheetId="36">4</definedName>
    <definedName name="GAL_LITRO" localSheetId="27">DGEN_CONSTANTES!$H$81</definedName>
    <definedName name="GASOLINA">DGEN_FE!$G$203</definedName>
    <definedName name="GASOLINA_PODER_CALORIFICO" localSheetId="27">DGEN_CONSTANTES!$G$25</definedName>
    <definedName name="GEN_HOGARES">DGEN_SupuestosGen!$E$11:$L$11</definedName>
    <definedName name="GEN_HOGARES_URBANOS_NUEVOS">DGEN_SupuestosGen!$E$31:$L$34</definedName>
    <definedName name="GEN_POBLACION">DGEN_SupuestosGen!$E$10:$L$10</definedName>
    <definedName name="GEN_POBLACION_CABECERA">DGEN_SupuestosGen!$E$12:$L$12</definedName>
    <definedName name="GEN_PORCENTAJE_HOGARES_POR_ZONA_CLIMATICA" localSheetId="30">DGEN_SupuestosCostos!$E$289:$E$331</definedName>
    <definedName name="GEN_PORCENTAJE_HOGARES_POR_ZONA_CLIMATICA">DGEN_SupuestosGen!$E$21:$E$24</definedName>
    <definedName name="GEN_PORCENTAJE_POBLACION_URBANA">DGEN_SupuestosGen!$E$14:$L$14</definedName>
    <definedName name="GENERACION_CH4_KG_DBO_NO_TRATADO" localSheetId="41">RES_AGU!$G$126</definedName>
    <definedName name="GENERACION_CH4_KG_DBO_TRATADO" localSheetId="41">RES_AGU!$G$121</definedName>
    <definedName name="GENERACIÓN_DBO_AGUA_DOMESTICA_NO_TRATADA" localSheetId="41">RES_AGU!$G$106</definedName>
    <definedName name="GENERACIÓN_DBO_AGUA_DOMESTICA_TRATADA" localSheetId="32">DGEN_FE!$G$352</definedName>
    <definedName name="GENERACIÓN_DBO_AGUA_DOMESTICA_TRATADA" localSheetId="41">RES_AGU!$G$101</definedName>
    <definedName name="GENERACIÓN_DBO_AGUA_INDUSTRIAL_NO_TRATADA" localSheetId="41">RES_AGU!$G$116</definedName>
    <definedName name="GENERACIÓN_DBO_AGUA_INDUSTRIAL_TRATADA" localSheetId="32">DGEN_FE!$G$362</definedName>
    <definedName name="GENERACIÓN_DBO_AGUA_INDUSTRIAL_TRATADA" localSheetId="41">RES_AGU!$G$111</definedName>
    <definedName name="GENERACION_METANO_ZONA_CLIMATICA_1" localSheetId="40">RES_SOL!$G$142:$G$146</definedName>
    <definedName name="GENERACION_METANO_ZONA_CLIMATICA_2" localSheetId="40">RES_SOL!$G$151:$G$155</definedName>
    <definedName name="GENERACION_METANO_ZONA_CLIMATICA_3" localSheetId="40">RES_SOL!$G$160:$G$164</definedName>
    <definedName name="GENERACION_METANO_ZONA_CLIMATICA_4" localSheetId="40">RES_SOL!$G$169:$G$173</definedName>
    <definedName name="GESTION_RELLENO_SANITARIO" localSheetId="40">RES_SOL!$F$447:$M$449</definedName>
    <definedName name="GLP" localSheetId="36">6</definedName>
    <definedName name="GLP_ST_DISTRIBU_TECNOLOGIA" localSheetId="47">5</definedName>
    <definedName name="GN" localSheetId="47">5</definedName>
    <definedName name="GN_BUSES_BRT" localSheetId="47">4</definedName>
    <definedName name="GN_COMPRIMIDO" localSheetId="48">3</definedName>
    <definedName name="GN_LICUADO" localSheetId="48">4</definedName>
    <definedName name="GN_ST_DISTRIBU_TECNOLOGIA" localSheetId="47">4</definedName>
    <definedName name="H2_ST_DISTRIBU_TECNOLOGIA" localSheetId="47">7</definedName>
    <definedName name="HEV_BUSES_BRT" localSheetId="47">2</definedName>
    <definedName name="HIDRO_GRANDES_CENTRALES_HIDROELECTRICAS" localSheetId="36">1</definedName>
    <definedName name="HIDRO_PEQUEÑAS_CENTRALES_HIDROELECTRICAS" localSheetId="36">2</definedName>
    <definedName name="HIDROGENO_VERDE" localSheetId="36">8</definedName>
    <definedName name="HORAS_OPERACION_AÑO" localSheetId="36">'ELECT_ Electricidad'!$G$158</definedName>
    <definedName name="ICE_DIESEL" localSheetId="47">2</definedName>
    <definedName name="ICE_GASOLINA" localSheetId="47">1</definedName>
    <definedName name="ICE_GASOLINA_BUSES_BRT" localSheetId="47">1</definedName>
    <definedName name="Incandescente">1</definedName>
    <definedName name="INCINERACION" localSheetId="40">6</definedName>
    <definedName name="LED">2</definedName>
    <definedName name="LFC">3</definedName>
    <definedName name="MADERA" localSheetId="40">3</definedName>
    <definedName name="MATERIA_ORGANICA" localSheetId="40">1</definedName>
    <definedName name="METANO_GENERADO_ZONA_CLIMATICA_1" localSheetId="40">RES_SOL!$F$460:$M$460</definedName>
    <definedName name="METANO_GENERADO_ZONA_CLIMATICA_2" localSheetId="40">RES_SOL!$F$467:$M$467</definedName>
    <definedName name="METANO_GENERADO_ZONA_CLIMATICA_3" localSheetId="40">RES_SOL!$F$474:$M$474</definedName>
    <definedName name="METANO_GENERADO_ZONA_CLIMATICA_4" localSheetId="40">RES_SOL!$F$481:$M$481</definedName>
    <definedName name="MOTO_EV">3</definedName>
    <definedName name="MOTOS" localSheetId="47">5</definedName>
    <definedName name="NACIONAL" localSheetId="53">6</definedName>
    <definedName name="NEVERAS">1</definedName>
    <definedName name="ORINOQUIA" localSheetId="53">5</definedName>
    <definedName name="OTROS" localSheetId="47">9</definedName>
    <definedName name="OTROS_ILUMINACION">4</definedName>
    <definedName name="PACIFICO" localSheetId="53">4</definedName>
    <definedName name="PAPEL" localSheetId="40">2</definedName>
    <definedName name="PCB_CARBON_MINERAL_TWH_KG">DGEN_CONSTANTES!$G$10</definedName>
    <definedName name="PCB_GAS_NATURAL_KG_A_TWH">DGEN_CONSTANTES!$G$11</definedName>
    <definedName name="PCB_PETROLEO_L_A_TWH">DGEN_CONSTANTES!$G$13</definedName>
    <definedName name="PCG_CH4">IF(AJUSTES_PCG_="AR 5",PCG_CH4_AR5,PCG_CH4_AR6)</definedName>
    <definedName name="PCG_CH4_AR5">DGEN_CONSTANTES!$F$67</definedName>
    <definedName name="PCG_CH4_AR6">DGEN_CONSTANTES!$H$67</definedName>
    <definedName name="PCG_CO2">IF(AJUSTES_PCG_="AR 5",PCG_CO2_AR5,PCG_CO2_AR6)</definedName>
    <definedName name="PCG_CO2_AR5">DGEN_CONSTANTES!$F$66</definedName>
    <definedName name="PCG_CO2_AR6">DGEN_CONSTANTES!$H$66</definedName>
    <definedName name="PCG_N2O">IF(AJUSTES_PCG_="AR 5",PCG_N2O_AR5,PCG_N2O_AR6)</definedName>
    <definedName name="PCG_N2O_AR5">DGEN_CONSTANTES!$F$68</definedName>
    <definedName name="PCG_N2O_AR6">DGEN_CONSTANTES!$H$68</definedName>
    <definedName name="PETROLEO" localSheetId="36">5</definedName>
    <definedName name="PHEV" localSheetId="47">3</definedName>
    <definedName name="PLANTA_DE_TRATAMIENTO" localSheetId="40">3</definedName>
    <definedName name="PORCENTAJE_METANO_BIOGÁS" localSheetId="40">RES_SOL!$H$180</definedName>
    <definedName name="POTENCIAL_REDUCCION_MANEJO_EFICIENTE_AGUA_CULTIVO_ARROZ_TCO2_HA">DGEN_FE!$F$671</definedName>
    <definedName name="POTENCIAL_REDUCCION_PLANTACIONES_MANGO_AGUACATE_TCO2_HA">DGEN_FE!$F$669</definedName>
    <definedName name="POTENCIAL_REDUCCION_SISTEMAS_AGROFORESTALES_TCO2_HA">DGEN_FE!$F$667</definedName>
    <definedName name="POTENCIAL_REDUCCION_USO_BIODIGESTORES_TCO2_HA">DGEN_FE!$F$670</definedName>
    <definedName name="POTENCIAL_REDUCCION_USO_EFICIENTE_FERTILIZANTES_TCO2_HA">DGEN_FE!$F$668</definedName>
    <definedName name="QUEMA_BIOGAS" localSheetId="40">2</definedName>
    <definedName name="RECICLADO" localSheetId="40">7</definedName>
    <definedName name="RELLENO_SANITARIO_CONTROLADO" localSheetId="40">1</definedName>
    <definedName name="RESIDUOS_SOLIDOS" localSheetId="40">5</definedName>
    <definedName name="SALIDA_BOSQUES_TOTAL_DEFORECTADA_ACUMULADA">BOSQ_!$E$210:$L$210</definedName>
    <definedName name="SALIDA_BOSQUES_TOTAL_REFORESTACIÓN_COMERCIAL">BOSQ_!$E$213:$L$213</definedName>
    <definedName name="SALIDA_BOSQUES_TOTAL_REFORESTACION_PROTECTORA">BOSQ_!#REF!</definedName>
    <definedName name="SALIDA_DEMANADA_RES_AGU_ELECTRICIDAD">RES_AGU!$F$359:$M$359</definedName>
    <definedName name="SALIDA_DEMANDA_AGUAS_RES_ENERGETICO">RES_AGU!$F$202:$M$202</definedName>
    <definedName name="SALIDA_DEMANDA_EDI_COM_AEC_ACONDICIONAMIENTO">EDI_COM_AEC!$F$159:$M$159</definedName>
    <definedName name="SALIDA_DEMANDA_EDI_COM_AEC_ELECTRICIDAD">EDI_COM_AEC!$F$160:$M$160</definedName>
    <definedName name="SALIDA_DEMANDA_EDI_COM_UTE_CONSUMOTOTAL">EDI_COM_UTE!$F$258:$M$258</definedName>
    <definedName name="SALIDA_DEMANDA_EDI_COM_UTE_DIESEL">EDI_COM_UTE!$F$265:$M$265</definedName>
    <definedName name="SALIDA_DEMANDA_EDI_COM_UTE_ELECTRICIDAD">EDI_COM_UTE!$F$259:$M$259</definedName>
    <definedName name="SALIDA_DEMANDA_EDI_COM_UTE_FUELOIL">EDI_COM_UTE!$F$266:$M$266</definedName>
    <definedName name="SALIDA_DEMANDA_EDI_COM_UTE_GLP">EDI_COM_UTE!$F$263:$M$263</definedName>
    <definedName name="SALIDA_DEMANDA_EDI_COM_UTE_GN">EDI_COM_UTE!$F$261:$M$261</definedName>
    <definedName name="SALIDA_DEMANDA_EDI_COM_UTE_PETROLEO">EDI_COM_UTE!$F$262:$M$262</definedName>
    <definedName name="SALIDA_DEMANDA_EDI_COM_UTE_QUEROSENO">EDI_COM_UTE!$F$264:$M$264</definedName>
    <definedName name="SALIDA_DEMANDA_EDI_RES_RURAL_CONSUMOTOTAL">EDI_RES_RURAL!$F$62:$M$62</definedName>
    <definedName name="SALIDA_DEMANDA_EDI_RES_RURAL_ELECTRICIDAD">EDI_RES_RURAL!$F$63:$M$63</definedName>
    <definedName name="SALIDA_DEMANDA_EDI_RES_RURAL_HIDROCARBUROS_GLP">EDI_RES_RURAL!$F$64:$M$64</definedName>
    <definedName name="SALIDA_DEMANDA_EDI_RES_RURAL_LEÑA">EDI_RES_RURAL!$F$65:$M$65</definedName>
    <definedName name="SALIDA_DEMANDA_EDI_RES_URB_AER_ACONDICIONAMIENTO_ESPACIOS">EDI_RES_URB_AER!$F$466:$M$466</definedName>
    <definedName name="SALIDA_DEMANDA_EDI_RES_URB_AER_ELECTRICIDAD">EDI_RES_URB_AER!$F$467:$M$467</definedName>
    <definedName name="SALIDA_DEMANDA_EDI_RES_URB_IRCO_CONSUMOTOTAL">EDI_RES_URB_IRCO!$F$703:$M$703</definedName>
    <definedName name="SALIDA_DEMANDA_EDI_RES_URB_IRCO_ELECTRICIDAD">EDI_RES_URB_IRCO!$F$704:$M$704</definedName>
    <definedName name="SALIDA_DEMANDA_EDI_RES_URB_IRCO_GLP">EDI_RES_URB_IRCO!$F$706:$M$706</definedName>
    <definedName name="SALIDA_DEMANDA_EDI_RES_URB_IRCO_GN">EDI_RES_URB_IRCO!$F$705:$M$705</definedName>
    <definedName name="SALIDA_DEMANDA_ENER_TOTAL_COMBUSTIBLES_FOSILES">ENER_CombFosil!$F$272:$M$272</definedName>
    <definedName name="SALIDA_DEMANDA_ENERG_COMBUSTIBLES_FOSILES_DIESEL">ENER_CombFosil!$F$267:$M$267</definedName>
    <definedName name="SALIDA_DEMANDA_ENERG_COMBUSTIBLES_FOSILES_FUEL_OIL">ENER_CombFosil!$F$268:$M$268</definedName>
    <definedName name="SALIDA_DEMANDA_ENERG_COMBUSTIBLES_FOSILES_GAS_NATURAL">ENER_CombFosil!$F$265:$M$265</definedName>
    <definedName name="SALIDA_DEMANDA_ENERG_COMBUSTIBLES_FOSILES_GAS_REFINERIA">ENER_CombFosil!#REF!</definedName>
    <definedName name="SALIDA_DEMANDA_ENERG_COMBUSTIBLES_FOSILES_GASOLINA_MOTOR">ENER_CombFosil!$F$270:$M$270</definedName>
    <definedName name="SALIDA_DEMANDA_ENERG_COMBUSTIBLES_FOSILES_GLP">ENER_CombFosil!$F$269:$M$269</definedName>
    <definedName name="SALIDA_DEMANDA_ENERG_COMBUSTIBLES_FOSILES_PETROLEO">ENER_CombFosil!$F$266:$M$266</definedName>
    <definedName name="SALIDA_DEMANDA_ENERG_COMBUSTIBLES_FOSILES_QUEROSENO">ENER_CombFosil!$F$271:$M$271</definedName>
    <definedName name="SALIDA_DEMANDA_IND_ALIMENTOS_Y_BEBIDAS">IND_!$E$712:$L$712</definedName>
    <definedName name="SALIDA_DEMANDA_IND_BAGAZO">IND_!$E$654:$L$654</definedName>
    <definedName name="SALIDA_DEMANDA_IND_CARBONDELEÑA">IND_!$E$662:$L$662</definedName>
    <definedName name="SALIDA_DEMANDA_IND_CARBONMINERAL">IND_!$E$655:$L$655</definedName>
    <definedName name="SALIDA_DEMANDA_IND_CEMENTO">IND_!$E$708:$L$708</definedName>
    <definedName name="SALIDA_DEMANDA_IND_CONSUMO_TOTAL_COMBUSTIBLES">IND_!$E$672:$L$672</definedName>
    <definedName name="SALIDA_DEMANDA_IND_COQUE">IND_!$E$663:$L$663</definedName>
    <definedName name="SALIDA_DEMANDA_IND_DIESEL">IND_!$E$661:$L$661</definedName>
    <definedName name="SALIDA_DEMANDA_IND_ELECTRICIDAD">IND_!$E$671:$L$671</definedName>
    <definedName name="SALIDA_DEMANDA_IND_FUELOIL">IND_!$E$664:$L$664</definedName>
    <definedName name="SALIDA_DEMANDA_IND_GASOLINA">IND_!$E$660:$L$660</definedName>
    <definedName name="SALIDA_DEMANDA_IND_GLP">IND_!$E$665:$L$665</definedName>
    <definedName name="SALIDA_DEMANDA_IND_GN">IND_!$E$656:$L$656</definedName>
    <definedName name="SALIDA_DEMANDA_IND_HIDROGENO_AZUL">IND_!$E$670:$L$670</definedName>
    <definedName name="SALIDA_DEMANDA_IND_HIDROGENO_VERDE">IND_!$E$669:$L$669</definedName>
    <definedName name="SALIDA_DEMANDA_IND_HIERRO_Y_ACERO">IND_!$E$709:$L$709</definedName>
    <definedName name="SALIDA_DEMANDA_IND_LADRILLERAS">IND_!$E$714:$L$714</definedName>
    <definedName name="SALIDA_DEMANDA_IND_LEÑA">IND_!$E$657:$L$657</definedName>
    <definedName name="SALIDA_DEMANDA_IND_OTROS_Y_PTP">IND_!$E$715:$L$715</definedName>
    <definedName name="SALIDA_DEMANDA_IND_PAPEL">IND_!$E$710:$L$710</definedName>
    <definedName name="SALIDA_DEMANDA_IND_PETROLEO">IND_!$E$658:$L$658</definedName>
    <definedName name="SALIDA_DEMANDA_IND_QUEROSENO">IND_!$E$666:$L$666</definedName>
    <definedName name="SALIDA_DEMANDA_IND_QUIMICOS">IND_!$E$711:$L$711</definedName>
    <definedName name="SALIDA_DEMANDA_IND_RESIDUOS">IND_!$E$637:$L$637+IND_!$E$659:$L$659</definedName>
    <definedName name="SALIDA_DEMANDA_IND_TEXTIL">IND_!$E$713:$L$713</definedName>
    <definedName name="SALIDA_DEMANDA_IND_TOTAL">IND_!$E$672:$L$672</definedName>
    <definedName name="SALIDA_DEMANDA_RES_AGU_DOMESTICAS">RES_AGU!$F$194:$M$194</definedName>
    <definedName name="SALIDA_DEMANDA_RES_AGU_INDUSTRIALES">RES_AGU!$F$195:$M$195</definedName>
    <definedName name="SALIDA_DEMANDA_RES_SOL_CELDACONTINGENCIA">RES_SOL!$G$331:$N$331</definedName>
    <definedName name="SALIDA_DEMANDA_RES_SOL_ELECTRICIDAD">RES_SOL!$F$554:$M$554</definedName>
    <definedName name="SALIDA_DEMANDA_RES_SOL_ELECTRICO_TOTAL">IF(SALIDA_GENERACION_RES_GENERACION&gt;0,SALIDA_GENERACION_RES_GENERACION,"0")</definedName>
    <definedName name="SALIDA_DEMANDA_RES_SOL_PLANTA_CDM">RES_SOL!$G$334:$N$334</definedName>
    <definedName name="SALIDA_DEMANDA_RES_SOL_PLANTA_INCINERACION">RES_SOL!$G$335:$N$335</definedName>
    <definedName name="SALIDA_DEMANDA_RES_SOL_PLANTA_RECICLADO">RES_SOL!$G$336:$N$336</definedName>
    <definedName name="SALIDA_DEMANDA_RES_SOL_PLANTA_TMB">RES_SOL!$G$333:$N$333</definedName>
    <definedName name="SALIDA_DEMANDA_RES_SOL_RELLENOSANITARIO">RES_SOL!$G$330:$N$330</definedName>
    <definedName name="SALIDA_DEMANDA_TRANS_AVI_AVIACION_INTERNACIONAL">TRANS_AVI!$F$59:$M$59</definedName>
    <definedName name="SALIDA_DEMANDA_TRANS_AVI_QUEROSENO">TRANS_AVI!$F$60:$M$60</definedName>
    <definedName name="SALIDA_DEMANDA_TRANS_CAR_DIESEL">TRANS_CAR!$F$512:$M$512</definedName>
    <definedName name="SALIDA_DEMANDA_TRANS_CAR_Electricidad">TRANS_CAR!$F$516:$M$516</definedName>
    <definedName name="SALIDA_DEMANDA_TRANS_CAR_GASOLINA">TRANS_CAR!$F$511:$M$511</definedName>
    <definedName name="SALIDA_DEMANDA_TRANS_CAR_GLP">TRANS_CAR!$F$515:$M$515</definedName>
    <definedName name="SALIDA_DEMANDA_TRANS_CAR_GNC">TRANS_CAR!$F$513:$M$513</definedName>
    <definedName name="SALIDA_DEMANDA_TRANS_CAR_GNL">TRANS_CAR!$F$514:$M$514</definedName>
    <definedName name="SALIDA_DEMANDA_TRANS_CAR_Hidrógeno">TRANS_CAR!$F$517:$M$517</definedName>
    <definedName name="SALIDA_DEMANDA_TRANS_CAR_Queroseno">TRANS_CAR!$F$518:$M$518</definedName>
    <definedName name="SALIDA_DEMANDA_TRANS_CAR_TOTAL">TRANS_CAR!$F$519:$M$519</definedName>
    <definedName name="SALIDA_DEMANDA_TRANS_NAV_DIESEL">TRANS_NAV!$F$41:$M$41</definedName>
    <definedName name="SALIDA_DEMANDA_TRANS_PAS_DIESEL">TRANS_PAS!$F$1159:$M$1159</definedName>
    <definedName name="SALIDA_DEMANDA_TRANS_PAS_ELECTRICIDAD">TRANS_PAS!$F$1160:$M$1160</definedName>
    <definedName name="SALIDA_DEMANDA_TRANS_PAS_GASOLINA">TRANS_PAS!$F$1158:$M$1158</definedName>
    <definedName name="SALIDA_DEMANDA_TRANS_PAS_GLP">TRANS_PAS!$F$1162:$M$1162</definedName>
    <definedName name="SALIDA_DEMANDA_TRANS_PAS_GN">TRANS_PAS!$F$1161:$M$1161</definedName>
    <definedName name="SALIDA_DEMANDA_TRANS_PAS_HIDROGENO">TRANS_PAS!$F$1164:$M$1164</definedName>
    <definedName name="SALIDA_DEMANDA_TRANS_PAS_QUEROSENO">TRANS_PAS!$F$1163:$M$1163</definedName>
    <definedName name="SALIDA_DEMANDA_TRANS_PAS_TOTAL">TRANS_PAS!$F$1165:$M$1165</definedName>
    <definedName name="SALIDA_EDI_RES_IRCO_BALANCE_TOTAL_FINAL">EDI_RES_URB_IRCO!$F$714:$M$714</definedName>
    <definedName name="SALIDA_EMISIONES_AGRICULTURA">AGRO_!$E$310:$L$310</definedName>
    <definedName name="SALIDA_EMISIONES_AGRO_BIOCOMBUSTIBLES">AGRO_!$E$299:$L$299</definedName>
    <definedName name="SALIDA_EMISIONES_AGRO_BIODIGESTORES">AGRO_!$E$306:$L$306</definedName>
    <definedName name="SALIDA_EMISIONES_AGRO_FERTILIZANTES">AGRO_!$E$305:$L$305</definedName>
    <definedName name="SALIDA_EMISIONES_AGRO_LINEA_BASE">AGRO_!#REF!</definedName>
    <definedName name="SALIDA_EMISIONES_AGRO_PLANTACIONES_MANGO_AGUACATE">AGRO_!$E$307:$L$307</definedName>
    <definedName name="SALIDA_EMISIONES_AGRO_REDUCCION_MEDIDAS">AGRO_!$E$308:$L$308</definedName>
    <definedName name="SALIDA_EMISIONES_AGRO_SISTEMAS_AGROFORESTALES">AGRO_!$E$304:$L$304</definedName>
    <definedName name="SALIDA_EMISIONES_AUTOGENERACION_AGUAS_RESIDUALES">RES_AGU!$F$245:$M$245</definedName>
    <definedName name="SALIDA_EMISIONES_AUTOGENERACION_RESIDUOS_SOLIDOS">RES_SOL!$G$400:$N$400</definedName>
    <definedName name="SALIDA_EMISIONES_BOSQUES">BOSQ_!#REF!</definedName>
    <definedName name="SALIDA_EMISIONES_BOSQUES_REDUCCION_POR_REFORESTACION_COMERCIAL">BOSQ_!$E$224:$L$224</definedName>
    <definedName name="SALIDA_EMISIONES_BOSQUES_REDUCCION_POR_REFORESTACION_PROTECTORA">BOSQ_!$E$227:$L$227</definedName>
    <definedName name="SALIDA_EMISIONES_BOSQUES_TOTAL_POR_DEFORESTACION">BOSQ_!$E$223:$L$223</definedName>
    <definedName name="SALIDA_EMISIONES_CULTIVOS_BAGAZO_Y_OTROS_A_INDUSTRIA">AGRO_!$E$316:$L$316</definedName>
    <definedName name="SALIDA_EMISIONES_EDI_COM_AEC_TOTALCO2e">EDI_COM_AEC!$F$169:$M$169</definedName>
    <definedName name="SALIDA_EMISIONES_EDI_COM_UTE_DIESEL">EDI_COM_UTE!$F$279:$M$279</definedName>
    <definedName name="SALIDA_EMISIONES_EDI_COM_UTE_FUEL_OIL">EDI_COM_UTE!$F$280:$M$280</definedName>
    <definedName name="SALIDA_EMISIONES_EDI_COM_UTE_GLP">EDI_COM_UTE!$F$277:$M$277</definedName>
    <definedName name="SALIDA_EMISIONES_EDI_COM_UTE_GN">EDI_COM_UTE!$F$275:$M$275</definedName>
    <definedName name="SALIDA_EMISIONES_EDI_COM_UTE_PETROLEO">EDI_COM_UTE!$F$276:$M$276</definedName>
    <definedName name="SALIDA_EMISIONES_EDI_COM_UTE_QUEROSENO">EDI_COM_UTE!$F$278:$M$278</definedName>
    <definedName name="SALIDA_EMISIONES_EDI_COM_UTE_TOTALCO2e">EDI_COM_UTE!$F$281:$M$281</definedName>
    <definedName name="SALIDA_EMISIONES_EDI_RES_RURAL_TOTALCO2e">EDI_RES_RURAL!$F$76:$M$76</definedName>
    <definedName name="SALIDA_EMISIONES_EDI_RES_URB_ACONDICIONAMIENTO_TOTALCO2e">EDI_RES_URB_AER!$F$476:$M$476</definedName>
    <definedName name="SALIDA_EMISIONES_EDI_RES_URB_EEYHABITOSCONSUMO_TOTALCO2e">EDI_RES_URB_IRCO!$F$727:$M$727</definedName>
    <definedName name="SALIDA_EMISIONES_ELEC_DIESEL">'ELECT_ Electricidad'!$F$414:$M$414</definedName>
    <definedName name="SALIDA_EMISIONES_ELEC_FUEL_OIL">'ELECT_ Electricidad'!$F$415:$M$415</definedName>
    <definedName name="SALIDA_EMISIONES_ELEC_GLP">'ELECT_ Electricidad'!$F$417:$M$417</definedName>
    <definedName name="SALIDA_EMISIONES_ELEC_PETROLEO">'ELECT_ Electricidad'!$F$416:$M$416</definedName>
    <definedName name="SALIDA_EMISIONES_ELEC_TERMOELECTRICA_CARBON">'ELECT_ Electricidad'!$F$413:$M$413</definedName>
    <definedName name="SALIDA_EMISIONES_ELEC_TERMOELECTRICA_CARBON_CCUS">'ELECT_ Electricidad'!$F$419:$M$419</definedName>
    <definedName name="SALIDA_EMISIONES_ELEC_TERMOELECTRICA_GAS_NATURAL">'ELECT_ Electricidad'!$F$412:$M$412</definedName>
    <definedName name="SALIDA_EMISIONES_ELEC_TERMOELECTRICA_GAS_NATURAL_CCUS">'ELECT_ Electricidad'!$F$418:$M$418</definedName>
    <definedName name="SALIDA_EMISIONES_ELECT_TOTAL_RENOVABLES">'ELECT_ Electricidad'!$F$434:$M$434</definedName>
    <definedName name="SALIDA_EMISIONES_ELECTRICIDAD">'ELECT_ Electricidad'!$F$437:$M$437</definedName>
    <definedName name="SALIDA_EMISIONES_ENER_COMBUST_FOSIL_CONSUMO_DIESEL">ENER_CombFosil!$F$328:$M$328</definedName>
    <definedName name="SALIDA_EMISIONES_ENER_COMBUST_FOSIL_CONSUMO_FUEL_OIL">ENER_CombFosil!$F$333:$M$333</definedName>
    <definedName name="SALIDA_EMISIONES_ENER_COMBUST_FOSIL_CONSUMO_GAS_NATURAL">ENER_CombFosil!$F$318:$M$318</definedName>
    <definedName name="SALIDA_EMISIONES_ENER_COMBUST_FOSIL_CONSUMO_GAS_REFINERIA">ENER_CombFosil!#REF!</definedName>
    <definedName name="SALIDA_EMISIONES_ENER_COMBUST_FOSIL_CONSUMO_GASOLINA_MOTORES">ENER_CombFosil!$F$343:$M$343</definedName>
    <definedName name="SALIDA_EMISIONES_ENER_COMBUST_FOSIL_CONSUMO_GLP">ENER_CombFosil!$F$338:$M$338</definedName>
    <definedName name="SALIDA_EMISIONES_ENER_COMBUST_FOSIL_CONSUMO_PETROLEO">ENER_CombFosil!$F$323:$M$323</definedName>
    <definedName name="SALIDA_EMISIONES_ENER_COMBUST_FOSIL_CONSUMO_QUEROSENO">ENER_CombFosil!$F$348:$M$348</definedName>
    <definedName name="SALIDA_EMISIONES_ENER_COMBUST_FOSIL_PRODUCCION_CARBÓN">ENER_CombFosil!$F$310:$M$310</definedName>
    <definedName name="SALIDA_EMISIONES_ENER_COMBUST_FOSIL_PRODUCCION_CRUDO">ENER_CombFosil!$F$300:$M$300</definedName>
    <definedName name="SALIDA_EMISIONES_ENER_COMBUST_FOSIL_PRODUCCION_GAS_NATURAL">ENER_CombFosil!$F$305:$M$305</definedName>
    <definedName name="SALIDA_EMISIONES_ENERGIA_RES_SOL_APROVECHAMIENTO">RES_SOL!$G$394:$N$394</definedName>
    <definedName name="SALIDA_EMISIONES_ENERGIA_RES_SOL_INCINERACION">RES_SOL!$G$399:$N$399</definedName>
    <definedName name="SALIDA_EMISIONES_ENERGIA_RES_SOL_TOTAL">RES_SOL!$G$400:$N$400</definedName>
    <definedName name="SALIDA_EMISIONES_GANA_HATO_GANADERO">GANA_!$E$211:$L$211</definedName>
    <definedName name="SALIDA_EMISIONES_GANA_LINEA_BASE">GANA_!#REF!</definedName>
    <definedName name="SALIDA_EMISIONES_GANA_MANEJO_ESTIERCOL">GANA_!$E$238:$L$238</definedName>
    <definedName name="SALIDA_EMISIONES_GANA_MEJORES_PRACTICAS_PECUARIA">GANA_!$E$230:$L$230</definedName>
    <definedName name="SALIDA_EMISIONES_GANA_PRACTICAS_SOSTENIBLES_SUELOS_GANADEROS">GANA_!$E$221:$L$221</definedName>
    <definedName name="SALIDA_EMISIONES_GANADERIA">GANA_!$E$240:$L$240</definedName>
    <definedName name="SALIDA_EMISIONES_GANADERIA_MANEJO_ESTIERCOL">GANA_!$E$237:$L$237</definedName>
    <definedName name="SALIDA_EMISIONES_GANADERIA_PRACTICAS_SOSTENIBLES">GANA_!$E$221:$L$221</definedName>
    <definedName name="SALIDA_EMISIONES_GANADERIA_REDUCCION_POR_PRACTICAS_PECUARIAS">GANA_!$E$230:$L$230</definedName>
    <definedName name="SALIDA_EMISIONES_IND_ALIMENTOS_Y_BEBIDAS">IND_!$E$728:$L$728</definedName>
    <definedName name="SALIDA_EMISIONES_IND_CEMENTO">IND_!$E$724:$L$724</definedName>
    <definedName name="SALIDA_EMISIONES_IND_EMISIONES_SAO">IND_!$E$736:$L$736</definedName>
    <definedName name="SALIDA_EMISIONES_IND_HIERRO_Y_NO_FERROSOS">IND_!$E$725:$L$725</definedName>
    <definedName name="SALIDA_EMISIONES_IND_LADRILLERAS">IND_!$E$730:$L$730</definedName>
    <definedName name="SALIDA_EMISIONES_IND_OTROS">IND_!$E$731:$L$731</definedName>
    <definedName name="SALIDA_EMISIONES_IND_PAPEL">IND_!$E$726:$L$726</definedName>
    <definedName name="SALIDA_EMISIONES_IND_QUIMICOS">IND_!$E$727:$L$727</definedName>
    <definedName name="SALIDA_EMISIONES_IND_TEXTIL">IND_!$E$729:$L$729</definedName>
    <definedName name="SALIDA_EMISIONES_RES_AGU_TOTALCO2e">RES_AGU!$F$225:$M$225</definedName>
    <definedName name="SALIDA_EMISIONES_RES_AGUA_RESIDUALES_DOMESTICAS">RES_AGU!$F$215:$M$215</definedName>
    <definedName name="SALIDA_EMISIONES_RES_AGUA_RESIDUALES_INDUSTRIALES">RES_AGU!$F$222:$M$222</definedName>
    <definedName name="SALIDA_EMISIONES_RES_SOL_RELLENO_SANITARIO_CELDA_CONTINGENCIA">RES_SOL!$G$371:$N$371</definedName>
    <definedName name="SALIDA_EMISIONES_RES_SOL_RELLENO_SANITARIO_QUEMA_ANTORCHA">RES_SOL!$G$366:$N$366</definedName>
    <definedName name="SALIDA_EMISIONES_RES_SOL_RELLENO_SANITARIO_SIN_CAPTACION">RES_SOL!$G$361:$N$361</definedName>
    <definedName name="SALIDA_EMISIONES_RES_SOL_TMB">RES_SOL!$G$377:$N$377</definedName>
    <definedName name="SALIDA_EMISIONES_RES_SOL_TOTALCO2e">RES_SOL!$G$383:$N$383</definedName>
    <definedName name="SALIDA_EMISIONES_TOTAL_COMBUSTIBLES_FOSILES">ENER_CombFosil!$F$351:$M$351</definedName>
    <definedName name="SALIDA_EMISIONES_TOTAL_INDUSTRIA">IND_!$E$740:$L$740</definedName>
    <definedName name="SALIDA_EMISIONES_TRANS_AVI_TOTALCO2e">TRANS_AVI!$F$74:$M$74</definedName>
    <definedName name="SALIDA_EMISIONES_TRANS_CAR_TOTALESCO2E">TRANS_CAR!$F$536:$M$536</definedName>
    <definedName name="SALIDA_EMISIONES_TRANS_NAVI_TOTALCO2e">TRANS_NAV!$F$52:$M$52</definedName>
    <definedName name="SALIDA_EMISIONES_TRANS_PAS_EMISIONESCO2E">TRANS_PAS!$F$1176:$M$1176</definedName>
    <definedName name="SALIDA_EXPORTACIONES_COMB_FOSIL_CARBON_KT">ENER_Comb_fosil_IMPORT_EXPORT!$F$28:$M$28</definedName>
    <definedName name="SALIDA_EXPORTACIONES_COMB_FOSIL_CRUDO_M3">ENER_Comb_fosil_IMPORT_EXPORT!$F$26:$M$26</definedName>
    <definedName name="SALIDA_EXPORTACIONES_COMB_FOSIL_GAS_M3">ENER_Comb_fosil_IMPORT_EXPORT!$F$27:$M$27</definedName>
    <definedName name="SALIDA_EXPORTACIONES_ELECTRICIDAD">'ELECT_ IMPORTEXPORT'!$F$24:$M$24</definedName>
    <definedName name="SALIDA_GENERACION_AGRO_BIOCOMBUSTIBLES">AGRO_!$E$290:$L$290</definedName>
    <definedName name="SALIDA_GENERACION_AGRO_CULTIVOS">AGRO_!$E$282:$L$282</definedName>
    <definedName name="SALIDA_GENERACION_AGUAS_RES_INYECTADA_RED">RES_AGU!$F$203:$M$203</definedName>
    <definedName name="SALIDA_GENERACION_EDI_RES_IRCO_INYECTADO_A_RED">EDI_RES_URB_IRCO!$F$715:$M$715</definedName>
    <definedName name="SALIDA_GENERACION_EDIF_RES_IRCO_SOLAR">EDI_RES_URB_IRCO!$F$711:$M$711</definedName>
    <definedName name="SALIDA_GENERACION_ELECT_total_combustibles_fosiles">'ELECT_ Electricidad'!$F$370:$M$370</definedName>
    <definedName name="SALIDA_GENERACION_ELECT_total_renovables">'ELECT_ Electricidad'!$F$384:$M$384</definedName>
    <definedName name="SALIDA_GENERACION_ELECTRICIDAD_DIESEL">'ELECT_ Electricidad'!$F$364:$M$364</definedName>
    <definedName name="SALIDA_GENERACION_ELECTRICIDAD_FUEL_OIL">'ELECT_ Electricidad'!$F$365:$M$365</definedName>
    <definedName name="SALIDA_GENERACION_ELECTRICIDAD_GLP">'ELECT_ Electricidad'!$F$367:$M$367</definedName>
    <definedName name="SALIDA_GENERACION_ELECTRICIDAD_PETROLEO">'ELECT_ Electricidad'!$F$366:$M$366</definedName>
    <definedName name="SALIDA_GENERACION_ELECTRICIDAD_TERMOELECTRICA_BAGAZO">'ELECT_ Electricidad'!$F$383:$M$383</definedName>
    <definedName name="SALIDA_GENERACION_ELECTRICIDAD_TERMOELECTRICA_BIOMASA">'ELECT_ Electricidad'!$F$382:$M$382</definedName>
    <definedName name="SALIDA_GENERACION_ELECTRICIDAD_TERMOELECTRICA_CARBON">'ELECT_ Electricidad'!$F$363:$M$363</definedName>
    <definedName name="SALIDA_GENERACION_ELECTRICIDAD_TERMOELECTRICA_CARBON_CCUS">'ELECT_ Electricidad'!$F$369:$M$369</definedName>
    <definedName name="SALIDA_GENERACION_ELECTRICIDAD_TERMOELECTRICA_EOLICA_COSTA_ADENTRO">'ELECT_ Electricidad'!#REF!</definedName>
    <definedName name="SALIDA_GENERACION_ELECTRICIDAD_TERMOELECTRICA_EOLICA_COSTA_ADENTRO_JEPIRACHI">'ELECT_ Electricidad'!$F$378:$M$378</definedName>
    <definedName name="SALIDA_GENERACION_ELECTRICIDAD_TERMOELECTRICA_EOLICA_COSTA_ADENTRO_RESTO_PAIS">'ELECT_ Electricidad'!$F$379:$M$379</definedName>
    <definedName name="SALIDA_GENERACION_ELECTRICIDAD_TERMOELECTRICA_EOLICA_COSTA_AFUERA">'ELECT_ Electricidad'!$F$380:$M$380</definedName>
    <definedName name="SALIDA_GENERACION_ELECTRICIDAD_TERMOELECTRICA_GAS_NATURAL">'ELECT_ Electricidad'!$F$362:$M$362</definedName>
    <definedName name="SALIDA_GENERACION_ELECTRICIDAD_TERMOELECTRICA_GAS_NATURAL_CCUS">'ELECT_ Electricidad'!$F$368:$M$368</definedName>
    <definedName name="SALIDA_GENERACION_ELECTRICIDAD_TERMOELECTRICA_GRANDES_HIDROELECTRICAS">'ELECT_ Electricidad'!$F$374:$M$374</definedName>
    <definedName name="SALIDA_GENERACION_ELECTRICIDAD_TERMOELECTRICA_HIDROGENO_VERDE">'ELECT_ Electricidad'!$F$381:$M$381</definedName>
    <definedName name="SALIDA_GENERACION_ELECTRICIDAD_TERMOELECTRICA_PEQUEÑAS_HIDROELECTRICAS">'ELECT_ Electricidad'!$F$375:$M$375</definedName>
    <definedName name="SALIDA_GENERACION_ELECTRICIDAD_TERMOELECTRICA_SOLAR_FOTOVOLTAICA">'ELECT_ Electricidad'!$F$377:$M$377</definedName>
    <definedName name="SALIDA_GENERACION_ELECTRICIDAD_TERMOELECTRICA_SOLAR_TERMICA">'ELECT_ Electricidad'!$F$376:$M$376</definedName>
    <definedName name="SALIDA_GENERACION_ENER_CARBÓN">ENER_CombFosil!$F$258:$M$258</definedName>
    <definedName name="SALIDA_GENERACION_ENER_CRUDO">ENER_CombFosil!$F$256:$M$256</definedName>
    <definedName name="SALIDA_GENERACION_ENER_GN">ENER_CombFosil!$F$257:$M$257</definedName>
    <definedName name="SALIDA_GENERACION_ENER_TOTAL_COMBUSTIBLES_FOSILES">ENER_CombFosil!$F$259:$M$259</definedName>
    <definedName name="SALIDA_GENERACION_GANA_BIOENERGÍA_HEMBRAS">GANA_!$E$198:$L$198</definedName>
    <definedName name="SALIDA_GENERACION_GANA_BIOENERGÍA_MACHOS">GANA_!$E$199:$L$199</definedName>
    <definedName name="SALIDA_GENERACION_GANA_TWH">GANA_!$E$200:$L$200</definedName>
    <definedName name="SALIDA_GENERACION_IND_AUTO_COGENERACION">IND_!$E$649:$L$649</definedName>
    <definedName name="SALIDA_GENERACION_IND_INYECTADO_A_RED">IND_!$E$675:$L$675</definedName>
    <definedName name="SALIDA_GENERACION_RES_AGU_DOMESTICAS">RES_AGU!$F$197:$M$197</definedName>
    <definedName name="SALIDA_GENERACION_RES_AGU_INDUSTRIALES">RES_AGU!$F$198:$M$198</definedName>
    <definedName name="SALIDA_GENERACION_RES_AGU_TOT_GENERACION">RES_AGU!$F$199:$M$199</definedName>
    <definedName name="SALIDA_GENERACION_RES_GENERACION">RES_SOL!$G$345:$N$345</definedName>
    <definedName name="SALIDA_GENERACION_RES_SOL_CELDA">RES_SOL!$G$340:$N$340</definedName>
    <definedName name="SALIDA_GENERACION_RES_SOL_INYECT_RED">RES_SOL!$G$347:$N$347</definedName>
    <definedName name="SALIDA_GENERACION_RES_SOL_PLANTA_INCINERACION">RES_SOL!$G$343:$N$343</definedName>
    <definedName name="SALIDA_GENERACION_RES_SOL_PLANTA_TMB">RES_SOL!$G$342:$N$342</definedName>
    <definedName name="SALIDA_GENERACION_RES_SOL_RECICLADO">RES_SOL!$G$344:$N$344</definedName>
    <definedName name="SALIDA_GENERACION_RES_SOL_RELLENO">RES_SOL!$N$339</definedName>
    <definedName name="SALIDA_IMPORTACIONES_COMB_FOSIL_CARBOM_KT">ENER_Comb_fosil_IMPORT_EXPORT!$F$19:$M$19</definedName>
    <definedName name="SALIDA_IMPORTACIONES_COMB_FOSIL_CRUDO_M3">ENER_Comb_fosil_IMPORT_EXPORT!$F$17:$M$17</definedName>
    <definedName name="SALIDA_IMPORTACIONES_COMB_FOSIL_GAS_M3">ENER_Comb_fosil_IMPORT_EXPORT!$F$18:$M$18</definedName>
    <definedName name="SALIDA_IMPORTACIONES_ELECTRICIDAD">'ELECT_ IMPORTEXPORT'!$F$17:$M$17</definedName>
    <definedName name="SALIDA_RESIDUOS_BALANCE_TOTAL">RES_SOL!$G$346:$N$346</definedName>
    <definedName name="SC_COSTOCAPITAL_DISEÑOYEFICIENCIA" localSheetId="45">CHOOSE(EDI_COM_AEC!TRAYECTORIA,EDI_COM_AEC!$F$94:$M$94,EDI_COM_AEC!$F$95:$M$95,EDI_COM_AEC!$F$96:$M$96,EDI_COM_AEC!$F$97:$M$97)</definedName>
    <definedName name="SC_COSTOCAPITAL_EFICIENCIA" localSheetId="45">CHOOSE(EDI_COM_AEC!TRAYECTORIA,EDI_COM_AEC!$F$101,EDI_COM_AEC!$F$102,EDI_COM_AEC!$F$103,EDI_COM_AEC!$F$104)</definedName>
    <definedName name="SF_AREA_ANUAL_DEFORESTADA_PUNTUAL" localSheetId="53">BOSQ_!$E$57:$M$58</definedName>
    <definedName name="SF_AREA_BOSQUES_HA_AMAZONIA" localSheetId="53">BOSQ_!#REF!</definedName>
    <definedName name="SF_AREA_BOSQUES_HA_ANDINA" localSheetId="53">BOSQ_!$G$65</definedName>
    <definedName name="SF_AREA_BOSQUES_HA_CARIBE" localSheetId="53">BOSQ_!#REF!</definedName>
    <definedName name="SF_AREA_BOSQUES_HA_NACIONAL" localSheetId="53">BOSQ_!$G$66</definedName>
    <definedName name="SF_AREA_BOSQUES_HA_ORIONOQUIA" localSheetId="53">BOSQ_!#REF!</definedName>
    <definedName name="SF_AREA_BOSQUES_HA_PACIFICO" localSheetId="53">BOSQ_!#REF!</definedName>
    <definedName name="SF_AREA_PARA_REFORESTACION_COMERCIAL_POR_ESPECIE" localSheetId="53">BOSQ_!$E$108:$L$128</definedName>
    <definedName name="SF_AREAS_IMPLEMENTACION_MEJORES_PRACTICAS_PLANTACIONES_MANGO_AGUACATE" localSheetId="51">AGRO_!$E$128:$L$128</definedName>
    <definedName name="SF_AREAS_IMPLEMENTACION_MEJORES_PRACTICAS_SISTEMAS_AGROFORESTALES" localSheetId="51">AGRO_!$E$125:$L$125</definedName>
    <definedName name="SF_AREAS_IMPLEMENTACION_MEJORES_PRACTICAS_USO_BIODIGESTORES" localSheetId="51">AGRO_!$E$127:$L$127</definedName>
    <definedName name="SF_AREAS_IMPLEMENTACION_MEJORES_PRACTICAS_USO_EFICIENTE_FERTILIZANTES" localSheetId="51">AGRO_!$E$126:$L$126</definedName>
    <definedName name="SF_BIOMASA_AEREA_SUBTERRANEA_REFORESTACION_COMERCIAL" localSheetId="53">BOSQ_!$H$135:$H$154</definedName>
    <definedName name="SF_BOMBILLOS_INCANDESCENTES" localSheetId="43">EDI_RES_URB_IRCO!$F$498:$M$501</definedName>
    <definedName name="SF_BOMBILLOS_LED" localSheetId="43">EDI_RES_URB_IRCO!$F$512:$M$515</definedName>
    <definedName name="SF_BOMBILLOS_LFC" localSheetId="43">EDI_RES_URB_IRCO!$F$505:$M$508</definedName>
    <definedName name="SF_BOMBILLOS_OTROS" localSheetId="43">EDI_RES_URB_IRCO!$F$519:$M$522</definedName>
    <definedName name="SF_CARACTERIZACION_RESIDUOS" localSheetId="40">RES_SOL!$G$131:$N$135</definedName>
    <definedName name="SF_CONSUMO_ENERGETICOS_REFINERIA_DIESEL" localSheetId="33">ENER_CombFosil!$H$176</definedName>
    <definedName name="SF_CONSUMO_ENERGETICOS_REFINERIA_FUEL_OIL" localSheetId="33">ENER_CombFosil!$H$177</definedName>
    <definedName name="SF_CONSUMO_ENERGETICOS_REFINERIA_GAS_DE_REFINERIA" localSheetId="33">ENER_CombFosil!$H$181</definedName>
    <definedName name="SF_CONSUMO_ENERGETICOS_REFINERIA_GAS_NATURAL" localSheetId="33">ENER_CombFosil!$H$174</definedName>
    <definedName name="SF_CONSUMO_ENERGETICOS_REFINERIA_GASOLINA_MOTOR" localSheetId="33">ENER_CombFosil!$H$179</definedName>
    <definedName name="SF_CONSUMO_ENERGETICOS_REFINERIA_GLP" localSheetId="33">ENER_CombFosil!$H$178</definedName>
    <definedName name="SF_CONSUMO_ENERGETICOS_REFINERIA_PETROLEO" localSheetId="33">ENER_CombFosil!$H$175</definedName>
    <definedName name="SF_CONSUMO_ENERGETICOS_REFINERIA_QUEROSENO" localSheetId="33">ENER_CombFosil!$H$180</definedName>
    <definedName name="SF_CONSUMO_TOTAL_ENERGIA_EQUIPAMIENTO" localSheetId="46">EDI_COM_UTE!$F$141:$M$144</definedName>
    <definedName name="SF_CONSUMO_TOTAL_ENERGIA_USOS_TERMICOS" localSheetId="46">EDI_COM_UTE!$F$134:$M$137</definedName>
    <definedName name="SF_CONTENIDO_CARBONO_AMAZONIA_TCA_HA" localSheetId="53">BOSQ_!#REF!</definedName>
    <definedName name="SF_CONTENIDO_CARBONO_ANDINA_TCA_HA" localSheetId="53">BOSQ_!$G$72</definedName>
    <definedName name="SF_CONTENIDO_CARBONO_CARIBE_TCA_HA" localSheetId="53">BOSQ_!#REF!</definedName>
    <definedName name="SF_CONTENIDO_CARBONO_ORINOQUIA_TCA_HA" localSheetId="53">BOSQ_!#REF!</definedName>
    <definedName name="SF_CONTENIDO_CARBONO_PACIFICO_TCA_HA" localSheetId="53">BOSQ_!#REF!</definedName>
    <definedName name="SF_DEMANDA_ELECTRICIDAD_CALENTAR_AGUA" localSheetId="43">EDI_RES_URB_IRCO!$F$395:$M$398</definedName>
    <definedName name="SF_DEMANDA_ELECTRICIDAD_COCCION" localSheetId="43">EDI_RES_URB_IRCO!$F$388:$M$391</definedName>
    <definedName name="SF_DEMANDA_ELECTRICIDAD_OTROS" localSheetId="43">EDI_RES_URB_IRCO!$F$402:$M$405</definedName>
    <definedName name="SF_DEMANDA_ELECTRICIDAD_OTROS_MODOS_AEREO" localSheetId="47">TRANS_PAS!$F$508:$M$508</definedName>
    <definedName name="SF_DEMANDA_ELECTRICIDAD_OTROS_MODOS_FERREO" localSheetId="47">TRANS_PAS!$F$514:$M$514</definedName>
    <definedName name="SF_DEMANDA_ELECTRICIDAD_OTROS_MODOS_FLUVIAL" localSheetId="47">TRANS_PAS!$F$507:$M$507</definedName>
    <definedName name="SF_DEMANDA_GAS_NATURAL_CALENTAR_AGUA" localSheetId="43">EDI_RES_URB_IRCO!$F$411:$M$414</definedName>
    <definedName name="SF_DEMANDA_GAS_NATURAL_OTROS" localSheetId="43">EDI_RES_URB_IRCO!$F$418:$M$421</definedName>
    <definedName name="SF_DEMANDA_GLP_CALENTAR_AGUA" localSheetId="43">EDI_RES_URB_IRCO!$F$427:$M$430</definedName>
    <definedName name="SF_DISTANCIA_MODO_INTERURBANO" localSheetId="48">TRANS_CAR!$F$270:$M$270</definedName>
    <definedName name="SF_DISTANCIA_MODO_URBANO" localSheetId="48">TRANS_CAR!$F$269:$M$269</definedName>
    <definedName name="SF_DISTRIBUCION_MODO_CARRETERO_TRANSPORTE_INTERURBANO" localSheetId="47">TRANS_PAS!$F$520:$M$525</definedName>
    <definedName name="SF_EFICIENCIA_MOTOR_GENERADOR">RES_SOL!$H$179</definedName>
    <definedName name="SF_EMISION_SAO">IND_!$E$485:$L$490</definedName>
    <definedName name="SF_FACTOR_ACTIVIDAD_CARGA_INTERURBANA_FERREO" localSheetId="48">TRANS_CAR!$F$597:$M$598</definedName>
    <definedName name="SF_FACTOR_CONVERSION_BIOMASA_TCO2_TC" localSheetId="53">BOSQ_!$G$78</definedName>
    <definedName name="SF_FACTOR_DE_CARGA_COMBUSTIBLES_FOSILES" localSheetId="36">'ELECT_ Electricidad'!$F$165:$M$172</definedName>
    <definedName name="SF_FACTOR_DE_CARGA_ENERGIAS_RENOVABLES_NO_CONVENCIONALES" localSheetId="36">'ELECT_ Electricidad'!$F$173:$M$182</definedName>
    <definedName name="SF_FACTOR_DE_PRODUCCION_DE_BIOCOMBUSTIBLE_ML_HA">AGRO_!$H$77</definedName>
    <definedName name="SF_FACTOR_PRODUCCION_BIOMASA_CULTIVO_ARROZ" localSheetId="51">AGRO_!$E$141</definedName>
    <definedName name="SF_FACTOR_PRODUCCION_BIOMASA_CULTIVO_BANANO" localSheetId="51">AGRO_!$E$142</definedName>
    <definedName name="SF_FACTOR_PRODUCCION_BIOMASA_CULTIVO_BANANO" localSheetId="52">AGRO_!$E$142</definedName>
    <definedName name="SF_FACTOR_PRODUCCION_BIOMASA_CULTIVO_CAFE" localSheetId="51">AGRO_!$E$139</definedName>
    <definedName name="SF_FACTOR_PRODUCCION_BIOMASA_CULTIVO_CAÑA_DE_AZUCAR" localSheetId="51">AGRO_!$E$137</definedName>
    <definedName name="SF_FACTOR_PRODUCCION_BIOMASA_CULTIVO_CAÑA_PANELERA" localSheetId="51">AGRO_!$E$138</definedName>
    <definedName name="SF_FACTOR_PRODUCCION_BIOMASA_CULTIVO_MAIZ" localSheetId="51">AGRO_!$E$140</definedName>
    <definedName name="SF_FACTOR_PRODUCCION_BIOMASA_CULTIVO_PALMA_DE_ACEITE" localSheetId="51">AGRO_!$E$136</definedName>
    <definedName name="SF_FACTOR_PRODUCCION_BIOMASA_CULTIVO_PLATANO" localSheetId="51">AGRO_!$E$143</definedName>
    <definedName name="SF_FACTOR_PRODUCCION_RESIDUO_ARROZ_CASCARILLA" localSheetId="51">AGRO_!$E$178</definedName>
    <definedName name="SF_FACTOR_PRODUCCION_RESIDUO_ARROZ_TAMP" localSheetId="51">AGRO_!$E$177</definedName>
    <definedName name="SF_FACTOR_PRODUCCION_RESIDUO_BANANO_RAQUIS" localSheetId="51">AGRO_!$E$182</definedName>
    <definedName name="SF_FACTOR_PRODUCCION_RESIDUO_BANANO_RECHAZO" localSheetId="51">AGRO_!$E$184</definedName>
    <definedName name="SF_FACTOR_PRODUCCION_RESIDUO_BANANO_VASTAGO" localSheetId="51">AGRO_!$E$183</definedName>
    <definedName name="SF_FACTOR_PRODUCCION_RESIDUO_CAFE_CISCO" localSheetId="51">AGRO_!$E$166</definedName>
    <definedName name="SF_FACTOR_PRODUCCION_RESIDUO_CAFE_PULPA" localSheetId="51">AGRO_!$E$165</definedName>
    <definedName name="SF_FACTOR_PRODUCCION_RESIDUO_CAFE_TALLOS" localSheetId="51">AGRO_!$E$167</definedName>
    <definedName name="SF_FACTOR_PRODUCCION_RESIDUO_CAÑA_DE_AZUCAR_BAGAZO" localSheetId="51">AGRO_!$E$156</definedName>
    <definedName name="SF_FACTOR_PRODUCCION_RESIDUO_CAÑA_DE_AZUCAR_COGOLLO" localSheetId="51">AGRO_!$E$155</definedName>
    <definedName name="SF_FACTOR_PRODUCCION_RESIDUO_CAÑA_PANELERA_BAGAZO" localSheetId="51">AGRO_!$E$160</definedName>
    <definedName name="SF_FACTOR_PRODUCCION_RESIDUO_CAÑA_PANELERA_HOJAS_COGOLLO" localSheetId="51">AGRO_!$E$161</definedName>
    <definedName name="SF_FACTOR_PRODUCCION_RESIDUO_MAIZ_CAPACHO" localSheetId="51">AGRO_!$E$173</definedName>
    <definedName name="SF_FACTOR_PRODUCCION_RESIDUO_MAIZ_RASTROJO" localSheetId="51">AGRO_!$E$171</definedName>
    <definedName name="SF_FACTOR_PRODUCCION_RESIDUO_MAIZ_TUSA" localSheetId="51">AGRO_!$E$172</definedName>
    <definedName name="SF_FACTOR_PRODUCCION_RESIDUO_PALMA_DE_ACEITE_CUESCO" localSheetId="51">AGRO_!$E$149</definedName>
    <definedName name="SF_FACTOR_PRODUCCION_RESIDUO_PALMA_DE_ACEITE_RAQUIS" localSheetId="51">AGRO_!$E$151</definedName>
    <definedName name="SF_FACTOR_PRODUCCION_RESIDUO_PALMA_DE_ACEITEFIBRA" localSheetId="51">AGRO_!$E$150</definedName>
    <definedName name="SF_FACTOR_PRODUCCION_RESIDUO_PLATANO_RAQUIS" localSheetId="51">AGRO_!$E$188</definedName>
    <definedName name="SF_FACTOR_PRODUCCION_RESIDUO_PLATANO_RECHAZO" localSheetId="51">AGRO_!$E$190</definedName>
    <definedName name="SF_FACTOR_PRODUCCION_RESIDUO_PLATANO_VASTAGO" localSheetId="51">AGRO_!$E$189</definedName>
    <definedName name="SF_FE_HEMBRAS" localSheetId="52">GANA_!$E$95</definedName>
    <definedName name="SF_FE_MACHOS" localSheetId="52">GANA_!$E$96</definedName>
    <definedName name="SF_HATO_GANADERO_COLOMBIANO" localSheetId="52">GANA_!$E$90:$L$90</definedName>
    <definedName name="SF_HORAS_UTILES_SOLAR_FOTOVOLTAICA" localSheetId="43">EDI_RES_URB_IRCO!$F$536:$M$536</definedName>
    <definedName name="SF_KM_TOTALES_MODO_CARRETERO_TRANSPORTE_INTERURBANO" localSheetId="47">TRANS_PAS!$F$501:$M$501</definedName>
    <definedName name="SF_LINEA_BASE_GESTION_ESTIERCOL_EMISIONES_CH4" localSheetId="52">GANA_!#REF!</definedName>
    <definedName name="SF_LINEA_BASE_GESTION_ESTIERCOL_EMISIONES_N2O" localSheetId="52">GANA_!#REF!</definedName>
    <definedName name="SF_NUMERO_DE_POZOS_EN_PRODUCCION_CRUDO">ENER_CombFosil!$F$154</definedName>
    <definedName name="SF_NUMERO_DE_POZOS_EN_PRODUCCION_GAS" localSheetId="33">ENER_CombFosil!$G$154</definedName>
    <definedName name="SF_NUMERO_DE_POZOS_PERFORACION_POZO_crudo" localSheetId="33">ENER_CombFosil!$F$153</definedName>
    <definedName name="SF_NUMERO_DE_POZOS_PERFORACION_POZO_gas">ENER_CombFosil!$G$153</definedName>
    <definedName name="SF_NUMERO_VEHICULOS_CARGA_INTER_URBANO" localSheetId="48">TRANS_CAR!$F$304:$M$312</definedName>
    <definedName name="SF_NUMERO_VEHICULOS_CARGA_URBANO" localSheetId="48">TRANS_CAR!$F$290:$M$298</definedName>
    <definedName name="SF_NUMERO_VEHICULOS_URBANO_BICICLETAS" localSheetId="47">TRANS_PAS!$F$642:$M$642</definedName>
    <definedName name="SF_NUMERO_VEHICULOS_URBANO_BUSES" localSheetId="47">TRANS_PAS!$F$672:$M$678</definedName>
    <definedName name="SF_NUMERO_VEHICULOS_URBANO_BUSES_BRT" localSheetId="47">TRANS_PAS!$F$682:$M$688</definedName>
    <definedName name="SF_NUMERO_VEHICULOS_URBANO_FERREO" localSheetId="47">TRANS_PAS!$F$692:$M$693</definedName>
    <definedName name="SF_NUMERO_VEHICULOS_URBANO_MOTOS" localSheetId="47">TRANS_PAS!$F$666:$M$668</definedName>
    <definedName name="SF_NUMERO_VEHICULOS_URBANO_TAXI" localSheetId="47">TRANS_PAS!$F$656:$M$662</definedName>
    <definedName name="SF_NUMERO_VEHICULOS_URBANO_VEHICULOS" localSheetId="47">TRANS_PAS!$F$646:$M$652</definedName>
    <definedName name="SF_PARTICIPACION_ENERGETICOS_EN_EQUIPAMIENTO_DIESEL" localSheetId="46">EDI_COM_UTE!$F$210:$M$213</definedName>
    <definedName name="SF_PARTICIPACION_ENERGETICOS_EN_EQUIPAMIENTO_ELECTRICIDAD" localSheetId="46">EDI_COM_UTE!$F$196:$M$199</definedName>
    <definedName name="SF_PARTICIPACION_ENERGETICOS_EN_EQUIPAMIENTO_FUEL_OIL" localSheetId="46">EDI_COM_UTE!$F$217:$M$220</definedName>
    <definedName name="SF_PARTICIPACION_ENERGETICOS_EN_EQUIPAMIENTO_QUEROSENO" localSheetId="46">EDI_COM_UTE!$F$203:$M$206</definedName>
    <definedName name="SF_PARTICIPACION_ENERGETICOS_USOS_TERMICOS_GAS_NATURAL" localSheetId="46">EDI_COM_UTE!$F$173:$M$176</definedName>
    <definedName name="SF_PARTICIPACION_ENERGETICOS_USOS_TERMICOS_GLP" localSheetId="46">EDI_COM_UTE!$F$187:$M$190</definedName>
    <definedName name="SF_PARTICIPACION_ENERGETICOS_USOS_TERMICOS_PETROLEO" localSheetId="46">EDI_COM_UTE!$F$180:$M$183</definedName>
    <definedName name="SF_PARTICIPACION_USOS_EQUIPAMIENTO_ILUMINACION" localSheetId="46">EDI_COM_UTE!$F$150:$M$153</definedName>
    <definedName name="SF_PARTICIPACION_USOS_EQUIPAMIENTO_OTROS" localSheetId="46">EDI_COM_UTE!$F$164:$M$167</definedName>
    <definedName name="SF_PARTICIPACION_USOS_EQUIPAMIENTO_REFRIGERACION" localSheetId="46">EDI_COM_UTE!$F$157:$M$160</definedName>
    <definedName name="SF_PORCENTAJE_CRUDO_REFINERIA" localSheetId="33">ENER_CombFosil!$H$162</definedName>
    <definedName name="SF_PORCENTAJE_CRUDO_TRANSPORTADO_OLEODUCTO" localSheetId="33">ENER_CombFosil!$H$161</definedName>
    <definedName name="SF_PORCENTAJE_DEMANDA_ELECTRICA_MODO_FERREO" localSheetId="47">TRANS_PAS!$F$514:$M$514</definedName>
    <definedName name="SF_PORCENTAJE_GLP_PRODUCIDO" localSheetId="33">ENER_CombFosil!$H$160</definedName>
    <definedName name="SF_PORCENTAJE_PROCESAMIENTO_GAS" localSheetId="33">ENER_CombFosil!$H$169</definedName>
    <definedName name="SF_PORCENTAJE_TRANSMISION_ALMACENAMIENTO" localSheetId="33">ENER_CombFosil!$H$168</definedName>
    <definedName name="SF_PORCENTAJE_USO_COMBUSTIBLES_VEHICULOS_HIBRIDOS_BUSES" localSheetId="47">TRANS_PAS!$F$358</definedName>
    <definedName name="SF_PORCENTAJE_USO_COMBUSTIBLES_VEHICULOS_HIBRIDOS_BUSES_BRT" localSheetId="47">TRANS_PAS!$F$359</definedName>
    <definedName name="SF_PORCENTAJE_USO_COMBUSTIBLES_VEHICULOS_HIBRIDOS_TAXI" localSheetId="47">TRANS_PAS!$F$357</definedName>
    <definedName name="SF_PORCENTAJE_USO_COMBUSTIBLES_VEHICULOS_HIBRIDOS_VEHICULOS" localSheetId="47">TRANS_PAS!$F$356</definedName>
    <definedName name="SF_PORCENTAJE_VEHICULOS_NUEVOS_TRANSPORTE_INTERURBANO_HIDROCARBUROS_LIQUIDOS" localSheetId="47">TRANS_PAS!$F$565:$M$566</definedName>
    <definedName name="SF_POTENCIAL_ELECTRICO_RELLENO_SANITARIO_CH4_KWH_M3" localSheetId="40">RES_SOL!$H$178</definedName>
    <definedName name="SF_POTENCIAL_ENERGETICO_BIOMASA_PALMA_DE_ACEITE_FIBRA" localSheetId="51">AGRO_!$H$150</definedName>
    <definedName name="SF_POTENCIAL_ENERGETICO_BIOMASA_PALMA_DE_ACEITE_RAQUIS" localSheetId="51">AGRO_!$H$151</definedName>
    <definedName name="SF_POTENCIAL_ENERGETICO_POR_UD_BIOMASA_ARROZ_TAMO" localSheetId="51">AGRO_!$H$177</definedName>
    <definedName name="SF_POTENCIAL_ENERGETICO_POR_UD_BIOMASA_BANANO_BANANO_DE_RECHAZO" localSheetId="51">AGRO_!$H$184</definedName>
    <definedName name="SF_POTENCIAL_ENERGETICO_POR_UD_BIOMASA_BANANO_RAQUIS_DE_BANANO" localSheetId="51">AGRO_!$H$182</definedName>
    <definedName name="SF_POTENCIAL_ENERGETICO_POR_UD_BIOMASA_BANANO_VASTAGO" localSheetId="51">AGRO_!$H$183</definedName>
    <definedName name="SF_POTENCIAL_ENERGETICO_POR_UD_BIOMASA_CAFE_CISCO" localSheetId="51">AGRO_!$H$166</definedName>
    <definedName name="SF_POTENCIAL_ENERGETICO_POR_UD_BIOMASA_CAFE_PULPÀ" localSheetId="51">AGRO_!$H$165</definedName>
    <definedName name="SF_POTENCIAL_ENERGETICO_POR_UD_BIOMASA_CAFE_TALLOS" localSheetId="51">AGRO_!$H$167</definedName>
    <definedName name="SF_POTENCIAL_ENERGETICO_POR_UD_BIOMASA_CAÑA_DE_AZUCAR_BAGAZO" localSheetId="51">AGRO_!$H$156</definedName>
    <definedName name="SF_POTENCIAL_ENERGETICO_POR_UD_BIOMASA_CAÑA_DE_AZUCAR_COGOLLO" localSheetId="51">AGRO_!$H$155</definedName>
    <definedName name="SF_POTENCIAL_ENERGETICO_POR_UD_BIOMASA_CAÑA_PANELERA_BAGAZO" localSheetId="51">AGRO_!$H$160</definedName>
    <definedName name="SF_POTENCIAL_ENERGETICO_POR_UD_BIOMASA_CAÑA_PANELERA_HOJAS_COGOLLO" localSheetId="51">AGRO_!$H$161</definedName>
    <definedName name="SF_POTENCIAL_ENERGETICO_POR_UD_BIOMASA_CASCARILLA" localSheetId="51">AGRO_!$H$178</definedName>
    <definedName name="SF_POTENCIAL_ENERGETICO_POR_UD_BIOMASA_FIBRA_CUESCO" localSheetId="51">AGRO_!$H$149</definedName>
    <definedName name="SF_POTENCIAL_ENERGETICO_POR_UD_BIOMASA_MAIZ_CAPACHO" localSheetId="51">AGRO_!$H$173</definedName>
    <definedName name="SF_POTENCIAL_ENERGETICO_POR_UD_BIOMASA_MAIZ_RASTROJO">AGRO_!$H$171</definedName>
    <definedName name="SF_POTENCIAL_ENERGETICO_POR_UD_BIOMASA_MAIZ_TUSA" localSheetId="51">AGRO_!$H$172</definedName>
    <definedName name="SF_POTENCIAL_ENERGETICO_POR_UD_BIOMASA_PLATANO_PLATANO_DE_RECHAZO" localSheetId="51">AGRO_!$H$190</definedName>
    <definedName name="SF_POTENCIAL_ENERGETICO_POR_UD_BIOMASA_PLATANO_RAQUIS_DE_PLATANO" localSheetId="51">AGRO_!$H$188</definedName>
    <definedName name="SF_POTENCIAL_ENERGETICO_POR_UD_BIOMASA_PLATANO_VASTAGO_DE_PLATANO" localSheetId="51">AGRO_!$H$189</definedName>
    <definedName name="SF_POTENCIAL_REDUCCION_MANEJO_EFICIENTE_AGUA_CULTIVO_ARROZ" localSheetId="51">DGEN_FE!$F$671</definedName>
    <definedName name="SF_POTENCIAL_REDUCCION_MEJORES_PRACTICAS_PECUARIAS_PASTOREO_RACIONAL" localSheetId="52">GANA_!$E$151:$L$151</definedName>
    <definedName name="SF_POTENCIAL_REDUCCION_MEJORES_PRACTICAS_PECUARIAS_SUPLEMENTACION_ESTRATEGICA_MEJORA_DIETA" localSheetId="52">GANA_!$E$150:$L$150</definedName>
    <definedName name="SF_POTENCIAL_REDUCCION_PLANTACIONES_MANGO_AGUACATE" localSheetId="51">DGEN_FE!$F$669</definedName>
    <definedName name="SF_POTENCIAL_REDUCCION_PRACTICAS_SOSTENIBLES_SUELOS_GANADEROS_ARBOLES_DISPERSOS" localSheetId="52">GANA_!$E$127:$L$127</definedName>
    <definedName name="SF_POTENCIAL_REDUCCION_PRACTICAS_SOSTENIBLES_SUELOS_GANADEROS_CERCAS_VIVAS" localSheetId="52">GANA_!$E$126:$L$126</definedName>
    <definedName name="SF_POTENCIAL_REDUCCION_PRACTICAS_SOSTENIBLES_SUELOS_GANADEROS_REHABILITACION_DE_PASTURAS" localSheetId="52">GANA_!$E$128:$L$128</definedName>
    <definedName name="SF_POTENCIAL_REDUCCION_PRACTICAS_SOSTENIBLES_SUELOS_GANADEROS_SISTEMAS_SILVOPASTORALES_INTENSIVOS" localSheetId="52">GANA_!$E$125:$L$125</definedName>
    <definedName name="SF_POTENCIAL_REDUCCION_SISTEMAS_AGROFORESTALES" localSheetId="51">DGEN_FE!$F$667</definedName>
    <definedName name="SF_POTENCIAL_REDUCCION_USO_BIODIGESTORES" localSheetId="51">DGEN_FE!$F$670</definedName>
    <definedName name="SF_POTENCIAL_REDUCCION_USO_EFICIENTE_FERTILIZANTES" localSheetId="51">DGEN_FE!$F$668</definedName>
    <definedName name="SF_PRODUCCION_CARBON_CIELO_ABIERTO_PORCENTAJE" localSheetId="33">ENER_CombFosil!$F$134:$M$134</definedName>
    <definedName name="SF_PRODUCCION_CARBON_SUBTERRANEA_PORCENTAJE" localSheetId="33">ENER_CombFosil!$F$133:$M$133</definedName>
    <definedName name="SF_PRODUCCION_CARBON_T">ENER_CombFosil!$F$132:$M$132</definedName>
    <definedName name="SF_PRODUCCION_CRUDO" localSheetId="33">ENER_CombFosil!$F$124:$M$124</definedName>
    <definedName name="SF_PRODUCCION_GAS_NATURAL" localSheetId="33">ENER_CombFosil!$F$125:$M$125</definedName>
    <definedName name="SF_PROPORCION_COMBUSTIBLE_DESPEGUE_ATERRIZAJE" localSheetId="49">TRANS_AVI!$F$37:$M$37</definedName>
    <definedName name="SF_PROPORCION_HATO_HEMBRAS" localSheetId="52">GANA_!$F$95</definedName>
    <definedName name="SF_PROPORCION_HATO_MACHOS">GANA_!$F$96</definedName>
    <definedName name="SF_RELLENO_SANITARIO_CAPTACION_APROVECHAMIENTO" localSheetId="40">RES_SOL!$G$115:$N$117</definedName>
    <definedName name="SF_RENDIMIENTO_MODO_CARRETERO_INTERURBANO" localSheetId="48">TRANS_CAR!$F$255:$M$263</definedName>
    <definedName name="SF_RENDIMIENTO_MODO_CARRETERO_URBANO" localSheetId="48">TRANS_CAR!$F$243:$M$251</definedName>
    <definedName name="SF_RENDIMIENTO_MODO_TECNOLOGIA_TRANSPORTE_URBANO_BUSES" localSheetId="47">TRANS_PAS!$F$425:$M$425</definedName>
    <definedName name="SF_RENDIMIENTO_MODO_TECNOLOGIA_TRANSPORTE_URBANO_BUSES_BRT" localSheetId="47">TRANS_PAS!$F$429:$M$429</definedName>
    <definedName name="SF_RENDIMIENTO_MODO_TECNOLOGIA_TRANSPORTE_URBANO_FERREO_DIESEL" localSheetId="47">TRANS_PAS!$F$433:$M$433</definedName>
    <definedName name="SF_RENDIMIENTO_MODO_TECNOLOGIA_TRANSPORTE_URBANO_MOTOS" localSheetId="47">TRANS_PAS!$F$420:$M$421</definedName>
    <definedName name="SF_RENDIMIENTO_MODO_TECNOLOGIA_TRANSPORTE_URBANO_TAXIS" localSheetId="47">TRANS_PAS!$F$416:$M$416</definedName>
    <definedName name="SF_RENDIMIENTO_MODO_TECNOLOGIA_TRANSPORTE_URBANO_VEHICULOS" localSheetId="47">TRANS_PAS!$F$412:$M$412</definedName>
    <definedName name="SF_RENDIMIENTO_TRANSPORTE_URBANO_ELECTRICOS_BUSES" localSheetId="47">TRANS_PAS!$F$454:$M$455</definedName>
    <definedName name="SF_RENDIMIENTO_TRANSPORTE_URBANO_ELECTRICOS_BUSES_BRT" localSheetId="47">TRANS_PAS!$F$459:$M$460</definedName>
    <definedName name="SF_RENDIMIENTO_TRANSPORTE_URBANO_ELECTRICOS_BUSES_BRT">TRANS_PAS!$F$459:$M$460</definedName>
    <definedName name="SF_RENDIMIENTO_TRANSPORTE_URBANO_ELECTRICOS_FERREO" localSheetId="47">TRANS_PAS!$F$464:$M$464</definedName>
    <definedName name="SF_RENDIMIENTO_TRANSPORTE_URBANO_ELECTRICOS_MOTOS" localSheetId="47">TRANS_PAS!$F$450:$M$450</definedName>
    <definedName name="SF_RENDIMIENTO_TRANSPORTE_URBANO_ELECTRICOS_TAXIS" localSheetId="47">TRANS_PAS!$F$445:$M$446</definedName>
    <definedName name="SF_RENDIMIENTO_TRANSPORTE_URBANO_ELECTRICOS_VEHICULOS" localSheetId="47">TRANS_PAS!$F$440:$M$441</definedName>
    <definedName name="SF_RENDIMIENTO_TRANSPORTE_URBANO_GAS_NATURAL" localSheetId="47">TRANS_PAS!$F$470:$M$473</definedName>
    <definedName name="SF_RENDIMIENTO_TRANSPORTE_URBANO_NUEVOS_BUSES" localSheetId="47">TRANS_PAS!$F$378:$M$379</definedName>
    <definedName name="SF_RENDIMIENTO_TRANSPORTE_URBANO_NUEVOS_BUSES_BRT" localSheetId="47">TRANS_PAS!$F$383:$M$384</definedName>
    <definedName name="SF_RENDIMIENTO_TRANSPORTE_URBANO_NUEVOS_TAXI" localSheetId="47">TRANS_PAS!$F$373:$M$374</definedName>
    <definedName name="SF_RENDIMIENTO_TRANSPORTE_URBANO_NUEVOS_VEHICULOS" localSheetId="47">TRANS_PAS!$F$368:$M$369</definedName>
    <definedName name="SF_TASA_CRECIMIENTO_PIB_SECTOR_AGRARIO" localSheetId="51">AGRO_!$F$116:$L$116</definedName>
    <definedName name="SF_TENENCIA" localSheetId="42">EDI_RES_URB_AER!$F$284:$M$287</definedName>
    <definedName name="SF_TENENCIA" localSheetId="43">EDI_RES_URB_IRCO!$F$276:$M$279</definedName>
    <definedName name="SF_TENENCIA_ELECTRICIDAD_CALENTAR_AGUA" localSheetId="43">EDI_RES_URB_IRCO!$F$443:$M$446</definedName>
    <definedName name="SF_TENENCIA_ELECTRICIDAD_COCCION" localSheetId="43">EDI_RES_URB_IRCO!$F$436:$M$439</definedName>
    <definedName name="SF_TENENCIA_ELECTRICIDAD_OTROS" localSheetId="43">EDI_RES_URB_IRCO!$F$450:$M$453</definedName>
    <definedName name="SF_TENENCIA_GAS_NATURAL_CALENTAR_AGUA" localSheetId="43">EDI_RES_URB_IRCO!$F$466:$M$469</definedName>
    <definedName name="SF_TENENCIA_GAS_NATURAL_COCCION" localSheetId="43">EDI_RES_URB_IRCO!$F$459:$M$462</definedName>
    <definedName name="SF_TENENCIA_GAS_NATURAL_OTROS" localSheetId="43">EDI_RES_URB_IRCO!$F$473:$M$476</definedName>
    <definedName name="SF_TENENCIA_GLP_CALENTAR_AGUA" localSheetId="43">EDI_RES_URB_IRCO!$F$489:$M$492</definedName>
    <definedName name="SF_TENENCIA_GLP_COCCION" localSheetId="43">EDI_RES_URB_IRCO!$F$482:$M$485</definedName>
    <definedName name="SF_TENENCIA_REFRIGERADORES" localSheetId="43">EDI_RES_URB_IRCO!$F$528:$M$531</definedName>
    <definedName name="SF_TOTAL_DESCUENTO_5_ANOS" localSheetId="53">BOSQ_!$H$162</definedName>
    <definedName name="SF_TOTAL_VIAJES_ANUALES" localSheetId="47">TRANS_PAS!$F$590:$M$590</definedName>
    <definedName name="SF_TRANSPORTE_INTERUBANO_DISTANCIA_TIPICA_VIAJADA_POR_MODO">TRANS_PAS!$F$584:$M$584</definedName>
    <definedName name="SF_TRANSPORTE_INTERURBANO_DISTANCIA_TIPICA_VIAJADA_POR_MODO" localSheetId="47">TRANS_PAS!$F$584:$M$584</definedName>
    <definedName name="SF_TRANSPORTE_INTERURBANO_EXISTENTES_RENDIMIENTO_MODO_TECNOLOGIA" localSheetId="47">TRANS_PAS!$F$542:$M$544</definedName>
    <definedName name="SF_TRANSPORTE_INTERURBANO_EXISTENTES_RENDIMIENTO_MODO_TECNOLOGIA_ELECTRICOS" localSheetId="47">TRANS_PAS!$F$550:$M$551</definedName>
    <definedName name="SF_TRANSPORTE_INTERURBANO_EXISTENTES_RENDIMIENTO_MODO_TECNOLOGIA_GAS_NATURAL" localSheetId="47">TRANS_PAS!$F$557:$M$557</definedName>
    <definedName name="SF_TRANSPORTE_INTERURBANO_NUEVOS_RENDIMIENTO_MODO_TECNOLOGIA" localSheetId="47">TRANS_PAS!$F$533:$M$534</definedName>
    <definedName name="SF_TRANSPORTE_URBANO_DISTANCIA_VIAJADA_POR_MODO" localSheetId="47">TRANS_PAS!$F$572:$M$578</definedName>
    <definedName name="SF_TRANSPORTE_URBANO_EXISTENTES_RENDIMIENTO_MODO_TECNOLOGIA" localSheetId="47">TRANS_PAS!$F$390:$M$391</definedName>
    <definedName name="SF_TRANSPORTE_URBANO_EXISTENTES_RENDIMIENTO_MODO_TECNOLOGIA_BUSES" localSheetId="47">TRANS_PAS!$F$400:$M$401</definedName>
    <definedName name="SF_TRANSPORTE_URBANO_EXISTENTES_RENDIMIENTO_MODO_TECNOLOGIA_BUSESBRT" localSheetId="47">TRANS_PAS!$F$405:$M$406</definedName>
    <definedName name="SF_TRANSPORTE_URBANO_EXISTENTES_RENDIMIENTO_MODO_TECNOLOGIA_TAXIS" localSheetId="47">TRANS_PAS!$F$395:$M$396</definedName>
    <definedName name="SF_TRANSPORTE_URBANO_EXISTENTES_RENDIMIENTO_MODO_TECNOLOGIA_VEHICULOS">TRANS_PAS!$F$390:$M$391</definedName>
    <definedName name="SF_TRANSPORTE_URBANO_FACTOR_ACTIVIDAD" localSheetId="48">TRANS_CAR!$F$237:$M$237</definedName>
    <definedName name="SF_TRANSPORTE_URBANO_PORCENTAJE_VEHICULOS_NUEVOS_BUSES" localSheetId="47">TRANS_PAS!$F$489:$M$490</definedName>
    <definedName name="SF_TRANSPORTE_URBANO_PORCENTAJE_VEHICULOS_NUEVOS_BUSESBRT">TRANS_PAS!$F$494:$M$495</definedName>
    <definedName name="SF_TRANSPORTE_URBANO_PORCENTAJE_VEHICULOS_NUEVOS_TAXIS" localSheetId="47">TRANS_PAS!$F$484:$M$485</definedName>
    <definedName name="SF_TRANSPORTE_URBANO_PORCENTAJE_VEHICULOS_NUEVOS_VEHICULOS" localSheetId="47">TRANS_PAS!$F$479:$M$480</definedName>
    <definedName name="SF_USO_COMBUSTIBLE_AVIACION_INTERNACIONAL" localSheetId="49">TRANS_AVI!$G$30</definedName>
    <definedName name="SF_VIDA_UTIL_BICICLETA" localSheetId="47">TRANS_PAS!$F$595</definedName>
    <definedName name="SF_VIDA_UTIL_BUSES" localSheetId="47">TRANS_PAS!$F$621:$F$625</definedName>
    <definedName name="SF_VIDA_UTIL_BUSES_BRT" localSheetId="47">TRANS_PAS!$F$629:$F$632</definedName>
    <definedName name="SF_VIDA_UTIL_FERREO" localSheetId="47">TRANS_PAS!$F$636:$F$637</definedName>
    <definedName name="SF_VIDA_UTIL_MOTOS" localSheetId="47">TRANS_PAS!$F$615:$F$617</definedName>
    <definedName name="SF_VIDA_UTIL_TAXI" localSheetId="47">TRANS_PAS!$F$607:$F$611</definedName>
    <definedName name="SF_VIDA_UTIL_VEHICULOS" localSheetId="47">TRANS_PAS!$F$599:$F$603</definedName>
    <definedName name="SIN_CAPTACION" localSheetId="40">1</definedName>
    <definedName name="SISTEMA_AUTORIZADO" localSheetId="40">RES_SOL!$F$422:$M$422</definedName>
    <definedName name="SOLAR_DISTRIBUIDA_TERCIARIO" localSheetId="36">3</definedName>
    <definedName name="SOLAR_SOLAR_FOTOVOLTAICA" localSheetId="36">4</definedName>
    <definedName name="ST_AGUAS_DOMESTICAS_NO_TRATADAS" localSheetId="41">RES_AGU!$F$20*INDEX(CHOOSE(RES_AGU!$M$9,RES_AGU!$F$21:$M$23,RES_AGU!$F$29:$M$31,RES_AGU!$F$37:$M$39,RES_AGU!$F$45:$M$47),3,0)</definedName>
    <definedName name="ST_AGUAS_DOMESTICAS_REUTILIZADAS" localSheetId="41">RES_AGU!$F$20*INDEX(CHOOSE(RES_AGU!TRAYECTORIA_2,RES_AGU!$F$21:$M$23,RES_AGU!$F$29:$M$31,RES_AGU!$F$37:$M$39,RES_AGU!$F$45:$M$47),1,0)</definedName>
    <definedName name="ST_AGUAS_DOMESTICAS_TRATADAS" localSheetId="41">RES_AGU!$F$20*INDEX(CHOOSE(RES_AGU!TRAYECTORIA_2,RES_AGU!$F$21:$M$23,RES_AGU!$F$29:$M$31,RES_AGU!$F$37:$M$39,RES_AGU!$F$45:$M$47),2,0)</definedName>
    <definedName name="ST_AGUAS_RESIDUALES_INDUSTRIALES_REUTILIZADAS" localSheetId="41">RES_AGU!$F$54*CHOOSE(RES_AGU!TRAYECTORIA_2,RES_AGU!$F$55:$M$55,RES_AGU!$F$62:$M$62,RES_AGU!$F$69:$M$69,RES_AGU!$F$76:$M$76)</definedName>
    <definedName name="ST_AGUAS_RESIDUALES_INDUSTRIALES_TRATADAS" localSheetId="41">RES_AGU!$F$54*CHOOSE(RES_AGU!TRAYECTORIA_2,RES_AGU!$F$56:$M$56,RES_AGU!$F$63:$M$63,RES_AGU!$F$70:$M$70,RES_AGU!$F$77:$M$77)</definedName>
    <definedName name="ST_CAPACIDAD_GENERACION_COMBUSTIBLES_FOSILES" localSheetId="36">CHOOSE('ELECT_ Electricidad'!$M$7,'ELECT_ Electricidad'!$F$60:$M$67,'ELECT_ Electricidad'!$F$84:$M$91,'ELECT_ Electricidad'!$F$108:$M$115,'ELECT_ Electricidad'!$F$132:$M$139)</definedName>
    <definedName name="ST_CAPACIDAD_GENERACION_ENERGIAS_RENOVABLES_NO_CONVENCIONALES" localSheetId="36">CHOOSE('ELECT_ Electricidad'!$M$7,'ELECT_ Electricidad'!$F$68:$M$77,'ELECT_ Electricidad'!$F$92:$M$101,'ELECT_ Electricidad'!$F$116:$M$125,'ELECT_ Electricidad'!$F$140:$M$149)</definedName>
    <definedName name="ST_COMBUSTIBLE_AVIACION" localSheetId="49">CHOOSE(TRANS_AVI!TRAYECTORIA,TRANS_AVI!$F$17:$M$17,TRANS_AVI!$F$18:$M$18,TRANS_AVI!$F$19:$M$19,TRANS_AVI!$F$20:$M$20)</definedName>
    <definedName name="ST_COMBUSTIBLE_NAVEGACION" localSheetId="50">CHOOSE(TRANS_NAV!$M$7,TRANS_NAV!$F$17:$M$17,TRANS_NAV!$F$18:$M$18,TRANS_NAV!$F$19:$M$19,TRANS_NAV!$F$20:$M$20)</definedName>
    <definedName name="ST_DEMANDA_COCCION_GAS_NATURAL" localSheetId="43">CHOOSE(EDI_RES_URB_IRCO!TRAYECTORIA_EEEE,EDI_RES_URB_IRCO!$F$255:$M$258,EDI_RES_URB_IRCO!$F$264:$M$267,EDI_RES_URB_IRCO!$F$273:$M$276,EDI_RES_URB_IRCO!$F$282:$M$285)</definedName>
    <definedName name="ST_DEMANDA_COCCION_GLP" localSheetId="43">CHOOSE(EDI_RES_URB_IRCO!TRAYECTORIA_EEEE,EDI_RES_URB_IRCO!$F$302:$M$305,EDI_RES_URB_IRCO!$F$311:$M$314,EDI_RES_URB_IRCO!$F$320:$M$323,EDI_RES_URB_IRCO!$F$329:$M$332)</definedName>
    <definedName name="ST_DEMANDA_ENERGIA_ACONDICIONAMIENTO_ESPACIOS_DYE" localSheetId="45">CHOOSE(EDI_COM_AEC!TRAYECTORIA,EDI_COM_AEC!$F$18:$M$21,EDI_COM_AEC!$F$27:$M$30,EDI_COM_AEC!$F$36:$M$39,EDI_COM_AEC!$F$45:$M$48)</definedName>
    <definedName name="ST_DEMANDA_ENERGIA_ACONDICIONAMIENTO_ESPACIOS_DYE_TOTAL" localSheetId="45">CHOOSE(EDI_COM_AEC!TRAYECTORIA,EDI_COM_AEC!$F$22:$M$22,EDI_COM_AEC!$F$31:$M$31,EDI_COM_AEC!$F$40:$M$40,EDI_COM_AEC!$F$49:$M$49)</definedName>
    <definedName name="ST_DEMANDA_ENERGIA_ACONDICIONAMIENTO_ESPACIOS_EE_TOTAL" localSheetId="45">CHOOSE(EDI_COM_AEC!TRAYECTORIA,EDI_COM_AEC!$F$60:$M$60,EDI_COM_AEC!$F$69:$M$69,EDI_COM_AEC!$F$78:$M$78,EDI_COM_AEC!$F$87:$M$87)</definedName>
    <definedName name="ST_DEMANDA_ENERGIA_ACONDICIONAMIENTO_ESPACIOS_EFIC" localSheetId="45">CHOOSE(EDI_COM_AEC!TRAYECTORIA,EDI_COM_AEC!$F$56:$M$59,EDI_COM_AEC!$F$65:$M$68,EDI_COM_AEC!$F$74:$M$77,EDI_COM_AEC!$F$83:$M$86)</definedName>
    <definedName name="ST_DEMANDA_GLP" localSheetId="44">CHOOSE(EDI_RES_RURAL!TRAYECTORIA,EDI_RES_RURAL!$F$16:$M$16,EDI_RES_RURAL!$F$17:$M$17,EDI_RES_RURAL!$F$18:$M$18,EDI_RES_RURAL!$F$19:$M$19)</definedName>
    <definedName name="ST_DEMANDA_ILUMINACION" localSheetId="43">CHOOSE(EDI_RES_URB_IRCO!TRAYECTORIA_EEEE,EDI_RES_URB_IRCO!$F$22:$M$25,EDI_RES_URB_IRCO!$F$30:$M$33,EDI_RES_URB_IRCO!$F$38:$M$41,EDI_RES_URB_IRCO!$F$46:$M$49)</definedName>
    <definedName name="ST_DEMANDA_LENA" localSheetId="44">CHOOSE(EDI_RES_RURAL!TRAYECTORIA,EDI_RES_RURAL!$F$24:$M$24,EDI_RES_RURAL!$F$25:$M$25,EDI_RES_RURAL!$F$26:$M$26,EDI_RES_RURAL!$F$27:$M$27)</definedName>
    <definedName name="ST_DEMANDA_TOTAL_REFRIGERACION" localSheetId="43">CHOOSE(EDI_RES_URB_IRCO!TRAYECTORIA_EEEE,EDI_RES_URB_IRCO!$F$179:$M$182,EDI_RES_URB_IRCO!$F$188:$M$191,EDI_RES_URB_IRCO!$F$197:$M$200,EDI_RES_URB_IRCO!$F$206:$M$209)</definedName>
    <definedName name="ST_DESARROLLO_CONSOLIDACION_CADENA_PRODUCTIVA_PLANTACIONES_FORESTALES_FINES_COMERCIALES" localSheetId="53">CHOOSE(BOSQ_!TRAYECTORIA_3_DESARROLLO_CONSOLIDACION_CADENA_PRODUCTIVA,BOSQ_!$E$46:$L$46,BOSQ_!$E$47:$L$47,BOSQ_!$E$48:$L$48,BOSQ_!$E$49:$L$49)</definedName>
    <definedName name="ST_DISTANCIA_MODO_FERREO" localSheetId="48">CHOOSE(TRANS_CAR!TRAYECTORIA_GDTC,TRANS_CAR!$F$28:$M$28,TRANS_CAR!$F$29:$M$29,TRANS_CAR!$F$30:$M$30,TRANS_CAR!$F$31:$M$31)</definedName>
    <definedName name="ST_EFICIENCIA_ENERGETICA_REFINACION_PETROLEO" localSheetId="35">CHOOSE(ENER_Comb_fosil_IMPORT_EXPORT!$M$7,ENER_Comb_fosil_IMPORT_EXPORT!#REF!,ENER_Comb_fosil_IMPORT_EXPORT!#REF!,ENER_Comb_fosil_IMPORT_EXPORT!#REF!,ENER_Comb_fosil_IMPORT_EXPORT!#REF!)</definedName>
    <definedName name="ST_EFICIENCIA_ENERGETICA_REFINACION_PETROLEO" localSheetId="33">CHOOSE(ENER_CombFosil!$M$7,ENER_CombFosil!$F$113:$M$113,ENER_CombFosil!$F$114:$M$114,ENER_CombFosil!$F$115:$M$115,ENER_CombFosil!$F$116:$M$116)</definedName>
    <definedName name="ST_ESCENARIOS_DEFORESTACION" localSheetId="53">CHOOSE(BOSQ_!TRAYECTORIA_4_DESARROLLO_AREAS_VERDES,BOSQ_!$E$21:$L$22,BOSQ_!$E$27:$L$28,BOSQ_!$E$33:$L$34,BOSQ_!$E$39:$L$40)</definedName>
    <definedName name="ST_ESTACIONES_CON_EXTRACCION_BIOGAS_ARD" localSheetId="41">CHOOSE(RES_AGU!TRAYECTORIA_1,RES_AGU!$F$82:$M$82,RES_AGU!$F$83:$M$83,RES_AGU!$F$84:$M$84,RES_AGU!$F$85:$M$85)</definedName>
    <definedName name="ST_ESTACIONES_CON_EXTRACCIÓN_DE_BIOGÁS_INDUSTRIAL" localSheetId="41">CHOOSE(RES_AGU!TRAYECTORIA_1,RES_AGU!$F$90:$M$90,RES_AGU!$F$91:$M$91,RES_AGU!$F$92:$M$92,RES_AGU!$F$93:$M$93)</definedName>
    <definedName name="ST_EXISTENTES_DEMANDA_ACONDICIONAMIENTO_DYE" localSheetId="42">CHOOSE(EDI_RES_URB_AER!TRAYECTORIA_EDI_RES_URB_AER,EDI_RES_URB_AER!$F$26:$M$29,EDI_RES_URB_AER!$F$42:$M$45,EDI_RES_URB_AER!$F$58:$M$61,EDI_RES_URB_AER!$F$74:$M$77)</definedName>
    <definedName name="ST_EXISTENTES_DEMANDA_ACONDICIONAMIENTO_SOLO_EFIC" localSheetId="42">CHOOSE(EDI_RES_URB_AER!TRAYECTORIA_EDI_RES_URB_AER,EDI_RES_URB_AER!$F$92:$M$95,EDI_RES_URB_AER!$F$108:$M$111,EDI_RES_URB_AER!$F$124:$M$127,EDI_RES_URB_AER!$F$140:$M$143)</definedName>
    <definedName name="ST_EXISTENTES_EQUIPOS_ALTA_EFIC" localSheetId="42">CHOOSE(EDI_RES_URB_AER!TRAYECTORIA_EDI_RES_URB_AER,EDI_RES_URB_AER!$F$224:$M$227,EDI_RES_URB_AER!$F$240:$M$243,EDI_RES_URB_AER!$F$256:$M$259,EDI_RES_URB_AER!$F$272:$M$275)</definedName>
    <definedName name="ST_EXISTENTES_IMPLEMENTACION" localSheetId="42">CHOOSE(EDI_RES_URB_AER!TRAYECTORIA_EDI_RES_URB_AER,EDI_RES_URB_AER!$F$158:$M$161,EDI_RES_URB_AER!$F$174:$M$177,EDI_RES_URB_AER!$F$190:$M$193,EDI_RES_URB_AER!$F$206:$M$209)</definedName>
    <definedName name="ST_MEJORES_PRACTICAS_AGRICOLA_USO_BIODIGESTORES" localSheetId="51">CHOOSE(AGRO_!$L$7,AGRO_!$E$42:$L$42,AGRO_!$E$43:$L$43,AGRO_!$E$44:$L$44,AGRO_!$E$45:$L$45)</definedName>
    <definedName name="ST_MEJORES_PRACTICAS_AGRICOLAS_PLANTACIONES_MANGO_AGUACATE" localSheetId="51">CHOOSE(AGRO_!$L$7,AGRO_!$E$35:$L$35,AGRO_!$E$36:$L$36,AGRO_!$E$37:$L$37,AGRO_!$E$38:$L$38)</definedName>
    <definedName name="ST_MEJORES_PRACTICAS_AGRICOLAS_SISTEMAS_AGROFORESTALES" localSheetId="51">CHOOSE(AGRO_!$L$7,AGRO_!$E$21:$L$21,AGRO_!$E$22:$L$22,AGRO_!$E$23:$L$23,AGRO_!$E$24:$L$24)</definedName>
    <definedName name="ST_MEJORES_PRACTICAS_AGRICOLAS_USO_EFICIENTE_FERTILIZANTES" localSheetId="51">CHOOSE(AGRO_!$L$7,AGRO_!$E$28:$L$28,AGRO_!$E$29:$L$29,AGRO_!$E$30:$L$30,AGRO_!$E$31:$L$31)</definedName>
    <definedName name="ST_MEJORES_PRACTICAS_PECUARIAS_PASTOREO_RACIONAL" localSheetId="52">CHOOSE(GANA_!TRAYECTORIA_2_MEJORES_PRACTICAS_PECUARIAS,GANA_!$F$58:$L$58,GANA_!$F$59:$L$59,GANA_!$F$60:$L$60,GANA_!$F$61:$L$61)</definedName>
    <definedName name="ST_MEJORES_PRACTICAS_PECUARIAS_SUPLEMENTACION_ESTRATEGICA" localSheetId="52">CHOOSE(GANA_!TRAYECTORIA_2_MEJORES_PRACTICAS_PECUARIAS,GANA_!$E$51:$L$51,GANA_!$E$52:$L$52,GANA_!$E$53:$L$53,GANA_!$E$54:$L$54)</definedName>
    <definedName name="ST_NUEVOS_DEMANDA_ACONDICIONAMIENTO_DYE" localSheetId="42">CHOOSE(EDI_RES_URB_AER!TRAYECTORIA_EDI_RES_URB_AER,EDI_RES_URB_AER!$F$19:$M$22,EDI_RES_URB_AER!$F$35:$M$38,EDI_RES_URB_AER!$F$51:$M$54,EDI_RES_URB_AER!$F$67:$M$70)</definedName>
    <definedName name="ST_NUEVOS_DEMANDA_ACONDICIONAMIENTO_SOLO_EFIC" localSheetId="42">CHOOSE(EDI_RES_URB_AER!TRAYECTORIA_EDI_RES_URB_AER,EDI_RES_URB_AER!$F$85:$M$88,EDI_RES_URB_AER!$F$101:$M$104,EDI_RES_URB_AER!$F$117:$M$120,EDI_RES_URB_AER!$F$133:$M$136)</definedName>
    <definedName name="ST_NUEVOS_EQUIPOS_ALTA_EFIC" localSheetId="42">CHOOSE(EDI_RES_URB_AER!TRAYECTORIA_EDI_RES_URB_AER,EDI_RES_URB_AER!$F$217:$M$220,EDI_RES_URB_AER!$F$233:$M$236,EDI_RES_URB_AER!$F$249:$M$252,EDI_RES_URB_AER!$F$265:$M$268)</definedName>
    <definedName name="ST_NUEVOS_IMPLEMENTACION" localSheetId="42">CHOOSE(EDI_RES_URB_AER!TRAYECTORIA_EDI_RES_URB_AER,EDI_RES_URB_AER!$F$151:$M$154,EDI_RES_URB_AER!$F$167:$M$170,EDI_RES_URB_AER!$F$183:$M$186,EDI_RES_URB_AER!$F$199:$M$202)</definedName>
    <definedName name="ST_PORCENTAJE_ESTUFAS_CON_EFICIENCIA_MEJORADA" localSheetId="43">CHOOSE(EDI_RES_URB_IRCO!TRAYECTORIA_EEEE,EDI_RES_URB_IRCO!$F$291:$M$291,EDI_RES_URB_IRCO!$F$292:$M$292,EDI_RES_URB_IRCO!$F$293:$M$293,EDI_RES_URB_IRCO!$F$294:$M$294)</definedName>
    <definedName name="ST_PORCENTAJE_NEVERAS_MAS_EFICIENTES" localSheetId="43">CHOOSE(EDI_RES_URB_IRCO!TRAYECTORIA_EEEE,EDI_RES_URB_IRCO!$F$217:$M$220,EDI_RES_URB_IRCO!$F$226:$M$229,EDI_RES_URB_IRCO!$F$235:$M$238,EDI_RES_URB_IRCO!$F$244:$M$247)</definedName>
    <definedName name="ST_PORCENTAJE_REDUCCION_POR_EFICIENCIA_EN_ILUMINACION" localSheetId="46">CHOOSE(EDI_COM_UTE!TRAYECTORIA,EDI_COM_UTE!$F$19:$M$22,EDI_COM_UTE!$F$28:$M$31,EDI_COM_UTE!$F$37:$M$40,EDI_COM_UTE!$F$46:$M$49)</definedName>
    <definedName name="ST_PORCENTAJE_REDUCCION_POR_EFICIENCIA_EN_REFRIGERACION" localSheetId="46">CHOOSE(EDI_COM_UTE!TRAYECTORIA,EDI_COM_UTE!$F$57:$M$60,EDI_COM_UTE!$F$66:$M$69,EDI_COM_UTE!$F$75:$M$78,EDI_COM_UTE!$F$84:$M$87)</definedName>
    <definedName name="ST_PORCENTAJE_REDUCCION_POR_EFICIENCIA_TERMICA" localSheetId="46">CHOOSE(EDI_COM_UTE!TRAYECTORIA,EDI_COM_UTE!$F$95:$M$98,EDI_COM_UTE!$F$104:$M$107,EDI_COM_UTE!$F$113:$M$116,EDI_COM_UTE!$F$122:$M$125)</definedName>
    <definedName name="ST_PORCENTAJE_TECNOLOGIA_ILUMINACION_INCANDESCENTE" localSheetId="43">CHOOSE(EDI_RES_URB_IRCO!TRAYECTORIA_EEEE,EDI_RES_URB_IRCO!$F$57:$M$60,EDI_RES_URB_IRCO!$F$87:$M$90,EDI_RES_URB_IRCO!$F$117:$M$120,EDI_RES_URB_IRCO!$F$147:$M$150)</definedName>
    <definedName name="ST_PORCENTAJE_TECNOLOGIA_ILUMINACION_LED" localSheetId="43">CHOOSE(EDI_RES_URB_IRCO!TRAYECTORIA_EEEE,EDI_RES_URB_IRCO!$F$71:$M$74,EDI_RES_URB_IRCO!$F$101:$M$104,EDI_RES_URB_IRCO!$F$131:$M$134,EDI_RES_URB_IRCO!$F$161:$M$164)</definedName>
    <definedName name="ST_PORCENTAJE_TECNOLOGIA_ILUMINACION_LFC" localSheetId="43">CHOOSE(EDI_RES_URB_IRCO!TRAYECTORIA_EEEE,EDI_RES_URB_IRCO!$F$64:$M$67,EDI_RES_URB_IRCO!$F$94:$M$97,EDI_RES_URB_IRCO!$F$124:$M$127,EDI_RES_URB_IRCO!$F$154:$M$157)</definedName>
    <definedName name="ST_PORCENTAJE_TECNOLOGIA_ILUMINACION_OTROS" localSheetId="43">CHOOSE(EDI_RES_URB_IRCO!TRAYECTORIA_EEEE,EDI_RES_URB_IRCO!$F$78:$M$81,EDI_RES_URB_IRCO!$F$108:$M$111,EDI_RES_URB_IRCO!$F$138:$M$141,EDI_RES_URB_IRCO!$F$168:$M$171)</definedName>
    <definedName name="ST_POTENCIA_INSTALADA_AUTOGENERACION_SOLAR_FOTOVOLTAICA" localSheetId="43">CHOOSE(EDI_RES_URB_IRCO!TRAYECTORIA_AUTOGEN_FV,EDI_RES_URB_IRCO!$F$376:$M$376,EDI_RES_URB_IRCO!$F$377:$M$377,EDI_RES_URB_IRCO!$F$378:$M$378,EDI_RES_URB_IRCO!$F$379:$M$379)</definedName>
    <definedName name="ST_PRACT_SOSTENIBLES_SUELOS_GANADEROS_ARBOLES_DISPERSOS" localSheetId="52">GANA_!$F$42:$L$45</definedName>
    <definedName name="ST_PRACT_SOSTENIBLES_SUELOS_GANADEROS_CERCAS_VIVAS" localSheetId="52">GANA_!$F$35:$L$38</definedName>
    <definedName name="ST_PRACT_SOSTENIBLES_SUELOS_GANADEROS_REHABILITACION_PASTURAS" localSheetId="52">GANA_!$F$28:$L$31</definedName>
    <definedName name="ST_PRACT_SOSTENIBLES_SUELOS_GANADEROS_SIST_SILVOPASTORILES" localSheetId="52">GANA_!$F$21:$L$24</definedName>
    <definedName name="ST_PRODUCCION_ESTIERCOL_BIOENERGIA" localSheetId="52">CHOOSE(TRAYECTORIA_3_PRODUCCION_ESTIERCOL_BIOENERGIA,GANA_!$E$67:$L$67,GANA_!$E$68:$L$68,GANA_!$E$69:$L$69,GANA_!$E$70:$L$70)</definedName>
    <definedName name="ST_REDUCCION_TOTAL_DEMANDA_ENERGIA_ELECTRICA" localSheetId="43">CHOOSE(EDI_RES_URB_IRCO!TRAYECTORIA_UHC,EDI_RES_URB_IRCO!$F$340:$M$343,EDI_RES_URB_IRCO!$F$349:$M$352,EDI_RES_URB_IRCO!$F$358:$M$361,EDI_RES_URB_IRCO!$F$367:$M$370)</definedName>
    <definedName name="ST_RESIDUOS_SISTEMA_AUTORIZADO" localSheetId="40">RES_SOL!$F$18*INDEX(CHOOSE(RES_SOL!TRAYECTORIA,RES_SOL!$G$18:$N$20,RES_SOL!$G$25:$N$27,RES_SOL!$G$32:$N$34,RES_SOL!$G$39:$N$41),2,0)</definedName>
    <definedName name="ST_RESIDUOS_SISTEMA_NO_AUTORIZADO" localSheetId="40">RES_SOL!$F$18*INDEX(CHOOSE(RES_SOL!TRAYECTORIA,RES_SOL!$G$18:$N$20,RES_SOL!$G$25:$N$27,RES_SOL!$G$32:$N$34,RES_SOL!$G$39:$N$41),3,0)</definedName>
    <definedName name="ST_RESIDUOS_TOTALES" localSheetId="40">RES_SOL!$F$18*INDEX(CHOOSE(RES_SOL!TRAYECTORIA,RES_SOL!$G$18:$N$20,RES_SOL!$G$25:$N$27,RES_SOL!$G$32:$N$34,RES_SOL!$G$39:$N$41),1,0)</definedName>
    <definedName name="ST_SUSTITUCION_GASES_REFRIGERANTES" localSheetId="39">(CHOOSE(IND_!$L$12,(IND_!$E$143:$L$148),(IND_!$E$152:$L$157),(IND_!$E$161:$L$166),(IND_!$E$170:$L$175)))</definedName>
    <definedName name="ST_TIERRA_DEDICADA_A_BIOCOMBUSTIBLES_CAÑA_DE_AZUCAR_PORCENTAJE" localSheetId="51">CHOOSE(AGRO_!TRAYECTORIA_TIERRA_DEDICADA_BIOCOMBUSTIBLE,AGRO_!$E$65:$L$65,AGRO_!$E$66:$L$66,AGRO_!$E$67:$L$67,AGRO_!$E$68:$L$68)</definedName>
    <definedName name="ST_TIERRA_DEDICADA_A_BIOCOMBUSTIBLES_PALMA_DE_ACEITE_PORCENTAJE" localSheetId="51">(CHOOSE(AGRO_!TRAYECTORIA_TIERRA_DEDICADA_BIOCOMBUSTIBLE,AGRO_!$E$58:$L$58,AGRO_!$E$59:$L$59,AGRO_!$E$60:$L$60,AGRO_!$E$61:$L$61))</definedName>
    <definedName name="ST_TIPO_GESTION" localSheetId="40">CHOOSE(RES_SOL!TRAYECTORIA,RES_SOL!$G$48:$N$54,RES_SOL!$G$59:$N$65,RES_SOL!$G$70:$N$76,RES_SOL!$G$81:$N$87)</definedName>
    <definedName name="ST_TRANSPORTE_INTERURBANO_CARGA_SUSTITUIDA_MODO" localSheetId="48">CHOOSE(TRANS_CAR!TRAYECTORIA_GDTC,TRANS_CAR!$F$65:$M$68,TRANS_CAR!$F$73:$M$76,TRANS_CAR!$F$81:$M$84,TRANS_CAR!$F$89:$M$92)</definedName>
    <definedName name="ST_TRANSPORTE_INTERURBANO_DISTANCIA_TRANSPORTE_CARRETERO" localSheetId="48">CHOOSE(TRANS_CAR!TRAYECTORIA_GDTC,TRANS_CAR!$F$37:$M$37,TRANS_CAR!$F$38:$M$38,TRANS_CAR!$F$39:$M$39,TRANS_CAR!$F$40:$M$40)</definedName>
    <definedName name="ST_TRANSPORTE_INTERURBANO_DISTRIBUCION_TECNOLOGIA_CARRETERO" localSheetId="48">CHOOSE(TRANS_CAR!TRAYECTORIA_EEUTLTC,TRANS_CAR!$F$158:$M$166,TRANS_CAR!$F$177:$M$185,TRANS_CAR!$F$196:$M$204,TRANS_CAR!$F$215:$M$223)</definedName>
    <definedName name="ST_TRANSPORTE_INTERURBANO_DISTRIBUCION_TECNOLOGIA_FERREO" localSheetId="48">CHOOSE(TRANS_CAR!TRAYECTORIA_EEUTLTC,TRANS_CAR!$F$170:$M$171,TRANS_CAR!$F$189:$M$190,TRANS_CAR!$F$208:$M$209,TRANS_CAR!$F$227:$M$228)</definedName>
    <definedName name="ST_TRANSPORTE_INTERURBANO_USO_ENERGIA_AEREO" localSheetId="48">CHOOSE(TRANS_CAR!TRAYECTORIA_GDTC,TRANS_CAR!$F$55:$M$55,TRANS_CAR!$F$56:$M$56,TRANS_CAR!$F$57:$M$57,TRANS_CAR!$F$58:$M$58)</definedName>
    <definedName name="ST_TRANSPORTE_INTERURBANO_USO_ENERGIA_FLUVIAL" localSheetId="48">CHOOSE(TRANS_CAR!TRAYECTORIA_GDTC,TRANS_CAR!$F$46:$M$46,TRANS_CAR!$F$47:$M$47,TRANS_CAR!$F$48:$M$48,TRANS_CAR!$F$49:$M$49)</definedName>
    <definedName name="ST_TRANSPORTE_URBANO_DISTANCIA_PROMEDIO_POR_VIAJE_POR_MODO" localSheetId="47">CHOOSE(TRANS_PAS!TRAYECTORIA_GDTP,TRANS_PAS!$F$74:$M$81,TRANS_PAS!$F$86:$M$93,TRANS_PAS!$F$98:$M$105,TRANS_PAS!$F$110:$M$117)</definedName>
    <definedName name="ST_TRANSPORTE_URBANO_DISTRIBUCION_MODAL" localSheetId="47">CHOOSE(TRANS_PAS!TRAYECTORIA_GDTP,TRANS_PAS!$F$20:$M$28,TRANS_PAS!$F$33:$M$41,TRANS_PAS!$F$46:$M$54,TRANS_PAS!$F$59:$M$67)</definedName>
    <definedName name="ST_TRANSPORTE_URBANO_DISTRIBUCION_TECNOLOGIA" localSheetId="48">CHOOSE(TRANS_CAR!TRAYECTORIA_EEUTLTC,TRANS_CAR!$F$100:$M$108,TRANS_CAR!$F$114:$M$122,TRANS_CAR!$F$128:$M$136,TRANS_CAR!$F$142:$M$150)</definedName>
    <definedName name="ST_TRANSPORTE_URBANO_DISTRIBUCION_TECNOLOGIA_BICICLETA" localSheetId="47">CHOOSE(TRANS_PAS!TRAYECTORIA_EEUTLTP,TRANS_PAS!$F$124:$M$124,TRANS_PAS!$F$180:$M$180,TRANS_PAS!$F$236:$M$236,TRANS_PAS!$F$292:$M$292)</definedName>
    <definedName name="ST_TRANSPORTE_URBANO_DISTRIBUCION_TECNOLOGIA_BUSES" localSheetId="47">CHOOSE(TRANS_PAS!TRAYECTORIA_EEUTLTP,TRANS_PAS!$F$154:$M$160,TRANS_PAS!$F$210:$M$216,TRANS_PAS!$F$266:$M$272,TRANS_PAS!$F$322:$M$328)</definedName>
    <definedName name="ST_TRANSPORTE_URBANO_DISTRIBUCION_TECNOLOGIA_BUSES_BRT" localSheetId="47">CHOOSE(TRANS_PAS!TRAYECTORIA_EEUTLTP,TRANS_PAS!$F$164:$M$170,TRANS_PAS!$F$220:$M$226,TRANS_PAS!$F$276:$M$282,TRANS_PAS!$F$332:$M$338)</definedName>
    <definedName name="ST_TRANSPORTE_URBANO_DISTRIBUCION_TECNOLOGIA_FERREO" localSheetId="47">CHOOSE(TRANS_PAS!TRAYECTORIA_EEUTLTP,TRANS_PAS!$F$174:$M$175,TRANS_PAS!$F$230:$M$231,TRANS_PAS!$F$286:$M$287,TRANS_PAS!$F$342:$M$343)</definedName>
    <definedName name="ST_TRANSPORTE_URBANO_DISTRIBUCION_TECNOLOGIA_MOTOS" localSheetId="47">CHOOSE(TRANS_PAS!TRAYECTORIA_EEUTLTP,TRANS_PAS!$F$148:$M$150,TRANS_PAS!$F$204:$M$206,TRANS_PAS!$F$260:$M$262,TRANS_PAS!$F$316:$M$318)</definedName>
    <definedName name="ST_TRANSPORTE_URBANO_DISTRIBUCION_TECNOLOGIA_TAXI" localSheetId="47">CHOOSE(TRANS_PAS!TRAYECTORIA_EEUTLTP,TRANS_PAS!$F$138:$M$144,TRANS_PAS!$F$194:$M$200,TRANS_PAS!$F$250:$M$256,TRANS_PAS!$F$306:$M$312)</definedName>
    <definedName name="ST_TRANSPORTE_URBANO_DISTRIBUCION_TECNOLOGIA_VEHICULOS" localSheetId="47">CHOOSE(TRANS_PAS!TRAYECTORIA_EEUTLTP,TRANS_PAS!$F$128:$M$134,TRANS_PAS!$F$184:$M$190,TRANS_PAS!$F$240:$M$246,TRANS_PAS!$F$296:$M$302)</definedName>
    <definedName name="ST_TRANSPORTE_URBANO_USO_ENERGIA_TRANSPORTE_FERREO" localSheetId="48">CHOOSE(TRANS_CAR!TRAYECTORIA_GDTC,TRANS_CAR!$F$19:$M$19,TRANS_CAR!$F$20:$M$20,TRANS_CAR!$F$21:$M$21,TRANS_CAR!$F$22:$M$22)</definedName>
    <definedName name="TAXI" localSheetId="47">4</definedName>
    <definedName name="TECNOLOGÍA_BICICLETA" localSheetId="47">1</definedName>
    <definedName name="TEMPLADO">2</definedName>
    <definedName name="Termoelectrica_carbon" localSheetId="36">2</definedName>
    <definedName name="TERMOELECTRICA_CARBON">2</definedName>
    <definedName name="TERMOELECTRICA_CARBON_CCUS" localSheetId="36">8</definedName>
    <definedName name="TERMOELECTRICA_GAS_NATURAL" localSheetId="36">1</definedName>
    <definedName name="TERMOELECTRICA_GAS_NATURAL_CCUS" localSheetId="36">7</definedName>
    <definedName name="TEXTILES" localSheetId="40">4</definedName>
    <definedName name="TRATAMIENTO_MECANICOBIOLOGICO">4</definedName>
    <definedName name="TRAYECTORIA" localSheetId="45">EDI_COM_AEC!$M$7</definedName>
    <definedName name="TRAYECTORIA" localSheetId="46">EDI_COM_UTE!$M$7</definedName>
    <definedName name="TRAYECTORIA" localSheetId="44">EDI_RES_RURAL!$M$7</definedName>
    <definedName name="TRAYECTORIA" localSheetId="40">RES_SOL!$N$7</definedName>
    <definedName name="TRAYECTORIA" localSheetId="49">TRANS_AVI!$M$7</definedName>
    <definedName name="TRAYECTORIA_1" localSheetId="41">RES_AGU!$M$7</definedName>
    <definedName name="TRAYECTORIA_1_MEJORES_PRACTICAS_AGRICOLAS" localSheetId="51">AGRO_!$L$7</definedName>
    <definedName name="TRAYECTORIA_1_PRACTICAS_SOSTENIBLES_SUELOS_GANADEROS">GANA_!$L$7</definedName>
    <definedName name="TRAYECTORIA_2" localSheetId="41">RES_AGU!$M$9</definedName>
    <definedName name="TRAYECTORIA_2_MEJORES_PRACTICAS_PECUARIAS" localSheetId="52">GANA_!$L$9</definedName>
    <definedName name="TRAYECTORIA_3_DESARROLLO_CONSOLIDACION_CADENA_PRODUCTIVA" localSheetId="53">BOSQ_!$L$7</definedName>
    <definedName name="TRAYECTORIA_3_PRODUCCION_ESTIERCOL_BIOENERGIA">GANA_!$L$11</definedName>
    <definedName name="TRAYECTORIA_4_DESARROLLO_AREAS_VERDES" localSheetId="53">BOSQ_!$L$9</definedName>
    <definedName name="TRAYECTORIA_AGRICULTURA_PRODUCCION_DE_BIOMASA">CONTROL!$D$79</definedName>
    <definedName name="TRAYECTORIA_AGRICULTURA_TIERRA_DEDICADA_BIOCOMBUSTIBLES">CONTROL!$D$80</definedName>
    <definedName name="TRAYECTORIA_APROVECHAMIENTO_BIOGAS">CONTROL!$D$39</definedName>
    <definedName name="TRAYECTORIA_AUMENTO_TRAT_AGUA">CONTROL!$D$40</definedName>
    <definedName name="TRAYECTORIA_AUTOGEN_FV" localSheetId="43">EDI_RES_URB_IRCO!$M$11</definedName>
    <definedName name="TRAYECTORIA_BOSQUES_DESARROLLO_AREAS_VERDES">CONTROL!$D$91</definedName>
    <definedName name="TRAYECTORIA_BOSQUES_DESARROLLO_CONSOLIDACION_CADENA_PRODUCTIVA">CONTROL!$D$90</definedName>
    <definedName name="TRAYECTORIA_BOSQUES_PREVENCION_DEGRADACION">CONTROL!#REF!</definedName>
    <definedName name="TRAYECTORIA_BOSQUES_REDUCCION_DEFORESTACION">CONTROL!#REF!</definedName>
    <definedName name="TRAYECTORIA_EDI_RES_URB_AER" localSheetId="42">EDI_RES_URB_AER!$M$7</definedName>
    <definedName name="TRAYECTORIA_EDIF_COMERCIALES_ACONDI">CONTROL!$D$56</definedName>
    <definedName name="TRAYECTORIA_EDIF_COMERCIALES_EQUIPAMIENTO">CONTROL!$D$58</definedName>
    <definedName name="TRAYECTORIA_EDIF_RES__RURAL">CONTROL!$D$52</definedName>
    <definedName name="TRAYECTORIA_EDIF_RES_ACONDICI">CONTROL!$D$46</definedName>
    <definedName name="TRAYECTORIA_EDIF_RES_EQUIPOS_EFICIENTES">CONTROL!$D$48</definedName>
    <definedName name="TRAYECTORIA_EDIF_RES_EQUIPOS_USO_HABITOS">CONTROL!$D$49</definedName>
    <definedName name="TRAYECTORIA_EDIFICACIONES_RESIDENCIALES_AUTOGENERACION_SOLAR">CONTROL!$D$50</definedName>
    <definedName name="TRAYECTORIA_EEEE" localSheetId="43">EDI_RES_URB_IRCO!$M$7</definedName>
    <definedName name="TRAYECTORIA_EEUTLTC" localSheetId="48">TRANS_CAR!$M$9</definedName>
    <definedName name="TRAYECTORIA_EEUTLTP" localSheetId="47">TRANS_PAS!$M$9</definedName>
    <definedName name="TRAYECTORIA_EFICIENCIA_ENERGETICA_PRODUCCION_HIDROCARBUROS">CONTROL!$D$20</definedName>
    <definedName name="TRAYECTORIA_EFICIENCIA_OPTIMIZACION_INDUSTRIA">CONTROL!$D$28</definedName>
    <definedName name="TRAYECTORIA_GANADERIA_MEJORES_PRACTICAS_PECUARIAS">CONTROL!$D$85</definedName>
    <definedName name="TRAYECTORIA_GANADERIA_PACTICAS_SOSTENIBLES_EN_SUELOS_GANADEROS">CONTROL!$D$84</definedName>
    <definedName name="TRAYECTORIA_GANADERIA_PRODUCCION_ESTIERCOL">CONTROL!$D$86</definedName>
    <definedName name="TRAYECTORIA_GDTC" localSheetId="48">TRANS_CAR!$M$7</definedName>
    <definedName name="TRAYECTORIA_GDTP" localSheetId="47">TRANS_PAS!$M$7</definedName>
    <definedName name="TRAYECTORIA_GESTION_LADRILLERAS">CONTROL!$D$31</definedName>
    <definedName name="TRAYECTORIA_MEJORES_PRACTICAS_AGRICOLAS">CONTROL!$D$78</definedName>
    <definedName name="TRAYECTORIA_PARTICIPACION_COMBUSTIBLES_FOSILES_GENERACION_ELECTRICA">CONTROL!$D$24</definedName>
    <definedName name="TRAYECTORIA_PRACTICAS_SOSTENIBLES_SUELOS_GANADEROS" localSheetId="52">GANA_!$L$7</definedName>
    <definedName name="TRAYECTORIA_PROCESOS_PRODUCTIVOS_SOSTENIBLES">CONTROL!$D$29</definedName>
    <definedName name="TRAYECTORIA_PRODUCCION_BIOMASA" localSheetId="51">AGRO_!$L$9</definedName>
    <definedName name="TRAYECTORIA_PRODUCCION_ESTIERCOL_BIOENERGIA" localSheetId="52">GANA_!$L$11</definedName>
    <definedName name="TRAYECTORIA_RESIDUOS_SOLIDOS">CONTROL!$D$36</definedName>
    <definedName name="TRAYECTORIA_SUSTITUCION_GASES_REFRIGERANTES">CONTROL!$D$30</definedName>
    <definedName name="TRAYECTORIA_TIERRA_DEDICADA_BIOCOMBUSTIBLE" localSheetId="51">AGRO_!$L$11</definedName>
    <definedName name="TRAYECTORIA_TRANSPORTE_AVIACION">CONTROL!$D$71</definedName>
    <definedName name="TRAYECTORIA_TRANSPORTE_CARGA_EFICIENCIA">CONTROL!$D$68</definedName>
    <definedName name="TRAYECTORIA_TRANSPORTE_GESTION_DEMANDA_TRANSPORTE_CARGA">CONTROL!$D$67</definedName>
    <definedName name="TRAYECTORIA_TRANSPORTE_NAVEGA">CONTROL!$D$74</definedName>
    <definedName name="TRAYECTORIA_TRANSPORTE_PAS_EFICIENCIA">CONTROL!$D$64</definedName>
    <definedName name="TRAYECTORIA_TRANSPORTE_PASAJEROS_GESTION_DEMANDA">CONTROL!$D$63</definedName>
    <definedName name="TRAYECTORIA_UHC" localSheetId="43">EDI_RES_URB_IRCO!$M$9</definedName>
    <definedName name="TREN_COMBUSTION_CONVENCIONAL_DIESEL" localSheetId="48">1</definedName>
    <definedName name="TREN_ELECTRICO" localSheetId="48">2</definedName>
    <definedName name="UNIDAD_AÑO_A_SEGUNDO">DGEN_CONVERSIONES!$H$56</definedName>
    <definedName name="UNIDAD_BARRIL_BEQ_A_M3">0.15898</definedName>
    <definedName name="UNIDAD_BCM_A_TWH">DGEN_CONVERSIONES!$H$23</definedName>
    <definedName name="UNIDAD_BI_A_GAL">DGEN_CONVERSIONES!$E$29</definedName>
    <definedName name="UNIDAD_BOE_A_TEH">DGEN_CONVERSIONES!$H$17</definedName>
    <definedName name="UNIDAD_BTU_A_JOULE">DGEN_CONVERSIONES!$E$34</definedName>
    <definedName name="UNIDAD_CALORIA_A_TWH">DGEN_CONVERSIONES!$H$22</definedName>
    <definedName name="UNIDAD_DENSIDAD_BIODIESEL_PALMA">DGEN_CONSTANTES!$H$51</definedName>
    <definedName name="UNIDAD_DENSIDAD_FUEL_OIL">DGEN_CONSTANTES!$H$53</definedName>
    <definedName name="UNIDAD_DIA_A_SEGUNDO">DGEN_CONVERSIONES!$H$57</definedName>
    <definedName name="UNIDAD_G_A_T">1000000</definedName>
    <definedName name="UNIDAD_GAL_A_IT">DGEN_CONVERSIONES!$E$28</definedName>
    <definedName name="UNIDAD_GAL_A_TJ">0.000139</definedName>
    <definedName name="UNIDAD_GAL_TWH_DIESEL">DGEN_CONSTANTES!DIESEL_PODER_CALORIFICO*DGEN_CONSTANTES!DENSIDAD_DIESEL*DGEN_CONSTANTES!GAL_LITRO</definedName>
    <definedName name="UNIDAD_GAL_TWH_GASOLINA">DGEN_CONSTANTES!GASOLINA_PODER_CALORIFICO*DGEN_CONSTANTES!DENSIDAD_GASOLINA*DGEN_CONSTANTES!GAL_LITRO</definedName>
    <definedName name="UNIDAD_Gg_A_T">1000</definedName>
    <definedName name="UNIDAD_GJ_A_TWH">DGEN_CONVERSIONES!$H$10</definedName>
    <definedName name="UNIDAD_GW_A_GW">DGEN_CONVERSIONES!$H$45</definedName>
    <definedName name="UNIDAD_GWH_A_TWH">DGEN_CONVERSIONES!$H$15</definedName>
    <definedName name="UNIDAD_HA_A_HA">DGEN_CONVERSIONES!$H$65</definedName>
    <definedName name="UNIDAD_HA_A_KM2">0.01</definedName>
    <definedName name="UNIDAD_HA_A_M2">"10000 "</definedName>
    <definedName name="UNIDAD_HA_A_MHA">0.000001</definedName>
    <definedName name="UNIDAD_HORA_A_SEGUNDO">DGEN_CONVERSIONES!$H$58</definedName>
    <definedName name="UNIDAD_IT_A_KBI">DGEN_CONVERSIONES!$E$33</definedName>
    <definedName name="UNIDAD_J_A_TWH">DGEN_CONVERSIONES!$H$11</definedName>
    <definedName name="UNIDAD_KBI_A_BL">DGEN_CONVERSIONES!$E$32</definedName>
    <definedName name="UNIDAD_KG_A_MT">10^-9</definedName>
    <definedName name="UNIDAD_KG_A_T">0.001</definedName>
    <definedName name="UNIDAD_KM2_A_HA">DGEN_CONVERSIONES!$H$67</definedName>
    <definedName name="UNIDAD_KTOE_A_TWH">DGEN_CONVERSIONES!$H$20</definedName>
    <definedName name="UNIDAD_KTON_A_KG">1*10^6</definedName>
    <definedName name="UNIDAD_KW_A_GW">DGEN_CONVERSIONES!$H$47</definedName>
    <definedName name="UNIDAD_KW_A_MW">0.0001</definedName>
    <definedName name="UNIDAD_KWH_A_TWH">DGEN_CONVERSIONES!$H$13</definedName>
    <definedName name="UNIDAD_M2_A_HA">DGEN_CONVERSIONES!$H$68</definedName>
    <definedName name="UNIDAD_M3_A_BL">DGEN_CONVERSIONES!$E$30</definedName>
    <definedName name="UNIDAD_M3_A_GAL">DGEN_CONVERSIONES!$E$36</definedName>
    <definedName name="UNIDAD_M3_A_IT">DGEN_CONVERSIONES!$E$31</definedName>
    <definedName name="UNIDAD_M3_A_PC">DGEN_CONVERSIONES!$E$26</definedName>
    <definedName name="UNIDAD_M3_A_PIE3">35.3147</definedName>
    <definedName name="UNIDAD_Mbep_A_BEP">10^6</definedName>
    <definedName name="UNIDAD_MBOE_A_TWH">DGEN_CONVERSIONES!$H$18</definedName>
    <definedName name="UNIDAD_MBTU_A_TWH">DGEN_CONVERSIONES!$E$37</definedName>
    <definedName name="UNIDAD_MCM.D_GN_A_GW">DGEN_CONVERSIONES!$H$49</definedName>
    <definedName name="UNIDAD_MHA_A_HA">DGEN_CONVERSIONES!$H$66</definedName>
    <definedName name="UNIDAD_MINUTO_A_SEGUNDO">DGEN_CONVERSIONES!$H$59</definedName>
    <definedName name="UNIDAD_MJ_A_TWH">DGEN_CONVERSIONES!$H$12</definedName>
    <definedName name="UNIDAD_MPC_A_M3">DGEN_CONVERSIONES!$E$27</definedName>
    <definedName name="UNIDAD_MPIE3_A_MTBU">DGEN_CONVERSIONES!$E$38</definedName>
    <definedName name="UNIDAD_MT_A_Gg">1000</definedName>
    <definedName name="UNIDAD_MT_A_T">1000000</definedName>
    <definedName name="UNIDAD_MTOE_A_TWH">DGEN_CONVERSIONES!$H$21</definedName>
    <definedName name="UNIDAD_MTOE_POR_ANO_A_GW">DGEN_CONVERSIONES!$H$50</definedName>
    <definedName name="UNIDAD_MW_A_GW">DGEN_CONVERSIONES!$H$46</definedName>
    <definedName name="UNIDAD_MWH_A_ATWH">10^-6</definedName>
    <definedName name="UNIDAD_PG_A_TWH">DGEN_CONVERSIONES!$H$8</definedName>
    <definedName name="UNIDAD_PJ_A_TWH">0.27777777777778</definedName>
    <definedName name="UNIDAD_T_A_KG">1000</definedName>
    <definedName name="UNIDAD_T_A_MT">10^-6</definedName>
    <definedName name="UNIDAD_TCAL_A_CAL">"1*10^12"</definedName>
    <definedName name="UNIDAD_TCAL_A_TJ">4.184</definedName>
    <definedName name="UNIDAD_TJ_A_TWH">DGEN_CONVERSIONES!$H$9</definedName>
    <definedName name="UNIDAD_TOE_A_TWH">DGEN_CONVERSIONES!$H$18</definedName>
    <definedName name="UNIDAD_TRANSP_KG_A_TJ">0.000055205797487295</definedName>
    <definedName name="UNIDAD_TRANSP_LB_A_TJ">0.00002127059093806</definedName>
    <definedName name="UNIDAD_TWH_A_GJ">3600000</definedName>
    <definedName name="UNIDAD_TWH_A_MWH">1000000</definedName>
    <definedName name="UNIDAD_TWH_A_PJ">3.6</definedName>
    <definedName name="UNIDAD_TWH_A_TJ">3600</definedName>
    <definedName name="UNIDAD_TWH_A_TWH">DGEN_CONVERSIONES!$H$14</definedName>
    <definedName name="UNIDAD_W_A_GW">DGEN_CONVERSIONES!$H$48</definedName>
    <definedName name="UNIDAD_WH_A_JOULE">DGEN_CONVERSIONES!$E$35</definedName>
    <definedName name="VEHICULO_COMBUSTION_CONVENCIONAL_DIESEL" localSheetId="48">2</definedName>
    <definedName name="VEHICULO_COMBUSTION_CONVENCIONAL_GASOLINA" localSheetId="48">1</definedName>
    <definedName name="Vehículo_de_combustión_convencional_Diesel" localSheetId="47">2</definedName>
    <definedName name="Vehículo_de_combustión_convencional_Gasolina" localSheetId="47">1</definedName>
    <definedName name="VEHICULO_ELECTRICO" localSheetId="48">8</definedName>
    <definedName name="VEHICULO_GLP" localSheetId="48">5</definedName>
    <definedName name="VEHICULO_HIBRIDO_DIESEL" localSheetId="48">7</definedName>
    <definedName name="Vehiculo_hibrido_enchufable_gasolina_ST" localSheetId="47">3</definedName>
    <definedName name="VEHICULO_HIBRIDO_GASOLINA" localSheetId="48">6</definedName>
    <definedName name="VEHICULO_HIDROGENO" localSheetId="48">9</definedName>
    <definedName name="VEHICULOS_LIVIANOS" localSheetId="47">3</definedName>
    <definedName name="VF_VIDA_UTIL" localSheetId="48">TRANS_CAR!$F$276:$F$284</definedName>
    <definedName name="ZONA_CLIMATICA_EXCESIVAMENTE_HUMEDO" localSheetId="40">RES_SOL!$F$122</definedName>
    <definedName name="ZONA_CLIMATICA_HUMEDO" localSheetId="40">RES_SOL!$F$123</definedName>
    <definedName name="ZONA_CLIMATICA_MODERADAMENTE_HUMEDO" localSheetId="40">RES_SOL!$F$124</definedName>
    <definedName name="ZONA_CLIMATICA_MODERADAMENTE_SECO" localSheetId="40">RES_SOL!$F$125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95" i="12" l="1" a="1"/>
  <c r="E395" i="12" s="1"/>
  <c r="E383" i="12"/>
  <c r="E384" i="12"/>
  <c r="E385" i="12"/>
  <c r="E386" i="12"/>
  <c r="E387" i="12"/>
  <c r="E382" i="12"/>
  <c r="E381" i="12"/>
  <c r="E258" i="32" a="1"/>
  <c r="E258" i="32" s="1"/>
  <c r="E252" i="32" a="1"/>
  <c r="E252" i="32" s="1"/>
  <c r="F40" i="32"/>
  <c r="G40" i="32"/>
  <c r="H40" i="32"/>
  <c r="I40" i="32"/>
  <c r="J40" i="32"/>
  <c r="K40" i="32"/>
  <c r="L40" i="32"/>
  <c r="E40" i="32"/>
  <c r="F34" i="32"/>
  <c r="G34" i="32"/>
  <c r="H34" i="32"/>
  <c r="I34" i="32"/>
  <c r="J34" i="32"/>
  <c r="K34" i="32"/>
  <c r="L34" i="32"/>
  <c r="F28" i="32"/>
  <c r="G28" i="32"/>
  <c r="H28" i="32"/>
  <c r="I28" i="32"/>
  <c r="J28" i="32"/>
  <c r="K28" i="32"/>
  <c r="L28" i="32"/>
  <c r="E34" i="32"/>
  <c r="E28" i="32"/>
  <c r="F65" i="16"/>
  <c r="F87" i="16"/>
  <c r="F76" i="16"/>
  <c r="P47" i="16" a="1"/>
  <c r="P47" i="16" s="1"/>
  <c r="Q47" i="16" s="1" a="1"/>
  <c r="Q47" i="16" s="1"/>
  <c r="F150" i="56" l="1"/>
  <c r="G150" i="56"/>
  <c r="H150" i="56"/>
  <c r="I150" i="56"/>
  <c r="J150" i="56"/>
  <c r="K150" i="56"/>
  <c r="L150" i="56"/>
  <c r="M150" i="56"/>
  <c r="F258" i="59" a="1"/>
  <c r="F258" i="59" s="1"/>
  <c r="F97" i="19" l="1" a="1"/>
  <c r="F97" i="19" s="1"/>
  <c r="E218" i="7" l="1"/>
  <c r="X230" i="7" l="1"/>
  <c r="M66" i="17"/>
  <c r="L66" i="17"/>
  <c r="K66" i="17"/>
  <c r="J66" i="17"/>
  <c r="I66" i="17"/>
  <c r="H66" i="17"/>
  <c r="G66" i="17"/>
  <c r="F66" i="17"/>
  <c r="M65" i="17"/>
  <c r="L65" i="17"/>
  <c r="K65" i="17"/>
  <c r="J65" i="17"/>
  <c r="I65" i="17"/>
  <c r="H65" i="17"/>
  <c r="G65" i="17"/>
  <c r="F65" i="17"/>
  <c r="M64" i="17"/>
  <c r="L64" i="17"/>
  <c r="K64" i="17"/>
  <c r="J64" i="17"/>
  <c r="I64" i="17"/>
  <c r="H64" i="17"/>
  <c r="G64" i="17"/>
  <c r="F64" i="17"/>
  <c r="M53" i="17"/>
  <c r="L53" i="17"/>
  <c r="K53" i="17"/>
  <c r="J53" i="17"/>
  <c r="I53" i="17"/>
  <c r="H53" i="17"/>
  <c r="G53" i="17"/>
  <c r="F53" i="17"/>
  <c r="M52" i="17"/>
  <c r="L52" i="17"/>
  <c r="K52" i="17"/>
  <c r="J52" i="17"/>
  <c r="I52" i="17"/>
  <c r="H52" i="17"/>
  <c r="G52" i="17"/>
  <c r="F52" i="17"/>
  <c r="M51" i="17"/>
  <c r="L51" i="17"/>
  <c r="K51" i="17"/>
  <c r="J51" i="17"/>
  <c r="I51" i="17"/>
  <c r="H51" i="17"/>
  <c r="G51" i="17"/>
  <c r="F51" i="17"/>
  <c r="M40" i="17"/>
  <c r="L40" i="17"/>
  <c r="K40" i="17"/>
  <c r="J40" i="17"/>
  <c r="I40" i="17"/>
  <c r="H40" i="17"/>
  <c r="G40" i="17"/>
  <c r="F40" i="17"/>
  <c r="M39" i="17"/>
  <c r="L39" i="17"/>
  <c r="K39" i="17"/>
  <c r="J39" i="17"/>
  <c r="I39" i="17"/>
  <c r="H39" i="17"/>
  <c r="G39" i="17"/>
  <c r="F39" i="17"/>
  <c r="M38" i="17"/>
  <c r="L38" i="17"/>
  <c r="K38" i="17"/>
  <c r="J38" i="17"/>
  <c r="I38" i="17"/>
  <c r="H38" i="17"/>
  <c r="G38" i="17"/>
  <c r="F38" i="17"/>
  <c r="E390" i="16" l="1" a="1"/>
  <c r="E390" i="16" s="1"/>
  <c r="E1842" i="7" a="1"/>
  <c r="E1842" i="7" s="1"/>
  <c r="L7" i="13" l="1"/>
  <c r="AB50" i="50" l="1"/>
  <c r="E315" i="13" a="1"/>
  <c r="E315" i="13" s="1"/>
  <c r="E321" i="13" s="1" a="1"/>
  <c r="E321" i="13" s="1"/>
  <c r="E209" i="13" s="1" a="1"/>
  <c r="E209" i="13" s="1"/>
  <c r="K44" i="7"/>
  <c r="L11" i="13" l="1"/>
  <c r="L9" i="13"/>
  <c r="E290" i="13" l="1" a="1"/>
  <c r="E290" i="13" s="1"/>
  <c r="E295" i="13" s="1" a="1"/>
  <c r="E295" i="13" s="1"/>
  <c r="E301" i="13" s="1" a="1"/>
  <c r="E301" i="13" s="1"/>
  <c r="G383" i="59" l="1" a="1"/>
  <c r="G383" i="59" s="1"/>
  <c r="N26" i="67" l="1"/>
  <c r="L9" i="12" l="1"/>
  <c r="F1221" i="17" l="1" a="1"/>
  <c r="F1221" i="17" s="1"/>
  <c r="F85" i="32"/>
  <c r="G85" i="32"/>
  <c r="H85" i="32"/>
  <c r="I85" i="32"/>
  <c r="J85" i="32"/>
  <c r="K85" i="32"/>
  <c r="L85" i="32"/>
  <c r="F87" i="32"/>
  <c r="G87" i="32"/>
  <c r="H87" i="32"/>
  <c r="I87" i="32"/>
  <c r="J87" i="32"/>
  <c r="K87" i="32"/>
  <c r="L87" i="32"/>
  <c r="F88" i="32"/>
  <c r="G88" i="32"/>
  <c r="H88" i="32"/>
  <c r="I88" i="32"/>
  <c r="J88" i="32"/>
  <c r="K88" i="32"/>
  <c r="L88" i="32"/>
  <c r="F89" i="32"/>
  <c r="G89" i="32"/>
  <c r="H89" i="32"/>
  <c r="I89" i="32"/>
  <c r="J89" i="32"/>
  <c r="K89" i="32"/>
  <c r="L89" i="32"/>
  <c r="F90" i="32"/>
  <c r="G90" i="32"/>
  <c r="H90" i="32"/>
  <c r="I90" i="32"/>
  <c r="J90" i="32"/>
  <c r="K90" i="32"/>
  <c r="L90" i="32"/>
  <c r="F91" i="32"/>
  <c r="G91" i="32"/>
  <c r="H91" i="32"/>
  <c r="I91" i="32"/>
  <c r="J91" i="32"/>
  <c r="K91" i="32"/>
  <c r="L91" i="32"/>
  <c r="F92" i="32"/>
  <c r="G92" i="32"/>
  <c r="H92" i="32"/>
  <c r="I92" i="32"/>
  <c r="J92" i="32"/>
  <c r="K92" i="32"/>
  <c r="L92" i="32"/>
  <c r="F93" i="32"/>
  <c r="G93" i="32"/>
  <c r="H93" i="32"/>
  <c r="I93" i="32"/>
  <c r="J93" i="32"/>
  <c r="K93" i="32"/>
  <c r="L93" i="32"/>
  <c r="F94" i="32"/>
  <c r="G94" i="32"/>
  <c r="H94" i="32"/>
  <c r="I94" i="32"/>
  <c r="J94" i="32"/>
  <c r="K94" i="32"/>
  <c r="L94" i="32"/>
  <c r="F95" i="32"/>
  <c r="G95" i="32"/>
  <c r="H95" i="32"/>
  <c r="I95" i="32"/>
  <c r="J95" i="32"/>
  <c r="K95" i="32"/>
  <c r="L95" i="32"/>
  <c r="F96" i="32"/>
  <c r="G96" i="32"/>
  <c r="H96" i="32"/>
  <c r="I96" i="32"/>
  <c r="J96" i="32"/>
  <c r="K96" i="32"/>
  <c r="L96" i="32"/>
  <c r="F97" i="32"/>
  <c r="G97" i="32"/>
  <c r="H97" i="32"/>
  <c r="I97" i="32"/>
  <c r="J97" i="32"/>
  <c r="K97" i="32"/>
  <c r="L97" i="32"/>
  <c r="F98" i="32"/>
  <c r="G98" i="32"/>
  <c r="H98" i="32"/>
  <c r="I98" i="32"/>
  <c r="J98" i="32"/>
  <c r="K98" i="32"/>
  <c r="L98" i="32"/>
  <c r="F99" i="32"/>
  <c r="G99" i="32"/>
  <c r="H99" i="32"/>
  <c r="I99" i="32"/>
  <c r="J99" i="32"/>
  <c r="K99" i="32"/>
  <c r="L99" i="32"/>
  <c r="F100" i="32"/>
  <c r="G100" i="32"/>
  <c r="H100" i="32"/>
  <c r="I100" i="32"/>
  <c r="J100" i="32"/>
  <c r="K100" i="32"/>
  <c r="L100" i="32"/>
  <c r="F101" i="32"/>
  <c r="G101" i="32"/>
  <c r="H101" i="32"/>
  <c r="I101" i="32"/>
  <c r="J101" i="32"/>
  <c r="K101" i="32"/>
  <c r="L101" i="32"/>
  <c r="F102" i="32"/>
  <c r="G102" i="32"/>
  <c r="H102" i="32"/>
  <c r="I102" i="32"/>
  <c r="J102" i="32"/>
  <c r="K102" i="32"/>
  <c r="L102" i="32"/>
  <c r="F103" i="32"/>
  <c r="G103" i="32"/>
  <c r="H103" i="32"/>
  <c r="I103" i="32"/>
  <c r="J103" i="32"/>
  <c r="K103" i="32"/>
  <c r="L103" i="32"/>
  <c r="F104" i="32"/>
  <c r="G104" i="32"/>
  <c r="H104" i="32"/>
  <c r="I104" i="32"/>
  <c r="J104" i="32"/>
  <c r="K104" i="32"/>
  <c r="L104" i="32"/>
  <c r="H167" i="59" l="1"/>
  <c r="H168" i="59"/>
  <c r="G376" i="59" l="1" a="1"/>
  <c r="G376" i="59" s="1"/>
  <c r="G378" i="59" s="1" a="1"/>
  <c r="G378" i="59" s="1"/>
  <c r="F181" i="59" l="1"/>
  <c r="G180" i="59"/>
  <c r="G369" i="59" a="1"/>
  <c r="G369" i="59" s="1"/>
  <c r="F218" i="7"/>
  <c r="G218" i="7"/>
  <c r="H218" i="7"/>
  <c r="I218" i="7"/>
  <c r="J218" i="7"/>
  <c r="K218" i="7"/>
  <c r="L218" i="7"/>
  <c r="F102" i="56"/>
  <c r="G102" i="56"/>
  <c r="H102" i="56"/>
  <c r="I102" i="56"/>
  <c r="J102" i="56"/>
  <c r="K102" i="56"/>
  <c r="L102" i="56"/>
  <c r="M102" i="56"/>
  <c r="F78" i="56"/>
  <c r="G78" i="56"/>
  <c r="H78" i="56"/>
  <c r="I78" i="56"/>
  <c r="J78" i="56"/>
  <c r="K78" i="56"/>
  <c r="L78" i="56"/>
  <c r="M78" i="56"/>
  <c r="F1409" i="17" a="1"/>
  <c r="F1409" i="17" s="1"/>
  <c r="G370" i="59" l="1" a="1"/>
  <c r="G370" i="59" s="1"/>
  <c r="G386" i="59" a="1"/>
  <c r="G386" i="59" s="1"/>
  <c r="F126" i="56"/>
  <c r="G126" i="56"/>
  <c r="H126" i="56"/>
  <c r="I126" i="56"/>
  <c r="J126" i="56"/>
  <c r="K126" i="56"/>
  <c r="L126" i="56"/>
  <c r="M126" i="56"/>
  <c r="F143" i="13"/>
  <c r="G143" i="13"/>
  <c r="H143" i="13"/>
  <c r="G174" i="59"/>
  <c r="G175" i="59"/>
  <c r="G176" i="59"/>
  <c r="G177" i="59"/>
  <c r="G178" i="59"/>
  <c r="G179" i="59"/>
  <c r="G181" i="59"/>
  <c r="H160" i="59"/>
  <c r="H162" i="59"/>
  <c r="G372" i="59" s="1" a="1"/>
  <c r="G372" i="59" s="1"/>
  <c r="F161" i="59"/>
  <c r="H161" i="59" s="1"/>
  <c r="G371" i="59" s="1" a="1"/>
  <c r="G371" i="59" s="1"/>
  <c r="G113" i="59"/>
  <c r="H113" i="59" s="1"/>
  <c r="G114" i="59"/>
  <c r="H114" i="59" s="1"/>
  <c r="G115" i="59"/>
  <c r="H115" i="59" s="1"/>
  <c r="G116" i="59"/>
  <c r="H116" i="59" s="1"/>
  <c r="F256" i="59" l="1" a="1"/>
  <c r="F256" i="59" s="1"/>
  <c r="G154" i="32" l="1"/>
  <c r="H154" i="32" s="1"/>
  <c r="G153" i="32"/>
  <c r="H153" i="32" s="1"/>
  <c r="G152" i="32"/>
  <c r="H152" i="32" s="1"/>
  <c r="G151" i="32"/>
  <c r="H151" i="32" s="1"/>
  <c r="G150" i="32"/>
  <c r="H150" i="32" s="1"/>
  <c r="G149" i="32"/>
  <c r="H149" i="32" s="1"/>
  <c r="G148" i="32"/>
  <c r="H148" i="32" s="1"/>
  <c r="G147" i="32"/>
  <c r="H147" i="32" s="1"/>
  <c r="G146" i="32"/>
  <c r="H146" i="32" s="1"/>
  <c r="G145" i="32"/>
  <c r="H145" i="32" s="1"/>
  <c r="G144" i="32"/>
  <c r="H144" i="32" s="1"/>
  <c r="G143" i="32"/>
  <c r="H143" i="32" s="1"/>
  <c r="G142" i="32"/>
  <c r="H142" i="32" s="1"/>
  <c r="G141" i="32"/>
  <c r="H141" i="32" s="1"/>
  <c r="G140" i="32"/>
  <c r="H140" i="32" s="1"/>
  <c r="G139" i="32"/>
  <c r="H139" i="32" s="1"/>
  <c r="G138" i="32"/>
  <c r="H138" i="32" s="1"/>
  <c r="G137" i="32"/>
  <c r="H137" i="32" s="1"/>
  <c r="G136" i="32"/>
  <c r="H136" i="32" s="1"/>
  <c r="G135" i="32"/>
  <c r="H135" i="32" s="1"/>
  <c r="E105" i="32"/>
  <c r="E110" i="32" s="1"/>
  <c r="G66" i="32"/>
  <c r="L22" i="32"/>
  <c r="K22" i="32"/>
  <c r="J22" i="32"/>
  <c r="I22" i="32"/>
  <c r="H22" i="32"/>
  <c r="G22" i="32"/>
  <c r="F22" i="32"/>
  <c r="E22" i="32"/>
  <c r="H65" i="32" l="1"/>
  <c r="E125" i="32"/>
  <c r="E117" i="32"/>
  <c r="E109" i="32"/>
  <c r="E124" i="32"/>
  <c r="E116" i="32"/>
  <c r="E123" i="32"/>
  <c r="E115" i="32"/>
  <c r="E122" i="32"/>
  <c r="E121" i="32"/>
  <c r="E113" i="32"/>
  <c r="E114" i="32"/>
  <c r="E108" i="32"/>
  <c r="E120" i="32"/>
  <c r="E112" i="32"/>
  <c r="E127" i="32"/>
  <c r="E119" i="32"/>
  <c r="E111" i="32"/>
  <c r="G105" i="32"/>
  <c r="G109" i="32" s="1"/>
  <c r="E126" i="32"/>
  <c r="E118" i="32"/>
  <c r="J105" i="32"/>
  <c r="J109" i="32" s="1"/>
  <c r="L105" i="32"/>
  <c r="K105" i="32"/>
  <c r="K113" i="32" s="1"/>
  <c r="H105" i="32"/>
  <c r="H109" i="32" s="1"/>
  <c r="I105" i="32"/>
  <c r="I109" i="32" s="1"/>
  <c r="F105" i="32"/>
  <c r="F109" i="32" s="1"/>
  <c r="G120" i="32" l="1"/>
  <c r="G122" i="32"/>
  <c r="G121" i="32"/>
  <c r="I126" i="32"/>
  <c r="F122" i="32"/>
  <c r="F116" i="32"/>
  <c r="G111" i="32"/>
  <c r="G113" i="32"/>
  <c r="E128" i="32"/>
  <c r="G114" i="32"/>
  <c r="G118" i="32"/>
  <c r="H108" i="32"/>
  <c r="H118" i="32"/>
  <c r="K123" i="32"/>
  <c r="G125" i="32"/>
  <c r="K120" i="32"/>
  <c r="H116" i="32"/>
  <c r="K127" i="32"/>
  <c r="G127" i="32"/>
  <c r="F125" i="32"/>
  <c r="F119" i="32"/>
  <c r="G124" i="32"/>
  <c r="G115" i="32"/>
  <c r="F121" i="32"/>
  <c r="H125" i="32"/>
  <c r="G116" i="32"/>
  <c r="G123" i="32"/>
  <c r="H126" i="32"/>
  <c r="I116" i="32"/>
  <c r="G110" i="32"/>
  <c r="G108" i="32"/>
  <c r="I119" i="32"/>
  <c r="F126" i="32"/>
  <c r="I118" i="32"/>
  <c r="I123" i="32"/>
  <c r="I120" i="32"/>
  <c r="J114" i="32"/>
  <c r="I114" i="32"/>
  <c r="G117" i="32"/>
  <c r="F120" i="32"/>
  <c r="H119" i="32"/>
  <c r="I113" i="32"/>
  <c r="H113" i="32"/>
  <c r="H114" i="32"/>
  <c r="H122" i="32"/>
  <c r="H112" i="32"/>
  <c r="H124" i="32"/>
  <c r="G112" i="32"/>
  <c r="G126" i="32"/>
  <c r="I127" i="32"/>
  <c r="K111" i="32"/>
  <c r="I115" i="32"/>
  <c r="F110" i="32"/>
  <c r="K119" i="32"/>
  <c r="G119" i="32"/>
  <c r="L110" i="32"/>
  <c r="L112" i="32"/>
  <c r="L116" i="32"/>
  <c r="L119" i="32"/>
  <c r="L124" i="32"/>
  <c r="L127" i="32"/>
  <c r="L109" i="32"/>
  <c r="L115" i="32"/>
  <c r="L118" i="32"/>
  <c r="L125" i="32"/>
  <c r="L108" i="32"/>
  <c r="L111" i="32"/>
  <c r="L117" i="32"/>
  <c r="L120" i="32"/>
  <c r="L123" i="32"/>
  <c r="L126" i="32"/>
  <c r="J125" i="32"/>
  <c r="F123" i="32"/>
  <c r="J115" i="32"/>
  <c r="F124" i="32"/>
  <c r="J117" i="32"/>
  <c r="L113" i="32"/>
  <c r="F117" i="32"/>
  <c r="J126" i="32"/>
  <c r="I121" i="32"/>
  <c r="J124" i="32"/>
  <c r="F127" i="32"/>
  <c r="F111" i="32"/>
  <c r="J119" i="32"/>
  <c r="L121" i="32"/>
  <c r="L122" i="32"/>
  <c r="J112" i="32"/>
  <c r="I125" i="32"/>
  <c r="J111" i="32"/>
  <c r="J113" i="32"/>
  <c r="J118" i="32"/>
  <c r="H120" i="32"/>
  <c r="F112" i="32"/>
  <c r="J123" i="32"/>
  <c r="J116" i="32"/>
  <c r="H117" i="32"/>
  <c r="J121" i="32"/>
  <c r="L114" i="32"/>
  <c r="J110" i="32"/>
  <c r="F108" i="32"/>
  <c r="K110" i="32"/>
  <c r="K116" i="32"/>
  <c r="K122" i="32"/>
  <c r="K125" i="32"/>
  <c r="K108" i="32"/>
  <c r="K118" i="32"/>
  <c r="K124" i="32"/>
  <c r="K109" i="32"/>
  <c r="K114" i="32"/>
  <c r="K117" i="32"/>
  <c r="K126" i="32"/>
  <c r="K121" i="32"/>
  <c r="I111" i="32"/>
  <c r="I117" i="32"/>
  <c r="I110" i="32"/>
  <c r="I112" i="32"/>
  <c r="I108" i="32"/>
  <c r="F118" i="32"/>
  <c r="H123" i="32"/>
  <c r="I122" i="32"/>
  <c r="I124" i="32"/>
  <c r="F115" i="32"/>
  <c r="J122" i="32"/>
  <c r="J108" i="32"/>
  <c r="J120" i="32"/>
  <c r="H110" i="32"/>
  <c r="F114" i="32"/>
  <c r="H127" i="32"/>
  <c r="H111" i="32"/>
  <c r="J127" i="32"/>
  <c r="K115" i="32"/>
  <c r="H115" i="32"/>
  <c r="H121" i="32"/>
  <c r="F113" i="32"/>
  <c r="K112" i="32"/>
  <c r="H66" i="32"/>
  <c r="G128" i="32" l="1"/>
  <c r="J128" i="32"/>
  <c r="F128" i="32"/>
  <c r="H128" i="32"/>
  <c r="K128" i="32"/>
  <c r="L128" i="32"/>
  <c r="I128" i="32"/>
  <c r="H191" i="7" l="1"/>
  <c r="I191" i="7"/>
  <c r="J191" i="7"/>
  <c r="K191" i="7"/>
  <c r="L191" i="7"/>
  <c r="G191" i="7"/>
  <c r="L10" i="7"/>
  <c r="E1854" i="7" s="1" a="1"/>
  <c r="E1854" i="7" s="1"/>
  <c r="E1858" i="7" s="1"/>
  <c r="E1862" i="7" l="1"/>
  <c r="H1858" i="7"/>
  <c r="H1862" i="7" s="1"/>
  <c r="L1858" i="7"/>
  <c r="L1862" i="7" s="1"/>
  <c r="I1858" i="7"/>
  <c r="I1862" i="7" s="1"/>
  <c r="J1858" i="7"/>
  <c r="J1862" i="7" s="1"/>
  <c r="K1858" i="7"/>
  <c r="K1862" i="7" s="1"/>
  <c r="F1858" i="7"/>
  <c r="F1862" i="7" s="1"/>
  <c r="G1858" i="7"/>
  <c r="G1862" i="7" s="1"/>
  <c r="F76" i="70"/>
  <c r="F79" i="70" s="1"/>
  <c r="E42" i="70"/>
  <c r="E37" i="70"/>
  <c r="E35" i="70"/>
  <c r="E30" i="70"/>
  <c r="E26" i="70"/>
  <c r="M27" i="17"/>
  <c r="L27" i="17"/>
  <c r="K27" i="17"/>
  <c r="J27" i="17"/>
  <c r="I27" i="17"/>
  <c r="H27" i="17"/>
  <c r="G27" i="17"/>
  <c r="F27" i="17"/>
  <c r="M26" i="17"/>
  <c r="L26" i="17"/>
  <c r="K26" i="17"/>
  <c r="J26" i="17"/>
  <c r="I26" i="17"/>
  <c r="H26" i="17"/>
  <c r="G26" i="17"/>
  <c r="F26" i="17"/>
  <c r="M25" i="17"/>
  <c r="L25" i="17"/>
  <c r="K25" i="17"/>
  <c r="J25" i="17"/>
  <c r="I25" i="17"/>
  <c r="H25" i="17"/>
  <c r="G25" i="17"/>
  <c r="F25" i="17"/>
  <c r="E1827" i="7" l="1" a="1"/>
  <c r="E1827" i="7" s="1"/>
  <c r="E79" i="70"/>
  <c r="F1798" i="7" l="1" a="1"/>
  <c r="F1798" i="7" s="1"/>
  <c r="M1480" i="7" a="1"/>
  <c r="M1480" i="7" s="1"/>
  <c r="L1480" i="7" a="1"/>
  <c r="L1480" i="7" s="1"/>
  <c r="K1480" i="7" a="1"/>
  <c r="K1480" i="7" s="1"/>
  <c r="J1480" i="7" a="1"/>
  <c r="J1480" i="7" s="1"/>
  <c r="I1480" i="7" a="1"/>
  <c r="I1480" i="7" s="1"/>
  <c r="H1480" i="7" a="1"/>
  <c r="H1480" i="7" s="1"/>
  <c r="G1480" i="7" a="1"/>
  <c r="G1480" i="7" s="1"/>
  <c r="F1480" i="7" a="1"/>
  <c r="F1480" i="7" s="1"/>
  <c r="M1479" i="7"/>
  <c r="L1479" i="7"/>
  <c r="K1479" i="7"/>
  <c r="J1479" i="7"/>
  <c r="I1479" i="7"/>
  <c r="H1479" i="7"/>
  <c r="G1479" i="7"/>
  <c r="F1479" i="7"/>
  <c r="F1383" i="7" a="1"/>
  <c r="F1383" i="7" s="1"/>
  <c r="F1341" i="7" a="1"/>
  <c r="F1341" i="7" s="1"/>
  <c r="F1320" i="7" a="1"/>
  <c r="F1320" i="7" s="1"/>
  <c r="F1006" i="7" a="1"/>
  <c r="F1399" i="7" s="1" a="1"/>
  <c r="F1399" i="7" s="1"/>
  <c r="F965" i="7" a="1"/>
  <c r="F945" i="7" a="1"/>
  <c r="K962" i="7" s="1"/>
  <c r="E856" i="7" a="1"/>
  <c r="E856" i="7" s="1"/>
  <c r="F1335" i="7" l="1" a="1"/>
  <c r="F1335" i="7" s="1"/>
  <c r="F1596" i="7" a="1"/>
  <c r="F1596" i="7" s="1"/>
  <c r="F1351" i="7" a="1"/>
  <c r="F1351" i="7" s="1"/>
  <c r="G1023" i="7"/>
  <c r="H962" i="7"/>
  <c r="J1023" i="7"/>
  <c r="F1393" i="7" a="1"/>
  <c r="F1393" i="7" s="1"/>
  <c r="F1742" i="7" a="1"/>
  <c r="F1742" i="7" s="1"/>
  <c r="I962" i="7"/>
  <c r="K1023" i="7"/>
  <c r="F1327" i="7" a="1"/>
  <c r="F1327" i="7" s="1"/>
  <c r="F1397" i="7" a="1"/>
  <c r="F1397" i="7" s="1"/>
  <c r="F1745" i="7" a="1"/>
  <c r="F1745" i="7" s="1"/>
  <c r="M962" i="7"/>
  <c r="F1331" i="7" a="1"/>
  <c r="F1331" i="7" s="1"/>
  <c r="F945" i="7"/>
  <c r="F1325" i="7" s="1" a="1"/>
  <c r="H1023" i="7"/>
  <c r="F1389" i="7" a="1"/>
  <c r="F1389" i="7" s="1"/>
  <c r="F1767" i="7" a="1"/>
  <c r="F1767" i="7" s="1"/>
  <c r="F1601" i="7" a="1"/>
  <c r="F1601" i="7" s="1"/>
  <c r="F1773" i="7" a="1"/>
  <c r="F1773" i="7" s="1"/>
  <c r="F1600" i="7" a="1"/>
  <c r="F1600" i="7" s="1"/>
  <c r="F1594" i="7" a="1"/>
  <c r="F1594" i="7" s="1"/>
  <c r="F1772" i="7" a="1"/>
  <c r="F1772" i="7" s="1"/>
  <c r="F1766" i="7" a="1"/>
  <c r="F1766" i="7" s="1"/>
  <c r="F1599" i="7" a="1"/>
  <c r="F1599" i="7" s="1"/>
  <c r="F1593" i="7" a="1"/>
  <c r="F1593" i="7" s="1"/>
  <c r="F1764" i="7" a="1"/>
  <c r="F1764" i="7" s="1"/>
  <c r="F1598" i="7" a="1"/>
  <c r="F1598" i="7" s="1"/>
  <c r="F1765" i="7" a="1"/>
  <c r="F1765" i="7" s="1"/>
  <c r="F1763" i="7" a="1"/>
  <c r="F1763" i="7" s="1"/>
  <c r="F1602" i="7" a="1"/>
  <c r="F1602" i="7" s="1"/>
  <c r="F1770" i="7" a="1"/>
  <c r="F1770" i="7" s="1"/>
  <c r="F1595" i="7" a="1"/>
  <c r="F1595" i="7" s="1"/>
  <c r="F1356" i="7" a="1"/>
  <c r="F1356" i="7" s="1"/>
  <c r="F1352" i="7" a="1"/>
  <c r="F1352" i="7" s="1"/>
  <c r="F1348" i="7" a="1"/>
  <c r="F1348" i="7" s="1"/>
  <c r="F1603" i="7" a="1"/>
  <c r="F1603" i="7" s="1"/>
  <c r="F1769" i="7" a="1"/>
  <c r="F1769" i="7" s="1"/>
  <c r="F1592" i="7" a="1"/>
  <c r="F1592" i="7" s="1"/>
  <c r="F1358" i="7" a="1"/>
  <c r="F1358" i="7" s="1"/>
  <c r="F1354" i="7" a="1"/>
  <c r="F1354" i="7" s="1"/>
  <c r="F1350" i="7" a="1"/>
  <c r="F1350" i="7" s="1"/>
  <c r="F1771" i="7" a="1"/>
  <c r="F1771" i="7" s="1"/>
  <c r="J982" i="7"/>
  <c r="F1768" i="7" a="1"/>
  <c r="F1768" i="7" s="1"/>
  <c r="I982" i="7"/>
  <c r="F1762" i="7" a="1"/>
  <c r="F1762" i="7" s="1"/>
  <c r="F1353" i="7" a="1"/>
  <c r="F1353" i="7" s="1"/>
  <c r="H982" i="7"/>
  <c r="M982" i="7"/>
  <c r="F965" i="7"/>
  <c r="F1591" i="7" s="1" a="1"/>
  <c r="F1591" i="7" s="1"/>
  <c r="F1357" i="7" a="1"/>
  <c r="F1357" i="7" s="1"/>
  <c r="F1349" i="7" a="1"/>
  <c r="F1349" i="7" s="1"/>
  <c r="K982" i="7"/>
  <c r="F1355" i="7" a="1"/>
  <c r="F1355" i="7" s="1"/>
  <c r="F1597" i="7" a="1"/>
  <c r="F1597" i="7" s="1"/>
  <c r="G982" i="7"/>
  <c r="L982" i="7"/>
  <c r="F1347" i="7" a="1"/>
  <c r="F1347" i="7" s="1"/>
  <c r="F1329" i="7" a="1"/>
  <c r="F1329" i="7" s="1"/>
  <c r="F1395" i="7" a="1"/>
  <c r="F1395" i="7" s="1"/>
  <c r="F1580" i="7" a="1"/>
  <c r="F1580" i="7" s="1"/>
  <c r="G962" i="7"/>
  <c r="I1023" i="7"/>
  <c r="J962" i="7"/>
  <c r="L1023" i="7"/>
  <c r="F1333" i="7" a="1"/>
  <c r="F1333" i="7" s="1"/>
  <c r="F1391" i="7" a="1"/>
  <c r="F1391" i="7" s="1"/>
  <c r="F1815" i="7" a="1"/>
  <c r="F1815" i="7" s="1"/>
  <c r="F1811" i="7" a="1"/>
  <c r="F1811" i="7" s="1"/>
  <c r="F1807" i="7" a="1"/>
  <c r="F1807" i="7" s="1"/>
  <c r="F1814" i="7" a="1"/>
  <c r="F1814" i="7" s="1"/>
  <c r="F1810" i="7" a="1"/>
  <c r="F1810" i="7" s="1"/>
  <c r="F1806" i="7" a="1"/>
  <c r="F1806" i="7" s="1"/>
  <c r="F1812" i="7" a="1"/>
  <c r="F1812" i="7" s="1"/>
  <c r="F1808" i="7" a="1"/>
  <c r="F1808" i="7" s="1"/>
  <c r="F1804" i="7" a="1"/>
  <c r="F1804" i="7" s="1"/>
  <c r="F1813" i="7" a="1"/>
  <c r="F1813" i="7" s="1"/>
  <c r="F1645" i="7" a="1"/>
  <c r="F1645" i="7" s="1"/>
  <c r="F1639" i="7" a="1"/>
  <c r="F1639" i="7" s="1"/>
  <c r="F1638" i="7" a="1"/>
  <c r="F1638" i="7" s="1"/>
  <c r="F1809" i="7" a="1"/>
  <c r="F1809" i="7" s="1"/>
  <c r="F1644" i="7" a="1"/>
  <c r="F1644" i="7" s="1"/>
  <c r="F1637" i="7" a="1"/>
  <c r="F1637" i="7" s="1"/>
  <c r="F1805" i="7" a="1"/>
  <c r="F1805" i="7" s="1"/>
  <c r="F1642" i="7" a="1"/>
  <c r="F1642" i="7" s="1"/>
  <c r="F1636" i="7" a="1"/>
  <c r="F1636" i="7" s="1"/>
  <c r="F1635" i="7" a="1"/>
  <c r="F1635" i="7" s="1"/>
  <c r="F1634" i="7" a="1"/>
  <c r="F1634" i="7" s="1"/>
  <c r="F1641" i="7" a="1"/>
  <c r="F1641" i="7" s="1"/>
  <c r="F1398" i="7" a="1"/>
  <c r="F1398" i="7" s="1"/>
  <c r="F1394" i="7" a="1"/>
  <c r="F1394" i="7" s="1"/>
  <c r="F1390" i="7" a="1"/>
  <c r="F1390" i="7" s="1"/>
  <c r="F1400" i="7" a="1"/>
  <c r="F1400" i="7" s="1"/>
  <c r="F1396" i="7" a="1"/>
  <c r="F1396" i="7" s="1"/>
  <c r="F1392" i="7" a="1"/>
  <c r="F1392" i="7" s="1"/>
  <c r="F1006" i="7"/>
  <c r="M1023" i="7"/>
  <c r="F1640" i="7" a="1"/>
  <c r="F1640" i="7" s="1"/>
  <c r="F1744" i="7" a="1"/>
  <c r="F1744" i="7" s="1"/>
  <c r="F1578" i="7" a="1"/>
  <c r="F1578" i="7" s="1"/>
  <c r="F1571" i="7" a="1"/>
  <c r="F1571" i="7" s="1"/>
  <c r="F1750" i="7" a="1"/>
  <c r="F1750" i="7" s="1"/>
  <c r="F1743" i="7" a="1"/>
  <c r="F1743" i="7" s="1"/>
  <c r="F1577" i="7" a="1"/>
  <c r="F1577" i="7" s="1"/>
  <c r="F1749" i="7" a="1"/>
  <c r="F1749" i="7" s="1"/>
  <c r="F1576" i="7" a="1"/>
  <c r="F1576" i="7" s="1"/>
  <c r="F1747" i="7" a="1"/>
  <c r="F1747" i="7" s="1"/>
  <c r="F1741" i="7" a="1"/>
  <c r="F1741" i="7" s="1"/>
  <c r="F1581" i="7" a="1"/>
  <c r="F1581" i="7" s="1"/>
  <c r="F1748" i="7" a="1"/>
  <c r="F1748" i="7" s="1"/>
  <c r="F1573" i="7" a="1"/>
  <c r="F1573" i="7" s="1"/>
  <c r="F1572" i="7" a="1"/>
  <c r="F1572" i="7" s="1"/>
  <c r="F1746" i="7" a="1"/>
  <c r="F1746" i="7" s="1"/>
  <c r="F1582" i="7" a="1"/>
  <c r="F1582" i="7" s="1"/>
  <c r="F1579" i="7" a="1"/>
  <c r="F1579" i="7" s="1"/>
  <c r="F1752" i="7" a="1"/>
  <c r="F1752" i="7" s="1"/>
  <c r="F1575" i="7" a="1"/>
  <c r="F1575" i="7" s="1"/>
  <c r="F1336" i="7" a="1"/>
  <c r="F1336" i="7" s="1"/>
  <c r="F1332" i="7" a="1"/>
  <c r="F1332" i="7" s="1"/>
  <c r="F1328" i="7" a="1"/>
  <c r="F1328" i="7" s="1"/>
  <c r="F1751" i="7" a="1"/>
  <c r="F1751" i="7" s="1"/>
  <c r="F1574" i="7" a="1"/>
  <c r="F1574" i="7" s="1"/>
  <c r="F1334" i="7" a="1"/>
  <c r="F1334" i="7" s="1"/>
  <c r="F1330" i="7" a="1"/>
  <c r="F1330" i="7" s="1"/>
  <c r="F1326" i="7" a="1"/>
  <c r="F1326" i="7" s="1"/>
  <c r="L962" i="7"/>
  <c r="F1643" i="7" a="1"/>
  <c r="F1643" i="7" s="1"/>
  <c r="F962" i="7" l="1"/>
  <c r="E686" i="7" s="1" a="1"/>
  <c r="E686" i="7" s="1"/>
  <c r="F1740" i="7" a="1"/>
  <c r="H1757" i="7" s="1"/>
  <c r="F1570" i="7" a="1"/>
  <c r="M1587" i="7" s="1"/>
  <c r="K1342" i="7"/>
  <c r="J1342" i="7"/>
  <c r="I1342" i="7"/>
  <c r="M1342" i="7"/>
  <c r="F1325" i="7"/>
  <c r="F1342" i="7" s="1"/>
  <c r="L1342" i="7"/>
  <c r="H1342" i="7"/>
  <c r="G1342" i="7"/>
  <c r="F1761" i="7" a="1"/>
  <c r="F1346" i="7" a="1"/>
  <c r="F982" i="7"/>
  <c r="E687" i="7" s="1" a="1"/>
  <c r="E687" i="7" s="1"/>
  <c r="F1803" i="7" a="1"/>
  <c r="F1388" i="7" a="1"/>
  <c r="F1023" i="7"/>
  <c r="E689" i="7" s="1" a="1"/>
  <c r="E689" i="7" s="1"/>
  <c r="F1633" i="7" a="1"/>
  <c r="J1757" i="7" l="1"/>
  <c r="H1587" i="7"/>
  <c r="G1757" i="7"/>
  <c r="F1740" i="7"/>
  <c r="F1757" i="7" s="1"/>
  <c r="L1757" i="7"/>
  <c r="L1587" i="7"/>
  <c r="F1570" i="7"/>
  <c r="F1587" i="7" s="1"/>
  <c r="K1757" i="7"/>
  <c r="M1757" i="7"/>
  <c r="I1757" i="7"/>
  <c r="G1587" i="7"/>
  <c r="J1587" i="7"/>
  <c r="I1587" i="7"/>
  <c r="K1587" i="7"/>
  <c r="I1650" i="7"/>
  <c r="G1650" i="7"/>
  <c r="M1650" i="7"/>
  <c r="F1633" i="7"/>
  <c r="F1650" i="7" s="1"/>
  <c r="K1650" i="7"/>
  <c r="L1650" i="7"/>
  <c r="J1650" i="7"/>
  <c r="H1650" i="7"/>
  <c r="M1778" i="7"/>
  <c r="F1761" i="7"/>
  <c r="F1778" i="7" s="1"/>
  <c r="K1778" i="7"/>
  <c r="I1778" i="7"/>
  <c r="L1778" i="7"/>
  <c r="J1778" i="7"/>
  <c r="H1778" i="7"/>
  <c r="G1778" i="7"/>
  <c r="I1608" i="7"/>
  <c r="G1608" i="7"/>
  <c r="M1608" i="7"/>
  <c r="F1608" i="7"/>
  <c r="L1608" i="7"/>
  <c r="K1608" i="7"/>
  <c r="J1608" i="7"/>
  <c r="H1608" i="7"/>
  <c r="I1405" i="7"/>
  <c r="H1405" i="7"/>
  <c r="G1405" i="7"/>
  <c r="L1405" i="7"/>
  <c r="K1405" i="7"/>
  <c r="J1405" i="7"/>
  <c r="F1388" i="7"/>
  <c r="F1405" i="7" s="1"/>
  <c r="M1405" i="7"/>
  <c r="M1820" i="7"/>
  <c r="F1803" i="7"/>
  <c r="F1820" i="7" s="1"/>
  <c r="L1820" i="7"/>
  <c r="K1820" i="7"/>
  <c r="J1820" i="7"/>
  <c r="I1820" i="7"/>
  <c r="H1820" i="7"/>
  <c r="G1820" i="7"/>
  <c r="I1363" i="7"/>
  <c r="H1363" i="7"/>
  <c r="G1363" i="7"/>
  <c r="L1363" i="7"/>
  <c r="M1363" i="7"/>
  <c r="F1346" i="7"/>
  <c r="F1363" i="7" s="1"/>
  <c r="K1363" i="7"/>
  <c r="J1363" i="7"/>
  <c r="E278" i="7" l="1"/>
  <c r="F278" i="7"/>
  <c r="G278" i="7"/>
  <c r="I278" i="7"/>
  <c r="J278" i="7"/>
  <c r="K278" i="7"/>
  <c r="L278" i="7"/>
  <c r="H278" i="7"/>
  <c r="E298" i="7"/>
  <c r="F298" i="7"/>
  <c r="G298" i="7"/>
  <c r="H298" i="7"/>
  <c r="E318" i="7"/>
  <c r="F318" i="7"/>
  <c r="G318" i="7"/>
  <c r="H318" i="7"/>
  <c r="E418" i="7"/>
  <c r="F418" i="7"/>
  <c r="G418" i="7"/>
  <c r="I418" i="7"/>
  <c r="J418" i="7"/>
  <c r="K418" i="7"/>
  <c r="L418" i="7"/>
  <c r="H418" i="7"/>
  <c r="E473" i="7"/>
  <c r="F473" i="7"/>
  <c r="G473" i="7"/>
  <c r="E475" i="7"/>
  <c r="F475" i="7"/>
  <c r="G475" i="7"/>
  <c r="E478" i="7"/>
  <c r="F478" i="7"/>
  <c r="G478" i="7"/>
  <c r="F472" i="7"/>
  <c r="G472" i="7"/>
  <c r="E472" i="7"/>
  <c r="G479" i="7"/>
  <c r="G477" i="7"/>
  <c r="G476" i="7"/>
  <c r="F479" i="7"/>
  <c r="F477" i="7"/>
  <c r="F476" i="7"/>
  <c r="E479" i="7"/>
  <c r="E477" i="7"/>
  <c r="E476" i="7"/>
  <c r="G474" i="7"/>
  <c r="F474" i="7"/>
  <c r="E474" i="7"/>
  <c r="E452" i="7" l="1"/>
  <c r="E451" i="7"/>
  <c r="E450" i="7"/>
  <c r="E449" i="7"/>
  <c r="E448" i="7"/>
  <c r="E447" i="7"/>
  <c r="E446" i="7"/>
  <c r="F446" i="7" l="1"/>
  <c r="G446" i="7"/>
  <c r="H446" i="7"/>
  <c r="I446" i="7"/>
  <c r="J446" i="7"/>
  <c r="F447" i="7"/>
  <c r="G447" i="7"/>
  <c r="H447" i="7"/>
  <c r="I447" i="7"/>
  <c r="J447" i="7"/>
  <c r="F448" i="7"/>
  <c r="G448" i="7"/>
  <c r="H448" i="7"/>
  <c r="I448" i="7"/>
  <c r="J448" i="7"/>
  <c r="F449" i="7"/>
  <c r="G449" i="7"/>
  <c r="H449" i="7"/>
  <c r="I449" i="7"/>
  <c r="J449" i="7"/>
  <c r="F450" i="7"/>
  <c r="G450" i="7"/>
  <c r="H450" i="7"/>
  <c r="I450" i="7"/>
  <c r="J450" i="7"/>
  <c r="F451" i="7"/>
  <c r="G451" i="7"/>
  <c r="H451" i="7"/>
  <c r="I451" i="7"/>
  <c r="J451" i="7"/>
  <c r="F452" i="7"/>
  <c r="G452" i="7"/>
  <c r="H452" i="7"/>
  <c r="I452" i="7"/>
  <c r="J452" i="7"/>
  <c r="I445" i="7"/>
  <c r="J445" i="7"/>
  <c r="H445" i="7"/>
  <c r="F445" i="7"/>
  <c r="G445" i="7"/>
  <c r="E445" i="7"/>
  <c r="I398" i="7" l="1"/>
  <c r="J398" i="7"/>
  <c r="K398" i="7"/>
  <c r="L398" i="7"/>
  <c r="F398" i="7"/>
  <c r="E378" i="7"/>
  <c r="F378" i="7"/>
  <c r="G378" i="7"/>
  <c r="H378" i="7"/>
  <c r="J378" i="7"/>
  <c r="K378" i="7"/>
  <c r="L378" i="7"/>
  <c r="I378" i="7"/>
  <c r="J358" i="7"/>
  <c r="K358" i="7"/>
  <c r="L358" i="7"/>
  <c r="E358" i="7"/>
  <c r="F358" i="7"/>
  <c r="G358" i="7"/>
  <c r="H358" i="7"/>
  <c r="I358" i="7"/>
  <c r="E338" i="7"/>
  <c r="F338" i="7"/>
  <c r="G338" i="7"/>
  <c r="H338" i="7"/>
  <c r="J338" i="7"/>
  <c r="K338" i="7"/>
  <c r="L338" i="7"/>
  <c r="I338" i="7"/>
  <c r="G259" i="67"/>
  <c r="F259" i="67"/>
  <c r="E259" i="67"/>
  <c r="E258" i="67"/>
  <c r="F258" i="67"/>
  <c r="G258" i="67"/>
  <c r="G257" i="67"/>
  <c r="F257" i="67"/>
  <c r="E257" i="67"/>
  <c r="E256" i="67"/>
  <c r="F256" i="67"/>
  <c r="G256" i="67"/>
  <c r="G255" i="67"/>
  <c r="F255" i="67"/>
  <c r="E255" i="67"/>
  <c r="E254" i="67"/>
  <c r="F254" i="67"/>
  <c r="G254" i="67"/>
  <c r="G253" i="67"/>
  <c r="F253" i="67"/>
  <c r="E253" i="67"/>
  <c r="G252" i="67"/>
  <c r="F252" i="67"/>
  <c r="E252" i="67"/>
  <c r="G251" i="67"/>
  <c r="F251" i="67"/>
  <c r="E251" i="67"/>
  <c r="G250" i="67"/>
  <c r="F250" i="67"/>
  <c r="E250" i="67"/>
  <c r="J162" i="7"/>
  <c r="K162" i="7"/>
  <c r="L162" i="7"/>
  <c r="J163" i="7"/>
  <c r="K163" i="7"/>
  <c r="L163" i="7"/>
  <c r="J164" i="7"/>
  <c r="K164" i="7"/>
  <c r="L164" i="7"/>
  <c r="J165" i="7"/>
  <c r="K165" i="7"/>
  <c r="L165" i="7"/>
  <c r="J166" i="7"/>
  <c r="K166" i="7"/>
  <c r="L166" i="7"/>
  <c r="I162" i="7"/>
  <c r="I163" i="7"/>
  <c r="I164" i="7"/>
  <c r="I165" i="7"/>
  <c r="I166" i="7"/>
  <c r="J152" i="7"/>
  <c r="J161" i="7" s="1"/>
  <c r="K152" i="7"/>
  <c r="K161" i="7" s="1"/>
  <c r="L152" i="7"/>
  <c r="L161" i="7" s="1"/>
  <c r="I152" i="7"/>
  <c r="I161" i="7" s="1"/>
  <c r="E342" i="67"/>
  <c r="F342" i="67"/>
  <c r="G342" i="67"/>
  <c r="H342" i="67"/>
  <c r="I342" i="67"/>
  <c r="J342" i="67"/>
  <c r="K342" i="67"/>
  <c r="D342" i="67"/>
  <c r="F325" i="67"/>
  <c r="G325" i="67"/>
  <c r="H325" i="67"/>
  <c r="I325" i="67"/>
  <c r="J325" i="67"/>
  <c r="K325" i="67"/>
  <c r="E325" i="67"/>
  <c r="D325" i="67"/>
  <c r="L56" i="7"/>
  <c r="D34" i="69" l="1" a="1"/>
  <c r="D34" i="69" s="1"/>
  <c r="D56" i="69" a="1"/>
  <c r="D56" i="69" s="1"/>
  <c r="L57" i="7"/>
  <c r="L58" i="7"/>
  <c r="G58" i="7" s="1"/>
  <c r="L59" i="7"/>
  <c r="I59" i="7" s="1"/>
  <c r="L60" i="7"/>
  <c r="L61" i="7"/>
  <c r="L55" i="7"/>
  <c r="G56" i="7" s="1"/>
  <c r="J44" i="7"/>
  <c r="I44" i="7"/>
  <c r="F82" i="7"/>
  <c r="F81" i="7" s="1"/>
  <c r="G82" i="7"/>
  <c r="G81" i="7" s="1"/>
  <c r="H82" i="7"/>
  <c r="H81" i="7" s="1"/>
  <c r="I82" i="7"/>
  <c r="I81" i="7" s="1"/>
  <c r="J82" i="7"/>
  <c r="J81" i="7" s="1"/>
  <c r="K82" i="7"/>
  <c r="K81" i="7" s="1"/>
  <c r="G44" i="7"/>
  <c r="I69" i="7"/>
  <c r="I68" i="7"/>
  <c r="F67" i="7"/>
  <c r="F885" i="7" s="1" a="1"/>
  <c r="G67" i="7"/>
  <c r="H67" i="7"/>
  <c r="K67" i="7"/>
  <c r="J67" i="7"/>
  <c r="I67" i="7"/>
  <c r="F44" i="7"/>
  <c r="E81" i="7"/>
  <c r="L81" i="7"/>
  <c r="F59" i="7"/>
  <c r="G59" i="7"/>
  <c r="O246" i="67"/>
  <c r="G148" i="14"/>
  <c r="H148" i="14"/>
  <c r="I148" i="14"/>
  <c r="J148" i="14"/>
  <c r="K148" i="14"/>
  <c r="L148" i="14"/>
  <c r="M148" i="14"/>
  <c r="G149" i="14"/>
  <c r="H149" i="14"/>
  <c r="I149" i="14"/>
  <c r="J149" i="14"/>
  <c r="K149" i="14"/>
  <c r="L149" i="14"/>
  <c r="M149" i="14"/>
  <c r="G150" i="14"/>
  <c r="H150" i="14"/>
  <c r="I150" i="14"/>
  <c r="J150" i="14"/>
  <c r="K150" i="14"/>
  <c r="L150" i="14"/>
  <c r="M150" i="14"/>
  <c r="G151" i="14"/>
  <c r="H151" i="14"/>
  <c r="I151" i="14"/>
  <c r="J151" i="14"/>
  <c r="K151" i="14"/>
  <c r="L151" i="14"/>
  <c r="M151" i="14"/>
  <c r="G141" i="14"/>
  <c r="H141" i="14"/>
  <c r="I141" i="14"/>
  <c r="J141" i="14"/>
  <c r="K141" i="14"/>
  <c r="L141" i="14"/>
  <c r="M141" i="14"/>
  <c r="G142" i="14"/>
  <c r="H142" i="14"/>
  <c r="I142" i="14"/>
  <c r="J142" i="14"/>
  <c r="K142" i="14"/>
  <c r="L142" i="14"/>
  <c r="M142" i="14"/>
  <c r="G143" i="14"/>
  <c r="H143" i="14"/>
  <c r="I143" i="14"/>
  <c r="J143" i="14"/>
  <c r="K143" i="14"/>
  <c r="L143" i="14"/>
  <c r="M143" i="14"/>
  <c r="G144" i="14"/>
  <c r="H144" i="14"/>
  <c r="I144" i="14"/>
  <c r="J144" i="14"/>
  <c r="K144" i="14"/>
  <c r="L144" i="14"/>
  <c r="M144" i="14"/>
  <c r="F151" i="14"/>
  <c r="F150" i="14"/>
  <c r="F149" i="14"/>
  <c r="F148" i="14"/>
  <c r="F144" i="14"/>
  <c r="F143" i="14"/>
  <c r="F142" i="14"/>
  <c r="F141" i="14"/>
  <c r="G135" i="14"/>
  <c r="H135" i="14"/>
  <c r="I135" i="14"/>
  <c r="J135" i="14"/>
  <c r="K135" i="14"/>
  <c r="L135" i="14"/>
  <c r="M135" i="14"/>
  <c r="G136" i="14"/>
  <c r="H136" i="14"/>
  <c r="I136" i="14"/>
  <c r="J136" i="14"/>
  <c r="K136" i="14"/>
  <c r="L136" i="14"/>
  <c r="M136" i="14"/>
  <c r="G137" i="14"/>
  <c r="H137" i="14"/>
  <c r="I137" i="14"/>
  <c r="J137" i="14"/>
  <c r="K137" i="14"/>
  <c r="L137" i="14"/>
  <c r="M137" i="14"/>
  <c r="F137" i="14"/>
  <c r="F136" i="14"/>
  <c r="F135" i="14"/>
  <c r="F134" i="14"/>
  <c r="G134" i="14"/>
  <c r="H134" i="14"/>
  <c r="I134" i="14"/>
  <c r="J134" i="14"/>
  <c r="K134" i="14"/>
  <c r="L134" i="14"/>
  <c r="M134" i="14"/>
  <c r="G125" i="14"/>
  <c r="H125" i="14"/>
  <c r="I125" i="14"/>
  <c r="J125" i="14"/>
  <c r="K125" i="14"/>
  <c r="L125" i="14"/>
  <c r="M125" i="14"/>
  <c r="G126" i="14"/>
  <c r="H126" i="14"/>
  <c r="I126" i="14"/>
  <c r="J126" i="14"/>
  <c r="K126" i="14"/>
  <c r="L126" i="14"/>
  <c r="M126" i="14"/>
  <c r="G127" i="14"/>
  <c r="H127" i="14"/>
  <c r="I127" i="14"/>
  <c r="J127" i="14"/>
  <c r="K127" i="14"/>
  <c r="L127" i="14"/>
  <c r="M127" i="14"/>
  <c r="G128" i="14"/>
  <c r="H128" i="14"/>
  <c r="I128" i="14"/>
  <c r="J128" i="14"/>
  <c r="K128" i="14"/>
  <c r="L128" i="14"/>
  <c r="M128" i="14"/>
  <c r="G118" i="14"/>
  <c r="H118" i="14"/>
  <c r="I118" i="14"/>
  <c r="J118" i="14"/>
  <c r="K118" i="14"/>
  <c r="L118" i="14"/>
  <c r="M118" i="14"/>
  <c r="G119" i="14"/>
  <c r="H119" i="14"/>
  <c r="I119" i="14"/>
  <c r="J119" i="14"/>
  <c r="K119" i="14"/>
  <c r="L119" i="14"/>
  <c r="M119" i="14"/>
  <c r="G120" i="14"/>
  <c r="H120" i="14"/>
  <c r="I120" i="14"/>
  <c r="J120" i="14"/>
  <c r="K120" i="14"/>
  <c r="L120" i="14"/>
  <c r="M120" i="14"/>
  <c r="G121" i="14"/>
  <c r="H121" i="14"/>
  <c r="I121" i="14"/>
  <c r="J121" i="14"/>
  <c r="K121" i="14"/>
  <c r="L121" i="14"/>
  <c r="M121" i="14"/>
  <c r="F128" i="14"/>
  <c r="F127" i="14"/>
  <c r="F126" i="14"/>
  <c r="F125" i="14"/>
  <c r="F121" i="14"/>
  <c r="F120" i="14"/>
  <c r="F119" i="14"/>
  <c r="F118" i="14"/>
  <c r="F114" i="14"/>
  <c r="F113" i="14"/>
  <c r="F111" i="14"/>
  <c r="F112" i="14"/>
  <c r="G114" i="14"/>
  <c r="H114" i="14"/>
  <c r="I114" i="14"/>
  <c r="J114" i="14"/>
  <c r="K114" i="14"/>
  <c r="L114" i="14"/>
  <c r="M114" i="14"/>
  <c r="G112" i="14"/>
  <c r="H112" i="14"/>
  <c r="I112" i="14"/>
  <c r="J112" i="14"/>
  <c r="K112" i="14"/>
  <c r="L112" i="14"/>
  <c r="M112" i="14"/>
  <c r="G111" i="14"/>
  <c r="H111" i="14"/>
  <c r="I111" i="14"/>
  <c r="J111" i="14"/>
  <c r="K111" i="14"/>
  <c r="L111" i="14"/>
  <c r="M111" i="14"/>
  <c r="F1269" i="7" l="1" a="1"/>
  <c r="F1269" i="7" s="1"/>
  <c r="F1687" i="7" a="1"/>
  <c r="F1687" i="7" s="1"/>
  <c r="F1513" i="7" a="1"/>
  <c r="F1513" i="7" s="1"/>
  <c r="F1509" i="7" a="1"/>
  <c r="F1509" i="7" s="1"/>
  <c r="F1274" i="7" a="1"/>
  <c r="F1274" i="7" s="1"/>
  <c r="H902" i="7"/>
  <c r="F1268" i="7" a="1"/>
  <c r="F1268" i="7" s="1"/>
  <c r="F1510" i="7" a="1"/>
  <c r="F1510" i="7" s="1"/>
  <c r="F1519" i="7" a="1"/>
  <c r="F1519" i="7" s="1"/>
  <c r="K902" i="7"/>
  <c r="F1681" i="7" a="1"/>
  <c r="F1681" i="7" s="1"/>
  <c r="F1684" i="7" a="1"/>
  <c r="F1684" i="7" s="1"/>
  <c r="F1515" i="7" a="1"/>
  <c r="F1515" i="7" s="1"/>
  <c r="F1270" i="7" a="1"/>
  <c r="F1270" i="7" s="1"/>
  <c r="L902" i="7"/>
  <c r="F1514" i="7" a="1"/>
  <c r="F1514" i="7" s="1"/>
  <c r="M902" i="7"/>
  <c r="J902" i="7"/>
  <c r="F1264" i="7" a="1"/>
  <c r="F1264" i="7" s="1"/>
  <c r="F1517" i="7" a="1"/>
  <c r="F1517" i="7" s="1"/>
  <c r="F1273" i="7" a="1"/>
  <c r="F1273" i="7" s="1"/>
  <c r="G902" i="7"/>
  <c r="F1265" i="7" a="1"/>
  <c r="F1265" i="7" s="1"/>
  <c r="F1508" i="7" a="1"/>
  <c r="F1508" i="7" s="1"/>
  <c r="F1678" i="7" a="1"/>
  <c r="F1678" i="7" s="1"/>
  <c r="F1516" i="7" a="1"/>
  <c r="F1516" i="7" s="1"/>
  <c r="F1267" i="7" a="1"/>
  <c r="F1267" i="7" s="1"/>
  <c r="F1263" i="7" a="1"/>
  <c r="F1263" i="7" s="1"/>
  <c r="F1682" i="7" a="1"/>
  <c r="F1682" i="7" s="1"/>
  <c r="F1512" i="7" a="1"/>
  <c r="F1512" i="7" s="1"/>
  <c r="F1686" i="7" a="1"/>
  <c r="F1686" i="7" s="1"/>
  <c r="F1679" i="7" a="1"/>
  <c r="F1679" i="7" s="1"/>
  <c r="F1688" i="7" a="1"/>
  <c r="F1688" i="7" s="1"/>
  <c r="F1680" i="7" a="1"/>
  <c r="F1680" i="7" s="1"/>
  <c r="F1518" i="7" a="1"/>
  <c r="F1518" i="7" s="1"/>
  <c r="F1689" i="7" a="1"/>
  <c r="F1689" i="7" s="1"/>
  <c r="I902" i="7"/>
  <c r="F1511" i="7" a="1"/>
  <c r="F1511" i="7" s="1"/>
  <c r="F1271" i="7" a="1"/>
  <c r="F1271" i="7" s="1"/>
  <c r="F1685" i="7" a="1"/>
  <c r="F1685" i="7" s="1"/>
  <c r="F885" i="7"/>
  <c r="F1683" i="7" a="1"/>
  <c r="F1683" i="7" s="1"/>
  <c r="J59" i="7"/>
  <c r="F58" i="7"/>
  <c r="J55" i="7"/>
  <c r="K60" i="7"/>
  <c r="F56" i="7"/>
  <c r="F57" i="7"/>
  <c r="K59" i="7"/>
  <c r="I56" i="7"/>
  <c r="J58" i="7"/>
  <c r="H56" i="7"/>
  <c r="K61" i="7"/>
  <c r="I58" i="7"/>
  <c r="K58" i="7"/>
  <c r="H58" i="7"/>
  <c r="K57" i="7"/>
  <c r="H55" i="7"/>
  <c r="J57" i="7"/>
  <c r="G57" i="7"/>
  <c r="K56" i="7"/>
  <c r="F55" i="7"/>
  <c r="H57" i="7"/>
  <c r="K55" i="7"/>
  <c r="G55" i="7"/>
  <c r="I57" i="7"/>
  <c r="J56" i="7"/>
  <c r="I55" i="7"/>
  <c r="Q246" i="67"/>
  <c r="O247" i="67"/>
  <c r="Q247" i="67" s="1"/>
  <c r="D252" i="67" s="1"/>
  <c r="O248" i="67"/>
  <c r="Q248" i="67" s="1"/>
  <c r="D249" i="67" s="1"/>
  <c r="O249" i="67"/>
  <c r="Q249" i="67" s="1"/>
  <c r="O250" i="67"/>
  <c r="Q250" i="67" s="1"/>
  <c r="O251" i="67"/>
  <c r="Q251" i="67" s="1"/>
  <c r="O252" i="67"/>
  <c r="Q252" i="67" s="1"/>
  <c r="D251" i="67" s="1"/>
  <c r="O253" i="67"/>
  <c r="Q253" i="67" s="1"/>
  <c r="O254" i="67"/>
  <c r="Q254" i="67" s="1"/>
  <c r="O255" i="67"/>
  <c r="Q255" i="67" s="1"/>
  <c r="O256" i="67"/>
  <c r="Q256" i="67" s="1"/>
  <c r="O257" i="67"/>
  <c r="Q257" i="67" s="1"/>
  <c r="O258" i="67"/>
  <c r="Q258" i="67" s="1"/>
  <c r="O259" i="67"/>
  <c r="Q259" i="67" s="1"/>
  <c r="O260" i="67"/>
  <c r="Q260" i="67" s="1"/>
  <c r="D250" i="67" s="1"/>
  <c r="O261" i="67"/>
  <c r="Q261" i="67" s="1"/>
  <c r="O262" i="67"/>
  <c r="Q262" i="67" s="1"/>
  <c r="O263" i="67"/>
  <c r="Q263" i="67" s="1"/>
  <c r="O264" i="67"/>
  <c r="Q264" i="67" s="1"/>
  <c r="O265" i="67"/>
  <c r="Q265" i="67" s="1"/>
  <c r="O266" i="67"/>
  <c r="Q266" i="67" s="1"/>
  <c r="O267" i="67"/>
  <c r="Q267" i="67" s="1"/>
  <c r="D258" i="67" s="1"/>
  <c r="O268" i="67"/>
  <c r="Q268" i="67" s="1"/>
  <c r="O269" i="67"/>
  <c r="Q269" i="67" s="1"/>
  <c r="D257" i="67" s="1"/>
  <c r="O270" i="67"/>
  <c r="Q270" i="67" s="1"/>
  <c r="D248" i="67" s="1"/>
  <c r="O271" i="67"/>
  <c r="Q271" i="67" s="1"/>
  <c r="O272" i="67"/>
  <c r="Q272" i="67" s="1"/>
  <c r="D259" i="67" s="1"/>
  <c r="O273" i="67"/>
  <c r="Q273" i="67" s="1"/>
  <c r="O274" i="67"/>
  <c r="Q274" i="67" s="1"/>
  <c r="O275" i="67"/>
  <c r="Q275" i="67" s="1"/>
  <c r="G66" i="7"/>
  <c r="G68" i="7" s="1"/>
  <c r="F66" i="7"/>
  <c r="F69" i="7"/>
  <c r="F925" i="7" s="1" a="1"/>
  <c r="G69" i="7"/>
  <c r="H66" i="7"/>
  <c r="H68" i="7" s="1"/>
  <c r="I66" i="7"/>
  <c r="J66" i="7"/>
  <c r="K66" i="7"/>
  <c r="J68" i="7"/>
  <c r="K68" i="7" s="1"/>
  <c r="J69" i="7"/>
  <c r="K69" i="7" s="1"/>
  <c r="I942" i="7" l="1"/>
  <c r="K942" i="7"/>
  <c r="F1720" i="7" a="1"/>
  <c r="F1720" i="7" s="1"/>
  <c r="F1551" i="7" a="1"/>
  <c r="F1551" i="7" s="1"/>
  <c r="F1725" i="7" a="1"/>
  <c r="F1725" i="7" s="1"/>
  <c r="F1307" i="7" a="1"/>
  <c r="F1307" i="7" s="1"/>
  <c r="F1314" i="7" a="1"/>
  <c r="F1314" i="7" s="1"/>
  <c r="F1559" i="7" a="1"/>
  <c r="F1559" i="7" s="1"/>
  <c r="F1553" i="7" a="1"/>
  <c r="F1553" i="7" s="1"/>
  <c r="G942" i="7"/>
  <c r="F1721" i="7" a="1"/>
  <c r="F1721" i="7" s="1"/>
  <c r="F1557" i="7" a="1"/>
  <c r="F1557" i="7" s="1"/>
  <c r="F1723" i="7" a="1"/>
  <c r="F1723" i="7" s="1"/>
  <c r="F1312" i="7" a="1"/>
  <c r="F1312" i="7" s="1"/>
  <c r="F1560" i="7" a="1"/>
  <c r="F1560" i="7" s="1"/>
  <c r="F1731" i="7" a="1"/>
  <c r="F1731" i="7" s="1"/>
  <c r="F1550" i="7" a="1"/>
  <c r="F1550" i="7" s="1"/>
  <c r="L942" i="7"/>
  <c r="F1555" i="7" a="1"/>
  <c r="F1555" i="7" s="1"/>
  <c r="F1729" i="7" a="1"/>
  <c r="F1729" i="7" s="1"/>
  <c r="F1315" i="7" a="1"/>
  <c r="F1315" i="7" s="1"/>
  <c r="F1558" i="7" a="1"/>
  <c r="F1558" i="7" s="1"/>
  <c r="F1728" i="7" a="1"/>
  <c r="F1728" i="7" s="1"/>
  <c r="F1554" i="7" a="1"/>
  <c r="F1554" i="7" s="1"/>
  <c r="F1556" i="7" a="1"/>
  <c r="F1556" i="7" s="1"/>
  <c r="F1313" i="7" a="1"/>
  <c r="F1313" i="7" s="1"/>
  <c r="F925" i="7"/>
  <c r="F1549" i="7" s="1" a="1"/>
  <c r="F1549" i="7" s="1"/>
  <c r="F1306" i="7" a="1"/>
  <c r="F1306" i="7" s="1"/>
  <c r="F1316" i="7" a="1"/>
  <c r="F1316" i="7" s="1"/>
  <c r="F1310" i="7" a="1"/>
  <c r="F1310" i="7" s="1"/>
  <c r="F1552" i="7" a="1"/>
  <c r="F1552" i="7" s="1"/>
  <c r="F1561" i="7" a="1"/>
  <c r="F1561" i="7" s="1"/>
  <c r="F1311" i="7" a="1"/>
  <c r="F1311" i="7" s="1"/>
  <c r="H942" i="7"/>
  <c r="F1726" i="7" a="1"/>
  <c r="F1726" i="7" s="1"/>
  <c r="F1730" i="7" a="1"/>
  <c r="F1730" i="7" s="1"/>
  <c r="F1309" i="7" a="1"/>
  <c r="F1309" i="7" s="1"/>
  <c r="M942" i="7"/>
  <c r="F1305" i="7" a="1"/>
  <c r="F1305" i="7" s="1"/>
  <c r="F1308" i="7" a="1"/>
  <c r="F1308" i="7" s="1"/>
  <c r="J942" i="7"/>
  <c r="F1727" i="7" a="1"/>
  <c r="F1727" i="7" s="1"/>
  <c r="F1722" i="7" a="1"/>
  <c r="F1722" i="7" s="1"/>
  <c r="F1724" i="7" a="1"/>
  <c r="F1724" i="7" s="1"/>
  <c r="F68" i="7"/>
  <c r="F905" i="7" s="1" a="1"/>
  <c r="F865" i="7" a="1"/>
  <c r="F1507" i="7" a="1"/>
  <c r="F1677" i="7" a="1"/>
  <c r="F1262" i="7" a="1"/>
  <c r="F1262" i="7" s="1"/>
  <c r="F902" i="7"/>
  <c r="E683" i="7" s="1" a="1"/>
  <c r="E683" i="7" s="1"/>
  <c r="E1836" i="7" a="1"/>
  <c r="E1836" i="7" s="1"/>
  <c r="E1848" i="7" a="1"/>
  <c r="E1848" i="7" s="1"/>
  <c r="E1845" i="7" a="1"/>
  <c r="E1845" i="7" s="1"/>
  <c r="E1833" i="7" a="1"/>
  <c r="E1833" i="7" s="1"/>
  <c r="E1839" i="7" a="1"/>
  <c r="E1839" i="7" s="1"/>
  <c r="E1830" i="7" a="1"/>
  <c r="D254" i="67"/>
  <c r="D253" i="67"/>
  <c r="D256" i="67"/>
  <c r="D255" i="67"/>
  <c r="M1524" i="7" l="1"/>
  <c r="F1507" i="7"/>
  <c r="F1524" i="7" s="1"/>
  <c r="H1524" i="7"/>
  <c r="G1524" i="7"/>
  <c r="K1524" i="7"/>
  <c r="J1524" i="7"/>
  <c r="L1524" i="7"/>
  <c r="I1524" i="7"/>
  <c r="F865" i="7"/>
  <c r="F1253" i="7" a="1"/>
  <c r="F1253" i="7" s="1"/>
  <c r="F1491" i="7" a="1"/>
  <c r="F1491" i="7" s="1"/>
  <c r="F1488" i="7" a="1"/>
  <c r="F1488" i="7" s="1"/>
  <c r="F1659" i="7" a="1"/>
  <c r="F1659" i="7" s="1"/>
  <c r="F1249" i="7" a="1"/>
  <c r="F1249" i="7" s="1"/>
  <c r="H882" i="7"/>
  <c r="I882" i="7"/>
  <c r="F1496" i="7" a="1"/>
  <c r="F1496" i="7" s="1"/>
  <c r="F1247" i="7" a="1"/>
  <c r="F1247" i="7" s="1"/>
  <c r="F1490" i="7" a="1"/>
  <c r="F1490" i="7" s="1"/>
  <c r="F1251" i="7" a="1"/>
  <c r="F1251" i="7" s="1"/>
  <c r="F1660" i="7" a="1"/>
  <c r="F1660" i="7" s="1"/>
  <c r="F1661" i="7" a="1"/>
  <c r="F1661" i="7" s="1"/>
  <c r="F1663" i="7" a="1"/>
  <c r="F1663" i="7" s="1"/>
  <c r="F1668" i="7" a="1"/>
  <c r="F1668" i="7" s="1"/>
  <c r="F1495" i="7" a="1"/>
  <c r="F1495" i="7" s="1"/>
  <c r="F1244" i="7" a="1"/>
  <c r="F1244" i="7" s="1"/>
  <c r="F1494" i="7" a="1"/>
  <c r="F1494" i="7" s="1"/>
  <c r="F1664" i="7" a="1"/>
  <c r="F1664" i="7" s="1"/>
  <c r="K882" i="7"/>
  <c r="F1658" i="7" a="1"/>
  <c r="F1658" i="7" s="1"/>
  <c r="F1246" i="7" a="1"/>
  <c r="F1246" i="7" s="1"/>
  <c r="F1498" i="7" a="1"/>
  <c r="F1498" i="7" s="1"/>
  <c r="F1242" i="7" a="1"/>
  <c r="F1242" i="7" s="1"/>
  <c r="L882" i="7"/>
  <c r="F1657" i="7" a="1"/>
  <c r="F1657" i="7" s="1"/>
  <c r="F1493" i="7" a="1"/>
  <c r="F1493" i="7" s="1"/>
  <c r="F1250" i="7" a="1"/>
  <c r="F1250" i="7" s="1"/>
  <c r="F1252" i="7" a="1"/>
  <c r="F1252" i="7" s="1"/>
  <c r="F1665" i="7" a="1"/>
  <c r="F1665" i="7" s="1"/>
  <c r="F1667" i="7" a="1"/>
  <c r="F1667" i="7" s="1"/>
  <c r="F1487" i="7" a="1"/>
  <c r="F1487" i="7" s="1"/>
  <c r="M882" i="7"/>
  <c r="F1497" i="7" a="1"/>
  <c r="F1497" i="7" s="1"/>
  <c r="F1492" i="7" a="1"/>
  <c r="F1492" i="7" s="1"/>
  <c r="F1245" i="7" a="1"/>
  <c r="F1245" i="7" s="1"/>
  <c r="G882" i="7"/>
  <c r="F1243" i="7" a="1"/>
  <c r="F1243" i="7" s="1"/>
  <c r="F1248" i="7" a="1"/>
  <c r="F1248" i="7" s="1"/>
  <c r="F1666" i="7" a="1"/>
  <c r="F1666" i="7" s="1"/>
  <c r="F1489" i="7" a="1"/>
  <c r="F1489" i="7" s="1"/>
  <c r="J882" i="7"/>
  <c r="F1662" i="7" a="1"/>
  <c r="F1662" i="7" s="1"/>
  <c r="F1536" i="7" a="1"/>
  <c r="F1536" i="7" s="1"/>
  <c r="F1535" i="7" a="1"/>
  <c r="F1535" i="7" s="1"/>
  <c r="F1294" i="7" a="1"/>
  <c r="F1294" i="7" s="1"/>
  <c r="K922" i="7"/>
  <c r="H922" i="7"/>
  <c r="F1700" i="7" a="1"/>
  <c r="F1700" i="7" s="1"/>
  <c r="F1699" i="7" a="1"/>
  <c r="F1699" i="7" s="1"/>
  <c r="G922" i="7"/>
  <c r="F905" i="7"/>
  <c r="F1704" i="7" a="1"/>
  <c r="F1704" i="7" s="1"/>
  <c r="F1530" i="7" a="1"/>
  <c r="F1530" i="7" s="1"/>
  <c r="F1532" i="7" a="1"/>
  <c r="F1532" i="7" s="1"/>
  <c r="F1290" i="7" a="1"/>
  <c r="F1290" i="7" s="1"/>
  <c r="I922" i="7"/>
  <c r="F1708" i="7" a="1"/>
  <c r="F1708" i="7" s="1"/>
  <c r="F1285" i="7" a="1"/>
  <c r="F1285" i="7" s="1"/>
  <c r="F1703" i="7" a="1"/>
  <c r="F1703" i="7" s="1"/>
  <c r="F1287" i="7" a="1"/>
  <c r="F1287" i="7" s="1"/>
  <c r="F1293" i="7" a="1"/>
  <c r="F1293" i="7" s="1"/>
  <c r="F1706" i="7" a="1"/>
  <c r="F1706" i="7" s="1"/>
  <c r="F1534" i="7" a="1"/>
  <c r="F1534" i="7" s="1"/>
  <c r="F1538" i="7" a="1"/>
  <c r="F1538" i="7" s="1"/>
  <c r="F1707" i="7" a="1"/>
  <c r="F1707" i="7" s="1"/>
  <c r="F1292" i="7" a="1"/>
  <c r="F1292" i="7" s="1"/>
  <c r="F1286" i="7" a="1"/>
  <c r="F1286" i="7" s="1"/>
  <c r="M922" i="7"/>
  <c r="F1710" i="7" a="1"/>
  <c r="F1710" i="7" s="1"/>
  <c r="F1702" i="7" a="1"/>
  <c r="F1702" i="7" s="1"/>
  <c r="F1284" i="7" a="1"/>
  <c r="F1284" i="7" s="1"/>
  <c r="F1537" i="7" a="1"/>
  <c r="F1537" i="7" s="1"/>
  <c r="F1705" i="7" a="1"/>
  <c r="F1705" i="7" s="1"/>
  <c r="L922" i="7"/>
  <c r="F1531" i="7" a="1"/>
  <c r="F1531" i="7" s="1"/>
  <c r="F1701" i="7" a="1"/>
  <c r="F1701" i="7" s="1"/>
  <c r="F1288" i="7" a="1"/>
  <c r="F1288" i="7" s="1"/>
  <c r="F1266" i="7" a="1"/>
  <c r="F1266" i="7" s="1"/>
  <c r="J922" i="7"/>
  <c r="F1291" i="7" a="1"/>
  <c r="F1291" i="7" s="1"/>
  <c r="F1539" i="7" a="1"/>
  <c r="F1539" i="7" s="1"/>
  <c r="F1540" i="7" a="1"/>
  <c r="F1540" i="7" s="1"/>
  <c r="F1289" i="7" a="1"/>
  <c r="F1289" i="7" s="1"/>
  <c r="F1533" i="7" a="1"/>
  <c r="F1533" i="7" s="1"/>
  <c r="F1709" i="7" a="1"/>
  <c r="F1709" i="7" s="1"/>
  <c r="F1529" i="7" a="1"/>
  <c r="F1529" i="7" s="1"/>
  <c r="K1694" i="7"/>
  <c r="I1694" i="7"/>
  <c r="L1694" i="7"/>
  <c r="J1694" i="7"/>
  <c r="G1694" i="7"/>
  <c r="H1694" i="7"/>
  <c r="F1677" i="7"/>
  <c r="F1694" i="7" s="1"/>
  <c r="M1694" i="7"/>
  <c r="F1304" i="7" a="1"/>
  <c r="F1719" i="7" a="1"/>
  <c r="F942" i="7"/>
  <c r="E685" i="7" s="1" a="1"/>
  <c r="E685" i="7" s="1"/>
  <c r="F1849" i="7"/>
  <c r="J1849" i="7"/>
  <c r="I1849" i="7"/>
  <c r="K1849" i="7"/>
  <c r="H1849" i="7"/>
  <c r="L1849" i="7"/>
  <c r="E1830" i="7"/>
  <c r="E1849" i="7" s="1"/>
  <c r="G1849" i="7"/>
  <c r="E269" i="13"/>
  <c r="E268" i="13"/>
  <c r="I246" i="67"/>
  <c r="M32" i="67"/>
  <c r="T32" i="67" s="1"/>
  <c r="N32" i="67"/>
  <c r="V32" i="67" s="1"/>
  <c r="P32" i="67"/>
  <c r="AC32" i="67" s="1"/>
  <c r="Q32" i="67"/>
  <c r="AD32" i="67" s="1"/>
  <c r="M22" i="67"/>
  <c r="T22" i="67" s="1"/>
  <c r="N22" i="67"/>
  <c r="V22" i="67" s="1"/>
  <c r="P22" i="67"/>
  <c r="AB22" i="67" s="1"/>
  <c r="Q22" i="67"/>
  <c r="AD22" i="67" s="1"/>
  <c r="M19" i="67"/>
  <c r="T19" i="67" s="1"/>
  <c r="M11" i="67"/>
  <c r="S11" i="67" s="1"/>
  <c r="Q11" i="67"/>
  <c r="AG11" i="67" s="1"/>
  <c r="N11" i="67"/>
  <c r="Y11" i="67" s="1"/>
  <c r="P11" i="67"/>
  <c r="AB11" i="67" s="1"/>
  <c r="Q12" i="67"/>
  <c r="M12" i="67"/>
  <c r="U12" i="67" s="1"/>
  <c r="N12" i="67"/>
  <c r="P12" i="67"/>
  <c r="Z12" i="67" s="1"/>
  <c r="M13" i="67"/>
  <c r="T13" i="67" s="1"/>
  <c r="N13" i="67"/>
  <c r="V13" i="67" s="1"/>
  <c r="P13" i="67"/>
  <c r="AA13" i="67" s="1"/>
  <c r="Q13" i="67"/>
  <c r="AD13" i="67" s="1"/>
  <c r="Q14" i="67"/>
  <c r="M14" i="67"/>
  <c r="T14" i="67" s="1"/>
  <c r="N14" i="67"/>
  <c r="V14" i="67" s="1"/>
  <c r="P14" i="67"/>
  <c r="Z14" i="67" s="1"/>
  <c r="Q15" i="67"/>
  <c r="AD15" i="67" s="1"/>
  <c r="M15" i="67"/>
  <c r="U15" i="67" s="1"/>
  <c r="N15" i="67"/>
  <c r="V15" i="67" s="1"/>
  <c r="P15" i="67"/>
  <c r="Z15" i="67" s="1"/>
  <c r="P16" i="67"/>
  <c r="AA16" i="67" s="1"/>
  <c r="Q16" i="67"/>
  <c r="AD16" i="67" s="1"/>
  <c r="M16" i="67"/>
  <c r="S16" i="67" s="1"/>
  <c r="N16" i="67"/>
  <c r="V16" i="67" s="1"/>
  <c r="Q17" i="67"/>
  <c r="M17" i="67"/>
  <c r="S17" i="67" s="1"/>
  <c r="N17" i="67"/>
  <c r="V17" i="67" s="1"/>
  <c r="P17" i="67"/>
  <c r="Z17" i="67" s="1"/>
  <c r="M18" i="67"/>
  <c r="R18" i="67" s="1"/>
  <c r="N18" i="67"/>
  <c r="V18" i="67" s="1"/>
  <c r="P18" i="67"/>
  <c r="AA18" i="67" s="1"/>
  <c r="Q18" i="67"/>
  <c r="AD18" i="67" s="1"/>
  <c r="Q19" i="67"/>
  <c r="N19" i="67"/>
  <c r="W19" i="67" s="1"/>
  <c r="P19" i="67"/>
  <c r="AB19" i="67" s="1"/>
  <c r="M20" i="67"/>
  <c r="T20" i="67" s="1"/>
  <c r="N20" i="67"/>
  <c r="V20" i="67" s="1"/>
  <c r="P20" i="67"/>
  <c r="AA20" i="67" s="1"/>
  <c r="Q20" i="67"/>
  <c r="AD20" i="67" s="1"/>
  <c r="Q21" i="67"/>
  <c r="AE21" i="67" s="1"/>
  <c r="M21" i="67"/>
  <c r="S21" i="67" s="1"/>
  <c r="N21" i="67"/>
  <c r="W21" i="67" s="1"/>
  <c r="P21" i="67"/>
  <c r="AB21" i="67" s="1"/>
  <c r="M23" i="67"/>
  <c r="R23" i="67" s="1"/>
  <c r="N23" i="67"/>
  <c r="V23" i="67" s="1"/>
  <c r="P23" i="67"/>
  <c r="AA23" i="67" s="1"/>
  <c r="Q23" i="67"/>
  <c r="AD23" i="67" s="1"/>
  <c r="Q24" i="67"/>
  <c r="AE24" i="67" s="1"/>
  <c r="M24" i="67"/>
  <c r="U24" i="67" s="1"/>
  <c r="N24" i="67"/>
  <c r="W24" i="67" s="1"/>
  <c r="P24" i="67"/>
  <c r="AB24" i="67" s="1"/>
  <c r="M25" i="67"/>
  <c r="S25" i="67" s="1"/>
  <c r="N25" i="67"/>
  <c r="V25" i="67" s="1"/>
  <c r="P25" i="67"/>
  <c r="AA25" i="67" s="1"/>
  <c r="Q25" i="67"/>
  <c r="AD25" i="67" s="1"/>
  <c r="Q26" i="67"/>
  <c r="AE26" i="67" s="1"/>
  <c r="M26" i="67"/>
  <c r="W26" i="67"/>
  <c r="P26" i="67"/>
  <c r="AB26" i="67" s="1"/>
  <c r="M27" i="67"/>
  <c r="R27" i="67" s="1"/>
  <c r="N27" i="67"/>
  <c r="V27" i="67" s="1"/>
  <c r="P27" i="67"/>
  <c r="AA27" i="67" s="1"/>
  <c r="Q27" i="67"/>
  <c r="AD27" i="67" s="1"/>
  <c r="Q28" i="67"/>
  <c r="AE28" i="67" s="1"/>
  <c r="M28" i="67"/>
  <c r="N28" i="67"/>
  <c r="W28" i="67" s="1"/>
  <c r="P28" i="67"/>
  <c r="AB28" i="67" s="1"/>
  <c r="M29" i="67"/>
  <c r="T29" i="67" s="1"/>
  <c r="P29" i="67"/>
  <c r="AA29" i="67" s="1"/>
  <c r="Q29" i="67"/>
  <c r="AD29" i="67" s="1"/>
  <c r="N29" i="67"/>
  <c r="V29" i="67" s="1"/>
  <c r="Q30" i="67"/>
  <c r="AE30" i="67" s="1"/>
  <c r="N30" i="67"/>
  <c r="V30" i="67" s="1"/>
  <c r="M30" i="67"/>
  <c r="T30" i="67" s="1"/>
  <c r="P30" i="67"/>
  <c r="AB30" i="67" s="1"/>
  <c r="M31" i="67"/>
  <c r="R31" i="67" s="1"/>
  <c r="N31" i="67"/>
  <c r="V31" i="67" s="1"/>
  <c r="P31" i="67"/>
  <c r="AA31" i="67" s="1"/>
  <c r="Q31" i="67"/>
  <c r="AD31" i="67" s="1"/>
  <c r="Q33" i="67"/>
  <c r="AE33" i="67" s="1"/>
  <c r="N33" i="67"/>
  <c r="M33" i="67"/>
  <c r="U33" i="67" s="1"/>
  <c r="P33" i="67"/>
  <c r="AB33" i="67" s="1"/>
  <c r="Q34" i="67"/>
  <c r="AD34" i="67" s="1"/>
  <c r="M34" i="67"/>
  <c r="S34" i="67" s="1"/>
  <c r="N34" i="67"/>
  <c r="V34" i="67" s="1"/>
  <c r="P34" i="67"/>
  <c r="AA34" i="67" s="1"/>
  <c r="Q35" i="67"/>
  <c r="AE35" i="67" s="1"/>
  <c r="M35" i="67"/>
  <c r="R35" i="67" s="1"/>
  <c r="P35" i="67"/>
  <c r="Z35" i="67" s="1"/>
  <c r="N35" i="67"/>
  <c r="V35" i="67" s="1"/>
  <c r="N36" i="67"/>
  <c r="V36" i="67" s="1"/>
  <c r="Q36" i="67"/>
  <c r="AD36" i="67" s="1"/>
  <c r="M36" i="67"/>
  <c r="R36" i="67" s="1"/>
  <c r="P36" i="67"/>
  <c r="AA36" i="67" s="1"/>
  <c r="Q37" i="67"/>
  <c r="AE37" i="67" s="1"/>
  <c r="M37" i="67"/>
  <c r="T37" i="67" s="1"/>
  <c r="P37" i="67"/>
  <c r="Z37" i="67" s="1"/>
  <c r="N37" i="67"/>
  <c r="N38" i="67"/>
  <c r="V38" i="67" s="1"/>
  <c r="Q38" i="67"/>
  <c r="AD38" i="67" s="1"/>
  <c r="M38" i="67"/>
  <c r="R38" i="67" s="1"/>
  <c r="P38" i="67"/>
  <c r="AA38" i="67" s="1"/>
  <c r="Q39" i="67"/>
  <c r="AE39" i="67" s="1"/>
  <c r="M39" i="67"/>
  <c r="U39" i="67" s="1"/>
  <c r="P39" i="67"/>
  <c r="Z39" i="67" s="1"/>
  <c r="N39" i="67"/>
  <c r="V39" i="67" s="1"/>
  <c r="AC42" i="67"/>
  <c r="Z42" i="67"/>
  <c r="U42" i="67"/>
  <c r="R42" i="67"/>
  <c r="N42" i="67"/>
  <c r="AB42" i="67"/>
  <c r="F1283" i="7" l="1" a="1"/>
  <c r="F1528" i="7" a="1"/>
  <c r="F922" i="7"/>
  <c r="E684" i="7" s="1" a="1"/>
  <c r="E684" i="7" s="1"/>
  <c r="F1698" i="7" a="1"/>
  <c r="K1566" i="7"/>
  <c r="I1566" i="7"/>
  <c r="J1566" i="7"/>
  <c r="L1566" i="7"/>
  <c r="G1566" i="7"/>
  <c r="F1566" i="7"/>
  <c r="H1566" i="7"/>
  <c r="M1566" i="7"/>
  <c r="G1736" i="7"/>
  <c r="H1736" i="7"/>
  <c r="M1736" i="7"/>
  <c r="J1736" i="7"/>
  <c r="L1736" i="7"/>
  <c r="F1719" i="7"/>
  <c r="F1736" i="7" s="1"/>
  <c r="I1736" i="7"/>
  <c r="K1736" i="7"/>
  <c r="K1321" i="7"/>
  <c r="F1304" i="7"/>
  <c r="F1321" i="7" s="1"/>
  <c r="L1321" i="7"/>
  <c r="H1321" i="7"/>
  <c r="J1321" i="7"/>
  <c r="I1321" i="7"/>
  <c r="G1321" i="7"/>
  <c r="M1321" i="7"/>
  <c r="F882" i="7"/>
  <c r="E682" i="7" s="1" a="1"/>
  <c r="E682" i="7" s="1"/>
  <c r="F1486" i="7" a="1"/>
  <c r="F1656" i="7" a="1"/>
  <c r="AA32" i="67"/>
  <c r="AB32" i="67"/>
  <c r="AG22" i="67"/>
  <c r="AA22" i="67"/>
  <c r="AC22" i="67"/>
  <c r="Y22" i="67"/>
  <c r="U22" i="67"/>
  <c r="S22" i="67"/>
  <c r="R22" i="67"/>
  <c r="Z32" i="67"/>
  <c r="Y32" i="67"/>
  <c r="W32" i="67"/>
  <c r="Z22" i="67"/>
  <c r="U32" i="67"/>
  <c r="S32" i="67"/>
  <c r="W22" i="67"/>
  <c r="R32" i="67"/>
  <c r="AF22" i="67"/>
  <c r="X22" i="67"/>
  <c r="AE22" i="67"/>
  <c r="Z36" i="67"/>
  <c r="AF25" i="67"/>
  <c r="AG32" i="67"/>
  <c r="AF32" i="67"/>
  <c r="X32" i="67"/>
  <c r="AE32" i="67"/>
  <c r="AD35" i="67"/>
  <c r="X25" i="67"/>
  <c r="AF31" i="67"/>
  <c r="AD21" i="67"/>
  <c r="S14" i="67"/>
  <c r="X31" i="67"/>
  <c r="Z18" i="67"/>
  <c r="T18" i="67"/>
  <c r="Z16" i="67"/>
  <c r="AD28" i="67"/>
  <c r="AF38" i="67"/>
  <c r="AF27" i="67"/>
  <c r="X27" i="67"/>
  <c r="AB39" i="67"/>
  <c r="V21" i="67"/>
  <c r="AB17" i="67"/>
  <c r="T38" i="67"/>
  <c r="T15" i="67"/>
  <c r="AB35" i="67"/>
  <c r="AD30" i="67"/>
  <c r="Z27" i="67"/>
  <c r="AD24" i="67"/>
  <c r="AF20" i="67"/>
  <c r="AF16" i="67"/>
  <c r="AB14" i="67"/>
  <c r="V24" i="67"/>
  <c r="R33" i="67"/>
  <c r="R17" i="67"/>
  <c r="T33" i="67"/>
  <c r="T12" i="67"/>
  <c r="Z38" i="67"/>
  <c r="AD37" i="67"/>
  <c r="Z34" i="67"/>
  <c r="AF29" i="67"/>
  <c r="AD26" i="67"/>
  <c r="AF23" i="67"/>
  <c r="X20" i="67"/>
  <c r="X16" i="67"/>
  <c r="AF13" i="67"/>
  <c r="T36" i="67"/>
  <c r="AF34" i="67"/>
  <c r="R15" i="67"/>
  <c r="T31" i="67"/>
  <c r="W11" i="67"/>
  <c r="X38" i="67"/>
  <c r="AB37" i="67"/>
  <c r="X34" i="67"/>
  <c r="Z29" i="67"/>
  <c r="Z23" i="67"/>
  <c r="V19" i="67"/>
  <c r="AB15" i="67"/>
  <c r="Z13" i="67"/>
  <c r="Z20" i="67"/>
  <c r="S33" i="67"/>
  <c r="T27" i="67"/>
  <c r="AC11" i="67"/>
  <c r="AF36" i="67"/>
  <c r="AD33" i="67"/>
  <c r="X29" i="67"/>
  <c r="V26" i="67"/>
  <c r="X23" i="67"/>
  <c r="AF18" i="67"/>
  <c r="X13" i="67"/>
  <c r="S30" i="67"/>
  <c r="T23" i="67"/>
  <c r="AE11" i="67"/>
  <c r="AB12" i="67"/>
  <c r="S15" i="67"/>
  <c r="AD39" i="67"/>
  <c r="X36" i="67"/>
  <c r="Z31" i="67"/>
  <c r="V28" i="67"/>
  <c r="Z25" i="67"/>
  <c r="X18" i="67"/>
  <c r="U28" i="67"/>
  <c r="R28" i="67"/>
  <c r="S28" i="67"/>
  <c r="S26" i="67"/>
  <c r="T26" i="67"/>
  <c r="U26" i="67"/>
  <c r="AE14" i="67"/>
  <c r="AF14" i="67"/>
  <c r="AG14" i="67"/>
  <c r="AE12" i="67"/>
  <c r="AF12" i="67"/>
  <c r="AG12" i="67"/>
  <c r="W33" i="67"/>
  <c r="X33" i="67"/>
  <c r="Y33" i="67"/>
  <c r="AE17" i="67"/>
  <c r="AF17" i="67"/>
  <c r="AG17" i="67"/>
  <c r="R24" i="67"/>
  <c r="W30" i="67"/>
  <c r="X30" i="67"/>
  <c r="Y30" i="67"/>
  <c r="AE19" i="67"/>
  <c r="AF19" i="67"/>
  <c r="AG19" i="67"/>
  <c r="S24" i="67"/>
  <c r="T28" i="67"/>
  <c r="AD19" i="67"/>
  <c r="AD12" i="67"/>
  <c r="S35" i="67"/>
  <c r="T35" i="67"/>
  <c r="U35" i="67"/>
  <c r="T21" i="67"/>
  <c r="R21" i="67"/>
  <c r="U21" i="67"/>
  <c r="R26" i="67"/>
  <c r="AD17" i="67"/>
  <c r="V33" i="67"/>
  <c r="W39" i="67"/>
  <c r="X39" i="67"/>
  <c r="Y39" i="67"/>
  <c r="W37" i="67"/>
  <c r="X37" i="67"/>
  <c r="Y37" i="67"/>
  <c r="W35" i="67"/>
  <c r="X35" i="67"/>
  <c r="Y35" i="67"/>
  <c r="Z33" i="67"/>
  <c r="AA33" i="67"/>
  <c r="AC33" i="67"/>
  <c r="Z30" i="67"/>
  <c r="AA30" i="67"/>
  <c r="AC30" i="67"/>
  <c r="Z28" i="67"/>
  <c r="AA28" i="67"/>
  <c r="AC28" i="67"/>
  <c r="Z26" i="67"/>
  <c r="AA26" i="67"/>
  <c r="AC26" i="67"/>
  <c r="Z24" i="67"/>
  <c r="AA24" i="67"/>
  <c r="AC24" i="67"/>
  <c r="Z21" i="67"/>
  <c r="AA21" i="67"/>
  <c r="AC21" i="67"/>
  <c r="Z19" i="67"/>
  <c r="AA19" i="67"/>
  <c r="AC19" i="67"/>
  <c r="W17" i="67"/>
  <c r="X17" i="67"/>
  <c r="Y17" i="67"/>
  <c r="W15" i="67"/>
  <c r="X15" i="67"/>
  <c r="Y15" i="67"/>
  <c r="W14" i="67"/>
  <c r="X14" i="67"/>
  <c r="Y14" i="67"/>
  <c r="W12" i="67"/>
  <c r="X12" i="67"/>
  <c r="Y12" i="67"/>
  <c r="U19" i="67"/>
  <c r="R19" i="67"/>
  <c r="S19" i="67"/>
  <c r="S39" i="67"/>
  <c r="T39" i="67"/>
  <c r="T24" i="67"/>
  <c r="V37" i="67"/>
  <c r="AD14" i="67"/>
  <c r="V12" i="67"/>
  <c r="U37" i="67"/>
  <c r="R37" i="67"/>
  <c r="S37" i="67"/>
  <c r="AE15" i="67"/>
  <c r="AF15" i="67"/>
  <c r="AG15" i="67"/>
  <c r="R39" i="67"/>
  <c r="R11" i="67"/>
  <c r="R34" i="67"/>
  <c r="R25" i="67"/>
  <c r="R16" i="67"/>
  <c r="S38" i="67"/>
  <c r="S31" i="67"/>
  <c r="S23" i="67"/>
  <c r="U38" i="67"/>
  <c r="U36" i="67"/>
  <c r="U31" i="67"/>
  <c r="U27" i="67"/>
  <c r="U23" i="67"/>
  <c r="U18" i="67"/>
  <c r="V11" i="67"/>
  <c r="AD11" i="67"/>
  <c r="AC39" i="67"/>
  <c r="AG38" i="67"/>
  <c r="Y38" i="67"/>
  <c r="AC37" i="67"/>
  <c r="AG36" i="67"/>
  <c r="Y36" i="67"/>
  <c r="AC35" i="67"/>
  <c r="AG34" i="67"/>
  <c r="Y34" i="67"/>
  <c r="AG31" i="67"/>
  <c r="Y31" i="67"/>
  <c r="AG29" i="67"/>
  <c r="Y29" i="67"/>
  <c r="AG27" i="67"/>
  <c r="Y27" i="67"/>
  <c r="AG25" i="67"/>
  <c r="Y25" i="67"/>
  <c r="AG23" i="67"/>
  <c r="Y23" i="67"/>
  <c r="AG20" i="67"/>
  <c r="Y20" i="67"/>
  <c r="AG18" i="67"/>
  <c r="Y18" i="67"/>
  <c r="AC17" i="67"/>
  <c r="AG16" i="67"/>
  <c r="Y16" i="67"/>
  <c r="AC15" i="67"/>
  <c r="AC14" i="67"/>
  <c r="AG13" i="67"/>
  <c r="Y13" i="67"/>
  <c r="AC12" i="67"/>
  <c r="S29" i="67"/>
  <c r="S20" i="67"/>
  <c r="S13" i="67"/>
  <c r="U30" i="67"/>
  <c r="U17" i="67"/>
  <c r="U14" i="67"/>
  <c r="X11" i="67"/>
  <c r="AF11" i="67"/>
  <c r="AA39" i="67"/>
  <c r="AE38" i="67"/>
  <c r="W38" i="67"/>
  <c r="AA37" i="67"/>
  <c r="AE36" i="67"/>
  <c r="W36" i="67"/>
  <c r="AA35" i="67"/>
  <c r="AE34" i="67"/>
  <c r="W34" i="67"/>
  <c r="AE31" i="67"/>
  <c r="W31" i="67"/>
  <c r="AE29" i="67"/>
  <c r="W29" i="67"/>
  <c r="AE27" i="67"/>
  <c r="W27" i="67"/>
  <c r="AE25" i="67"/>
  <c r="W25" i="67"/>
  <c r="AE23" i="67"/>
  <c r="W23" i="67"/>
  <c r="AE20" i="67"/>
  <c r="W20" i="67"/>
  <c r="AE18" i="67"/>
  <c r="W18" i="67"/>
  <c r="AA17" i="67"/>
  <c r="AE16" i="67"/>
  <c r="W16" i="67"/>
  <c r="AA15" i="67"/>
  <c r="AA14" i="67"/>
  <c r="AE13" i="67"/>
  <c r="W13" i="67"/>
  <c r="AA12" i="67"/>
  <c r="R30" i="67"/>
  <c r="R14" i="67"/>
  <c r="S12" i="67"/>
  <c r="T17" i="67"/>
  <c r="R29" i="67"/>
  <c r="R20" i="67"/>
  <c r="R13" i="67"/>
  <c r="S36" i="67"/>
  <c r="S27" i="67"/>
  <c r="S18" i="67"/>
  <c r="T11" i="67"/>
  <c r="U34" i="67"/>
  <c r="U29" i="67"/>
  <c r="U25" i="67"/>
  <c r="U20" i="67"/>
  <c r="U16" i="67"/>
  <c r="U13" i="67"/>
  <c r="Z11" i="67"/>
  <c r="AG39" i="67"/>
  <c r="AC38" i="67"/>
  <c r="AG37" i="67"/>
  <c r="AC36" i="67"/>
  <c r="AG35" i="67"/>
  <c r="AC34" i="67"/>
  <c r="AG33" i="67"/>
  <c r="AC31" i="67"/>
  <c r="AG30" i="67"/>
  <c r="AC29" i="67"/>
  <c r="AG28" i="67"/>
  <c r="Y28" i="67"/>
  <c r="AC27" i="67"/>
  <c r="AG26" i="67"/>
  <c r="Y26" i="67"/>
  <c r="AC25" i="67"/>
  <c r="AG24" i="67"/>
  <c r="Y24" i="67"/>
  <c r="AC23" i="67"/>
  <c r="AG21" i="67"/>
  <c r="Y21" i="67"/>
  <c r="AC20" i="67"/>
  <c r="Y19" i="67"/>
  <c r="AC18" i="67"/>
  <c r="AC16" i="67"/>
  <c r="AC13" i="67"/>
  <c r="R12" i="67"/>
  <c r="U11" i="67"/>
  <c r="T34" i="67"/>
  <c r="T25" i="67"/>
  <c r="T16" i="67"/>
  <c r="AA11" i="67"/>
  <c r="AF39" i="67"/>
  <c r="AB38" i="67"/>
  <c r="AF37" i="67"/>
  <c r="AB36" i="67"/>
  <c r="AF35" i="67"/>
  <c r="AB34" i="67"/>
  <c r="AF33" i="67"/>
  <c r="AB31" i="67"/>
  <c r="AF30" i="67"/>
  <c r="AB29" i="67"/>
  <c r="AF28" i="67"/>
  <c r="X28" i="67"/>
  <c r="AB27" i="67"/>
  <c r="AF26" i="67"/>
  <c r="X26" i="67"/>
  <c r="AB25" i="67"/>
  <c r="AF24" i="67"/>
  <c r="X24" i="67"/>
  <c r="AB23" i="67"/>
  <c r="AF21" i="67"/>
  <c r="X21" i="67"/>
  <c r="AB20" i="67"/>
  <c r="X19" i="67"/>
  <c r="AB18" i="67"/>
  <c r="AB16" i="67"/>
  <c r="AB13" i="67"/>
  <c r="V42" i="67"/>
  <c r="AD42" i="67"/>
  <c r="W42" i="67"/>
  <c r="AE42" i="67"/>
  <c r="X42" i="67"/>
  <c r="AF42" i="67"/>
  <c r="Y42" i="67"/>
  <c r="AG42" i="67"/>
  <c r="S42" i="67"/>
  <c r="AA42" i="67"/>
  <c r="T42" i="67"/>
  <c r="J1503" i="7" l="1"/>
  <c r="F1486" i="7"/>
  <c r="F1503" i="7" s="1"/>
  <c r="I1503" i="7"/>
  <c r="L1503" i="7"/>
  <c r="H1503" i="7"/>
  <c r="G1503" i="7"/>
  <c r="K1503" i="7"/>
  <c r="M1503" i="7"/>
  <c r="G1715" i="7"/>
  <c r="H1715" i="7"/>
  <c r="I1715" i="7"/>
  <c r="L1715" i="7"/>
  <c r="F1698" i="7"/>
  <c r="F1715" i="7" s="1"/>
  <c r="M1715" i="7"/>
  <c r="J1715" i="7"/>
  <c r="K1715" i="7"/>
  <c r="F1528" i="7"/>
  <c r="F1545" i="7" s="1"/>
  <c r="K1545" i="7"/>
  <c r="H1545" i="7"/>
  <c r="L1545" i="7"/>
  <c r="J1545" i="7"/>
  <c r="I1545" i="7"/>
  <c r="G1545" i="7"/>
  <c r="M1545" i="7"/>
  <c r="G1673" i="7"/>
  <c r="H1673" i="7"/>
  <c r="L1673" i="7"/>
  <c r="M1673" i="7"/>
  <c r="K1673" i="7"/>
  <c r="F1656" i="7"/>
  <c r="F1673" i="7" s="1"/>
  <c r="J1673" i="7"/>
  <c r="I1673" i="7"/>
  <c r="G1300" i="7"/>
  <c r="J1300" i="7"/>
  <c r="H1300" i="7"/>
  <c r="F1283" i="7"/>
  <c r="F1300" i="7" s="1"/>
  <c r="K1300" i="7"/>
  <c r="L1300" i="7"/>
  <c r="M1300" i="7"/>
  <c r="I1300" i="7"/>
  <c r="AJ22" i="67"/>
  <c r="AN22" i="67" s="1"/>
  <c r="AR22" i="67" s="1"/>
  <c r="AH32" i="67"/>
  <c r="AL32" i="67" s="1"/>
  <c r="AP32" i="67" s="1"/>
  <c r="D63" i="71" s="1"/>
  <c r="E63" i="71" s="1"/>
  <c r="AH22" i="67"/>
  <c r="AL22" i="67" s="1"/>
  <c r="AP22" i="67" s="1"/>
  <c r="D38" i="71" s="1"/>
  <c r="E38" i="71" s="1"/>
  <c r="AK22" i="67"/>
  <c r="AO22" i="67" s="1"/>
  <c r="AS22" i="67" s="1"/>
  <c r="AI32" i="67"/>
  <c r="AM32" i="67" s="1"/>
  <c r="AQ32" i="67" s="1"/>
  <c r="AI22" i="67"/>
  <c r="AM22" i="67" s="1"/>
  <c r="AQ22" i="67" s="1"/>
  <c r="AK32" i="67"/>
  <c r="AO32" i="67" s="1"/>
  <c r="AS32" i="67" s="1"/>
  <c r="AJ32" i="67"/>
  <c r="AN32" i="67" s="1"/>
  <c r="AR32" i="67" s="1"/>
  <c r="AH11" i="67"/>
  <c r="AL11" i="67" s="1"/>
  <c r="AP11" i="67" s="1"/>
  <c r="AH42" i="67"/>
  <c r="AK42" i="67"/>
  <c r="AJ38" i="67"/>
  <c r="AN38" i="67" s="1"/>
  <c r="AR38" i="67" s="1"/>
  <c r="AJ15" i="67"/>
  <c r="AN15" i="67" s="1"/>
  <c r="AR15" i="67" s="1"/>
  <c r="AH38" i="67"/>
  <c r="AL38" i="67" s="1"/>
  <c r="AP38" i="67" s="1"/>
  <c r="D75" i="71" s="1"/>
  <c r="AI21" i="67"/>
  <c r="AM21" i="67" s="1"/>
  <c r="AQ21" i="67" s="1"/>
  <c r="AI16" i="67"/>
  <c r="AM16" i="67" s="1"/>
  <c r="AQ16" i="67" s="1"/>
  <c r="AK39" i="67"/>
  <c r="AO39" i="67" s="1"/>
  <c r="AS39" i="67" s="1"/>
  <c r="AJ36" i="67"/>
  <c r="AN36" i="67" s="1"/>
  <c r="AR36" i="67" s="1"/>
  <c r="AH20" i="67"/>
  <c r="AL20" i="67" s="1"/>
  <c r="AP20" i="67" s="1"/>
  <c r="D36" i="71" s="1"/>
  <c r="AI37" i="67"/>
  <c r="AM37" i="67" s="1"/>
  <c r="AQ37" i="67" s="1"/>
  <c r="AJ28" i="67"/>
  <c r="AN28" i="67" s="1"/>
  <c r="AR28" i="67" s="1"/>
  <c r="AK17" i="67"/>
  <c r="AO17" i="67" s="1"/>
  <c r="AS17" i="67" s="1"/>
  <c r="AJ17" i="67"/>
  <c r="AN17" i="67" s="1"/>
  <c r="AR17" i="67" s="1"/>
  <c r="AH17" i="67"/>
  <c r="AL17" i="67" s="1"/>
  <c r="AP17" i="67" s="1"/>
  <c r="D29" i="71" s="1"/>
  <c r="AI42" i="67"/>
  <c r="AK23" i="67"/>
  <c r="AO23" i="67" s="1"/>
  <c r="AS23" i="67" s="1"/>
  <c r="AJ23" i="67"/>
  <c r="AN23" i="67" s="1"/>
  <c r="AR23" i="67" s="1"/>
  <c r="AI23" i="67"/>
  <c r="AM23" i="67" s="1"/>
  <c r="AQ23" i="67" s="1"/>
  <c r="AH23" i="67"/>
  <c r="AL23" i="67" s="1"/>
  <c r="AP23" i="67" s="1"/>
  <c r="D39" i="71" s="1"/>
  <c r="AH39" i="67"/>
  <c r="AL39" i="67" s="1"/>
  <c r="AP39" i="67" s="1"/>
  <c r="D76" i="71" s="1"/>
  <c r="AH36" i="67"/>
  <c r="AL36" i="67" s="1"/>
  <c r="AP36" i="67" s="1"/>
  <c r="D70" i="71" s="1"/>
  <c r="AI18" i="67"/>
  <c r="AM18" i="67" s="1"/>
  <c r="AQ18" i="67" s="1"/>
  <c r="AI20" i="67"/>
  <c r="AM20" i="67" s="1"/>
  <c r="AQ20" i="67" s="1"/>
  <c r="AH21" i="67"/>
  <c r="AL21" i="67" s="1"/>
  <c r="AP21" i="67" s="1"/>
  <c r="D37" i="71" s="1"/>
  <c r="AI11" i="67"/>
  <c r="AJ13" i="67"/>
  <c r="AN13" i="67" s="1"/>
  <c r="AR13" i="67" s="1"/>
  <c r="AJ16" i="67"/>
  <c r="AN16" i="67" s="1"/>
  <c r="AR16" i="67" s="1"/>
  <c r="AI13" i="67"/>
  <c r="AM13" i="67" s="1"/>
  <c r="AQ13" i="67" s="1"/>
  <c r="AK33" i="67"/>
  <c r="AO33" i="67" s="1"/>
  <c r="AS33" i="67" s="1"/>
  <c r="AI33" i="67"/>
  <c r="AM33" i="67" s="1"/>
  <c r="AQ33" i="67" s="1"/>
  <c r="AH33" i="67"/>
  <c r="AL33" i="67" s="1"/>
  <c r="AP33" i="67" s="1"/>
  <c r="AK35" i="67"/>
  <c r="AO35" i="67" s="1"/>
  <c r="AS35" i="67" s="1"/>
  <c r="AJ35" i="67"/>
  <c r="AN35" i="67" s="1"/>
  <c r="AR35" i="67" s="1"/>
  <c r="AI35" i="67"/>
  <c r="AM35" i="67" s="1"/>
  <c r="AQ35" i="67" s="1"/>
  <c r="AH35" i="67"/>
  <c r="AL35" i="67" s="1"/>
  <c r="AP35" i="67" s="1"/>
  <c r="D69" i="71" s="1"/>
  <c r="AI39" i="67"/>
  <c r="AM39" i="67" s="1"/>
  <c r="AQ39" i="67" s="1"/>
  <c r="AI27" i="67"/>
  <c r="AM27" i="67" s="1"/>
  <c r="AQ27" i="67" s="1"/>
  <c r="AJ18" i="67"/>
  <c r="AN18" i="67" s="1"/>
  <c r="AR18" i="67" s="1"/>
  <c r="AH29" i="67"/>
  <c r="AL29" i="67" s="1"/>
  <c r="AP29" i="67" s="1"/>
  <c r="D53" i="71" s="1"/>
  <c r="AI29" i="67"/>
  <c r="AM29" i="67" s="1"/>
  <c r="AQ29" i="67" s="1"/>
  <c r="AJ20" i="67"/>
  <c r="AN20" i="67" s="1"/>
  <c r="AR20" i="67" s="1"/>
  <c r="AJ21" i="67"/>
  <c r="AN21" i="67" s="1"/>
  <c r="AR21" i="67" s="1"/>
  <c r="AJ11" i="67"/>
  <c r="AN11" i="67" s="1"/>
  <c r="AR11" i="67" s="1"/>
  <c r="AK13" i="67"/>
  <c r="AO13" i="67" s="1"/>
  <c r="AS13" i="67" s="1"/>
  <c r="AJ33" i="67"/>
  <c r="AN33" i="67" s="1"/>
  <c r="AR33" i="67" s="1"/>
  <c r="AK16" i="67"/>
  <c r="AO16" i="67" s="1"/>
  <c r="AS16" i="67" s="1"/>
  <c r="AK34" i="67"/>
  <c r="AO34" i="67" s="1"/>
  <c r="AS34" i="67" s="1"/>
  <c r="AJ34" i="67"/>
  <c r="AN34" i="67" s="1"/>
  <c r="AR34" i="67" s="1"/>
  <c r="AI34" i="67"/>
  <c r="AM34" i="67" s="1"/>
  <c r="AQ34" i="67" s="1"/>
  <c r="AH34" i="67"/>
  <c r="AL34" i="67" s="1"/>
  <c r="AP34" i="67" s="1"/>
  <c r="D65" i="71" s="1"/>
  <c r="AJ39" i="67"/>
  <c r="AN39" i="67" s="1"/>
  <c r="AR39" i="67" s="1"/>
  <c r="AH27" i="67"/>
  <c r="AL27" i="67" s="1"/>
  <c r="AP27" i="67" s="1"/>
  <c r="D49" i="71" s="1"/>
  <c r="AI36" i="67"/>
  <c r="AM36" i="67" s="1"/>
  <c r="AQ36" i="67" s="1"/>
  <c r="AJ27" i="67"/>
  <c r="AN27" i="67" s="1"/>
  <c r="AR27" i="67" s="1"/>
  <c r="AK18" i="67"/>
  <c r="AO18" i="67" s="1"/>
  <c r="AS18" i="67" s="1"/>
  <c r="AJ29" i="67"/>
  <c r="AN29" i="67" s="1"/>
  <c r="AR29" i="67" s="1"/>
  <c r="AK20" i="67"/>
  <c r="AO20" i="67" s="1"/>
  <c r="AS20" i="67" s="1"/>
  <c r="AK21" i="67"/>
  <c r="AO21" i="67" s="1"/>
  <c r="AS21" i="67" s="1"/>
  <c r="AK11" i="67"/>
  <c r="AO11" i="67" s="1"/>
  <c r="AS11" i="67" s="1"/>
  <c r="AH13" i="67"/>
  <c r="AL13" i="67" s="1"/>
  <c r="AP13" i="67" s="1"/>
  <c r="D19" i="71" s="1"/>
  <c r="AH16" i="67"/>
  <c r="AL16" i="67" s="1"/>
  <c r="AP16" i="67" s="1"/>
  <c r="AK27" i="67"/>
  <c r="AO27" i="67" s="1"/>
  <c r="AS27" i="67" s="1"/>
  <c r="AK29" i="67"/>
  <c r="AO29" i="67" s="1"/>
  <c r="AS29" i="67" s="1"/>
  <c r="AI17" i="67"/>
  <c r="AM17" i="67" s="1"/>
  <c r="AQ17" i="67" s="1"/>
  <c r="AI28" i="67"/>
  <c r="AM28" i="67" s="1"/>
  <c r="AQ28" i="67" s="1"/>
  <c r="AH15" i="67"/>
  <c r="AL15" i="67" s="1"/>
  <c r="AP15" i="67" s="1"/>
  <c r="D21" i="71" s="1"/>
  <c r="AI19" i="67"/>
  <c r="AM19" i="67" s="1"/>
  <c r="AQ19" i="67" s="1"/>
  <c r="AH14" i="67"/>
  <c r="AL14" i="67" s="1"/>
  <c r="AP14" i="67" s="1"/>
  <c r="D20" i="71" s="1"/>
  <c r="AI30" i="67"/>
  <c r="AM30" i="67" s="1"/>
  <c r="AQ30" i="67" s="1"/>
  <c r="AH12" i="67"/>
  <c r="AL12" i="67" s="1"/>
  <c r="AP12" i="67" s="1"/>
  <c r="D15" i="71" s="1"/>
  <c r="AK24" i="67"/>
  <c r="AO24" i="67" s="1"/>
  <c r="AS24" i="67" s="1"/>
  <c r="AJ24" i="67"/>
  <c r="AN24" i="67" s="1"/>
  <c r="AR24" i="67" s="1"/>
  <c r="AI24" i="67"/>
  <c r="AM24" i="67" s="1"/>
  <c r="AQ24" i="67" s="1"/>
  <c r="AH24" i="67"/>
  <c r="AL24" i="67" s="1"/>
  <c r="AP24" i="67" s="1"/>
  <c r="D42" i="71" s="1"/>
  <c r="AK26" i="67"/>
  <c r="AO26" i="67" s="1"/>
  <c r="AS26" i="67" s="1"/>
  <c r="AI26" i="67"/>
  <c r="AM26" i="67" s="1"/>
  <c r="AQ26" i="67" s="1"/>
  <c r="AI38" i="67"/>
  <c r="AM38" i="67" s="1"/>
  <c r="AQ38" i="67" s="1"/>
  <c r="AH18" i="67"/>
  <c r="AL18" i="67" s="1"/>
  <c r="AP18" i="67" s="1"/>
  <c r="D30" i="71" s="1"/>
  <c r="E30" i="71" s="1"/>
  <c r="AK36" i="67"/>
  <c r="AO36" i="67" s="1"/>
  <c r="AS36" i="67" s="1"/>
  <c r="AH37" i="67"/>
  <c r="AL37" i="67" s="1"/>
  <c r="AP37" i="67" s="1"/>
  <c r="D71" i="71" s="1"/>
  <c r="AH28" i="67"/>
  <c r="AL28" i="67" s="1"/>
  <c r="AP28" i="67" s="1"/>
  <c r="D52" i="71" s="1"/>
  <c r="AI15" i="67"/>
  <c r="AM15" i="67" s="1"/>
  <c r="AQ15" i="67" s="1"/>
  <c r="AH19" i="67"/>
  <c r="AL19" i="67" s="1"/>
  <c r="AP19" i="67" s="1"/>
  <c r="D35" i="71" s="1"/>
  <c r="AI14" i="67"/>
  <c r="AM14" i="67" s="1"/>
  <c r="AQ14" i="67" s="1"/>
  <c r="AH26" i="67"/>
  <c r="AL26" i="67" s="1"/>
  <c r="AP26" i="67" s="1"/>
  <c r="D48" i="71" s="1"/>
  <c r="AH30" i="67"/>
  <c r="AL30" i="67" s="1"/>
  <c r="AP30" i="67" s="1"/>
  <c r="D56" i="71" s="1"/>
  <c r="AI12" i="67"/>
  <c r="AM12" i="67" s="1"/>
  <c r="AQ12" i="67" s="1"/>
  <c r="AK31" i="67"/>
  <c r="AO31" i="67" s="1"/>
  <c r="AS31" i="67" s="1"/>
  <c r="AJ31" i="67"/>
  <c r="AN31" i="67" s="1"/>
  <c r="AR31" i="67" s="1"/>
  <c r="AI31" i="67"/>
  <c r="AM31" i="67" s="1"/>
  <c r="AQ31" i="67" s="1"/>
  <c r="AH31" i="67"/>
  <c r="AL31" i="67" s="1"/>
  <c r="AP31" i="67" s="1"/>
  <c r="D59" i="71" s="1"/>
  <c r="AK25" i="67"/>
  <c r="AO25" i="67" s="1"/>
  <c r="AS25" i="67" s="1"/>
  <c r="AJ25" i="67"/>
  <c r="AN25" i="67" s="1"/>
  <c r="AR25" i="67" s="1"/>
  <c r="AI25" i="67"/>
  <c r="AM25" i="67" s="1"/>
  <c r="AQ25" i="67" s="1"/>
  <c r="AH25" i="67"/>
  <c r="AL25" i="67" s="1"/>
  <c r="AP25" i="67" s="1"/>
  <c r="D43" i="71" s="1"/>
  <c r="AJ37" i="67"/>
  <c r="AN37" i="67" s="1"/>
  <c r="AR37" i="67" s="1"/>
  <c r="AJ19" i="67"/>
  <c r="AN19" i="67" s="1"/>
  <c r="AR19" i="67" s="1"/>
  <c r="AJ14" i="67"/>
  <c r="AN14" i="67" s="1"/>
  <c r="AR14" i="67" s="1"/>
  <c r="AJ26" i="67"/>
  <c r="AN26" i="67" s="1"/>
  <c r="AR26" i="67" s="1"/>
  <c r="AJ30" i="67"/>
  <c r="AN30" i="67" s="1"/>
  <c r="AR30" i="67" s="1"/>
  <c r="AJ12" i="67"/>
  <c r="AN12" i="67" s="1"/>
  <c r="AR12" i="67" s="1"/>
  <c r="AJ42" i="67"/>
  <c r="AK38" i="67"/>
  <c r="AO38" i="67" s="1"/>
  <c r="AS38" i="67" s="1"/>
  <c r="AK37" i="67"/>
  <c r="AO37" i="67" s="1"/>
  <c r="AS37" i="67" s="1"/>
  <c r="AK28" i="67"/>
  <c r="AO28" i="67" s="1"/>
  <c r="AS28" i="67" s="1"/>
  <c r="AK15" i="67"/>
  <c r="AO15" i="67" s="1"/>
  <c r="AS15" i="67" s="1"/>
  <c r="AK19" i="67"/>
  <c r="AO19" i="67" s="1"/>
  <c r="AS19" i="67" s="1"/>
  <c r="AK14" i="67"/>
  <c r="AO14" i="67" s="1"/>
  <c r="AS14" i="67" s="1"/>
  <c r="AK30" i="67"/>
  <c r="AO30" i="67" s="1"/>
  <c r="AS30" i="67" s="1"/>
  <c r="AK12" i="67"/>
  <c r="AO12" i="67" s="1"/>
  <c r="AS12" i="67" s="1"/>
  <c r="D63" i="70" l="1"/>
  <c r="D38" i="70"/>
  <c r="D26" i="71"/>
  <c r="E26" i="71" s="1"/>
  <c r="AM11" i="67"/>
  <c r="AQ11" i="67" s="1"/>
  <c r="D64" i="71"/>
  <c r="D64" i="70" s="1"/>
  <c r="D11" i="71"/>
  <c r="E11" i="71" s="1"/>
  <c r="E19" i="71"/>
  <c r="D19" i="70"/>
  <c r="E65" i="71"/>
  <c r="D65" i="70"/>
  <c r="E52" i="71"/>
  <c r="D52" i="70"/>
  <c r="E36" i="71"/>
  <c r="D36" i="70"/>
  <c r="E39" i="71"/>
  <c r="D39" i="70"/>
  <c r="E71" i="71"/>
  <c r="D71" i="70"/>
  <c r="E37" i="71"/>
  <c r="D37" i="70"/>
  <c r="E20" i="71"/>
  <c r="D20" i="70"/>
  <c r="E75" i="71"/>
  <c r="D75" i="70"/>
  <c r="E43" i="71"/>
  <c r="D43" i="70"/>
  <c r="E53" i="71"/>
  <c r="D53" i="70"/>
  <c r="E49" i="71"/>
  <c r="D49" i="70"/>
  <c r="E59" i="71"/>
  <c r="D59" i="70"/>
  <c r="E69" i="71"/>
  <c r="D69" i="70"/>
  <c r="E42" i="71"/>
  <c r="D42" i="70"/>
  <c r="E56" i="71"/>
  <c r="D56" i="70"/>
  <c r="E15" i="71"/>
  <c r="D15" i="70"/>
  <c r="E29" i="71"/>
  <c r="D29" i="70"/>
  <c r="E76" i="71"/>
  <c r="D76" i="70"/>
  <c r="E35" i="71"/>
  <c r="D35" i="70"/>
  <c r="E21" i="71"/>
  <c r="D21" i="70"/>
  <c r="E48" i="71"/>
  <c r="D48" i="70"/>
  <c r="E70" i="71"/>
  <c r="D70" i="70"/>
  <c r="D30" i="70"/>
  <c r="D307" i="67" a="1"/>
  <c r="D307" i="67" s="1"/>
  <c r="D12" i="69" s="1" a="1"/>
  <c r="D12" i="69" s="1"/>
  <c r="D11" i="70" l="1"/>
  <c r="D26" i="70"/>
  <c r="E64" i="71"/>
  <c r="E79" i="71" s="1"/>
  <c r="D79" i="71" s="1"/>
  <c r="G164" i="37" a="1"/>
  <c r="G164" i="37" s="1"/>
  <c r="G161" i="37" a="1"/>
  <c r="G161" i="37" s="1"/>
  <c r="G150" i="37" a="1"/>
  <c r="G150" i="37" s="1"/>
  <c r="G149" i="37" a="1"/>
  <c r="G149" i="37" s="1"/>
  <c r="G147" i="37" a="1"/>
  <c r="G147" i="37" s="1"/>
  <c r="G146" i="37" a="1"/>
  <c r="G146" i="37" s="1"/>
  <c r="D79" i="70" l="1" a="1"/>
  <c r="D79" i="70" s="1"/>
  <c r="C84" i="70" s="1"/>
  <c r="G385" i="59" a="1"/>
  <c r="G385" i="59" s="1"/>
  <c r="F45" i="10"/>
  <c r="G45" i="10"/>
  <c r="H45" i="10"/>
  <c r="I45" i="10"/>
  <c r="J45" i="10"/>
  <c r="K45" i="10"/>
  <c r="L45" i="10"/>
  <c r="M45" i="10"/>
  <c r="F46" i="10"/>
  <c r="G46" i="10"/>
  <c r="H46" i="10"/>
  <c r="I46" i="10"/>
  <c r="J46" i="10"/>
  <c r="K46" i="10"/>
  <c r="L46" i="10"/>
  <c r="M46" i="10"/>
  <c r="F47" i="10"/>
  <c r="G47" i="10"/>
  <c r="H47" i="10"/>
  <c r="I47" i="10"/>
  <c r="J47" i="10"/>
  <c r="K47" i="10"/>
  <c r="L47" i="10"/>
  <c r="M47" i="10"/>
  <c r="G44" i="10"/>
  <c r="H44" i="10"/>
  <c r="I44" i="10"/>
  <c r="J44" i="10"/>
  <c r="K44" i="10"/>
  <c r="L44" i="10"/>
  <c r="M44" i="10"/>
  <c r="F44" i="10"/>
  <c r="I402" i="54" l="1"/>
  <c r="H402" i="54"/>
  <c r="I401" i="54"/>
  <c r="H401" i="54"/>
  <c r="F83" i="19" l="1" a="1"/>
  <c r="F83" i="19" s="1"/>
  <c r="F84" i="19" a="1"/>
  <c r="F84" i="19" s="1"/>
  <c r="F82" i="19" a="1"/>
  <c r="F82" i="19" s="1"/>
  <c r="F435" i="18"/>
  <c r="F379" i="18"/>
  <c r="F366" i="18"/>
  <c r="F353" i="18"/>
  <c r="E398" i="7" l="1"/>
  <c r="G173" i="16" l="1"/>
  <c r="G172" i="16"/>
  <c r="G171" i="16"/>
  <c r="G170" i="16"/>
  <c r="G169" i="16"/>
  <c r="G160" i="16"/>
  <c r="G164" i="16"/>
  <c r="G163" i="16"/>
  <c r="G162" i="16"/>
  <c r="G161" i="16"/>
  <c r="G154" i="16"/>
  <c r="G155" i="16"/>
  <c r="G152" i="16"/>
  <c r="G153" i="16"/>
  <c r="G151" i="16"/>
  <c r="G146" i="16"/>
  <c r="G145" i="16"/>
  <c r="G144" i="16"/>
  <c r="G143" i="16"/>
  <c r="G142" i="16"/>
  <c r="F1619" i="7" l="1" a="1"/>
  <c r="F1619" i="7" s="1"/>
  <c r="F1616" i="7" a="1"/>
  <c r="F1616" i="7" s="1"/>
  <c r="F1628" i="7" a="1"/>
  <c r="F1628" i="7" s="1"/>
  <c r="F1618" i="7" a="1"/>
  <c r="F1618" i="7" s="1"/>
  <c r="F1617" i="7" a="1"/>
  <c r="F1617" i="7" s="1"/>
  <c r="F1623" i="7" a="1"/>
  <c r="F1623" i="7" s="1"/>
  <c r="F1622" i="7" a="1"/>
  <c r="F1622" i="7" s="1"/>
  <c r="F1614" i="7" a="1"/>
  <c r="F1614" i="7" s="1"/>
  <c r="F1625" i="7" a="1"/>
  <c r="F1625" i="7" s="1"/>
  <c r="F1624" i="7" a="1"/>
  <c r="F1624" i="7" s="1"/>
  <c r="F1615" i="7" a="1"/>
  <c r="F1615" i="7" s="1"/>
  <c r="F1621" i="7" a="1"/>
  <c r="F1621" i="7" s="1"/>
  <c r="F1613" i="7" a="1"/>
  <c r="F1613" i="7" s="1"/>
  <c r="F1620" i="7" a="1"/>
  <c r="F1620" i="7" s="1"/>
  <c r="F1612" i="7" a="1"/>
  <c r="G398" i="7"/>
  <c r="F1077" i="17"/>
  <c r="F769" i="17"/>
  <c r="H398" i="7" l="1"/>
  <c r="H1629" i="7"/>
  <c r="K1629" i="7"/>
  <c r="I1629" i="7"/>
  <c r="F1612" i="7"/>
  <c r="F1629" i="7" s="1"/>
  <c r="G1629" i="7"/>
  <c r="L1629" i="7"/>
  <c r="J1629" i="7"/>
  <c r="M1629" i="7"/>
  <c r="F704" i="17" a="1"/>
  <c r="F704" i="17" s="1"/>
  <c r="F705" i="17" a="1"/>
  <c r="F705" i="17" s="1"/>
  <c r="F702" i="17" a="1"/>
  <c r="F702" i="17" s="1"/>
  <c r="F701" i="17" a="1"/>
  <c r="F700" i="17" a="1"/>
  <c r="F700" i="17" s="1"/>
  <c r="F699" i="17" a="1"/>
  <c r="F699" i="17" s="1"/>
  <c r="F1113" i="17" s="1" a="1"/>
  <c r="F1113" i="17" s="1"/>
  <c r="G157" i="13"/>
  <c r="H157" i="13"/>
  <c r="G158" i="13"/>
  <c r="H158" i="13"/>
  <c r="E159" i="13"/>
  <c r="G159" i="13"/>
  <c r="H159" i="13"/>
  <c r="G160" i="13"/>
  <c r="H160" i="13"/>
  <c r="F701" i="17" l="1"/>
  <c r="G1071" i="17"/>
  <c r="G377" i="59" a="1"/>
  <c r="G377" i="59" s="1"/>
  <c r="I385" i="54" l="1"/>
  <c r="J385" i="54"/>
  <c r="I386" i="54"/>
  <c r="J386" i="54"/>
  <c r="G387" i="54"/>
  <c r="I387" i="54"/>
  <c r="J387" i="54"/>
  <c r="I388" i="54"/>
  <c r="J388" i="54"/>
  <c r="F353" i="56" l="1"/>
  <c r="F325" i="56"/>
  <c r="F297" i="56"/>
  <c r="F269" i="56"/>
  <c r="F241" i="56"/>
  <c r="F213" i="56"/>
  <c r="F339" i="56"/>
  <c r="F311" i="56"/>
  <c r="F283" i="56"/>
  <c r="F255" i="56"/>
  <c r="F227" i="56"/>
  <c r="F199" i="56"/>
  <c r="E380" i="12"/>
  <c r="E202" i="12"/>
  <c r="E199" i="12"/>
  <c r="I374" i="54"/>
  <c r="E206" i="12" s="1"/>
  <c r="J374" i="54"/>
  <c r="E213" i="12" s="1" a="1"/>
  <c r="E213" i="12" s="1"/>
  <c r="I375" i="54"/>
  <c r="J375" i="54"/>
  <c r="I376" i="54"/>
  <c r="E209" i="12" s="1"/>
  <c r="J376" i="54"/>
  <c r="E216" i="12" s="1"/>
  <c r="I377" i="54"/>
  <c r="J377" i="54"/>
  <c r="I378" i="54"/>
  <c r="J378" i="54"/>
  <c r="I379" i="54"/>
  <c r="J379" i="54"/>
  <c r="I384" i="12" l="1"/>
  <c r="J386" i="12"/>
  <c r="F383" i="12"/>
  <c r="I382" i="12"/>
  <c r="H382" i="12"/>
  <c r="H384" i="12"/>
  <c r="H385" i="12"/>
  <c r="J387" i="12"/>
  <c r="F386" i="12"/>
  <c r="I386" i="12"/>
  <c r="J385" i="12"/>
  <c r="I385" i="12"/>
  <c r="I387" i="12"/>
  <c r="H387" i="12"/>
  <c r="L383" i="12"/>
  <c r="L384" i="12"/>
  <c r="K383" i="12"/>
  <c r="F385" i="12"/>
  <c r="L387" i="12"/>
  <c r="H386" i="12"/>
  <c r="G385" i="12"/>
  <c r="L385" i="12"/>
  <c r="K384" i="12"/>
  <c r="J383" i="12"/>
  <c r="K385" i="12"/>
  <c r="J384" i="12"/>
  <c r="I383" i="12"/>
  <c r="H383" i="12"/>
  <c r="K387" i="12"/>
  <c r="G383" i="12"/>
  <c r="F387" i="12"/>
  <c r="F382" i="12"/>
  <c r="G382" i="12"/>
  <c r="F119" i="54"/>
  <c r="K386" i="12" l="1"/>
  <c r="L386" i="12"/>
  <c r="G386" i="12"/>
  <c r="J382" i="12"/>
  <c r="G384" i="12"/>
  <c r="F384" i="12"/>
  <c r="G387" i="12"/>
  <c r="AA6" i="37"/>
  <c r="L382" i="12" l="1"/>
  <c r="K382" i="12"/>
  <c r="AB8" i="49"/>
  <c r="H390" i="55"/>
  <c r="H394" i="55"/>
  <c r="H393" i="55"/>
  <c r="H392" i="55"/>
  <c r="H391" i="55"/>
  <c r="H383" i="55"/>
  <c r="H384" i="55"/>
  <c r="H385" i="55"/>
  <c r="H386" i="55"/>
  <c r="H382" i="55"/>
  <c r="D55" i="48" l="1"/>
  <c r="AB51" i="48"/>
  <c r="AB71" i="48"/>
  <c r="D78" i="48"/>
  <c r="D52" i="46"/>
  <c r="AB48" i="46"/>
  <c r="E333" i="13" a="1"/>
  <c r="E333" i="13" s="1"/>
  <c r="D81" i="45" l="1"/>
  <c r="AB75" i="45"/>
  <c r="D96" i="41" l="1"/>
  <c r="D76" i="41"/>
  <c r="D10" i="37" l="1"/>
  <c r="G122" i="37" l="1" a="1"/>
  <c r="G122" i="37" s="1"/>
  <c r="G436" i="59" a="1"/>
  <c r="G436" i="59" s="1"/>
  <c r="G396" i="59" a="1"/>
  <c r="G396" i="59" s="1"/>
  <c r="G395" i="59" a="1"/>
  <c r="G395" i="59" s="1"/>
  <c r="G394" i="59" a="1"/>
  <c r="G394" i="59" s="1"/>
  <c r="G420" i="59" l="1" a="1"/>
  <c r="G420" i="59" s="1"/>
  <c r="G461" i="59" a="1"/>
  <c r="G461" i="59" s="1"/>
  <c r="G458" i="59" a="1"/>
  <c r="G458" i="59" s="1"/>
  <c r="G462" i="59" a="1"/>
  <c r="G462" i="59" s="1"/>
  <c r="G459" i="59" a="1"/>
  <c r="G459" i="59" s="1"/>
  <c r="H442" i="59" a="1"/>
  <c r="H442" i="59" s="1"/>
  <c r="I442" i="59" a="1"/>
  <c r="I442" i="59" s="1"/>
  <c r="J442" i="59" a="1"/>
  <c r="J442" i="59" s="1"/>
  <c r="K442" i="59" a="1"/>
  <c r="K442" i="59" s="1"/>
  <c r="L442" i="59" a="1"/>
  <c r="L442" i="59" s="1"/>
  <c r="M442" i="59" a="1"/>
  <c r="M442" i="59" s="1"/>
  <c r="N442" i="59" a="1"/>
  <c r="N442" i="59" s="1"/>
  <c r="H443" i="59" a="1"/>
  <c r="H443" i="59" s="1"/>
  <c r="I443" i="59" a="1"/>
  <c r="I443" i="59" s="1"/>
  <c r="J443" i="59" a="1"/>
  <c r="J443" i="59" s="1"/>
  <c r="K443" i="59" a="1"/>
  <c r="K443" i="59" s="1"/>
  <c r="L443" i="59" a="1"/>
  <c r="L443" i="59" s="1"/>
  <c r="M443" i="59" a="1"/>
  <c r="M443" i="59" s="1"/>
  <c r="N443" i="59" a="1"/>
  <c r="N443" i="59" s="1"/>
  <c r="H444" i="59" a="1"/>
  <c r="H444" i="59" s="1"/>
  <c r="I444" i="59" a="1"/>
  <c r="I444" i="59" s="1"/>
  <c r="J444" i="59" a="1"/>
  <c r="J444" i="59" s="1"/>
  <c r="K444" i="59" a="1"/>
  <c r="K444" i="59" s="1"/>
  <c r="L444" i="59" a="1"/>
  <c r="L444" i="59" s="1"/>
  <c r="M444" i="59" a="1"/>
  <c r="M444" i="59" s="1"/>
  <c r="N444" i="59" a="1"/>
  <c r="N444" i="59" s="1"/>
  <c r="G444" i="59" a="1"/>
  <c r="G444" i="59" s="1"/>
  <c r="G443" i="59" a="1"/>
  <c r="G443" i="59" s="1"/>
  <c r="G442" i="59" a="1"/>
  <c r="G442" i="59" s="1"/>
  <c r="G432" i="59" a="1"/>
  <c r="G432" i="59" s="1"/>
  <c r="G433" i="59" a="1"/>
  <c r="G433" i="59" s="1"/>
  <c r="G431" i="59" a="1"/>
  <c r="G431" i="59" s="1"/>
  <c r="G422" i="59" a="1"/>
  <c r="G422" i="59" s="1"/>
  <c r="H431" i="59"/>
  <c r="I431" i="59"/>
  <c r="J431" i="59"/>
  <c r="K431" i="59"/>
  <c r="L431" i="59"/>
  <c r="M431" i="59"/>
  <c r="N431" i="59"/>
  <c r="H432" i="59"/>
  <c r="I432" i="59"/>
  <c r="J432" i="59"/>
  <c r="K432" i="59"/>
  <c r="L432" i="59"/>
  <c r="M432" i="59"/>
  <c r="N432" i="59"/>
  <c r="H433" i="59"/>
  <c r="I433" i="59"/>
  <c r="J433" i="59"/>
  <c r="K433" i="59"/>
  <c r="L433" i="59"/>
  <c r="M433" i="59"/>
  <c r="N433" i="59"/>
  <c r="H436" i="59" a="1"/>
  <c r="H436" i="59" s="1"/>
  <c r="I436" i="59" a="1"/>
  <c r="I436" i="59" s="1"/>
  <c r="J436" i="59" a="1"/>
  <c r="J436" i="59" s="1"/>
  <c r="K436" i="59" a="1"/>
  <c r="K436" i="59" s="1"/>
  <c r="L436" i="59" a="1"/>
  <c r="L436" i="59" s="1"/>
  <c r="M436" i="59" a="1"/>
  <c r="M436" i="59" s="1"/>
  <c r="N436" i="59" a="1"/>
  <c r="N436" i="59" s="1"/>
  <c r="H420" i="59" a="1"/>
  <c r="H420" i="59" s="1"/>
  <c r="I420" i="59" a="1"/>
  <c r="I420" i="59" s="1"/>
  <c r="J420" i="59" a="1"/>
  <c r="J420" i="59" s="1"/>
  <c r="K420" i="59" a="1"/>
  <c r="K420" i="59" s="1"/>
  <c r="L420" i="59" a="1"/>
  <c r="L420" i="59" s="1"/>
  <c r="M420" i="59" a="1"/>
  <c r="M420" i="59" s="1"/>
  <c r="N420" i="59" a="1"/>
  <c r="N420" i="59" s="1"/>
  <c r="H421" i="59" a="1"/>
  <c r="H421" i="59" s="1"/>
  <c r="I421" i="59" a="1"/>
  <c r="I421" i="59" s="1"/>
  <c r="J421" i="59" a="1"/>
  <c r="J421" i="59" s="1"/>
  <c r="K421" i="59" a="1"/>
  <c r="K421" i="59" s="1"/>
  <c r="L421" i="59" a="1"/>
  <c r="L421" i="59" s="1"/>
  <c r="M421" i="59" a="1"/>
  <c r="M421" i="59" s="1"/>
  <c r="N421" i="59" a="1"/>
  <c r="N421" i="59" s="1"/>
  <c r="H422" i="59" a="1"/>
  <c r="H422" i="59" s="1"/>
  <c r="I422" i="59" a="1"/>
  <c r="I422" i="59" s="1"/>
  <c r="J422" i="59" a="1"/>
  <c r="J422" i="59" s="1"/>
  <c r="K422" i="59" a="1"/>
  <c r="K422" i="59" s="1"/>
  <c r="L422" i="59" a="1"/>
  <c r="L422" i="59" s="1"/>
  <c r="M422" i="59" a="1"/>
  <c r="M422" i="59" s="1"/>
  <c r="N422" i="59" a="1"/>
  <c r="N422" i="59" s="1"/>
  <c r="G421" i="59" a="1"/>
  <c r="G421" i="59" s="1"/>
  <c r="G405" i="59" a="1"/>
  <c r="G405" i="59" s="1"/>
  <c r="H383" i="59" a="1"/>
  <c r="H383" i="59" s="1"/>
  <c r="I383" i="59" a="1"/>
  <c r="I383" i="59" s="1"/>
  <c r="J383" i="59" a="1"/>
  <c r="J383" i="59" s="1"/>
  <c r="K383" i="59" a="1"/>
  <c r="K383" i="59" s="1"/>
  <c r="L383" i="59" a="1"/>
  <c r="L383" i="59" s="1"/>
  <c r="M383" i="59" a="1"/>
  <c r="M383" i="59" s="1"/>
  <c r="N383" i="59" a="1"/>
  <c r="N383" i="59" s="1"/>
  <c r="H384" i="59" a="1"/>
  <c r="H384" i="59" s="1"/>
  <c r="I384" i="59" a="1"/>
  <c r="I384" i="59" s="1"/>
  <c r="J384" i="59" a="1"/>
  <c r="J384" i="59" s="1"/>
  <c r="K384" i="59" a="1"/>
  <c r="K384" i="59" s="1"/>
  <c r="L384" i="59" a="1"/>
  <c r="L384" i="59" s="1"/>
  <c r="M384" i="59" a="1"/>
  <c r="M384" i="59" s="1"/>
  <c r="N384" i="59" a="1"/>
  <c r="N384" i="59" s="1"/>
  <c r="H385" i="59" a="1"/>
  <c r="H385" i="59" s="1"/>
  <c r="I385" i="59" a="1"/>
  <c r="I385" i="59" s="1"/>
  <c r="J385" i="59" a="1"/>
  <c r="J385" i="59" s="1"/>
  <c r="K385" i="59" a="1"/>
  <c r="K385" i="59" s="1"/>
  <c r="L385" i="59" a="1"/>
  <c r="L385" i="59" s="1"/>
  <c r="M385" i="59" a="1"/>
  <c r="M385" i="59" s="1"/>
  <c r="N385" i="59" a="1"/>
  <c r="N385" i="59" s="1"/>
  <c r="G384" i="59" a="1"/>
  <c r="G384" i="59" s="1"/>
  <c r="H405" i="59" a="1"/>
  <c r="H405" i="59" s="1"/>
  <c r="I405" i="59" a="1"/>
  <c r="I405" i="59" s="1"/>
  <c r="J405" i="59" a="1"/>
  <c r="J405" i="59" s="1"/>
  <c r="K405" i="59" a="1"/>
  <c r="K405" i="59" s="1"/>
  <c r="L405" i="59" a="1"/>
  <c r="L405" i="59" s="1"/>
  <c r="M405" i="59" a="1"/>
  <c r="M405" i="59" s="1"/>
  <c r="N405" i="59" a="1"/>
  <c r="N405" i="59" s="1"/>
  <c r="H406" i="59" a="1"/>
  <c r="H406" i="59" s="1"/>
  <c r="I406" i="59" a="1"/>
  <c r="I406" i="59" s="1"/>
  <c r="J406" i="59" a="1"/>
  <c r="J406" i="59" s="1"/>
  <c r="K406" i="59" a="1"/>
  <c r="K406" i="59" s="1"/>
  <c r="L406" i="59" a="1"/>
  <c r="L406" i="59" s="1"/>
  <c r="M406" i="59" a="1"/>
  <c r="M406" i="59" s="1"/>
  <c r="N406" i="59" a="1"/>
  <c r="N406" i="59" s="1"/>
  <c r="H407" i="59" a="1"/>
  <c r="H407" i="59" s="1"/>
  <c r="I407" i="59" a="1"/>
  <c r="I407" i="59" s="1"/>
  <c r="J407" i="59" a="1"/>
  <c r="J407" i="59" s="1"/>
  <c r="K407" i="59" a="1"/>
  <c r="K407" i="59" s="1"/>
  <c r="L407" i="59" a="1"/>
  <c r="L407" i="59" s="1"/>
  <c r="M407" i="59" a="1"/>
  <c r="M407" i="59" s="1"/>
  <c r="N407" i="59" a="1"/>
  <c r="N407" i="59" s="1"/>
  <c r="G407" i="59" a="1"/>
  <c r="G407" i="59" s="1"/>
  <c r="G406" i="59" a="1"/>
  <c r="G406" i="59" s="1"/>
  <c r="H394" i="59" a="1"/>
  <c r="H394" i="59" s="1"/>
  <c r="I394" i="59" a="1"/>
  <c r="I394" i="59" s="1"/>
  <c r="J394" i="59" a="1"/>
  <c r="J394" i="59" s="1"/>
  <c r="K394" i="59" a="1"/>
  <c r="K394" i="59" s="1"/>
  <c r="L394" i="59" a="1"/>
  <c r="L394" i="59" s="1"/>
  <c r="M394" i="59" a="1"/>
  <c r="M394" i="59" s="1"/>
  <c r="N394" i="59" a="1"/>
  <c r="N394" i="59" s="1"/>
  <c r="H395" i="59" a="1"/>
  <c r="H395" i="59" s="1"/>
  <c r="I395" i="59" a="1"/>
  <c r="I395" i="59" s="1"/>
  <c r="J395" i="59" a="1"/>
  <c r="J395" i="59" s="1"/>
  <c r="K395" i="59" a="1"/>
  <c r="K395" i="59" s="1"/>
  <c r="L395" i="59" a="1"/>
  <c r="L395" i="59" s="1"/>
  <c r="M395" i="59" a="1"/>
  <c r="M395" i="59" s="1"/>
  <c r="N395" i="59" a="1"/>
  <c r="N395" i="59" s="1"/>
  <c r="H396" i="59" a="1"/>
  <c r="H396" i="59" s="1"/>
  <c r="I396" i="59" a="1"/>
  <c r="I396" i="59" s="1"/>
  <c r="J396" i="59" a="1"/>
  <c r="J396" i="59" s="1"/>
  <c r="K396" i="59" a="1"/>
  <c r="K396" i="59" s="1"/>
  <c r="L396" i="59" a="1"/>
  <c r="L396" i="59" s="1"/>
  <c r="M396" i="59" a="1"/>
  <c r="M396" i="59" s="1"/>
  <c r="N396" i="59" a="1"/>
  <c r="N396" i="59" s="1"/>
  <c r="F308" i="59" l="1" a="1"/>
  <c r="F308" i="59" s="1"/>
  <c r="F307" i="59" a="1"/>
  <c r="F307" i="59" s="1"/>
  <c r="G460" i="59" a="1"/>
  <c r="G460" i="59" s="1"/>
  <c r="F67" i="55" l="1"/>
  <c r="G457" i="59" l="1" a="1"/>
  <c r="G457" i="59" s="1"/>
  <c r="G463" i="59" l="1" a="1"/>
  <c r="G463" i="59" s="1"/>
  <c r="F310" i="59" s="1" a="1"/>
  <c r="F310" i="59" s="1"/>
  <c r="U11" i="41" s="1" a="1"/>
  <c r="U11" i="41" s="1"/>
  <c r="E275" i="13"/>
  <c r="E283" i="13" l="1" a="1"/>
  <c r="E283" i="13" s="1"/>
  <c r="E316" i="13" a="1"/>
  <c r="E316" i="13" s="1"/>
  <c r="E322" i="13" s="1" a="1"/>
  <c r="E322" i="13" s="1"/>
  <c r="E210" i="13" s="1" a="1"/>
  <c r="E210" i="13" s="1"/>
  <c r="E211" i="13" s="1" a="1"/>
  <c r="E211" i="13" s="1"/>
  <c r="E284" i="13" a="1"/>
  <c r="E284" i="13" s="1"/>
  <c r="E328" i="13" l="1" a="1"/>
  <c r="E328" i="13" s="1"/>
  <c r="E334" i="13" a="1"/>
  <c r="E334" i="13" s="1"/>
  <c r="E327" i="13" a="1"/>
  <c r="E327" i="13" s="1"/>
  <c r="F257" i="59" l="1" a="1"/>
  <c r="F257" i="59" s="1"/>
  <c r="F196" i="59" s="1" a="1"/>
  <c r="F196" i="59" s="1"/>
  <c r="G121" i="37" l="1" a="1"/>
  <c r="G121" i="37" s="1"/>
  <c r="G445" i="59" a="1"/>
  <c r="G445" i="59" s="1"/>
  <c r="G423" i="59" a="1"/>
  <c r="G423" i="59" s="1"/>
  <c r="G434" i="59" a="1"/>
  <c r="G434" i="59" s="1"/>
  <c r="G447" i="59" l="1" a="1"/>
  <c r="G447" i="59" s="1"/>
  <c r="G425" i="59" a="1"/>
  <c r="G425" i="59" s="1"/>
  <c r="G426" i="59" a="1"/>
  <c r="G426" i="59" s="1"/>
  <c r="G446" i="59" a="1"/>
  <c r="G446" i="59" s="1"/>
  <c r="G424" i="59" a="1"/>
  <c r="G424" i="59" s="1"/>
  <c r="G437" i="59" a="1"/>
  <c r="G437" i="59" s="1"/>
  <c r="G435" i="59" a="1"/>
  <c r="G435" i="59" s="1"/>
  <c r="G448" i="59" a="1"/>
  <c r="G448" i="59" s="1"/>
  <c r="F182" i="13" l="1" a="1"/>
  <c r="F182" i="13" s="1"/>
  <c r="F181" i="13" a="1"/>
  <c r="F181" i="13" s="1"/>
  <c r="F183" i="13" a="1"/>
  <c r="F183" i="13" s="1"/>
  <c r="F269" i="13" a="1"/>
  <c r="F269" i="13" s="1"/>
  <c r="E348" i="13" s="1" a="1"/>
  <c r="E348" i="13" s="1"/>
  <c r="E220" i="13" s="1" a="1"/>
  <c r="E220" i="13" s="1"/>
  <c r="G408" i="59" a="1"/>
  <c r="G408" i="59" s="1"/>
  <c r="L7" i="12"/>
  <c r="E129" i="12"/>
  <c r="L11" i="12"/>
  <c r="E267" i="13"/>
  <c r="E266" i="13"/>
  <c r="F266" i="13" s="1" a="1"/>
  <c r="F266" i="13" s="1"/>
  <c r="G120" i="37" l="1" a="1"/>
  <c r="G120" i="37" s="1"/>
  <c r="G387" i="59" a="1"/>
  <c r="G387" i="59" s="1"/>
  <c r="I381" i="12"/>
  <c r="E296" i="13" a="1"/>
  <c r="E296" i="13" s="1"/>
  <c r="G409" i="59" a="1"/>
  <c r="G409" i="59" s="1"/>
  <c r="G398" i="59" a="1"/>
  <c r="G398" i="59" s="1"/>
  <c r="G411" i="59" a="1"/>
  <c r="G411" i="59" s="1"/>
  <c r="G389" i="59" a="1"/>
  <c r="G389" i="59" s="1"/>
  <c r="G400" i="59" a="1"/>
  <c r="G400" i="59" s="1"/>
  <c r="G399" i="59" a="1"/>
  <c r="G399" i="59" s="1"/>
  <c r="G410" i="59" a="1"/>
  <c r="G410" i="59" s="1"/>
  <c r="G388" i="59" a="1"/>
  <c r="G388" i="59" s="1"/>
  <c r="F267" i="13" a="1"/>
  <c r="E355" i="13" l="1" a="1"/>
  <c r="E355" i="13" s="1"/>
  <c r="E228" i="13" s="1" a="1"/>
  <c r="E228" i="13" s="1"/>
  <c r="E302" i="13" a="1"/>
  <c r="E302" i="13" s="1"/>
  <c r="F267" i="13"/>
  <c r="E346" i="13" a="1"/>
  <c r="E346" i="13" s="1"/>
  <c r="E218" i="13" s="1" a="1"/>
  <c r="E218" i="13" s="1"/>
  <c r="E217" i="13" a="1"/>
  <c r="E217" i="13" s="1"/>
  <c r="E345" i="13" a="1"/>
  <c r="E345" i="13" s="1"/>
  <c r="F381" i="12"/>
  <c r="H381" i="12"/>
  <c r="K381" i="12"/>
  <c r="J381" i="12"/>
  <c r="L381" i="12"/>
  <c r="K259" i="59"/>
  <c r="H380" i="12"/>
  <c r="J380" i="12"/>
  <c r="I380" i="12"/>
  <c r="K380" i="12"/>
  <c r="L380" i="12"/>
  <c r="G206" i="12"/>
  <c r="G213" i="12" a="1"/>
  <c r="G213" i="12" s="1"/>
  <c r="H206" i="12"/>
  <c r="H213" i="12" a="1"/>
  <c r="H213" i="12" s="1"/>
  <c r="I206" i="12"/>
  <c r="K199" i="12"/>
  <c r="I213" i="12" a="1"/>
  <c r="I213" i="12" s="1"/>
  <c r="J206" i="12"/>
  <c r="L199" i="12"/>
  <c r="J213" i="12" a="1"/>
  <c r="J213" i="12" s="1"/>
  <c r="K206" i="12"/>
  <c r="L206" i="12"/>
  <c r="L213" i="12" a="1"/>
  <c r="L213" i="12" s="1"/>
  <c r="H199" i="12"/>
  <c r="I199" i="12"/>
  <c r="J199" i="12"/>
  <c r="K213" i="12" a="1"/>
  <c r="K213" i="12" s="1"/>
  <c r="G199" i="12"/>
  <c r="H216" i="12"/>
  <c r="H202" i="12"/>
  <c r="I216" i="12"/>
  <c r="I202" i="12"/>
  <c r="L209" i="12"/>
  <c r="H209" i="12"/>
  <c r="J216" i="12"/>
  <c r="J202" i="12"/>
  <c r="I209" i="12"/>
  <c r="K216" i="12"/>
  <c r="K202" i="12"/>
  <c r="J209" i="12"/>
  <c r="L216" i="12"/>
  <c r="L202" i="12"/>
  <c r="K209" i="12"/>
  <c r="L259" i="59"/>
  <c r="I259" i="59"/>
  <c r="E339" i="13" a="1"/>
  <c r="E339" i="13" s="1"/>
  <c r="E236" i="13" s="1" a="1"/>
  <c r="E236" i="13" s="1"/>
  <c r="E356" i="13" a="1"/>
  <c r="E356" i="13" s="1"/>
  <c r="E229" i="13" s="1" a="1"/>
  <c r="E229" i="13" s="1"/>
  <c r="E340" i="13" a="1"/>
  <c r="E340" i="13" s="1"/>
  <c r="E237" i="13" s="1" a="1"/>
  <c r="E237" i="13" s="1"/>
  <c r="M259" i="59"/>
  <c r="G259" i="59"/>
  <c r="H259" i="59"/>
  <c r="J259" i="59"/>
  <c r="G412" i="59"/>
  <c r="G390" i="59"/>
  <c r="J129" i="12"/>
  <c r="G129" i="12"/>
  <c r="H129" i="12"/>
  <c r="I129" i="12"/>
  <c r="K129" i="12"/>
  <c r="L129" i="12"/>
  <c r="E396" i="12" l="1" a="1"/>
  <c r="E396" i="12" s="1"/>
  <c r="F380" i="12"/>
  <c r="E519" i="12" a="1"/>
  <c r="E519" i="12" s="1"/>
  <c r="U52" i="50" s="1" a="1"/>
  <c r="U52" i="50" s="1"/>
  <c r="G381" i="12"/>
  <c r="E520" i="12" a="1"/>
  <c r="E520" i="12" s="1"/>
  <c r="E408" i="12" a="1"/>
  <c r="E408" i="12" s="1"/>
  <c r="G380" i="12"/>
  <c r="G222" i="12" s="1" a="1"/>
  <c r="G222" i="12" s="1"/>
  <c r="L222" i="12" a="1"/>
  <c r="L222" i="12" s="1"/>
  <c r="L224" i="12" a="1"/>
  <c r="L224" i="12" s="1"/>
  <c r="L223" i="12" a="1"/>
  <c r="L223" i="12" s="1"/>
  <c r="J222" i="12" a="1"/>
  <c r="J222" i="12" s="1"/>
  <c r="J224" i="12" a="1"/>
  <c r="J224" i="12" s="1"/>
  <c r="J223" i="12" a="1"/>
  <c r="J223" i="12" s="1"/>
  <c r="I222" i="12" a="1"/>
  <c r="I222" i="12" s="1"/>
  <c r="I223" i="12" a="1"/>
  <c r="I223" i="12" s="1"/>
  <c r="I224" i="12" a="1"/>
  <c r="I224" i="12" s="1"/>
  <c r="H222" i="12" a="1"/>
  <c r="H222" i="12" s="1"/>
  <c r="H223" i="12" a="1"/>
  <c r="H223" i="12" s="1"/>
  <c r="H224" i="12" a="1"/>
  <c r="H224" i="12" s="1"/>
  <c r="K222" i="12" a="1"/>
  <c r="K222" i="12" s="1"/>
  <c r="K224" i="12" a="1"/>
  <c r="K224" i="12" s="1"/>
  <c r="K223" i="12" a="1"/>
  <c r="K223" i="12" s="1"/>
  <c r="E533" i="12" a="1"/>
  <c r="E533" i="12" s="1"/>
  <c r="G216" i="12"/>
  <c r="G202" i="12"/>
  <c r="G209" i="12"/>
  <c r="F209" i="12"/>
  <c r="F216" i="12"/>
  <c r="F202" i="12"/>
  <c r="E530" i="12" a="1"/>
  <c r="E530" i="12" s="1"/>
  <c r="F199" i="12"/>
  <c r="E327" i="12" s="1" a="1"/>
  <c r="E327" i="12" s="1"/>
  <c r="F213" i="12" a="1"/>
  <c r="F213" i="12" s="1"/>
  <c r="E325" i="12" s="1" a="1"/>
  <c r="E325" i="12" s="1"/>
  <c r="F206" i="12"/>
  <c r="E326" i="12" s="1" a="1"/>
  <c r="E326" i="12" s="1"/>
  <c r="E531" i="12" a="1"/>
  <c r="E531" i="12" s="1"/>
  <c r="E532" i="12" a="1"/>
  <c r="E532" i="12" s="1"/>
  <c r="E227" i="13"/>
  <c r="E354" i="13" a="1"/>
  <c r="E354" i="13" s="1"/>
  <c r="F259" i="59"/>
  <c r="E238" i="13"/>
  <c r="K238" i="13"/>
  <c r="G238" i="13"/>
  <c r="L238" i="13"/>
  <c r="F238" i="13"/>
  <c r="H238" i="13"/>
  <c r="J238" i="13"/>
  <c r="I238" i="13"/>
  <c r="F129" i="12"/>
  <c r="L8" i="7"/>
  <c r="L14" i="7"/>
  <c r="L12" i="7"/>
  <c r="E1868" i="7" s="1" a="1"/>
  <c r="E539" i="12" l="1" a="1"/>
  <c r="E539" i="12" s="1"/>
  <c r="U53" i="50" a="1"/>
  <c r="U53" i="50" s="1"/>
  <c r="E409" i="12" a="1"/>
  <c r="E409" i="12" s="1"/>
  <c r="E410" i="12" a="1"/>
  <c r="E410" i="12" s="1"/>
  <c r="E414" i="12" a="1"/>
  <c r="E414" i="12" s="1"/>
  <c r="E415" i="12" a="1"/>
  <c r="E415" i="12" s="1"/>
  <c r="F1147" i="7" a="1"/>
  <c r="F1087" i="7" a="1"/>
  <c r="F1087" i="7" s="1"/>
  <c r="F1148" i="7" a="1"/>
  <c r="F1148" i="7" s="1"/>
  <c r="F1090" i="7" a="1"/>
  <c r="F1090" i="7" s="1"/>
  <c r="F1085" i="7" a="1"/>
  <c r="F1088" i="7" a="1"/>
  <c r="F1088" i="7" s="1"/>
  <c r="F1149" i="7" a="1"/>
  <c r="F1149" i="7" s="1"/>
  <c r="F1086" i="7" a="1"/>
  <c r="F1086" i="7" s="1"/>
  <c r="F1089" i="7" a="1"/>
  <c r="F1089" i="7" s="1"/>
  <c r="F985" i="7" a="1"/>
  <c r="L1874" i="7"/>
  <c r="F1874" i="7"/>
  <c r="G1874" i="7"/>
  <c r="K1874" i="7"/>
  <c r="E1868" i="7"/>
  <c r="E1874" i="7" s="1"/>
  <c r="I1874" i="7"/>
  <c r="H1874" i="7"/>
  <c r="J1874" i="7"/>
  <c r="F1233" i="7" a="1"/>
  <c r="F1233" i="7" s="1"/>
  <c r="F1224" i="7" a="1"/>
  <c r="F1210" i="7" a="1"/>
  <c r="F1201" i="7" a="1"/>
  <c r="F1193" i="7" a="1"/>
  <c r="F1166" i="7" a="1"/>
  <c r="F1155" i="7" a="1"/>
  <c r="F1121" i="7" a="1"/>
  <c r="F1121" i="7" s="1"/>
  <c r="F1106" i="7" a="1"/>
  <c r="F1106" i="7" s="1"/>
  <c r="F1098" i="7" a="1"/>
  <c r="F1098" i="7" s="1"/>
  <c r="F1081" i="7" a="1"/>
  <c r="F1081" i="7" s="1"/>
  <c r="F1072" i="7" a="1"/>
  <c r="F1072" i="7" s="1"/>
  <c r="F1063" i="7" a="1"/>
  <c r="F1063" i="7" s="1"/>
  <c r="F1043" i="7" a="1"/>
  <c r="F1043" i="7" s="1"/>
  <c r="F1034" i="7" a="1"/>
  <c r="F1034" i="7" s="1"/>
  <c r="F1231" i="7" a="1"/>
  <c r="F1231" i="7" s="1"/>
  <c r="F1215" i="7" a="1"/>
  <c r="F1112" i="7" a="1"/>
  <c r="F1071" i="7" a="1"/>
  <c r="F1071" i="7" s="1"/>
  <c r="F1051" i="7" a="1"/>
  <c r="F1051" i="7" s="1"/>
  <c r="F1050" i="7" a="1"/>
  <c r="F1174" i="7" a="1"/>
  <c r="F1128" i="7" a="1"/>
  <c r="F1128" i="7" s="1"/>
  <c r="F1079" i="7" a="1"/>
  <c r="F1079" i="7" s="1"/>
  <c r="F1222" i="7" a="1"/>
  <c r="F1214" i="7" a="1"/>
  <c r="F1205" i="7" a="1"/>
  <c r="F1197" i="7" a="1"/>
  <c r="F1173" i="7" a="1"/>
  <c r="F1164" i="7" a="1"/>
  <c r="F1142" i="7" a="1"/>
  <c r="F1142" i="7" s="1"/>
  <c r="F1135" i="7" a="1"/>
  <c r="F1135" i="7" s="1"/>
  <c r="F1127" i="7" a="1"/>
  <c r="F1127" i="7" s="1"/>
  <c r="F1119" i="7" a="1"/>
  <c r="F1070" i="7" a="1"/>
  <c r="F1070" i="7" s="1"/>
  <c r="F1031" i="7" a="1"/>
  <c r="F1031" i="7" s="1"/>
  <c r="F1229" i="7" a="1"/>
  <c r="F1229" i="7" s="1"/>
  <c r="F1220" i="7" a="1"/>
  <c r="F1203" i="7" a="1"/>
  <c r="F1195" i="7" a="1"/>
  <c r="F1185" i="7" a="1"/>
  <c r="F1141" i="7" a="1"/>
  <c r="F1094" i="7" a="1"/>
  <c r="F1077" i="7" a="1"/>
  <c r="F1077" i="7" s="1"/>
  <c r="F1068" i="7" a="1"/>
  <c r="F1068" i="7" s="1"/>
  <c r="F1059" i="7" a="1"/>
  <c r="F1059" i="7" s="1"/>
  <c r="F1039" i="7" a="1"/>
  <c r="F1030" i="7" a="1"/>
  <c r="F1228" i="7" a="1"/>
  <c r="F1212" i="7" a="1"/>
  <c r="F1202" i="7" a="1"/>
  <c r="F1184" i="7" a="1"/>
  <c r="F1177" i="7" a="1"/>
  <c r="F1168" i="7" a="1"/>
  <c r="F1168" i="7" s="1"/>
  <c r="F1415" i="7" s="1"/>
  <c r="F1156" i="7" a="1"/>
  <c r="F1140" i="7" a="1"/>
  <c r="F1133" i="7" a="1"/>
  <c r="F1099" i="7" a="1"/>
  <c r="F1099" i="7" s="1"/>
  <c r="F1058" i="7" a="1"/>
  <c r="F1048" i="7" a="1"/>
  <c r="F1035" i="7" a="1"/>
  <c r="F1035" i="7" s="1"/>
  <c r="F1120" i="7" a="1"/>
  <c r="F1120" i="7" s="1"/>
  <c r="F1080" i="7" a="1"/>
  <c r="F1080" i="7" s="1"/>
  <c r="F1052" i="7" a="1"/>
  <c r="F1052" i="7" s="1"/>
  <c r="F1033" i="7" a="1"/>
  <c r="F1033" i="7" s="1"/>
  <c r="F1219" i="7" a="1"/>
  <c r="F1211" i="7" a="1"/>
  <c r="F1194" i="7" a="1"/>
  <c r="F1183" i="7" a="1"/>
  <c r="F1176" i="7" a="1"/>
  <c r="F1167" i="7" a="1"/>
  <c r="F1114" i="7" a="1"/>
  <c r="F1114" i="7" s="1"/>
  <c r="F1107" i="7" a="1"/>
  <c r="F1107" i="7" s="1"/>
  <c r="F1076" i="7" a="1"/>
  <c r="F1067" i="7" a="1"/>
  <c r="F1053" i="7" a="1"/>
  <c r="F1053" i="7" s="1"/>
  <c r="F1044" i="7" a="1"/>
  <c r="F1044" i="7" s="1"/>
  <c r="F1272" i="7" s="1" a="1"/>
  <c r="F1232" i="7" a="1"/>
  <c r="F1232" i="7" s="1"/>
  <c r="F1206" i="7" a="1"/>
  <c r="F1192" i="7" a="1"/>
  <c r="F1182" i="7" a="1"/>
  <c r="F1175" i="7" a="1"/>
  <c r="F1165" i="7" a="1"/>
  <c r="F1154" i="7" a="1"/>
  <c r="F1113" i="7" a="1"/>
  <c r="F1097" i="7" a="1"/>
  <c r="F1097" i="7" s="1"/>
  <c r="F1062" i="7" a="1"/>
  <c r="F1062" i="7" s="1"/>
  <c r="F1042" i="7" a="1"/>
  <c r="F1042" i="7" s="1"/>
  <c r="F1223" i="7" a="1"/>
  <c r="F1187" i="7" a="1"/>
  <c r="F1105" i="7" a="1"/>
  <c r="F1061" i="7" a="1"/>
  <c r="F1061" i="7" s="1"/>
  <c r="F1032" i="7" a="1"/>
  <c r="F1032" i="7" s="1"/>
  <c r="F1096" i="7" a="1"/>
  <c r="F1096" i="7" s="1"/>
  <c r="F1041" i="7" a="1"/>
  <c r="F1041" i="7" s="1"/>
  <c r="F1230" i="7" a="1"/>
  <c r="F1230" i="7" s="1"/>
  <c r="F1221" i="7" a="1"/>
  <c r="F1213" i="7" a="1"/>
  <c r="F1204" i="7" a="1"/>
  <c r="F1196" i="7" a="1"/>
  <c r="F1186" i="7" a="1"/>
  <c r="F1178" i="7" a="1"/>
  <c r="F1169" i="7" a="1"/>
  <c r="F1134" i="7" a="1"/>
  <c r="F1134" i="7" s="1"/>
  <c r="F1126" i="7" a="1"/>
  <c r="F1078" i="7" a="1"/>
  <c r="F1078" i="7" s="1"/>
  <c r="F1040" i="7" a="1"/>
  <c r="F1040" i="7" s="1"/>
  <c r="F1060" i="7" a="1"/>
  <c r="F1060" i="7" s="1"/>
  <c r="F1095" i="7" a="1"/>
  <c r="F1095" i="7" s="1"/>
  <c r="F1069" i="7" a="1"/>
  <c r="F1069" i="7" s="1"/>
  <c r="F1049" i="7" a="1"/>
  <c r="F1049" i="7" s="1"/>
  <c r="E500" i="7" a="1"/>
  <c r="E500" i="7" s="1"/>
  <c r="E525" i="12" a="1"/>
  <c r="E525" i="12" s="1"/>
  <c r="E507" i="7" a="1"/>
  <c r="E507" i="7" s="1"/>
  <c r="F507" i="7" a="1"/>
  <c r="F507" i="7" s="1"/>
  <c r="F518" i="7" a="1"/>
  <c r="F518" i="7" s="1"/>
  <c r="E518" i="7" a="1"/>
  <c r="E518" i="7" s="1"/>
  <c r="F500" i="7" a="1"/>
  <c r="F500" i="7" s="1"/>
  <c r="F511" i="7" a="1"/>
  <c r="F511" i="7" s="1"/>
  <c r="F504" i="7" a="1"/>
  <c r="F504" i="7" s="1"/>
  <c r="E501" i="7" a="1"/>
  <c r="E501" i="7" s="1"/>
  <c r="F501" i="7" a="1"/>
  <c r="F501" i="7" s="1"/>
  <c r="F512" i="7" a="1"/>
  <c r="F512" i="7" s="1"/>
  <c r="E512" i="7" a="1"/>
  <c r="E512" i="7" s="1"/>
  <c r="F503" i="7" a="1"/>
  <c r="F503" i="7" s="1"/>
  <c r="E514" i="7" a="1"/>
  <c r="E514" i="7" s="1"/>
  <c r="E502" i="7" a="1"/>
  <c r="E502" i="7" s="1"/>
  <c r="F502" i="7" a="1"/>
  <c r="F502" i="7" s="1"/>
  <c r="F513" i="7" a="1"/>
  <c r="F513" i="7" s="1"/>
  <c r="E513" i="7" a="1"/>
  <c r="E513" i="7" s="1"/>
  <c r="E503" i="7" a="1"/>
  <c r="E503" i="7" s="1"/>
  <c r="F514" i="7" a="1"/>
  <c r="F514" i="7" s="1"/>
  <c r="E504" i="7" a="1"/>
  <c r="E504" i="7" s="1"/>
  <c r="E505" i="7" a="1"/>
  <c r="E505" i="7" s="1"/>
  <c r="F505" i="7" a="1"/>
  <c r="F505" i="7" s="1"/>
  <c r="F516" i="7" a="1"/>
  <c r="F516" i="7" s="1"/>
  <c r="E516" i="7" a="1"/>
  <c r="E516" i="7" s="1"/>
  <c r="E506" i="7" a="1"/>
  <c r="E506" i="7" s="1"/>
  <c r="F506" i="7" a="1"/>
  <c r="F506" i="7" s="1"/>
  <c r="F517" i="7" a="1"/>
  <c r="F517" i="7" s="1"/>
  <c r="E517" i="7" a="1"/>
  <c r="E517" i="7" s="1"/>
  <c r="E511" i="7" a="1"/>
  <c r="E511" i="7" s="1"/>
  <c r="F515" i="7" a="1"/>
  <c r="F515" i="7" s="1"/>
  <c r="E515" i="7" a="1"/>
  <c r="E515" i="7" s="1"/>
  <c r="E338" i="12" a="1"/>
  <c r="E338" i="12" s="1"/>
  <c r="E339" i="12" a="1"/>
  <c r="E339" i="12" s="1"/>
  <c r="E337" i="12" a="1"/>
  <c r="E337" i="12" s="1"/>
  <c r="E459" i="12" a="1"/>
  <c r="E459" i="12" s="1"/>
  <c r="G224" i="12" a="1"/>
  <c r="G224" i="12" s="1"/>
  <c r="G223" i="12" a="1"/>
  <c r="G223" i="12" s="1"/>
  <c r="F222" i="12" a="1"/>
  <c r="F222" i="12" s="1"/>
  <c r="E353" i="12" s="1" a="1"/>
  <c r="E353" i="12" s="1"/>
  <c r="F224" i="12" a="1"/>
  <c r="F224" i="12" s="1"/>
  <c r="F223" i="12" a="1"/>
  <c r="F223" i="12" s="1"/>
  <c r="E538" i="12" a="1"/>
  <c r="E538" i="12" s="1"/>
  <c r="E297" i="12" s="1" a="1"/>
  <c r="E297" i="12" s="1"/>
  <c r="E524" i="12" a="1"/>
  <c r="E524" i="12" s="1"/>
  <c r="E288" i="12" s="1" a="1"/>
  <c r="E288" i="12" s="1"/>
  <c r="G534" i="12"/>
  <c r="F534" i="12"/>
  <c r="H534" i="12"/>
  <c r="E534" i="12"/>
  <c r="F1085" i="7" l="1"/>
  <c r="F1091" i="7" s="1"/>
  <c r="M1091" i="7"/>
  <c r="J1091" i="7"/>
  <c r="K1091" i="7"/>
  <c r="I1091" i="7"/>
  <c r="H1091" i="7"/>
  <c r="G1091" i="7"/>
  <c r="L1091" i="7"/>
  <c r="L1002" i="7"/>
  <c r="F1794" i="7" a="1"/>
  <c r="F1794" i="7" s="1"/>
  <c r="F1789" i="7" a="1"/>
  <c r="F1789" i="7" s="1"/>
  <c r="F1370" i="7" a="1"/>
  <c r="F1370" i="7" s="1"/>
  <c r="E848" i="7" a="1"/>
  <c r="E848" i="7" s="1"/>
  <c r="E852" i="7" a="1"/>
  <c r="E852" i="7" s="1"/>
  <c r="F1371" i="7" a="1"/>
  <c r="F1371" i="7" s="1"/>
  <c r="F1790" i="7" a="1"/>
  <c r="F1790" i="7" s="1"/>
  <c r="F1380" i="7" a="1"/>
  <c r="F1380" i="7" s="1"/>
  <c r="H1002" i="7"/>
  <c r="J1002" i="7"/>
  <c r="E843" i="7" a="1"/>
  <c r="E843" i="7" s="1"/>
  <c r="G1002" i="7"/>
  <c r="E849" i="7" a="1"/>
  <c r="E849" i="7" s="1"/>
  <c r="F1785" i="7" a="1"/>
  <c r="F1785" i="7" s="1"/>
  <c r="E853" i="7" a="1"/>
  <c r="E853" i="7" s="1"/>
  <c r="E854" i="7" a="1"/>
  <c r="E854" i="7" s="1"/>
  <c r="F1379" i="7" a="1"/>
  <c r="F1379" i="7" s="1"/>
  <c r="E844" i="7" a="1"/>
  <c r="E844" i="7" s="1"/>
  <c r="F1795" i="7" a="1"/>
  <c r="F1795" i="7" s="1"/>
  <c r="F1372" i="7" a="1"/>
  <c r="F1372" i="7" s="1"/>
  <c r="F1373" i="7" a="1"/>
  <c r="F1373" i="7" s="1"/>
  <c r="E842" i="7" a="1"/>
  <c r="E842" i="7" s="1"/>
  <c r="F1368" i="7" a="1"/>
  <c r="F1368" i="7" s="1"/>
  <c r="E855" i="7" a="1"/>
  <c r="E855" i="7" s="1"/>
  <c r="F1792" i="7" a="1"/>
  <c r="F1792" i="7" s="1"/>
  <c r="F1783" i="7" a="1"/>
  <c r="F1783" i="7" s="1"/>
  <c r="F1787" i="7" a="1"/>
  <c r="F1787" i="7" s="1"/>
  <c r="F1377" i="7" a="1"/>
  <c r="F1377" i="7" s="1"/>
  <c r="F985" i="7"/>
  <c r="M1002" i="7"/>
  <c r="E845" i="7" a="1"/>
  <c r="E845" i="7" s="1"/>
  <c r="F1788" i="7" a="1"/>
  <c r="F1788" i="7" s="1"/>
  <c r="F1791" i="7" a="1"/>
  <c r="F1791" i="7" s="1"/>
  <c r="F1378" i="7" a="1"/>
  <c r="F1378" i="7" s="1"/>
  <c r="F1369" i="7" a="1"/>
  <c r="F1369" i="7" s="1"/>
  <c r="E841" i="7" a="1"/>
  <c r="E841" i="7" s="1"/>
  <c r="F1786" i="7" a="1"/>
  <c r="F1786" i="7" s="1"/>
  <c r="K1002" i="7"/>
  <c r="I1002" i="7"/>
  <c r="E850" i="7" a="1"/>
  <c r="E850" i="7" s="1"/>
  <c r="F1784" i="7" a="1"/>
  <c r="F1784" i="7" s="1"/>
  <c r="F1793" i="7" a="1"/>
  <c r="F1793" i="7" s="1"/>
  <c r="F1374" i="7" a="1"/>
  <c r="F1374" i="7" s="1"/>
  <c r="F1375" i="7" a="1"/>
  <c r="F1375" i="7" s="1"/>
  <c r="E846" i="7" a="1"/>
  <c r="E846" i="7" s="1"/>
  <c r="E847" i="7" a="1"/>
  <c r="E847" i="7" s="1"/>
  <c r="E851" i="7" a="1"/>
  <c r="E851" i="7" s="1"/>
  <c r="F1376" i="7" a="1"/>
  <c r="F1376" i="7" s="1"/>
  <c r="F1147" i="7"/>
  <c r="F1150" i="7" s="1"/>
  <c r="H1150" i="7"/>
  <c r="M1150" i="7"/>
  <c r="I1150" i="7"/>
  <c r="L1150" i="7"/>
  <c r="J1150" i="7"/>
  <c r="G1150" i="7"/>
  <c r="K1150" i="7"/>
  <c r="J1416" i="7" a="1"/>
  <c r="J1416" i="7" s="1"/>
  <c r="F1169" i="7"/>
  <c r="F1416" i="7" s="1" a="1"/>
  <c r="F1416" i="7" s="1"/>
  <c r="L1416" i="7" a="1"/>
  <c r="L1416" i="7" s="1"/>
  <c r="G1416" i="7" a="1"/>
  <c r="G1416" i="7" s="1"/>
  <c r="K1416" i="7" a="1"/>
  <c r="K1416" i="7" s="1"/>
  <c r="H1416" i="7" a="1"/>
  <c r="H1416" i="7" s="1"/>
  <c r="I1416" i="7" a="1"/>
  <c r="I1416" i="7" s="1"/>
  <c r="M1416" i="7" a="1"/>
  <c r="M1416" i="7" s="1"/>
  <c r="K1453" i="7" a="1"/>
  <c r="K1453" i="7" s="1"/>
  <c r="F1206" i="7"/>
  <c r="F1453" i="7" s="1" a="1"/>
  <c r="F1453" i="7" s="1"/>
  <c r="L1453" i="7" a="1"/>
  <c r="L1453" i="7" s="1"/>
  <c r="J1453" i="7" a="1"/>
  <c r="J1453" i="7" s="1"/>
  <c r="I1453" i="7" a="1"/>
  <c r="I1453" i="7" s="1"/>
  <c r="H1453" i="7" a="1"/>
  <c r="H1453" i="7" s="1"/>
  <c r="M1453" i="7" a="1"/>
  <c r="M1453" i="7" s="1"/>
  <c r="G1453" i="7" a="1"/>
  <c r="G1453" i="7" s="1"/>
  <c r="L1414" i="7" a="1"/>
  <c r="L1414" i="7" s="1"/>
  <c r="I1414" i="7" a="1"/>
  <c r="I1414" i="7" s="1"/>
  <c r="G1414" i="7" a="1"/>
  <c r="G1414" i="7" s="1"/>
  <c r="J1414" i="7" a="1"/>
  <c r="J1414" i="7" s="1"/>
  <c r="F1167" i="7"/>
  <c r="F1414" i="7" s="1" a="1"/>
  <c r="F1414" i="7" s="1"/>
  <c r="K1414" i="7" a="1"/>
  <c r="K1414" i="7" s="1"/>
  <c r="H1414" i="7" a="1"/>
  <c r="H1414" i="7" s="1"/>
  <c r="M1414" i="7" a="1"/>
  <c r="M1414" i="7" s="1"/>
  <c r="I1477" i="7" a="1"/>
  <c r="I1477" i="7" s="1"/>
  <c r="H1477" i="7" a="1"/>
  <c r="H1477" i="7" s="1"/>
  <c r="K1477" i="7" a="1"/>
  <c r="K1477" i="7" s="1"/>
  <c r="J1477" i="7" a="1"/>
  <c r="J1477" i="7" s="1"/>
  <c r="F1156" i="7"/>
  <c r="F1477" i="7" s="1" a="1"/>
  <c r="F1477" i="7" s="1"/>
  <c r="G1477" i="7" a="1"/>
  <c r="G1477" i="7" s="1"/>
  <c r="M1477" i="7" a="1"/>
  <c r="M1477" i="7" s="1"/>
  <c r="L1477" i="7" a="1"/>
  <c r="L1477" i="7" s="1"/>
  <c r="H1045" i="7"/>
  <c r="I1045" i="7"/>
  <c r="K1045" i="7"/>
  <c r="J1045" i="7"/>
  <c r="F1039" i="7"/>
  <c r="F1045" i="7" s="1"/>
  <c r="G1045" i="7"/>
  <c r="M1045" i="7"/>
  <c r="L1045" i="7"/>
  <c r="G1207" i="7"/>
  <c r="K1450" i="7" a="1"/>
  <c r="K1450" i="7" s="1"/>
  <c r="G1450" i="7" a="1"/>
  <c r="G1450" i="7" s="1"/>
  <c r="H1450" i="7" a="1"/>
  <c r="H1450" i="7" s="1"/>
  <c r="F1203" i="7"/>
  <c r="F1450" i="7" s="1" a="1"/>
  <c r="F1450" i="7" s="1"/>
  <c r="M1450" i="7" a="1"/>
  <c r="M1450" i="7" s="1"/>
  <c r="J1450" i="7" a="1"/>
  <c r="J1450" i="7" s="1"/>
  <c r="L1450" i="7" a="1"/>
  <c r="L1450" i="7" s="1"/>
  <c r="I1450" i="7" a="1"/>
  <c r="I1450" i="7" s="1"/>
  <c r="F1155" i="7"/>
  <c r="F1476" i="7" s="1" a="1"/>
  <c r="F1476" i="7" s="1"/>
  <c r="L1476" i="7" a="1"/>
  <c r="L1476" i="7" s="1"/>
  <c r="M1476" i="7" a="1"/>
  <c r="M1476" i="7" s="1"/>
  <c r="K1476" i="7" a="1"/>
  <c r="K1476" i="7" s="1"/>
  <c r="J1476" i="7" a="1"/>
  <c r="J1476" i="7" s="1"/>
  <c r="I1476" i="7" a="1"/>
  <c r="I1476" i="7" s="1"/>
  <c r="H1476" i="7" a="1"/>
  <c r="H1476" i="7" s="1"/>
  <c r="G1476" i="7" a="1"/>
  <c r="G1476" i="7" s="1"/>
  <c r="F1030" i="7"/>
  <c r="G1036" i="7"/>
  <c r="L1036" i="7"/>
  <c r="K1036" i="7"/>
  <c r="J1036" i="7"/>
  <c r="I1036" i="7"/>
  <c r="M1036" i="7"/>
  <c r="H1036" i="7"/>
  <c r="L1425" i="7" a="1"/>
  <c r="L1425" i="7" s="1"/>
  <c r="G1425" i="7" a="1"/>
  <c r="G1425" i="7" s="1"/>
  <c r="I1425" i="7" a="1"/>
  <c r="I1425" i="7" s="1"/>
  <c r="K1425" i="7" a="1"/>
  <c r="K1425" i="7" s="1"/>
  <c r="J1425" i="7" a="1"/>
  <c r="J1425" i="7" s="1"/>
  <c r="M1425" i="7" a="1"/>
  <c r="M1425" i="7" s="1"/>
  <c r="H1425" i="7" a="1"/>
  <c r="H1425" i="7" s="1"/>
  <c r="F1178" i="7"/>
  <c r="F1425" i="7" s="1" a="1"/>
  <c r="F1425" i="7" s="1"/>
  <c r="M1423" i="7" a="1"/>
  <c r="M1423" i="7" s="1"/>
  <c r="H1423" i="7" a="1"/>
  <c r="H1423" i="7" s="1"/>
  <c r="I1423" i="7" a="1"/>
  <c r="I1423" i="7" s="1"/>
  <c r="F1176" i="7"/>
  <c r="F1423" i="7" s="1" a="1"/>
  <c r="F1423" i="7" s="1"/>
  <c r="L1423" i="7" a="1"/>
  <c r="L1423" i="7" s="1"/>
  <c r="G1423" i="7" a="1"/>
  <c r="G1423" i="7" s="1"/>
  <c r="K1423" i="7" a="1"/>
  <c r="K1423" i="7" s="1"/>
  <c r="J1423" i="7" a="1"/>
  <c r="J1423" i="7" s="1"/>
  <c r="H1467" i="7" a="1"/>
  <c r="H1467" i="7" s="1"/>
  <c r="J1467" i="7" a="1"/>
  <c r="J1467" i="7" s="1"/>
  <c r="I1467" i="7" a="1"/>
  <c r="I1467" i="7" s="1"/>
  <c r="F1220" i="7"/>
  <c r="F1467" i="7" s="1" a="1"/>
  <c r="F1467" i="7" s="1"/>
  <c r="K1467" i="7" a="1"/>
  <c r="K1467" i="7" s="1"/>
  <c r="G1467" i="7" a="1"/>
  <c r="G1467" i="7" s="1"/>
  <c r="M1467" i="7" a="1"/>
  <c r="M1467" i="7" s="1"/>
  <c r="L1467" i="7" a="1"/>
  <c r="L1467" i="7" s="1"/>
  <c r="I1411" i="7" a="1"/>
  <c r="I1411" i="7" s="1"/>
  <c r="K1411" i="7" a="1"/>
  <c r="K1411" i="7" s="1"/>
  <c r="F1164" i="7"/>
  <c r="M1411" i="7" a="1"/>
  <c r="M1411" i="7" s="1"/>
  <c r="L1170" i="7"/>
  <c r="H1411" i="7" a="1"/>
  <c r="H1411" i="7" s="1"/>
  <c r="L1411" i="7" a="1"/>
  <c r="L1411" i="7" s="1"/>
  <c r="G1411" i="7" a="1"/>
  <c r="G1411" i="7" s="1"/>
  <c r="G1170" i="7"/>
  <c r="I1170" i="7"/>
  <c r="J1170" i="7"/>
  <c r="K1170" i="7"/>
  <c r="H1170" i="7"/>
  <c r="M1170" i="7"/>
  <c r="J1411" i="7" a="1"/>
  <c r="J1411" i="7" s="1"/>
  <c r="G1421" i="7" a="1"/>
  <c r="G1421" i="7" s="1"/>
  <c r="H1421" i="7" a="1"/>
  <c r="H1421" i="7" s="1"/>
  <c r="M1421" i="7" a="1"/>
  <c r="M1421" i="7" s="1"/>
  <c r="K1421" i="7" a="1"/>
  <c r="K1421" i="7" s="1"/>
  <c r="J1421" i="7" a="1"/>
  <c r="J1421" i="7" s="1"/>
  <c r="I1421" i="7" a="1"/>
  <c r="I1421" i="7" s="1"/>
  <c r="L1421" i="7" a="1"/>
  <c r="L1421" i="7" s="1"/>
  <c r="F1174" i="7"/>
  <c r="F1421" i="7" s="1" a="1"/>
  <c r="F1421" i="7" s="1"/>
  <c r="M1413" i="7" a="1"/>
  <c r="M1413" i="7" s="1"/>
  <c r="H1413" i="7" a="1"/>
  <c r="H1413" i="7" s="1"/>
  <c r="J1413" i="7" a="1"/>
  <c r="J1413" i="7" s="1"/>
  <c r="I1413" i="7" a="1"/>
  <c r="I1413" i="7" s="1"/>
  <c r="L1413" i="7" a="1"/>
  <c r="L1413" i="7" s="1"/>
  <c r="K1413" i="7" a="1"/>
  <c r="K1413" i="7" s="1"/>
  <c r="F1166" i="7"/>
  <c r="F1413" i="7" s="1" a="1"/>
  <c r="F1413" i="7" s="1"/>
  <c r="G1413" i="7" a="1"/>
  <c r="G1413" i="7" s="1"/>
  <c r="I1143" i="7"/>
  <c r="K1143" i="7"/>
  <c r="G1143" i="7"/>
  <c r="F1140" i="7"/>
  <c r="H1143" i="7"/>
  <c r="M1143" i="7"/>
  <c r="L1143" i="7"/>
  <c r="K1433" i="7"/>
  <c r="J1433" i="7"/>
  <c r="F1186" i="7"/>
  <c r="F1433" i="7" s="1"/>
  <c r="H1433" i="7"/>
  <c r="L1433" i="7"/>
  <c r="M1433" i="7"/>
  <c r="I1433" i="7"/>
  <c r="G1433" i="7"/>
  <c r="J1115" i="7"/>
  <c r="F1113" i="7"/>
  <c r="F1272" i="7"/>
  <c r="F1279" i="7" s="1"/>
  <c r="J1279" i="7"/>
  <c r="M1279" i="7"/>
  <c r="I1279" i="7"/>
  <c r="H1279" i="7"/>
  <c r="G1279" i="7"/>
  <c r="L1279" i="7"/>
  <c r="K1279" i="7"/>
  <c r="H1430" i="7" a="1"/>
  <c r="H1430" i="7" s="1"/>
  <c r="M1430" i="7" a="1"/>
  <c r="M1430" i="7" s="1"/>
  <c r="G1430" i="7" a="1"/>
  <c r="G1430" i="7" s="1"/>
  <c r="K1430" i="7" a="1"/>
  <c r="K1430" i="7" s="1"/>
  <c r="F1183" i="7"/>
  <c r="F1430" i="7" s="1" a="1"/>
  <c r="F1430" i="7" s="1"/>
  <c r="J1430" i="7" a="1"/>
  <c r="J1430" i="7" s="1"/>
  <c r="I1430" i="7" a="1"/>
  <c r="I1430" i="7" s="1"/>
  <c r="L1430" i="7" a="1"/>
  <c r="L1430" i="7" s="1"/>
  <c r="F1177" i="7"/>
  <c r="F1424" i="7" s="1"/>
  <c r="G1424" i="7"/>
  <c r="L1424" i="7"/>
  <c r="K1424" i="7"/>
  <c r="J1424" i="7"/>
  <c r="M1424" i="7"/>
  <c r="I1424" i="7"/>
  <c r="H1424" i="7"/>
  <c r="L1420" i="7" a="1"/>
  <c r="L1420" i="7" s="1"/>
  <c r="K1179" i="7"/>
  <c r="J1179" i="7"/>
  <c r="G1420" i="7" a="1"/>
  <c r="G1420" i="7" s="1"/>
  <c r="H1420" i="7" a="1"/>
  <c r="H1420" i="7" s="1"/>
  <c r="F1173" i="7"/>
  <c r="K1420" i="7" a="1"/>
  <c r="K1420" i="7" s="1"/>
  <c r="M1179" i="7"/>
  <c r="J1420" i="7" a="1"/>
  <c r="J1420" i="7" s="1"/>
  <c r="L1179" i="7"/>
  <c r="I1179" i="7"/>
  <c r="I1420" i="7" a="1"/>
  <c r="I1420" i="7" s="1"/>
  <c r="H1179" i="7"/>
  <c r="M1420" i="7" a="1"/>
  <c r="M1420" i="7" s="1"/>
  <c r="G1179" i="7"/>
  <c r="L1054" i="7"/>
  <c r="F1050" i="7"/>
  <c r="L1440" i="7" a="1"/>
  <c r="L1440" i="7" s="1"/>
  <c r="J1440" i="7" a="1"/>
  <c r="J1440" i="7" s="1"/>
  <c r="F1193" i="7"/>
  <c r="F1440" i="7" s="1" a="1"/>
  <c r="F1440" i="7" s="1"/>
  <c r="M1440" i="7" a="1"/>
  <c r="M1440" i="7" s="1"/>
  <c r="G1440" i="7" a="1"/>
  <c r="G1440" i="7" s="1"/>
  <c r="I1440" i="7" a="1"/>
  <c r="I1440" i="7" s="1"/>
  <c r="H1440" i="7" a="1"/>
  <c r="H1440" i="7" s="1"/>
  <c r="K1440" i="7" a="1"/>
  <c r="K1440" i="7" s="1"/>
  <c r="J1443" i="7"/>
  <c r="L1443" i="7"/>
  <c r="M1443" i="7"/>
  <c r="I1443" i="7"/>
  <c r="H1443" i="7"/>
  <c r="G1443" i="7"/>
  <c r="K1443" i="7"/>
  <c r="F1196" i="7"/>
  <c r="F1443" i="7" s="1"/>
  <c r="J1157" i="7"/>
  <c r="J1478" i="7" s="1" a="1"/>
  <c r="J1478" i="7" s="1"/>
  <c r="K1157" i="7"/>
  <c r="K1478" i="7" s="1" a="1"/>
  <c r="K1478" i="7" s="1"/>
  <c r="I1475" i="7" a="1"/>
  <c r="I1475" i="7" s="1"/>
  <c r="L1157" i="7"/>
  <c r="L1478" i="7" s="1" a="1"/>
  <c r="L1478" i="7" s="1"/>
  <c r="K1475" i="7" a="1"/>
  <c r="K1475" i="7" s="1"/>
  <c r="H1475" i="7" a="1"/>
  <c r="H1475" i="7" s="1"/>
  <c r="M1157" i="7"/>
  <c r="M1478" i="7" s="1" a="1"/>
  <c r="M1478" i="7" s="1"/>
  <c r="M1475" i="7" a="1"/>
  <c r="M1475" i="7" s="1"/>
  <c r="L1475" i="7" a="1"/>
  <c r="L1475" i="7" s="1"/>
  <c r="F1154" i="7"/>
  <c r="I1157" i="7"/>
  <c r="I1478" i="7" s="1" a="1"/>
  <c r="I1478" i="7" s="1"/>
  <c r="H1157" i="7"/>
  <c r="H1478" i="7" s="1" a="1"/>
  <c r="H1478" i="7" s="1"/>
  <c r="G1157" i="7"/>
  <c r="G1478" i="7" s="1" a="1"/>
  <c r="G1478" i="7" s="1"/>
  <c r="J1475" i="7" a="1"/>
  <c r="J1475" i="7" s="1"/>
  <c r="G1475" i="7" a="1"/>
  <c r="G1475" i="7" s="1"/>
  <c r="H1441" i="7" a="1"/>
  <c r="H1441" i="7" s="1"/>
  <c r="F1194" i="7"/>
  <c r="F1441" i="7" s="1" a="1"/>
  <c r="F1441" i="7" s="1"/>
  <c r="K1441" i="7" a="1"/>
  <c r="K1441" i="7" s="1"/>
  <c r="L1441" i="7" a="1"/>
  <c r="L1441" i="7" s="1"/>
  <c r="J1441" i="7" a="1"/>
  <c r="J1441" i="7" s="1"/>
  <c r="M1441" i="7" a="1"/>
  <c r="M1441" i="7" s="1"/>
  <c r="G1441" i="7" a="1"/>
  <c r="G1441" i="7" s="1"/>
  <c r="I1441" i="7" a="1"/>
  <c r="I1441" i="7" s="1"/>
  <c r="F1048" i="7"/>
  <c r="K1054" i="7"/>
  <c r="G1054" i="7"/>
  <c r="H1054" i="7"/>
  <c r="I1054" i="7"/>
  <c r="M1054" i="7"/>
  <c r="J1054" i="7"/>
  <c r="G1188" i="7"/>
  <c r="K1431" i="7" a="1"/>
  <c r="K1431" i="7" s="1"/>
  <c r="J1431" i="7" a="1"/>
  <c r="J1431" i="7" s="1"/>
  <c r="L1431" i="7" a="1"/>
  <c r="L1431" i="7" s="1"/>
  <c r="G1431" i="7" a="1"/>
  <c r="G1431" i="7" s="1"/>
  <c r="I1431" i="7" a="1"/>
  <c r="I1431" i="7" s="1"/>
  <c r="H1431" i="7" a="1"/>
  <c r="H1431" i="7" s="1"/>
  <c r="M1431" i="7" a="1"/>
  <c r="M1431" i="7" s="1"/>
  <c r="F1184" i="7"/>
  <c r="F1431" i="7" s="1" a="1"/>
  <c r="F1431" i="7" s="1"/>
  <c r="M1444" i="7" a="1"/>
  <c r="M1444" i="7" s="1"/>
  <c r="L1444" i="7" a="1"/>
  <c r="L1444" i="7" s="1"/>
  <c r="I1444" i="7" a="1"/>
  <c r="I1444" i="7" s="1"/>
  <c r="F1197" i="7"/>
  <c r="F1444" i="7" s="1" a="1"/>
  <c r="F1444" i="7" s="1"/>
  <c r="H1444" i="7" a="1"/>
  <c r="H1444" i="7" s="1"/>
  <c r="K1444" i="7" a="1"/>
  <c r="K1444" i="7" s="1"/>
  <c r="G1444" i="7" a="1"/>
  <c r="G1444" i="7" s="1"/>
  <c r="J1444" i="7" a="1"/>
  <c r="J1444" i="7" s="1"/>
  <c r="I1207" i="7"/>
  <c r="F1201" i="7"/>
  <c r="G1448" i="7" a="1"/>
  <c r="G1448" i="7" s="1"/>
  <c r="H1448" i="7" a="1"/>
  <c r="H1448" i="7" s="1"/>
  <c r="J1448" i="7" a="1"/>
  <c r="J1448" i="7" s="1"/>
  <c r="H1207" i="7"/>
  <c r="M1448" i="7" a="1"/>
  <c r="M1448" i="7" s="1"/>
  <c r="L1448" i="7" a="1"/>
  <c r="L1448" i="7" s="1"/>
  <c r="K1207" i="7"/>
  <c r="L1207" i="7"/>
  <c r="I1448" i="7" a="1"/>
  <c r="I1448" i="7" s="1"/>
  <c r="J1207" i="7"/>
  <c r="M1207" i="7"/>
  <c r="K1448" i="7" a="1"/>
  <c r="K1448" i="7" s="1"/>
  <c r="G1439" i="7" a="1"/>
  <c r="G1439" i="7" s="1"/>
  <c r="K1198" i="7"/>
  <c r="J1198" i="7"/>
  <c r="J1439" i="7" a="1"/>
  <c r="J1439" i="7" s="1"/>
  <c r="I1198" i="7"/>
  <c r="M1439" i="7" a="1"/>
  <c r="M1439" i="7" s="1"/>
  <c r="H1198" i="7"/>
  <c r="I1439" i="7" a="1"/>
  <c r="I1439" i="7" s="1"/>
  <c r="F1192" i="7"/>
  <c r="H1439" i="7" a="1"/>
  <c r="H1439" i="7" s="1"/>
  <c r="G1198" i="7"/>
  <c r="L1439" i="7" a="1"/>
  <c r="L1439" i="7" s="1"/>
  <c r="M1198" i="7"/>
  <c r="K1439" i="7" a="1"/>
  <c r="K1439" i="7" s="1"/>
  <c r="L1198" i="7"/>
  <c r="L1451" i="7" a="1"/>
  <c r="L1451" i="7" s="1"/>
  <c r="J1451" i="7" a="1"/>
  <c r="J1451" i="7" s="1"/>
  <c r="I1451" i="7" a="1"/>
  <c r="I1451" i="7" s="1"/>
  <c r="F1204" i="7"/>
  <c r="F1451" i="7" s="1" a="1"/>
  <c r="F1451" i="7" s="1"/>
  <c r="K1451" i="7" a="1"/>
  <c r="K1451" i="7" s="1"/>
  <c r="G1451" i="7" a="1"/>
  <c r="G1451" i="7" s="1"/>
  <c r="H1451" i="7" a="1"/>
  <c r="H1451" i="7" s="1"/>
  <c r="M1451" i="7" a="1"/>
  <c r="M1451" i="7" s="1"/>
  <c r="H1108" i="7"/>
  <c r="M1108" i="7"/>
  <c r="J1108" i="7"/>
  <c r="I1108" i="7"/>
  <c r="F1105" i="7"/>
  <c r="F1108" i="7" s="1"/>
  <c r="L1108" i="7"/>
  <c r="G1108" i="7"/>
  <c r="K1108" i="7"/>
  <c r="L1412" i="7" a="1"/>
  <c r="L1412" i="7" s="1"/>
  <c r="G1412" i="7" a="1"/>
  <c r="G1412" i="7" s="1"/>
  <c r="I1412" i="7" a="1"/>
  <c r="I1412" i="7" s="1"/>
  <c r="H1412" i="7" a="1"/>
  <c r="H1412" i="7" s="1"/>
  <c r="K1412" i="7" a="1"/>
  <c r="K1412" i="7" s="1"/>
  <c r="J1412" i="7" a="1"/>
  <c r="J1412" i="7" s="1"/>
  <c r="F1165" i="7"/>
  <c r="F1412" i="7" s="1" a="1"/>
  <c r="F1412" i="7" s="1"/>
  <c r="M1412" i="7" a="1"/>
  <c r="M1412" i="7" s="1"/>
  <c r="F1067" i="7"/>
  <c r="F1073" i="7" s="1"/>
  <c r="G1073" i="7"/>
  <c r="L1073" i="7"/>
  <c r="J1073" i="7"/>
  <c r="K1073" i="7"/>
  <c r="M1073" i="7"/>
  <c r="H1073" i="7"/>
  <c r="I1073" i="7"/>
  <c r="L1458" i="7" a="1"/>
  <c r="L1458" i="7" s="1"/>
  <c r="I1458" i="7" a="1"/>
  <c r="I1458" i="7" s="1"/>
  <c r="F1211" i="7"/>
  <c r="F1458" i="7" s="1" a="1"/>
  <c r="F1458" i="7" s="1"/>
  <c r="K1458" i="7" a="1"/>
  <c r="K1458" i="7" s="1"/>
  <c r="G1458" i="7" a="1"/>
  <c r="G1458" i="7" s="1"/>
  <c r="H1458" i="7" a="1"/>
  <c r="H1458" i="7" s="1"/>
  <c r="M1458" i="7" a="1"/>
  <c r="M1458" i="7" s="1"/>
  <c r="J1458" i="7" a="1"/>
  <c r="J1458" i="7" s="1"/>
  <c r="K1064" i="7"/>
  <c r="J1064" i="7"/>
  <c r="F1058" i="7"/>
  <c r="F1064" i="7" s="1"/>
  <c r="H1064" i="7"/>
  <c r="M1064" i="7"/>
  <c r="G1064" i="7"/>
  <c r="L1064" i="7"/>
  <c r="I1064" i="7"/>
  <c r="K1449" i="7" a="1"/>
  <c r="K1449" i="7" s="1"/>
  <c r="G1449" i="7" a="1"/>
  <c r="G1449" i="7" s="1"/>
  <c r="H1449" i="7" a="1"/>
  <c r="H1449" i="7" s="1"/>
  <c r="M1449" i="7" a="1"/>
  <c r="M1449" i="7" s="1"/>
  <c r="J1449" i="7" a="1"/>
  <c r="J1449" i="7" s="1"/>
  <c r="I1449" i="7" a="1"/>
  <c r="I1449" i="7" s="1"/>
  <c r="F1202" i="7"/>
  <c r="F1449" i="7" s="1" a="1"/>
  <c r="F1449" i="7" s="1"/>
  <c r="L1449" i="7" a="1"/>
  <c r="L1449" i="7" s="1"/>
  <c r="K1100" i="7"/>
  <c r="H1100" i="7"/>
  <c r="J1100" i="7"/>
  <c r="M1100" i="7"/>
  <c r="L1100" i="7"/>
  <c r="I1100" i="7"/>
  <c r="F1094" i="7"/>
  <c r="F1100" i="7" s="1"/>
  <c r="G1100" i="7"/>
  <c r="F1205" i="7"/>
  <c r="F1452" i="7" s="1"/>
  <c r="I1452" i="7"/>
  <c r="G1452" i="7"/>
  <c r="H1452" i="7"/>
  <c r="J1452" i="7"/>
  <c r="K1452" i="7"/>
  <c r="L1452" i="7"/>
  <c r="M1452" i="7"/>
  <c r="K1216" i="7"/>
  <c r="J1216" i="7"/>
  <c r="L1457" i="7" a="1"/>
  <c r="L1457" i="7" s="1"/>
  <c r="I1457" i="7" a="1"/>
  <c r="I1457" i="7" s="1"/>
  <c r="M1216" i="7"/>
  <c r="K1457" i="7" a="1"/>
  <c r="K1457" i="7" s="1"/>
  <c r="L1216" i="7"/>
  <c r="G1457" i="7" a="1"/>
  <c r="G1457" i="7" s="1"/>
  <c r="I1216" i="7"/>
  <c r="F1210" i="7"/>
  <c r="F1457" i="7" s="1" a="1"/>
  <c r="F1457" i="7" s="1"/>
  <c r="H1457" i="7" a="1"/>
  <c r="H1457" i="7" s="1"/>
  <c r="H1216" i="7"/>
  <c r="G1216" i="7"/>
  <c r="M1457" i="7" a="1"/>
  <c r="M1457" i="7" s="1"/>
  <c r="J1457" i="7" a="1"/>
  <c r="J1457" i="7" s="1"/>
  <c r="K1460" i="7" a="1"/>
  <c r="K1460" i="7" s="1"/>
  <c r="L1460" i="7" a="1"/>
  <c r="L1460" i="7" s="1"/>
  <c r="H1460" i="7" a="1"/>
  <c r="H1460" i="7" s="1"/>
  <c r="F1213" i="7"/>
  <c r="F1460" i="7" s="1" a="1"/>
  <c r="F1460" i="7" s="1"/>
  <c r="M1460" i="7" a="1"/>
  <c r="M1460" i="7" s="1"/>
  <c r="J1460" i="7" a="1"/>
  <c r="J1460" i="7" s="1"/>
  <c r="I1460" i="7" a="1"/>
  <c r="I1460" i="7" s="1"/>
  <c r="G1460" i="7" a="1"/>
  <c r="G1460" i="7" s="1"/>
  <c r="G1434" i="7" a="1"/>
  <c r="G1434" i="7" s="1"/>
  <c r="K1434" i="7" a="1"/>
  <c r="K1434" i="7" s="1"/>
  <c r="L1434" i="7" a="1"/>
  <c r="L1434" i="7" s="1"/>
  <c r="M1434" i="7" a="1"/>
  <c r="M1434" i="7" s="1"/>
  <c r="I1434" i="7" a="1"/>
  <c r="I1434" i="7" s="1"/>
  <c r="H1434" i="7" a="1"/>
  <c r="H1434" i="7" s="1"/>
  <c r="F1187" i="7"/>
  <c r="F1434" i="7" s="1" a="1"/>
  <c r="F1434" i="7" s="1"/>
  <c r="J1434" i="7" a="1"/>
  <c r="J1434" i="7" s="1"/>
  <c r="M1422" i="7" a="1"/>
  <c r="M1422" i="7" s="1"/>
  <c r="K1422" i="7" a="1"/>
  <c r="K1422" i="7" s="1"/>
  <c r="F1175" i="7"/>
  <c r="F1422" i="7" s="1" a="1"/>
  <c r="F1422" i="7" s="1"/>
  <c r="H1422" i="7" a="1"/>
  <c r="H1422" i="7" s="1"/>
  <c r="G1422" i="7" a="1"/>
  <c r="G1422" i="7" s="1"/>
  <c r="I1422" i="7" a="1"/>
  <c r="I1422" i="7" s="1"/>
  <c r="J1422" i="7" a="1"/>
  <c r="J1422" i="7" s="1"/>
  <c r="L1422" i="7" a="1"/>
  <c r="L1422" i="7" s="1"/>
  <c r="F1076" i="7"/>
  <c r="F1082" i="7" s="1"/>
  <c r="K1082" i="7"/>
  <c r="G1082" i="7"/>
  <c r="H1082" i="7"/>
  <c r="M1082" i="7"/>
  <c r="L1082" i="7"/>
  <c r="J1082" i="7"/>
  <c r="I1082" i="7"/>
  <c r="I1225" i="7"/>
  <c r="F1219" i="7"/>
  <c r="G1225" i="7"/>
  <c r="K1225" i="7"/>
  <c r="G1466" i="7" a="1"/>
  <c r="G1466" i="7" s="1"/>
  <c r="M1466" i="7" a="1"/>
  <c r="M1466" i="7" s="1"/>
  <c r="J1466" i="7" a="1"/>
  <c r="J1466" i="7" s="1"/>
  <c r="L1466" i="7" a="1"/>
  <c r="L1466" i="7" s="1"/>
  <c r="L1225" i="7"/>
  <c r="M1225" i="7"/>
  <c r="I1466" i="7" a="1"/>
  <c r="I1466" i="7" s="1"/>
  <c r="J1225" i="7"/>
  <c r="H1225" i="7"/>
  <c r="K1466" i="7" a="1"/>
  <c r="K1466" i="7" s="1"/>
  <c r="H1466" i="7" a="1"/>
  <c r="H1466" i="7" s="1"/>
  <c r="F1212" i="7"/>
  <c r="F1459" i="7" s="1" a="1"/>
  <c r="F1459" i="7" s="1"/>
  <c r="K1459" i="7" a="1"/>
  <c r="K1459" i="7" s="1"/>
  <c r="H1459" i="7" a="1"/>
  <c r="H1459" i="7" s="1"/>
  <c r="M1459" i="7" a="1"/>
  <c r="M1459" i="7" s="1"/>
  <c r="I1459" i="7" a="1"/>
  <c r="I1459" i="7" s="1"/>
  <c r="J1459" i="7" a="1"/>
  <c r="J1459" i="7" s="1"/>
  <c r="L1459" i="7" a="1"/>
  <c r="L1459" i="7" s="1"/>
  <c r="G1459" i="7" a="1"/>
  <c r="G1459" i="7" s="1"/>
  <c r="J1143" i="7"/>
  <c r="F1141" i="7"/>
  <c r="I1122" i="7"/>
  <c r="H1122" i="7"/>
  <c r="F1119" i="7"/>
  <c r="F1122" i="7" s="1"/>
  <c r="L1122" i="7"/>
  <c r="K1122" i="7"/>
  <c r="J1122" i="7"/>
  <c r="G1122" i="7"/>
  <c r="M1122" i="7"/>
  <c r="L1461" i="7"/>
  <c r="F1214" i="7"/>
  <c r="F1461" i="7" s="1"/>
  <c r="K1461" i="7"/>
  <c r="I1461" i="7"/>
  <c r="H1461" i="7"/>
  <c r="G1461" i="7"/>
  <c r="M1461" i="7"/>
  <c r="J1461" i="7"/>
  <c r="I1115" i="7"/>
  <c r="K1115" i="7"/>
  <c r="G1115" i="7"/>
  <c r="L1115" i="7"/>
  <c r="H1115" i="7"/>
  <c r="M1115" i="7"/>
  <c r="F1112" i="7"/>
  <c r="I1471" i="7" a="1"/>
  <c r="I1471" i="7" s="1"/>
  <c r="M1471" i="7" a="1"/>
  <c r="M1471" i="7" s="1"/>
  <c r="K1471" i="7" a="1"/>
  <c r="K1471" i="7" s="1"/>
  <c r="F1224" i="7"/>
  <c r="F1471" i="7" s="1" a="1"/>
  <c r="F1471" i="7" s="1"/>
  <c r="G1471" i="7" a="1"/>
  <c r="G1471" i="7" s="1"/>
  <c r="L1471" i="7" a="1"/>
  <c r="L1471" i="7" s="1"/>
  <c r="J1471" i="7" a="1"/>
  <c r="J1471" i="7" s="1"/>
  <c r="H1471" i="7" a="1"/>
  <c r="H1471" i="7" s="1"/>
  <c r="H1442" i="7" a="1"/>
  <c r="H1442" i="7" s="1"/>
  <c r="I1442" i="7" a="1"/>
  <c r="I1442" i="7" s="1"/>
  <c r="M1442" i="7" a="1"/>
  <c r="M1442" i="7" s="1"/>
  <c r="K1442" i="7" a="1"/>
  <c r="K1442" i="7" s="1"/>
  <c r="F1195" i="7"/>
  <c r="F1442" i="7" s="1" a="1"/>
  <c r="F1442" i="7" s="1"/>
  <c r="J1442" i="7" a="1"/>
  <c r="J1442" i="7" s="1"/>
  <c r="G1442" i="7" a="1"/>
  <c r="G1442" i="7" s="1"/>
  <c r="L1442" i="7" a="1"/>
  <c r="L1442" i="7" s="1"/>
  <c r="J1129" i="7"/>
  <c r="K1129" i="7"/>
  <c r="G1129" i="7"/>
  <c r="H1129" i="7"/>
  <c r="M1129" i="7"/>
  <c r="L1129" i="7"/>
  <c r="I1129" i="7"/>
  <c r="F1126" i="7"/>
  <c r="F1129" i="7" s="1"/>
  <c r="K1468" i="7" a="1"/>
  <c r="K1468" i="7" s="1"/>
  <c r="G1468" i="7" a="1"/>
  <c r="G1468" i="7" s="1"/>
  <c r="H1468" i="7" a="1"/>
  <c r="H1468" i="7" s="1"/>
  <c r="M1468" i="7" a="1"/>
  <c r="M1468" i="7" s="1"/>
  <c r="J1468" i="7" a="1"/>
  <c r="J1468" i="7" s="1"/>
  <c r="F1221" i="7"/>
  <c r="F1468" i="7" s="1" a="1"/>
  <c r="F1468" i="7" s="1"/>
  <c r="L1468" i="7" a="1"/>
  <c r="L1468" i="7" s="1"/>
  <c r="I1468" i="7" a="1"/>
  <c r="I1468" i="7" s="1"/>
  <c r="F1223" i="7"/>
  <c r="F1470" i="7" s="1"/>
  <c r="G1470" i="7"/>
  <c r="J1470" i="7"/>
  <c r="M1470" i="7"/>
  <c r="L1470" i="7"/>
  <c r="K1470" i="7"/>
  <c r="I1470" i="7"/>
  <c r="H1470" i="7"/>
  <c r="I1188" i="7"/>
  <c r="F1182" i="7"/>
  <c r="K1429" i="7" a="1"/>
  <c r="K1429" i="7" s="1"/>
  <c r="H1429" i="7" a="1"/>
  <c r="H1429" i="7" s="1"/>
  <c r="J1429" i="7" a="1"/>
  <c r="J1429" i="7" s="1"/>
  <c r="J1188" i="7"/>
  <c r="M1429" i="7" a="1"/>
  <c r="M1429" i="7" s="1"/>
  <c r="G1429" i="7" a="1"/>
  <c r="G1429" i="7" s="1"/>
  <c r="L1188" i="7"/>
  <c r="M1188" i="7"/>
  <c r="H1188" i="7"/>
  <c r="I1429" i="7" a="1"/>
  <c r="I1429" i="7" s="1"/>
  <c r="K1188" i="7"/>
  <c r="L1429" i="7" a="1"/>
  <c r="L1429" i="7" s="1"/>
  <c r="H1136" i="7"/>
  <c r="L1136" i="7"/>
  <c r="F1133" i="7"/>
  <c r="F1136" i="7" s="1"/>
  <c r="M1136" i="7"/>
  <c r="I1136" i="7"/>
  <c r="G1136" i="7"/>
  <c r="K1136" i="7"/>
  <c r="J1136" i="7"/>
  <c r="K1234" i="7"/>
  <c r="J1234" i="7"/>
  <c r="L1234" i="7"/>
  <c r="I1234" i="7"/>
  <c r="H1234" i="7"/>
  <c r="F1228" i="7"/>
  <c r="F1234" i="7" s="1"/>
  <c r="M1234" i="7"/>
  <c r="G1234" i="7"/>
  <c r="M1432" i="7" a="1"/>
  <c r="M1432" i="7" s="1"/>
  <c r="H1432" i="7" a="1"/>
  <c r="H1432" i="7" s="1"/>
  <c r="F1185" i="7"/>
  <c r="F1432" i="7" s="1" a="1"/>
  <c r="F1432" i="7" s="1"/>
  <c r="J1432" i="7" a="1"/>
  <c r="J1432" i="7" s="1"/>
  <c r="I1432" i="7" a="1"/>
  <c r="I1432" i="7" s="1"/>
  <c r="L1432" i="7" a="1"/>
  <c r="L1432" i="7" s="1"/>
  <c r="K1432" i="7" a="1"/>
  <c r="K1432" i="7" s="1"/>
  <c r="G1432" i="7" a="1"/>
  <c r="G1432" i="7" s="1"/>
  <c r="L1469" i="7" a="1"/>
  <c r="L1469" i="7" s="1"/>
  <c r="K1469" i="7" a="1"/>
  <c r="K1469" i="7" s="1"/>
  <c r="H1469" i="7" a="1"/>
  <c r="H1469" i="7" s="1"/>
  <c r="M1469" i="7" a="1"/>
  <c r="M1469" i="7" s="1"/>
  <c r="J1469" i="7" a="1"/>
  <c r="J1469" i="7" s="1"/>
  <c r="I1469" i="7" a="1"/>
  <c r="I1469" i="7" s="1"/>
  <c r="F1222" i="7"/>
  <c r="F1469" i="7" s="1" a="1"/>
  <c r="F1469" i="7" s="1"/>
  <c r="G1469" i="7" a="1"/>
  <c r="G1469" i="7" s="1"/>
  <c r="K1462" i="7" a="1"/>
  <c r="K1462" i="7" s="1"/>
  <c r="G1462" i="7" a="1"/>
  <c r="G1462" i="7" s="1"/>
  <c r="L1462" i="7" a="1"/>
  <c r="L1462" i="7" s="1"/>
  <c r="J1462" i="7" a="1"/>
  <c r="J1462" i="7" s="1"/>
  <c r="I1462" i="7" a="1"/>
  <c r="I1462" i="7" s="1"/>
  <c r="F1215" i="7"/>
  <c r="F1462" i="7" s="1" a="1"/>
  <c r="F1462" i="7" s="1"/>
  <c r="H1462" i="7" a="1"/>
  <c r="H1462" i="7" s="1"/>
  <c r="M1462" i="7" a="1"/>
  <c r="M1462" i="7" s="1"/>
  <c r="E352" i="12" a="1"/>
  <c r="E352" i="12" s="1"/>
  <c r="E351" i="12" a="1"/>
  <c r="E351" i="12" s="1"/>
  <c r="F1241" i="7" l="1" a="1"/>
  <c r="F1241" i="7" s="1"/>
  <c r="F1115" i="7"/>
  <c r="J1481" i="7"/>
  <c r="E840" i="7" a="1"/>
  <c r="F1782" i="7" a="1"/>
  <c r="F1002" i="7"/>
  <c r="E688" i="7" s="1" a="1"/>
  <c r="E688" i="7" s="1"/>
  <c r="F1367" i="7" a="1"/>
  <c r="K1481" i="7"/>
  <c r="J1417" i="7"/>
  <c r="H1435" i="7"/>
  <c r="G1435" i="7"/>
  <c r="M1417" i="7"/>
  <c r="G1426" i="7"/>
  <c r="F1054" i="7"/>
  <c r="G1463" i="7"/>
  <c r="J1454" i="7"/>
  <c r="G1445" i="7"/>
  <c r="M1426" i="7"/>
  <c r="F1179" i="7"/>
  <c r="F1420" i="7" a="1"/>
  <c r="F1420" i="7" s="1"/>
  <c r="F1426" i="7" s="1"/>
  <c r="H1417" i="7"/>
  <c r="I1445" i="7"/>
  <c r="L1472" i="7"/>
  <c r="J1463" i="7"/>
  <c r="K1445" i="7"/>
  <c r="M1445" i="7"/>
  <c r="H1454" i="7"/>
  <c r="I1481" i="7"/>
  <c r="H1426" i="7"/>
  <c r="K1417" i="7"/>
  <c r="F1429" i="7" a="1"/>
  <c r="F1429" i="7" s="1"/>
  <c r="F1435" i="7" s="1"/>
  <c r="F1188" i="7"/>
  <c r="H1472" i="7"/>
  <c r="J1472" i="7"/>
  <c r="M1463" i="7"/>
  <c r="K1463" i="7"/>
  <c r="I1454" i="7"/>
  <c r="G1454" i="7"/>
  <c r="F1157" i="7"/>
  <c r="F1478" i="7" s="1" a="1"/>
  <c r="F1478" i="7" s="1"/>
  <c r="F1475" i="7" a="1"/>
  <c r="F1475" i="7" s="1"/>
  <c r="I1426" i="7"/>
  <c r="L1435" i="7"/>
  <c r="K1472" i="7"/>
  <c r="M1472" i="7"/>
  <c r="L1445" i="7"/>
  <c r="J1445" i="7"/>
  <c r="F1448" i="7" a="1"/>
  <c r="F1448" i="7" s="1"/>
  <c r="F1454" i="7" s="1"/>
  <c r="E728" i="7" s="1" a="1"/>
  <c r="E728" i="7" s="1"/>
  <c r="F1207" i="7"/>
  <c r="L1481" i="7"/>
  <c r="F1143" i="7"/>
  <c r="F1411" i="7" a="1"/>
  <c r="F1411" i="7" s="1"/>
  <c r="F1417" i="7" s="1"/>
  <c r="F1170" i="7"/>
  <c r="F1466" i="7" a="1"/>
  <c r="F1466" i="7" s="1"/>
  <c r="F1472" i="7" s="1"/>
  <c r="F1225" i="7"/>
  <c r="K1426" i="7"/>
  <c r="M1435" i="7"/>
  <c r="K1435" i="7"/>
  <c r="J1435" i="7"/>
  <c r="G1472" i="7"/>
  <c r="I1463" i="7"/>
  <c r="M1481" i="7"/>
  <c r="I1435" i="7"/>
  <c r="H1463" i="7"/>
  <c r="L1463" i="7"/>
  <c r="H1445" i="7"/>
  <c r="L1454" i="7"/>
  <c r="G1481" i="7"/>
  <c r="J1426" i="7"/>
  <c r="L1426" i="7"/>
  <c r="I1417" i="7"/>
  <c r="F1036" i="7"/>
  <c r="K1454" i="7"/>
  <c r="L1417" i="7"/>
  <c r="I1472" i="7"/>
  <c r="F1463" i="7"/>
  <c r="F1216" i="7"/>
  <c r="F1439" i="7" a="1"/>
  <c r="F1439" i="7" s="1"/>
  <c r="F1445" i="7" s="1"/>
  <c r="F1198" i="7"/>
  <c r="M1454" i="7"/>
  <c r="H1481" i="7"/>
  <c r="G1417" i="7"/>
  <c r="M7" i="59"/>
  <c r="G468" i="59" s="1" a="1"/>
  <c r="G468" i="59" s="1"/>
  <c r="E727" i="7" l="1" a="1"/>
  <c r="E727" i="7" s="1"/>
  <c r="F1367" i="7"/>
  <c r="F1384" i="7" s="1"/>
  <c r="G1384" i="7"/>
  <c r="M1384" i="7"/>
  <c r="L1384" i="7"/>
  <c r="K1384" i="7"/>
  <c r="J1384" i="7"/>
  <c r="I1384" i="7"/>
  <c r="H1384" i="7"/>
  <c r="K1799" i="7"/>
  <c r="H1799" i="7"/>
  <c r="F1782" i="7"/>
  <c r="F1799" i="7" s="1"/>
  <c r="I1799" i="7"/>
  <c r="G1799" i="7"/>
  <c r="L1799" i="7"/>
  <c r="M1799" i="7"/>
  <c r="J1799" i="7"/>
  <c r="E840" i="7"/>
  <c r="E857" i="7" s="1"/>
  <c r="I857" i="7"/>
  <c r="J857" i="7"/>
  <c r="G857" i="7"/>
  <c r="F857" i="7"/>
  <c r="H857" i="7"/>
  <c r="K857" i="7"/>
  <c r="L857" i="7"/>
  <c r="F1481" i="7"/>
  <c r="E731" i="7" s="1" a="1"/>
  <c r="E731" i="7" s="1"/>
  <c r="E725" i="7" a="1"/>
  <c r="E725" i="7" s="1"/>
  <c r="E726" i="7" a="1"/>
  <c r="E726" i="7" s="1"/>
  <c r="I1258" i="7"/>
  <c r="M1258" i="7"/>
  <c r="H1258" i="7"/>
  <c r="K1258" i="7"/>
  <c r="G1258" i="7"/>
  <c r="L1258" i="7"/>
  <c r="F1258" i="7"/>
  <c r="J1258" i="7"/>
  <c r="E729" i="7" a="1"/>
  <c r="E729" i="7" s="1"/>
  <c r="G469" i="59" a="1"/>
  <c r="G469" i="59" s="1"/>
  <c r="F266" i="59" s="1" a="1"/>
  <c r="F266" i="59" s="1"/>
  <c r="G474" i="59" a="1"/>
  <c r="G474" i="59" s="1"/>
  <c r="F271" i="59" s="1" a="1"/>
  <c r="F271" i="59" s="1"/>
  <c r="G473" i="59" a="1"/>
  <c r="G473" i="59" s="1"/>
  <c r="F270" i="59" s="1" a="1"/>
  <c r="F270" i="59" s="1"/>
  <c r="G472" i="59" a="1"/>
  <c r="G472" i="59" s="1"/>
  <c r="F269" i="59" s="1" a="1"/>
  <c r="F269" i="59" s="1"/>
  <c r="G471" i="59" a="1"/>
  <c r="G471" i="59" s="1"/>
  <c r="F268" i="59" s="1" a="1"/>
  <c r="F268" i="59" s="1"/>
  <c r="G470" i="59" a="1"/>
  <c r="G470" i="59" s="1"/>
  <c r="F267" i="59" s="1" a="1"/>
  <c r="F267" i="59" s="1"/>
  <c r="E724" i="7" l="1" a="1"/>
  <c r="E724" i="7" s="1"/>
  <c r="H475" i="59"/>
  <c r="N475" i="59"/>
  <c r="I475" i="59"/>
  <c r="J475" i="59"/>
  <c r="L475" i="59"/>
  <c r="K475" i="59"/>
  <c r="M475" i="59"/>
  <c r="E730" i="7" a="1"/>
  <c r="E730" i="7" s="1"/>
  <c r="E526" i="7"/>
  <c r="E539" i="7" s="1"/>
  <c r="E527" i="7"/>
  <c r="E540" i="7" s="1"/>
  <c r="K412" i="59"/>
  <c r="H412" i="59"/>
  <c r="M412" i="59"/>
  <c r="J412" i="59"/>
  <c r="N412" i="59"/>
  <c r="I412" i="59"/>
  <c r="L412" i="59"/>
  <c r="G368" i="54"/>
  <c r="G369" i="54"/>
  <c r="G84" i="16"/>
  <c r="F265" i="59" l="1" a="1"/>
  <c r="G475" i="59"/>
  <c r="E530" i="7"/>
  <c r="E543" i="7" s="1"/>
  <c r="E764" i="7" s="1"/>
  <c r="L530" i="7"/>
  <c r="I530" i="7"/>
  <c r="I565" i="7" s="1"/>
  <c r="I788" i="7" s="1"/>
  <c r="J530" i="7"/>
  <c r="J600" i="7" s="1"/>
  <c r="J826" i="7" s="1"/>
  <c r="F530" i="7"/>
  <c r="G530" i="7"/>
  <c r="G578" i="7" s="1"/>
  <c r="G802" i="7" s="1"/>
  <c r="K530" i="7"/>
  <c r="K565" i="7" s="1"/>
  <c r="K788" i="7" s="1"/>
  <c r="H530" i="7"/>
  <c r="L527" i="7"/>
  <c r="L597" i="7" s="1"/>
  <c r="L823" i="7" s="1"/>
  <c r="H526" i="7"/>
  <c r="H539" i="7" s="1"/>
  <c r="H760" i="7" s="1"/>
  <c r="F527" i="7"/>
  <c r="F540" i="7" s="1"/>
  <c r="F526" i="7"/>
  <c r="F561" i="7" s="1"/>
  <c r="G527" i="7"/>
  <c r="G575" i="7" s="1"/>
  <c r="G799" i="7" s="1"/>
  <c r="H527" i="7"/>
  <c r="H562" i="7" s="1"/>
  <c r="H785" i="7" s="1"/>
  <c r="L526" i="7"/>
  <c r="L596" i="7" s="1"/>
  <c r="L822" i="7" s="1"/>
  <c r="I526" i="7"/>
  <c r="I539" i="7" s="1"/>
  <c r="I760" i="7" s="1"/>
  <c r="J526" i="7"/>
  <c r="J574" i="7" s="1"/>
  <c r="J798" i="7" s="1"/>
  <c r="K526" i="7"/>
  <c r="K596" i="7" s="1"/>
  <c r="K822" i="7" s="1"/>
  <c r="K527" i="7"/>
  <c r="K540" i="7" s="1"/>
  <c r="K761" i="7" s="1"/>
  <c r="I527" i="7"/>
  <c r="I597" i="7" s="1"/>
  <c r="I823" i="7" s="1"/>
  <c r="G526" i="7"/>
  <c r="G539" i="7" s="1"/>
  <c r="G760" i="7" s="1"/>
  <c r="J527" i="7"/>
  <c r="J540" i="7" s="1"/>
  <c r="J761" i="7" s="1"/>
  <c r="F299" i="59" a="1"/>
  <c r="F299" i="59" s="1"/>
  <c r="L9" i="32"/>
  <c r="E210" i="32" s="1" a="1"/>
  <c r="E210" i="32" s="1"/>
  <c r="L7" i="32"/>
  <c r="E264" i="32" l="1" a="1"/>
  <c r="E290" i="32" a="1"/>
  <c r="E290" i="32" s="1"/>
  <c r="E297" i="32" a="1"/>
  <c r="E297" i="32" s="1"/>
  <c r="F265" i="59"/>
  <c r="F272" i="59" s="1"/>
  <c r="L272" i="59"/>
  <c r="H272" i="59"/>
  <c r="J272" i="59"/>
  <c r="M272" i="59"/>
  <c r="I272" i="59"/>
  <c r="K272" i="59"/>
  <c r="G272" i="59"/>
  <c r="F575" i="7"/>
  <c r="F799" i="7" s="1"/>
  <c r="F539" i="7"/>
  <c r="F760" i="7" s="1"/>
  <c r="F543" i="7"/>
  <c r="F764" i="7" s="1"/>
  <c r="F784" i="7"/>
  <c r="L540" i="7"/>
  <c r="L761" i="7" s="1"/>
  <c r="F596" i="7"/>
  <c r="F822" i="7" s="1"/>
  <c r="L575" i="7"/>
  <c r="L799" i="7" s="1"/>
  <c r="F574" i="7"/>
  <c r="F798" i="7" s="1"/>
  <c r="L562" i="7"/>
  <c r="L785" i="7" s="1"/>
  <c r="J575" i="7"/>
  <c r="J799" i="7" s="1"/>
  <c r="G596" i="7"/>
  <c r="G822" i="7" s="1"/>
  <c r="J597" i="7"/>
  <c r="J823" i="7" s="1"/>
  <c r="G574" i="7"/>
  <c r="G798" i="7" s="1"/>
  <c r="G561" i="7"/>
  <c r="J562" i="7"/>
  <c r="H540" i="7"/>
  <c r="F562" i="7"/>
  <c r="I575" i="7"/>
  <c r="F761" i="7"/>
  <c r="F597" i="7"/>
  <c r="K575" i="7"/>
  <c r="K799" i="7" s="1"/>
  <c r="H575" i="7"/>
  <c r="H799" i="7" s="1"/>
  <c r="J539" i="7"/>
  <c r="J760" i="7" s="1"/>
  <c r="H596" i="7"/>
  <c r="H822" i="7" s="1"/>
  <c r="K597" i="7"/>
  <c r="K823" i="7" s="1"/>
  <c r="J596" i="7"/>
  <c r="I540" i="7"/>
  <c r="I761" i="7" s="1"/>
  <c r="L574" i="7"/>
  <c r="L539" i="7"/>
  <c r="L760" i="7" s="1"/>
  <c r="L561" i="7"/>
  <c r="L784" i="7" s="1"/>
  <c r="I578" i="7"/>
  <c r="I802" i="7" s="1"/>
  <c r="H561" i="7"/>
  <c r="H574" i="7"/>
  <c r="H798" i="7" s="1"/>
  <c r="K561" i="7"/>
  <c r="K784" i="7" s="1"/>
  <c r="K574" i="7"/>
  <c r="I543" i="7"/>
  <c r="J561" i="7"/>
  <c r="J784" i="7" s="1"/>
  <c r="H597" i="7"/>
  <c r="H823" i="7" s="1"/>
  <c r="I562" i="7"/>
  <c r="I785" i="7" s="1"/>
  <c r="K562" i="7"/>
  <c r="G597" i="7"/>
  <c r="K539" i="7"/>
  <c r="K760" i="7" s="1"/>
  <c r="G562" i="7"/>
  <c r="G785" i="7" s="1"/>
  <c r="E565" i="7"/>
  <c r="E554" i="7" s="1"/>
  <c r="E578" i="7"/>
  <c r="E802" i="7" s="1"/>
  <c r="E600" i="7"/>
  <c r="E826" i="7" s="1"/>
  <c r="I600" i="7"/>
  <c r="I826" i="7" s="1"/>
  <c r="G540" i="7"/>
  <c r="G761" i="7" s="1"/>
  <c r="I574" i="7"/>
  <c r="I798" i="7" s="1"/>
  <c r="G543" i="7"/>
  <c r="G764" i="7" s="1"/>
  <c r="G565" i="7"/>
  <c r="G788" i="7" s="1"/>
  <c r="J565" i="7"/>
  <c r="J788" i="7" s="1"/>
  <c r="F578" i="7"/>
  <c r="F802" i="7" s="1"/>
  <c r="J543" i="7"/>
  <c r="J764" i="7" s="1"/>
  <c r="J578" i="7"/>
  <c r="F565" i="7"/>
  <c r="F600" i="7"/>
  <c r="F826" i="7" s="1"/>
  <c r="E574" i="7"/>
  <c r="E798" i="7" s="1"/>
  <c r="E760" i="7"/>
  <c r="E561" i="7"/>
  <c r="E596" i="7"/>
  <c r="E822" i="7" s="1"/>
  <c r="K543" i="7"/>
  <c r="I561" i="7"/>
  <c r="I596" i="7"/>
  <c r="I822" i="7" s="1"/>
  <c r="E761" i="7"/>
  <c r="E597" i="7"/>
  <c r="E823" i="7" s="1"/>
  <c r="E562" i="7"/>
  <c r="E575" i="7"/>
  <c r="E799" i="7" s="1"/>
  <c r="K600" i="7"/>
  <c r="K826" i="7" s="1"/>
  <c r="K578" i="7"/>
  <c r="K802" i="7" s="1"/>
  <c r="G600" i="7"/>
  <c r="E264" i="32" l="1"/>
  <c r="E303" i="32" s="1" a="1"/>
  <c r="E213" i="32" a="1"/>
  <c r="E213" i="32" s="1"/>
  <c r="E298" i="32"/>
  <c r="J298" i="32"/>
  <c r="I298" i="32"/>
  <c r="L298" i="32"/>
  <c r="K298" i="32"/>
  <c r="G298" i="32"/>
  <c r="H298" i="32"/>
  <c r="F298" i="32"/>
  <c r="F550" i="7"/>
  <c r="F772" i="7" s="1"/>
  <c r="F554" i="7"/>
  <c r="F776" i="7" s="1"/>
  <c r="F785" i="7"/>
  <c r="F551" i="7"/>
  <c r="F773" i="7" s="1"/>
  <c r="L586" i="7"/>
  <c r="L811" i="7" s="1"/>
  <c r="E784" i="7"/>
  <c r="E550" i="7"/>
  <c r="E772" i="7" s="1"/>
  <c r="E785" i="7"/>
  <c r="E551" i="7"/>
  <c r="E773" i="7" s="1"/>
  <c r="F585" i="7"/>
  <c r="F810" i="7" s="1"/>
  <c r="L551" i="7"/>
  <c r="L773" i="7" s="1"/>
  <c r="J586" i="7"/>
  <c r="J811" i="7" s="1"/>
  <c r="I550" i="7"/>
  <c r="I772" i="7" s="1"/>
  <c r="I784" i="7"/>
  <c r="J589" i="7"/>
  <c r="J814" i="7" s="1"/>
  <c r="J802" i="7"/>
  <c r="H551" i="7"/>
  <c r="H773" i="7" s="1"/>
  <c r="H761" i="7"/>
  <c r="G589" i="7"/>
  <c r="G814" i="7" s="1"/>
  <c r="G826" i="7"/>
  <c r="J551" i="7"/>
  <c r="J773" i="7" s="1"/>
  <c r="J785" i="7"/>
  <c r="E776" i="7"/>
  <c r="E788" i="7"/>
  <c r="I554" i="7"/>
  <c r="I776" i="7" s="1"/>
  <c r="I764" i="7"/>
  <c r="L585" i="7"/>
  <c r="L810" i="7" s="1"/>
  <c r="L798" i="7"/>
  <c r="G550" i="7"/>
  <c r="G772" i="7" s="1"/>
  <c r="G784" i="7"/>
  <c r="K585" i="7"/>
  <c r="K810" i="7" s="1"/>
  <c r="K798" i="7"/>
  <c r="K554" i="7"/>
  <c r="K776" i="7" s="1"/>
  <c r="K764" i="7"/>
  <c r="J585" i="7"/>
  <c r="J810" i="7" s="1"/>
  <c r="J822" i="7"/>
  <c r="F586" i="7"/>
  <c r="F811" i="7" s="1"/>
  <c r="F823" i="7"/>
  <c r="G586" i="7"/>
  <c r="G811" i="7" s="1"/>
  <c r="G823" i="7"/>
  <c r="F788" i="7"/>
  <c r="K551" i="7"/>
  <c r="K773" i="7" s="1"/>
  <c r="K785" i="7"/>
  <c r="H550" i="7"/>
  <c r="H772" i="7" s="1"/>
  <c r="H784" i="7"/>
  <c r="I586" i="7"/>
  <c r="I811" i="7" s="1"/>
  <c r="I799" i="7"/>
  <c r="G585" i="7"/>
  <c r="G810" i="7" s="1"/>
  <c r="J550" i="7"/>
  <c r="J772" i="7" s="1"/>
  <c r="K586" i="7"/>
  <c r="K811" i="7" s="1"/>
  <c r="I551" i="7"/>
  <c r="I773" i="7" s="1"/>
  <c r="H585" i="7"/>
  <c r="H810" i="7" s="1"/>
  <c r="H586" i="7"/>
  <c r="H811" i="7" s="1"/>
  <c r="I589" i="7"/>
  <c r="I814" i="7" s="1"/>
  <c r="K550" i="7"/>
  <c r="K772" i="7" s="1"/>
  <c r="L550" i="7"/>
  <c r="L772" i="7" s="1"/>
  <c r="G554" i="7"/>
  <c r="G776" i="7" s="1"/>
  <c r="G551" i="7"/>
  <c r="G773" i="7" s="1"/>
  <c r="I585" i="7"/>
  <c r="I810" i="7" s="1"/>
  <c r="E589" i="7"/>
  <c r="E814" i="7" s="1"/>
  <c r="J554" i="7"/>
  <c r="J776" i="7" s="1"/>
  <c r="K589" i="7"/>
  <c r="K814" i="7" s="1"/>
  <c r="F589" i="7"/>
  <c r="F814" i="7" s="1"/>
  <c r="E586" i="7"/>
  <c r="E811" i="7" s="1"/>
  <c r="E585" i="7"/>
  <c r="E810" i="7" s="1"/>
  <c r="K323" i="32" l="1"/>
  <c r="L323" i="32"/>
  <c r="F323" i="32"/>
  <c r="J323" i="32"/>
  <c r="G323" i="32"/>
  <c r="I323" i="32"/>
  <c r="E303" i="32"/>
  <c r="E323" i="32" s="1"/>
  <c r="H323" i="32"/>
  <c r="E291" i="32"/>
  <c r="E225" i="32" s="1" a="1"/>
  <c r="E225" i="32" s="1"/>
  <c r="J291" i="32"/>
  <c r="J225" i="32" s="1" a="1"/>
  <c r="J225" i="32" s="1"/>
  <c r="H291" i="32"/>
  <c r="H225" i="32" s="1" a="1"/>
  <c r="H225" i="32" s="1"/>
  <c r="I291" i="32"/>
  <c r="I225" i="32" s="1" a="1"/>
  <c r="I225" i="32" s="1"/>
  <c r="F291" i="32"/>
  <c r="F225" i="32" s="1" a="1"/>
  <c r="F225" i="32" s="1"/>
  <c r="K291" i="32"/>
  <c r="K225" i="32" s="1" a="1"/>
  <c r="K225" i="32" s="1"/>
  <c r="E226" i="32" a="1"/>
  <c r="E226" i="32" s="1"/>
  <c r="U11" i="52" s="1" a="1"/>
  <c r="U11" i="52" s="1"/>
  <c r="L291" i="32"/>
  <c r="L225" i="32" s="1" a="1"/>
  <c r="L225" i="32" s="1"/>
  <c r="G291" i="32"/>
  <c r="G225" i="32" s="1" a="1"/>
  <c r="G225" i="32" s="1"/>
  <c r="E328" i="32" l="1" a="1"/>
  <c r="E328" i="32" s="1"/>
  <c r="E329" i="32" s="1" a="1"/>
  <c r="E329" i="32" s="1"/>
  <c r="E523" i="7"/>
  <c r="E224" i="32" l="1" a="1"/>
  <c r="E224" i="32" s="1"/>
  <c r="E227" i="32" s="1"/>
  <c r="E558" i="7"/>
  <c r="E536" i="7"/>
  <c r="F523" i="7"/>
  <c r="F536" i="7" s="1"/>
  <c r="H523" i="7"/>
  <c r="H571" i="7" s="1"/>
  <c r="H795" i="7" s="1"/>
  <c r="L523" i="7"/>
  <c r="L593" i="7" s="1"/>
  <c r="L819" i="7" s="1"/>
  <c r="J523" i="7"/>
  <c r="J558" i="7" s="1"/>
  <c r="J781" i="7" s="1"/>
  <c r="K523" i="7"/>
  <c r="K571" i="7" s="1"/>
  <c r="K795" i="7" s="1"/>
  <c r="I523" i="7"/>
  <c r="I558" i="7" s="1"/>
  <c r="I781" i="7" s="1"/>
  <c r="G523" i="7"/>
  <c r="G536" i="7" s="1"/>
  <c r="E625" i="7" a="1"/>
  <c r="E625" i="7" s="1"/>
  <c r="E669" i="7" s="1" a="1"/>
  <c r="E669" i="7" s="1"/>
  <c r="E528" i="7"/>
  <c r="E541" i="7" s="1"/>
  <c r="E529" i="7"/>
  <c r="E542" i="7" s="1"/>
  <c r="E399" i="12" a="1"/>
  <c r="E399" i="12" s="1"/>
  <c r="E398" i="12" a="1"/>
  <c r="E398" i="12" s="1"/>
  <c r="E400" i="12" a="1"/>
  <c r="E400" i="12" s="1"/>
  <c r="E401" i="12" a="1"/>
  <c r="E401" i="12" s="1"/>
  <c r="E402" i="12" a="1"/>
  <c r="E402" i="12" s="1"/>
  <c r="E397" i="12" a="1"/>
  <c r="E397" i="12" s="1"/>
  <c r="D58" i="45"/>
  <c r="AB52" i="45"/>
  <c r="E432" i="12" l="1" a="1"/>
  <c r="E432" i="12" s="1"/>
  <c r="E431" i="12" a="1"/>
  <c r="E431" i="12" s="1"/>
  <c r="E430" i="12" a="1"/>
  <c r="E430" i="12" s="1"/>
  <c r="E420" i="12" a="1"/>
  <c r="E420" i="12" s="1"/>
  <c r="E419" i="12" a="1"/>
  <c r="E419" i="12" s="1"/>
  <c r="E449" i="12" a="1"/>
  <c r="E449" i="12" s="1"/>
  <c r="E507" i="12" s="1" a="1"/>
  <c r="E507" i="12" s="1"/>
  <c r="E448" i="12" a="1"/>
  <c r="E448" i="12" s="1"/>
  <c r="E506" i="12" s="1" a="1"/>
  <c r="E506" i="12" s="1"/>
  <c r="E447" i="12" a="1"/>
  <c r="E447" i="12" s="1"/>
  <c r="E505" i="12" s="1" a="1"/>
  <c r="E505" i="12" s="1"/>
  <c r="E437" i="12" a="1"/>
  <c r="E437" i="12" s="1"/>
  <c r="E436" i="12" a="1"/>
  <c r="E436" i="12" s="1"/>
  <c r="E492" i="12" s="1" a="1"/>
  <c r="E492" i="12" s="1"/>
  <c r="E426" i="12" a="1"/>
  <c r="E426" i="12" s="1"/>
  <c r="E480" i="12" s="1" a="1"/>
  <c r="E480" i="12" s="1"/>
  <c r="E424" i="12" a="1"/>
  <c r="E424" i="12" s="1"/>
  <c r="E478" i="12" s="1" a="1"/>
  <c r="E478" i="12" s="1"/>
  <c r="E425" i="12" a="1"/>
  <c r="E425" i="12" s="1"/>
  <c r="E479" i="12" s="1" a="1"/>
  <c r="E479" i="12" s="1"/>
  <c r="E443" i="12" a="1"/>
  <c r="E443" i="12" s="1"/>
  <c r="E500" i="12" s="1" a="1"/>
  <c r="E500" i="12" s="1"/>
  <c r="E442" i="12" a="1"/>
  <c r="E442" i="12" s="1"/>
  <c r="E499" i="12" s="1" a="1"/>
  <c r="E499" i="12" s="1"/>
  <c r="E441" i="12" a="1"/>
  <c r="E441" i="12" s="1"/>
  <c r="E498" i="12" s="1" a="1"/>
  <c r="E498" i="12" s="1"/>
  <c r="H227" i="32"/>
  <c r="J227" i="32"/>
  <c r="L227" i="32"/>
  <c r="G227" i="32"/>
  <c r="I227" i="32"/>
  <c r="F227" i="32"/>
  <c r="K227" i="32"/>
  <c r="G593" i="7"/>
  <c r="G819" i="7" s="1"/>
  <c r="K529" i="7"/>
  <c r="L529" i="7"/>
  <c r="I529" i="7"/>
  <c r="K528" i="7"/>
  <c r="K593" i="7"/>
  <c r="K819" i="7" s="1"/>
  <c r="F593" i="7"/>
  <c r="F819" i="7" s="1"/>
  <c r="I536" i="7"/>
  <c r="I757" i="7" s="1"/>
  <c r="E547" i="7"/>
  <c r="I528" i="7"/>
  <c r="J528" i="7"/>
  <c r="J529" i="7"/>
  <c r="H528" i="7"/>
  <c r="G528" i="7"/>
  <c r="H529" i="7"/>
  <c r="F528" i="7"/>
  <c r="F541" i="7" s="1"/>
  <c r="G529" i="7"/>
  <c r="F529" i="7"/>
  <c r="F542" i="7" s="1"/>
  <c r="L528" i="7"/>
  <c r="H558" i="7"/>
  <c r="H781" i="7" s="1"/>
  <c r="L571" i="7"/>
  <c r="K536" i="7"/>
  <c r="K757" i="7" s="1"/>
  <c r="K558" i="7"/>
  <c r="K781" i="7" s="1"/>
  <c r="L536" i="7"/>
  <c r="L757" i="7" s="1"/>
  <c r="L558" i="7"/>
  <c r="L781" i="7" s="1"/>
  <c r="I571" i="7"/>
  <c r="I795" i="7" s="1"/>
  <c r="H536" i="7"/>
  <c r="H593" i="7"/>
  <c r="I593" i="7"/>
  <c r="I819" i="7" s="1"/>
  <c r="F571" i="7"/>
  <c r="F757" i="7"/>
  <c r="F558" i="7"/>
  <c r="J536" i="7"/>
  <c r="G757" i="7"/>
  <c r="J593" i="7"/>
  <c r="J819" i="7" s="1"/>
  <c r="E624" i="7" a="1"/>
  <c r="E624" i="7" s="1"/>
  <c r="J571" i="7"/>
  <c r="J795" i="7" s="1"/>
  <c r="G571" i="7"/>
  <c r="G558" i="7"/>
  <c r="G781" i="7" s="1"/>
  <c r="E617" i="7" a="1"/>
  <c r="E617" i="7" s="1"/>
  <c r="E620" i="7" a="1"/>
  <c r="E620" i="7" s="1"/>
  <c r="E593" i="7"/>
  <c r="E819" i="7" s="1"/>
  <c r="E571" i="7"/>
  <c r="E795" i="7" s="1"/>
  <c r="E781" i="7"/>
  <c r="E757" i="7"/>
  <c r="E525" i="7"/>
  <c r="E538" i="7" s="1"/>
  <c r="E524" i="7"/>
  <c r="E537" i="7" s="1"/>
  <c r="E473" i="12" a="1"/>
  <c r="E473" i="12" s="1"/>
  <c r="E472" i="12" a="1"/>
  <c r="E472" i="12" s="1"/>
  <c r="E493" i="12" a="1"/>
  <c r="E493" i="12" s="1"/>
  <c r="E487" i="12" a="1"/>
  <c r="E487" i="12" s="1"/>
  <c r="E486" i="12" a="1"/>
  <c r="E486" i="12" s="1"/>
  <c r="E485" i="12" a="1"/>
  <c r="E485" i="12" s="1"/>
  <c r="E621" i="7" a="1"/>
  <c r="E621" i="7" s="1"/>
  <c r="E665" i="7" s="1" a="1"/>
  <c r="E665" i="7" s="1"/>
  <c r="G166" i="37" s="1" a="1"/>
  <c r="G166" i="37" s="1"/>
  <c r="E618" i="7" a="1"/>
  <c r="E618" i="7" s="1"/>
  <c r="E662" i="7" s="1" a="1"/>
  <c r="E662" i="7" s="1"/>
  <c r="E623" i="7" a="1"/>
  <c r="E623" i="7" s="1"/>
  <c r="E667" i="7" s="1" a="1"/>
  <c r="E667" i="7" s="1"/>
  <c r="E622" i="7" a="1"/>
  <c r="E622" i="7" s="1"/>
  <c r="E666" i="7" s="1" a="1"/>
  <c r="E666" i="7" s="1"/>
  <c r="E615" i="7" a="1"/>
  <c r="E615" i="7" s="1"/>
  <c r="E659" i="7" s="1" a="1"/>
  <c r="E659" i="7" s="1"/>
  <c r="E626" i="7" a="1"/>
  <c r="E614" i="7" a="1"/>
  <c r="E614" i="7" s="1"/>
  <c r="E658" i="7" s="1" a="1"/>
  <c r="E658" i="7" s="1"/>
  <c r="E616" i="7" a="1"/>
  <c r="E616" i="7" s="1"/>
  <c r="E660" i="7" s="1" a="1"/>
  <c r="E660" i="7" s="1"/>
  <c r="E613" i="7" a="1"/>
  <c r="E613" i="7" s="1"/>
  <c r="E657" i="7" s="1" a="1"/>
  <c r="E657" i="7" s="1"/>
  <c r="E619" i="7" a="1"/>
  <c r="E619" i="7" s="1"/>
  <c r="E663" i="7" s="1" a="1"/>
  <c r="E663" i="7" s="1"/>
  <c r="G148" i="37" s="1" a="1"/>
  <c r="G148" i="37" s="1"/>
  <c r="T16" i="37" l="1" a="1"/>
  <c r="T16" i="37" s="1"/>
  <c r="G154" i="37" a="1"/>
  <c r="G154" i="37" s="1"/>
  <c r="F18" i="59" a="1"/>
  <c r="F18" i="59" s="1"/>
  <c r="K582" i="7"/>
  <c r="K807" i="7" s="1"/>
  <c r="I547" i="7"/>
  <c r="I769" i="7" s="1"/>
  <c r="F781" i="7"/>
  <c r="F547" i="7"/>
  <c r="F769" i="7" s="1"/>
  <c r="I525" i="7"/>
  <c r="I595" i="7" s="1"/>
  <c r="I821" i="7" s="1"/>
  <c r="L525" i="7"/>
  <c r="L560" i="7" s="1"/>
  <c r="L783" i="7" s="1"/>
  <c r="G524" i="7"/>
  <c r="G559" i="7" s="1"/>
  <c r="G782" i="7" s="1"/>
  <c r="K525" i="7"/>
  <c r="K560" i="7" s="1"/>
  <c r="K783" i="7" s="1"/>
  <c r="G525" i="7"/>
  <c r="G560" i="7" s="1"/>
  <c r="G783" i="7" s="1"/>
  <c r="F524" i="7"/>
  <c r="F537" i="7" s="1"/>
  <c r="J524" i="7"/>
  <c r="J594" i="7" s="1"/>
  <c r="J820" i="7" s="1"/>
  <c r="H524" i="7"/>
  <c r="H572" i="7" s="1"/>
  <c r="H796" i="7" s="1"/>
  <c r="K524" i="7"/>
  <c r="K572" i="7" s="1"/>
  <c r="K796" i="7" s="1"/>
  <c r="L524" i="7"/>
  <c r="L537" i="7" s="1"/>
  <c r="L758" i="7" s="1"/>
  <c r="H525" i="7"/>
  <c r="H573" i="7" s="1"/>
  <c r="H797" i="7" s="1"/>
  <c r="J525" i="7"/>
  <c r="J560" i="7" s="1"/>
  <c r="J783" i="7" s="1"/>
  <c r="F525" i="7"/>
  <c r="I524" i="7"/>
  <c r="I594" i="7" s="1"/>
  <c r="I820" i="7" s="1"/>
  <c r="H547" i="7"/>
  <c r="H769" i="7" s="1"/>
  <c r="H757" i="7"/>
  <c r="J547" i="7"/>
  <c r="J769" i="7" s="1"/>
  <c r="J757" i="7"/>
  <c r="G582" i="7"/>
  <c r="G807" i="7" s="1"/>
  <c r="G795" i="7"/>
  <c r="F582" i="7"/>
  <c r="F807" i="7" s="1"/>
  <c r="F795" i="7"/>
  <c r="L582" i="7"/>
  <c r="L807" i="7" s="1"/>
  <c r="L795" i="7"/>
  <c r="H582" i="7"/>
  <c r="H807" i="7" s="1"/>
  <c r="H819" i="7"/>
  <c r="K547" i="7"/>
  <c r="K769" i="7" s="1"/>
  <c r="L547" i="7"/>
  <c r="L769" i="7" s="1"/>
  <c r="E632" i="7" a="1"/>
  <c r="E632" i="7" s="1"/>
  <c r="I582" i="7"/>
  <c r="I807" i="7" s="1"/>
  <c r="E250" i="12" a="1"/>
  <c r="E250" i="12" s="1"/>
  <c r="G547" i="7"/>
  <c r="G769" i="7" s="1"/>
  <c r="E769" i="7"/>
  <c r="J582" i="7"/>
  <c r="J807" i="7" s="1"/>
  <c r="E582" i="7"/>
  <c r="E807" i="7" s="1"/>
  <c r="E611" i="7" a="1"/>
  <c r="E611" i="7" s="1"/>
  <c r="E612" i="7" a="1"/>
  <c r="E612" i="7" s="1"/>
  <c r="E702" i="7" a="1"/>
  <c r="E702" i="7" s="1"/>
  <c r="E762" i="7"/>
  <c r="E563" i="7"/>
  <c r="E598" i="7"/>
  <c r="E824" i="7" s="1"/>
  <c r="E576" i="7"/>
  <c r="E800" i="7" s="1"/>
  <c r="E577" i="7"/>
  <c r="E801" i="7" s="1"/>
  <c r="E763" i="7"/>
  <c r="E564" i="7"/>
  <c r="E599" i="7"/>
  <c r="E825" i="7" s="1"/>
  <c r="E699" i="7" a="1"/>
  <c r="E699" i="7" s="1"/>
  <c r="E634" i="7" a="1"/>
  <c r="E634" i="7" s="1"/>
  <c r="E697" i="7" a="1"/>
  <c r="E697" i="7" s="1"/>
  <c r="E642" i="7" a="1"/>
  <c r="E642" i="7" s="1"/>
  <c r="E664" i="7" s="1" a="1"/>
  <c r="E664" i="7" s="1"/>
  <c r="G160" i="37" s="1" a="1"/>
  <c r="G160" i="37" s="1"/>
  <c r="E698" i="7" a="1"/>
  <c r="E698" i="7" s="1"/>
  <c r="E695" i="7" a="1"/>
  <c r="E696" i="7" a="1"/>
  <c r="E696" i="7" s="1"/>
  <c r="E639" i="7" a="1"/>
  <c r="E639" i="7" s="1"/>
  <c r="E661" i="7" s="1" a="1"/>
  <c r="E661" i="7" s="1"/>
  <c r="G157" i="37" s="1" a="1"/>
  <c r="G157" i="37" s="1"/>
  <c r="E701" i="7" a="1"/>
  <c r="E701" i="7" s="1"/>
  <c r="E646" i="7" a="1"/>
  <c r="E646" i="7" s="1"/>
  <c r="E668" i="7" s="1" a="1"/>
  <c r="E668" i="7" s="1"/>
  <c r="E700" i="7" a="1"/>
  <c r="E700" i="7" s="1"/>
  <c r="E633" i="7" a="1"/>
  <c r="E633" i="7" s="1"/>
  <c r="E261" i="12" a="1"/>
  <c r="E261" i="12" s="1"/>
  <c r="E272" i="12" a="1"/>
  <c r="E272" i="12" s="1"/>
  <c r="E267" i="12" a="1"/>
  <c r="E267" i="12" s="1"/>
  <c r="E255" i="12" a="1"/>
  <c r="E255" i="12" s="1"/>
  <c r="E278" i="12" a="1"/>
  <c r="E278" i="12" s="1"/>
  <c r="E488" i="12" a="1"/>
  <c r="E488" i="12" s="1"/>
  <c r="E481" i="12" a="1"/>
  <c r="E481" i="12" s="1"/>
  <c r="E494" i="12" a="1"/>
  <c r="E494" i="12" s="1"/>
  <c r="E501" i="12" a="1"/>
  <c r="E501" i="12" s="1"/>
  <c r="E508" i="12" a="1"/>
  <c r="E508" i="12" s="1"/>
  <c r="E474" i="12" a="1"/>
  <c r="E474" i="12" s="1"/>
  <c r="E626" i="7"/>
  <c r="E670" i="7" s="1" a="1"/>
  <c r="E670" i="7" s="1"/>
  <c r="I31" i="54"/>
  <c r="J572" i="7" l="1"/>
  <c r="J796" i="7" s="1"/>
  <c r="F572" i="7"/>
  <c r="F796" i="7" s="1"/>
  <c r="L595" i="7"/>
  <c r="L821" i="7" s="1"/>
  <c r="J538" i="7"/>
  <c r="J759" i="7" s="1"/>
  <c r="K594" i="7"/>
  <c r="K820" i="7" s="1"/>
  <c r="K559" i="7"/>
  <c r="K782" i="7" s="1"/>
  <c r="J595" i="7"/>
  <c r="J821" i="7" s="1"/>
  <c r="J573" i="7"/>
  <c r="J797" i="7" s="1"/>
  <c r="F538" i="7"/>
  <c r="F759" i="7" s="1"/>
  <c r="F445" i="18"/>
  <c r="F440" i="18"/>
  <c r="F439" i="18"/>
  <c r="F446" i="18"/>
  <c r="F441" i="18"/>
  <c r="F442" i="18"/>
  <c r="F443" i="18"/>
  <c r="F444" i="18"/>
  <c r="F447" i="18"/>
  <c r="E786" i="7"/>
  <c r="E552" i="7"/>
  <c r="E774" i="7" s="1"/>
  <c r="E787" i="7"/>
  <c r="E553" i="7"/>
  <c r="E775" i="7" s="1"/>
  <c r="J537" i="7"/>
  <c r="J758" i="7" s="1"/>
  <c r="J559" i="7"/>
  <c r="J782" i="7" s="1"/>
  <c r="E656" i="7" a="1"/>
  <c r="E656" i="7" s="1"/>
  <c r="G151" i="37" s="1" a="1"/>
  <c r="G151" i="37" s="1"/>
  <c r="L573" i="7"/>
  <c r="E655" i="7" a="1"/>
  <c r="E655" i="7" s="1"/>
  <c r="G145" i="37" s="1" a="1"/>
  <c r="G145" i="37" s="1"/>
  <c r="K537" i="7"/>
  <c r="K758" i="7" s="1"/>
  <c r="F560" i="7"/>
  <c r="H538" i="7"/>
  <c r="H759" i="7" s="1"/>
  <c r="H560" i="7"/>
  <c r="H783" i="7" s="1"/>
  <c r="F595" i="7"/>
  <c r="F821" i="7" s="1"/>
  <c r="G572" i="7"/>
  <c r="G796" i="7" s="1"/>
  <c r="L538" i="7"/>
  <c r="H595" i="7"/>
  <c r="K595" i="7"/>
  <c r="K821" i="7" s="1"/>
  <c r="G594" i="7"/>
  <c r="G820" i="7" s="1"/>
  <c r="G537" i="7"/>
  <c r="L572" i="7"/>
  <c r="L796" i="7" s="1"/>
  <c r="H537" i="7"/>
  <c r="H758" i="7" s="1"/>
  <c r="F573" i="7"/>
  <c r="F797" i="7" s="1"/>
  <c r="K538" i="7"/>
  <c r="H594" i="7"/>
  <c r="I537" i="7"/>
  <c r="I758" i="7" s="1"/>
  <c r="H559" i="7"/>
  <c r="H782" i="7" s="1"/>
  <c r="I559" i="7"/>
  <c r="I782" i="7" s="1"/>
  <c r="K573" i="7"/>
  <c r="K797" i="7" s="1"/>
  <c r="I572" i="7"/>
  <c r="I573" i="7"/>
  <c r="I560" i="7"/>
  <c r="I783" i="7" s="1"/>
  <c r="I538" i="7"/>
  <c r="I759" i="7" s="1"/>
  <c r="L559" i="7"/>
  <c r="F594" i="7"/>
  <c r="G595" i="7"/>
  <c r="G821" i="7" s="1"/>
  <c r="F758" i="7"/>
  <c r="G538" i="7"/>
  <c r="F559" i="7"/>
  <c r="G573" i="7"/>
  <c r="G797" i="7" s="1"/>
  <c r="L594" i="7"/>
  <c r="L820" i="7" s="1"/>
  <c r="J709" i="7"/>
  <c r="I709" i="7"/>
  <c r="G709" i="7"/>
  <c r="E709" i="7"/>
  <c r="K710" i="7"/>
  <c r="L710" i="7"/>
  <c r="G710" i="7"/>
  <c r="I710" i="7"/>
  <c r="H710" i="7"/>
  <c r="J710" i="7"/>
  <c r="F710" i="7"/>
  <c r="E710" i="7"/>
  <c r="F712" i="7"/>
  <c r="G712" i="7"/>
  <c r="I712" i="7"/>
  <c r="K712" i="7"/>
  <c r="J712" i="7"/>
  <c r="L712" i="7"/>
  <c r="H712" i="7"/>
  <c r="E712" i="7"/>
  <c r="E714" i="7"/>
  <c r="L714" i="7"/>
  <c r="G714" i="7"/>
  <c r="K714" i="7"/>
  <c r="F714" i="7"/>
  <c r="J714" i="7"/>
  <c r="H714" i="7"/>
  <c r="I714" i="7"/>
  <c r="K713" i="7"/>
  <c r="E594" i="7"/>
  <c r="E820" i="7" s="1"/>
  <c r="E559" i="7"/>
  <c r="E758" i="7"/>
  <c r="E572" i="7"/>
  <c r="E796" i="7" s="1"/>
  <c r="J713" i="7"/>
  <c r="H709" i="7"/>
  <c r="L711" i="7"/>
  <c r="G711" i="7"/>
  <c r="F711" i="7"/>
  <c r="H711" i="7"/>
  <c r="I711" i="7"/>
  <c r="J711" i="7"/>
  <c r="K711" i="7"/>
  <c r="E711" i="7"/>
  <c r="H713" i="7"/>
  <c r="G713" i="7"/>
  <c r="F709" i="7"/>
  <c r="E595" i="7"/>
  <c r="E821" i="7" s="1"/>
  <c r="E560" i="7"/>
  <c r="E573" i="7"/>
  <c r="E797" i="7" s="1"/>
  <c r="E759" i="7"/>
  <c r="I708" i="7"/>
  <c r="L708" i="7"/>
  <c r="J708" i="7"/>
  <c r="K708" i="7"/>
  <c r="G708" i="7"/>
  <c r="F708" i="7"/>
  <c r="H708" i="7"/>
  <c r="I713" i="7"/>
  <c r="L709" i="7"/>
  <c r="F713" i="7"/>
  <c r="K709" i="7"/>
  <c r="E713" i="7"/>
  <c r="L713" i="7"/>
  <c r="H690" i="7"/>
  <c r="E695" i="7"/>
  <c r="E703" i="7" s="1"/>
  <c r="K703" i="7"/>
  <c r="J703" i="7"/>
  <c r="I703" i="7"/>
  <c r="L703" i="7"/>
  <c r="H703" i="7"/>
  <c r="G703" i="7"/>
  <c r="F703" i="7"/>
  <c r="E588" i="7"/>
  <c r="E813" i="7" s="1"/>
  <c r="J598" i="7"/>
  <c r="J824" i="7" s="1"/>
  <c r="J576" i="7"/>
  <c r="J800" i="7" s="1"/>
  <c r="J541" i="7"/>
  <c r="J762" i="7" s="1"/>
  <c r="J563" i="7"/>
  <c r="J786" i="7" s="1"/>
  <c r="F599" i="7"/>
  <c r="F825" i="7" s="1"/>
  <c r="F763" i="7"/>
  <c r="F564" i="7"/>
  <c r="F577" i="7"/>
  <c r="F801" i="7" s="1"/>
  <c r="L598" i="7"/>
  <c r="L824" i="7" s="1"/>
  <c r="L576" i="7"/>
  <c r="L800" i="7" s="1"/>
  <c r="L563" i="7"/>
  <c r="L786" i="7" s="1"/>
  <c r="L541" i="7"/>
  <c r="L762" i="7" s="1"/>
  <c r="I576" i="7"/>
  <c r="I800" i="7" s="1"/>
  <c r="I541" i="7"/>
  <c r="I762" i="7" s="1"/>
  <c r="I563" i="7"/>
  <c r="I786" i="7" s="1"/>
  <c r="I598" i="7"/>
  <c r="I824" i="7" s="1"/>
  <c r="F598" i="7"/>
  <c r="F824" i="7" s="1"/>
  <c r="F563" i="7"/>
  <c r="F762" i="7"/>
  <c r="F576" i="7"/>
  <c r="F800" i="7" s="1"/>
  <c r="H576" i="7"/>
  <c r="H800" i="7" s="1"/>
  <c r="H541" i="7"/>
  <c r="H762" i="7" s="1"/>
  <c r="H563" i="7"/>
  <c r="H786" i="7" s="1"/>
  <c r="H598" i="7"/>
  <c r="H824" i="7" s="1"/>
  <c r="H542" i="7"/>
  <c r="H763" i="7" s="1"/>
  <c r="H564" i="7"/>
  <c r="H787" i="7" s="1"/>
  <c r="H577" i="7"/>
  <c r="H801" i="7" s="1"/>
  <c r="H599" i="7"/>
  <c r="H825" i="7" s="1"/>
  <c r="K599" i="7"/>
  <c r="K825" i="7" s="1"/>
  <c r="K577" i="7"/>
  <c r="K801" i="7" s="1"/>
  <c r="K542" i="7"/>
  <c r="K763" i="7" s="1"/>
  <c r="K564" i="7"/>
  <c r="K787" i="7" s="1"/>
  <c r="J599" i="7"/>
  <c r="J825" i="7" s="1"/>
  <c r="J577" i="7"/>
  <c r="J801" i="7" s="1"/>
  <c r="J542" i="7"/>
  <c r="J763" i="7" s="1"/>
  <c r="J564" i="7"/>
  <c r="J787" i="7" s="1"/>
  <c r="I577" i="7"/>
  <c r="I801" i="7" s="1"/>
  <c r="I542" i="7"/>
  <c r="I763" i="7" s="1"/>
  <c r="I564" i="7"/>
  <c r="I787" i="7" s="1"/>
  <c r="I599" i="7"/>
  <c r="I825" i="7" s="1"/>
  <c r="E587" i="7"/>
  <c r="E812" i="7" s="1"/>
  <c r="G599" i="7"/>
  <c r="G825" i="7" s="1"/>
  <c r="G577" i="7"/>
  <c r="G801" i="7" s="1"/>
  <c r="G542" i="7"/>
  <c r="G763" i="7" s="1"/>
  <c r="G564" i="7"/>
  <c r="G787" i="7" s="1"/>
  <c r="L599" i="7"/>
  <c r="L825" i="7" s="1"/>
  <c r="L577" i="7"/>
  <c r="L801" i="7" s="1"/>
  <c r="L542" i="7"/>
  <c r="L763" i="7" s="1"/>
  <c r="L564" i="7"/>
  <c r="L787" i="7" s="1"/>
  <c r="G541" i="7"/>
  <c r="G762" i="7" s="1"/>
  <c r="G563" i="7"/>
  <c r="G786" i="7" s="1"/>
  <c r="G598" i="7"/>
  <c r="G824" i="7" s="1"/>
  <c r="G576" i="7"/>
  <c r="G800" i="7" s="1"/>
  <c r="K598" i="7"/>
  <c r="K824" i="7" s="1"/>
  <c r="K576" i="7"/>
  <c r="K800" i="7" s="1"/>
  <c r="K541" i="7"/>
  <c r="K762" i="7" s="1"/>
  <c r="K563" i="7"/>
  <c r="K786" i="7" s="1"/>
  <c r="AB8" i="52"/>
  <c r="AB27" i="52"/>
  <c r="U29" i="52" s="1" a="1"/>
  <c r="U29" i="52" s="1"/>
  <c r="D33" i="52"/>
  <c r="D12" i="52"/>
  <c r="D33" i="51"/>
  <c r="D11" i="51"/>
  <c r="AB27" i="51"/>
  <c r="AB8" i="51"/>
  <c r="D52" i="41"/>
  <c r="D31" i="41"/>
  <c r="D11" i="41"/>
  <c r="AB48" i="41"/>
  <c r="AB27" i="41"/>
  <c r="AB7" i="41"/>
  <c r="D32" i="45"/>
  <c r="D11" i="45"/>
  <c r="AB8" i="45"/>
  <c r="AB28" i="45"/>
  <c r="D32" i="46"/>
  <c r="AB28" i="46"/>
  <c r="D12" i="46"/>
  <c r="AB8" i="46"/>
  <c r="AB28" i="47"/>
  <c r="AB46" i="47"/>
  <c r="AB27" i="50"/>
  <c r="D31" i="50"/>
  <c r="D11" i="50"/>
  <c r="AB8" i="50"/>
  <c r="AB46" i="49"/>
  <c r="AB28" i="49"/>
  <c r="D32" i="49"/>
  <c r="D12" i="49"/>
  <c r="D83" i="37"/>
  <c r="AA78" i="37"/>
  <c r="D51" i="49" a="1"/>
  <c r="D51" i="49" s="1"/>
  <c r="AB11" i="48"/>
  <c r="U13" i="48" s="1" a="1"/>
  <c r="U13" i="48" s="1"/>
  <c r="AB31" i="48"/>
  <c r="D35" i="48"/>
  <c r="D15" i="48"/>
  <c r="D53" i="47"/>
  <c r="D33" i="47"/>
  <c r="D12" i="47"/>
  <c r="AB8" i="47"/>
  <c r="AA40" i="37"/>
  <c r="D103" i="37"/>
  <c r="D65" i="37"/>
  <c r="D44" i="37"/>
  <c r="D28" i="37"/>
  <c r="U31" i="41" l="1" a="1"/>
  <c r="U31" i="41" s="1"/>
  <c r="U30" i="41" a="1"/>
  <c r="U30" i="41" s="1"/>
  <c r="U29" i="41" a="1"/>
  <c r="U29" i="41" s="1"/>
  <c r="U52" i="41" a="1"/>
  <c r="U52" i="41" s="1"/>
  <c r="U56" i="41" a="1"/>
  <c r="U56" i="41" s="1"/>
  <c r="U54" i="41" a="1"/>
  <c r="U54" i="41" s="1"/>
  <c r="U55" i="41" a="1"/>
  <c r="U55" i="41" s="1"/>
  <c r="U53" i="41" a="1"/>
  <c r="U53" i="41" s="1"/>
  <c r="J583" i="7"/>
  <c r="J808" i="7" s="1"/>
  <c r="K583" i="7"/>
  <c r="K808" i="7" s="1"/>
  <c r="U10" i="51" a="1"/>
  <c r="U10" i="51" s="1"/>
  <c r="U13" i="51" a="1"/>
  <c r="U13" i="51" s="1"/>
  <c r="F448" i="18"/>
  <c r="F803" i="7"/>
  <c r="G803" i="7"/>
  <c r="E765" i="7"/>
  <c r="G789" i="7"/>
  <c r="J803" i="7"/>
  <c r="J827" i="7"/>
  <c r="J765" i="7"/>
  <c r="E827" i="7"/>
  <c r="I827" i="7"/>
  <c r="K803" i="7"/>
  <c r="K827" i="7"/>
  <c r="F765" i="7"/>
  <c r="J789" i="7"/>
  <c r="J549" i="7"/>
  <c r="J771" i="7" s="1"/>
  <c r="I789" i="7"/>
  <c r="E803" i="7"/>
  <c r="I765" i="7"/>
  <c r="G827" i="7"/>
  <c r="K789" i="7"/>
  <c r="J584" i="7"/>
  <c r="J809" i="7" s="1"/>
  <c r="F549" i="7"/>
  <c r="F771" i="7" s="1"/>
  <c r="U16" i="46" a="1"/>
  <c r="U16" i="46" s="1"/>
  <c r="F787" i="7"/>
  <c r="F553" i="7"/>
  <c r="F775" i="7" s="1"/>
  <c r="E783" i="7"/>
  <c r="E549" i="7"/>
  <c r="E771" i="7" s="1"/>
  <c r="F786" i="7"/>
  <c r="F552" i="7"/>
  <c r="F774" i="7" s="1"/>
  <c r="E782" i="7"/>
  <c r="E548" i="7"/>
  <c r="E770" i="7" s="1"/>
  <c r="F782" i="7"/>
  <c r="F548" i="7"/>
  <c r="F770" i="7" s="1"/>
  <c r="J548" i="7"/>
  <c r="J770" i="7" s="1"/>
  <c r="K548" i="7"/>
  <c r="K770" i="7" s="1"/>
  <c r="F583" i="7"/>
  <c r="F808" i="7" s="1"/>
  <c r="F820" i="7"/>
  <c r="F827" i="7" s="1"/>
  <c r="L548" i="7"/>
  <c r="L770" i="7" s="1"/>
  <c r="L782" i="7"/>
  <c r="G548" i="7"/>
  <c r="G770" i="7" s="1"/>
  <c r="G758" i="7"/>
  <c r="F783" i="7"/>
  <c r="H583" i="7"/>
  <c r="H808" i="7" s="1"/>
  <c r="H820" i="7"/>
  <c r="I584" i="7"/>
  <c r="I809" i="7" s="1"/>
  <c r="I797" i="7"/>
  <c r="K549" i="7"/>
  <c r="K771" i="7" s="1"/>
  <c r="K759" i="7"/>
  <c r="K765" i="7" s="1"/>
  <c r="H584" i="7"/>
  <c r="H809" i="7" s="1"/>
  <c r="H821" i="7"/>
  <c r="G549" i="7"/>
  <c r="G771" i="7" s="1"/>
  <c r="G759" i="7"/>
  <c r="I583" i="7"/>
  <c r="I808" i="7" s="1"/>
  <c r="I796" i="7"/>
  <c r="L549" i="7"/>
  <c r="L771" i="7" s="1"/>
  <c r="L759" i="7"/>
  <c r="L584" i="7"/>
  <c r="L809" i="7" s="1"/>
  <c r="L797" i="7"/>
  <c r="I549" i="7"/>
  <c r="I771" i="7" s="1"/>
  <c r="F584" i="7"/>
  <c r="F809" i="7" s="1"/>
  <c r="H549" i="7"/>
  <c r="H771" i="7" s="1"/>
  <c r="L583" i="7"/>
  <c r="L808" i="7" s="1"/>
  <c r="G583" i="7"/>
  <c r="G808" i="7" s="1"/>
  <c r="U34" i="46" a="1"/>
  <c r="U34" i="46" s="1"/>
  <c r="U32" i="46" a="1"/>
  <c r="U32" i="46" s="1"/>
  <c r="U31" i="46" a="1"/>
  <c r="U31" i="46" s="1"/>
  <c r="K584" i="7"/>
  <c r="K809" i="7" s="1"/>
  <c r="I548" i="7"/>
  <c r="I770" i="7" s="1"/>
  <c r="U35" i="46" a="1"/>
  <c r="U35" i="46" s="1"/>
  <c r="U33" i="46" a="1"/>
  <c r="U33" i="46" s="1"/>
  <c r="U36" i="46" a="1"/>
  <c r="U36" i="46" s="1"/>
  <c r="U16" i="48" a="1"/>
  <c r="U16" i="48" s="1"/>
  <c r="U51" i="41" a="1"/>
  <c r="U51" i="41" s="1"/>
  <c r="U50" i="41" a="1"/>
  <c r="U50" i="41" s="1"/>
  <c r="H548" i="7"/>
  <c r="H770" i="7" s="1"/>
  <c r="U15" i="46" a="1"/>
  <c r="U15" i="46" s="1"/>
  <c r="U13" i="46" a="1"/>
  <c r="U13" i="46" s="1"/>
  <c r="G584" i="7"/>
  <c r="G809" i="7" s="1"/>
  <c r="E610" i="7" a="1"/>
  <c r="K715" i="7"/>
  <c r="K716" i="7" s="1"/>
  <c r="J715" i="7"/>
  <c r="J716" i="7" s="1"/>
  <c r="L715" i="7"/>
  <c r="L716" i="7" s="1"/>
  <c r="F715" i="7"/>
  <c r="F716" i="7" s="1"/>
  <c r="G715" i="7"/>
  <c r="G716" i="7" s="1"/>
  <c r="H715" i="7"/>
  <c r="H716" i="7" s="1"/>
  <c r="E715" i="7"/>
  <c r="I715" i="7"/>
  <c r="I716" i="7" s="1"/>
  <c r="J690" i="7"/>
  <c r="I690" i="7"/>
  <c r="E584" i="7"/>
  <c r="E809" i="7" s="1"/>
  <c r="G690" i="7"/>
  <c r="K690" i="7"/>
  <c r="F690" i="7"/>
  <c r="E583" i="7"/>
  <c r="E808" i="7" s="1"/>
  <c r="L690" i="7"/>
  <c r="E708" i="7"/>
  <c r="U30" i="46" s="1" a="1"/>
  <c r="U30" i="46" s="1"/>
  <c r="U12" i="46" a="1"/>
  <c r="U12" i="46" s="1"/>
  <c r="F588" i="7"/>
  <c r="F813" i="7" s="1"/>
  <c r="H552" i="7"/>
  <c r="H774" i="7" s="1"/>
  <c r="I552" i="7"/>
  <c r="I774" i="7" s="1"/>
  <c r="G587" i="7"/>
  <c r="G812" i="7" s="1"/>
  <c r="H600" i="7"/>
  <c r="H826" i="7" s="1"/>
  <c r="H543" i="7"/>
  <c r="H764" i="7" s="1"/>
  <c r="H765" i="7" s="1"/>
  <c r="H578" i="7"/>
  <c r="H802" i="7" s="1"/>
  <c r="H803" i="7" s="1"/>
  <c r="H565" i="7"/>
  <c r="H788" i="7" s="1"/>
  <c r="H789" i="7" s="1"/>
  <c r="I588" i="7"/>
  <c r="I813" i="7" s="1"/>
  <c r="L578" i="7"/>
  <c r="L802" i="7" s="1"/>
  <c r="L600" i="7"/>
  <c r="L826" i="7" s="1"/>
  <c r="L827" i="7" s="1"/>
  <c r="L543" i="7"/>
  <c r="L764" i="7" s="1"/>
  <c r="L565" i="7"/>
  <c r="L788" i="7" s="1"/>
  <c r="K552" i="7"/>
  <c r="K774" i="7" s="1"/>
  <c r="G553" i="7"/>
  <c r="G775" i="7" s="1"/>
  <c r="J553" i="7"/>
  <c r="J775" i="7" s="1"/>
  <c r="J588" i="7"/>
  <c r="J813" i="7" s="1"/>
  <c r="G552" i="7"/>
  <c r="G774" i="7" s="1"/>
  <c r="L588" i="7"/>
  <c r="L813" i="7" s="1"/>
  <c r="H553" i="7"/>
  <c r="H775" i="7" s="1"/>
  <c r="I553" i="7"/>
  <c r="I775" i="7" s="1"/>
  <c r="K553" i="7"/>
  <c r="K775" i="7" s="1"/>
  <c r="F587" i="7"/>
  <c r="F812" i="7" s="1"/>
  <c r="L552" i="7"/>
  <c r="L774" i="7" s="1"/>
  <c r="H587" i="7"/>
  <c r="H812" i="7" s="1"/>
  <c r="I587" i="7"/>
  <c r="I812" i="7" s="1"/>
  <c r="J552" i="7"/>
  <c r="J774" i="7" s="1"/>
  <c r="K587" i="7"/>
  <c r="K812" i="7" s="1"/>
  <c r="G588" i="7"/>
  <c r="G813" i="7" s="1"/>
  <c r="K588" i="7"/>
  <c r="K813" i="7" s="1"/>
  <c r="L587" i="7"/>
  <c r="L812" i="7" s="1"/>
  <c r="L553" i="7"/>
  <c r="L775" i="7" s="1"/>
  <c r="H588" i="7"/>
  <c r="H813" i="7" s="1"/>
  <c r="J587" i="7"/>
  <c r="J812" i="7" s="1"/>
  <c r="I803" i="7" l="1"/>
  <c r="E815" i="7"/>
  <c r="J815" i="7"/>
  <c r="K815" i="7"/>
  <c r="I815" i="7"/>
  <c r="I777" i="7"/>
  <c r="H827" i="7"/>
  <c r="F815" i="7"/>
  <c r="K777" i="7"/>
  <c r="L803" i="7"/>
  <c r="J777" i="7"/>
  <c r="G765" i="7"/>
  <c r="F777" i="7"/>
  <c r="L765" i="7"/>
  <c r="G777" i="7"/>
  <c r="F789" i="7"/>
  <c r="G815" i="7"/>
  <c r="L789" i="7"/>
  <c r="E777" i="7"/>
  <c r="E789" i="7"/>
  <c r="U37" i="46" a="1"/>
  <c r="U37" i="46" s="1"/>
  <c r="E610" i="7"/>
  <c r="K627" i="7"/>
  <c r="E690" i="7"/>
  <c r="E716" i="7"/>
  <c r="L589" i="7"/>
  <c r="L814" i="7" s="1"/>
  <c r="L815" i="7" s="1"/>
  <c r="H554" i="7"/>
  <c r="H776" i="7" s="1"/>
  <c r="H777" i="7" s="1"/>
  <c r="L554" i="7"/>
  <c r="L776" i="7" s="1"/>
  <c r="L777" i="7" s="1"/>
  <c r="H589" i="7"/>
  <c r="H814" i="7" s="1"/>
  <c r="H815" i="7" s="1"/>
  <c r="H14" i="55" a="1"/>
  <c r="H14" i="55" s="1"/>
  <c r="H15" i="55" a="1"/>
  <c r="H15" i="55" s="1"/>
  <c r="H16" i="55" a="1"/>
  <c r="H16" i="55" s="1"/>
  <c r="H17" i="55" a="1"/>
  <c r="H17" i="55" s="1"/>
  <c r="H20" i="55" a="1"/>
  <c r="H20" i="55" s="1"/>
  <c r="H21" i="55" a="1"/>
  <c r="H21" i="55" s="1"/>
  <c r="D271" i="67" l="1" a="1"/>
  <c r="U17" i="46" a="1"/>
  <c r="U17" i="46" s="1"/>
  <c r="E627" i="7"/>
  <c r="U10" i="46" a="1"/>
  <c r="U10" i="46" s="1"/>
  <c r="D271" i="67" l="1"/>
  <c r="D289" i="67" s="1"/>
  <c r="F289" i="67"/>
  <c r="I289" i="67"/>
  <c r="J289" i="67"/>
  <c r="K289" i="67"/>
  <c r="E289" i="67"/>
  <c r="G289" i="67"/>
  <c r="H289" i="67"/>
  <c r="AA99" i="37"/>
  <c r="AA61" i="37"/>
  <c r="AA23" i="37"/>
  <c r="F43" i="55"/>
  <c r="G397" i="59" s="1" a="1"/>
  <c r="G397" i="59" s="1"/>
  <c r="E344" i="67" l="1"/>
  <c r="E327" i="67"/>
  <c r="I344" i="67"/>
  <c r="I327" i="67"/>
  <c r="H344" i="67"/>
  <c r="H327" i="67"/>
  <c r="G344" i="67"/>
  <c r="G327" i="67"/>
  <c r="K327" i="67"/>
  <c r="K344" i="67"/>
  <c r="F344" i="67"/>
  <c r="F327" i="67"/>
  <c r="J344" i="67"/>
  <c r="J327" i="67"/>
  <c r="D327" i="67"/>
  <c r="D344" i="67"/>
  <c r="D309" i="67" a="1"/>
  <c r="D309" i="67" s="1"/>
  <c r="D14" i="69" s="1" a="1"/>
  <c r="D14" i="69" s="1"/>
  <c r="U101" i="37" a="1"/>
  <c r="U101" i="37" s="1"/>
  <c r="AA101" i="37" a="1"/>
  <c r="AA101" i="37" s="1"/>
  <c r="Z101" i="37" a="1"/>
  <c r="Z101" i="37" s="1"/>
  <c r="Y101" i="37" a="1"/>
  <c r="Y101" i="37" s="1"/>
  <c r="X101" i="37" a="1"/>
  <c r="X101" i="37" s="1"/>
  <c r="V30" i="37" a="1"/>
  <c r="V30" i="37" s="1"/>
  <c r="Z33" i="37" a="1"/>
  <c r="Z33" i="37" s="1"/>
  <c r="V33" i="37" a="1"/>
  <c r="V33" i="37" s="1"/>
  <c r="AA33" i="37" a="1"/>
  <c r="AA33" i="37" s="1"/>
  <c r="X30" i="37" a="1"/>
  <c r="X30" i="37" s="1"/>
  <c r="W33" i="37" a="1"/>
  <c r="W33" i="37" s="1"/>
  <c r="T33" i="37" a="1"/>
  <c r="T33" i="37" s="1"/>
  <c r="Y30" i="37" a="1"/>
  <c r="Y30" i="37" s="1"/>
  <c r="T101" i="37" a="1"/>
  <c r="T101" i="37" s="1"/>
  <c r="Z30" i="37" a="1"/>
  <c r="Z30" i="37" s="1"/>
  <c r="X33" i="37" a="1"/>
  <c r="X33" i="37" s="1"/>
  <c r="T43" i="37" a="1"/>
  <c r="T43" i="37" s="1"/>
  <c r="AA30" i="37" a="1"/>
  <c r="AA30" i="37" s="1"/>
  <c r="Y33" i="37" a="1"/>
  <c r="Y33" i="37" s="1"/>
  <c r="U30" i="37" a="1"/>
  <c r="U30" i="37" s="1"/>
  <c r="U33" i="37" a="1"/>
  <c r="U33" i="37" s="1"/>
  <c r="W30" i="37" a="1"/>
  <c r="W30" i="37" s="1"/>
  <c r="W101" i="37" a="1"/>
  <c r="W101" i="37" s="1"/>
  <c r="V101" i="37" a="1"/>
  <c r="V101" i="37" s="1"/>
  <c r="T25" i="37" a="1"/>
  <c r="T25" i="37" s="1"/>
  <c r="T63" i="37" a="1"/>
  <c r="T63" i="37" s="1"/>
  <c r="T42" i="37" a="1"/>
  <c r="T42" i="37" s="1"/>
  <c r="E736" i="7" a="1"/>
  <c r="G401" i="59"/>
  <c r="I401" i="59"/>
  <c r="K401" i="59"/>
  <c r="L401" i="59"/>
  <c r="M401" i="59"/>
  <c r="H401" i="59"/>
  <c r="J401" i="59"/>
  <c r="N401" i="59"/>
  <c r="G438" i="59"/>
  <c r="I438" i="59"/>
  <c r="J438" i="59"/>
  <c r="K438" i="59"/>
  <c r="L438" i="59"/>
  <c r="N438" i="59"/>
  <c r="M438" i="59"/>
  <c r="H438" i="59"/>
  <c r="G427" i="59"/>
  <c r="J427" i="59"/>
  <c r="K427" i="59"/>
  <c r="M427" i="59"/>
  <c r="N427" i="59"/>
  <c r="I427" i="59"/>
  <c r="H427" i="59"/>
  <c r="L427" i="59"/>
  <c r="L390" i="59"/>
  <c r="I390" i="59"/>
  <c r="N390" i="59"/>
  <c r="J390" i="59"/>
  <c r="M390" i="59"/>
  <c r="K390" i="59"/>
  <c r="H390" i="59"/>
  <c r="G449" i="59"/>
  <c r="L449" i="59"/>
  <c r="J449" i="59"/>
  <c r="H449" i="59"/>
  <c r="N449" i="59"/>
  <c r="I449" i="59"/>
  <c r="K449" i="59"/>
  <c r="M449" i="59"/>
  <c r="AA71" i="37" a="1"/>
  <c r="AA71" i="37" s="1"/>
  <c r="W71" i="37" a="1"/>
  <c r="W71" i="37" s="1"/>
  <c r="AA70" i="37" a="1"/>
  <c r="AA70" i="37" s="1"/>
  <c r="W70" i="37" a="1"/>
  <c r="W70" i="37" s="1"/>
  <c r="AA69" i="37" a="1"/>
  <c r="AA69" i="37" s="1"/>
  <c r="W69" i="37" a="1"/>
  <c r="W69" i="37" s="1"/>
  <c r="Y66" i="37" a="1"/>
  <c r="Y66" i="37" s="1"/>
  <c r="U66" i="37" a="1"/>
  <c r="U66" i="37" s="1"/>
  <c r="AA50" i="37" a="1"/>
  <c r="AA50" i="37" s="1"/>
  <c r="W50" i="37" a="1"/>
  <c r="W50" i="37" s="1"/>
  <c r="AA49" i="37" a="1"/>
  <c r="AA49" i="37" s="1"/>
  <c r="W49" i="37" a="1"/>
  <c r="W49" i="37" s="1"/>
  <c r="AA48" i="37" a="1"/>
  <c r="AA48" i="37" s="1"/>
  <c r="W48" i="37" a="1"/>
  <c r="W48" i="37" s="1"/>
  <c r="Z71" i="37" a="1"/>
  <c r="Z71" i="37" s="1"/>
  <c r="V71" i="37" a="1"/>
  <c r="V71" i="37" s="1"/>
  <c r="Z70" i="37" a="1"/>
  <c r="Z70" i="37" s="1"/>
  <c r="V70" i="37" a="1"/>
  <c r="V70" i="37" s="1"/>
  <c r="Z69" i="37" a="1"/>
  <c r="Z69" i="37" s="1"/>
  <c r="V69" i="37" a="1"/>
  <c r="V69" i="37" s="1"/>
  <c r="X66" i="37" a="1"/>
  <c r="X66" i="37" s="1"/>
  <c r="T66" i="37" a="1"/>
  <c r="T66" i="37" s="1"/>
  <c r="Z50" i="37" a="1"/>
  <c r="Z50" i="37" s="1"/>
  <c r="V50" i="37" a="1"/>
  <c r="V50" i="37" s="1"/>
  <c r="Z49" i="37" a="1"/>
  <c r="Z49" i="37" s="1"/>
  <c r="V49" i="37" a="1"/>
  <c r="V49" i="37" s="1"/>
  <c r="Z48" i="37" a="1"/>
  <c r="Z48" i="37" s="1"/>
  <c r="V48" i="37" a="1"/>
  <c r="V48" i="37" s="1"/>
  <c r="T30" i="37" a="1"/>
  <c r="T30" i="37" s="1"/>
  <c r="Y71" i="37" a="1"/>
  <c r="Y71" i="37" s="1"/>
  <c r="U71" i="37" a="1"/>
  <c r="U71" i="37" s="1"/>
  <c r="Y70" i="37" a="1"/>
  <c r="Y70" i="37" s="1"/>
  <c r="U70" i="37" a="1"/>
  <c r="U70" i="37" s="1"/>
  <c r="Y69" i="37" a="1"/>
  <c r="Y69" i="37" s="1"/>
  <c r="U69" i="37" a="1"/>
  <c r="U69" i="37" s="1"/>
  <c r="AA66" i="37" a="1"/>
  <c r="AA66" i="37" s="1"/>
  <c r="W66" i="37" a="1"/>
  <c r="W66" i="37" s="1"/>
  <c r="Y50" i="37" a="1"/>
  <c r="Y50" i="37" s="1"/>
  <c r="U50" i="37" a="1"/>
  <c r="U50" i="37" s="1"/>
  <c r="Y49" i="37" a="1"/>
  <c r="Y49" i="37" s="1"/>
  <c r="U49" i="37" a="1"/>
  <c r="U49" i="37" s="1"/>
  <c r="Y48" i="37" a="1"/>
  <c r="Y48" i="37" s="1"/>
  <c r="U48" i="37" a="1"/>
  <c r="U48" i="37" s="1"/>
  <c r="X71" i="37" a="1"/>
  <c r="X71" i="37" s="1"/>
  <c r="T71" i="37" a="1"/>
  <c r="T71" i="37" s="1"/>
  <c r="X70" i="37" a="1"/>
  <c r="X70" i="37" s="1"/>
  <c r="T70" i="37" a="1"/>
  <c r="T70" i="37" s="1"/>
  <c r="X69" i="37" a="1"/>
  <c r="X69" i="37" s="1"/>
  <c r="T69" i="37" a="1"/>
  <c r="T69" i="37" s="1"/>
  <c r="Z66" i="37" a="1"/>
  <c r="Z66" i="37" s="1"/>
  <c r="V66" i="37" a="1"/>
  <c r="V66" i="37" s="1"/>
  <c r="X50" i="37" a="1"/>
  <c r="X50" i="37" s="1"/>
  <c r="T50" i="37" a="1"/>
  <c r="T50" i="37" s="1"/>
  <c r="X49" i="37" a="1"/>
  <c r="X49" i="37" s="1"/>
  <c r="T49" i="37" a="1"/>
  <c r="T49" i="37" s="1"/>
  <c r="X48" i="37" a="1"/>
  <c r="X48" i="37" s="1"/>
  <c r="T48" i="37" a="1"/>
  <c r="T48" i="37" s="1"/>
  <c r="Z109" i="37" a="1"/>
  <c r="Z109" i="37" s="1"/>
  <c r="AA102" i="37" a="1"/>
  <c r="AA102" i="37" s="1"/>
  <c r="Y109" i="37" a="1"/>
  <c r="Y109" i="37" s="1"/>
  <c r="X108" i="37" a="1"/>
  <c r="X108" i="37" s="1"/>
  <c r="AA108" i="37" a="1"/>
  <c r="AA108" i="37" s="1"/>
  <c r="Z102" i="37" a="1"/>
  <c r="Z102" i="37" s="1"/>
  <c r="W107" i="37" a="1"/>
  <c r="W107" i="37" s="1"/>
  <c r="U102" i="37" a="1"/>
  <c r="U102" i="37" s="1"/>
  <c r="Y102" i="37" a="1"/>
  <c r="Y102" i="37" s="1"/>
  <c r="X109" i="37" a="1"/>
  <c r="X109" i="37" s="1"/>
  <c r="W108" i="37" a="1"/>
  <c r="W108" i="37" s="1"/>
  <c r="V107" i="37" a="1"/>
  <c r="V107" i="37" s="1"/>
  <c r="X102" i="37" a="1"/>
  <c r="X102" i="37" s="1"/>
  <c r="W109" i="37" a="1"/>
  <c r="W109" i="37" s="1"/>
  <c r="U107" i="37" a="1"/>
  <c r="U107" i="37" s="1"/>
  <c r="U109" i="37" a="1"/>
  <c r="U109" i="37" s="1"/>
  <c r="V108" i="37" a="1"/>
  <c r="V108" i="37" s="1"/>
  <c r="W102" i="37" a="1"/>
  <c r="W102" i="37" s="1"/>
  <c r="V109" i="37" a="1"/>
  <c r="V109" i="37" s="1"/>
  <c r="U108" i="37" a="1"/>
  <c r="U108" i="37" s="1"/>
  <c r="T109" i="37" a="1"/>
  <c r="T109" i="37" s="1"/>
  <c r="V102" i="37" a="1"/>
  <c r="V102" i="37" s="1"/>
  <c r="AA107" i="37" a="1"/>
  <c r="AA107" i="37" s="1"/>
  <c r="T108" i="37" a="1"/>
  <c r="T108" i="37" s="1"/>
  <c r="T102" i="37" a="1"/>
  <c r="T102" i="37" s="1"/>
  <c r="Z108" i="37" a="1"/>
  <c r="Z108" i="37" s="1"/>
  <c r="Y107" i="37" a="1"/>
  <c r="Y107" i="37" s="1"/>
  <c r="X107" i="37" a="1"/>
  <c r="X107" i="37" s="1"/>
  <c r="AA109" i="37" a="1"/>
  <c r="AA109" i="37" s="1"/>
  <c r="Y108" i="37" a="1"/>
  <c r="Y108" i="37" s="1"/>
  <c r="T107" i="37" a="1"/>
  <c r="T107" i="37" s="1"/>
  <c r="Z107" i="37" a="1"/>
  <c r="Z107" i="37" s="1"/>
  <c r="F402" i="15" a="1"/>
  <c r="F402" i="15" s="1"/>
  <c r="F394" i="15" a="1"/>
  <c r="F394" i="15" s="1"/>
  <c r="F387" i="15" a="1"/>
  <c r="F387" i="15" s="1"/>
  <c r="F377" i="15" a="1"/>
  <c r="F377" i="15" s="1"/>
  <c r="F318" i="15" a="1"/>
  <c r="F318" i="15" s="1"/>
  <c r="F303" i="15" a="1"/>
  <c r="F303" i="15" s="1"/>
  <c r="F320" i="15" a="1"/>
  <c r="F320" i="15" s="1"/>
  <c r="F297" i="59" l="1" a="1"/>
  <c r="F297" i="59" s="1"/>
  <c r="D58" i="69" a="1"/>
  <c r="D58" i="69" s="1"/>
  <c r="D36" i="69" a="1"/>
  <c r="D36" i="69" s="1"/>
  <c r="E736" i="7"/>
  <c r="U11" i="46" a="1"/>
  <c r="U11" i="46" s="1"/>
  <c r="F304" i="59" a="1"/>
  <c r="F304" i="59" s="1"/>
  <c r="F302" i="59" a="1"/>
  <c r="F302" i="59" s="1"/>
  <c r="F303" i="59" a="1"/>
  <c r="F303" i="59" s="1"/>
  <c r="F298" i="59" a="1"/>
  <c r="F298" i="59" s="1"/>
  <c r="G452" i="59" a="1"/>
  <c r="G452" i="59" s="1"/>
  <c r="F305" i="59" s="1" a="1"/>
  <c r="F305" i="59" s="1"/>
  <c r="U10" i="41" s="1" a="1"/>
  <c r="U10" i="41" s="1"/>
  <c r="G415" i="59" a="1"/>
  <c r="G415" i="59" s="1"/>
  <c r="F300" i="59" s="1" a="1"/>
  <c r="F300" i="59" s="1"/>
  <c r="F319" i="15" a="1"/>
  <c r="F319" i="15" s="1"/>
  <c r="F310" i="15" a="1"/>
  <c r="F310" i="15" s="1"/>
  <c r="F302" i="15" a="1"/>
  <c r="F302" i="15" s="1"/>
  <c r="F301" i="15" a="1"/>
  <c r="F301" i="15" s="1"/>
  <c r="F99" i="10" a="1"/>
  <c r="F99" i="10" s="1"/>
  <c r="F63" i="10" s="1" a="1"/>
  <c r="F63" i="10" s="1"/>
  <c r="U18" i="46" l="1" a="1"/>
  <c r="U18" i="46" s="1"/>
  <c r="F311" i="59" a="1"/>
  <c r="F311" i="59" s="1"/>
  <c r="F533" i="18" a="1"/>
  <c r="F533" i="18" s="1"/>
  <c r="H375" i="55" l="1"/>
  <c r="H376" i="55"/>
  <c r="H377" i="55"/>
  <c r="H378" i="55"/>
  <c r="H374" i="55"/>
  <c r="F40" i="14"/>
  <c r="F430" i="9" l="1" a="1"/>
  <c r="F430" i="9" s="1"/>
  <c r="F429" i="9" a="1"/>
  <c r="F429" i="9" s="1"/>
  <c r="F428" i="9" a="1"/>
  <c r="F428" i="9" s="1"/>
  <c r="F427" i="9" a="1"/>
  <c r="F427" i="9" s="1"/>
  <c r="F421" i="9" a="1"/>
  <c r="F421" i="9" s="1"/>
  <c r="F420" i="9" a="1"/>
  <c r="F420" i="9" s="1"/>
  <c r="F419" i="9" a="1"/>
  <c r="F419" i="9" s="1"/>
  <c r="F418" i="9" a="1"/>
  <c r="F418" i="9" s="1"/>
  <c r="F412" i="9" a="1"/>
  <c r="F412" i="9" s="1"/>
  <c r="F414" i="9" a="1"/>
  <c r="F414" i="9" s="1"/>
  <c r="F413" i="9" a="1"/>
  <c r="F413" i="9" s="1"/>
  <c r="F411" i="9" a="1"/>
  <c r="F411" i="9" s="1"/>
  <c r="F405" i="9" a="1"/>
  <c r="F405" i="9" s="1"/>
  <c r="F404" i="9" a="1"/>
  <c r="F404" i="9" s="1"/>
  <c r="F403" i="9" a="1"/>
  <c r="F403" i="9" s="1"/>
  <c r="F402" i="9" a="1"/>
  <c r="F402" i="9" s="1"/>
  <c r="F398" i="9" a="1"/>
  <c r="F398" i="9" s="1"/>
  <c r="F397" i="9" a="1"/>
  <c r="F397" i="9" s="1"/>
  <c r="F396" i="9" a="1"/>
  <c r="F396" i="9" s="1"/>
  <c r="F395" i="9" a="1"/>
  <c r="F395" i="9" s="1"/>
  <c r="F391" i="9" a="1"/>
  <c r="F391" i="9" s="1"/>
  <c r="F390" i="9" a="1"/>
  <c r="F390" i="9" s="1"/>
  <c r="F389" i="9" a="1"/>
  <c r="F389" i="9" s="1"/>
  <c r="F767" i="9" s="1" a="1"/>
  <c r="F767" i="9" s="1"/>
  <c r="F388" i="9" a="1"/>
  <c r="F388" i="9" s="1"/>
  <c r="F766" i="9" s="1" a="1"/>
  <c r="F766" i="9" s="1"/>
  <c r="F332" i="9" a="1"/>
  <c r="F332" i="9" s="1"/>
  <c r="F331" i="9" a="1"/>
  <c r="F331" i="9" s="1"/>
  <c r="F330" i="9" a="1"/>
  <c r="F330" i="9" s="1"/>
  <c r="F329" i="9" a="1"/>
  <c r="F329" i="9" s="1"/>
  <c r="F323" i="9" a="1"/>
  <c r="F323" i="9" s="1"/>
  <c r="F322" i="9" a="1"/>
  <c r="F322" i="9" s="1"/>
  <c r="F321" i="9" a="1"/>
  <c r="F321" i="9" s="1"/>
  <c r="F320" i="9" a="1"/>
  <c r="F320" i="9" s="1"/>
  <c r="F314" i="9" a="1"/>
  <c r="F314" i="9" s="1"/>
  <c r="F313" i="9" a="1"/>
  <c r="F313" i="9" s="1"/>
  <c r="F312" i="9" a="1"/>
  <c r="F312" i="9" s="1"/>
  <c r="F311" i="9" a="1"/>
  <c r="F311" i="9" s="1"/>
  <c r="F305" i="9" a="1"/>
  <c r="F305" i="9" s="1"/>
  <c r="F304" i="9" a="1"/>
  <c r="F304" i="9" s="1"/>
  <c r="F303" i="9" a="1"/>
  <c r="F303" i="9" s="1"/>
  <c r="F302" i="9" a="1"/>
  <c r="F302" i="9" s="1"/>
  <c r="F285" i="9" a="1"/>
  <c r="F285" i="9" s="1"/>
  <c r="F284" i="9" a="1"/>
  <c r="F284" i="9" s="1"/>
  <c r="F283" i="9" a="1"/>
  <c r="F283" i="9" s="1"/>
  <c r="F282" i="9" a="1"/>
  <c r="F282" i="9" s="1"/>
  <c r="F276" i="9" a="1"/>
  <c r="F276" i="9" s="1"/>
  <c r="F275" i="9" a="1"/>
  <c r="F275" i="9" s="1"/>
  <c r="F274" i="9" a="1"/>
  <c r="F274" i="9" s="1"/>
  <c r="F273" i="9" a="1"/>
  <c r="F273" i="9" s="1"/>
  <c r="F267" i="9" a="1"/>
  <c r="F267" i="9" s="1"/>
  <c r="F266" i="9" a="1"/>
  <c r="F266" i="9" s="1"/>
  <c r="F265" i="9" a="1"/>
  <c r="F265" i="9" s="1"/>
  <c r="F264" i="9" a="1"/>
  <c r="F264" i="9" s="1"/>
  <c r="F255" i="9" a="1"/>
  <c r="F255" i="9" s="1"/>
  <c r="F258" i="9" a="1"/>
  <c r="F258" i="9" s="1"/>
  <c r="F257" i="9" a="1"/>
  <c r="F257" i="9" s="1"/>
  <c r="F256" i="9" a="1"/>
  <c r="F256" i="9" s="1"/>
  <c r="F49" i="9" a="1"/>
  <c r="F49" i="9" s="1"/>
  <c r="F48" i="9" a="1"/>
  <c r="F48" i="9" s="1"/>
  <c r="F47" i="9" a="1"/>
  <c r="F47" i="9" s="1"/>
  <c r="F46" i="9" a="1"/>
  <c r="F46" i="9" s="1"/>
  <c r="F41" i="9" a="1"/>
  <c r="F41" i="9" s="1"/>
  <c r="F40" i="9" a="1"/>
  <c r="F40" i="9" s="1"/>
  <c r="F39" i="9" a="1"/>
  <c r="F39" i="9" s="1"/>
  <c r="F38" i="9" a="1"/>
  <c r="F38" i="9" s="1"/>
  <c r="F33" i="9" a="1"/>
  <c r="F33" i="9" s="1"/>
  <c r="F32" i="9" a="1"/>
  <c r="F32" i="9" s="1"/>
  <c r="F31" i="9" a="1"/>
  <c r="F31" i="9" s="1"/>
  <c r="F30" i="9" a="1"/>
  <c r="F30" i="9" s="1"/>
  <c r="F25" i="9" a="1"/>
  <c r="F25" i="9" s="1"/>
  <c r="F24" i="9" a="1"/>
  <c r="F24" i="9" s="1"/>
  <c r="F23" i="9" a="1"/>
  <c r="F23" i="9" s="1"/>
  <c r="F22" i="9" a="1"/>
  <c r="F22" i="9" s="1"/>
  <c r="F19" i="8" a="1"/>
  <c r="F19" i="8" s="1"/>
  <c r="F203" i="11" l="1" a="1"/>
  <c r="F203" i="11" s="1"/>
  <c r="F536" i="9" l="1" a="1"/>
  <c r="F536" i="9" s="1"/>
  <c r="F143" i="8" a="1"/>
  <c r="F143" i="8" s="1"/>
  <c r="F142" i="8" a="1"/>
  <c r="F142" i="8" s="1"/>
  <c r="F141" i="8" a="1"/>
  <c r="F141" i="8" s="1"/>
  <c r="F140" i="8" a="1"/>
  <c r="F140" i="8" s="1"/>
  <c r="F136" i="8" a="1"/>
  <c r="F136" i="8" s="1"/>
  <c r="F135" i="8" a="1"/>
  <c r="F135" i="8" s="1"/>
  <c r="F134" i="8" a="1"/>
  <c r="F134" i="8" s="1"/>
  <c r="F133" i="8" a="1"/>
  <c r="F133" i="8" s="1"/>
  <c r="F127" i="8" a="1"/>
  <c r="F127" i="8" s="1"/>
  <c r="F126" i="8" a="1"/>
  <c r="F126" i="8" s="1"/>
  <c r="F125" i="8" a="1"/>
  <c r="F125" i="8" s="1"/>
  <c r="F124" i="8" a="1"/>
  <c r="F124" i="8" s="1"/>
  <c r="F120" i="8" a="1"/>
  <c r="F120" i="8" s="1"/>
  <c r="F119" i="8" a="1"/>
  <c r="F119" i="8" s="1"/>
  <c r="F118" i="8" a="1"/>
  <c r="F118" i="8" s="1"/>
  <c r="F117" i="8" a="1"/>
  <c r="F117" i="8" s="1"/>
  <c r="F111" i="8" a="1"/>
  <c r="F111" i="8" s="1"/>
  <c r="F110" i="8" a="1"/>
  <c r="F110" i="8" s="1"/>
  <c r="F109" i="8" a="1"/>
  <c r="F109" i="8" s="1"/>
  <c r="F108" i="8" a="1"/>
  <c r="F108" i="8" s="1"/>
  <c r="F104" i="8" a="1"/>
  <c r="F104" i="8" s="1"/>
  <c r="F103" i="8" a="1"/>
  <c r="F103" i="8" s="1"/>
  <c r="F102" i="8" a="1"/>
  <c r="F102" i="8" s="1"/>
  <c r="F101" i="8" a="1"/>
  <c r="F101" i="8" s="1"/>
  <c r="F85" i="8" a="1"/>
  <c r="F85" i="8" s="1"/>
  <c r="F95" i="8" a="1"/>
  <c r="F95" i="8" s="1"/>
  <c r="F88" i="8" a="1"/>
  <c r="F88" i="8" s="1"/>
  <c r="F94" i="8" a="1"/>
  <c r="F94" i="8" s="1"/>
  <c r="F87" i="8" a="1"/>
  <c r="F87" i="8" s="1"/>
  <c r="F93" i="8" a="1"/>
  <c r="F93" i="8" s="1"/>
  <c r="F86" i="8" a="1"/>
  <c r="F86" i="8" s="1"/>
  <c r="F92" i="8" a="1"/>
  <c r="F92" i="8" s="1"/>
  <c r="F77" i="8" a="1"/>
  <c r="F77" i="8" s="1"/>
  <c r="F76" i="8" a="1"/>
  <c r="F76" i="8" s="1"/>
  <c r="F75" i="8" a="1"/>
  <c r="F75" i="8" s="1"/>
  <c r="F74" i="8" a="1"/>
  <c r="F74" i="8" s="1"/>
  <c r="F70" i="8" a="1"/>
  <c r="F70" i="8" s="1"/>
  <c r="F69" i="8" a="1"/>
  <c r="F69" i="8" s="1"/>
  <c r="F68" i="8" a="1"/>
  <c r="F68" i="8" s="1"/>
  <c r="F67" i="8" a="1"/>
  <c r="F67" i="8" s="1"/>
  <c r="F61" i="8" a="1"/>
  <c r="F61" i="8" s="1"/>
  <c r="F60" i="8" a="1"/>
  <c r="F60" i="8" s="1"/>
  <c r="F59" i="8" a="1"/>
  <c r="F59" i="8" s="1"/>
  <c r="F58" i="8" a="1"/>
  <c r="F58" i="8" s="1"/>
  <c r="F54" i="8" a="1"/>
  <c r="F54" i="8" s="1"/>
  <c r="F53" i="8" a="1"/>
  <c r="F53" i="8" s="1"/>
  <c r="F52" i="8" a="1"/>
  <c r="F52" i="8" s="1"/>
  <c r="F51" i="8" a="1"/>
  <c r="F51" i="8" s="1"/>
  <c r="F45" i="8" a="1"/>
  <c r="F45" i="8" s="1"/>
  <c r="F44" i="8" a="1"/>
  <c r="F44" i="8" s="1"/>
  <c r="F43" i="8" a="1"/>
  <c r="F43" i="8" s="1"/>
  <c r="F42" i="8" a="1"/>
  <c r="F42" i="8" s="1"/>
  <c r="F35" i="8" a="1"/>
  <c r="F35" i="8" s="1"/>
  <c r="F38" i="8" a="1"/>
  <c r="F38" i="8" s="1"/>
  <c r="F37" i="8" a="1"/>
  <c r="F37" i="8" s="1"/>
  <c r="F36" i="8" a="1"/>
  <c r="F36" i="8" s="1"/>
  <c r="F29" i="8" a="1"/>
  <c r="F29" i="8" s="1"/>
  <c r="F22" i="8" a="1"/>
  <c r="F22" i="8" s="1"/>
  <c r="F28" i="8" a="1"/>
  <c r="F28" i="8" s="1"/>
  <c r="F21" i="8" a="1"/>
  <c r="F21" i="8" s="1"/>
  <c r="F27" i="8" a="1"/>
  <c r="F27" i="8" s="1"/>
  <c r="F20" i="8" a="1"/>
  <c r="F20" i="8" s="1"/>
  <c r="F26" i="8" a="1"/>
  <c r="F26" i="8" s="1"/>
  <c r="M11" i="9" l="1"/>
  <c r="F893" i="9" s="1" a="1"/>
  <c r="F893" i="9" s="1"/>
  <c r="U73" i="48" s="1" a="1"/>
  <c r="U73" i="48" s="1"/>
  <c r="F711" i="9" l="1" a="1"/>
  <c r="F711" i="9" s="1"/>
  <c r="J208" i="16"/>
  <c r="J206" i="16"/>
  <c r="J207" i="16"/>
  <c r="J209" i="16"/>
  <c r="J205" i="16"/>
  <c r="G214" i="16"/>
  <c r="G218" i="16"/>
  <c r="F21" i="60" l="1" a="1"/>
  <c r="F21" i="60" s="1"/>
  <c r="T29" i="37" a="1"/>
  <c r="T29" i="37" s="1"/>
  <c r="E357" i="13" a="1"/>
  <c r="E357" i="13" s="1"/>
  <c r="J210" i="16"/>
  <c r="F1618" i="17" l="1" a="1"/>
  <c r="F1618" i="17" s="1"/>
  <c r="M7" i="18" l="1"/>
  <c r="F321" i="18" l="1" a="1"/>
  <c r="F321" i="18" s="1"/>
  <c r="F328" i="18" a="1"/>
  <c r="F328" i="18" s="1"/>
  <c r="E303" i="13" a="1"/>
  <c r="E303" i="13" s="1"/>
  <c r="E198" i="13" s="1" a="1"/>
  <c r="E198" i="13" s="1"/>
  <c r="U29" i="51" s="1" a="1"/>
  <c r="U29" i="51" s="1"/>
  <c r="M7" i="56"/>
  <c r="F275" i="13" a="1"/>
  <c r="F275" i="13" s="1"/>
  <c r="F388" i="15" a="1"/>
  <c r="F388" i="15" s="1"/>
  <c r="F386" i="15" a="1"/>
  <c r="F386" i="15" s="1"/>
  <c r="F385" i="15" a="1"/>
  <c r="F385" i="15" s="1"/>
  <c r="F474" i="56" l="1" a="1"/>
  <c r="F474" i="56" s="1"/>
  <c r="I207" i="56"/>
  <c r="J347" i="56"/>
  <c r="K319" i="56"/>
  <c r="J263" i="56"/>
  <c r="J291" i="56"/>
  <c r="H235" i="56"/>
  <c r="J207" i="56"/>
  <c r="K347" i="56"/>
  <c r="L319" i="56"/>
  <c r="K263" i="56"/>
  <c r="I291" i="56"/>
  <c r="I235" i="56"/>
  <c r="K207" i="56"/>
  <c r="L347" i="56"/>
  <c r="M319" i="56"/>
  <c r="L263" i="56"/>
  <c r="G235" i="56"/>
  <c r="G207" i="56"/>
  <c r="H347" i="56"/>
  <c r="I347" i="56"/>
  <c r="K291" i="56"/>
  <c r="J235" i="56"/>
  <c r="L207" i="56"/>
  <c r="M347" i="56"/>
  <c r="G319" i="56"/>
  <c r="M263" i="56"/>
  <c r="H319" i="56"/>
  <c r="M291" i="56"/>
  <c r="L291" i="56"/>
  <c r="J319" i="56"/>
  <c r="K235" i="56"/>
  <c r="M207" i="56"/>
  <c r="G347" i="56"/>
  <c r="G291" i="56"/>
  <c r="H291" i="56"/>
  <c r="G263" i="56"/>
  <c r="I319" i="56"/>
  <c r="H207" i="56"/>
  <c r="L235" i="56"/>
  <c r="H263" i="56"/>
  <c r="I263" i="56"/>
  <c r="M235" i="56"/>
  <c r="F475" i="56" a="1"/>
  <c r="F475" i="56" s="1"/>
  <c r="F458" i="56" a="1"/>
  <c r="F458" i="56" s="1"/>
  <c r="G192" i="56"/>
  <c r="F459" i="56" a="1"/>
  <c r="F459" i="56" s="1"/>
  <c r="F488" i="56" s="1" a="1"/>
  <c r="F488" i="56" s="1"/>
  <c r="F479" i="56" a="1"/>
  <c r="F479" i="56" s="1"/>
  <c r="F383" i="56" s="1" a="1"/>
  <c r="F383" i="56" s="1"/>
  <c r="F478" i="56" a="1"/>
  <c r="F478" i="56" s="1"/>
  <c r="F470" i="56" a="1"/>
  <c r="F470" i="56" s="1"/>
  <c r="F499" i="56" s="1" a="1"/>
  <c r="F499" i="56" s="1"/>
  <c r="F461" i="56" a="1"/>
  <c r="F461" i="56" s="1"/>
  <c r="F490" i="56" s="1" a="1"/>
  <c r="F490" i="56" s="1"/>
  <c r="E298" i="12" a="1"/>
  <c r="E298" i="12" s="1"/>
  <c r="E299" i="12" s="1" a="1"/>
  <c r="E299" i="12" s="1"/>
  <c r="E461" i="12" a="1"/>
  <c r="E461" i="12" s="1"/>
  <c r="E467" i="12" a="1"/>
  <c r="E467" i="12" s="1"/>
  <c r="E466" i="12" a="1"/>
  <c r="E466" i="12" s="1"/>
  <c r="E307" i="12" a="1"/>
  <c r="E307" i="12" s="1"/>
  <c r="E306" i="12" a="1"/>
  <c r="E306" i="12" s="1"/>
  <c r="E305" i="12" a="1"/>
  <c r="E305" i="12" s="1"/>
  <c r="F473" i="56" a="1"/>
  <c r="F473" i="56" s="1"/>
  <c r="F502" i="56" s="1" a="1"/>
  <c r="F502" i="56" s="1"/>
  <c r="F472" i="56" a="1"/>
  <c r="F472" i="56" s="1"/>
  <c r="F460" i="56" a="1"/>
  <c r="F460" i="56" s="1"/>
  <c r="F489" i="56" s="1" a="1"/>
  <c r="F489" i="56" s="1"/>
  <c r="F471" i="56" a="1"/>
  <c r="F471" i="56" s="1"/>
  <c r="F477" i="56" a="1"/>
  <c r="F477" i="56" s="1"/>
  <c r="F465" i="56" a="1"/>
  <c r="F465" i="56" s="1"/>
  <c r="F494" i="56" s="1" a="1"/>
  <c r="F494" i="56" s="1"/>
  <c r="F476" i="56" a="1"/>
  <c r="F476" i="56" s="1"/>
  <c r="F464" i="56" a="1"/>
  <c r="F464" i="56" s="1"/>
  <c r="F493" i="56" s="1" a="1"/>
  <c r="F493" i="56" s="1"/>
  <c r="F462" i="56" a="1"/>
  <c r="F462" i="56" s="1"/>
  <c r="F463" i="56" a="1"/>
  <c r="F463" i="56" s="1"/>
  <c r="M255" i="18"/>
  <c r="L255" i="18"/>
  <c r="K255" i="18"/>
  <c r="J255" i="18"/>
  <c r="I255" i="18"/>
  <c r="H255" i="18"/>
  <c r="G255" i="18"/>
  <c r="F255" i="18"/>
  <c r="G243" i="18"/>
  <c r="H243" i="18"/>
  <c r="I243" i="18"/>
  <c r="J243" i="18"/>
  <c r="K243" i="18"/>
  <c r="L243" i="18"/>
  <c r="M243" i="18"/>
  <c r="F243" i="18"/>
  <c r="F503" i="56" l="1" a="1"/>
  <c r="F503" i="56" s="1"/>
  <c r="F428" i="56" s="1" a="1"/>
  <c r="F428" i="56" s="1"/>
  <c r="F378" i="56" a="1"/>
  <c r="F378" i="56" s="1"/>
  <c r="U43" i="45" s="1" a="1"/>
  <c r="U43" i="45" s="1"/>
  <c r="U10" i="50" a="1"/>
  <c r="U10" i="50" s="1"/>
  <c r="E453" i="12" a="1"/>
  <c r="E453" i="12" s="1"/>
  <c r="E460" i="12" a="1"/>
  <c r="E460" i="12" s="1"/>
  <c r="E239" i="12" s="1" a="1"/>
  <c r="E245" i="12" a="1"/>
  <c r="E245" i="12" s="1"/>
  <c r="E289" i="12" a="1"/>
  <c r="E289" i="12" s="1"/>
  <c r="E468" i="12" a="1"/>
  <c r="E468" i="12" s="1"/>
  <c r="I534" i="12"/>
  <c r="J534" i="12"/>
  <c r="K534" i="12"/>
  <c r="L534" i="12"/>
  <c r="E349" i="13"/>
  <c r="L349" i="13"/>
  <c r="J349" i="13"/>
  <c r="K349" i="13"/>
  <c r="F349" i="13"/>
  <c r="I349" i="13"/>
  <c r="G349" i="13"/>
  <c r="H349" i="13"/>
  <c r="F419" i="56" a="1"/>
  <c r="F419" i="56" s="1"/>
  <c r="U17" i="45" s="1" a="1"/>
  <c r="U17" i="45" s="1"/>
  <c r="F369" i="56" a="1"/>
  <c r="F369" i="56" s="1"/>
  <c r="U37" i="45" s="1" a="1"/>
  <c r="U37" i="45" s="1"/>
  <c r="F374" i="56" a="1"/>
  <c r="F501" i="56" a="1"/>
  <c r="F501" i="56" s="1"/>
  <c r="F426" i="56" s="1" a="1"/>
  <c r="F426" i="56" s="1"/>
  <c r="F376" i="56" a="1"/>
  <c r="F376" i="56" s="1"/>
  <c r="U41" i="45" s="1" a="1"/>
  <c r="U41" i="45" s="1"/>
  <c r="F505" i="56" a="1"/>
  <c r="F505" i="56" s="1"/>
  <c r="F430" i="56" s="1" a="1"/>
  <c r="F430" i="56" s="1"/>
  <c r="F380" i="56" a="1"/>
  <c r="F380" i="56" s="1"/>
  <c r="U45" i="45" s="1" a="1"/>
  <c r="U45" i="45" s="1"/>
  <c r="F507" i="56" a="1"/>
  <c r="F507" i="56" s="1"/>
  <c r="F432" i="56" s="1" a="1"/>
  <c r="F432" i="56" s="1"/>
  <c r="F382" i="56" a="1"/>
  <c r="F382" i="56" s="1"/>
  <c r="U47" i="45" s="1" a="1"/>
  <c r="U47" i="45" s="1"/>
  <c r="F415" i="56" a="1"/>
  <c r="F415" i="56" s="1"/>
  <c r="U13" i="45" s="1" a="1"/>
  <c r="U13" i="45" s="1"/>
  <c r="F365" i="56" a="1"/>
  <c r="F365" i="56" s="1"/>
  <c r="F508" i="56" a="1"/>
  <c r="F508" i="56" s="1"/>
  <c r="F433" i="56" s="1" a="1"/>
  <c r="F433" i="56" s="1"/>
  <c r="U48" i="45" a="1"/>
  <c r="U48" i="45" s="1"/>
  <c r="F492" i="56" a="1"/>
  <c r="F492" i="56" s="1"/>
  <c r="F417" i="56" s="1" a="1"/>
  <c r="F417" i="56" s="1"/>
  <c r="U15" i="45" s="1" a="1"/>
  <c r="U15" i="45" s="1"/>
  <c r="F367" i="56" a="1"/>
  <c r="F367" i="56" s="1"/>
  <c r="F427" i="56" a="1"/>
  <c r="F427" i="56" s="1"/>
  <c r="F377" i="56" a="1"/>
  <c r="F377" i="56" s="1"/>
  <c r="U42" i="45" s="1" a="1"/>
  <c r="U42" i="45" s="1"/>
  <c r="F414" i="56" a="1"/>
  <c r="F414" i="56" s="1"/>
  <c r="U12" i="45" s="1" a="1"/>
  <c r="U12" i="45" s="1"/>
  <c r="F364" i="56" a="1"/>
  <c r="F364" i="56" s="1"/>
  <c r="F504" i="56" a="1"/>
  <c r="F504" i="56" s="1"/>
  <c r="F429" i="56" s="1" a="1"/>
  <c r="F429" i="56" s="1"/>
  <c r="F379" i="56" a="1"/>
  <c r="F379" i="56" s="1"/>
  <c r="U44" i="45" s="1" a="1"/>
  <c r="U44" i="45" s="1"/>
  <c r="F506" i="56" a="1"/>
  <c r="F506" i="56" s="1"/>
  <c r="F431" i="56" s="1" a="1"/>
  <c r="F431" i="56" s="1"/>
  <c r="F381" i="56" a="1"/>
  <c r="F381" i="56" s="1"/>
  <c r="U46" i="45" s="1" a="1"/>
  <c r="U46" i="45" s="1"/>
  <c r="F491" i="56" a="1"/>
  <c r="F491" i="56" s="1"/>
  <c r="F416" i="56" s="1" a="1"/>
  <c r="F416" i="56" s="1"/>
  <c r="U14" i="45" s="1" a="1"/>
  <c r="U14" i="45" s="1"/>
  <c r="F366" i="56" a="1"/>
  <c r="F366" i="56" s="1"/>
  <c r="F413" i="56" a="1"/>
  <c r="F413" i="56" s="1"/>
  <c r="U11" i="45" s="1" a="1"/>
  <c r="U11" i="45" s="1"/>
  <c r="F363" i="56" a="1"/>
  <c r="F363" i="56" s="1"/>
  <c r="F418" i="56" a="1"/>
  <c r="F418" i="56" s="1"/>
  <c r="U16" i="45" s="1" a="1"/>
  <c r="U16" i="45" s="1"/>
  <c r="F368" i="56" a="1"/>
  <c r="F368" i="56" s="1"/>
  <c r="U36" i="45" s="1" a="1"/>
  <c r="U36" i="45" s="1"/>
  <c r="F500" i="56" a="1"/>
  <c r="F500" i="56" s="1"/>
  <c r="F425" i="56" s="1" a="1"/>
  <c r="F425" i="56" s="1"/>
  <c r="F375" i="56" a="1"/>
  <c r="F375" i="56" s="1"/>
  <c r="U40" i="45" s="1" a="1"/>
  <c r="U40" i="45" s="1"/>
  <c r="I108" i="12"/>
  <c r="I107" i="12"/>
  <c r="I106" i="12"/>
  <c r="F108" i="12"/>
  <c r="F107" i="12"/>
  <c r="G110" i="12"/>
  <c r="H109" i="12" s="1"/>
  <c r="U31" i="45" l="1" a="1"/>
  <c r="U31" i="45" s="1"/>
  <c r="G139" i="37" a="1"/>
  <c r="G139" i="37" s="1"/>
  <c r="U32" i="45" a="1"/>
  <c r="U32" i="45" s="1"/>
  <c r="G135" i="37" a="1"/>
  <c r="G135" i="37" s="1"/>
  <c r="U34" i="45" a="1"/>
  <c r="U34" i="45" s="1"/>
  <c r="G134" i="37" a="1"/>
  <c r="G134" i="37" s="1"/>
  <c r="U33" i="45" a="1"/>
  <c r="U33" i="45" s="1"/>
  <c r="G136" i="37" a="1"/>
  <c r="G136" i="37" s="1"/>
  <c r="U35" i="45" a="1"/>
  <c r="U35" i="45" s="1"/>
  <c r="G138" i="37" a="1"/>
  <c r="G138" i="37" s="1"/>
  <c r="E462" i="12" a="1"/>
  <c r="E462" i="12" s="1"/>
  <c r="E511" i="12" s="1" a="1"/>
  <c r="E511" i="12" s="1"/>
  <c r="E513" i="12" s="1" a="1"/>
  <c r="E513" i="12" s="1"/>
  <c r="E308" i="12" a="1"/>
  <c r="E308" i="12" s="1"/>
  <c r="E544" i="12" a="1"/>
  <c r="E544" i="12" s="1"/>
  <c r="E548" i="12" s="1" a="1"/>
  <c r="E548" i="12" s="1"/>
  <c r="E543" i="12" a="1"/>
  <c r="E543" i="12" s="1"/>
  <c r="E547" i="12" s="1" a="1"/>
  <c r="E547" i="12" s="1"/>
  <c r="E360" i="13" a="1"/>
  <c r="E360" i="13" s="1"/>
  <c r="E239" i="12"/>
  <c r="E282" i="12" s="1"/>
  <c r="J282" i="12"/>
  <c r="H282" i="12"/>
  <c r="K282" i="12"/>
  <c r="L282" i="12"/>
  <c r="F282" i="12"/>
  <c r="G282" i="12"/>
  <c r="I282" i="12"/>
  <c r="E290" i="12"/>
  <c r="F290" i="12"/>
  <c r="L290" i="12"/>
  <c r="J290" i="12"/>
  <c r="I290" i="12"/>
  <c r="H290" i="12"/>
  <c r="K290" i="12"/>
  <c r="G290" i="12"/>
  <c r="E304" i="12" a="1"/>
  <c r="E304" i="12" s="1"/>
  <c r="K509" i="56"/>
  <c r="M509" i="56"/>
  <c r="K434" i="56"/>
  <c r="G434" i="56"/>
  <c r="J509" i="56"/>
  <c r="J434" i="56"/>
  <c r="M434" i="56"/>
  <c r="I434" i="56"/>
  <c r="F374" i="56"/>
  <c r="G384" i="56"/>
  <c r="I384" i="56"/>
  <c r="H384" i="56"/>
  <c r="J384" i="56"/>
  <c r="K384" i="56"/>
  <c r="L384" i="56"/>
  <c r="M384" i="56"/>
  <c r="I509" i="56"/>
  <c r="L434" i="56"/>
  <c r="G509" i="56"/>
  <c r="H509" i="56"/>
  <c r="H434" i="56"/>
  <c r="L509" i="56"/>
  <c r="F434" i="56"/>
  <c r="F509" i="56"/>
  <c r="F424" i="56" a="1"/>
  <c r="F424" i="56" s="1"/>
  <c r="H107" i="12"/>
  <c r="H106" i="12"/>
  <c r="H108" i="12"/>
  <c r="E310" i="12" l="1" a="1"/>
  <c r="E310" i="12" s="1"/>
  <c r="T14" i="37" s="1" a="1"/>
  <c r="T14" i="37" s="1"/>
  <c r="E316" i="12" a="1"/>
  <c r="E316" i="12" s="1"/>
  <c r="U11" i="50" a="1"/>
  <c r="U11" i="50" s="1"/>
  <c r="T31" i="37" a="1"/>
  <c r="T31" i="37" s="1"/>
  <c r="E24" i="7" a="1"/>
  <c r="E24" i="7" s="1"/>
  <c r="E654" i="7" a="1"/>
  <c r="E654" i="7" s="1"/>
  <c r="F384" i="56"/>
  <c r="U39" i="45" a="1"/>
  <c r="U39" i="45" s="1"/>
  <c r="F40" i="60" a="1"/>
  <c r="F40" i="60" s="1"/>
  <c r="F23" i="60" a="1"/>
  <c r="F21" i="56" a="1"/>
  <c r="F21" i="56" s="1"/>
  <c r="F23" i="57" a="1"/>
  <c r="G26" i="57" s="1"/>
  <c r="H110" i="12"/>
  <c r="F1417" i="17" a="1"/>
  <c r="F1417" i="17" s="1"/>
  <c r="F1513" i="17" s="1" a="1"/>
  <c r="F1413" i="17" a="1"/>
  <c r="F1413" i="17" s="1"/>
  <c r="F1509" i="17" s="1" a="1"/>
  <c r="F1504" i="17" a="1"/>
  <c r="F1504" i="17" s="1"/>
  <c r="F1408" i="17" a="1"/>
  <c r="F1408" i="17" s="1"/>
  <c r="F1503" i="17" s="1" a="1"/>
  <c r="G123" i="37" l="1" a="1"/>
  <c r="G123" i="37" s="1"/>
  <c r="E746" i="7" a="1"/>
  <c r="E746" i="7" s="1"/>
  <c r="G179" i="32"/>
  <c r="H200" i="32"/>
  <c r="H195" i="32"/>
  <c r="J196" i="32"/>
  <c r="J189" i="32"/>
  <c r="L190" i="32"/>
  <c r="L185" i="32"/>
  <c r="H179" i="32"/>
  <c r="I175" i="32"/>
  <c r="K176" i="32"/>
  <c r="I190" i="32"/>
  <c r="K180" i="32"/>
  <c r="L199" i="32"/>
  <c r="L186" i="32"/>
  <c r="F180" i="32"/>
  <c r="G199" i="32"/>
  <c r="I200" i="32"/>
  <c r="I195" i="32"/>
  <c r="K196" i="32"/>
  <c r="K189" i="32"/>
  <c r="F190" i="32"/>
  <c r="G186" i="32"/>
  <c r="G180" i="32"/>
  <c r="I179" i="32"/>
  <c r="J175" i="32"/>
  <c r="L176" i="32"/>
  <c r="G196" i="32"/>
  <c r="H189" i="32"/>
  <c r="I196" i="32"/>
  <c r="H199" i="32"/>
  <c r="J200" i="32"/>
  <c r="J195" i="32"/>
  <c r="L196" i="32"/>
  <c r="L189" i="32"/>
  <c r="F189" i="32"/>
  <c r="H186" i="32"/>
  <c r="H180" i="32"/>
  <c r="J179" i="32"/>
  <c r="K175" i="32"/>
  <c r="G176" i="32"/>
  <c r="K186" i="32"/>
  <c r="H176" i="32"/>
  <c r="F199" i="32"/>
  <c r="G175" i="32"/>
  <c r="I199" i="32"/>
  <c r="K200" i="32"/>
  <c r="K195" i="32"/>
  <c r="G190" i="32"/>
  <c r="G185" i="32"/>
  <c r="I186" i="32"/>
  <c r="I180" i="32"/>
  <c r="K179" i="32"/>
  <c r="L175" i="32"/>
  <c r="F200" i="32"/>
  <c r="L180" i="32"/>
  <c r="G195" i="32"/>
  <c r="J199" i="32"/>
  <c r="L200" i="32"/>
  <c r="L195" i="32"/>
  <c r="H190" i="32"/>
  <c r="H185" i="32"/>
  <c r="J186" i="32"/>
  <c r="J180" i="32"/>
  <c r="L179" i="32"/>
  <c r="I185" i="32"/>
  <c r="J185" i="32"/>
  <c r="I176" i="32"/>
  <c r="K190" i="32"/>
  <c r="K199" i="32"/>
  <c r="G189" i="32"/>
  <c r="F179" i="32"/>
  <c r="J190" i="32"/>
  <c r="I189" i="32"/>
  <c r="J176" i="32"/>
  <c r="H196" i="32"/>
  <c r="H197" i="32" s="1"/>
  <c r="K185" i="32"/>
  <c r="G200" i="32"/>
  <c r="H175" i="32"/>
  <c r="F176" i="32"/>
  <c r="L649" i="7"/>
  <c r="J649" i="7"/>
  <c r="I649" i="7"/>
  <c r="G649" i="7"/>
  <c r="K649" i="7"/>
  <c r="F649" i="7"/>
  <c r="H649" i="7"/>
  <c r="F23" i="60"/>
  <c r="F23" i="57"/>
  <c r="F26" i="57" s="1"/>
  <c r="H26" i="57"/>
  <c r="I26" i="57"/>
  <c r="J26" i="57"/>
  <c r="K26" i="57"/>
  <c r="M26" i="57"/>
  <c r="L26" i="57"/>
  <c r="F1509" i="17"/>
  <c r="F1532" i="17" s="1"/>
  <c r="F1541" i="17" s="1"/>
  <c r="L1532" i="17"/>
  <c r="L1541" i="17" s="1"/>
  <c r="G1532" i="17"/>
  <c r="G1541" i="17" s="1"/>
  <c r="J1532" i="17"/>
  <c r="J1541" i="17" s="1"/>
  <c r="K1532" i="17"/>
  <c r="K1541" i="17" s="1"/>
  <c r="H1532" i="17"/>
  <c r="H1541" i="17" s="1"/>
  <c r="I1532" i="17"/>
  <c r="I1541" i="17" s="1"/>
  <c r="M1532" i="17"/>
  <c r="M1541" i="17" s="1"/>
  <c r="F1513" i="17"/>
  <c r="F1533" i="17" s="1"/>
  <c r="I1533" i="17"/>
  <c r="M1533" i="17"/>
  <c r="G1533" i="17"/>
  <c r="H1533" i="17"/>
  <c r="J1533" i="17"/>
  <c r="K1533" i="17"/>
  <c r="L1533" i="17"/>
  <c r="F1503" i="17"/>
  <c r="F1505" i="17" s="1"/>
  <c r="F1531" i="17" s="1"/>
  <c r="G1505" i="17"/>
  <c r="G1531" i="17" s="1"/>
  <c r="H1505" i="17"/>
  <c r="H1531" i="17" s="1"/>
  <c r="I1505" i="17"/>
  <c r="I1531" i="17" s="1"/>
  <c r="J1505" i="17"/>
  <c r="J1531" i="17" s="1"/>
  <c r="K1505" i="17"/>
  <c r="K1531" i="17" s="1"/>
  <c r="L1505" i="17"/>
  <c r="L1531" i="17" s="1"/>
  <c r="M1505" i="17"/>
  <c r="M1531" i="17" s="1"/>
  <c r="G126" i="11"/>
  <c r="G322" i="55"/>
  <c r="G116" i="11" s="1"/>
  <c r="G312" i="55"/>
  <c r="G106" i="11" s="1"/>
  <c r="G101" i="11"/>
  <c r="G111" i="11"/>
  <c r="F48" i="16"/>
  <c r="F181" i="32" l="1"/>
  <c r="I201" i="32"/>
  <c r="I191" i="32"/>
  <c r="F201" i="32"/>
  <c r="K197" i="32"/>
  <c r="L177" i="32"/>
  <c r="K177" i="32"/>
  <c r="L201" i="32"/>
  <c r="J191" i="32"/>
  <c r="G732" i="7"/>
  <c r="I181" i="32"/>
  <c r="L187" i="32"/>
  <c r="G201" i="32"/>
  <c r="G181" i="32"/>
  <c r="L197" i="32"/>
  <c r="J177" i="32"/>
  <c r="G191" i="32"/>
  <c r="U30" i="52" a="1"/>
  <c r="U30" i="52" s="1"/>
  <c r="J187" i="32"/>
  <c r="F186" i="32"/>
  <c r="F185" i="32"/>
  <c r="F196" i="32"/>
  <c r="F175" i="32"/>
  <c r="F177" i="32" s="1"/>
  <c r="F195" i="32"/>
  <c r="J197" i="32"/>
  <c r="I177" i="32"/>
  <c r="L181" i="32"/>
  <c r="H191" i="32"/>
  <c r="G177" i="32"/>
  <c r="F191" i="32"/>
  <c r="H181" i="32"/>
  <c r="G187" i="32"/>
  <c r="I187" i="32"/>
  <c r="K201" i="32"/>
  <c r="J201" i="32"/>
  <c r="G197" i="32"/>
  <c r="L191" i="32"/>
  <c r="K181" i="32"/>
  <c r="K187" i="32"/>
  <c r="J181" i="32"/>
  <c r="H187" i="32"/>
  <c r="I197" i="32"/>
  <c r="H201" i="32"/>
  <c r="H177" i="32"/>
  <c r="K191" i="32"/>
  <c r="E175" i="32"/>
  <c r="E180" i="32"/>
  <c r="E196" i="32"/>
  <c r="E199" i="32"/>
  <c r="E200" i="32"/>
  <c r="E179" i="32"/>
  <c r="E186" i="32"/>
  <c r="E195" i="32"/>
  <c r="E190" i="32"/>
  <c r="E176" i="32"/>
  <c r="E189" i="32"/>
  <c r="E185" i="32"/>
  <c r="L732" i="7"/>
  <c r="J732" i="7"/>
  <c r="H732" i="7"/>
  <c r="F732" i="7"/>
  <c r="I732" i="7"/>
  <c r="K732" i="7"/>
  <c r="E732" i="7"/>
  <c r="E649" i="7"/>
  <c r="U10" i="52" a="1"/>
  <c r="U10" i="52" s="1"/>
  <c r="I1565" i="17"/>
  <c r="I1576" i="17" s="1"/>
  <c r="I1542" i="17"/>
  <c r="F1565" i="17"/>
  <c r="F1576" i="17" s="1"/>
  <c r="F1542" i="17"/>
  <c r="K1542" i="17"/>
  <c r="K1565" i="17"/>
  <c r="K1576" i="17" s="1"/>
  <c r="J1542" i="17"/>
  <c r="J1565" i="17"/>
  <c r="J1576" i="17" s="1"/>
  <c r="G1565" i="17"/>
  <c r="G1576" i="17" s="1"/>
  <c r="G1542" i="17"/>
  <c r="L1542" i="17"/>
  <c r="L1565" i="17"/>
  <c r="L1576" i="17" s="1"/>
  <c r="H1565" i="17"/>
  <c r="H1576" i="17" s="1"/>
  <c r="H1542" i="17"/>
  <c r="M1542" i="17"/>
  <c r="M1565" i="17"/>
  <c r="M1576" i="17" s="1"/>
  <c r="F197" i="32" l="1"/>
  <c r="F187" i="32"/>
  <c r="E197" i="32"/>
  <c r="U14" i="46" a="1"/>
  <c r="U14" i="46" s="1"/>
  <c r="E181" i="32"/>
  <c r="E244" i="32" s="1" a="1"/>
  <c r="E244" i="32" s="1"/>
  <c r="E177" i="32"/>
  <c r="E237" i="32" s="1" a="1"/>
  <c r="E237" i="32" s="1"/>
  <c r="E187" i="32"/>
  <c r="E236" i="32" s="1" a="1"/>
  <c r="E236" i="32" s="1"/>
  <c r="D280" i="67" s="1" a="1"/>
  <c r="D280" i="67" s="1"/>
  <c r="E201" i="32"/>
  <c r="E242" i="32" s="1" a="1"/>
  <c r="E242" i="32" s="1"/>
  <c r="E191" i="32"/>
  <c r="E243" i="32" s="1" a="1"/>
  <c r="E243" i="32" s="1"/>
  <c r="E740" i="7" a="1"/>
  <c r="E740" i="7" s="1"/>
  <c r="T10" i="37" s="1" a="1"/>
  <c r="T10" i="37" s="1"/>
  <c r="F19" i="60" a="1"/>
  <c r="F19" i="60" s="1"/>
  <c r="T27" i="37" a="1"/>
  <c r="T27" i="37" s="1"/>
  <c r="U64" i="46" a="1"/>
  <c r="U64" i="46" s="1"/>
  <c r="U56" i="46" a="1"/>
  <c r="U56" i="46" s="1"/>
  <c r="U55" i="46" a="1"/>
  <c r="U55" i="46" s="1"/>
  <c r="U62" i="46" a="1"/>
  <c r="U62" i="46" s="1"/>
  <c r="U54" i="46" a="1"/>
  <c r="U54" i="46" s="1"/>
  <c r="U61" i="46" a="1"/>
  <c r="U61" i="46" s="1"/>
  <c r="U53" i="46" a="1"/>
  <c r="U53" i="46" s="1"/>
  <c r="U60" i="46" a="1"/>
  <c r="U60" i="46" s="1"/>
  <c r="U52" i="46" a="1"/>
  <c r="U52" i="46" s="1"/>
  <c r="U59" i="46" a="1"/>
  <c r="U59" i="46" s="1"/>
  <c r="U51" i="46" a="1"/>
  <c r="U51" i="46" s="1"/>
  <c r="U58" i="46" a="1"/>
  <c r="U58" i="46" s="1"/>
  <c r="U65" i="46" a="1"/>
  <c r="U65" i="46" s="1"/>
  <c r="U57" i="46" a="1"/>
  <c r="U57" i="46" s="1"/>
  <c r="F29" i="59" a="1"/>
  <c r="F84" i="59" a="1"/>
  <c r="T93" i="37" a="1"/>
  <c r="T93" i="37" s="1"/>
  <c r="T91" i="37" a="1"/>
  <c r="T91" i="37" s="1"/>
  <c r="F40" i="59" a="1"/>
  <c r="F51" i="59" a="1"/>
  <c r="E671" i="7" a="1"/>
  <c r="F73" i="59" a="1"/>
  <c r="F62" i="59" a="1"/>
  <c r="E672" i="7" a="1"/>
  <c r="E672" i="7" s="1"/>
  <c r="F95" i="59" a="1"/>
  <c r="T92" i="37" a="1"/>
  <c r="T92" i="37" s="1"/>
  <c r="F1601" i="17" a="1"/>
  <c r="F1601" i="17" s="1"/>
  <c r="F1163" i="17" a="1"/>
  <c r="F1163" i="17" s="1"/>
  <c r="F1592" i="17" a="1"/>
  <c r="F1592" i="17" s="1"/>
  <c r="F1610" i="17" a="1"/>
  <c r="F1610" i="17" s="1"/>
  <c r="E235" i="32" l="1" a="1"/>
  <c r="E235" i="32" s="1"/>
  <c r="J298" i="67"/>
  <c r="I245" i="59"/>
  <c r="J246" i="59"/>
  <c r="K247" i="59"/>
  <c r="K246" i="59"/>
  <c r="L247" i="59"/>
  <c r="K245" i="59"/>
  <c r="L246" i="59"/>
  <c r="M247" i="59"/>
  <c r="G246" i="59"/>
  <c r="H247" i="59"/>
  <c r="I247" i="59"/>
  <c r="H245" i="59"/>
  <c r="J247" i="59"/>
  <c r="J245" i="59"/>
  <c r="H246" i="59"/>
  <c r="L245" i="59"/>
  <c r="M246" i="59"/>
  <c r="M245" i="59"/>
  <c r="G247" i="59"/>
  <c r="G245" i="59"/>
  <c r="I246" i="59"/>
  <c r="F40" i="59"/>
  <c r="F51" i="59"/>
  <c r="F29" i="59"/>
  <c r="F62" i="59"/>
  <c r="G235" i="59"/>
  <c r="H236" i="59"/>
  <c r="I237" i="59"/>
  <c r="G236" i="59"/>
  <c r="H235" i="59"/>
  <c r="I236" i="59"/>
  <c r="J237" i="59"/>
  <c r="H237" i="59"/>
  <c r="I235" i="59"/>
  <c r="J236" i="59"/>
  <c r="K237" i="59"/>
  <c r="J235" i="59"/>
  <c r="K236" i="59"/>
  <c r="L237" i="59"/>
  <c r="K235" i="59"/>
  <c r="L236" i="59"/>
  <c r="M237" i="59"/>
  <c r="L235" i="59"/>
  <c r="M236" i="59"/>
  <c r="M235" i="59"/>
  <c r="G237" i="59"/>
  <c r="E673" i="7" a="1"/>
  <c r="E673" i="7" s="1"/>
  <c r="U50" i="46" a="1"/>
  <c r="U50" i="46" s="1"/>
  <c r="G101" i="59"/>
  <c r="F95" i="59"/>
  <c r="M101" i="59"/>
  <c r="J101" i="59"/>
  <c r="L101" i="59"/>
  <c r="H101" i="59"/>
  <c r="K101" i="59"/>
  <c r="I101" i="59"/>
  <c r="F73" i="59"/>
  <c r="M79" i="59"/>
  <c r="G79" i="59"/>
  <c r="L79" i="59"/>
  <c r="K79" i="59"/>
  <c r="I79" i="59"/>
  <c r="J79" i="59"/>
  <c r="H79" i="59"/>
  <c r="F84" i="59"/>
  <c r="G163" i="37" s="1" a="1"/>
  <c r="G163" i="37" s="1"/>
  <c r="E671" i="7"/>
  <c r="F1619" i="17" a="1"/>
  <c r="F1619" i="17" s="1"/>
  <c r="J336" i="67" l="1"/>
  <c r="J353" i="67"/>
  <c r="G298" i="67"/>
  <c r="I298" i="67"/>
  <c r="H298" i="67"/>
  <c r="E298" i="67"/>
  <c r="F298" i="67"/>
  <c r="K298" i="67"/>
  <c r="D298" i="67"/>
  <c r="F101" i="59"/>
  <c r="F285" i="59" s="1" a="1"/>
  <c r="F285" i="59" s="1"/>
  <c r="G133" i="37" s="1" a="1"/>
  <c r="G133" i="37" s="1"/>
  <c r="F245" i="59"/>
  <c r="F246" i="59"/>
  <c r="F247" i="59"/>
  <c r="F79" i="59"/>
  <c r="F28" i="64" s="1" a="1"/>
  <c r="F28" i="64" s="1"/>
  <c r="F235" i="59"/>
  <c r="F237" i="59"/>
  <c r="F236" i="59"/>
  <c r="U63" i="46" a="1"/>
  <c r="U63" i="46" s="1"/>
  <c r="T103" i="37" a="1"/>
  <c r="T103" i="37" s="1"/>
  <c r="H674" i="7"/>
  <c r="G674" i="7"/>
  <c r="L674" i="7"/>
  <c r="I674" i="7"/>
  <c r="J674" i="7"/>
  <c r="F674" i="7"/>
  <c r="K674" i="7"/>
  <c r="F30" i="56" a="1"/>
  <c r="F30" i="56" s="1"/>
  <c r="F391" i="56" a="1"/>
  <c r="F391" i="56" s="1"/>
  <c r="G141" i="37" s="1" a="1"/>
  <c r="G141" i="37" s="1"/>
  <c r="E674" i="7"/>
  <c r="U95" i="41" l="1" a="1"/>
  <c r="U95" i="41" s="1"/>
  <c r="F283" i="59" a="1"/>
  <c r="F283" i="59" s="1"/>
  <c r="E336" i="67"/>
  <c r="E353" i="67"/>
  <c r="H336" i="67"/>
  <c r="H353" i="67"/>
  <c r="I353" i="67"/>
  <c r="I336" i="67"/>
  <c r="F353" i="67"/>
  <c r="F336" i="67"/>
  <c r="G336" i="67"/>
  <c r="G353" i="67"/>
  <c r="K336" i="67"/>
  <c r="K353" i="67"/>
  <c r="D336" i="67"/>
  <c r="D353" i="67"/>
  <c r="D318" i="67" a="1"/>
  <c r="D318" i="67" s="1"/>
  <c r="D23" i="69" s="1" a="1"/>
  <c r="D23" i="69" s="1"/>
  <c r="E675" i="7" a="1"/>
  <c r="E675" i="7" s="1"/>
  <c r="F17" i="56" s="1" a="1"/>
  <c r="F17" i="56" s="1"/>
  <c r="G126" i="37" l="1" a="1"/>
  <c r="G126" i="37" s="1"/>
  <c r="U75" i="41" a="1"/>
  <c r="U75" i="41" s="1"/>
  <c r="D67" i="69" a="1"/>
  <c r="D67" i="69" s="1"/>
  <c r="D45" i="69" a="1"/>
  <c r="D45" i="69" s="1"/>
  <c r="F36" i="60" a="1"/>
  <c r="F36" i="60" s="1"/>
  <c r="F480" i="56"/>
  <c r="G480" i="56"/>
  <c r="J480" i="56"/>
  <c r="K480" i="56"/>
  <c r="H480" i="56"/>
  <c r="M480" i="56"/>
  <c r="I480" i="56"/>
  <c r="L480" i="56"/>
  <c r="M87" i="14" l="1"/>
  <c r="L87" i="14"/>
  <c r="K87" i="14"/>
  <c r="J87" i="14"/>
  <c r="I87" i="14"/>
  <c r="H87" i="14"/>
  <c r="G87" i="14"/>
  <c r="F87" i="14"/>
  <c r="M78" i="14"/>
  <c r="L78" i="14"/>
  <c r="K78" i="14"/>
  <c r="J78" i="14"/>
  <c r="I78" i="14"/>
  <c r="H78" i="14"/>
  <c r="G78" i="14"/>
  <c r="F78" i="14"/>
  <c r="M69" i="14"/>
  <c r="L69" i="14"/>
  <c r="K69" i="14"/>
  <c r="J69" i="14"/>
  <c r="I69" i="14"/>
  <c r="H69" i="14"/>
  <c r="G69" i="14"/>
  <c r="F69" i="14"/>
  <c r="M60" i="14"/>
  <c r="L60" i="14"/>
  <c r="K60" i="14"/>
  <c r="J60" i="14"/>
  <c r="I60" i="14"/>
  <c r="H60" i="14"/>
  <c r="G60" i="14"/>
  <c r="F60" i="14"/>
  <c r="M49" i="14"/>
  <c r="L49" i="14"/>
  <c r="K49" i="14"/>
  <c r="J49" i="14"/>
  <c r="I49" i="14"/>
  <c r="H49" i="14"/>
  <c r="G49" i="14"/>
  <c r="F49" i="14"/>
  <c r="M40" i="14"/>
  <c r="L40" i="14"/>
  <c r="K40" i="14"/>
  <c r="J40" i="14"/>
  <c r="I40" i="14"/>
  <c r="H40" i="14"/>
  <c r="G40" i="14"/>
  <c r="M31" i="14"/>
  <c r="L31" i="14"/>
  <c r="K31" i="14"/>
  <c r="J31" i="14"/>
  <c r="I31" i="14"/>
  <c r="H31" i="14"/>
  <c r="G31" i="14"/>
  <c r="F31" i="14"/>
  <c r="G22" i="14"/>
  <c r="H22" i="14"/>
  <c r="I22" i="14"/>
  <c r="J22" i="14"/>
  <c r="J113" i="14" s="1"/>
  <c r="K22" i="14"/>
  <c r="K113" i="14" s="1"/>
  <c r="L22" i="14"/>
  <c r="L113" i="14" s="1"/>
  <c r="M22" i="14"/>
  <c r="F22" i="14"/>
  <c r="M113" i="14" l="1"/>
  <c r="I113" i="14"/>
  <c r="H113" i="14"/>
  <c r="G113" i="14"/>
  <c r="M7" i="8" l="1"/>
  <c r="F503" i="8" l="1" a="1"/>
  <c r="F503" i="8" s="1"/>
  <c r="F504" i="8" a="1"/>
  <c r="F504" i="8" s="1"/>
  <c r="F502" i="8" a="1"/>
  <c r="F502" i="8" s="1"/>
  <c r="F512" i="8" a="1"/>
  <c r="F512" i="8" s="1"/>
  <c r="F501" i="8" a="1"/>
  <c r="F501" i="8" s="1"/>
  <c r="F355" i="8" a="1"/>
  <c r="F355" i="8" s="1"/>
  <c r="F411" i="8" a="1"/>
  <c r="F411" i="8" s="1"/>
  <c r="F536" i="8" a="1"/>
  <c r="F536" i="8" s="1"/>
  <c r="F534" i="8" a="1"/>
  <c r="F534" i="8" s="1"/>
  <c r="F515" i="8" a="1"/>
  <c r="F515" i="8" s="1"/>
  <c r="F514" i="8" a="1"/>
  <c r="F514" i="8" s="1"/>
  <c r="F513" i="8" a="1"/>
  <c r="F513" i="8" s="1"/>
  <c r="F535" i="8" a="1"/>
  <c r="F535" i="8" s="1"/>
  <c r="F547" i="8" a="1"/>
  <c r="F547" i="8" s="1"/>
  <c r="F546" i="8" a="1"/>
  <c r="F546" i="8" s="1"/>
  <c r="F544" i="8" a="1"/>
  <c r="F544" i="8" s="1"/>
  <c r="F533" i="8" a="1"/>
  <c r="F533" i="8" s="1"/>
  <c r="F545" i="8" a="1"/>
  <c r="F545" i="8" s="1"/>
  <c r="E26" i="54"/>
  <c r="E25" i="54"/>
  <c r="I32" i="54"/>
  <c r="K231" i="16" l="1"/>
  <c r="M231" i="16"/>
  <c r="I231" i="16"/>
  <c r="N231" i="16"/>
  <c r="H231" i="16"/>
  <c r="J231" i="16"/>
  <c r="L231" i="16"/>
  <c r="E188" i="13"/>
  <c r="F189" i="13" a="1"/>
  <c r="F189" i="13" s="1"/>
  <c r="F169" i="13" a="1"/>
  <c r="F169" i="13" s="1"/>
  <c r="E182" i="13"/>
  <c r="E189" i="13"/>
  <c r="E181" i="13"/>
  <c r="E168" i="13"/>
  <c r="E169" i="13"/>
  <c r="E167" i="13"/>
  <c r="F167" i="13" a="1"/>
  <c r="F167" i="13" s="1"/>
  <c r="F187" i="13" a="1"/>
  <c r="F187" i="13" s="1"/>
  <c r="E187" i="13"/>
  <c r="F168" i="13" a="1"/>
  <c r="F168" i="13" s="1"/>
  <c r="F188" i="13" a="1"/>
  <c r="F188" i="13" s="1"/>
  <c r="E183" i="13"/>
  <c r="G224" i="56"/>
  <c r="G221" i="56"/>
  <c r="G252" i="56"/>
  <c r="G223" i="56"/>
  <c r="H220" i="56"/>
  <c r="G193" i="56"/>
  <c r="H249" i="56"/>
  <c r="G251" i="56"/>
  <c r="H192" i="56"/>
  <c r="G248" i="56"/>
  <c r="G249" i="56"/>
  <c r="G196" i="56"/>
  <c r="G195" i="56"/>
  <c r="H193" i="56"/>
  <c r="H221" i="56"/>
  <c r="G220" i="56"/>
  <c r="F203" i="59" a="1"/>
  <c r="F203" i="59" s="1"/>
  <c r="F191" i="59" a="1"/>
  <c r="F191" i="59" s="1"/>
  <c r="F202" i="59" a="1"/>
  <c r="F202" i="59" s="1"/>
  <c r="F201" i="59" a="1"/>
  <c r="F201" i="59" s="1"/>
  <c r="F197" i="59" a="1"/>
  <c r="F197" i="59" s="1"/>
  <c r="F198" i="59" a="1"/>
  <c r="F198" i="59" s="1"/>
  <c r="F192" i="59" a="1"/>
  <c r="F192" i="59" s="1"/>
  <c r="F193" i="59" a="1"/>
  <c r="F193" i="59" s="1"/>
  <c r="F335" i="18" a="1"/>
  <c r="F335" i="18" s="1"/>
  <c r="F453" i="18"/>
  <c r="F454" i="18"/>
  <c r="F455" i="18"/>
  <c r="F459" i="18"/>
  <c r="F452" i="18"/>
  <c r="F457" i="18"/>
  <c r="F460" i="18"/>
  <c r="F458" i="18"/>
  <c r="F456" i="18"/>
  <c r="K1069" i="17"/>
  <c r="M1070" i="17"/>
  <c r="I1072" i="17"/>
  <c r="K1073" i="17"/>
  <c r="M1074" i="17"/>
  <c r="G1070" i="17"/>
  <c r="L1069" i="17"/>
  <c r="J1072" i="17"/>
  <c r="L1073" i="17"/>
  <c r="M1069" i="17"/>
  <c r="I1071" i="17"/>
  <c r="K1072" i="17"/>
  <c r="I1075" i="17"/>
  <c r="H1070" i="17"/>
  <c r="J1071" i="17"/>
  <c r="L1072" i="17"/>
  <c r="H1074" i="17"/>
  <c r="J1075" i="17"/>
  <c r="G1073" i="17"/>
  <c r="I1074" i="17"/>
  <c r="K1075" i="17"/>
  <c r="G1074" i="17"/>
  <c r="H1069" i="17"/>
  <c r="L1071" i="17"/>
  <c r="L1075" i="17"/>
  <c r="K1074" i="17"/>
  <c r="K1071" i="17"/>
  <c r="H1073" i="17"/>
  <c r="M1075" i="17"/>
  <c r="I1070" i="17"/>
  <c r="J1074" i="17"/>
  <c r="M1071" i="17"/>
  <c r="M1072" i="17"/>
  <c r="G1075" i="17"/>
  <c r="I1073" i="17"/>
  <c r="J1070" i="17"/>
  <c r="I1069" i="17"/>
  <c r="K1070" i="17"/>
  <c r="J1069" i="17"/>
  <c r="L1070" i="17"/>
  <c r="H1072" i="17"/>
  <c r="J1073" i="17"/>
  <c r="L1074" i="17"/>
  <c r="G1069" i="17"/>
  <c r="H1071" i="17"/>
  <c r="H1075" i="17"/>
  <c r="M1073" i="17"/>
  <c r="G1072" i="17"/>
  <c r="F173" i="13" a="1"/>
  <c r="F173" i="13" s="1"/>
  <c r="E175" i="13"/>
  <c r="E173" i="13"/>
  <c r="F1117" i="17" a="1"/>
  <c r="F1117" i="17" s="1"/>
  <c r="F175" i="13" a="1"/>
  <c r="F175" i="13" s="1"/>
  <c r="F174" i="13" a="1"/>
  <c r="F174" i="13" s="1"/>
  <c r="E174" i="13"/>
  <c r="F1119" i="17" a="1"/>
  <c r="F1119" i="17" s="1"/>
  <c r="F1116" i="17" a="1"/>
  <c r="F1116" i="17" s="1"/>
  <c r="F1118" i="17" a="1"/>
  <c r="F1118" i="17" s="1"/>
  <c r="F1114" i="17" a="1"/>
  <c r="F1114" i="17" s="1"/>
  <c r="F1115" i="17" a="1"/>
  <c r="F1115" i="17" s="1"/>
  <c r="E200" i="12"/>
  <c r="E201" i="12"/>
  <c r="E207" i="12"/>
  <c r="E215" i="12"/>
  <c r="E214" i="12"/>
  <c r="E208" i="12"/>
  <c r="L229" i="12"/>
  <c r="I229" i="12"/>
  <c r="H229" i="12"/>
  <c r="L208" i="12"/>
  <c r="L215" i="12"/>
  <c r="H200" i="12"/>
  <c r="L200" i="12"/>
  <c r="L228" i="12"/>
  <c r="I228" i="12"/>
  <c r="H208" i="12"/>
  <c r="L201" i="12"/>
  <c r="I207" i="12"/>
  <c r="K207" i="12"/>
  <c r="I215" i="12"/>
  <c r="J229" i="12"/>
  <c r="I230" i="12"/>
  <c r="J215" i="12"/>
  <c r="K208" i="12"/>
  <c r="K214" i="12"/>
  <c r="H214" i="12"/>
  <c r="J200" i="12"/>
  <c r="J228" i="12"/>
  <c r="K230" i="12"/>
  <c r="J201" i="12"/>
  <c r="I200" i="12"/>
  <c r="L207" i="12"/>
  <c r="K201" i="12"/>
  <c r="J230" i="12"/>
  <c r="K229" i="12"/>
  <c r="H215" i="12"/>
  <c r="I208" i="12"/>
  <c r="G207" i="12"/>
  <c r="J207" i="12"/>
  <c r="G200" i="12"/>
  <c r="G228" i="12"/>
  <c r="K228" i="12"/>
  <c r="H201" i="12"/>
  <c r="K215" i="12"/>
  <c r="I214" i="12"/>
  <c r="L214" i="12"/>
  <c r="G214" i="12"/>
  <c r="G230" i="12"/>
  <c r="H228" i="12"/>
  <c r="H207" i="12"/>
  <c r="L230" i="12"/>
  <c r="G229" i="12"/>
  <c r="H230" i="12"/>
  <c r="I201" i="12"/>
  <c r="J208" i="12"/>
  <c r="J214" i="12"/>
  <c r="K200" i="12"/>
  <c r="F208" i="12"/>
  <c r="F207" i="12"/>
  <c r="F215" i="12"/>
  <c r="G208" i="12"/>
  <c r="F214" i="12"/>
  <c r="F201" i="12"/>
  <c r="F200" i="12"/>
  <c r="F230" i="12"/>
  <c r="G215" i="12"/>
  <c r="F229" i="12"/>
  <c r="F228" i="12"/>
  <c r="G201" i="12"/>
  <c r="M345" i="56"/>
  <c r="K316" i="56"/>
  <c r="H294" i="56"/>
  <c r="I332" i="56"/>
  <c r="H303" i="56"/>
  <c r="G268" i="56"/>
  <c r="M240" i="56"/>
  <c r="L231" i="56"/>
  <c r="K204" i="56"/>
  <c r="J349" i="56"/>
  <c r="K287" i="56"/>
  <c r="I275" i="56"/>
  <c r="H262" i="56"/>
  <c r="L277" i="56" s="1"/>
  <c r="L352" i="56"/>
  <c r="H323" i="56"/>
  <c r="L337" i="56" s="1"/>
  <c r="M290" i="56"/>
  <c r="J265" i="56"/>
  <c r="I238" i="56"/>
  <c r="M252" i="56" s="1"/>
  <c r="H211" i="56"/>
  <c r="M344" i="56"/>
  <c r="J345" i="56"/>
  <c r="H316" i="56"/>
  <c r="K267" i="56"/>
  <c r="J240" i="56"/>
  <c r="I231" i="56"/>
  <c r="H204" i="56"/>
  <c r="I318" i="56"/>
  <c r="I296" i="56"/>
  <c r="M310" i="56" s="1"/>
  <c r="G334" i="56"/>
  <c r="G280" i="56"/>
  <c r="J331" i="56" s="1"/>
  <c r="K260" i="56"/>
  <c r="J233" i="56"/>
  <c r="I206" i="56"/>
  <c r="M221" i="56" s="1"/>
  <c r="G250" i="56"/>
  <c r="J343" i="56"/>
  <c r="M323" i="56"/>
  <c r="M295" i="56"/>
  <c r="H266" i="56"/>
  <c r="L280" i="56" s="1"/>
  <c r="G239" i="56"/>
  <c r="K253" i="56" s="1"/>
  <c r="M211" i="56"/>
  <c r="J226" i="56"/>
  <c r="L349" i="56"/>
  <c r="H320" i="56"/>
  <c r="K289" i="56"/>
  <c r="I277" i="56"/>
  <c r="J262" i="56"/>
  <c r="H208" i="56"/>
  <c r="L222" i="56" s="1"/>
  <c r="K236" i="56"/>
  <c r="L192" i="56"/>
  <c r="K262" i="56"/>
  <c r="H225" i="56"/>
  <c r="L193" i="56"/>
  <c r="K196" i="56"/>
  <c r="H195" i="56"/>
  <c r="J261" i="56"/>
  <c r="K193" i="56"/>
  <c r="M324" i="56"/>
  <c r="H344" i="56"/>
  <c r="K324" i="56"/>
  <c r="J315" i="56"/>
  <c r="G296" i="56"/>
  <c r="H331" i="56"/>
  <c r="M266" i="56"/>
  <c r="L239" i="56"/>
  <c r="K212" i="56"/>
  <c r="J203" i="56"/>
  <c r="I348" i="56"/>
  <c r="L318" i="56"/>
  <c r="J289" i="56"/>
  <c r="H275" i="56"/>
  <c r="G261" i="56"/>
  <c r="K276" i="56" s="1"/>
  <c r="M233" i="56"/>
  <c r="L206" i="56"/>
  <c r="K351" i="56"/>
  <c r="H322" i="56"/>
  <c r="L336" i="56" s="1"/>
  <c r="L292" i="56"/>
  <c r="I264" i="56"/>
  <c r="H237" i="56"/>
  <c r="L251" i="56" s="1"/>
  <c r="G210" i="56"/>
  <c r="K224" i="56" s="1"/>
  <c r="L343" i="56"/>
  <c r="H324" i="56"/>
  <c r="G315" i="56"/>
  <c r="G293" i="56"/>
  <c r="K307" i="56" s="1"/>
  <c r="J266" i="56"/>
  <c r="I239" i="56"/>
  <c r="M253" i="56" s="1"/>
  <c r="H212" i="56"/>
  <c r="L226" i="56" s="1"/>
  <c r="G203" i="56"/>
  <c r="J346" i="56"/>
  <c r="H317" i="56"/>
  <c r="I288" i="56"/>
  <c r="K268" i="56"/>
  <c r="J259" i="56"/>
  <c r="I232" i="56"/>
  <c r="M247" i="56" s="1"/>
  <c r="H205" i="56"/>
  <c r="L220" i="56" s="1"/>
  <c r="I352" i="56"/>
  <c r="M322" i="56"/>
  <c r="M287" i="56"/>
  <c r="I309" i="56"/>
  <c r="G265" i="56"/>
  <c r="K279" i="56" s="1"/>
  <c r="M237" i="56"/>
  <c r="L210" i="56"/>
  <c r="J253" i="56"/>
  <c r="I225" i="56"/>
  <c r="K348" i="56"/>
  <c r="H277" i="56"/>
  <c r="I261" i="56"/>
  <c r="H234" i="56"/>
  <c r="G351" i="56"/>
  <c r="J209" i="56"/>
  <c r="K191" i="56"/>
  <c r="K192" i="56"/>
  <c r="L191" i="56"/>
  <c r="I234" i="56"/>
  <c r="J222" i="56"/>
  <c r="J192" i="56"/>
  <c r="I226" i="56"/>
  <c r="H288" i="56"/>
  <c r="H198" i="56"/>
  <c r="G343" i="56"/>
  <c r="J323" i="56"/>
  <c r="M292" i="56"/>
  <c r="G288" i="56"/>
  <c r="G310" i="56"/>
  <c r="L265" i="56"/>
  <c r="K238" i="56"/>
  <c r="J211" i="56"/>
  <c r="H224" i="56"/>
  <c r="M346" i="56"/>
  <c r="K317" i="56"/>
  <c r="I333" i="56"/>
  <c r="H304" i="56"/>
  <c r="G275" i="56"/>
  <c r="M259" i="56"/>
  <c r="L232" i="56"/>
  <c r="K205" i="56"/>
  <c r="J350" i="56"/>
  <c r="M320" i="56"/>
  <c r="K294" i="56"/>
  <c r="J307" i="56"/>
  <c r="I282" i="56"/>
  <c r="G236" i="56"/>
  <c r="M208" i="56"/>
  <c r="K352" i="56"/>
  <c r="G323" i="56"/>
  <c r="K337" i="56" s="1"/>
  <c r="M289" i="56"/>
  <c r="I265" i="56"/>
  <c r="H238" i="56"/>
  <c r="L252" i="56" s="1"/>
  <c r="G211" i="56"/>
  <c r="K225" i="56" s="1"/>
  <c r="L344" i="56"/>
  <c r="I345" i="56"/>
  <c r="G316" i="56"/>
  <c r="H290" i="56"/>
  <c r="J267" i="56"/>
  <c r="I240" i="56"/>
  <c r="M254" i="56" s="1"/>
  <c r="H231" i="56"/>
  <c r="G204" i="56"/>
  <c r="K219" i="56" s="1"/>
  <c r="H351" i="56"/>
  <c r="K321" i="56"/>
  <c r="L289" i="56"/>
  <c r="I337" i="56"/>
  <c r="H308" i="56"/>
  <c r="J279" i="56"/>
  <c r="L236" i="56"/>
  <c r="K209" i="56"/>
  <c r="I223" i="56"/>
  <c r="M317" i="56"/>
  <c r="I293" i="56"/>
  <c r="M307" i="56" s="1"/>
  <c r="G306" i="56"/>
  <c r="G277" i="56"/>
  <c r="H260" i="56"/>
  <c r="G233" i="56"/>
  <c r="M205" i="56"/>
  <c r="J321" i="56"/>
  <c r="M349" i="56"/>
  <c r="I208" i="56"/>
  <c r="J191" i="56"/>
  <c r="L322" i="56"/>
  <c r="L348" i="56"/>
  <c r="M351" i="56"/>
  <c r="J322" i="56"/>
  <c r="L294" i="56"/>
  <c r="G338" i="56"/>
  <c r="K264" i="56"/>
  <c r="J237" i="56"/>
  <c r="I210" i="56"/>
  <c r="M224" i="56" s="1"/>
  <c r="L345" i="56"/>
  <c r="J316" i="56"/>
  <c r="H293" i="56"/>
  <c r="L307" i="56" s="1"/>
  <c r="H332" i="56"/>
  <c r="G303" i="56"/>
  <c r="M267" i="56"/>
  <c r="L240" i="56"/>
  <c r="K231" i="56"/>
  <c r="J204" i="56"/>
  <c r="I349" i="56"/>
  <c r="J296" i="56"/>
  <c r="J335" i="56"/>
  <c r="I305" i="56"/>
  <c r="H282" i="56"/>
  <c r="G262" i="56"/>
  <c r="K277" i="56" s="1"/>
  <c r="M234" i="56"/>
  <c r="J351" i="56"/>
  <c r="M321" i="56"/>
  <c r="J308" i="56"/>
  <c r="J281" i="56"/>
  <c r="H264" i="56"/>
  <c r="G237" i="56"/>
  <c r="M209" i="56"/>
  <c r="K343" i="56"/>
  <c r="G324" i="56"/>
  <c r="M296" i="56"/>
  <c r="G292" i="56"/>
  <c r="I266" i="56"/>
  <c r="M280" i="56" s="1"/>
  <c r="H239" i="56"/>
  <c r="L253" i="56" s="1"/>
  <c r="G212" i="56"/>
  <c r="K226" i="56" s="1"/>
  <c r="G350" i="56"/>
  <c r="J320" i="56"/>
  <c r="H336" i="56"/>
  <c r="G307" i="56"/>
  <c r="I279" i="56"/>
  <c r="L262" i="56"/>
  <c r="J208" i="56"/>
  <c r="J252" i="56"/>
  <c r="M303" i="56" s="1"/>
  <c r="H222" i="56"/>
  <c r="G346" i="56"/>
  <c r="L316" i="56"/>
  <c r="H295" i="56"/>
  <c r="L309" i="56" s="1"/>
  <c r="I303" i="56"/>
  <c r="H268" i="56"/>
  <c r="L282" i="56" s="1"/>
  <c r="G259" i="56"/>
  <c r="J310" i="56" s="1"/>
  <c r="M231" i="56"/>
  <c r="L204" i="56"/>
  <c r="L288" i="56"/>
  <c r="G254" i="56"/>
  <c r="J305" i="56" s="1"/>
  <c r="M198" i="56"/>
  <c r="I320" i="56"/>
  <c r="L350" i="56"/>
  <c r="H321" i="56"/>
  <c r="L335" i="56" s="1"/>
  <c r="K296" i="56"/>
  <c r="I236" i="56"/>
  <c r="H209" i="56"/>
  <c r="L223" i="56" s="1"/>
  <c r="G344" i="56"/>
  <c r="J324" i="56"/>
  <c r="I315" i="56"/>
  <c r="G295" i="56"/>
  <c r="K309" i="56" s="1"/>
  <c r="G331" i="56"/>
  <c r="L266" i="56"/>
  <c r="K239" i="56"/>
  <c r="J212" i="56"/>
  <c r="I203" i="56"/>
  <c r="H348" i="56"/>
  <c r="K318" i="56"/>
  <c r="J288" i="56"/>
  <c r="I334" i="56"/>
  <c r="G282" i="56"/>
  <c r="M260" i="56"/>
  <c r="L233" i="56"/>
  <c r="K206" i="56"/>
  <c r="I350" i="56"/>
  <c r="L320" i="56"/>
  <c r="K293" i="56"/>
  <c r="J336" i="56"/>
  <c r="I307" i="56"/>
  <c r="I281" i="56"/>
  <c r="L208" i="56"/>
  <c r="J352" i="56"/>
  <c r="G322" i="56"/>
  <c r="K336" i="56" s="1"/>
  <c r="M288" i="56"/>
  <c r="J309" i="56"/>
  <c r="H265" i="56"/>
  <c r="L279" i="56" s="1"/>
  <c r="G238" i="56"/>
  <c r="M210" i="56"/>
  <c r="J225" i="56"/>
  <c r="M276" i="56" s="1"/>
  <c r="M348" i="56"/>
  <c r="J293" i="56"/>
  <c r="G335" i="56"/>
  <c r="H279" i="56"/>
  <c r="K261" i="56"/>
  <c r="J234" i="56"/>
  <c r="I344" i="56"/>
  <c r="L324" i="56"/>
  <c r="K315" i="56"/>
  <c r="H287" i="56"/>
  <c r="I331" i="56"/>
  <c r="G267" i="56"/>
  <c r="K281" i="56" s="1"/>
  <c r="M239" i="56"/>
  <c r="L212" i="56"/>
  <c r="K203" i="56"/>
  <c r="I247" i="56"/>
  <c r="H337" i="56"/>
  <c r="I197" i="56"/>
  <c r="K290" i="56"/>
  <c r="L198" i="56"/>
  <c r="M238" i="56"/>
  <c r="K210" i="56"/>
  <c r="J292" i="56"/>
  <c r="K198" i="56"/>
  <c r="M197" i="56"/>
  <c r="L203" i="56"/>
  <c r="K349" i="56"/>
  <c r="G320" i="56"/>
  <c r="K288" i="56"/>
  <c r="I276" i="56"/>
  <c r="I262" i="56"/>
  <c r="M277" i="56" s="1"/>
  <c r="G208" i="56"/>
  <c r="K222" i="56" s="1"/>
  <c r="M352" i="56"/>
  <c r="I323" i="56"/>
  <c r="M337" i="56" s="1"/>
  <c r="G287" i="56"/>
  <c r="J338" i="56" s="1"/>
  <c r="K265" i="56"/>
  <c r="J238" i="56"/>
  <c r="I211" i="56"/>
  <c r="M225" i="56" s="1"/>
  <c r="L346" i="56"/>
  <c r="J317" i="56"/>
  <c r="I290" i="56"/>
  <c r="H333" i="56"/>
  <c r="G304" i="56"/>
  <c r="M268" i="56"/>
  <c r="L259" i="56"/>
  <c r="K232" i="56"/>
  <c r="J205" i="56"/>
  <c r="H349" i="56"/>
  <c r="J295" i="56"/>
  <c r="I335" i="56"/>
  <c r="H305" i="56"/>
  <c r="H281" i="56"/>
  <c r="M261" i="56"/>
  <c r="L234" i="56"/>
  <c r="I351" i="56"/>
  <c r="L321" i="56"/>
  <c r="L290" i="56"/>
  <c r="J337" i="56"/>
  <c r="I308" i="56"/>
  <c r="J280" i="56"/>
  <c r="G264" i="56"/>
  <c r="M236" i="56"/>
  <c r="L209" i="56"/>
  <c r="J223" i="56"/>
  <c r="H318" i="56"/>
  <c r="L333" i="56" s="1"/>
  <c r="I295" i="56"/>
  <c r="M309" i="56" s="1"/>
  <c r="I306" i="56"/>
  <c r="G279" i="56"/>
  <c r="J260" i="56"/>
  <c r="I233" i="56"/>
  <c r="H206" i="56"/>
  <c r="L221" i="56" s="1"/>
  <c r="H343" i="56"/>
  <c r="K323" i="56"/>
  <c r="M293" i="56"/>
  <c r="G289" i="56"/>
  <c r="K304" i="56" s="1"/>
  <c r="H310" i="56"/>
  <c r="M265" i="56"/>
  <c r="L238" i="56"/>
  <c r="K211" i="56"/>
  <c r="I224" i="56"/>
  <c r="H226" i="56"/>
  <c r="G308" i="56"/>
  <c r="I196" i="56"/>
  <c r="G336" i="56"/>
  <c r="H197" i="56"/>
  <c r="J251" i="56"/>
  <c r="I251" i="56"/>
  <c r="G197" i="56"/>
  <c r="J248" i="56" s="1"/>
  <c r="J303" i="56"/>
  <c r="K195" i="56"/>
  <c r="L317" i="56"/>
  <c r="I292" i="56"/>
  <c r="J333" i="56"/>
  <c r="I304" i="56"/>
  <c r="G276" i="56"/>
  <c r="G260" i="56"/>
  <c r="K275" i="56" s="1"/>
  <c r="M232" i="56"/>
  <c r="L205" i="56"/>
  <c r="K350" i="56"/>
  <c r="G321" i="56"/>
  <c r="K335" i="56" s="1"/>
  <c r="K295" i="56"/>
  <c r="J275" i="56"/>
  <c r="H236" i="56"/>
  <c r="G209" i="56"/>
  <c r="K223" i="56" s="1"/>
  <c r="M343" i="56"/>
  <c r="I324" i="56"/>
  <c r="H315" i="56"/>
  <c r="G294" i="56"/>
  <c r="K308" i="56" s="1"/>
  <c r="K266" i="56"/>
  <c r="J239" i="56"/>
  <c r="I212" i="56"/>
  <c r="M226" i="56" s="1"/>
  <c r="H203" i="56"/>
  <c r="K346" i="56"/>
  <c r="I317" i="56"/>
  <c r="I289" i="56"/>
  <c r="M304" i="56" s="1"/>
  <c r="G333" i="56"/>
  <c r="L268" i="56"/>
  <c r="K259" i="56"/>
  <c r="J232" i="56"/>
  <c r="I205" i="56"/>
  <c r="M220" i="56" s="1"/>
  <c r="G349" i="56"/>
  <c r="J294" i="56"/>
  <c r="H335" i="56"/>
  <c r="G305" i="56"/>
  <c r="H280" i="56"/>
  <c r="L261" i="56"/>
  <c r="K234" i="56"/>
  <c r="H251" i="56"/>
  <c r="K344" i="56"/>
  <c r="H345" i="56"/>
  <c r="M315" i="56"/>
  <c r="H289" i="56"/>
  <c r="K331" i="56"/>
  <c r="M279" i="56"/>
  <c r="I267" i="56"/>
  <c r="M281" i="56" s="1"/>
  <c r="H240" i="56"/>
  <c r="L254" i="56" s="1"/>
  <c r="G231" i="56"/>
  <c r="J282" i="56" s="1"/>
  <c r="M333" i="56" s="1"/>
  <c r="M203" i="56"/>
  <c r="M350" i="56"/>
  <c r="I321" i="56"/>
  <c r="M335" i="56" s="1"/>
  <c r="L287" i="56"/>
  <c r="G337" i="56"/>
  <c r="J236" i="56"/>
  <c r="I209" i="56"/>
  <c r="M223" i="56" s="1"/>
  <c r="I254" i="56"/>
  <c r="M193" i="56"/>
  <c r="I278" i="56"/>
  <c r="G247" i="56"/>
  <c r="M194" i="56"/>
  <c r="H219" i="56"/>
  <c r="G219" i="56"/>
  <c r="H278" i="56"/>
  <c r="L194" i="56"/>
  <c r="M204" i="56"/>
  <c r="H191" i="56" a="1"/>
  <c r="H191" i="56" s="1"/>
  <c r="G266" i="56"/>
  <c r="K280" i="56" s="1"/>
  <c r="J348" i="56"/>
  <c r="M206" i="56"/>
  <c r="I237" i="56"/>
  <c r="M251" i="56" s="1"/>
  <c r="L267" i="56"/>
  <c r="I336" i="56"/>
  <c r="I346" i="56"/>
  <c r="G205" i="56"/>
  <c r="K220" i="56" s="1"/>
  <c r="L264" i="56"/>
  <c r="M222" i="56"/>
  <c r="M195" i="56"/>
  <c r="G240" i="56"/>
  <c r="I310" i="56"/>
  <c r="H309" i="56"/>
  <c r="G318" i="56"/>
  <c r="I252" i="56"/>
  <c r="H296" i="56"/>
  <c r="I198" i="56"/>
  <c r="M212" i="56"/>
  <c r="G198" i="56"/>
  <c r="J249" i="56" s="1"/>
  <c r="L225" i="56"/>
  <c r="J196" i="56"/>
  <c r="G234" i="56"/>
  <c r="L323" i="56"/>
  <c r="H346" i="56"/>
  <c r="M318" i="56"/>
  <c r="L351" i="56"/>
  <c r="H210" i="56"/>
  <c r="L224" i="56" s="1"/>
  <c r="K240" i="56"/>
  <c r="G281" i="56"/>
  <c r="J332" i="56" s="1"/>
  <c r="H307" i="56"/>
  <c r="G317" i="56"/>
  <c r="K237" i="56"/>
  <c r="I253" i="56"/>
  <c r="I191" i="56"/>
  <c r="K251" i="56"/>
  <c r="J224" i="56"/>
  <c r="L237" i="56"/>
  <c r="I294" i="56"/>
  <c r="M308" i="56" s="1"/>
  <c r="J198" i="56"/>
  <c r="M249" i="56" s="1"/>
  <c r="I268" i="56"/>
  <c r="M282" i="56" s="1"/>
  <c r="M196" i="56"/>
  <c r="M294" i="56"/>
  <c r="I195" i="56"/>
  <c r="M191" i="56"/>
  <c r="H352" i="56"/>
  <c r="H232" i="56"/>
  <c r="L296" i="56"/>
  <c r="J195" i="56"/>
  <c r="J290" i="56"/>
  <c r="I322" i="56"/>
  <c r="M336" i="56" s="1"/>
  <c r="G345" i="56"/>
  <c r="J231" i="56"/>
  <c r="L260" i="56"/>
  <c r="I280" i="56"/>
  <c r="I287" i="56"/>
  <c r="L338" i="56" s="1"/>
  <c r="G352" i="56"/>
  <c r="J210" i="56"/>
  <c r="M316" i="56"/>
  <c r="H223" i="56"/>
  <c r="H254" i="56"/>
  <c r="I250" i="56"/>
  <c r="G232" i="56"/>
  <c r="J194" i="56"/>
  <c r="G290" i="56"/>
  <c r="M192" i="56"/>
  <c r="K292" i="56"/>
  <c r="J221" i="56"/>
  <c r="L293" i="56"/>
  <c r="K345" i="56"/>
  <c r="I204" i="56"/>
  <c r="M219" i="56" s="1"/>
  <c r="K233" i="56"/>
  <c r="M262" i="56"/>
  <c r="L332" i="56"/>
  <c r="K322" i="56"/>
  <c r="H253" i="56"/>
  <c r="H259" i="56"/>
  <c r="J220" i="56"/>
  <c r="I220" i="56"/>
  <c r="J247" i="56"/>
  <c r="H306" i="56"/>
  <c r="I248" i="56"/>
  <c r="L195" i="56"/>
  <c r="H252" i="56"/>
  <c r="K303" i="56" s="1"/>
  <c r="G226" i="56"/>
  <c r="J277" i="56" s="1"/>
  <c r="H334" i="56"/>
  <c r="H267" i="56"/>
  <c r="L281" i="56" s="1"/>
  <c r="I316" i="56"/>
  <c r="G348" i="56"/>
  <c r="J206" i="56"/>
  <c r="L295" i="56"/>
  <c r="G225" i="56"/>
  <c r="J276" i="56" s="1"/>
  <c r="H196" i="56"/>
  <c r="G253" i="56"/>
  <c r="J304" i="56" s="1"/>
  <c r="L196" i="56"/>
  <c r="K197" i="56"/>
  <c r="I221" i="56"/>
  <c r="G278" i="56"/>
  <c r="K194" i="56"/>
  <c r="H250" i="56"/>
  <c r="J344" i="56"/>
  <c r="L211" i="56"/>
  <c r="I338" i="56"/>
  <c r="J264" i="56"/>
  <c r="H276" i="56"/>
  <c r="L308" i="56"/>
  <c r="H292" i="56"/>
  <c r="J318" i="56"/>
  <c r="H350" i="56"/>
  <c r="K208" i="56"/>
  <c r="J268" i="56"/>
  <c r="H338" i="56"/>
  <c r="I343" i="56"/>
  <c r="J219" i="56"/>
  <c r="I194" i="56"/>
  <c r="H194" i="56"/>
  <c r="J197" i="56"/>
  <c r="I260" i="56"/>
  <c r="J193" i="56"/>
  <c r="H248" i="56"/>
  <c r="L315" i="56"/>
  <c r="I219" i="56"/>
  <c r="J254" i="56"/>
  <c r="M264" i="56"/>
  <c r="G206" i="56"/>
  <c r="K221" i="56" s="1"/>
  <c r="I249" i="56"/>
  <c r="H261" i="56"/>
  <c r="G332" i="56"/>
  <c r="J287" i="56"/>
  <c r="K320" i="56"/>
  <c r="K252" i="56"/>
  <c r="I259" i="56"/>
  <c r="G309" i="56"/>
  <c r="H247" i="56"/>
  <c r="I193" i="56"/>
  <c r="G191" i="56"/>
  <c r="G194" i="56"/>
  <c r="H233" i="56"/>
  <c r="L248" i="56" s="1"/>
  <c r="G222" i="56"/>
  <c r="I192" i="56"/>
  <c r="L197" i="56"/>
  <c r="I222" i="56"/>
  <c r="L219" i="56"/>
  <c r="F413" i="8" a="1"/>
  <c r="F413" i="8" s="1"/>
  <c r="F298" i="8" a="1"/>
  <c r="F298" i="8" s="1"/>
  <c r="F420" i="8" a="1"/>
  <c r="F420" i="8" s="1"/>
  <c r="F412" i="8" a="1"/>
  <c r="F412" i="8" s="1"/>
  <c r="F164" i="54"/>
  <c r="E165" i="54"/>
  <c r="F326" i="8" s="1" a="1"/>
  <c r="F326" i="8" s="1"/>
  <c r="E166" i="54"/>
  <c r="F163" i="54"/>
  <c r="F165" i="54"/>
  <c r="E164" i="54"/>
  <c r="F325" i="8" s="1" a="1"/>
  <c r="F325" i="8" s="1"/>
  <c r="E163" i="54"/>
  <c r="F324" i="8" s="1" a="1"/>
  <c r="F324" i="8" s="1"/>
  <c r="F166" i="54"/>
  <c r="F410" i="8" a="1"/>
  <c r="F410" i="8" s="1"/>
  <c r="F301" i="8" a="1"/>
  <c r="F301" i="8" s="1"/>
  <c r="F419" i="8" a="1"/>
  <c r="F419" i="8" s="1"/>
  <c r="E172" i="54"/>
  <c r="F344" i="8" s="1" a="1"/>
  <c r="F344" i="8" s="1"/>
  <c r="E170" i="54"/>
  <c r="F334" i="8" s="1" a="1"/>
  <c r="F334" i="8" s="1"/>
  <c r="F170" i="54"/>
  <c r="E171" i="54"/>
  <c r="F343" i="8" s="1" a="1"/>
  <c r="F343" i="8" s="1"/>
  <c r="E173" i="54"/>
  <c r="F345" i="8" s="1" a="1"/>
  <c r="F345" i="8" s="1"/>
  <c r="F172" i="54"/>
  <c r="F171" i="54"/>
  <c r="F173" i="54"/>
  <c r="F299" i="8" a="1"/>
  <c r="F299" i="8" s="1"/>
  <c r="F421" i="8" a="1"/>
  <c r="F421" i="8" s="1"/>
  <c r="F418" i="8" a="1"/>
  <c r="F418" i="8" s="1"/>
  <c r="F181" i="54"/>
  <c r="G190" i="54"/>
  <c r="G181" i="54"/>
  <c r="F364" i="8" a="1"/>
  <c r="F364" i="8" s="1"/>
  <c r="F308" i="8" a="1"/>
  <c r="F308" i="8" s="1"/>
  <c r="F363" i="8" a="1"/>
  <c r="F363" i="8" s="1"/>
  <c r="F307" i="8" a="1"/>
  <c r="F307" i="8" s="1"/>
  <c r="F356" i="8" a="1"/>
  <c r="F356" i="8" s="1"/>
  <c r="F362" i="8" a="1"/>
  <c r="F362" i="8" s="1"/>
  <c r="F306" i="8" a="1"/>
  <c r="F306" i="8" s="1"/>
  <c r="F300" i="8" a="1"/>
  <c r="F300" i="8" s="1"/>
  <c r="F357" i="8" a="1"/>
  <c r="F357" i="8" s="1"/>
  <c r="F309" i="8" a="1"/>
  <c r="F309" i="8" s="1"/>
  <c r="F354" i="8" a="1"/>
  <c r="F354" i="8" s="1"/>
  <c r="F365" i="8" a="1"/>
  <c r="F365" i="8" s="1"/>
  <c r="G184" i="54"/>
  <c r="F183" i="54"/>
  <c r="F182" i="54"/>
  <c r="G182" i="54"/>
  <c r="G183" i="54"/>
  <c r="F184" i="54"/>
  <c r="F189" i="54"/>
  <c r="F191" i="54"/>
  <c r="F190" i="54"/>
  <c r="G189" i="54"/>
  <c r="G191" i="54"/>
  <c r="F16" i="54"/>
  <c r="G16" i="54" s="1"/>
  <c r="H16" i="54" s="1"/>
  <c r="I16" i="54" s="1"/>
  <c r="J16" i="54" s="1"/>
  <c r="K16" i="54" s="1"/>
  <c r="L16" i="54" s="1"/>
  <c r="E10" i="54"/>
  <c r="F9" i="54"/>
  <c r="F10" i="54" s="1"/>
  <c r="N7" i="16"/>
  <c r="G309" i="16" s="1" a="1"/>
  <c r="G309" i="16" s="1"/>
  <c r="F359" i="59" l="1" a="1"/>
  <c r="F359" i="59" s="1"/>
  <c r="F361" i="59" a="1"/>
  <c r="F361" i="59" s="1"/>
  <c r="F360" i="59" a="1"/>
  <c r="F360" i="59" s="1"/>
  <c r="K338" i="56"/>
  <c r="M338" i="56"/>
  <c r="L331" i="56"/>
  <c r="L303" i="56"/>
  <c r="K310" i="56"/>
  <c r="K305" i="56"/>
  <c r="M305" i="56"/>
  <c r="K248" i="56"/>
  <c r="L249" i="56"/>
  <c r="L304" i="56"/>
  <c r="K249" i="56"/>
  <c r="K333" i="56"/>
  <c r="L276" i="56"/>
  <c r="M248" i="56"/>
  <c r="L305" i="56"/>
  <c r="M332" i="56"/>
  <c r="L247" i="56"/>
  <c r="K254" i="56"/>
  <c r="K247" i="56"/>
  <c r="M275" i="56"/>
  <c r="M331" i="56"/>
  <c r="K332" i="56"/>
  <c r="L310" i="56"/>
  <c r="L275" i="56"/>
  <c r="K282" i="56"/>
  <c r="G311" i="16" a="1"/>
  <c r="G311" i="16" s="1"/>
  <c r="E257" i="13" a="1"/>
  <c r="E257" i="13" s="1"/>
  <c r="F461" i="18"/>
  <c r="E256" i="13" a="1"/>
  <c r="E256" i="13" s="1"/>
  <c r="E255" i="13" a="1"/>
  <c r="E255" i="13" s="1"/>
  <c r="E248" i="13" a="1"/>
  <c r="E248" i="13" s="1"/>
  <c r="E249" i="13" a="1"/>
  <c r="E249" i="13" s="1"/>
  <c r="E250" i="13" a="1"/>
  <c r="E250" i="13" s="1"/>
  <c r="G229" i="16" a="1"/>
  <c r="G229" i="16" s="1"/>
  <c r="G295" i="16" a="1"/>
  <c r="G295" i="16" s="1"/>
  <c r="G245" i="16" a="1"/>
  <c r="G245" i="16" s="1"/>
  <c r="G278" i="16" a="1"/>
  <c r="G278" i="16" s="1"/>
  <c r="G276" i="16" a="1"/>
  <c r="G276" i="16" s="1"/>
  <c r="G262" i="16" a="1"/>
  <c r="G262" i="16" s="1"/>
  <c r="K1077" i="17"/>
  <c r="H1121" i="17"/>
  <c r="K1121" i="17"/>
  <c r="L1121" i="17"/>
  <c r="M1121" i="17"/>
  <c r="G1121" i="17"/>
  <c r="I1121" i="17"/>
  <c r="J1121" i="17"/>
  <c r="G1077" i="17"/>
  <c r="E333" i="12" a="1"/>
  <c r="E333" i="12" s="1"/>
  <c r="M1077" i="17"/>
  <c r="J297" i="56"/>
  <c r="K269" i="56"/>
  <c r="E359" i="12" a="1"/>
  <c r="E359" i="12" s="1"/>
  <c r="J241" i="56"/>
  <c r="E332" i="12" a="1"/>
  <c r="E332" i="12" s="1"/>
  <c r="L1077" i="17"/>
  <c r="I227" i="56"/>
  <c r="L278" i="56" s="1"/>
  <c r="M199" i="56"/>
  <c r="F1083" i="17" a="1"/>
  <c r="F1097" i="17" a="1"/>
  <c r="I1077" i="17"/>
  <c r="J1077" i="17"/>
  <c r="H255" i="56"/>
  <c r="K306" i="56" s="1"/>
  <c r="L325" i="56"/>
  <c r="J227" i="56"/>
  <c r="M278" i="56" s="1"/>
  <c r="H1077" i="17"/>
  <c r="I199" i="56"/>
  <c r="L250" i="56" s="1"/>
  <c r="H227" i="56"/>
  <c r="K278" i="56" s="1"/>
  <c r="H213" i="56"/>
  <c r="G269" i="56"/>
  <c r="K241" i="56"/>
  <c r="G283" i="56"/>
  <c r="J334" i="56" s="1"/>
  <c r="J339" i="56" s="1"/>
  <c r="J269" i="56"/>
  <c r="L353" i="56"/>
  <c r="H339" i="56"/>
  <c r="I283" i="56"/>
  <c r="L334" i="56" s="1"/>
  <c r="M227" i="56"/>
  <c r="M353" i="56"/>
  <c r="G297" i="56"/>
  <c r="E343" i="12" a="1"/>
  <c r="E343" i="12" s="1"/>
  <c r="H199" i="56"/>
  <c r="K250" i="56" s="1"/>
  <c r="G255" i="56"/>
  <c r="J306" i="56" s="1"/>
  <c r="J311" i="56" s="1"/>
  <c r="M325" i="56"/>
  <c r="I339" i="56"/>
  <c r="I311" i="56"/>
  <c r="H241" i="56"/>
  <c r="M297" i="56"/>
  <c r="J325" i="56"/>
  <c r="H311" i="56"/>
  <c r="E358" i="12" a="1"/>
  <c r="E358" i="12" s="1"/>
  <c r="M213" i="56"/>
  <c r="H353" i="56"/>
  <c r="H297" i="56"/>
  <c r="G339" i="56"/>
  <c r="G311" i="56"/>
  <c r="J213" i="56"/>
  <c r="I241" i="56"/>
  <c r="K297" i="56"/>
  <c r="E344" i="12" a="1"/>
  <c r="E344" i="12" s="1"/>
  <c r="E345" i="12" a="1"/>
  <c r="E345" i="12" s="1"/>
  <c r="G241" i="56"/>
  <c r="L269" i="56"/>
  <c r="I255" i="56"/>
  <c r="L306" i="56" s="1"/>
  <c r="K325" i="56"/>
  <c r="K353" i="56"/>
  <c r="J199" i="56"/>
  <c r="M250" i="56" s="1"/>
  <c r="K199" i="56"/>
  <c r="E357" i="12" a="1"/>
  <c r="E357" i="12" s="1"/>
  <c r="L227" i="56"/>
  <c r="K213" i="56"/>
  <c r="I325" i="56"/>
  <c r="H283" i="56"/>
  <c r="K334" i="56" s="1"/>
  <c r="I269" i="56"/>
  <c r="I353" i="56"/>
  <c r="K227" i="56"/>
  <c r="L213" i="56"/>
  <c r="I213" i="56"/>
  <c r="G325" i="56"/>
  <c r="G199" i="56"/>
  <c r="J250" i="56" s="1"/>
  <c r="J255" i="56" s="1"/>
  <c r="M306" i="56" s="1"/>
  <c r="M311" i="56" s="1"/>
  <c r="H269" i="56"/>
  <c r="I297" i="56"/>
  <c r="G227" i="56"/>
  <c r="J278" i="56" s="1"/>
  <c r="J283" i="56" s="1"/>
  <c r="M334" i="56" s="1"/>
  <c r="L297" i="56"/>
  <c r="H325" i="56"/>
  <c r="M241" i="56"/>
  <c r="M269" i="56"/>
  <c r="G353" i="56"/>
  <c r="L199" i="56"/>
  <c r="G213" i="56"/>
  <c r="J353" i="56"/>
  <c r="L241" i="56"/>
  <c r="E331" i="12" a="1"/>
  <c r="E331" i="12" s="1"/>
  <c r="G243" i="16" a="1"/>
  <c r="G243" i="16" s="1"/>
  <c r="F422" i="16" a="1"/>
  <c r="F422" i="16" s="1"/>
  <c r="F431" i="16" s="1" a="1"/>
  <c r="F431" i="16" s="1"/>
  <c r="F336" i="8" a="1"/>
  <c r="F336" i="8" s="1"/>
  <c r="F422" i="8" a="1"/>
  <c r="F422" i="8" s="1"/>
  <c r="F335" i="8" a="1"/>
  <c r="F335" i="8" s="1"/>
  <c r="F366" i="8" a="1"/>
  <c r="F366" i="8" s="1"/>
  <c r="F414" i="8" a="1"/>
  <c r="F414" i="8" s="1"/>
  <c r="F317" i="8" a="1"/>
  <c r="F317" i="8" s="1"/>
  <c r="F457" i="8" a="1"/>
  <c r="F457" i="8" s="1"/>
  <c r="F449" i="8" a="1"/>
  <c r="F449" i="8" s="1"/>
  <c r="F447" i="8" a="1"/>
  <c r="F447" i="8" s="1"/>
  <c r="F455" i="8" a="1"/>
  <c r="F455" i="8" s="1"/>
  <c r="F358" i="8" a="1"/>
  <c r="F358" i="8" s="1"/>
  <c r="F448" i="8" a="1"/>
  <c r="F448" i="8" s="1"/>
  <c r="F456" i="8" a="1"/>
  <c r="F456" i="8" s="1"/>
  <c r="F393" i="8" a="1"/>
  <c r="F393" i="8" s="1"/>
  <c r="F401" i="8" a="1"/>
  <c r="F401" i="8" s="1"/>
  <c r="F439" i="8" a="1"/>
  <c r="F439" i="8" s="1"/>
  <c r="F431" i="8" a="1"/>
  <c r="F431" i="8" s="1"/>
  <c r="F391" i="8" a="1"/>
  <c r="F391" i="8" s="1"/>
  <c r="F399" i="8" a="1"/>
  <c r="F399" i="8" s="1"/>
  <c r="F380" i="8" a="1"/>
  <c r="F380" i="8" s="1"/>
  <c r="F372" i="8" a="1"/>
  <c r="F372" i="8" s="1"/>
  <c r="F302" i="8" a="1"/>
  <c r="F302" i="8" s="1"/>
  <c r="F446" i="8" a="1"/>
  <c r="F446" i="8" s="1"/>
  <c r="F454" i="8" a="1"/>
  <c r="F454" i="8" s="1"/>
  <c r="F373" i="8" a="1"/>
  <c r="F373" i="8" s="1"/>
  <c r="F381" i="8" a="1"/>
  <c r="F381" i="8" s="1"/>
  <c r="F398" i="8" a="1"/>
  <c r="F398" i="8" s="1"/>
  <c r="F390" i="8" a="1"/>
  <c r="F390" i="8" s="1"/>
  <c r="F430" i="8" a="1"/>
  <c r="F430" i="8" s="1"/>
  <c r="F438" i="8" a="1"/>
  <c r="F438" i="8" s="1"/>
  <c r="F337" i="8" a="1"/>
  <c r="F337" i="8" s="1"/>
  <c r="F342" i="8" a="1"/>
  <c r="F342" i="8" s="1"/>
  <c r="F346" i="8" s="1" a="1"/>
  <c r="F346" i="8" s="1"/>
  <c r="F382" i="8" a="1"/>
  <c r="F382" i="8" s="1"/>
  <c r="F374" i="8" a="1"/>
  <c r="F374" i="8" s="1"/>
  <c r="F318" i="8" a="1"/>
  <c r="F318" i="8" s="1"/>
  <c r="F392" i="8" a="1"/>
  <c r="F392" i="8" s="1"/>
  <c r="F400" i="8" a="1"/>
  <c r="F400" i="8" s="1"/>
  <c r="F436" i="8" a="1"/>
  <c r="F436" i="8" s="1"/>
  <c r="F428" i="8" a="1"/>
  <c r="F428" i="8" s="1"/>
  <c r="F375" i="8" a="1"/>
  <c r="F375" i="8" s="1"/>
  <c r="F383" i="8" a="1"/>
  <c r="F383" i="8" s="1"/>
  <c r="F319" i="8" a="1"/>
  <c r="F319" i="8" s="1"/>
  <c r="F327" i="8" a="1"/>
  <c r="F327" i="8" s="1"/>
  <c r="F328" i="8" s="1" a="1"/>
  <c r="F328" i="8" s="1"/>
  <c r="F437" i="8" a="1"/>
  <c r="F437" i="8" s="1"/>
  <c r="F429" i="8" a="1"/>
  <c r="F429" i="8" s="1"/>
  <c r="F316" i="8" a="1"/>
  <c r="F316" i="8" s="1"/>
  <c r="F310" i="8" a="1"/>
  <c r="F310" i="8" s="1"/>
  <c r="G9" i="54"/>
  <c r="H9" i="54" s="1"/>
  <c r="I9" i="54" s="1"/>
  <c r="J9" i="54" s="1"/>
  <c r="K9" i="54" s="1"/>
  <c r="L9" i="54" s="1"/>
  <c r="M7" i="20"/>
  <c r="M7" i="19"/>
  <c r="M9" i="18"/>
  <c r="M9" i="17"/>
  <c r="M7" i="17"/>
  <c r="M7" i="15"/>
  <c r="M7" i="14"/>
  <c r="M7" i="10"/>
  <c r="M9" i="9"/>
  <c r="M7" i="9"/>
  <c r="F694" i="9" s="1" a="1"/>
  <c r="F694" i="9" s="1"/>
  <c r="M9" i="11"/>
  <c r="M7" i="11"/>
  <c r="K283" i="56" l="1"/>
  <c r="L339" i="56"/>
  <c r="L311" i="56"/>
  <c r="L283" i="56"/>
  <c r="K311" i="56"/>
  <c r="K339" i="56"/>
  <c r="M255" i="56"/>
  <c r="M339" i="56"/>
  <c r="M283" i="56"/>
  <c r="K255" i="56"/>
  <c r="L255" i="56"/>
  <c r="D279" i="67" a="1"/>
  <c r="G297" i="67" s="1"/>
  <c r="F682" i="17" a="1"/>
  <c r="M756" i="17" s="1"/>
  <c r="F188" i="14" a="1"/>
  <c r="F188" i="14" s="1"/>
  <c r="D278" i="67" a="1"/>
  <c r="F1097" i="17"/>
  <c r="F1105" i="17" s="1"/>
  <c r="H1105" i="17"/>
  <c r="J1105" i="17"/>
  <c r="I1105" i="17"/>
  <c r="G1105" i="17"/>
  <c r="K1105" i="17"/>
  <c r="M1105" i="17"/>
  <c r="L1105" i="17"/>
  <c r="F1083" i="17"/>
  <c r="F1091" i="17" s="1"/>
  <c r="H1091" i="17"/>
  <c r="J1091" i="17"/>
  <c r="I1091" i="17"/>
  <c r="K1091" i="17"/>
  <c r="M1091" i="17"/>
  <c r="L1091" i="17"/>
  <c r="G1091" i="17"/>
  <c r="F1194" i="17" a="1"/>
  <c r="F1194" i="17" s="1"/>
  <c r="F1141" i="17" a="1"/>
  <c r="F1121" i="17"/>
  <c r="F1195" i="17" s="1" a="1"/>
  <c r="F1195" i="17" s="1"/>
  <c r="F1127" i="17" a="1"/>
  <c r="F642" i="17" a="1"/>
  <c r="F693" i="17" a="1"/>
  <c r="F668" i="17" a="1"/>
  <c r="F657" i="17" a="1"/>
  <c r="F646" i="17" a="1"/>
  <c r="F672" i="17" a="1"/>
  <c r="F692" i="17" a="1"/>
  <c r="F678" i="17" a="1"/>
  <c r="F667" i="17" a="1"/>
  <c r="F656" i="17" a="1"/>
  <c r="F659" i="17" a="1"/>
  <c r="F688" i="17" a="1"/>
  <c r="F677" i="17" a="1"/>
  <c r="F666" i="17" a="1"/>
  <c r="F652" i="17" a="1"/>
  <c r="F648" i="17" a="1"/>
  <c r="F687" i="17" a="1"/>
  <c r="F676" i="17" a="1"/>
  <c r="F662" i="17" a="1"/>
  <c r="F651" i="17" a="1"/>
  <c r="F683" i="17" a="1"/>
  <c r="F686" i="17" a="1"/>
  <c r="F675" i="17" a="1"/>
  <c r="F661" i="17" a="1"/>
  <c r="F650" i="17" a="1"/>
  <c r="F674" i="17" a="1"/>
  <c r="F649" i="17" a="1"/>
  <c r="F684" i="17" a="1"/>
  <c r="F658" i="17" a="1"/>
  <c r="F685" i="17" a="1"/>
  <c r="F660" i="17" a="1"/>
  <c r="F673" i="17" a="1"/>
  <c r="F647" i="17" a="1"/>
  <c r="F445" i="56" a="1"/>
  <c r="F445" i="56" s="1"/>
  <c r="F444" i="56" a="1"/>
  <c r="F310" i="18" a="1"/>
  <c r="F308" i="18" a="1"/>
  <c r="F293" i="18" a="1"/>
  <c r="F291" i="18" a="1"/>
  <c r="F297" i="18" a="1"/>
  <c r="F295" i="18" a="1"/>
  <c r="F305" i="18" a="1"/>
  <c r="F294" i="18" a="1"/>
  <c r="F290" i="18" a="1"/>
  <c r="F312" i="18" a="1"/>
  <c r="F311" i="18" a="1"/>
  <c r="F298" i="18" a="1"/>
  <c r="F304" i="18" a="1"/>
  <c r="F307" i="18" a="1"/>
  <c r="F309" i="18" a="1"/>
  <c r="F306" i="18" a="1"/>
  <c r="F296" i="18" a="1"/>
  <c r="F292" i="18" a="1"/>
  <c r="F233" i="15" a="1"/>
  <c r="F233" i="15" s="1"/>
  <c r="F334" i="15" a="1"/>
  <c r="F334" i="15" s="1"/>
  <c r="F514" i="16" a="1"/>
  <c r="F514" i="16" s="1"/>
  <c r="F513" i="16" a="1"/>
  <c r="F513" i="16" s="1"/>
  <c r="F512" i="16" a="1"/>
  <c r="F512" i="16" s="1"/>
  <c r="F515" i="16" a="1"/>
  <c r="F515" i="16" s="1"/>
  <c r="F185" i="11" a="1"/>
  <c r="F185" i="11" s="1"/>
  <c r="F179" i="11" a="1"/>
  <c r="F179" i="11" s="1"/>
  <c r="F184" i="11" a="1"/>
  <c r="F184" i="11" s="1"/>
  <c r="F178" i="11" a="1"/>
  <c r="F178" i="11" s="1"/>
  <c r="F170" i="11" a="1"/>
  <c r="F170" i="11" s="1"/>
  <c r="F164" i="11" a="1"/>
  <c r="F164" i="11" s="1"/>
  <c r="F165" i="11" a="1"/>
  <c r="F165" i="11" s="1"/>
  <c r="F171" i="11" a="1"/>
  <c r="F171" i="11" s="1"/>
  <c r="F278" i="11" a="1"/>
  <c r="F278" i="11" s="1"/>
  <c r="F302" i="11" s="1" a="1"/>
  <c r="F302" i="11" s="1"/>
  <c r="F157" i="11" a="1"/>
  <c r="F157" i="11" s="1"/>
  <c r="F150" i="11" a="1"/>
  <c r="F150" i="11" s="1"/>
  <c r="F156" i="11" a="1"/>
  <c r="F156" i="11" s="1"/>
  <c r="F151" i="11" a="1"/>
  <c r="F151" i="11" s="1"/>
  <c r="F98" i="10" a="1"/>
  <c r="F98" i="10" s="1"/>
  <c r="F65" i="10" s="1" a="1"/>
  <c r="F65" i="10" s="1"/>
  <c r="F97" i="10" a="1"/>
  <c r="F97" i="10" s="1"/>
  <c r="F351" i="15" a="1"/>
  <c r="F351" i="15" s="1"/>
  <c r="F343" i="15" a="1"/>
  <c r="F343" i="15" s="1"/>
  <c r="F336" i="15" a="1"/>
  <c r="F336" i="15" s="1"/>
  <c r="F432" i="16" a="1"/>
  <c r="F432" i="16" s="1"/>
  <c r="F436" i="16" a="1"/>
  <c r="F436" i="16" s="1"/>
  <c r="F693" i="9" a="1"/>
  <c r="F693" i="9" s="1"/>
  <c r="F430" i="16" a="1"/>
  <c r="F430" i="16" s="1"/>
  <c r="F311" i="11" a="1"/>
  <c r="F311" i="11" s="1"/>
  <c r="F352" i="11" s="1" a="1"/>
  <c r="F352" i="11" s="1"/>
  <c r="F198" i="11" s="1" a="1"/>
  <c r="F198" i="11" s="1"/>
  <c r="F310" i="11" a="1"/>
  <c r="F310" i="11" s="1"/>
  <c r="F318" i="11" a="1"/>
  <c r="F318" i="11" s="1"/>
  <c r="F326" i="11" s="1" a="1"/>
  <c r="F326" i="11" s="1"/>
  <c r="F317" i="11" a="1"/>
  <c r="F317" i="11" s="1"/>
  <c r="F325" i="11" s="1" a="1"/>
  <c r="F325" i="11" s="1"/>
  <c r="F592" i="18" a="1"/>
  <c r="F592" i="18" s="1"/>
  <c r="F627" i="18" s="1" a="1"/>
  <c r="F627" i="18" s="1"/>
  <c r="F587" i="18" a="1"/>
  <c r="F587" i="18" s="1"/>
  <c r="F622" i="18" s="1" a="1"/>
  <c r="F622" i="18" s="1"/>
  <c r="F586" i="18" a="1"/>
  <c r="F586" i="18" s="1"/>
  <c r="F621" i="18" s="1" a="1"/>
  <c r="F621" i="18" s="1"/>
  <c r="F632" i="18" a="1"/>
  <c r="F632" i="18" s="1"/>
  <c r="F667" i="18" s="1" a="1"/>
  <c r="F667" i="18" s="1"/>
  <c r="F643" i="18" a="1"/>
  <c r="F643" i="18" s="1"/>
  <c r="F638" i="18" a="1"/>
  <c r="F638" i="18" s="1"/>
  <c r="F669" i="18" s="1" a="1"/>
  <c r="F669" i="18" s="1"/>
  <c r="F633" i="18" a="1"/>
  <c r="F633" i="18" s="1"/>
  <c r="F279" i="11" a="1"/>
  <c r="F279" i="11" s="1"/>
  <c r="F287" i="11" s="1" a="1"/>
  <c r="F287" i="11" s="1"/>
  <c r="F271" i="11" a="1"/>
  <c r="F271" i="11" s="1"/>
  <c r="F683" i="9" a="1"/>
  <c r="F683" i="9" s="1"/>
  <c r="F685" i="9" a="1"/>
  <c r="F685" i="9" s="1"/>
  <c r="F691" i="9" a="1"/>
  <c r="F691" i="9" s="1"/>
  <c r="F1230" i="17" a="1"/>
  <c r="F1230" i="17" s="1"/>
  <c r="F1244" i="17" s="1" a="1"/>
  <c r="F1244" i="17" s="1"/>
  <c r="F487" i="8" a="1"/>
  <c r="F487" i="8" s="1"/>
  <c r="F338" i="8" a="1"/>
  <c r="F338" i="8" s="1"/>
  <c r="F458" i="8" a="1"/>
  <c r="F458" i="8" s="1"/>
  <c r="F440" i="8" a="1"/>
  <c r="F440" i="8" s="1"/>
  <c r="F320" i="8" a="1"/>
  <c r="F320" i="8" s="1"/>
  <c r="F450" i="8" a="1"/>
  <c r="F450" i="8" s="1"/>
  <c r="F432" i="8" a="1"/>
  <c r="F432" i="8" s="1"/>
  <c r="F394" i="8" a="1"/>
  <c r="F394" i="8" s="1"/>
  <c r="F402" i="8" a="1"/>
  <c r="F402" i="8" s="1"/>
  <c r="F484" i="8" a="1"/>
  <c r="F484" i="8" s="1"/>
  <c r="F376" i="8" a="1"/>
  <c r="F376" i="8" s="1"/>
  <c r="F384" i="8" a="1"/>
  <c r="F384" i="8" s="1"/>
  <c r="F684" i="9" a="1"/>
  <c r="F684" i="9" s="1"/>
  <c r="F686" i="9" a="1"/>
  <c r="F686" i="9" s="1"/>
  <c r="F692" i="9" a="1"/>
  <c r="F692" i="9" s="1"/>
  <c r="F756" i="9" a="1"/>
  <c r="F755" i="9" a="1"/>
  <c r="F748" i="9" a="1"/>
  <c r="F748" i="9" s="1"/>
  <c r="F747" i="9" a="1"/>
  <c r="F747" i="9" s="1"/>
  <c r="F746" i="9" a="1"/>
  <c r="F746" i="9" s="1"/>
  <c r="F745" i="9" a="1"/>
  <c r="F745" i="9" s="1"/>
  <c r="F757" i="9" a="1"/>
  <c r="F757" i="9" s="1"/>
  <c r="F758" i="9" a="1"/>
  <c r="F758" i="9" s="1"/>
  <c r="F676" i="9" a="1"/>
  <c r="F676" i="9" s="1"/>
  <c r="F675" i="9" a="1"/>
  <c r="F675" i="9" s="1"/>
  <c r="F678" i="9" a="1"/>
  <c r="F678" i="9" s="1"/>
  <c r="F677" i="9" a="1"/>
  <c r="F677" i="9" s="1"/>
  <c r="F667" i="9" a="1"/>
  <c r="F667" i="9" s="1"/>
  <c r="F652" i="9" a="1"/>
  <c r="F652" i="9" s="1"/>
  <c r="F632" i="9" a="1"/>
  <c r="F632" i="9" s="1"/>
  <c r="F616" i="9" a="1"/>
  <c r="F616" i="9" s="1"/>
  <c r="F599" i="9" a="1"/>
  <c r="F599" i="9" s="1"/>
  <c r="F583" i="9" a="1"/>
  <c r="F583" i="9" s="1"/>
  <c r="F566" i="9" a="1"/>
  <c r="F566" i="9" s="1"/>
  <c r="F549" i="9" a="1"/>
  <c r="F549" i="9" s="1"/>
  <c r="F666" i="9" a="1"/>
  <c r="F666" i="9" s="1"/>
  <c r="F651" i="9" a="1"/>
  <c r="F651" i="9" s="1"/>
  <c r="F615" i="9" a="1"/>
  <c r="F615" i="9" s="1"/>
  <c r="F565" i="9" a="1"/>
  <c r="F565" i="9" s="1"/>
  <c r="F590" i="9" a="1"/>
  <c r="F590" i="9" s="1"/>
  <c r="F665" i="9" a="1"/>
  <c r="F665" i="9" s="1"/>
  <c r="F650" i="9" a="1"/>
  <c r="F650" i="9" s="1"/>
  <c r="F630" i="9" a="1"/>
  <c r="F630" i="9" s="1"/>
  <c r="F614" i="9" a="1"/>
  <c r="F614" i="9" s="1"/>
  <c r="F597" i="9" a="1"/>
  <c r="F597" i="9" s="1"/>
  <c r="F581" i="9" a="1"/>
  <c r="F581" i="9" s="1"/>
  <c r="F564" i="9" a="1"/>
  <c r="F564" i="9" s="1"/>
  <c r="F660" i="9" a="1"/>
  <c r="F660" i="9" s="1"/>
  <c r="F641" i="9" a="1"/>
  <c r="F641" i="9" s="1"/>
  <c r="F625" i="9" a="1"/>
  <c r="F625" i="9" s="1"/>
  <c r="F608" i="9" a="1"/>
  <c r="F608" i="9" s="1"/>
  <c r="F592" i="9" a="1"/>
  <c r="F592" i="9" s="1"/>
  <c r="F575" i="9" a="1"/>
  <c r="F575" i="9" s="1"/>
  <c r="F559" i="9" a="1"/>
  <c r="F559" i="9" s="1"/>
  <c r="F640" i="9" a="1"/>
  <c r="F640" i="9" s="1"/>
  <c r="F624" i="9" a="1"/>
  <c r="F624" i="9" s="1"/>
  <c r="F607" i="9" a="1"/>
  <c r="F607" i="9" s="1"/>
  <c r="F591" i="9" a="1"/>
  <c r="F591" i="9" s="1"/>
  <c r="F574" i="9" a="1"/>
  <c r="F574" i="9" s="1"/>
  <c r="F558" i="9" a="1"/>
  <c r="F558" i="9" s="1"/>
  <c r="F658" i="9" a="1"/>
  <c r="F658" i="9" s="1"/>
  <c r="F639" i="9" a="1"/>
  <c r="F639" i="9" s="1"/>
  <c r="F623" i="9" a="1"/>
  <c r="F623" i="9" s="1"/>
  <c r="F572" i="9" a="1"/>
  <c r="F572" i="9" s="1"/>
  <c r="F659" i="9" a="1"/>
  <c r="F659" i="9" s="1"/>
  <c r="F657" i="9" a="1"/>
  <c r="F657" i="9" s="1"/>
  <c r="F638" i="9" a="1"/>
  <c r="F638" i="9" s="1"/>
  <c r="F622" i="9" a="1"/>
  <c r="F622" i="9" s="1"/>
  <c r="F605" i="9" a="1"/>
  <c r="F605" i="9" s="1"/>
  <c r="F589" i="9" a="1"/>
  <c r="F589" i="9" s="1"/>
  <c r="F573" i="9" a="1"/>
  <c r="F573" i="9" s="1"/>
  <c r="F556" i="9" a="1"/>
  <c r="F556" i="9" s="1"/>
  <c r="F668" i="9" a="1"/>
  <c r="F668" i="9" s="1"/>
  <c r="F649" i="9" a="1"/>
  <c r="F649" i="9" s="1"/>
  <c r="F633" i="9" a="1"/>
  <c r="F633" i="9" s="1"/>
  <c r="F617" i="9" a="1"/>
  <c r="F617" i="9" s="1"/>
  <c r="F600" i="9" a="1"/>
  <c r="F600" i="9" s="1"/>
  <c r="F584" i="9" a="1"/>
  <c r="F584" i="9" s="1"/>
  <c r="F567" i="9" a="1"/>
  <c r="F567" i="9" s="1"/>
  <c r="F550" i="9" a="1"/>
  <c r="F550" i="9" s="1"/>
  <c r="F631" i="9" a="1"/>
  <c r="F631" i="9" s="1"/>
  <c r="F598" i="9" a="1"/>
  <c r="F598" i="9" s="1"/>
  <c r="F582" i="9" a="1"/>
  <c r="F582" i="9" s="1"/>
  <c r="F548" i="9" a="1"/>
  <c r="F548" i="9" s="1"/>
  <c r="F606" i="9" a="1"/>
  <c r="F606" i="9" s="1"/>
  <c r="F557" i="9" a="1"/>
  <c r="F557" i="9" s="1"/>
  <c r="F551" i="9" a="1"/>
  <c r="F551" i="9" s="1"/>
  <c r="F448" i="56" l="1" a="1"/>
  <c r="F448" i="56" s="1"/>
  <c r="F449" i="56" a="1"/>
  <c r="F449" i="56" s="1"/>
  <c r="F447" i="56" a="1"/>
  <c r="F447" i="56" s="1"/>
  <c r="F446" i="56" a="1"/>
  <c r="F446" i="56" s="1"/>
  <c r="F444" i="56"/>
  <c r="G352" i="67"/>
  <c r="G335" i="67"/>
  <c r="L756" i="17"/>
  <c r="H756" i="17"/>
  <c r="I756" i="17"/>
  <c r="K756" i="17"/>
  <c r="H297" i="67"/>
  <c r="J297" i="67"/>
  <c r="F297" i="67"/>
  <c r="K297" i="67"/>
  <c r="D279" i="67"/>
  <c r="D297" i="67" s="1"/>
  <c r="E297" i="67"/>
  <c r="I297" i="67"/>
  <c r="F682" i="17"/>
  <c r="G756" i="17" s="1"/>
  <c r="D270" i="67" a="1"/>
  <c r="G288" i="67" s="1"/>
  <c r="J756" i="17"/>
  <c r="D278" i="67"/>
  <c r="D296" i="67" s="1"/>
  <c r="E296" i="67"/>
  <c r="F296" i="67"/>
  <c r="G296" i="67"/>
  <c r="H296" i="67"/>
  <c r="I296" i="67"/>
  <c r="K296" i="67"/>
  <c r="J296" i="67"/>
  <c r="F348" i="11" a="1"/>
  <c r="F348" i="11" s="1"/>
  <c r="F197" i="11" s="1" a="1"/>
  <c r="F197" i="11" s="1"/>
  <c r="U49" i="47" s="1" a="1"/>
  <c r="U49" i="47" s="1"/>
  <c r="F357" i="11" a="1"/>
  <c r="F357" i="11" s="1"/>
  <c r="F358" i="11" a="1"/>
  <c r="F358" i="11" s="1"/>
  <c r="F195" i="11" s="1" a="1"/>
  <c r="F195" i="11" s="1"/>
  <c r="T89" i="37" a="1"/>
  <c r="T89" i="37" s="1"/>
  <c r="U40" i="48" a="1"/>
  <c r="U40" i="48" s="1"/>
  <c r="F253" i="11" a="1"/>
  <c r="F253" i="11" s="1"/>
  <c r="I344" i="18"/>
  <c r="L344" i="18"/>
  <c r="H344" i="18"/>
  <c r="M344" i="18"/>
  <c r="J344" i="18"/>
  <c r="K344" i="18"/>
  <c r="F306" i="18"/>
  <c r="F469" i="18" s="1" a="1"/>
  <c r="M428" i="18"/>
  <c r="I428" i="18"/>
  <c r="L428" i="18"/>
  <c r="K428" i="18"/>
  <c r="J428" i="18"/>
  <c r="H428" i="18"/>
  <c r="F294" i="18"/>
  <c r="F389" i="18" s="1" a="1"/>
  <c r="L348" i="18"/>
  <c r="H348" i="18"/>
  <c r="I348" i="18"/>
  <c r="J348" i="18"/>
  <c r="M348" i="18"/>
  <c r="K348" i="18"/>
  <c r="F296" i="18"/>
  <c r="F391" i="18" s="1" a="1"/>
  <c r="H350" i="18"/>
  <c r="K350" i="18"/>
  <c r="L350" i="18"/>
  <c r="J350" i="18"/>
  <c r="M350" i="18"/>
  <c r="I350" i="18"/>
  <c r="F310" i="18"/>
  <c r="F473" i="18" s="1" a="1"/>
  <c r="H432" i="18"/>
  <c r="J432" i="18"/>
  <c r="K432" i="18"/>
  <c r="M432" i="18"/>
  <c r="L432" i="18"/>
  <c r="I432" i="18"/>
  <c r="F309" i="18"/>
  <c r="F472" i="18" s="1" a="1"/>
  <c r="I431" i="18"/>
  <c r="H431" i="18"/>
  <c r="L431" i="18"/>
  <c r="J431" i="18"/>
  <c r="M431" i="18"/>
  <c r="K431" i="18"/>
  <c r="F305" i="18"/>
  <c r="F468" i="18" s="1" a="1"/>
  <c r="H427" i="18"/>
  <c r="I427" i="18"/>
  <c r="K427" i="18"/>
  <c r="J427" i="18"/>
  <c r="L427" i="18"/>
  <c r="M427" i="18"/>
  <c r="F307" i="18"/>
  <c r="F470" i="18" s="1" a="1"/>
  <c r="K429" i="18"/>
  <c r="M429" i="18"/>
  <c r="I429" i="18"/>
  <c r="H429" i="18"/>
  <c r="L429" i="18"/>
  <c r="J429" i="18"/>
  <c r="F304" i="18"/>
  <c r="F467" i="18" s="1" a="1"/>
  <c r="J426" i="18"/>
  <c r="L426" i="18"/>
  <c r="K426" i="18"/>
  <c r="H426" i="18"/>
  <c r="I426" i="18"/>
  <c r="M426" i="18"/>
  <c r="F298" i="18"/>
  <c r="F393" i="18" s="1" a="1"/>
  <c r="J352" i="18"/>
  <c r="M352" i="18"/>
  <c r="K352" i="18"/>
  <c r="L352" i="18"/>
  <c r="H352" i="18"/>
  <c r="I352" i="18"/>
  <c r="F291" i="18"/>
  <c r="F386" i="18" s="1" a="1"/>
  <c r="I345" i="18"/>
  <c r="J345" i="18"/>
  <c r="L345" i="18"/>
  <c r="H345" i="18"/>
  <c r="K345" i="18"/>
  <c r="M345" i="18"/>
  <c r="F295" i="18"/>
  <c r="F390" i="18" s="1" a="1"/>
  <c r="M349" i="18"/>
  <c r="I349" i="18"/>
  <c r="J349" i="18"/>
  <c r="H349" i="18"/>
  <c r="K349" i="18"/>
  <c r="L349" i="18"/>
  <c r="F297" i="18"/>
  <c r="F392" i="18" s="1" a="1"/>
  <c r="K351" i="18"/>
  <c r="J351" i="18"/>
  <c r="I351" i="18"/>
  <c r="M351" i="18"/>
  <c r="L351" i="18"/>
  <c r="H351" i="18"/>
  <c r="F311" i="18"/>
  <c r="F474" i="18" s="1" a="1"/>
  <c r="J433" i="18"/>
  <c r="H433" i="18"/>
  <c r="I433" i="18"/>
  <c r="M433" i="18"/>
  <c r="K433" i="18"/>
  <c r="L433" i="18"/>
  <c r="F293" i="18"/>
  <c r="F388" i="18" s="1" a="1"/>
  <c r="J347" i="18"/>
  <c r="L347" i="18"/>
  <c r="H347" i="18"/>
  <c r="M347" i="18"/>
  <c r="K347" i="18"/>
  <c r="I347" i="18"/>
  <c r="F292" i="18"/>
  <c r="F387" i="18" s="1" a="1"/>
  <c r="J346" i="18"/>
  <c r="H346" i="18"/>
  <c r="I346" i="18"/>
  <c r="K346" i="18"/>
  <c r="L346" i="18"/>
  <c r="M346" i="18"/>
  <c r="F312" i="18"/>
  <c r="F475" i="18" s="1" a="1"/>
  <c r="L434" i="18"/>
  <c r="M434" i="18"/>
  <c r="H434" i="18"/>
  <c r="K434" i="18"/>
  <c r="J434" i="18"/>
  <c r="I434" i="18"/>
  <c r="F308" i="18"/>
  <c r="F471" i="18" s="1" a="1"/>
  <c r="I430" i="18"/>
  <c r="H430" i="18"/>
  <c r="M430" i="18"/>
  <c r="J430" i="18"/>
  <c r="K430" i="18"/>
  <c r="L430" i="18"/>
  <c r="K726" i="17"/>
  <c r="J726" i="17"/>
  <c r="I726" i="17"/>
  <c r="H726" i="17"/>
  <c r="L726" i="17"/>
  <c r="M726" i="17"/>
  <c r="I747" i="17"/>
  <c r="M747" i="17"/>
  <c r="L747" i="17"/>
  <c r="K747" i="17"/>
  <c r="H747" i="17"/>
  <c r="J747" i="17"/>
  <c r="M735" i="17"/>
  <c r="J735" i="17"/>
  <c r="L735" i="17"/>
  <c r="K735" i="17"/>
  <c r="H735" i="17"/>
  <c r="I735" i="17"/>
  <c r="M722" i="17"/>
  <c r="I722" i="17"/>
  <c r="H722" i="17"/>
  <c r="L722" i="17"/>
  <c r="J722" i="17"/>
  <c r="K722" i="17"/>
  <c r="M752" i="17"/>
  <c r="L752" i="17"/>
  <c r="H752" i="17"/>
  <c r="I752" i="17"/>
  <c r="K752" i="17"/>
  <c r="J752" i="17"/>
  <c r="I766" i="17"/>
  <c r="K766" i="17"/>
  <c r="H766" i="17"/>
  <c r="J766" i="17"/>
  <c r="L766" i="17"/>
  <c r="M766" i="17"/>
  <c r="J759" i="17"/>
  <c r="M759" i="17"/>
  <c r="L759" i="17"/>
  <c r="K759" i="17"/>
  <c r="I759" i="17"/>
  <c r="H759" i="17"/>
  <c r="H760" i="17"/>
  <c r="M760" i="17"/>
  <c r="K760" i="17"/>
  <c r="L760" i="17"/>
  <c r="I760" i="17"/>
  <c r="J760" i="17"/>
  <c r="I740" i="17"/>
  <c r="H740" i="17"/>
  <c r="M740" i="17"/>
  <c r="K740" i="17"/>
  <c r="L740" i="17"/>
  <c r="J740" i="17"/>
  <c r="K746" i="17"/>
  <c r="J746" i="17"/>
  <c r="M746" i="17"/>
  <c r="I746" i="17"/>
  <c r="L746" i="17"/>
  <c r="H746" i="17"/>
  <c r="K734" i="17"/>
  <c r="J734" i="17"/>
  <c r="I734" i="17"/>
  <c r="M734" i="17"/>
  <c r="H734" i="17"/>
  <c r="L734" i="17"/>
  <c r="M732" i="17"/>
  <c r="L732" i="17"/>
  <c r="J732" i="17"/>
  <c r="I732" i="17"/>
  <c r="K732" i="17"/>
  <c r="H732" i="17"/>
  <c r="H757" i="17"/>
  <c r="M757" i="17"/>
  <c r="L757" i="17"/>
  <c r="K757" i="17"/>
  <c r="I757" i="17"/>
  <c r="J757" i="17"/>
  <c r="J751" i="17"/>
  <c r="H751" i="17"/>
  <c r="L751" i="17"/>
  <c r="M751" i="17"/>
  <c r="K751" i="17"/>
  <c r="I751" i="17"/>
  <c r="H720" i="17"/>
  <c r="K720" i="17"/>
  <c r="L720" i="17"/>
  <c r="M720" i="17"/>
  <c r="I720" i="17"/>
  <c r="J720" i="17"/>
  <c r="J749" i="17"/>
  <c r="I749" i="17"/>
  <c r="K749" i="17"/>
  <c r="H749" i="17"/>
  <c r="M749" i="17"/>
  <c r="L749" i="17"/>
  <c r="K758" i="17"/>
  <c r="J758" i="17"/>
  <c r="L758" i="17"/>
  <c r="H758" i="17"/>
  <c r="I758" i="17"/>
  <c r="M758" i="17"/>
  <c r="H725" i="17"/>
  <c r="I725" i="17"/>
  <c r="L725" i="17"/>
  <c r="K725" i="17"/>
  <c r="M725" i="17"/>
  <c r="J725" i="17"/>
  <c r="M762" i="17"/>
  <c r="H762" i="17"/>
  <c r="L762" i="17"/>
  <c r="K762" i="17"/>
  <c r="I762" i="17"/>
  <c r="J762" i="17"/>
  <c r="K731" i="17"/>
  <c r="M731" i="17"/>
  <c r="J731" i="17"/>
  <c r="H731" i="17"/>
  <c r="L731" i="17"/>
  <c r="I731" i="17"/>
  <c r="K723" i="17"/>
  <c r="M723" i="17"/>
  <c r="H723" i="17"/>
  <c r="I723" i="17"/>
  <c r="L723" i="17"/>
  <c r="J723" i="17"/>
  <c r="H736" i="17"/>
  <c r="I736" i="17"/>
  <c r="L736" i="17"/>
  <c r="J736" i="17"/>
  <c r="M736" i="17"/>
  <c r="K736" i="17"/>
  <c r="H733" i="17"/>
  <c r="K733" i="17"/>
  <c r="L733" i="17"/>
  <c r="J733" i="17"/>
  <c r="M733" i="17"/>
  <c r="I733" i="17"/>
  <c r="J742" i="17"/>
  <c r="I742" i="17"/>
  <c r="H742" i="17"/>
  <c r="M742" i="17"/>
  <c r="L742" i="17"/>
  <c r="K742" i="17"/>
  <c r="K748" i="17"/>
  <c r="L748" i="17"/>
  <c r="I748" i="17"/>
  <c r="M748" i="17"/>
  <c r="J748" i="17"/>
  <c r="H748" i="17"/>
  <c r="L750" i="17"/>
  <c r="I750" i="17"/>
  <c r="K750" i="17"/>
  <c r="J750" i="17"/>
  <c r="H750" i="17"/>
  <c r="M750" i="17"/>
  <c r="H730" i="17"/>
  <c r="L730" i="17"/>
  <c r="J730" i="17"/>
  <c r="K730" i="17"/>
  <c r="M730" i="17"/>
  <c r="I730" i="17"/>
  <c r="J767" i="17"/>
  <c r="K767" i="17"/>
  <c r="I767" i="17"/>
  <c r="H767" i="17"/>
  <c r="M767" i="17"/>
  <c r="L767" i="17"/>
  <c r="L721" i="17"/>
  <c r="M721" i="17"/>
  <c r="J721" i="17"/>
  <c r="K721" i="17"/>
  <c r="I721" i="17"/>
  <c r="H721" i="17"/>
  <c r="H724" i="17"/>
  <c r="I724" i="17"/>
  <c r="M724" i="17"/>
  <c r="L724" i="17"/>
  <c r="K724" i="17"/>
  <c r="J724" i="17"/>
  <c r="K761" i="17"/>
  <c r="J761" i="17"/>
  <c r="I761" i="17"/>
  <c r="H761" i="17"/>
  <c r="M761" i="17"/>
  <c r="L761" i="17"/>
  <c r="L741" i="17"/>
  <c r="K741" i="17"/>
  <c r="J741" i="17"/>
  <c r="I741" i="17"/>
  <c r="H741" i="17"/>
  <c r="M741" i="17"/>
  <c r="F642" i="17"/>
  <c r="J716" i="17"/>
  <c r="I716" i="17"/>
  <c r="K716" i="17"/>
  <c r="M716" i="17"/>
  <c r="H716" i="17"/>
  <c r="L716" i="17"/>
  <c r="F1127" i="17"/>
  <c r="F1135" i="17" s="1"/>
  <c r="G1135" i="17"/>
  <c r="H1135" i="17"/>
  <c r="I1135" i="17"/>
  <c r="J1135" i="17"/>
  <c r="K1135" i="17"/>
  <c r="L1135" i="17"/>
  <c r="M1135" i="17"/>
  <c r="F1141" i="17"/>
  <c r="F1149" i="17" s="1"/>
  <c r="G1149" i="17"/>
  <c r="I1149" i="17"/>
  <c r="J1149" i="17"/>
  <c r="L1149" i="17"/>
  <c r="M1149" i="17"/>
  <c r="K1149" i="17"/>
  <c r="H1149" i="17"/>
  <c r="F1196" i="17" a="1"/>
  <c r="F1196" i="17" s="1"/>
  <c r="F1198" i="17" a="1"/>
  <c r="F1198" i="17" s="1"/>
  <c r="F660" i="17"/>
  <c r="F910" i="17" s="1"/>
  <c r="H910" i="17"/>
  <c r="I910" i="17"/>
  <c r="J910" i="17"/>
  <c r="L910" i="17"/>
  <c r="G910" i="17"/>
  <c r="K910" i="17"/>
  <c r="M910" i="17"/>
  <c r="F675" i="17"/>
  <c r="F925" i="17" s="1"/>
  <c r="J935" i="17"/>
  <c r="H925" i="17"/>
  <c r="K935" i="17"/>
  <c r="I925" i="17"/>
  <c r="L935" i="17"/>
  <c r="H935" i="17"/>
  <c r="J925" i="17"/>
  <c r="I935" i="17"/>
  <c r="G925" i="17"/>
  <c r="M935" i="17"/>
  <c r="K925" i="17"/>
  <c r="L925" i="17"/>
  <c r="M925" i="17"/>
  <c r="G935" i="17"/>
  <c r="F652" i="17"/>
  <c r="F902" i="17" s="1"/>
  <c r="J902" i="17"/>
  <c r="L902" i="17"/>
  <c r="M902" i="17"/>
  <c r="K902" i="17"/>
  <c r="G902" i="17"/>
  <c r="I902" i="17"/>
  <c r="H902" i="17"/>
  <c r="F692" i="17"/>
  <c r="F942" i="17" s="1"/>
  <c r="M942" i="17"/>
  <c r="L942" i="17"/>
  <c r="G942" i="17"/>
  <c r="H942" i="17"/>
  <c r="K942" i="17"/>
  <c r="I942" i="17"/>
  <c r="J942" i="17"/>
  <c r="F672" i="17"/>
  <c r="F922" i="17" s="1"/>
  <c r="G932" i="17"/>
  <c r="M922" i="17"/>
  <c r="H932" i="17"/>
  <c r="I932" i="17"/>
  <c r="M932" i="17"/>
  <c r="K922" i="17"/>
  <c r="G922" i="17"/>
  <c r="J932" i="17"/>
  <c r="H922" i="17"/>
  <c r="K932" i="17"/>
  <c r="I922" i="17"/>
  <c r="L932" i="17"/>
  <c r="J922" i="17"/>
  <c r="L922" i="17"/>
  <c r="F658" i="17"/>
  <c r="F908" i="17" s="1"/>
  <c r="I908" i="17"/>
  <c r="J908" i="17"/>
  <c r="G908" i="17"/>
  <c r="L908" i="17"/>
  <c r="M908" i="17"/>
  <c r="H908" i="17"/>
  <c r="K908" i="17"/>
  <c r="F683" i="17"/>
  <c r="F933" i="17" s="1"/>
  <c r="F677" i="17"/>
  <c r="F927" i="17" s="1"/>
  <c r="L937" i="17"/>
  <c r="J927" i="17"/>
  <c r="M937" i="17"/>
  <c r="K927" i="17"/>
  <c r="L927" i="17"/>
  <c r="M927" i="17"/>
  <c r="K937" i="17"/>
  <c r="I927" i="17"/>
  <c r="G937" i="17"/>
  <c r="J937" i="17"/>
  <c r="H927" i="17"/>
  <c r="H937" i="17"/>
  <c r="I937" i="17"/>
  <c r="G927" i="17"/>
  <c r="F646" i="17"/>
  <c r="F896" i="17" s="1"/>
  <c r="L896" i="17"/>
  <c r="M896" i="17"/>
  <c r="H896" i="17"/>
  <c r="J896" i="17"/>
  <c r="K896" i="17"/>
  <c r="G896" i="17"/>
  <c r="I896" i="17"/>
  <c r="F684" i="17"/>
  <c r="F934" i="17" s="1"/>
  <c r="F651" i="17"/>
  <c r="F901" i="17" s="1"/>
  <c r="I901" i="17"/>
  <c r="J901" i="17"/>
  <c r="K901" i="17"/>
  <c r="L901" i="17"/>
  <c r="G901" i="17"/>
  <c r="H901" i="17"/>
  <c r="M901" i="17"/>
  <c r="F688" i="17"/>
  <c r="F938" i="17" s="1"/>
  <c r="F657" i="17"/>
  <c r="F907" i="17" s="1"/>
  <c r="M907" i="17"/>
  <c r="J907" i="17"/>
  <c r="L907" i="17"/>
  <c r="G907" i="17"/>
  <c r="H907" i="17"/>
  <c r="I907" i="17"/>
  <c r="K907" i="17"/>
  <c r="F685" i="17"/>
  <c r="F935" i="17" s="1"/>
  <c r="F649" i="17"/>
  <c r="F899" i="17" s="1"/>
  <c r="G899" i="17"/>
  <c r="I899" i="17"/>
  <c r="L899" i="17"/>
  <c r="M899" i="17"/>
  <c r="H899" i="17"/>
  <c r="K899" i="17"/>
  <c r="J899" i="17"/>
  <c r="F662" i="17"/>
  <c r="F912" i="17" s="1"/>
  <c r="J912" i="17"/>
  <c r="L912" i="17"/>
  <c r="H912" i="17"/>
  <c r="K912" i="17"/>
  <c r="M912" i="17"/>
  <c r="G912" i="17"/>
  <c r="I912" i="17"/>
  <c r="F659" i="17"/>
  <c r="F909" i="17" s="1"/>
  <c r="G909" i="17"/>
  <c r="I909" i="17"/>
  <c r="L909" i="17"/>
  <c r="M909" i="17"/>
  <c r="H909" i="17"/>
  <c r="J909" i="17"/>
  <c r="K909" i="17"/>
  <c r="F668" i="17"/>
  <c r="F918" i="17" s="1"/>
  <c r="I918" i="17"/>
  <c r="L918" i="17"/>
  <c r="G918" i="17"/>
  <c r="M918" i="17"/>
  <c r="H918" i="17"/>
  <c r="J918" i="17"/>
  <c r="K918" i="17"/>
  <c r="F666" i="17"/>
  <c r="F916" i="17" s="1"/>
  <c r="L916" i="17"/>
  <c r="H916" i="17"/>
  <c r="I916" i="17"/>
  <c r="M916" i="17"/>
  <c r="G916" i="17"/>
  <c r="J916" i="17"/>
  <c r="K916" i="17"/>
  <c r="F674" i="17"/>
  <c r="F924" i="17" s="1"/>
  <c r="I934" i="17"/>
  <c r="G924" i="17"/>
  <c r="J934" i="17"/>
  <c r="H924" i="17"/>
  <c r="I924" i="17"/>
  <c r="M924" i="17"/>
  <c r="J924" i="17"/>
  <c r="K934" i="17"/>
  <c r="H934" i="17"/>
  <c r="L934" i="17"/>
  <c r="G934" i="17"/>
  <c r="M934" i="17"/>
  <c r="K924" i="17"/>
  <c r="L924" i="17"/>
  <c r="F676" i="17"/>
  <c r="F926" i="17" s="1"/>
  <c r="K936" i="17"/>
  <c r="I926" i="17"/>
  <c r="L936" i="17"/>
  <c r="J926" i="17"/>
  <c r="M936" i="17"/>
  <c r="I936" i="17"/>
  <c r="G926" i="17"/>
  <c r="H926" i="17"/>
  <c r="K926" i="17"/>
  <c r="L926" i="17"/>
  <c r="J936" i="17"/>
  <c r="G936" i="17"/>
  <c r="M926" i="17"/>
  <c r="H936" i="17"/>
  <c r="F656" i="17"/>
  <c r="F906" i="17" s="1"/>
  <c r="L906" i="17"/>
  <c r="I906" i="17"/>
  <c r="J906" i="17"/>
  <c r="M906" i="17"/>
  <c r="G906" i="17"/>
  <c r="H906" i="17"/>
  <c r="K906" i="17"/>
  <c r="F686" i="17"/>
  <c r="F936" i="17" s="1"/>
  <c r="F647" i="17"/>
  <c r="F897" i="17" s="1"/>
  <c r="M897" i="17"/>
  <c r="G897" i="17"/>
  <c r="H897" i="17"/>
  <c r="I897" i="17"/>
  <c r="K897" i="17"/>
  <c r="J897" i="17"/>
  <c r="L897" i="17"/>
  <c r="F650" i="17"/>
  <c r="F900" i="17" s="1"/>
  <c r="H900" i="17"/>
  <c r="K900" i="17"/>
  <c r="L900" i="17"/>
  <c r="I900" i="17"/>
  <c r="G900" i="17"/>
  <c r="J900" i="17"/>
  <c r="M900" i="17"/>
  <c r="F687" i="17"/>
  <c r="F937" i="17" s="1"/>
  <c r="F667" i="17"/>
  <c r="F917" i="17" s="1"/>
  <c r="M917" i="17"/>
  <c r="G917" i="17"/>
  <c r="I917" i="17"/>
  <c r="L917" i="17"/>
  <c r="H917" i="17"/>
  <c r="J917" i="17"/>
  <c r="K917" i="17"/>
  <c r="F693" i="17"/>
  <c r="F943" i="17" s="1"/>
  <c r="G943" i="17"/>
  <c r="H943" i="17"/>
  <c r="L943" i="17"/>
  <c r="M943" i="17"/>
  <c r="I943" i="17"/>
  <c r="J943" i="17"/>
  <c r="K943" i="17"/>
  <c r="F673" i="17"/>
  <c r="F923" i="17" s="1"/>
  <c r="H933" i="17"/>
  <c r="I933" i="17"/>
  <c r="G923" i="17"/>
  <c r="J933" i="17"/>
  <c r="H923" i="17"/>
  <c r="I923" i="17"/>
  <c r="G933" i="17"/>
  <c r="K933" i="17"/>
  <c r="L923" i="17"/>
  <c r="L933" i="17"/>
  <c r="J923" i="17"/>
  <c r="M933" i="17"/>
  <c r="M923" i="17"/>
  <c r="K923" i="17"/>
  <c r="F661" i="17"/>
  <c r="F911" i="17" s="1"/>
  <c r="I911" i="17"/>
  <c r="L911" i="17"/>
  <c r="M911" i="17"/>
  <c r="J911" i="17"/>
  <c r="H911" i="17"/>
  <c r="K911" i="17"/>
  <c r="G911" i="17"/>
  <c r="F648" i="17"/>
  <c r="F898" i="17" s="1"/>
  <c r="L898" i="17"/>
  <c r="G898" i="17"/>
  <c r="H898" i="17"/>
  <c r="I898" i="17"/>
  <c r="M898" i="17"/>
  <c r="J898" i="17"/>
  <c r="K898" i="17"/>
  <c r="F678" i="17"/>
  <c r="F928" i="17" s="1"/>
  <c r="M938" i="17"/>
  <c r="K928" i="17"/>
  <c r="L928" i="17"/>
  <c r="G938" i="17"/>
  <c r="K938" i="17"/>
  <c r="I928" i="17"/>
  <c r="M928" i="17"/>
  <c r="L938" i="17"/>
  <c r="H938" i="17"/>
  <c r="J928" i="17"/>
  <c r="I938" i="17"/>
  <c r="G928" i="17"/>
  <c r="H928" i="17"/>
  <c r="J938" i="17"/>
  <c r="M892" i="17"/>
  <c r="I892" i="17"/>
  <c r="K892" i="17"/>
  <c r="L892" i="17"/>
  <c r="G892" i="17"/>
  <c r="H892" i="17"/>
  <c r="J892" i="17"/>
  <c r="F290" i="18"/>
  <c r="F385" i="18" s="1" a="1"/>
  <c r="F258" i="11" a="1"/>
  <c r="F258" i="11" s="1"/>
  <c r="F254" i="11" a="1"/>
  <c r="F254" i="11" s="1"/>
  <c r="F456" i="16" a="1"/>
  <c r="F456" i="16" s="1"/>
  <c r="F455" i="16" a="1"/>
  <c r="F455" i="16" s="1"/>
  <c r="F286" i="11" a="1"/>
  <c r="F286" i="11" s="1"/>
  <c r="F280" i="11"/>
  <c r="F516" i="16"/>
  <c r="F256" i="11" a="1"/>
  <c r="F256" i="11" s="1"/>
  <c r="F255" i="11" a="1"/>
  <c r="F255" i="11" s="1"/>
  <c r="F257" i="11" a="1"/>
  <c r="F257" i="11" s="1"/>
  <c r="G253" i="16" a="1"/>
  <c r="G253" i="16" s="1"/>
  <c r="G237" i="16" a="1"/>
  <c r="G237" i="16" s="1"/>
  <c r="G303" i="16" a="1"/>
  <c r="G303" i="16" s="1"/>
  <c r="G319" i="16" a="1"/>
  <c r="G319" i="16" s="1"/>
  <c r="G270" i="16" a="1"/>
  <c r="G270" i="16" s="1"/>
  <c r="G286" i="16" a="1"/>
  <c r="G286" i="16" s="1"/>
  <c r="F1259" i="17" a="1"/>
  <c r="F1259" i="17" s="1"/>
  <c r="F64" i="10" a="1"/>
  <c r="F64" i="10" s="1"/>
  <c r="F100" i="10"/>
  <c r="F107" i="10" a="1"/>
  <c r="F107" i="10" s="1"/>
  <c r="F448" i="16" a="1"/>
  <c r="F447" i="16" a="1"/>
  <c r="F447" i="16" s="1"/>
  <c r="F334" i="11" a="1"/>
  <c r="F334" i="11" s="1"/>
  <c r="F295" i="11" a="1"/>
  <c r="F295" i="11" s="1"/>
  <c r="F234" i="11" s="1" a="1"/>
  <c r="F234" i="11" s="1"/>
  <c r="F341" i="11" a="1"/>
  <c r="F341" i="11" s="1"/>
  <c r="F333" i="11" a="1"/>
  <c r="F333" i="11" s="1"/>
  <c r="F342" i="11" a="1"/>
  <c r="F342" i="11" s="1"/>
  <c r="F303" i="11" a="1"/>
  <c r="F303" i="11" s="1"/>
  <c r="F294" i="11" a="1"/>
  <c r="F294" i="11" s="1"/>
  <c r="F309" i="11" a="1"/>
  <c r="F309" i="11" s="1"/>
  <c r="F755" i="9"/>
  <c r="F756" i="9"/>
  <c r="F749" i="9"/>
  <c r="F518" i="18" a="1"/>
  <c r="F518" i="18" s="1"/>
  <c r="F695" i="18" a="1"/>
  <c r="F695" i="18" s="1"/>
  <c r="F670" i="18" a="1"/>
  <c r="F670" i="18" s="1"/>
  <c r="F682" i="18" a="1"/>
  <c r="F682" i="18" s="1"/>
  <c r="F692" i="18" a="1"/>
  <c r="F692" i="18" s="1"/>
  <c r="F681" i="18" a="1"/>
  <c r="F681" i="18" s="1"/>
  <c r="F694" i="18" a="1"/>
  <c r="F694" i="18" s="1"/>
  <c r="F695" i="9" a="1"/>
  <c r="F695" i="9" s="1"/>
  <c r="H327" i="11"/>
  <c r="I327" i="11"/>
  <c r="J327" i="11"/>
  <c r="M327" i="11"/>
  <c r="K327" i="11"/>
  <c r="L327" i="11"/>
  <c r="G327" i="11"/>
  <c r="H319" i="11"/>
  <c r="I319" i="11"/>
  <c r="K319" i="11"/>
  <c r="L319" i="11"/>
  <c r="J319" i="11"/>
  <c r="M319" i="11"/>
  <c r="G319" i="11"/>
  <c r="L280" i="11"/>
  <c r="M280" i="11"/>
  <c r="K280" i="11"/>
  <c r="H280" i="11"/>
  <c r="I280" i="11"/>
  <c r="G280" i="11"/>
  <c r="J280" i="11"/>
  <c r="F488" i="8" a="1"/>
  <c r="F488" i="8" s="1"/>
  <c r="F489" i="8" a="1"/>
  <c r="F489" i="8" s="1"/>
  <c r="F687" i="9" a="1"/>
  <c r="F687" i="9" s="1"/>
  <c r="F485" i="8" a="1"/>
  <c r="F485" i="8" s="1"/>
  <c r="F486" i="8" a="1"/>
  <c r="F486" i="8" s="1"/>
  <c r="F679" i="9" a="1"/>
  <c r="F679" i="9" s="1"/>
  <c r="F576" i="9" a="1"/>
  <c r="F576" i="9" s="1"/>
  <c r="F552" i="9" a="1"/>
  <c r="F552" i="9" s="1"/>
  <c r="F560" i="9" a="1"/>
  <c r="F560" i="9" s="1"/>
  <c r="F568" i="9" a="1"/>
  <c r="F568" i="9" s="1"/>
  <c r="F626" i="9" a="1"/>
  <c r="F626" i="9" s="1"/>
  <c r="F593" i="9" a="1"/>
  <c r="F593" i="9" s="1"/>
  <c r="F585" i="9" a="1"/>
  <c r="F585" i="9" s="1"/>
  <c r="F609" i="9" a="1"/>
  <c r="F609" i="9" s="1"/>
  <c r="F601" i="9" a="1"/>
  <c r="F601" i="9" s="1"/>
  <c r="F618" i="9" a="1"/>
  <c r="F618" i="9" s="1"/>
  <c r="F642" i="9" a="1"/>
  <c r="F642" i="9" s="1"/>
  <c r="F634" i="9" a="1"/>
  <c r="F634" i="9" s="1"/>
  <c r="F669" i="9" a="1"/>
  <c r="F669" i="9" s="1"/>
  <c r="F661" i="9" a="1"/>
  <c r="F661" i="9" s="1"/>
  <c r="F653" i="9" a="1"/>
  <c r="F653" i="9" s="1"/>
  <c r="F1233" i="17" a="1"/>
  <c r="F1233" i="17" s="1"/>
  <c r="J351" i="67" l="1"/>
  <c r="J334" i="67"/>
  <c r="J335" i="67"/>
  <c r="J352" i="67"/>
  <c r="K334" i="67"/>
  <c r="K351" i="67"/>
  <c r="G326" i="67"/>
  <c r="G343" i="67"/>
  <c r="H352" i="67"/>
  <c r="H335" i="67"/>
  <c r="I351" i="67"/>
  <c r="I334" i="67"/>
  <c r="H351" i="67"/>
  <c r="H334" i="67"/>
  <c r="I352" i="67"/>
  <c r="I335" i="67"/>
  <c r="G334" i="67"/>
  <c r="G351" i="67"/>
  <c r="E352" i="67"/>
  <c r="E335" i="67"/>
  <c r="F351" i="67"/>
  <c r="F334" i="67"/>
  <c r="D335" i="67"/>
  <c r="D352" i="67"/>
  <c r="E334" i="67"/>
  <c r="E351" i="67"/>
  <c r="K335" i="67"/>
  <c r="K352" i="67"/>
  <c r="D351" i="67"/>
  <c r="D334" i="67"/>
  <c r="F352" i="67"/>
  <c r="F335" i="67"/>
  <c r="F932" i="17"/>
  <c r="G716" i="17"/>
  <c r="F774" i="17" s="1" a="1"/>
  <c r="F892" i="17"/>
  <c r="F1008" i="17" s="1" a="1"/>
  <c r="F1008" i="17" s="1"/>
  <c r="D317" i="67" a="1"/>
  <c r="D317" i="67" s="1"/>
  <c r="D22" i="69" s="1" a="1"/>
  <c r="D22" i="69" s="1"/>
  <c r="F288" i="67"/>
  <c r="H288" i="67"/>
  <c r="J288" i="67"/>
  <c r="E288" i="67"/>
  <c r="K288" i="67"/>
  <c r="I288" i="67"/>
  <c r="D270" i="67"/>
  <c r="D288" i="67" s="1"/>
  <c r="D316" i="67" a="1"/>
  <c r="D316" i="67" s="1"/>
  <c r="D21" i="69" s="1" a="1"/>
  <c r="D21" i="69" s="1"/>
  <c r="D273" i="67" a="1"/>
  <c r="D273" i="67" s="1"/>
  <c r="D291" i="67" s="1"/>
  <c r="L263" i="16"/>
  <c r="N230" i="16"/>
  <c r="I263" i="16"/>
  <c r="H263" i="16"/>
  <c r="K296" i="16"/>
  <c r="L230" i="16"/>
  <c r="J296" i="16"/>
  <c r="M296" i="16"/>
  <c r="H230" i="16"/>
  <c r="M263" i="16"/>
  <c r="K263" i="16"/>
  <c r="J263" i="16"/>
  <c r="N263" i="16"/>
  <c r="N296" i="16"/>
  <c r="K230" i="16"/>
  <c r="I230" i="16"/>
  <c r="J230" i="16"/>
  <c r="H296" i="16"/>
  <c r="L296" i="16"/>
  <c r="I296" i="16"/>
  <c r="M230" i="16"/>
  <c r="M435" i="18"/>
  <c r="K353" i="18"/>
  <c r="I435" i="18"/>
  <c r="J353" i="18"/>
  <c r="H435" i="18"/>
  <c r="M353" i="18"/>
  <c r="K435" i="18"/>
  <c r="H353" i="18"/>
  <c r="L435" i="18"/>
  <c r="L353" i="18"/>
  <c r="J435" i="18"/>
  <c r="I353" i="18"/>
  <c r="L394" i="18"/>
  <c r="I394" i="18"/>
  <c r="H394" i="18"/>
  <c r="G394" i="18"/>
  <c r="M394" i="18"/>
  <c r="K394" i="18"/>
  <c r="J394" i="18"/>
  <c r="L476" i="18"/>
  <c r="J476" i="18"/>
  <c r="H476" i="18"/>
  <c r="I476" i="18"/>
  <c r="G476" i="18"/>
  <c r="M476" i="18"/>
  <c r="K476" i="18"/>
  <c r="G348" i="18"/>
  <c r="G374" i="18" s="1" a="1"/>
  <c r="G374" i="18" s="1"/>
  <c r="H401" i="18"/>
  <c r="M401" i="18"/>
  <c r="L414" i="18"/>
  <c r="J414" i="18"/>
  <c r="I401" i="18"/>
  <c r="G401" i="18"/>
  <c r="J401" i="18"/>
  <c r="F388" i="18"/>
  <c r="I414" i="18"/>
  <c r="M414" i="18"/>
  <c r="H414" i="18"/>
  <c r="L401" i="18"/>
  <c r="K401" i="18"/>
  <c r="G414" i="18"/>
  <c r="K414" i="18"/>
  <c r="J399" i="18"/>
  <c r="K412" i="18"/>
  <c r="L399" i="18"/>
  <c r="H399" i="18"/>
  <c r="F386" i="18"/>
  <c r="M399" i="18"/>
  <c r="G412" i="18"/>
  <c r="I399" i="18"/>
  <c r="L412" i="18"/>
  <c r="M412" i="18"/>
  <c r="H412" i="18"/>
  <c r="G399" i="18"/>
  <c r="I412" i="18"/>
  <c r="K399" i="18"/>
  <c r="J412" i="18"/>
  <c r="H498" i="18"/>
  <c r="J485" i="18"/>
  <c r="H485" i="18"/>
  <c r="K485" i="18"/>
  <c r="M485" i="18"/>
  <c r="K498" i="18"/>
  <c r="M498" i="18"/>
  <c r="F472" i="18"/>
  <c r="L498" i="18"/>
  <c r="J498" i="18"/>
  <c r="I498" i="18"/>
  <c r="G498" i="18"/>
  <c r="I485" i="18"/>
  <c r="G485" i="18"/>
  <c r="L485" i="18"/>
  <c r="G404" i="18"/>
  <c r="I417" i="18"/>
  <c r="L417" i="18"/>
  <c r="H417" i="18"/>
  <c r="J417" i="18"/>
  <c r="K404" i="18"/>
  <c r="F391" i="18"/>
  <c r="L404" i="18"/>
  <c r="M404" i="18"/>
  <c r="M417" i="18"/>
  <c r="K417" i="18"/>
  <c r="I404" i="18"/>
  <c r="H404" i="18"/>
  <c r="G417" i="18"/>
  <c r="J404" i="18"/>
  <c r="G482" i="18"/>
  <c r="I495" i="18"/>
  <c r="H495" i="18"/>
  <c r="I482" i="18"/>
  <c r="H482" i="18"/>
  <c r="K495" i="18"/>
  <c r="F469" i="18"/>
  <c r="J482" i="18"/>
  <c r="K482" i="18"/>
  <c r="L482" i="18"/>
  <c r="M495" i="18"/>
  <c r="J495" i="18"/>
  <c r="L495" i="18"/>
  <c r="M482" i="18"/>
  <c r="G495" i="18"/>
  <c r="L443" i="18"/>
  <c r="L456" i="18"/>
  <c r="G434" i="18"/>
  <c r="G346" i="18"/>
  <c r="L459" i="18"/>
  <c r="L446" i="18"/>
  <c r="G349" i="18"/>
  <c r="M439" i="18"/>
  <c r="M452" i="18"/>
  <c r="G429" i="18"/>
  <c r="M440" i="18"/>
  <c r="M453" i="18"/>
  <c r="K457" i="18"/>
  <c r="K444" i="18"/>
  <c r="I445" i="18"/>
  <c r="I458" i="18"/>
  <c r="G428" i="18"/>
  <c r="F392" i="18"/>
  <c r="M418" i="18"/>
  <c r="K418" i="18"/>
  <c r="M405" i="18"/>
  <c r="H418" i="18"/>
  <c r="I405" i="18"/>
  <c r="H405" i="18"/>
  <c r="J418" i="18"/>
  <c r="G405" i="18"/>
  <c r="G418" i="18"/>
  <c r="J405" i="18"/>
  <c r="L418" i="18"/>
  <c r="K405" i="18"/>
  <c r="I418" i="18"/>
  <c r="L405" i="18"/>
  <c r="G403" i="18"/>
  <c r="H416" i="18"/>
  <c r="F390" i="18"/>
  <c r="J403" i="18"/>
  <c r="I416" i="18"/>
  <c r="J416" i="18"/>
  <c r="K403" i="18"/>
  <c r="K416" i="18"/>
  <c r="L416" i="18"/>
  <c r="L403" i="18"/>
  <c r="M403" i="18"/>
  <c r="I403" i="18"/>
  <c r="G416" i="18"/>
  <c r="M416" i="18"/>
  <c r="H403" i="18"/>
  <c r="K494" i="18"/>
  <c r="K481" i="18"/>
  <c r="F468" i="18"/>
  <c r="L494" i="18"/>
  <c r="G494" i="18"/>
  <c r="M494" i="18"/>
  <c r="J494" i="18"/>
  <c r="G481" i="18"/>
  <c r="M481" i="18"/>
  <c r="J481" i="18"/>
  <c r="I494" i="18"/>
  <c r="I481" i="18"/>
  <c r="H494" i="18"/>
  <c r="H481" i="18"/>
  <c r="L481" i="18"/>
  <c r="G486" i="18"/>
  <c r="K499" i="18"/>
  <c r="H499" i="18"/>
  <c r="I499" i="18"/>
  <c r="M499" i="18"/>
  <c r="H486" i="18"/>
  <c r="I486" i="18"/>
  <c r="F473" i="18"/>
  <c r="J486" i="18"/>
  <c r="K486" i="18"/>
  <c r="L486" i="18"/>
  <c r="L499" i="18"/>
  <c r="M486" i="18"/>
  <c r="G499" i="18"/>
  <c r="J499" i="18"/>
  <c r="H402" i="18"/>
  <c r="H415" i="18"/>
  <c r="L402" i="18"/>
  <c r="M415" i="18"/>
  <c r="J415" i="18"/>
  <c r="K402" i="18"/>
  <c r="F389" i="18"/>
  <c r="G402" i="18"/>
  <c r="I402" i="18"/>
  <c r="K415" i="18"/>
  <c r="J402" i="18"/>
  <c r="I415" i="18"/>
  <c r="L415" i="18"/>
  <c r="M402" i="18"/>
  <c r="G415" i="18"/>
  <c r="K456" i="18"/>
  <c r="K443" i="18"/>
  <c r="I447" i="18"/>
  <c r="I460" i="18"/>
  <c r="K459" i="18"/>
  <c r="K446" i="18"/>
  <c r="I452" i="18"/>
  <c r="I439" i="18"/>
  <c r="J455" i="18"/>
  <c r="J442" i="18"/>
  <c r="L453" i="18"/>
  <c r="L440" i="18"/>
  <c r="G431" i="18"/>
  <c r="L458" i="18"/>
  <c r="L445" i="18"/>
  <c r="G350" i="18"/>
  <c r="H454" i="18"/>
  <c r="H441" i="18"/>
  <c r="H488" i="18"/>
  <c r="L501" i="18"/>
  <c r="K501" i="18"/>
  <c r="I501" i="18"/>
  <c r="K488" i="18"/>
  <c r="F475" i="18"/>
  <c r="L488" i="18"/>
  <c r="M488" i="18"/>
  <c r="G501" i="18"/>
  <c r="M501" i="18"/>
  <c r="J488" i="18"/>
  <c r="J501" i="18"/>
  <c r="I488" i="18"/>
  <c r="H501" i="18"/>
  <c r="G488" i="18"/>
  <c r="L493" i="18"/>
  <c r="F467" i="18"/>
  <c r="K493" i="18"/>
  <c r="J480" i="18"/>
  <c r="G493" i="18"/>
  <c r="M493" i="18"/>
  <c r="M480" i="18"/>
  <c r="H480" i="18"/>
  <c r="G480" i="18"/>
  <c r="K480" i="18"/>
  <c r="H493" i="18"/>
  <c r="J493" i="18"/>
  <c r="I493" i="18"/>
  <c r="I480" i="18"/>
  <c r="L480" i="18"/>
  <c r="J453" i="18"/>
  <c r="J440" i="18"/>
  <c r="J441" i="18"/>
  <c r="J454" i="18"/>
  <c r="J443" i="18"/>
  <c r="J456" i="18"/>
  <c r="K447" i="18"/>
  <c r="K460" i="18"/>
  <c r="G347" i="18"/>
  <c r="G433" i="18"/>
  <c r="K452" i="18"/>
  <c r="K439" i="18"/>
  <c r="H455" i="18"/>
  <c r="H442" i="18"/>
  <c r="K453" i="18"/>
  <c r="K440" i="18"/>
  <c r="J457" i="18"/>
  <c r="J444" i="18"/>
  <c r="K445" i="18"/>
  <c r="K458" i="18"/>
  <c r="K441" i="18"/>
  <c r="K454" i="18"/>
  <c r="M497" i="18"/>
  <c r="J484" i="18"/>
  <c r="M484" i="18"/>
  <c r="I484" i="18"/>
  <c r="H497" i="18"/>
  <c r="G497" i="18"/>
  <c r="J497" i="18"/>
  <c r="L497" i="18"/>
  <c r="H484" i="18"/>
  <c r="G484" i="18"/>
  <c r="K497" i="18"/>
  <c r="I497" i="18"/>
  <c r="F471" i="18"/>
  <c r="K484" i="18"/>
  <c r="L484" i="18"/>
  <c r="I406" i="18"/>
  <c r="M419" i="18"/>
  <c r="H406" i="18"/>
  <c r="M406" i="18"/>
  <c r="K419" i="18"/>
  <c r="I419" i="18"/>
  <c r="K406" i="18"/>
  <c r="L419" i="18"/>
  <c r="H419" i="18"/>
  <c r="F393" i="18"/>
  <c r="J406" i="18"/>
  <c r="G406" i="18"/>
  <c r="L406" i="18"/>
  <c r="J419" i="18"/>
  <c r="G419" i="18"/>
  <c r="J447" i="18"/>
  <c r="J460" i="18"/>
  <c r="L455" i="18"/>
  <c r="L442" i="18"/>
  <c r="M457" i="18"/>
  <c r="M444" i="18"/>
  <c r="M443" i="18"/>
  <c r="M456" i="18"/>
  <c r="H447" i="18"/>
  <c r="H460" i="18"/>
  <c r="I459" i="18"/>
  <c r="I446" i="18"/>
  <c r="G345" i="18"/>
  <c r="L439" i="18"/>
  <c r="L452" i="18"/>
  <c r="I442" i="18"/>
  <c r="I455" i="18"/>
  <c r="G427" i="18"/>
  <c r="L457" i="18"/>
  <c r="L444" i="18"/>
  <c r="G432" i="18"/>
  <c r="L454" i="18"/>
  <c r="L441" i="18"/>
  <c r="G344" i="18"/>
  <c r="G487" i="18"/>
  <c r="J487" i="18"/>
  <c r="M500" i="18"/>
  <c r="H500" i="18"/>
  <c r="I500" i="18"/>
  <c r="L500" i="18"/>
  <c r="H487" i="18"/>
  <c r="L487" i="18"/>
  <c r="F474" i="18"/>
  <c r="J500" i="18"/>
  <c r="K500" i="18"/>
  <c r="G500" i="18"/>
  <c r="I487" i="18"/>
  <c r="K487" i="18"/>
  <c r="M487" i="18"/>
  <c r="G430" i="18"/>
  <c r="H456" i="18"/>
  <c r="H443" i="18"/>
  <c r="M447" i="18"/>
  <c r="M460" i="18"/>
  <c r="H459" i="18"/>
  <c r="H446" i="18"/>
  <c r="J439" i="18"/>
  <c r="J452" i="18"/>
  <c r="M455" i="18"/>
  <c r="M442" i="18"/>
  <c r="I453" i="18"/>
  <c r="I440" i="18"/>
  <c r="H457" i="18"/>
  <c r="H444" i="18"/>
  <c r="J445" i="18"/>
  <c r="J458" i="18"/>
  <c r="I441" i="18"/>
  <c r="I454" i="18"/>
  <c r="G400" i="18"/>
  <c r="K400" i="18"/>
  <c r="J400" i="18"/>
  <c r="L400" i="18"/>
  <c r="F387" i="18"/>
  <c r="M400" i="18"/>
  <c r="J413" i="18"/>
  <c r="L413" i="18"/>
  <c r="K413" i="18"/>
  <c r="G413" i="18"/>
  <c r="I413" i="18"/>
  <c r="I400" i="18"/>
  <c r="H400" i="18"/>
  <c r="H413" i="18"/>
  <c r="M413" i="18"/>
  <c r="H496" i="18"/>
  <c r="J483" i="18"/>
  <c r="H483" i="18"/>
  <c r="I496" i="18"/>
  <c r="K496" i="18"/>
  <c r="M496" i="18"/>
  <c r="J496" i="18"/>
  <c r="F470" i="18"/>
  <c r="L496" i="18"/>
  <c r="M483" i="18"/>
  <c r="I483" i="18"/>
  <c r="L483" i="18"/>
  <c r="K483" i="18"/>
  <c r="G496" i="18"/>
  <c r="G483" i="18"/>
  <c r="M459" i="18"/>
  <c r="M446" i="18"/>
  <c r="H452" i="18"/>
  <c r="H439" i="18"/>
  <c r="M445" i="18"/>
  <c r="M458" i="18"/>
  <c r="J411" i="18"/>
  <c r="F385" i="18"/>
  <c r="M398" i="18"/>
  <c r="H411" i="18"/>
  <c r="J398" i="18"/>
  <c r="I411" i="18"/>
  <c r="M411" i="18"/>
  <c r="H398" i="18"/>
  <c r="I398" i="18"/>
  <c r="G398" i="18"/>
  <c r="L411" i="18"/>
  <c r="G411" i="18"/>
  <c r="K398" i="18"/>
  <c r="L398" i="18"/>
  <c r="K411" i="18"/>
  <c r="I456" i="18"/>
  <c r="I443" i="18"/>
  <c r="L460" i="18"/>
  <c r="L447" i="18"/>
  <c r="J446" i="18"/>
  <c r="J459" i="18"/>
  <c r="G351" i="18"/>
  <c r="G352" i="18"/>
  <c r="G426" i="18"/>
  <c r="K442" i="18"/>
  <c r="K455" i="18"/>
  <c r="H440" i="18"/>
  <c r="H453" i="18"/>
  <c r="I444" i="18"/>
  <c r="I457" i="18"/>
  <c r="H458" i="18"/>
  <c r="H445" i="18"/>
  <c r="M454" i="18"/>
  <c r="M441" i="18"/>
  <c r="G724" i="17"/>
  <c r="G732" i="17"/>
  <c r="G733" i="17"/>
  <c r="G759" i="17"/>
  <c r="G736" i="17"/>
  <c r="G731" i="17"/>
  <c r="G762" i="17"/>
  <c r="G749" i="17"/>
  <c r="G757" i="17"/>
  <c r="G721" i="17"/>
  <c r="G742" i="17"/>
  <c r="G725" i="17"/>
  <c r="G740" i="17"/>
  <c r="G741" i="17"/>
  <c r="G720" i="17"/>
  <c r="G751" i="17"/>
  <c r="G760" i="17"/>
  <c r="G761" i="17"/>
  <c r="G748" i="17"/>
  <c r="G722" i="17"/>
  <c r="G726" i="17"/>
  <c r="G758" i="17"/>
  <c r="G747" i="17"/>
  <c r="G750" i="17"/>
  <c r="G752" i="17"/>
  <c r="G735" i="17"/>
  <c r="G767" i="17"/>
  <c r="G730" i="17"/>
  <c r="G723" i="17"/>
  <c r="G734" i="17"/>
  <c r="G746" i="17"/>
  <c r="G766" i="17"/>
  <c r="F448" i="16"/>
  <c r="F1199" i="17" a="1"/>
  <c r="F1199" i="17" s="1"/>
  <c r="F1197" i="17" a="1"/>
  <c r="F1197" i="17" s="1"/>
  <c r="M769" i="17"/>
  <c r="H769" i="17"/>
  <c r="J769" i="17"/>
  <c r="I769" i="17"/>
  <c r="K769" i="17"/>
  <c r="L769" i="17"/>
  <c r="L945" i="17"/>
  <c r="G945" i="17"/>
  <c r="I945" i="17"/>
  <c r="M945" i="17"/>
  <c r="F945" i="17"/>
  <c r="K945" i="17"/>
  <c r="J945" i="17"/>
  <c r="H945" i="17"/>
  <c r="F832" i="17" a="1"/>
  <c r="F1012" i="17" a="1"/>
  <c r="F1012" i="17" s="1"/>
  <c r="F954" i="17" a="1"/>
  <c r="F954" i="17" s="1"/>
  <c r="F1058" i="17" a="1"/>
  <c r="F1058" i="17" s="1"/>
  <c r="F1000" i="17" a="1"/>
  <c r="F1000" i="17" s="1"/>
  <c r="F1038" i="17" a="1"/>
  <c r="F1038" i="17" s="1"/>
  <c r="F980" i="17" a="1"/>
  <c r="F980" i="17" s="1"/>
  <c r="F974" i="17" a="1"/>
  <c r="F974" i="17" s="1"/>
  <c r="F1032" i="17" a="1"/>
  <c r="F1032" i="17" s="1"/>
  <c r="F950" i="17" a="1"/>
  <c r="F1022" i="17" a="1"/>
  <c r="F1022" i="17" s="1"/>
  <c r="F964" i="17" a="1"/>
  <c r="F964" i="17" s="1"/>
  <c r="F1048" i="17" a="1"/>
  <c r="F1048" i="17" s="1"/>
  <c r="F990" i="17" a="1"/>
  <c r="F990" i="17" s="1"/>
  <c r="F735" i="9" a="1"/>
  <c r="F735" i="9" s="1"/>
  <c r="F194" i="11" a="1"/>
  <c r="F194" i="11" s="1"/>
  <c r="F343" i="11"/>
  <c r="M288" i="11"/>
  <c r="K288" i="11"/>
  <c r="G288" i="11"/>
  <c r="H288" i="11"/>
  <c r="I288" i="11"/>
  <c r="J288" i="11"/>
  <c r="L288" i="11"/>
  <c r="F288" i="11"/>
  <c r="F708" i="18" a="1"/>
  <c r="F708" i="18" s="1"/>
  <c r="F535" i="18" s="1" a="1"/>
  <c r="F535" i="18" s="1"/>
  <c r="F707" i="18" a="1"/>
  <c r="F707" i="18" s="1"/>
  <c r="F534" i="18" s="1" a="1"/>
  <c r="F534" i="18" s="1"/>
  <c r="F327" i="11"/>
  <c r="F319" i="11"/>
  <c r="F737" i="9" a="1"/>
  <c r="F737" i="9" s="1"/>
  <c r="F736" i="9" a="1"/>
  <c r="F736" i="9" s="1"/>
  <c r="D274" i="67" s="1" a="1"/>
  <c r="D274" i="67" s="1"/>
  <c r="D66" i="69" l="1" a="1"/>
  <c r="D66" i="69" s="1"/>
  <c r="D43" i="69" a="1"/>
  <c r="D43" i="69" s="1"/>
  <c r="E326" i="67"/>
  <c r="E343" i="67"/>
  <c r="J326" i="67"/>
  <c r="J343" i="67"/>
  <c r="H326" i="67"/>
  <c r="H343" i="67"/>
  <c r="D346" i="67"/>
  <c r="D329" i="67"/>
  <c r="F343" i="67"/>
  <c r="F326" i="67"/>
  <c r="D65" i="69" a="1"/>
  <c r="D65" i="69" s="1"/>
  <c r="D44" i="69" a="1"/>
  <c r="D44" i="69" s="1"/>
  <c r="D326" i="67"/>
  <c r="D343" i="67"/>
  <c r="I326" i="67"/>
  <c r="I343" i="67"/>
  <c r="K326" i="67"/>
  <c r="K343" i="67"/>
  <c r="D308" i="67" a="1"/>
  <c r="D308" i="67" s="1"/>
  <c r="D13" i="69" s="1" a="1"/>
  <c r="D13" i="69" s="1"/>
  <c r="F291" i="67"/>
  <c r="E291" i="67"/>
  <c r="H291" i="67"/>
  <c r="I291" i="67"/>
  <c r="G291" i="67"/>
  <c r="K291" i="67"/>
  <c r="J291" i="67"/>
  <c r="G361" i="18" a="1"/>
  <c r="G361" i="18" s="1"/>
  <c r="F394" i="18"/>
  <c r="F545" i="18" s="1" a="1"/>
  <c r="F545" i="18" s="1"/>
  <c r="G407" i="18"/>
  <c r="D292" i="67"/>
  <c r="G292" i="67"/>
  <c r="H292" i="67"/>
  <c r="I292" i="67"/>
  <c r="J292" i="67"/>
  <c r="K292" i="67"/>
  <c r="E292" i="67"/>
  <c r="F292" i="67"/>
  <c r="G296" i="16"/>
  <c r="G263" i="16"/>
  <c r="G230" i="16"/>
  <c r="I502" i="18"/>
  <c r="G502" i="18"/>
  <c r="J461" i="18"/>
  <c r="J448" i="18"/>
  <c r="J489" i="18"/>
  <c r="H407" i="18"/>
  <c r="K448" i="18"/>
  <c r="H502" i="18"/>
  <c r="K502" i="18"/>
  <c r="M448" i="18"/>
  <c r="J420" i="18"/>
  <c r="G435" i="18"/>
  <c r="F554" i="18" s="1" a="1"/>
  <c r="F554" i="18" s="1"/>
  <c r="G353" i="18"/>
  <c r="F544" i="18" s="1" a="1"/>
  <c r="F544" i="18" s="1"/>
  <c r="K420" i="18"/>
  <c r="M420" i="18"/>
  <c r="L461" i="18"/>
  <c r="K461" i="18"/>
  <c r="K489" i="18"/>
  <c r="F476" i="18"/>
  <c r="F555" i="18" s="1" a="1"/>
  <c r="F555" i="18" s="1"/>
  <c r="L407" i="18"/>
  <c r="H448" i="18"/>
  <c r="L448" i="18"/>
  <c r="G489" i="18"/>
  <c r="J502" i="18"/>
  <c r="I420" i="18"/>
  <c r="L502" i="18"/>
  <c r="K407" i="18"/>
  <c r="J407" i="18"/>
  <c r="H461" i="18"/>
  <c r="H489" i="18"/>
  <c r="G420" i="18"/>
  <c r="H420" i="18"/>
  <c r="L489" i="18"/>
  <c r="M489" i="18"/>
  <c r="I448" i="18"/>
  <c r="I407" i="18"/>
  <c r="M461" i="18"/>
  <c r="L420" i="18"/>
  <c r="M407" i="18"/>
  <c r="I489" i="18"/>
  <c r="M502" i="18"/>
  <c r="I461" i="18"/>
  <c r="G458" i="18"/>
  <c r="G445" i="18"/>
  <c r="G358" i="18" a="1"/>
  <c r="G358" i="18" s="1"/>
  <c r="G371" i="18" a="1"/>
  <c r="G371" i="18" s="1"/>
  <c r="G360" i="18" a="1"/>
  <c r="G360" i="18" s="1"/>
  <c r="G373" i="18" a="1"/>
  <c r="G373" i="18" s="1"/>
  <c r="F414" i="18"/>
  <c r="F401" i="18"/>
  <c r="F483" i="18"/>
  <c r="F496" i="18"/>
  <c r="F419" i="18"/>
  <c r="F406" i="18"/>
  <c r="F403" i="18"/>
  <c r="F416" i="18"/>
  <c r="G447" i="18"/>
  <c r="G460" i="18"/>
  <c r="F498" i="18"/>
  <c r="F485" i="18"/>
  <c r="F501" i="18"/>
  <c r="F488" i="18"/>
  <c r="F411" i="18"/>
  <c r="F398" i="18"/>
  <c r="G440" i="18"/>
  <c r="G453" i="18"/>
  <c r="F481" i="18"/>
  <c r="F494" i="18"/>
  <c r="F405" i="18"/>
  <c r="F418" i="18"/>
  <c r="G455" i="18"/>
  <c r="G442" i="18"/>
  <c r="F415" i="18"/>
  <c r="F402" i="18"/>
  <c r="F413" i="18"/>
  <c r="F400" i="18"/>
  <c r="F500" i="18"/>
  <c r="F487" i="18"/>
  <c r="G444" i="18"/>
  <c r="G457" i="18"/>
  <c r="G454" i="18"/>
  <c r="G441" i="18"/>
  <c r="F417" i="18"/>
  <c r="F404" i="18"/>
  <c r="F412" i="18"/>
  <c r="F399" i="18"/>
  <c r="G452" i="18"/>
  <c r="G439" i="18"/>
  <c r="G443" i="18"/>
  <c r="G456" i="18"/>
  <c r="G357" i="18" a="1"/>
  <c r="G370" i="18" a="1"/>
  <c r="F482" i="18"/>
  <c r="F495" i="18"/>
  <c r="G363" i="18" a="1"/>
  <c r="G363" i="18" s="1"/>
  <c r="G376" i="18" a="1"/>
  <c r="G376" i="18" s="1"/>
  <c r="G372" i="18" a="1"/>
  <c r="G372" i="18" s="1"/>
  <c r="G359" i="18" a="1"/>
  <c r="G359" i="18" s="1"/>
  <c r="G378" i="18" a="1"/>
  <c r="G378" i="18" s="1"/>
  <c r="G365" i="18" a="1"/>
  <c r="G365" i="18" s="1"/>
  <c r="F497" i="18"/>
  <c r="F484" i="18"/>
  <c r="F493" i="18"/>
  <c r="F480" i="18"/>
  <c r="G375" i="18" a="1"/>
  <c r="G375" i="18" s="1"/>
  <c r="G362" i="18" a="1"/>
  <c r="G362" i="18" s="1"/>
  <c r="G377" i="18" a="1"/>
  <c r="G377" i="18" s="1"/>
  <c r="G364" i="18" a="1"/>
  <c r="G364" i="18" s="1"/>
  <c r="G446" i="18"/>
  <c r="G459" i="18"/>
  <c r="F499" i="18"/>
  <c r="F486" i="18"/>
  <c r="F1185" i="17" a="1"/>
  <c r="F1185" i="17" s="1"/>
  <c r="F950" i="17"/>
  <c r="F1003" i="17" s="1"/>
  <c r="M1003" i="17"/>
  <c r="G1003" i="17"/>
  <c r="I1003" i="17"/>
  <c r="K1003" i="17"/>
  <c r="L1003" i="17"/>
  <c r="H1003" i="17"/>
  <c r="J1003" i="17"/>
  <c r="F1061" i="17"/>
  <c r="M1061" i="17"/>
  <c r="H1061" i="17"/>
  <c r="J1061" i="17"/>
  <c r="G1061" i="17"/>
  <c r="I1061" i="17"/>
  <c r="K1061" i="17"/>
  <c r="L1061" i="17"/>
  <c r="G769" i="17"/>
  <c r="F1184" i="17" s="1" a="1"/>
  <c r="F1184" i="17" s="1"/>
  <c r="F774" i="17"/>
  <c r="F832" i="17"/>
  <c r="F824" i="17" a="1"/>
  <c r="F824" i="17" s="1"/>
  <c r="F882" i="17" a="1"/>
  <c r="F882" i="17" s="1"/>
  <c r="F804" i="17" a="1"/>
  <c r="F804" i="17" s="1"/>
  <c r="F814" i="17" a="1"/>
  <c r="F814" i="17" s="1"/>
  <c r="F872" i="17" a="1"/>
  <c r="F872" i="17" s="1"/>
  <c r="F862" i="17" a="1"/>
  <c r="F862" i="17" s="1"/>
  <c r="F836" i="17" a="1"/>
  <c r="F836" i="17" s="1"/>
  <c r="F778" i="17" a="1"/>
  <c r="F778" i="17" s="1"/>
  <c r="F798" i="17" a="1"/>
  <c r="F798" i="17" s="1"/>
  <c r="F856" i="17" a="1"/>
  <c r="F856" i="17" s="1"/>
  <c r="F846" i="17" a="1"/>
  <c r="F846" i="17" s="1"/>
  <c r="F788" i="17" a="1"/>
  <c r="F788" i="17" s="1"/>
  <c r="U31" i="47" a="1"/>
  <c r="U31" i="47" s="1"/>
  <c r="F196" i="11" a="1"/>
  <c r="F196" i="11" s="1"/>
  <c r="F296" i="11"/>
  <c r="K335" i="11"/>
  <c r="J335" i="11"/>
  <c r="I335" i="11"/>
  <c r="H335" i="11"/>
  <c r="G335" i="11"/>
  <c r="M335" i="11"/>
  <c r="L335" i="11"/>
  <c r="F272" i="11" a="1"/>
  <c r="F272" i="11" s="1"/>
  <c r="F270" i="11" a="1"/>
  <c r="F270" i="11" s="1"/>
  <c r="F423" i="16" a="1"/>
  <c r="F423" i="16" s="1"/>
  <c r="N84" i="16"/>
  <c r="N85" i="16" s="1"/>
  <c r="N86" i="16" s="1"/>
  <c r="M84" i="16"/>
  <c r="M85" i="16" s="1"/>
  <c r="M86" i="16" s="1"/>
  <c r="L84" i="16"/>
  <c r="L85" i="16" s="1"/>
  <c r="L86" i="16" s="1"/>
  <c r="K84" i="16"/>
  <c r="K85" i="16" s="1"/>
  <c r="K86" i="16" s="1"/>
  <c r="J84" i="16"/>
  <c r="J85" i="16" s="1"/>
  <c r="J86" i="16" s="1"/>
  <c r="I84" i="16"/>
  <c r="I85" i="16" s="1"/>
  <c r="I86" i="16" s="1"/>
  <c r="H84" i="16"/>
  <c r="H85" i="16" s="1"/>
  <c r="H86" i="16" s="1"/>
  <c r="N73" i="16"/>
  <c r="N74" i="16" s="1"/>
  <c r="N75" i="16" s="1"/>
  <c r="M73" i="16"/>
  <c r="M74" i="16" s="1"/>
  <c r="M75" i="16" s="1"/>
  <c r="L73" i="16"/>
  <c r="L74" i="16" s="1"/>
  <c r="L75" i="16" s="1"/>
  <c r="K73" i="16"/>
  <c r="K74" i="16" s="1"/>
  <c r="K75" i="16" s="1"/>
  <c r="J73" i="16"/>
  <c r="J74" i="16" s="1"/>
  <c r="J75" i="16" s="1"/>
  <c r="I73" i="16"/>
  <c r="I74" i="16" s="1"/>
  <c r="I75" i="16" s="1"/>
  <c r="H73" i="16"/>
  <c r="H74" i="16" s="1"/>
  <c r="H75" i="16" s="1"/>
  <c r="G73" i="16"/>
  <c r="G74" i="16" s="1"/>
  <c r="G75" i="16" s="1"/>
  <c r="H62" i="16"/>
  <c r="H63" i="16" s="1"/>
  <c r="H64" i="16" s="1"/>
  <c r="I63" i="16"/>
  <c r="I64" i="16" s="1"/>
  <c r="J63" i="16"/>
  <c r="J64" i="16" s="1"/>
  <c r="G62" i="16"/>
  <c r="F50" i="16"/>
  <c r="F49" i="16"/>
  <c r="F54" i="16"/>
  <c r="E621" i="18"/>
  <c r="E622" i="18"/>
  <c r="E623" i="18"/>
  <c r="E624" i="18"/>
  <c r="E625" i="18"/>
  <c r="E626" i="18"/>
  <c r="E627" i="18"/>
  <c r="E628" i="18"/>
  <c r="E620" i="18"/>
  <c r="E607" i="18"/>
  <c r="E608" i="18"/>
  <c r="E609" i="18"/>
  <c r="E610" i="18"/>
  <c r="E611" i="18"/>
  <c r="E612" i="18"/>
  <c r="E613" i="18"/>
  <c r="E614" i="18"/>
  <c r="E606" i="18"/>
  <c r="F598" i="18" a="1"/>
  <c r="F598" i="18" s="1"/>
  <c r="F597" i="18" a="1"/>
  <c r="F597" i="18" s="1"/>
  <c r="F593" i="18" a="1"/>
  <c r="F593" i="18" s="1"/>
  <c r="F628" i="18" s="1" a="1"/>
  <c r="F628" i="18" s="1"/>
  <c r="F591" i="18" a="1"/>
  <c r="F591" i="18" s="1"/>
  <c r="F626" i="18" s="1" a="1"/>
  <c r="F626" i="18" s="1"/>
  <c r="F590" i="18" a="1"/>
  <c r="F590" i="18" s="1"/>
  <c r="F625" i="18" s="1" a="1"/>
  <c r="F625" i="18" s="1"/>
  <c r="F589" i="18" a="1"/>
  <c r="F589" i="18" s="1"/>
  <c r="F624" i="18" s="1" a="1"/>
  <c r="F624" i="18" s="1"/>
  <c r="F588" i="18" a="1"/>
  <c r="F588" i="18" s="1"/>
  <c r="F623" i="18" s="1" a="1"/>
  <c r="F623" i="18" s="1"/>
  <c r="F585" i="18" a="1"/>
  <c r="F585" i="18" s="1"/>
  <c r="F620" i="18" s="1" a="1"/>
  <c r="F620" i="18" s="1"/>
  <c r="F574" i="18" a="1"/>
  <c r="F574" i="18" s="1"/>
  <c r="F609" i="18" s="1" a="1"/>
  <c r="F609" i="18" s="1"/>
  <c r="F576" i="18" a="1"/>
  <c r="F576" i="18" s="1"/>
  <c r="F611" i="18" s="1" a="1"/>
  <c r="F611" i="18" s="1"/>
  <c r="F575" i="18" a="1"/>
  <c r="F575" i="18" s="1"/>
  <c r="F610" i="18" s="1" a="1"/>
  <c r="F610" i="18" s="1"/>
  <c r="F579" i="18" a="1"/>
  <c r="F579" i="18" s="1"/>
  <c r="F614" i="18" s="1" a="1"/>
  <c r="F614" i="18" s="1"/>
  <c r="F578" i="18" a="1"/>
  <c r="F578" i="18" s="1"/>
  <c r="F577" i="18" a="1"/>
  <c r="F577" i="18" s="1"/>
  <c r="F612" i="18" s="1" a="1"/>
  <c r="F612" i="18" s="1"/>
  <c r="F573" i="18" a="1"/>
  <c r="F573" i="18" s="1"/>
  <c r="F608" i="18" s="1" a="1"/>
  <c r="F608" i="18" s="1"/>
  <c r="F650" i="18" s="1" a="1"/>
  <c r="F650" i="18" s="1"/>
  <c r="F572" i="18" a="1"/>
  <c r="F572" i="18" s="1"/>
  <c r="F607" i="18" s="1" a="1"/>
  <c r="F607" i="18" s="1"/>
  <c r="F571" i="18" a="1"/>
  <c r="F571" i="18" s="1"/>
  <c r="F606" i="18" s="1" a="1"/>
  <c r="F606" i="18" s="1"/>
  <c r="G63" i="16" l="1"/>
  <c r="G64" i="16" s="1"/>
  <c r="L62" i="16"/>
  <c r="L63" i="16" s="1"/>
  <c r="L64" i="16" s="1"/>
  <c r="M62" i="16"/>
  <c r="M63" i="16" s="1"/>
  <c r="M64" i="16" s="1"/>
  <c r="N62" i="16"/>
  <c r="N63" i="16" s="1"/>
  <c r="N64" i="16" s="1"/>
  <c r="K62" i="16"/>
  <c r="K63" i="16" s="1"/>
  <c r="K64" i="16" s="1"/>
  <c r="H347" i="67"/>
  <c r="H330" i="67"/>
  <c r="G346" i="67"/>
  <c r="G329" i="67"/>
  <c r="G347" i="67"/>
  <c r="G330" i="67"/>
  <c r="I329" i="67"/>
  <c r="I346" i="67"/>
  <c r="D330" i="67"/>
  <c r="D347" i="67"/>
  <c r="H346" i="67"/>
  <c r="H329" i="67"/>
  <c r="D57" i="69" a="1"/>
  <c r="D57" i="69" s="1"/>
  <c r="F347" i="67"/>
  <c r="F330" i="67"/>
  <c r="E346" i="67"/>
  <c r="E329" i="67"/>
  <c r="D35" i="69" a="1"/>
  <c r="D35" i="69" s="1"/>
  <c r="E330" i="67"/>
  <c r="E347" i="67"/>
  <c r="F346" i="67"/>
  <c r="F329" i="67"/>
  <c r="K330" i="67"/>
  <c r="K347" i="67"/>
  <c r="J330" i="67"/>
  <c r="J347" i="67"/>
  <c r="J329" i="67"/>
  <c r="J346" i="67"/>
  <c r="I347" i="67"/>
  <c r="I330" i="67"/>
  <c r="K329" i="67"/>
  <c r="K346" i="67"/>
  <c r="D311" i="67" a="1"/>
  <c r="D311" i="67" s="1"/>
  <c r="D16" i="69" s="1" a="1"/>
  <c r="D16" i="69" s="1"/>
  <c r="D312" i="67" a="1"/>
  <c r="D312" i="67" s="1"/>
  <c r="D17" i="69" s="1" a="1"/>
  <c r="D17" i="69" s="1"/>
  <c r="G370" i="18"/>
  <c r="G379" i="18" s="1"/>
  <c r="L379" i="18"/>
  <c r="K379" i="18"/>
  <c r="J379" i="18"/>
  <c r="H379" i="18"/>
  <c r="I379" i="18"/>
  <c r="M379" i="18"/>
  <c r="G357" i="18"/>
  <c r="G366" i="18" s="1"/>
  <c r="L366" i="18"/>
  <c r="H366" i="18"/>
  <c r="J366" i="18"/>
  <c r="M366" i="18"/>
  <c r="K366" i="18"/>
  <c r="I366" i="18"/>
  <c r="F489" i="18"/>
  <c r="F557" i="18" s="1" a="1"/>
  <c r="F557" i="18" s="1"/>
  <c r="G448" i="18"/>
  <c r="F556" i="18" s="1" a="1"/>
  <c r="F556" i="18" s="1"/>
  <c r="F407" i="18"/>
  <c r="F547" i="18" s="1" a="1"/>
  <c r="F547" i="18" s="1"/>
  <c r="F502" i="18"/>
  <c r="F559" i="18" s="1" a="1"/>
  <c r="F559" i="18" s="1"/>
  <c r="G461" i="18"/>
  <c r="F558" i="18" s="1" a="1"/>
  <c r="F558" i="18" s="1"/>
  <c r="F420" i="18"/>
  <c r="F549" i="18" s="1" a="1"/>
  <c r="F549" i="18" s="1"/>
  <c r="F1189" i="17" a="1"/>
  <c r="F1189" i="17" s="1"/>
  <c r="F1187" i="17" a="1"/>
  <c r="F1187" i="17" s="1"/>
  <c r="M885" i="17"/>
  <c r="K827" i="17"/>
  <c r="K885" i="17"/>
  <c r="M827" i="17"/>
  <c r="J885" i="17"/>
  <c r="L827" i="17"/>
  <c r="I885" i="17"/>
  <c r="H827" i="17"/>
  <c r="H885" i="17"/>
  <c r="J827" i="17"/>
  <c r="L885" i="17"/>
  <c r="I827" i="17"/>
  <c r="G885" i="17"/>
  <c r="G827" i="17"/>
  <c r="F885" i="17"/>
  <c r="F827" i="17"/>
  <c r="F613" i="18" a="1"/>
  <c r="F613" i="18" s="1"/>
  <c r="F653" i="18" s="1" a="1"/>
  <c r="F653" i="18" s="1"/>
  <c r="F516" i="18" s="1" a="1"/>
  <c r="F516" i="18" s="1"/>
  <c r="U50" i="49" s="1" a="1"/>
  <c r="U50" i="49" s="1"/>
  <c r="F648" i="18" a="1"/>
  <c r="F648" i="18" s="1"/>
  <c r="F511" i="18" s="1" a="1"/>
  <c r="F511" i="18" s="1"/>
  <c r="F651" i="18" a="1"/>
  <c r="F651" i="18" s="1"/>
  <c r="F678" i="18" s="1" a="1"/>
  <c r="F678" i="18" s="1"/>
  <c r="G85" i="16"/>
  <c r="F433" i="16" a="1"/>
  <c r="F433" i="16" s="1"/>
  <c r="F522" i="16" s="1" a="1"/>
  <c r="F522" i="16" s="1"/>
  <c r="F652" i="18" a="1"/>
  <c r="F652" i="18" s="1"/>
  <c r="F515" i="18" s="1" a="1"/>
  <c r="F515" i="18" s="1"/>
  <c r="F654" i="18" a="1"/>
  <c r="F654" i="18" s="1"/>
  <c r="F517" i="18" s="1" a="1"/>
  <c r="F517" i="18" s="1"/>
  <c r="F359" i="11"/>
  <c r="K359" i="11"/>
  <c r="J359" i="11"/>
  <c r="I359" i="11"/>
  <c r="G359" i="11"/>
  <c r="H359" i="11"/>
  <c r="M359" i="11"/>
  <c r="L359" i="11"/>
  <c r="L353" i="11"/>
  <c r="M353" i="11"/>
  <c r="J353" i="11"/>
  <c r="G353" i="11"/>
  <c r="I353" i="11"/>
  <c r="K353" i="11"/>
  <c r="H353" i="11"/>
  <c r="F335" i="11"/>
  <c r="F240" i="11" s="1" a="1"/>
  <c r="F240" i="11" s="1"/>
  <c r="F242" i="11" s="1" a="1"/>
  <c r="F242" i="11" s="1"/>
  <c r="I296" i="11"/>
  <c r="J296" i="11"/>
  <c r="K296" i="11"/>
  <c r="L296" i="11"/>
  <c r="H296" i="11"/>
  <c r="M296" i="11"/>
  <c r="G296" i="11"/>
  <c r="F553" i="16" a="1"/>
  <c r="F553" i="16" s="1"/>
  <c r="G336" i="16" s="1" a="1"/>
  <c r="G336" i="16" s="1"/>
  <c r="D60" i="69" l="1" a="1"/>
  <c r="D60" i="69" s="1"/>
  <c r="D61" i="69" a="1"/>
  <c r="D61" i="69" s="1"/>
  <c r="D38" i="69" a="1"/>
  <c r="D38" i="69" s="1"/>
  <c r="D39" i="69" a="1"/>
  <c r="D39" i="69" s="1"/>
  <c r="F546" i="18" a="1"/>
  <c r="F546" i="18" s="1"/>
  <c r="D277" i="67" s="1" a="1"/>
  <c r="D277" i="67" s="1"/>
  <c r="D295" i="67" s="1"/>
  <c r="F548" i="18" a="1"/>
  <c r="F548" i="18" s="1"/>
  <c r="F1186" i="17" a="1"/>
  <c r="F1186" i="17" s="1"/>
  <c r="F1188" i="17" a="1"/>
  <c r="F1188" i="17" s="1"/>
  <c r="F233" i="11" a="1"/>
  <c r="F233" i="11" s="1"/>
  <c r="F235" i="11" s="1" a="1"/>
  <c r="F235" i="11" s="1"/>
  <c r="G234" i="16" a="1"/>
  <c r="G234" i="16" s="1"/>
  <c r="G316" i="16" a="1"/>
  <c r="U54" i="49" a="1"/>
  <c r="U54" i="49" s="1"/>
  <c r="T87" i="37" a="1"/>
  <c r="T87" i="37" s="1"/>
  <c r="U52" i="49" a="1"/>
  <c r="U52" i="49" s="1"/>
  <c r="G283" i="16" a="1"/>
  <c r="G267" i="16" a="1"/>
  <c r="G300" i="16" a="1"/>
  <c r="G250" i="16" a="1"/>
  <c r="F65" i="59" a="1"/>
  <c r="F65" i="59" s="1"/>
  <c r="G167" i="37" s="1" a="1"/>
  <c r="G167" i="37" s="1"/>
  <c r="G375" i="16" a="1"/>
  <c r="G375" i="16" s="1"/>
  <c r="F666" i="18" a="1"/>
  <c r="F666" i="18" s="1"/>
  <c r="F550" i="16" a="1"/>
  <c r="F550" i="16" s="1"/>
  <c r="G333" i="16" s="1" a="1"/>
  <c r="G333" i="16" s="1"/>
  <c r="F523" i="16" a="1"/>
  <c r="F523" i="16" s="1"/>
  <c r="G376" i="16" s="1" a="1"/>
  <c r="G376" i="16" s="1"/>
  <c r="G86" i="16"/>
  <c r="F434" i="16" a="1"/>
  <c r="F434" i="16" s="1"/>
  <c r="G235" i="16" s="1" a="1"/>
  <c r="G235" i="16" s="1"/>
  <c r="F514" i="18" a="1"/>
  <c r="F514" i="18" s="1"/>
  <c r="F691" i="18" a="1"/>
  <c r="F691" i="18" s="1"/>
  <c r="F649" i="18" a="1"/>
  <c r="F649" i="18" s="1"/>
  <c r="F513" i="18" a="1"/>
  <c r="F513" i="18" s="1"/>
  <c r="F665" i="18" a="1"/>
  <c r="F665" i="18" s="1"/>
  <c r="F674" i="18" a="1"/>
  <c r="F674" i="18" s="1"/>
  <c r="F662" i="18" a="1"/>
  <c r="F662" i="18" s="1"/>
  <c r="F548" i="16" a="1"/>
  <c r="F548" i="16" s="1"/>
  <c r="G331" i="16" s="1" a="1"/>
  <c r="G331" i="16" s="1"/>
  <c r="F687" i="18" a="1"/>
  <c r="F687" i="18" s="1"/>
  <c r="F679" i="18" a="1"/>
  <c r="F679" i="18" s="1"/>
  <c r="F705" i="18" s="1" a="1"/>
  <c r="F705" i="18" s="1"/>
  <c r="F532" i="18" s="1" a="1"/>
  <c r="F532" i="18" s="1"/>
  <c r="F690" i="18" a="1"/>
  <c r="F690" i="18" s="1"/>
  <c r="F677" i="18" a="1"/>
  <c r="F677" i="18" s="1"/>
  <c r="F353" i="11"/>
  <c r="G304" i="11"/>
  <c r="G343" i="11"/>
  <c r="H343" i="11"/>
  <c r="K343" i="11"/>
  <c r="M343" i="11"/>
  <c r="I343" i="11"/>
  <c r="J343" i="11"/>
  <c r="L343" i="11"/>
  <c r="F479" i="16" a="1"/>
  <c r="F479" i="16" s="1"/>
  <c r="F470" i="16" a="1"/>
  <c r="F470" i="16" s="1"/>
  <c r="F471" i="16" a="1"/>
  <c r="F471" i="16" s="1"/>
  <c r="F478" i="16" a="1"/>
  <c r="F478" i="16" s="1"/>
  <c r="F469" i="16" a="1"/>
  <c r="F472" i="16" a="1"/>
  <c r="F472" i="16" s="1"/>
  <c r="F477" i="16" a="1"/>
  <c r="F477" i="16" s="1"/>
  <c r="F466" i="16" a="1"/>
  <c r="F466" i="16" s="1"/>
  <c r="F459" i="16" a="1"/>
  <c r="F459" i="16" s="1"/>
  <c r="F463" i="16" a="1"/>
  <c r="F463" i="16" s="1"/>
  <c r="F480" i="16" a="1"/>
  <c r="F480" i="16" s="1"/>
  <c r="F476" i="16" a="1"/>
  <c r="F465" i="16" a="1"/>
  <c r="F465" i="16" s="1"/>
  <c r="F464" i="16" a="1"/>
  <c r="F464" i="16" s="1"/>
  <c r="F473" i="16" a="1"/>
  <c r="F473" i="16" s="1"/>
  <c r="F462" i="16" a="1"/>
  <c r="F458" i="16" a="1"/>
  <c r="F458" i="16" s="1"/>
  <c r="F457" i="16" a="1"/>
  <c r="F457" i="16" s="1"/>
  <c r="F449" i="16" a="1"/>
  <c r="D333" i="67" l="1"/>
  <c r="D350" i="67"/>
  <c r="E295" i="67"/>
  <c r="F295" i="67"/>
  <c r="I295" i="67"/>
  <c r="G295" i="67"/>
  <c r="J295" i="67"/>
  <c r="K295" i="67"/>
  <c r="H295" i="67"/>
  <c r="D276" i="67" a="1"/>
  <c r="D276" i="67" s="1"/>
  <c r="D294" i="67" s="1"/>
  <c r="F449" i="16"/>
  <c r="F547" i="16" s="1" a="1"/>
  <c r="F547" i="16" s="1"/>
  <c r="G330" i="16" s="1" a="1"/>
  <c r="G330" i="16" s="1"/>
  <c r="M264" i="16"/>
  <c r="J264" i="16"/>
  <c r="I264" i="16"/>
  <c r="L297" i="16"/>
  <c r="H297" i="16"/>
  <c r="K297" i="16"/>
  <c r="N264" i="16"/>
  <c r="L264" i="16"/>
  <c r="H264" i="16"/>
  <c r="J297" i="16"/>
  <c r="K264" i="16"/>
  <c r="N297" i="16"/>
  <c r="I297" i="16"/>
  <c r="M297" i="16"/>
  <c r="G283" i="16"/>
  <c r="G267" i="16"/>
  <c r="G316" i="16"/>
  <c r="G250" i="16"/>
  <c r="G300" i="16"/>
  <c r="T82" i="37" a="1"/>
  <c r="T82" i="37" s="1"/>
  <c r="K524" i="16"/>
  <c r="G317" i="16" a="1"/>
  <c r="G317" i="16" s="1"/>
  <c r="G251" i="16" a="1"/>
  <c r="G251" i="16" s="1"/>
  <c r="G284" i="16" a="1"/>
  <c r="G284" i="16" s="1"/>
  <c r="G301" i="16" a="1"/>
  <c r="G301" i="16" s="1"/>
  <c r="G268" i="16" a="1"/>
  <c r="G268" i="16" s="1"/>
  <c r="F533" i="16" a="1"/>
  <c r="F533" i="16" s="1"/>
  <c r="F532" i="16" a="1"/>
  <c r="F532" i="16" s="1"/>
  <c r="L524" i="16"/>
  <c r="M524" i="16"/>
  <c r="F551" i="16" a="1"/>
  <c r="F551" i="16" s="1"/>
  <c r="G334" i="16" s="1" a="1"/>
  <c r="G334" i="16" s="1"/>
  <c r="F199" i="11" a="1"/>
  <c r="F199" i="11" s="1"/>
  <c r="F704" i="18" a="1"/>
  <c r="F704" i="18" s="1"/>
  <c r="F531" i="18" s="1" a="1"/>
  <c r="F531" i="18" s="1"/>
  <c r="K377" i="16"/>
  <c r="F245" i="11"/>
  <c r="F220" i="11" a="1"/>
  <c r="F220" i="11" s="1"/>
  <c r="F222" i="11" s="1" a="1"/>
  <c r="F222" i="11" s="1"/>
  <c r="U15" i="47" s="1" a="1"/>
  <c r="U15" i="47" s="1"/>
  <c r="J524" i="16"/>
  <c r="I524" i="16"/>
  <c r="G524" i="16"/>
  <c r="H524" i="16"/>
  <c r="F460" i="16"/>
  <c r="F435" i="16" a="1"/>
  <c r="F435" i="16" s="1"/>
  <c r="I377" i="16"/>
  <c r="F524" i="16"/>
  <c r="F512" i="18" a="1"/>
  <c r="F512" i="18" s="1"/>
  <c r="F688" i="18" a="1"/>
  <c r="F688" i="18" s="1"/>
  <c r="F675" i="18" a="1"/>
  <c r="F675" i="18" s="1"/>
  <c r="F663" i="18" a="1"/>
  <c r="F663" i="18" s="1"/>
  <c r="F700" i="18" a="1"/>
  <c r="F700" i="18" s="1"/>
  <c r="F527" i="18" s="1" a="1"/>
  <c r="M304" i="11"/>
  <c r="I304" i="11"/>
  <c r="K304" i="11"/>
  <c r="H304" i="11"/>
  <c r="L304" i="11"/>
  <c r="F304" i="11"/>
  <c r="F703" i="18" a="1"/>
  <c r="F703" i="18" s="1"/>
  <c r="F530" i="18" s="1" a="1"/>
  <c r="F530" i="18" s="1"/>
  <c r="J304" i="11"/>
  <c r="L245" i="11"/>
  <c r="J245" i="11"/>
  <c r="M245" i="11"/>
  <c r="K245" i="11"/>
  <c r="I245" i="11"/>
  <c r="H245" i="11"/>
  <c r="G245" i="11"/>
  <c r="H516" i="16"/>
  <c r="G516" i="16"/>
  <c r="J516" i="16"/>
  <c r="M516" i="16"/>
  <c r="L516" i="16"/>
  <c r="K516" i="16"/>
  <c r="I516" i="16"/>
  <c r="F469" i="16"/>
  <c r="F474" i="16" s="1"/>
  <c r="G474" i="16"/>
  <c r="M474" i="16"/>
  <c r="I474" i="16"/>
  <c r="L474" i="16"/>
  <c r="K474" i="16"/>
  <c r="J474" i="16"/>
  <c r="H474" i="16"/>
  <c r="F476" i="16"/>
  <c r="F481" i="16" s="1"/>
  <c r="H481" i="16"/>
  <c r="G481" i="16"/>
  <c r="M481" i="16"/>
  <c r="L481" i="16"/>
  <c r="K481" i="16"/>
  <c r="J481" i="16"/>
  <c r="I481" i="16"/>
  <c r="M460" i="16"/>
  <c r="G460" i="16"/>
  <c r="H460" i="16"/>
  <c r="I460" i="16"/>
  <c r="J460" i="16"/>
  <c r="L460" i="16"/>
  <c r="K460" i="16"/>
  <c r="F462" i="16"/>
  <c r="F467" i="16" s="1"/>
  <c r="G467" i="16"/>
  <c r="M467" i="16"/>
  <c r="L467" i="16"/>
  <c r="K467" i="16"/>
  <c r="I467" i="16"/>
  <c r="J467" i="16"/>
  <c r="H467" i="16"/>
  <c r="G231" i="16" l="1"/>
  <c r="K350" i="67"/>
  <c r="K333" i="67"/>
  <c r="G350" i="67"/>
  <c r="G333" i="67"/>
  <c r="I350" i="67"/>
  <c r="I333" i="67"/>
  <c r="F350" i="67"/>
  <c r="F333" i="67"/>
  <c r="E333" i="67"/>
  <c r="E350" i="67"/>
  <c r="J333" i="67"/>
  <c r="J350" i="67"/>
  <c r="D315" i="67" a="1"/>
  <c r="D315" i="67" s="1"/>
  <c r="D20" i="69" s="1" a="1"/>
  <c r="D20" i="69" s="1"/>
  <c r="H333" i="67"/>
  <c r="H350" i="67"/>
  <c r="F488" i="16" a="1"/>
  <c r="F488" i="16" s="1"/>
  <c r="D349" i="67"/>
  <c r="D332" i="67"/>
  <c r="G294" i="67"/>
  <c r="H294" i="67"/>
  <c r="K294" i="67"/>
  <c r="F294" i="67"/>
  <c r="J294" i="67"/>
  <c r="I294" i="67"/>
  <c r="E294" i="67"/>
  <c r="G297" i="16"/>
  <c r="G264" i="16"/>
  <c r="G369" i="16" a="1"/>
  <c r="G369" i="16" s="1"/>
  <c r="G371" i="16" s="1" a="1"/>
  <c r="G371" i="16" s="1"/>
  <c r="F487" i="16" a="1"/>
  <c r="F487" i="16" s="1"/>
  <c r="F213" i="11" a="1"/>
  <c r="F213" i="11" s="1"/>
  <c r="F215" i="11" s="1" a="1"/>
  <c r="F215" i="11" s="1"/>
  <c r="F489" i="16" a="1"/>
  <c r="F489" i="16" s="1"/>
  <c r="F495" i="16" a="1"/>
  <c r="F495" i="16" s="1"/>
  <c r="F497" i="16" a="1"/>
  <c r="F497" i="16" s="1"/>
  <c r="F496" i="16" a="1"/>
  <c r="F496" i="16" s="1"/>
  <c r="F500" i="16" a="1"/>
  <c r="F500" i="16" s="1"/>
  <c r="F501" i="16" a="1"/>
  <c r="F501" i="16" s="1"/>
  <c r="F499" i="16" a="1"/>
  <c r="F499" i="16" s="1"/>
  <c r="F492" i="16" a="1"/>
  <c r="F492" i="16" s="1"/>
  <c r="F491" i="16" a="1"/>
  <c r="F491" i="16" s="1"/>
  <c r="F493" i="16" a="1"/>
  <c r="F493" i="16" s="1"/>
  <c r="G302" i="16" a="1"/>
  <c r="G302" i="16" s="1"/>
  <c r="G252" i="16" a="1"/>
  <c r="G318" i="16" a="1"/>
  <c r="G269" i="16" a="1"/>
  <c r="G269" i="16" s="1"/>
  <c r="G285" i="16" a="1"/>
  <c r="G236" i="16" a="1"/>
  <c r="G236" i="16" s="1"/>
  <c r="F701" i="18" a="1"/>
  <c r="F701" i="18" s="1"/>
  <c r="F528" i="18" s="1" a="1"/>
  <c r="F528" i="18" s="1"/>
  <c r="F531" i="16" a="1"/>
  <c r="F531" i="16" s="1"/>
  <c r="F542" i="16" a="1"/>
  <c r="F542" i="16" s="1"/>
  <c r="G343" i="16" s="1" a="1"/>
  <c r="G343" i="16" s="1"/>
  <c r="G377" i="16"/>
  <c r="M377" i="16"/>
  <c r="H377" i="16"/>
  <c r="N377" i="16"/>
  <c r="L377" i="16"/>
  <c r="J377" i="16"/>
  <c r="F552" i="16" a="1"/>
  <c r="K554" i="16" s="1"/>
  <c r="L534" i="16"/>
  <c r="G534" i="16"/>
  <c r="H534" i="16"/>
  <c r="I534" i="16"/>
  <c r="K534" i="16"/>
  <c r="J534" i="16"/>
  <c r="M534" i="16"/>
  <c r="G398" i="16" a="1"/>
  <c r="G398" i="16" s="1"/>
  <c r="K519" i="18"/>
  <c r="I519" i="18"/>
  <c r="H519" i="18"/>
  <c r="G519" i="18"/>
  <c r="J519" i="18"/>
  <c r="M519" i="18"/>
  <c r="L519" i="18"/>
  <c r="F519" i="18"/>
  <c r="F527" i="18"/>
  <c r="D64" i="69" l="1" a="1"/>
  <c r="D64" i="69" s="1"/>
  <c r="D42" i="69" a="1"/>
  <c r="D42" i="69" s="1"/>
  <c r="I349" i="67"/>
  <c r="I332" i="67"/>
  <c r="H332" i="67"/>
  <c r="H349" i="67"/>
  <c r="J332" i="67"/>
  <c r="J349" i="67"/>
  <c r="K332" i="67"/>
  <c r="K349" i="67"/>
  <c r="G332" i="67"/>
  <c r="G349" i="67"/>
  <c r="F349" i="67"/>
  <c r="F332" i="67"/>
  <c r="E349" i="67"/>
  <c r="E332" i="67"/>
  <c r="D314" i="67" a="1"/>
  <c r="D314" i="67" s="1"/>
  <c r="D19" i="69" s="1" a="1"/>
  <c r="D19" i="69" s="1"/>
  <c r="G285" i="16"/>
  <c r="G318" i="16"/>
  <c r="G252" i="16"/>
  <c r="F503" i="16" a="1"/>
  <c r="F503" i="16" s="1"/>
  <c r="U13" i="47" a="1"/>
  <c r="U13" i="47" s="1"/>
  <c r="F225" i="11"/>
  <c r="U14" i="47" a="1"/>
  <c r="U14" i="47" s="1"/>
  <c r="F504" i="16" a="1"/>
  <c r="F504" i="16" s="1"/>
  <c r="G312" i="16" s="1" a="1"/>
  <c r="G312" i="16" s="1"/>
  <c r="H371" i="16"/>
  <c r="U31" i="49" a="1"/>
  <c r="U31" i="49" s="1"/>
  <c r="F536" i="18"/>
  <c r="F505" i="16" a="1"/>
  <c r="F505" i="16" s="1"/>
  <c r="G554" i="16"/>
  <c r="G396" i="16" a="1"/>
  <c r="G396" i="16" s="1"/>
  <c r="J554" i="16"/>
  <c r="M554" i="16"/>
  <c r="H554" i="16"/>
  <c r="L554" i="16"/>
  <c r="F534" i="16"/>
  <c r="G397" i="16" a="1"/>
  <c r="G397" i="16" s="1"/>
  <c r="F552" i="16"/>
  <c r="I554" i="16"/>
  <c r="I536" i="18"/>
  <c r="J536" i="18"/>
  <c r="H536" i="18"/>
  <c r="L536" i="18"/>
  <c r="K536" i="18"/>
  <c r="M536" i="18"/>
  <c r="G536" i="18"/>
  <c r="L225" i="11"/>
  <c r="K225" i="11"/>
  <c r="J225" i="11"/>
  <c r="M225" i="11"/>
  <c r="H225" i="11"/>
  <c r="I225" i="11"/>
  <c r="G225" i="11"/>
  <c r="N371" i="16"/>
  <c r="M371" i="16"/>
  <c r="K371" i="16"/>
  <c r="L371" i="16"/>
  <c r="J371" i="16"/>
  <c r="I371" i="16"/>
  <c r="F1323" i="17" a="1"/>
  <c r="F1323" i="17" s="1"/>
  <c r="F1322" i="17" a="1"/>
  <c r="F1322" i="17" s="1"/>
  <c r="F1395" i="17" s="1" a="1"/>
  <c r="F1395" i="17" s="1"/>
  <c r="F1321" i="17" a="1"/>
  <c r="F1321" i="17" s="1"/>
  <c r="F1401" i="17" s="1" a="1"/>
  <c r="F1401" i="17" s="1"/>
  <c r="F1320" i="17" a="1"/>
  <c r="F1320" i="17" s="1"/>
  <c r="F1319" i="17" a="1"/>
  <c r="F1319" i="17" s="1"/>
  <c r="F1390" i="17" s="1" a="1"/>
  <c r="F1390" i="17" s="1"/>
  <c r="F1318" i="17" a="1"/>
  <c r="F1318" i="17" s="1"/>
  <c r="F1386" i="17" s="1" a="1"/>
  <c r="F1386" i="17" s="1"/>
  <c r="F1237" i="17" a="1"/>
  <c r="F1237" i="17" s="1"/>
  <c r="F1251" i="17" s="1" a="1"/>
  <c r="F1251" i="17" s="1"/>
  <c r="F1236" i="17" a="1"/>
  <c r="F1236" i="17" s="1"/>
  <c r="F1235" i="17" a="1"/>
  <c r="F1235" i="17" s="1"/>
  <c r="F1249" i="17" s="1" a="1"/>
  <c r="F1249" i="17" s="1"/>
  <c r="F1234" i="17" a="1"/>
  <c r="F1234" i="17" s="1"/>
  <c r="F1248" i="17" s="1" a="1"/>
  <c r="F1248" i="17" s="1"/>
  <c r="F1247" i="17" a="1"/>
  <c r="F1247" i="17" s="1"/>
  <c r="F1285" i="17" s="1" a="1"/>
  <c r="F1285" i="17" s="1"/>
  <c r="F1361" i="17" s="1" a="1"/>
  <c r="F1361" i="17" s="1"/>
  <c r="F1451" i="17" s="1" a="1"/>
  <c r="F1451" i="17" s="1"/>
  <c r="F1232" i="17" a="1"/>
  <c r="F1232" i="17" s="1"/>
  <c r="F1246" i="17" s="1" a="1"/>
  <c r="F1246" i="17" s="1"/>
  <c r="F1231" i="17" a="1"/>
  <c r="F1231" i="17" s="1"/>
  <c r="F1245" i="17" s="1" a="1"/>
  <c r="G313" i="16" l="1" a="1"/>
  <c r="G313" i="16" s="1"/>
  <c r="F541" i="16" a="1"/>
  <c r="F541" i="16" s="1"/>
  <c r="G339" i="16" s="1" a="1"/>
  <c r="G339" i="16" s="1"/>
  <c r="D41" i="69" a="1"/>
  <c r="D41" i="69" s="1"/>
  <c r="D63" i="69" a="1"/>
  <c r="D63" i="69" s="1"/>
  <c r="L320" i="16"/>
  <c r="H320" i="16"/>
  <c r="N320" i="16"/>
  <c r="G320" i="16"/>
  <c r="J320" i="16"/>
  <c r="I320" i="16"/>
  <c r="G246" i="16" a="1"/>
  <c r="G279" i="16" a="1"/>
  <c r="G247" i="16" a="1"/>
  <c r="G247" i="16" s="1"/>
  <c r="G280" i="16" a="1"/>
  <c r="G280" i="16" s="1"/>
  <c r="G392" i="16" a="1"/>
  <c r="G392" i="16" s="1"/>
  <c r="G394" i="16" s="1"/>
  <c r="G364" i="16" a="1"/>
  <c r="G359" i="16" a="1"/>
  <c r="G359" i="16" s="1"/>
  <c r="G361" i="16" s="1" a="1"/>
  <c r="U12" i="47" a="1"/>
  <c r="U12" i="47" s="1"/>
  <c r="U11" i="49" a="1"/>
  <c r="U11" i="49" s="1"/>
  <c r="F1250" i="17" a="1"/>
  <c r="F1250" i="17" s="1"/>
  <c r="F1309" i="17" s="1" a="1"/>
  <c r="F1309" i="17" s="1"/>
  <c r="G399" i="16"/>
  <c r="J399" i="16"/>
  <c r="N399" i="16"/>
  <c r="H399" i="16"/>
  <c r="M399" i="16"/>
  <c r="G335" i="16" a="1"/>
  <c r="G335" i="16" s="1"/>
  <c r="F554" i="16"/>
  <c r="T104" i="37" s="1" a="1"/>
  <c r="T104" i="37" s="1"/>
  <c r="I399" i="16"/>
  <c r="K399" i="16"/>
  <c r="L399" i="16"/>
  <c r="F1391" i="17" a="1"/>
  <c r="F1391" i="17" s="1"/>
  <c r="F1396" i="17" a="1"/>
  <c r="F1396" i="17" s="1"/>
  <c r="F1494" i="17" s="1" a="1"/>
  <c r="F1494" i="17" s="1"/>
  <c r="H1560" i="17"/>
  <c r="G1560" i="17"/>
  <c r="I1560" i="17"/>
  <c r="J1560" i="17"/>
  <c r="K1560" i="17"/>
  <c r="L1560" i="17"/>
  <c r="M1560" i="17"/>
  <c r="G1561" i="17"/>
  <c r="H1561" i="17"/>
  <c r="I1561" i="17"/>
  <c r="J1561" i="17"/>
  <c r="L1561" i="17"/>
  <c r="M1561" i="17"/>
  <c r="K1561" i="17"/>
  <c r="F1300" i="17" a="1"/>
  <c r="F1300" i="17" s="1"/>
  <c r="F1304" i="17" a="1"/>
  <c r="F1304" i="17" s="1"/>
  <c r="F1363" i="17" s="1" a="1"/>
  <c r="F1363" i="17" s="1"/>
  <c r="F1472" i="17" s="1" a="1"/>
  <c r="F1472" i="17" s="1"/>
  <c r="F1305" i="17" a="1"/>
  <c r="F1305" i="17" s="1"/>
  <c r="F1302" i="17" a="1"/>
  <c r="F1302" i="17" s="1"/>
  <c r="F1303" i="17" a="1"/>
  <c r="F1303" i="17" s="1"/>
  <c r="F1376" i="17" s="1" a="1"/>
  <c r="F1376" i="17" s="1"/>
  <c r="F1470" i="17" s="1" a="1"/>
  <c r="F1470" i="17" s="1"/>
  <c r="F1289" i="17" a="1"/>
  <c r="F1289" i="17" s="1"/>
  <c r="F1343" i="17" s="1" a="1"/>
  <c r="F1343" i="17" s="1"/>
  <c r="F1456" i="17" s="1" a="1"/>
  <c r="F1295" i="17" a="1"/>
  <c r="F1295" i="17" s="1"/>
  <c r="F1293" i="17" a="1"/>
  <c r="F1293" i="17" s="1"/>
  <c r="F1292" i="17" a="1"/>
  <c r="F1292" i="17" s="1"/>
  <c r="F1375" i="17" s="1" a="1"/>
  <c r="F1375" i="17" s="1"/>
  <c r="F1459" i="17" s="1" a="1"/>
  <c r="F1459" i="17" s="1"/>
  <c r="F1294" i="17" a="1"/>
  <c r="F1294" i="17" s="1"/>
  <c r="F1352" i="17" s="1" a="1"/>
  <c r="F1352" i="17" s="1"/>
  <c r="F1279" i="17" a="1"/>
  <c r="F1279" i="17" s="1"/>
  <c r="F1278" i="17" a="1"/>
  <c r="F1278" i="17" s="1"/>
  <c r="F1360" i="17" s="1" a="1"/>
  <c r="F1360" i="17" s="1"/>
  <c r="F1441" i="17" s="1" a="1"/>
  <c r="F1441" i="17" s="1"/>
  <c r="F1276" i="17" a="1"/>
  <c r="F1276" i="17" s="1"/>
  <c r="F1374" i="17" s="1" a="1"/>
  <c r="F1374" i="17" s="1"/>
  <c r="F1439" i="17" s="1" a="1"/>
  <c r="F1439" i="17" s="1"/>
  <c r="F1277" i="17" a="1"/>
  <c r="F1277" i="17" s="1"/>
  <c r="F1245" i="17"/>
  <c r="F1290" i="17" a="1"/>
  <c r="F1290" i="17" s="1"/>
  <c r="F1353" i="17" s="1" a="1"/>
  <c r="F1353" i="17" s="1"/>
  <c r="F1457" i="17" s="1" a="1"/>
  <c r="F1457" i="17" s="1"/>
  <c r="F1284" i="17" a="1"/>
  <c r="F1284" i="17" s="1"/>
  <c r="F1291" i="17" a="1"/>
  <c r="F1291" i="17" s="1"/>
  <c r="F1367" i="17" s="1" a="1"/>
  <c r="F1367" i="17" s="1"/>
  <c r="F1458" i="17" s="1" a="1"/>
  <c r="F1301" i="17" a="1"/>
  <c r="F1301" i="17" s="1"/>
  <c r="F1368" i="17" s="1" a="1"/>
  <c r="F1368" i="17" s="1"/>
  <c r="F1469" i="17" s="1" a="1"/>
  <c r="F1469" i="17" s="1"/>
  <c r="F1273" i="17" a="1"/>
  <c r="F1273" i="17" s="1"/>
  <c r="F1340" i="17" s="1" a="1"/>
  <c r="F1340" i="17" s="1"/>
  <c r="F1436" i="17" s="1" a="1"/>
  <c r="F1283" i="17" a="1"/>
  <c r="F1283" i="17" s="1"/>
  <c r="F1274" i="17" a="1"/>
  <c r="F1274" i="17" s="1"/>
  <c r="F1350" i="17" s="1" a="1"/>
  <c r="F1350" i="17" s="1"/>
  <c r="F1437" i="17" s="1" a="1"/>
  <c r="F1437" i="17" s="1"/>
  <c r="F1275" i="17" a="1"/>
  <c r="F1275" i="17" s="1"/>
  <c r="F1366" i="17" s="1" a="1"/>
  <c r="F1366" i="17" s="1"/>
  <c r="F1438" i="17" s="1" a="1"/>
  <c r="F1438" i="17" s="1"/>
  <c r="F1299" i="17" a="1"/>
  <c r="F1299" i="17" s="1"/>
  <c r="F1344" i="17" s="1" a="1"/>
  <c r="F1344" i="17" s="1"/>
  <c r="F1467" i="17" s="1" a="1"/>
  <c r="K320" i="16" l="1"/>
  <c r="M320" i="16"/>
  <c r="G414" i="16" a="1"/>
  <c r="G414" i="16" s="1"/>
  <c r="G279" i="16"/>
  <c r="G287" i="16" s="1"/>
  <c r="L287" i="16"/>
  <c r="M287" i="16"/>
  <c r="K287" i="16"/>
  <c r="H287" i="16"/>
  <c r="J287" i="16"/>
  <c r="I287" i="16"/>
  <c r="N287" i="16"/>
  <c r="G246" i="16"/>
  <c r="G254" i="16" s="1"/>
  <c r="H254" i="16"/>
  <c r="L254" i="16"/>
  <c r="I254" i="16"/>
  <c r="N254" i="16"/>
  <c r="J254" i="16"/>
  <c r="M254" i="16"/>
  <c r="K254" i="16"/>
  <c r="G304" i="16"/>
  <c r="I304" i="16"/>
  <c r="J304" i="16"/>
  <c r="H304" i="16"/>
  <c r="L304" i="16"/>
  <c r="M304" i="16"/>
  <c r="N304" i="16"/>
  <c r="K304" i="16"/>
  <c r="G271" i="16"/>
  <c r="L271" i="16"/>
  <c r="M271" i="16"/>
  <c r="J271" i="16"/>
  <c r="N271" i="16"/>
  <c r="H271" i="16"/>
  <c r="I271" i="16"/>
  <c r="K271" i="16"/>
  <c r="G238" i="16"/>
  <c r="L238" i="16"/>
  <c r="H238" i="16"/>
  <c r="I238" i="16"/>
  <c r="M238" i="16"/>
  <c r="J238" i="16"/>
  <c r="K238" i="16"/>
  <c r="N238" i="16"/>
  <c r="U30" i="47" a="1"/>
  <c r="U30" i="47" s="1"/>
  <c r="T45" i="37" a="1"/>
  <c r="T45" i="37" s="1"/>
  <c r="G361" i="16"/>
  <c r="U10" i="47" s="1" a="1"/>
  <c r="U10" i="47" s="1"/>
  <c r="G364" i="16"/>
  <c r="G366" i="16" s="1" a="1"/>
  <c r="G366" i="16" s="1"/>
  <c r="J366" i="16"/>
  <c r="J383" i="16" s="1"/>
  <c r="I366" i="16"/>
  <c r="I383" i="16" s="1"/>
  <c r="N366" i="16"/>
  <c r="N383" i="16" s="1"/>
  <c r="M366" i="16"/>
  <c r="M383" i="16" s="1"/>
  <c r="H366" i="16"/>
  <c r="H383" i="16" s="1"/>
  <c r="K366" i="16"/>
  <c r="K383" i="16" s="1"/>
  <c r="L366" i="16"/>
  <c r="L383" i="16" s="1"/>
  <c r="F1342" i="17" a="1"/>
  <c r="F1342" i="17" s="1"/>
  <c r="F1448" i="17" s="1" a="1"/>
  <c r="F1448" i="17" s="1"/>
  <c r="F1354" i="17" a="1"/>
  <c r="F1354" i="17" s="1"/>
  <c r="F1468" i="17" s="1" a="1"/>
  <c r="F1351" i="17" a="1"/>
  <c r="F1351" i="17" s="1"/>
  <c r="F1341" i="17" a="1"/>
  <c r="F1341" i="17" s="1"/>
  <c r="F1447" i="17" s="1" a="1"/>
  <c r="F1447" i="17" s="1"/>
  <c r="F1310" i="17" a="1"/>
  <c r="F1310" i="17" s="1"/>
  <c r="F1364" i="17" s="1" a="1"/>
  <c r="F1364" i="17" s="1"/>
  <c r="F1479" i="17" s="1" a="1"/>
  <c r="F1479" i="17" s="1"/>
  <c r="F1480" i="17" s="1"/>
  <c r="F1523" i="17" s="1"/>
  <c r="F1540" i="17" s="1"/>
  <c r="M543" i="16"/>
  <c r="H543" i="16"/>
  <c r="G543" i="16"/>
  <c r="L543" i="16"/>
  <c r="J543" i="16"/>
  <c r="I543" i="16"/>
  <c r="K543" i="16"/>
  <c r="N394" i="16"/>
  <c r="N400" i="16" s="1"/>
  <c r="M394" i="16"/>
  <c r="M400" i="16" s="1"/>
  <c r="F106" i="19" a="1"/>
  <c r="F106" i="19" s="1"/>
  <c r="F72" i="19" s="1" a="1"/>
  <c r="F72" i="19" s="1"/>
  <c r="F60" i="19" a="1"/>
  <c r="F60" i="19" s="1"/>
  <c r="F105" i="19" a="1"/>
  <c r="F105" i="19" s="1"/>
  <c r="K394" i="16"/>
  <c r="K400" i="16" s="1"/>
  <c r="H394" i="16"/>
  <c r="H400" i="16" s="1"/>
  <c r="I394" i="16"/>
  <c r="I400" i="16" s="1"/>
  <c r="J394" i="16"/>
  <c r="J400" i="16" s="1"/>
  <c r="L394" i="16"/>
  <c r="L400" i="16" s="1"/>
  <c r="G400" i="16"/>
  <c r="G337" i="16"/>
  <c r="N337" i="16"/>
  <c r="J337" i="16"/>
  <c r="L337" i="16"/>
  <c r="H337" i="16"/>
  <c r="I337" i="16"/>
  <c r="K337" i="16"/>
  <c r="M337" i="16"/>
  <c r="F1265" i="17" a="1"/>
  <c r="F1265" i="17" s="1"/>
  <c r="F1365" i="17" s="1" a="1"/>
  <c r="F1365" i="17" s="1"/>
  <c r="F1427" i="17" s="1" a="1"/>
  <c r="F1427" i="17" s="1"/>
  <c r="F1263" i="17" a="1"/>
  <c r="F1263" i="17" s="1"/>
  <c r="F1339" i="17" s="1" a="1"/>
  <c r="F1339" i="17" s="1"/>
  <c r="F1425" i="17" s="1" a="1"/>
  <c r="F1425" i="17" s="1"/>
  <c r="F107" i="19" a="1"/>
  <c r="F107" i="19" s="1"/>
  <c r="F73" i="19" s="1" a="1"/>
  <c r="F73" i="19" s="1"/>
  <c r="F59" i="19" a="1"/>
  <c r="I1397" i="17"/>
  <c r="G1397" i="17"/>
  <c r="M1397" i="17"/>
  <c r="L1397" i="17"/>
  <c r="K1397" i="17"/>
  <c r="J1397" i="17"/>
  <c r="H1397" i="17"/>
  <c r="F1493" i="17" a="1"/>
  <c r="F1493" i="17" s="1"/>
  <c r="F1561" i="17"/>
  <c r="F1497" i="17" a="1"/>
  <c r="F1497" i="17" s="1"/>
  <c r="F1397" i="17"/>
  <c r="M1563" i="17"/>
  <c r="G1563" i="17"/>
  <c r="H1563" i="17"/>
  <c r="I1563" i="17"/>
  <c r="K1563" i="17"/>
  <c r="L1563" i="17"/>
  <c r="J1563" i="17"/>
  <c r="F1492" i="17" a="1"/>
  <c r="F1492" i="17" s="1"/>
  <c r="F1560" i="17"/>
  <c r="F1264" i="17" a="1"/>
  <c r="F1264" i="17" s="1"/>
  <c r="F1349" i="17" s="1" a="1"/>
  <c r="F1349" i="17" s="1"/>
  <c r="F1426" i="17" s="1" a="1"/>
  <c r="F1426" i="17" s="1"/>
  <c r="F1456" i="17"/>
  <c r="F1467" i="17"/>
  <c r="F1458" i="17"/>
  <c r="F1436" i="17"/>
  <c r="F1443" i="17" s="1"/>
  <c r="G1443" i="17"/>
  <c r="M1443" i="17"/>
  <c r="L1443" i="17"/>
  <c r="K1443" i="17"/>
  <c r="J1443" i="17"/>
  <c r="I1443" i="17"/>
  <c r="H1443" i="17"/>
  <c r="F1450" i="17" a="1"/>
  <c r="F1450" i="17" s="1"/>
  <c r="F1362" i="17" a="1"/>
  <c r="F1362" i="17" s="1"/>
  <c r="F1461" i="17" s="1" a="1"/>
  <c r="F1461" i="17" s="1"/>
  <c r="F1266" i="17" a="1"/>
  <c r="F1266" i="17" s="1"/>
  <c r="F1373" i="17" s="1" a="1"/>
  <c r="F1269" i="17" a="1"/>
  <c r="F1269" i="17" s="1"/>
  <c r="F1267" i="17" a="1"/>
  <c r="F1267" i="17" s="1"/>
  <c r="F1268" i="17" a="1"/>
  <c r="F1268" i="17" s="1"/>
  <c r="F1359" i="17" s="1" a="1"/>
  <c r="F404" i="15" a="1"/>
  <c r="F404" i="15" s="1"/>
  <c r="F403" i="15" a="1"/>
  <c r="F403" i="15" s="1"/>
  <c r="F401" i="15" a="1"/>
  <c r="F401" i="15" s="1"/>
  <c r="F396" i="15" a="1"/>
  <c r="F396" i="15" s="1"/>
  <c r="F395" i="15" a="1"/>
  <c r="F395" i="15" s="1"/>
  <c r="F393" i="15" a="1"/>
  <c r="F393" i="15" s="1"/>
  <c r="F380" i="15" a="1"/>
  <c r="F380" i="15" s="1"/>
  <c r="F379" i="15" a="1"/>
  <c r="F379" i="15" s="1"/>
  <c r="F423" i="15" s="1" a="1"/>
  <c r="F423" i="15" s="1"/>
  <c r="F378" i="15" a="1"/>
  <c r="F378" i="15" s="1"/>
  <c r="F412" i="15" a="1"/>
  <c r="F412" i="15" s="1"/>
  <c r="F352" i="15" a="1"/>
  <c r="F352" i="15" s="1"/>
  <c r="F353" i="15" a="1"/>
  <c r="F353" i="15" s="1"/>
  <c r="F344" i="15" a="1"/>
  <c r="F344" i="15" s="1"/>
  <c r="F345" i="15" a="1"/>
  <c r="F345" i="15" s="1"/>
  <c r="F350" i="15" a="1"/>
  <c r="F350" i="15" s="1"/>
  <c r="F342" i="15" a="1"/>
  <c r="F342" i="15" s="1"/>
  <c r="F337" i="15" a="1"/>
  <c r="F337" i="15" s="1"/>
  <c r="F335" i="15" a="1"/>
  <c r="F335" i="15" s="1"/>
  <c r="F317" i="15" a="1"/>
  <c r="F317" i="15" s="1"/>
  <c r="F312" i="15" a="1"/>
  <c r="F312" i="15" s="1"/>
  <c r="F311" i="15" a="1"/>
  <c r="F311" i="15" s="1"/>
  <c r="F309" i="15" a="1"/>
  <c r="F309" i="15" s="1"/>
  <c r="F304" i="15" a="1"/>
  <c r="F304" i="15" s="1"/>
  <c r="F338" i="15" l="1"/>
  <c r="U11" i="47" a="1"/>
  <c r="U11" i="47" s="1"/>
  <c r="G409" i="16" a="1"/>
  <c r="G409" i="16" s="1"/>
  <c r="G410" i="16" a="1"/>
  <c r="G410" i="16" s="1"/>
  <c r="G411" i="16" a="1"/>
  <c r="G411" i="16" s="1"/>
  <c r="G412" i="16" a="1"/>
  <c r="G412" i="16" s="1"/>
  <c r="G413" i="16" a="1"/>
  <c r="G413" i="16" s="1"/>
  <c r="J1480" i="17"/>
  <c r="J1523" i="17" s="1"/>
  <c r="J1540" i="17" s="1"/>
  <c r="L1480" i="17"/>
  <c r="L1523" i="17" s="1"/>
  <c r="L1540" i="17" s="1"/>
  <c r="H1480" i="17"/>
  <c r="H1523" i="17" s="1"/>
  <c r="H1540" i="17" s="1"/>
  <c r="K1480" i="17"/>
  <c r="K1523" i="17" s="1"/>
  <c r="K1540" i="17" s="1"/>
  <c r="I1480" i="17"/>
  <c r="I1523" i="17" s="1"/>
  <c r="I1540" i="17" s="1"/>
  <c r="G1480" i="17"/>
  <c r="G1523" i="17" s="1"/>
  <c r="G1540" i="17" s="1"/>
  <c r="M1480" i="17"/>
  <c r="M1523" i="17" s="1"/>
  <c r="M1540" i="17" s="1"/>
  <c r="U38" i="45" a="1"/>
  <c r="U38" i="45" s="1"/>
  <c r="F44" i="56" a="1"/>
  <c r="F44" i="56" s="1"/>
  <c r="U18" i="45" a="1"/>
  <c r="U18" i="45" s="1"/>
  <c r="F431" i="15" a="1"/>
  <c r="F431" i="15" s="1"/>
  <c r="F422" i="15" a="1"/>
  <c r="F422" i="15" s="1"/>
  <c r="F413" i="15" a="1"/>
  <c r="F413" i="15" s="1"/>
  <c r="G383" i="16"/>
  <c r="T11" i="37" s="1" a="1"/>
  <c r="T11" i="37" s="1"/>
  <c r="F1468" i="17"/>
  <c r="F1474" i="17" s="1"/>
  <c r="M1474" i="17"/>
  <c r="H1474" i="17"/>
  <c r="I1474" i="17"/>
  <c r="J1474" i="17"/>
  <c r="L1474" i="17"/>
  <c r="K1474" i="17"/>
  <c r="G1474" i="17"/>
  <c r="F1355" i="17"/>
  <c r="F1549" i="17" s="1"/>
  <c r="F1572" i="17" s="1"/>
  <c r="F1449" i="17" a="1"/>
  <c r="F1449" i="17" s="1"/>
  <c r="F1452" i="17" s="1"/>
  <c r="F543" i="16"/>
  <c r="U53" i="49" a="1"/>
  <c r="U53" i="49" s="1"/>
  <c r="F59" i="19"/>
  <c r="G61" i="19"/>
  <c r="K61" i="19"/>
  <c r="H61" i="19"/>
  <c r="L61" i="19"/>
  <c r="I61" i="19"/>
  <c r="M61" i="19"/>
  <c r="J61" i="19"/>
  <c r="F1562" i="17" a="1"/>
  <c r="F1562" i="17" s="1"/>
  <c r="F108" i="19" a="1"/>
  <c r="F108" i="19" s="1"/>
  <c r="F74" i="19" s="1" a="1"/>
  <c r="F74" i="19" s="1"/>
  <c r="F71" i="19" a="1"/>
  <c r="F71" i="19" s="1"/>
  <c r="F236" i="15" a="1"/>
  <c r="F236" i="15" s="1"/>
  <c r="F243" i="15" a="1"/>
  <c r="F243" i="15" s="1"/>
  <c r="F250" i="15" a="1"/>
  <c r="F250" i="15" s="1"/>
  <c r="F240" i="15" a="1"/>
  <c r="F240" i="15" s="1"/>
  <c r="F247" i="15" a="1"/>
  <c r="F247" i="15" s="1"/>
  <c r="F241" i="15" a="1"/>
  <c r="F241" i="15" s="1"/>
  <c r="F248" i="15" a="1"/>
  <c r="F248" i="15" s="1"/>
  <c r="F234" i="15" a="1"/>
  <c r="F234" i="15" s="1"/>
  <c r="F235" i="15" a="1"/>
  <c r="F235" i="15" s="1"/>
  <c r="F242" i="15" a="1"/>
  <c r="F242" i="15" s="1"/>
  <c r="F249" i="15" a="1"/>
  <c r="F249" i="15" s="1"/>
  <c r="F1495" i="17" a="1"/>
  <c r="I1499" i="17" s="1"/>
  <c r="F1563" i="17"/>
  <c r="G1355" i="17"/>
  <c r="G1549" i="17" s="1"/>
  <c r="G1572" i="17" s="1"/>
  <c r="I1355" i="17"/>
  <c r="I1549" i="17" s="1"/>
  <c r="I1572" i="17" s="1"/>
  <c r="G1463" i="17"/>
  <c r="M1463" i="17"/>
  <c r="L1463" i="17"/>
  <c r="I1463" i="17"/>
  <c r="H1463" i="17"/>
  <c r="K1463" i="17"/>
  <c r="J1463" i="17"/>
  <c r="F1463" i="17"/>
  <c r="L1355" i="17"/>
  <c r="L1549" i="17" s="1"/>
  <c r="L1572" i="17" s="1"/>
  <c r="H1355" i="17"/>
  <c r="H1549" i="17" s="1"/>
  <c r="H1572" i="17" s="1"/>
  <c r="J1355" i="17"/>
  <c r="J1549" i="17" s="1"/>
  <c r="J1572" i="17" s="1"/>
  <c r="M1355" i="17"/>
  <c r="M1549" i="17" s="1"/>
  <c r="M1572" i="17" s="1"/>
  <c r="K1355" i="17"/>
  <c r="K1549" i="17" s="1"/>
  <c r="K1572" i="17" s="1"/>
  <c r="F1373" i="17"/>
  <c r="H1377" i="17"/>
  <c r="H1551" i="17" s="1"/>
  <c r="H1574" i="17" s="1"/>
  <c r="I1377" i="17"/>
  <c r="I1551" i="17" s="1"/>
  <c r="I1574" i="17" s="1"/>
  <c r="J1377" i="17"/>
  <c r="J1551" i="17" s="1"/>
  <c r="J1574" i="17" s="1"/>
  <c r="M1377" i="17"/>
  <c r="M1551" i="17" s="1"/>
  <c r="M1574" i="17" s="1"/>
  <c r="G1377" i="17"/>
  <c r="G1551" i="17" s="1"/>
  <c r="G1574" i="17" s="1"/>
  <c r="K1377" i="17"/>
  <c r="K1551" i="17" s="1"/>
  <c r="K1574" i="17" s="1"/>
  <c r="L1377" i="17"/>
  <c r="L1551" i="17" s="1"/>
  <c r="L1574" i="17" s="1"/>
  <c r="F1359" i="17"/>
  <c r="G1369" i="17"/>
  <c r="G1550" i="17" s="1"/>
  <c r="L1369" i="17"/>
  <c r="L1550" i="17" s="1"/>
  <c r="H1369" i="17"/>
  <c r="H1550" i="17" s="1"/>
  <c r="I1369" i="17"/>
  <c r="I1550" i="17" s="1"/>
  <c r="J1369" i="17"/>
  <c r="J1550" i="17" s="1"/>
  <c r="M1369" i="17"/>
  <c r="M1550" i="17" s="1"/>
  <c r="K1369" i="17"/>
  <c r="K1550" i="17" s="1"/>
  <c r="K1345" i="17"/>
  <c r="K1548" i="17" s="1"/>
  <c r="K1571" i="17" s="1"/>
  <c r="J1345" i="17"/>
  <c r="J1548" i="17" s="1"/>
  <c r="J1571" i="17" s="1"/>
  <c r="I1345" i="17"/>
  <c r="I1548" i="17" s="1"/>
  <c r="I1571" i="17" s="1"/>
  <c r="M1345" i="17"/>
  <c r="M1548" i="17" s="1"/>
  <c r="M1571" i="17" s="1"/>
  <c r="H1345" i="17"/>
  <c r="H1548" i="17" s="1"/>
  <c r="H1571" i="17" s="1"/>
  <c r="L1345" i="17"/>
  <c r="L1548" i="17" s="1"/>
  <c r="L1571" i="17" s="1"/>
  <c r="G1345" i="17"/>
  <c r="G1548" i="17" s="1"/>
  <c r="G1571" i="17" s="1"/>
  <c r="F433" i="15" a="1"/>
  <c r="F433" i="15" s="1"/>
  <c r="F421" i="15" a="1"/>
  <c r="F421" i="15" s="1"/>
  <c r="F405" i="15"/>
  <c r="F415" i="15" a="1"/>
  <c r="F415" i="15" s="1"/>
  <c r="F414" i="15" a="1"/>
  <c r="F414" i="15" s="1"/>
  <c r="F424" i="15" a="1"/>
  <c r="F424" i="15" s="1"/>
  <c r="F432" i="15" a="1"/>
  <c r="F432" i="15" s="1"/>
  <c r="F430" i="15" a="1"/>
  <c r="F430" i="15" s="1"/>
  <c r="F397" i="15"/>
  <c r="F389" i="15"/>
  <c r="M405" i="15"/>
  <c r="J397" i="15"/>
  <c r="I397" i="15"/>
  <c r="L405" i="15"/>
  <c r="H397" i="15"/>
  <c r="K405" i="15"/>
  <c r="G397" i="15"/>
  <c r="J405" i="15"/>
  <c r="I405" i="15"/>
  <c r="M389" i="15"/>
  <c r="H405" i="15"/>
  <c r="L389" i="15"/>
  <c r="G405" i="15"/>
  <c r="K389" i="15"/>
  <c r="J389" i="15"/>
  <c r="M397" i="15"/>
  <c r="I389" i="15"/>
  <c r="L397" i="15"/>
  <c r="H389" i="15"/>
  <c r="K397" i="15"/>
  <c r="G389" i="15"/>
  <c r="F305" i="15"/>
  <c r="D272" i="67" l="1" a="1"/>
  <c r="D272" i="67" s="1"/>
  <c r="D290" i="67" s="1"/>
  <c r="M1452" i="17"/>
  <c r="F1589" i="17" a="1"/>
  <c r="F1589" i="17" s="1"/>
  <c r="F1607" i="17" a="1"/>
  <c r="F1607" i="17" s="1"/>
  <c r="F1598" i="17" a="1"/>
  <c r="F1598" i="17" s="1"/>
  <c r="L1452" i="17"/>
  <c r="F442" i="15" a="1"/>
  <c r="F442" i="15" s="1"/>
  <c r="F440" i="15" a="1"/>
  <c r="F440" i="15" s="1"/>
  <c r="K1452" i="17"/>
  <c r="G1452" i="17"/>
  <c r="H1452" i="17"/>
  <c r="F441" i="15" a="1"/>
  <c r="F441" i="15" s="1"/>
  <c r="F472" i="15" s="1" a="1"/>
  <c r="F472" i="15" s="1"/>
  <c r="F434" i="15"/>
  <c r="I1452" i="17"/>
  <c r="J1452" i="17"/>
  <c r="H50" i="56"/>
  <c r="J50" i="56"/>
  <c r="G50" i="56"/>
  <c r="K50" i="56"/>
  <c r="L50" i="56"/>
  <c r="M50" i="56"/>
  <c r="I50" i="56"/>
  <c r="G345" i="16"/>
  <c r="J345" i="16"/>
  <c r="K345" i="16"/>
  <c r="L345" i="16"/>
  <c r="N345" i="16"/>
  <c r="I345" i="16"/>
  <c r="M345" i="16"/>
  <c r="H345" i="16"/>
  <c r="U12" i="49" a="1"/>
  <c r="U12" i="49" s="1"/>
  <c r="U32" i="49" a="1"/>
  <c r="U32" i="49" s="1"/>
  <c r="M1566" i="17"/>
  <c r="H1573" i="17"/>
  <c r="K1566" i="17"/>
  <c r="M1573" i="17"/>
  <c r="J1573" i="17"/>
  <c r="L1573" i="17"/>
  <c r="J1566" i="17"/>
  <c r="H1566" i="17"/>
  <c r="G1573" i="17"/>
  <c r="I1573" i="17"/>
  <c r="I1566" i="17"/>
  <c r="K1573" i="17"/>
  <c r="F1566" i="17"/>
  <c r="G1566" i="17"/>
  <c r="F61" i="19"/>
  <c r="L1566" i="17"/>
  <c r="F1159" i="17" a="1"/>
  <c r="F1159" i="17" s="1"/>
  <c r="H1499" i="17"/>
  <c r="H1516" i="17" s="1"/>
  <c r="F266" i="15" a="1"/>
  <c r="F266" i="15" s="1"/>
  <c r="M1499" i="17"/>
  <c r="M1530" i="17" s="1"/>
  <c r="M1534" i="17" s="1"/>
  <c r="G1499" i="17"/>
  <c r="G1530" i="17" s="1"/>
  <c r="G1534" i="17" s="1"/>
  <c r="F264" i="15" a="1"/>
  <c r="F264" i="15" s="1"/>
  <c r="U37" i="48" s="1" a="1"/>
  <c r="U37" i="48" s="1"/>
  <c r="F265" i="15" a="1"/>
  <c r="F265" i="15" s="1"/>
  <c r="U38" i="48" s="1" a="1"/>
  <c r="U38" i="48" s="1"/>
  <c r="K1499" i="17"/>
  <c r="K1516" i="17" s="1"/>
  <c r="J1499" i="17"/>
  <c r="J1530" i="17" s="1"/>
  <c r="J1534" i="17" s="1"/>
  <c r="G1582" i="17"/>
  <c r="J1582" i="17"/>
  <c r="I1582" i="17"/>
  <c r="M1582" i="17"/>
  <c r="H1582" i="17"/>
  <c r="K1582" i="17"/>
  <c r="L1582" i="17"/>
  <c r="H1555" i="17"/>
  <c r="I1516" i="17"/>
  <c r="I1530" i="17"/>
  <c r="I1534" i="17" s="1"/>
  <c r="M1555" i="17"/>
  <c r="K1555" i="17"/>
  <c r="I1555" i="17"/>
  <c r="F1495" i="17"/>
  <c r="F1499" i="17" s="1"/>
  <c r="L1499" i="17"/>
  <c r="G1555" i="17"/>
  <c r="L1555" i="17"/>
  <c r="J1555" i="17"/>
  <c r="F1377" i="17"/>
  <c r="F1551" i="17" s="1"/>
  <c r="F1574" i="17" s="1"/>
  <c r="F1428" i="17" a="1"/>
  <c r="F1428" i="17" s="1"/>
  <c r="F1345" i="17"/>
  <c r="F1548" i="17" s="1"/>
  <c r="F1369" i="17"/>
  <c r="F1550" i="17" s="1"/>
  <c r="F1573" i="17" s="1"/>
  <c r="F1430" i="17" a="1"/>
  <c r="F1430" i="17" s="1"/>
  <c r="F291" i="15" a="1"/>
  <c r="F291" i="15" s="1"/>
  <c r="F425" i="15"/>
  <c r="F290" i="15" a="1"/>
  <c r="F290" i="15" s="1"/>
  <c r="D275" i="67" s="1" a="1"/>
  <c r="D275" i="67" s="1"/>
  <c r="D293" i="67" s="1"/>
  <c r="F289" i="15" a="1"/>
  <c r="F289" i="15" s="1"/>
  <c r="F191" i="14" a="1"/>
  <c r="F191" i="14" s="1"/>
  <c r="F190" i="14" a="1"/>
  <c r="F190" i="14" s="1"/>
  <c r="F189" i="14" a="1"/>
  <c r="F189" i="14" s="1"/>
  <c r="F832" i="9" a="1"/>
  <c r="F832" i="9" s="1"/>
  <c r="F831" i="9" a="1"/>
  <c r="F831" i="9" s="1"/>
  <c r="F830" i="9" a="1"/>
  <c r="F830" i="9" s="1"/>
  <c r="F829" i="9" a="1"/>
  <c r="F829" i="9" s="1"/>
  <c r="F824" i="9" a="1"/>
  <c r="F824" i="9" s="1"/>
  <c r="F823" i="9" a="1"/>
  <c r="F823" i="9" s="1"/>
  <c r="F822" i="9" a="1"/>
  <c r="F822" i="9" s="1"/>
  <c r="F821" i="9" a="1"/>
  <c r="F821" i="9" s="1"/>
  <c r="F813" i="9" a="1"/>
  <c r="F813" i="9" s="1"/>
  <c r="F812" i="9" a="1"/>
  <c r="F812" i="9" s="1"/>
  <c r="F811" i="9" a="1"/>
  <c r="F811" i="9" s="1"/>
  <c r="F810" i="9" a="1"/>
  <c r="F810" i="9" s="1"/>
  <c r="F805" i="9" a="1"/>
  <c r="F805" i="9" s="1"/>
  <c r="F804" i="9" a="1"/>
  <c r="F804" i="9" s="1"/>
  <c r="F803" i="9" a="1"/>
  <c r="F803" i="9" s="1"/>
  <c r="F802" i="9" a="1"/>
  <c r="F802" i="9" s="1"/>
  <c r="F797" i="9" a="1"/>
  <c r="F797" i="9" s="1"/>
  <c r="F796" i="9" a="1"/>
  <c r="F796" i="9" s="1"/>
  <c r="F795" i="9" a="1"/>
  <c r="F795" i="9" s="1"/>
  <c r="F794" i="9" a="1"/>
  <c r="F794" i="9" s="1"/>
  <c r="F785" i="9" a="1"/>
  <c r="F785" i="9" s="1"/>
  <c r="F784" i="9" a="1"/>
  <c r="F783" i="9" a="1"/>
  <c r="F782" i="9" a="1"/>
  <c r="F777" i="9" a="1"/>
  <c r="F777" i="9" s="1"/>
  <c r="F776" i="9" a="1"/>
  <c r="F775" i="9" a="1"/>
  <c r="F774" i="9" a="1"/>
  <c r="F769" i="9" a="1"/>
  <c r="F769" i="9" s="1"/>
  <c r="F768" i="9" a="1"/>
  <c r="F768" i="9" s="1"/>
  <c r="D345" i="67" l="1"/>
  <c r="D328" i="67"/>
  <c r="K290" i="67"/>
  <c r="H290" i="67"/>
  <c r="I290" i="67"/>
  <c r="G290" i="67"/>
  <c r="F290" i="67"/>
  <c r="E290" i="67"/>
  <c r="J290" i="67"/>
  <c r="F843" i="9" a="1"/>
  <c r="F843" i="9" s="1"/>
  <c r="J293" i="67"/>
  <c r="F1590" i="17" a="1"/>
  <c r="F1590" i="17" s="1"/>
  <c r="F1608" i="17" a="1"/>
  <c r="F1608" i="17" s="1"/>
  <c r="F1599" i="17" a="1"/>
  <c r="F1599" i="17" s="1"/>
  <c r="T28" i="37" a="1"/>
  <c r="T28" i="37" s="1"/>
  <c r="F20" i="60" a="1"/>
  <c r="F20" i="60" s="1"/>
  <c r="F462" i="15" a="1"/>
  <c r="F462" i="15" s="1"/>
  <c r="F471" i="15" a="1"/>
  <c r="F471" i="15" s="1"/>
  <c r="F453" i="15" a="1"/>
  <c r="F453" i="15" s="1"/>
  <c r="T85" i="37" a="1"/>
  <c r="T85" i="37" s="1"/>
  <c r="U39" i="48" a="1"/>
  <c r="U39" i="48" s="1"/>
  <c r="F443" i="15"/>
  <c r="F86" i="59" a="1"/>
  <c r="T88" i="37" a="1"/>
  <c r="T88" i="37" s="1"/>
  <c r="F31" i="59" a="1"/>
  <c r="F42" i="59" a="1"/>
  <c r="U48" i="47" a="1"/>
  <c r="U48" i="47" s="1"/>
  <c r="G346" i="16" a="1"/>
  <c r="G346" i="16" s="1"/>
  <c r="F1571" i="17"/>
  <c r="F1555" i="17"/>
  <c r="F192" i="14"/>
  <c r="F841" i="9" a="1"/>
  <c r="F841" i="9" s="1"/>
  <c r="F840" i="9" a="1"/>
  <c r="F840" i="9" s="1"/>
  <c r="F866" i="9" s="1" a="1"/>
  <c r="F866" i="9" s="1"/>
  <c r="F842" i="9" a="1"/>
  <c r="F842" i="9" s="1"/>
  <c r="H1530" i="17"/>
  <c r="H1534" i="17" s="1"/>
  <c r="F851" i="9" a="1"/>
  <c r="F851" i="9" s="1"/>
  <c r="F877" i="9" a="1"/>
  <c r="F877" i="9" s="1"/>
  <c r="F885" i="9" a="1"/>
  <c r="F885" i="9" s="1"/>
  <c r="F859" i="9" a="1"/>
  <c r="F859" i="9" s="1"/>
  <c r="J1516" i="17"/>
  <c r="M1516" i="17"/>
  <c r="F1616" i="17" a="1"/>
  <c r="F1616" i="17" s="1"/>
  <c r="F1161" i="17" a="1"/>
  <c r="F1161" i="17" s="1"/>
  <c r="F1160" i="17" a="1"/>
  <c r="F1160" i="17" s="1"/>
  <c r="F783" i="9"/>
  <c r="F784" i="9"/>
  <c r="F782" i="9"/>
  <c r="F774" i="9"/>
  <c r="F775" i="9"/>
  <c r="F776" i="9"/>
  <c r="G1516" i="17"/>
  <c r="K1530" i="17"/>
  <c r="K1534" i="17" s="1"/>
  <c r="F464" i="15" a="1"/>
  <c r="F464" i="15" s="1"/>
  <c r="F455" i="15" a="1"/>
  <c r="F455" i="15" s="1"/>
  <c r="F473" i="15" a="1"/>
  <c r="F473" i="15" s="1"/>
  <c r="F463" i="15" a="1"/>
  <c r="F463" i="15" s="1"/>
  <c r="F454" i="15" a="1"/>
  <c r="F454" i="15" s="1"/>
  <c r="F1582" i="17"/>
  <c r="F1516" i="17"/>
  <c r="F1530" i="17"/>
  <c r="F1534" i="17" s="1"/>
  <c r="L1516" i="17"/>
  <c r="L1530" i="17"/>
  <c r="L1534" i="17" s="1"/>
  <c r="K1577" i="17"/>
  <c r="K1581" i="17"/>
  <c r="H1577" i="17"/>
  <c r="H1581" i="17"/>
  <c r="M1577" i="17"/>
  <c r="M1581" i="17"/>
  <c r="G1577" i="17"/>
  <c r="G1581" i="17"/>
  <c r="I1577" i="17"/>
  <c r="I1581" i="17"/>
  <c r="J1577" i="17"/>
  <c r="J1581" i="17"/>
  <c r="L1581" i="17"/>
  <c r="L1577" i="17"/>
  <c r="F1432" i="17"/>
  <c r="G1432" i="17"/>
  <c r="I1432" i="17"/>
  <c r="H1432" i="17"/>
  <c r="J1432" i="17"/>
  <c r="K1432" i="17"/>
  <c r="L1432" i="17"/>
  <c r="M1432" i="17"/>
  <c r="J348" i="67" l="1"/>
  <c r="J331" i="67"/>
  <c r="F328" i="67"/>
  <c r="F345" i="67"/>
  <c r="H328" i="67"/>
  <c r="H345" i="67"/>
  <c r="G328" i="67"/>
  <c r="G345" i="67"/>
  <c r="K328" i="67"/>
  <c r="K345" i="67"/>
  <c r="E345" i="67"/>
  <c r="E328" i="67"/>
  <c r="I328" i="67"/>
  <c r="I345" i="67"/>
  <c r="J328" i="67"/>
  <c r="J345" i="67"/>
  <c r="J300" i="67"/>
  <c r="D310" i="67" a="1"/>
  <c r="D310" i="67" s="1"/>
  <c r="D15" i="69" s="1" a="1"/>
  <c r="D15" i="69" s="1"/>
  <c r="E293" i="67"/>
  <c r="H293" i="67"/>
  <c r="G293" i="67"/>
  <c r="I293" i="67"/>
  <c r="F293" i="67"/>
  <c r="K293" i="67"/>
  <c r="K46" i="59"/>
  <c r="J221" i="59"/>
  <c r="M222" i="59"/>
  <c r="G220" i="59"/>
  <c r="K222" i="59"/>
  <c r="L220" i="59"/>
  <c r="H221" i="59"/>
  <c r="J220" i="59"/>
  <c r="M221" i="59"/>
  <c r="I222" i="59"/>
  <c r="K221" i="59"/>
  <c r="M220" i="59"/>
  <c r="H220" i="59"/>
  <c r="L222" i="59"/>
  <c r="G222" i="59"/>
  <c r="I221" i="59"/>
  <c r="G221" i="59"/>
  <c r="H222" i="59"/>
  <c r="J222" i="59"/>
  <c r="K220" i="59"/>
  <c r="I220" i="59"/>
  <c r="L221" i="59"/>
  <c r="F31" i="59"/>
  <c r="G159" i="37" s="1" a="1"/>
  <c r="G159" i="37" s="1"/>
  <c r="J241" i="59"/>
  <c r="L240" i="59"/>
  <c r="G240" i="59"/>
  <c r="K242" i="59"/>
  <c r="M241" i="59"/>
  <c r="H241" i="59"/>
  <c r="J240" i="59"/>
  <c r="H242" i="59"/>
  <c r="I242" i="59"/>
  <c r="K241" i="59"/>
  <c r="M240" i="59"/>
  <c r="H240" i="59"/>
  <c r="L242" i="59"/>
  <c r="G242" i="59"/>
  <c r="I241" i="59"/>
  <c r="K240" i="59"/>
  <c r="G241" i="59"/>
  <c r="J242" i="59"/>
  <c r="L241" i="59"/>
  <c r="I240" i="59"/>
  <c r="M242" i="59"/>
  <c r="J46" i="59"/>
  <c r="F279" i="15" a="1"/>
  <c r="F279" i="15" s="1"/>
  <c r="F278" i="15" a="1"/>
  <c r="F278" i="15" s="1"/>
  <c r="F280" i="15" a="1"/>
  <c r="F280" i="15" s="1"/>
  <c r="F1158" i="17" a="1"/>
  <c r="F1158" i="17" s="1"/>
  <c r="F1597" i="17" a="1"/>
  <c r="F1597" i="17" s="1"/>
  <c r="F1588" i="17" a="1"/>
  <c r="F1588" i="17" s="1"/>
  <c r="F1593" i="17" s="1"/>
  <c r="F1606" i="17" a="1"/>
  <c r="F1606" i="17" s="1"/>
  <c r="F1611" i="17" s="1"/>
  <c r="M46" i="59"/>
  <c r="G46" i="59"/>
  <c r="I46" i="59"/>
  <c r="F42" i="59"/>
  <c r="G162" i="37" s="1" a="1"/>
  <c r="G162" i="37" s="1"/>
  <c r="H46" i="59"/>
  <c r="L46" i="59"/>
  <c r="F86" i="59"/>
  <c r="G165" i="37" s="1" a="1"/>
  <c r="G165" i="37" s="1"/>
  <c r="M90" i="59"/>
  <c r="K90" i="59"/>
  <c r="J90" i="59"/>
  <c r="L90" i="59"/>
  <c r="I90" i="59"/>
  <c r="G90" i="59"/>
  <c r="H90" i="59"/>
  <c r="F394" i="56" a="1"/>
  <c r="F394" i="56" s="1"/>
  <c r="G142" i="37" s="1" a="1"/>
  <c r="G142" i="37" s="1"/>
  <c r="F33" i="56" a="1"/>
  <c r="F33" i="56" s="1"/>
  <c r="G347" i="16" a="1"/>
  <c r="G347" i="16" s="1"/>
  <c r="F31" i="56" a="1"/>
  <c r="F31" i="56" s="1"/>
  <c r="F392" i="56" a="1"/>
  <c r="U51" i="49" a="1"/>
  <c r="U51" i="49" s="1"/>
  <c r="F844" i="9"/>
  <c r="F54" i="59" a="1"/>
  <c r="T106" i="37" a="1"/>
  <c r="T106" i="37" s="1"/>
  <c r="F848" i="9" a="1"/>
  <c r="F848" i="9" s="1"/>
  <c r="F874" i="9" a="1"/>
  <c r="F874" i="9" s="1"/>
  <c r="F856" i="9" a="1"/>
  <c r="F856" i="9" s="1"/>
  <c r="F882" i="9" a="1"/>
  <c r="F882" i="9" s="1"/>
  <c r="F118" i="10" a="1"/>
  <c r="F118" i="10" s="1"/>
  <c r="F108" i="10" a="1"/>
  <c r="F108" i="10" s="1"/>
  <c r="F112" i="10" a="1"/>
  <c r="F112" i="10" s="1"/>
  <c r="F117" i="10" a="1"/>
  <c r="F117" i="10" s="1"/>
  <c r="F113" i="10" a="1"/>
  <c r="F113" i="10" s="1"/>
  <c r="F876" i="9" a="1"/>
  <c r="F876" i="9" s="1"/>
  <c r="F850" i="9" a="1"/>
  <c r="F850" i="9" s="1"/>
  <c r="F875" i="9" a="1"/>
  <c r="F875" i="9" s="1"/>
  <c r="F849" i="9" a="1"/>
  <c r="F849" i="9" s="1"/>
  <c r="F869" i="9" a="1"/>
  <c r="F869" i="9" s="1"/>
  <c r="F858" i="9" a="1"/>
  <c r="F858" i="9" s="1"/>
  <c r="F884" i="9" a="1"/>
  <c r="F884" i="9" s="1"/>
  <c r="F857" i="9" a="1"/>
  <c r="F857" i="9" s="1"/>
  <c r="F883" i="9" a="1"/>
  <c r="F883" i="9" s="1"/>
  <c r="F1617" i="17" a="1"/>
  <c r="F1617" i="17" s="1"/>
  <c r="I1484" i="17"/>
  <c r="I1522" i="17"/>
  <c r="M1484" i="17"/>
  <c r="M1522" i="17"/>
  <c r="H1484" i="17"/>
  <c r="H1522" i="17"/>
  <c r="G1484" i="17"/>
  <c r="G1522" i="17"/>
  <c r="L1484" i="17"/>
  <c r="L1522" i="17"/>
  <c r="F1577" i="17"/>
  <c r="F1581" i="17"/>
  <c r="K1484" i="17"/>
  <c r="K1522" i="17"/>
  <c r="F1484" i="17"/>
  <c r="F1522" i="17"/>
  <c r="J1484" i="17"/>
  <c r="J1522" i="17"/>
  <c r="F868" i="9" a="1"/>
  <c r="F868" i="9" s="1"/>
  <c r="F867" i="9" a="1"/>
  <c r="F867" i="9" s="1"/>
  <c r="F759" i="9"/>
  <c r="M443" i="15"/>
  <c r="L443" i="15"/>
  <c r="K443" i="15"/>
  <c r="J443" i="15"/>
  <c r="I443" i="15"/>
  <c r="H443" i="15"/>
  <c r="G443" i="15"/>
  <c r="M434" i="15"/>
  <c r="L434" i="15"/>
  <c r="K434" i="15"/>
  <c r="J434" i="15"/>
  <c r="I434" i="15"/>
  <c r="H434" i="15"/>
  <c r="G434" i="15"/>
  <c r="M425" i="15"/>
  <c r="L425" i="15"/>
  <c r="K425" i="15"/>
  <c r="J425" i="15"/>
  <c r="I425" i="15"/>
  <c r="H425" i="15"/>
  <c r="G425" i="15"/>
  <c r="M416" i="15"/>
  <c r="L416" i="15"/>
  <c r="K416" i="15"/>
  <c r="J416" i="15"/>
  <c r="I416" i="15"/>
  <c r="H416" i="15"/>
  <c r="G416" i="15"/>
  <c r="F416" i="15"/>
  <c r="M381" i="15"/>
  <c r="L381" i="15"/>
  <c r="K381" i="15"/>
  <c r="J381" i="15"/>
  <c r="I381" i="15"/>
  <c r="H381" i="15"/>
  <c r="G381" i="15"/>
  <c r="F381" i="15"/>
  <c r="M354" i="15"/>
  <c r="L354" i="15"/>
  <c r="K354" i="15"/>
  <c r="J354" i="15"/>
  <c r="I354" i="15"/>
  <c r="H354" i="15"/>
  <c r="G354" i="15"/>
  <c r="F354" i="15"/>
  <c r="M346" i="15"/>
  <c r="L346" i="15"/>
  <c r="K346" i="15"/>
  <c r="J346" i="15"/>
  <c r="I346" i="15"/>
  <c r="H346" i="15"/>
  <c r="G346" i="15"/>
  <c r="F346" i="15"/>
  <c r="M338" i="15"/>
  <c r="L338" i="15"/>
  <c r="K338" i="15"/>
  <c r="J338" i="15"/>
  <c r="I338" i="15"/>
  <c r="H338" i="15"/>
  <c r="G338" i="15"/>
  <c r="M321" i="15"/>
  <c r="L321" i="15"/>
  <c r="K321" i="15"/>
  <c r="J321" i="15"/>
  <c r="I321" i="15"/>
  <c r="H321" i="15"/>
  <c r="G321" i="15"/>
  <c r="F321" i="15"/>
  <c r="M313" i="15"/>
  <c r="L313" i="15"/>
  <c r="K313" i="15"/>
  <c r="J313" i="15"/>
  <c r="I313" i="15"/>
  <c r="H313" i="15"/>
  <c r="G313" i="15"/>
  <c r="F313" i="15"/>
  <c r="M305" i="15"/>
  <c r="L305" i="15"/>
  <c r="K305" i="15"/>
  <c r="J305" i="15"/>
  <c r="I305" i="15"/>
  <c r="H305" i="15"/>
  <c r="G305" i="15"/>
  <c r="M192" i="14"/>
  <c r="L192" i="14"/>
  <c r="K192" i="14"/>
  <c r="J192" i="14"/>
  <c r="I192" i="14"/>
  <c r="H192" i="14"/>
  <c r="G192" i="14"/>
  <c r="M100" i="10"/>
  <c r="L100" i="10"/>
  <c r="K100" i="10"/>
  <c r="J100" i="10"/>
  <c r="I100" i="10"/>
  <c r="H100" i="10"/>
  <c r="G100" i="10"/>
  <c r="M844" i="9"/>
  <c r="L844" i="9"/>
  <c r="K844" i="9"/>
  <c r="J844" i="9"/>
  <c r="I844" i="9"/>
  <c r="H844" i="9"/>
  <c r="G844" i="9"/>
  <c r="M833" i="9"/>
  <c r="L833" i="9"/>
  <c r="K833" i="9"/>
  <c r="J833" i="9"/>
  <c r="I833" i="9"/>
  <c r="H833" i="9"/>
  <c r="G833" i="9"/>
  <c r="F833" i="9"/>
  <c r="M825" i="9"/>
  <c r="L825" i="9"/>
  <c r="K825" i="9"/>
  <c r="J825" i="9"/>
  <c r="I825" i="9"/>
  <c r="H825" i="9"/>
  <c r="G825" i="9"/>
  <c r="F825" i="9"/>
  <c r="M814" i="9"/>
  <c r="L814" i="9"/>
  <c r="K814" i="9"/>
  <c r="J814" i="9"/>
  <c r="I814" i="9"/>
  <c r="H814" i="9"/>
  <c r="G814" i="9"/>
  <c r="F814" i="9"/>
  <c r="M806" i="9"/>
  <c r="L806" i="9"/>
  <c r="K806" i="9"/>
  <c r="J806" i="9"/>
  <c r="I806" i="9"/>
  <c r="H806" i="9"/>
  <c r="G806" i="9"/>
  <c r="F806" i="9"/>
  <c r="M798" i="9"/>
  <c r="L798" i="9"/>
  <c r="K798" i="9"/>
  <c r="J798" i="9"/>
  <c r="I798" i="9"/>
  <c r="H798" i="9"/>
  <c r="G798" i="9"/>
  <c r="F798" i="9"/>
  <c r="M786" i="9"/>
  <c r="L786" i="9"/>
  <c r="K786" i="9"/>
  <c r="J786" i="9"/>
  <c r="I786" i="9"/>
  <c r="H786" i="9"/>
  <c r="G786" i="9"/>
  <c r="F786" i="9"/>
  <c r="M778" i="9"/>
  <c r="L778" i="9"/>
  <c r="K778" i="9"/>
  <c r="J778" i="9"/>
  <c r="I778" i="9"/>
  <c r="H778" i="9"/>
  <c r="G778" i="9"/>
  <c r="F778" i="9"/>
  <c r="M770" i="9"/>
  <c r="L770" i="9"/>
  <c r="K770" i="9"/>
  <c r="J770" i="9"/>
  <c r="I770" i="9"/>
  <c r="H770" i="9"/>
  <c r="G770" i="9"/>
  <c r="F770" i="9"/>
  <c r="M759" i="9"/>
  <c r="L759" i="9"/>
  <c r="K759" i="9"/>
  <c r="J759" i="9"/>
  <c r="I759" i="9"/>
  <c r="H759" i="9"/>
  <c r="G759" i="9"/>
  <c r="J749" i="9"/>
  <c r="I749" i="9"/>
  <c r="H749" i="9"/>
  <c r="G749" i="9"/>
  <c r="J355" i="67" l="1"/>
  <c r="J72" i="69" s="1"/>
  <c r="J338" i="67"/>
  <c r="J50" i="69" s="1"/>
  <c r="D300" i="67"/>
  <c r="D331" i="67"/>
  <c r="D338" i="67" s="1"/>
  <c r="D50" i="69" s="1"/>
  <c r="D348" i="67"/>
  <c r="G300" i="67"/>
  <c r="G348" i="67"/>
  <c r="G355" i="67" s="1"/>
  <c r="G72" i="69" s="1"/>
  <c r="G331" i="67"/>
  <c r="G338" i="67" s="1"/>
  <c r="G50" i="69" s="1"/>
  <c r="H300" i="67"/>
  <c r="H348" i="67"/>
  <c r="H355" i="67" s="1"/>
  <c r="H72" i="69" s="1"/>
  <c r="H331" i="67"/>
  <c r="H338" i="67" s="1"/>
  <c r="H50" i="69" s="1"/>
  <c r="E300" i="67"/>
  <c r="E331" i="67"/>
  <c r="E348" i="67"/>
  <c r="E355" i="67" s="1"/>
  <c r="E72" i="69" s="1"/>
  <c r="K300" i="67"/>
  <c r="K331" i="67"/>
  <c r="K338" i="67" s="1"/>
  <c r="K50" i="69" s="1"/>
  <c r="K348" i="67"/>
  <c r="K355" i="67" s="1"/>
  <c r="K72" i="69" s="1"/>
  <c r="F300" i="67"/>
  <c r="F348" i="67"/>
  <c r="F355" i="67" s="1"/>
  <c r="F72" i="69" s="1"/>
  <c r="F331" i="67"/>
  <c r="F338" i="67" s="1"/>
  <c r="F50" i="69" s="1"/>
  <c r="I300" i="67"/>
  <c r="I331" i="67"/>
  <c r="I338" i="67" s="1"/>
  <c r="I50" i="69" s="1"/>
  <c r="I348" i="67"/>
  <c r="I355" i="67" s="1"/>
  <c r="I72" i="69" s="1"/>
  <c r="D37" i="69" a="1"/>
  <c r="D37" i="69" s="1"/>
  <c r="D59" i="69" a="1"/>
  <c r="D59" i="69" s="1"/>
  <c r="D313" i="67" a="1"/>
  <c r="D313" i="67" s="1"/>
  <c r="D18" i="69" s="1" a="1"/>
  <c r="D18" i="69" s="1"/>
  <c r="U48" i="49" a="1"/>
  <c r="U48" i="49" s="1"/>
  <c r="G155" i="37" s="1" a="1"/>
  <c r="G155" i="37" s="1"/>
  <c r="F21" i="59" a="1"/>
  <c r="F21" i="59" s="1"/>
  <c r="K1165" i="17"/>
  <c r="M1165" i="17"/>
  <c r="F90" i="59"/>
  <c r="F284" i="59" s="1" a="1"/>
  <c r="F284" i="59" s="1"/>
  <c r="G131" i="37" s="1" a="1"/>
  <c r="G131" i="37" s="1"/>
  <c r="F242" i="59"/>
  <c r="F240" i="59"/>
  <c r="F241" i="59"/>
  <c r="F46" i="59"/>
  <c r="F280" i="59" s="1" a="1"/>
  <c r="F280" i="59" s="1"/>
  <c r="G130" i="37" s="1" a="1"/>
  <c r="G130" i="37" s="1"/>
  <c r="F221" i="59"/>
  <c r="F220" i="59"/>
  <c r="F222" i="59"/>
  <c r="L1165" i="17"/>
  <c r="J1165" i="17"/>
  <c r="T80" i="37" a="1"/>
  <c r="T80" i="37" s="1"/>
  <c r="G1165" i="17"/>
  <c r="H1165" i="17"/>
  <c r="I1165" i="17"/>
  <c r="F1165" i="17"/>
  <c r="K1593" i="17"/>
  <c r="I1593" i="17"/>
  <c r="G1593" i="17"/>
  <c r="M1611" i="17"/>
  <c r="G1611" i="17"/>
  <c r="M1593" i="17"/>
  <c r="I1611" i="17"/>
  <c r="L1593" i="17"/>
  <c r="K1611" i="17"/>
  <c r="H1611" i="17"/>
  <c r="J1593" i="17"/>
  <c r="J1611" i="17"/>
  <c r="H1593" i="17"/>
  <c r="L1611" i="17"/>
  <c r="F366" i="15" a="1"/>
  <c r="F366" i="15" s="1"/>
  <c r="F468" i="15" s="1" a="1"/>
  <c r="F468" i="15" s="1"/>
  <c r="F261" i="15" a="1"/>
  <c r="F261" i="15" s="1"/>
  <c r="F392" i="56"/>
  <c r="G144" i="37" s="1" a="1"/>
  <c r="F37" i="60" a="1"/>
  <c r="F37" i="60" s="1"/>
  <c r="F18" i="56" a="1"/>
  <c r="F18" i="56" s="1"/>
  <c r="L1602" i="17"/>
  <c r="K1602" i="17"/>
  <c r="J1602" i="17"/>
  <c r="I1602" i="17"/>
  <c r="H1602" i="17"/>
  <c r="M1602" i="17"/>
  <c r="G1602" i="17"/>
  <c r="F160" i="14" a="1"/>
  <c r="F160" i="14" s="1"/>
  <c r="F62" i="10" a="1"/>
  <c r="F62" i="10" s="1"/>
  <c r="U54" i="48" s="1" a="1"/>
  <c r="U54" i="48" s="1"/>
  <c r="F159" i="14" a="1"/>
  <c r="F159" i="14" s="1"/>
  <c r="F122" i="10" a="1"/>
  <c r="F122" i="10" s="1"/>
  <c r="F74" i="10" s="1" a="1"/>
  <c r="F74" i="10" s="1"/>
  <c r="F54" i="59"/>
  <c r="G152" i="37" s="1" a="1"/>
  <c r="G152" i="37" s="1"/>
  <c r="F259" i="15" a="1"/>
  <c r="F259" i="15" s="1"/>
  <c r="F368" i="15" a="1"/>
  <c r="F368" i="15" s="1"/>
  <c r="F367" i="15" a="1"/>
  <c r="F367" i="15" s="1"/>
  <c r="F359" i="15" a="1"/>
  <c r="F359" i="15" s="1"/>
  <c r="F326" i="15" a="1"/>
  <c r="F326" i="15" s="1"/>
  <c r="F123" i="10" a="1"/>
  <c r="F123" i="10" s="1"/>
  <c r="F75" i="10" s="1" a="1"/>
  <c r="F75" i="10" s="1"/>
  <c r="J878" i="9"/>
  <c r="F886" i="9"/>
  <c r="M886" i="9"/>
  <c r="H886" i="9"/>
  <c r="J886" i="9"/>
  <c r="K886" i="9"/>
  <c r="L886" i="9"/>
  <c r="I878" i="9"/>
  <c r="K878" i="9"/>
  <c r="M878" i="9"/>
  <c r="F878" i="9"/>
  <c r="L878" i="9"/>
  <c r="G878" i="9"/>
  <c r="H878" i="9"/>
  <c r="I886" i="9"/>
  <c r="F852" i="9"/>
  <c r="J852" i="9"/>
  <c r="L852" i="9"/>
  <c r="I852" i="9"/>
  <c r="K852" i="9"/>
  <c r="M852" i="9"/>
  <c r="H852" i="9"/>
  <c r="G852" i="9"/>
  <c r="G886" i="9"/>
  <c r="F860" i="9"/>
  <c r="L860" i="9"/>
  <c r="G860" i="9"/>
  <c r="M860" i="9"/>
  <c r="K860" i="9"/>
  <c r="H860" i="9"/>
  <c r="J860" i="9"/>
  <c r="I860" i="9"/>
  <c r="F262" i="15" a="1"/>
  <c r="F262" i="15" s="1"/>
  <c r="F263" i="15" a="1"/>
  <c r="F263" i="15" s="1"/>
  <c r="H1539" i="17"/>
  <c r="H1543" i="17" s="1"/>
  <c r="H1524" i="17"/>
  <c r="J1539" i="17"/>
  <c r="J1543" i="17" s="1"/>
  <c r="J1524" i="17"/>
  <c r="F1539" i="17"/>
  <c r="F1543" i="17" s="1"/>
  <c r="F1524" i="17"/>
  <c r="M1539" i="17"/>
  <c r="M1543" i="17" s="1"/>
  <c r="M1524" i="17"/>
  <c r="L1539" i="17"/>
  <c r="L1543" i="17" s="1"/>
  <c r="L1524" i="17"/>
  <c r="G1539" i="17"/>
  <c r="G1543" i="17" s="1"/>
  <c r="G1524" i="17"/>
  <c r="K1524" i="17"/>
  <c r="K1539" i="17"/>
  <c r="K1543" i="17" s="1"/>
  <c r="I1524" i="17"/>
  <c r="I1539" i="17"/>
  <c r="I1543" i="17" s="1"/>
  <c r="F870" i="9"/>
  <c r="G870" i="9"/>
  <c r="M870" i="9"/>
  <c r="H870" i="9"/>
  <c r="I870" i="9"/>
  <c r="J870" i="9"/>
  <c r="K870" i="9"/>
  <c r="L870" i="9"/>
  <c r="K749" i="9"/>
  <c r="L749" i="9"/>
  <c r="M749" i="9"/>
  <c r="D40" i="69" l="1" a="1"/>
  <c r="D40" i="69" s="1"/>
  <c r="E338" i="67"/>
  <c r="E50" i="69" s="1"/>
  <c r="D62" i="69" a="1"/>
  <c r="D62" i="69" s="1"/>
  <c r="D355" i="67"/>
  <c r="D72" i="69" s="1"/>
  <c r="D320" i="67"/>
  <c r="F320" i="67"/>
  <c r="E320" i="67"/>
  <c r="K320" i="67"/>
  <c r="H320" i="67"/>
  <c r="G320" i="67"/>
  <c r="I320" i="67"/>
  <c r="J320" i="67"/>
  <c r="F459" i="15" a="1"/>
  <c r="F459" i="15" s="1"/>
  <c r="M210" i="59"/>
  <c r="F450" i="15" a="1"/>
  <c r="F450" i="15" s="1"/>
  <c r="J24" i="59"/>
  <c r="G144" i="37"/>
  <c r="J212" i="59"/>
  <c r="K212" i="59"/>
  <c r="G211" i="59"/>
  <c r="I212" i="59"/>
  <c r="L210" i="59"/>
  <c r="K211" i="59"/>
  <c r="G24" i="59"/>
  <c r="K24" i="59"/>
  <c r="G210" i="59"/>
  <c r="M212" i="59"/>
  <c r="L211" i="59"/>
  <c r="I211" i="59"/>
  <c r="J211" i="59"/>
  <c r="G212" i="59"/>
  <c r="L24" i="59"/>
  <c r="M211" i="59"/>
  <c r="K210" i="59"/>
  <c r="L212" i="59"/>
  <c r="I24" i="59"/>
  <c r="H24" i="59"/>
  <c r="J210" i="59"/>
  <c r="I210" i="59"/>
  <c r="H210" i="59"/>
  <c r="M24" i="59"/>
  <c r="F24" i="59"/>
  <c r="H211" i="59"/>
  <c r="H212" i="59"/>
  <c r="F210" i="59"/>
  <c r="U30" i="49" a="1"/>
  <c r="U30" i="49" s="1"/>
  <c r="F1173" i="17" a="1"/>
  <c r="F1173" i="17" s="1"/>
  <c r="F1175" i="17" a="1"/>
  <c r="F1175" i="17" s="1"/>
  <c r="F470" i="15" a="1"/>
  <c r="F470" i="15" s="1"/>
  <c r="F474" i="15" s="1" a="1"/>
  <c r="F474" i="15" s="1"/>
  <c r="F461" i="15" a="1"/>
  <c r="F461" i="15" s="1"/>
  <c r="F452" i="15" a="1"/>
  <c r="F452" i="15" s="1"/>
  <c r="T86" i="37" a="1"/>
  <c r="T86" i="37" s="1"/>
  <c r="U36" i="48" a="1"/>
  <c r="U36" i="48" s="1"/>
  <c r="G156" i="37" s="1" a="1"/>
  <c r="G156" i="37" s="1"/>
  <c r="F161" i="14" a="1"/>
  <c r="F161" i="14" s="1"/>
  <c r="F66" i="10" a="1"/>
  <c r="F66" i="10" s="1"/>
  <c r="F1602" i="17"/>
  <c r="F1174" i="17" s="1" a="1"/>
  <c r="F1174" i="17" s="1"/>
  <c r="F1615" i="17" a="1"/>
  <c r="L369" i="15"/>
  <c r="H369" i="15"/>
  <c r="I260" i="15"/>
  <c r="J260" i="15"/>
  <c r="K260" i="15"/>
  <c r="H260" i="15"/>
  <c r="L260" i="15"/>
  <c r="M260" i="15"/>
  <c r="G260" i="15"/>
  <c r="K369" i="15"/>
  <c r="G369" i="15"/>
  <c r="J369" i="15"/>
  <c r="I369" i="15"/>
  <c r="M369" i="15"/>
  <c r="F705" i="9" a="1"/>
  <c r="F705" i="9" s="1"/>
  <c r="F706" i="9" a="1"/>
  <c r="F706" i="9" s="1"/>
  <c r="F64" i="59" s="1" a="1"/>
  <c r="F704" i="9" a="1"/>
  <c r="F911" i="9" a="1"/>
  <c r="F911" i="9" s="1"/>
  <c r="F906" i="9" a="1"/>
  <c r="F906" i="9" s="1"/>
  <c r="F901" i="9" a="1"/>
  <c r="F901" i="9" s="1"/>
  <c r="F910" i="9" a="1"/>
  <c r="F910" i="9" s="1"/>
  <c r="F905" i="9" a="1"/>
  <c r="F905" i="9" s="1"/>
  <c r="F900" i="9" a="1"/>
  <c r="F900" i="9" s="1"/>
  <c r="F76" i="10"/>
  <c r="F369" i="15"/>
  <c r="F260" i="15"/>
  <c r="I76" i="10"/>
  <c r="L76" i="10"/>
  <c r="K76" i="10"/>
  <c r="J76" i="10"/>
  <c r="G76" i="10"/>
  <c r="M76" i="10"/>
  <c r="H76" i="10"/>
  <c r="G548" i="8"/>
  <c r="H548" i="8"/>
  <c r="I548" i="8"/>
  <c r="J548" i="8"/>
  <c r="K548" i="8"/>
  <c r="M537" i="8"/>
  <c r="L548" i="8"/>
  <c r="M548" i="8"/>
  <c r="F548" i="8"/>
  <c r="F516" i="8"/>
  <c r="G537" i="8"/>
  <c r="H537" i="8"/>
  <c r="I537" i="8"/>
  <c r="L537" i="8"/>
  <c r="J537" i="8"/>
  <c r="F537" i="8"/>
  <c r="K537" i="8"/>
  <c r="G516" i="8"/>
  <c r="H516" i="8"/>
  <c r="I516" i="8"/>
  <c r="J516" i="8"/>
  <c r="K516" i="8"/>
  <c r="L516" i="8"/>
  <c r="M516" i="8"/>
  <c r="F505" i="8"/>
  <c r="K505" i="8"/>
  <c r="J505" i="8"/>
  <c r="I505" i="8"/>
  <c r="M505" i="8"/>
  <c r="L505" i="8"/>
  <c r="H505" i="8"/>
  <c r="G505" i="8"/>
  <c r="F278" i="59" l="1" a="1"/>
  <c r="F278" i="59" s="1"/>
  <c r="G128" i="37" s="1" a="1"/>
  <c r="G128" i="37" s="1"/>
  <c r="G174" i="37" s="1" a="1"/>
  <c r="G174" i="37" s="1"/>
  <c r="D28" i="69" a="1"/>
  <c r="D28" i="69" s="1"/>
  <c r="F465" i="15" a="1"/>
  <c r="F465" i="15" s="1"/>
  <c r="F275" i="15" a="1"/>
  <c r="F275" i="15" s="1"/>
  <c r="F211" i="59"/>
  <c r="F212" i="59"/>
  <c r="H230" i="59"/>
  <c r="L232" i="59"/>
  <c r="G232" i="59"/>
  <c r="I231" i="59"/>
  <c r="K230" i="59"/>
  <c r="H232" i="59"/>
  <c r="J232" i="59"/>
  <c r="L231" i="59"/>
  <c r="I230" i="59"/>
  <c r="M232" i="59"/>
  <c r="J231" i="59"/>
  <c r="L230" i="59"/>
  <c r="G230" i="59"/>
  <c r="K232" i="59"/>
  <c r="M231" i="59"/>
  <c r="H231" i="59"/>
  <c r="J230" i="59"/>
  <c r="G231" i="59"/>
  <c r="I232" i="59"/>
  <c r="K231" i="59"/>
  <c r="M230" i="59"/>
  <c r="F277" i="15" a="1"/>
  <c r="F277" i="15" s="1"/>
  <c r="U34" i="48" a="1"/>
  <c r="U34" i="48" s="1"/>
  <c r="T83" i="37" a="1"/>
  <c r="T83" i="37" s="1"/>
  <c r="U35" i="48" a="1"/>
  <c r="U35" i="48" s="1"/>
  <c r="F456" i="15" a="1"/>
  <c r="F456" i="15" s="1"/>
  <c r="F53" i="59" a="1"/>
  <c r="F64" i="59"/>
  <c r="G168" i="37" s="1" a="1"/>
  <c r="G168" i="37" s="1"/>
  <c r="M68" i="59"/>
  <c r="G68" i="59"/>
  <c r="J68" i="59"/>
  <c r="K68" i="59"/>
  <c r="L68" i="59"/>
  <c r="I68" i="59"/>
  <c r="H68" i="59"/>
  <c r="F1615" i="17"/>
  <c r="F1620" i="17" s="1"/>
  <c r="L1620" i="17"/>
  <c r="K1620" i="17"/>
  <c r="J1620" i="17"/>
  <c r="I1620" i="17"/>
  <c r="H1620" i="17"/>
  <c r="G1620" i="17"/>
  <c r="M1620" i="17"/>
  <c r="T67" i="37" a="1"/>
  <c r="T67" i="37" s="1"/>
  <c r="T84" i="37" a="1"/>
  <c r="T84" i="37" s="1"/>
  <c r="U15" i="48" a="1"/>
  <c r="U15" i="48" s="1"/>
  <c r="F258" i="15" a="1"/>
  <c r="F258" i="15" s="1"/>
  <c r="F915" i="9" a="1"/>
  <c r="F915" i="9" s="1"/>
  <c r="F725" i="9" s="1" a="1"/>
  <c r="F725" i="9" s="1"/>
  <c r="F704" i="9"/>
  <c r="J703" i="9"/>
  <c r="I703" i="9"/>
  <c r="K703" i="9"/>
  <c r="G703" i="9"/>
  <c r="L703" i="9"/>
  <c r="M703" i="9"/>
  <c r="H703" i="9"/>
  <c r="F916" i="9" a="1"/>
  <c r="F916" i="9" s="1"/>
  <c r="F726" i="9" s="1" a="1"/>
  <c r="F726" i="9" s="1"/>
  <c r="H523" i="8"/>
  <c r="J555" i="8"/>
  <c r="M555" i="8"/>
  <c r="F555" i="8"/>
  <c r="G555" i="8"/>
  <c r="K555" i="8"/>
  <c r="H555" i="8"/>
  <c r="G523" i="8"/>
  <c r="F523" i="8"/>
  <c r="I555" i="8"/>
  <c r="M523" i="8"/>
  <c r="K523" i="8"/>
  <c r="L555" i="8"/>
  <c r="L523" i="8"/>
  <c r="J523" i="8"/>
  <c r="I523" i="8"/>
  <c r="F281" i="15" l="1" a="1"/>
  <c r="F281" i="15" s="1"/>
  <c r="U17" i="48" s="1" a="1"/>
  <c r="U17" i="48" s="1"/>
  <c r="F68" i="59"/>
  <c r="F230" i="59"/>
  <c r="F232" i="59"/>
  <c r="F231" i="59"/>
  <c r="J57" i="59"/>
  <c r="I226" i="59"/>
  <c r="K226" i="59"/>
  <c r="G227" i="59"/>
  <c r="J227" i="59"/>
  <c r="L227" i="59"/>
  <c r="G226" i="59"/>
  <c r="K225" i="59"/>
  <c r="I225" i="59"/>
  <c r="L226" i="59"/>
  <c r="G225" i="59"/>
  <c r="J226" i="59"/>
  <c r="M227" i="59"/>
  <c r="H226" i="59"/>
  <c r="K227" i="59"/>
  <c r="L225" i="59"/>
  <c r="I227" i="59"/>
  <c r="H227" i="59"/>
  <c r="M226" i="59"/>
  <c r="H225" i="59"/>
  <c r="J225" i="59"/>
  <c r="M225" i="59"/>
  <c r="F1176" i="17" a="1"/>
  <c r="F1176" i="17" s="1"/>
  <c r="F267" i="15" a="1"/>
  <c r="F267" i="15" s="1"/>
  <c r="U55" i="48" a="1"/>
  <c r="U55" i="48" s="1"/>
  <c r="M57" i="59"/>
  <c r="L57" i="59"/>
  <c r="K57" i="59"/>
  <c r="I57" i="59"/>
  <c r="H57" i="59"/>
  <c r="G57" i="59"/>
  <c r="F53" i="59"/>
  <c r="G153" i="37" s="1" a="1"/>
  <c r="G153" i="37" s="1"/>
  <c r="F703" i="9"/>
  <c r="F707" i="9" s="1" a="1"/>
  <c r="F707" i="9" s="1"/>
  <c r="F714" i="9" s="1" a="1"/>
  <c r="F714" i="9" s="1"/>
  <c r="F715" i="9" a="1"/>
  <c r="F715" i="9" s="1"/>
  <c r="F561" i="8" a="1"/>
  <c r="F561" i="8" s="1"/>
  <c r="L727" i="9"/>
  <c r="K727" i="9"/>
  <c r="J727" i="9"/>
  <c r="I727" i="9"/>
  <c r="H727" i="9"/>
  <c r="G727" i="9"/>
  <c r="M727" i="9"/>
  <c r="F727" i="9"/>
  <c r="T12" i="37" l="1" a="1"/>
  <c r="T12" i="37" s="1"/>
  <c r="U14" i="48" a="1"/>
  <c r="U14" i="48" s="1"/>
  <c r="F282" i="59" a="1"/>
  <c r="F282" i="59" s="1"/>
  <c r="G132" i="37" s="1" a="1"/>
  <c r="G132" i="37" s="1"/>
  <c r="F57" i="59"/>
  <c r="F226" i="59"/>
  <c r="F225" i="59"/>
  <c r="F227" i="59"/>
  <c r="F19" i="56" a="1"/>
  <c r="F19" i="56" s="1"/>
  <c r="F50" i="56"/>
  <c r="F38" i="60" a="1"/>
  <c r="U10" i="49" a="1"/>
  <c r="U10" i="49" s="1"/>
  <c r="F466" i="8"/>
  <c r="J466" i="8"/>
  <c r="K466" i="8"/>
  <c r="L466" i="8"/>
  <c r="M466" i="8"/>
  <c r="G466" i="8"/>
  <c r="H466" i="8"/>
  <c r="I466" i="8"/>
  <c r="F27" i="64" l="1" a="1"/>
  <c r="F27" i="64" s="1"/>
  <c r="U74" i="41" a="1"/>
  <c r="U74" i="41" s="1"/>
  <c r="F281" i="59" a="1"/>
  <c r="F281" i="59" s="1"/>
  <c r="U53" i="48" a="1"/>
  <c r="U53" i="48" s="1"/>
  <c r="F38" i="60"/>
  <c r="T46" i="37" a="1"/>
  <c r="T46" i="37" s="1"/>
  <c r="F467" i="8" a="1"/>
  <c r="F467" i="8" s="1"/>
  <c r="U33" i="48" s="1" a="1"/>
  <c r="U33" i="48" s="1"/>
  <c r="G170" i="37" l="1" a="1"/>
  <c r="G170" i="37" s="1"/>
  <c r="U94" i="41" a="1"/>
  <c r="U94" i="41" s="1"/>
  <c r="T105" i="37" a="1"/>
  <c r="T105" i="37" s="1"/>
  <c r="F393" i="56" a="1"/>
  <c r="F32" i="56" a="1"/>
  <c r="F468" i="8" a="1"/>
  <c r="F468" i="8" s="1"/>
  <c r="F106" i="12"/>
  <c r="I110" i="12"/>
  <c r="E109" i="12"/>
  <c r="F32" i="56" l="1"/>
  <c r="F37" i="56" s="1"/>
  <c r="M37" i="56"/>
  <c r="J37" i="56"/>
  <c r="K37" i="56"/>
  <c r="L37" i="56"/>
  <c r="G37" i="56"/>
  <c r="H37" i="56"/>
  <c r="I37" i="56"/>
  <c r="F393" i="56"/>
  <c r="J398" i="56"/>
  <c r="G398" i="56"/>
  <c r="H398" i="56"/>
  <c r="L398" i="56"/>
  <c r="I398" i="56"/>
  <c r="K398" i="56"/>
  <c r="M398" i="56"/>
  <c r="I109" i="12"/>
  <c r="F109" i="12"/>
  <c r="F110" i="12" s="1"/>
  <c r="F398" i="56" l="1"/>
  <c r="F403" i="56" s="1" a="1"/>
  <c r="F403" i="56" s="1"/>
  <c r="G143" i="37" a="1"/>
  <c r="U30" i="50" a="1"/>
  <c r="U30" i="50" s="1"/>
  <c r="F24" i="65" l="1" a="1"/>
  <c r="F24" i="65" s="1"/>
  <c r="U77" i="45" s="1" a="1"/>
  <c r="U77" i="45" s="1"/>
  <c r="F17" i="65" a="1"/>
  <c r="F17" i="65" s="1"/>
  <c r="G143" i="37"/>
  <c r="U29" i="50" a="1"/>
  <c r="U29" i="50" s="1"/>
  <c r="E304" i="13" a="1"/>
  <c r="E304" i="13" s="1"/>
  <c r="G127" i="37" l="1" a="1"/>
  <c r="G127" i="37" s="1"/>
  <c r="U54" i="45" a="1"/>
  <c r="U54" i="45" s="1"/>
  <c r="G172" i="37" a="1"/>
  <c r="G172" i="37" s="1"/>
  <c r="E305" i="13" a="1"/>
  <c r="E305" i="13" s="1"/>
  <c r="E306" i="13" s="1" a="1"/>
  <c r="E306" i="13" s="1"/>
  <c r="E307" i="13" s="1" a="1"/>
  <c r="E307" i="13" s="1"/>
  <c r="L227" i="13"/>
  <c r="J227" i="13"/>
  <c r="K227" i="13"/>
  <c r="H227" i="13"/>
  <c r="F227" i="13"/>
  <c r="I227" i="13"/>
  <c r="G227" i="13"/>
  <c r="E230" i="13" l="1" a="1"/>
  <c r="E230" i="13" s="1"/>
  <c r="E199" i="13" a="1"/>
  <c r="E199" i="13" s="1"/>
  <c r="E200" i="13" l="1"/>
  <c r="U30" i="51" a="1"/>
  <c r="U30" i="51" s="1"/>
  <c r="U12" i="51" a="1"/>
  <c r="U12" i="51" s="1"/>
  <c r="L200" i="13"/>
  <c r="K200" i="13"/>
  <c r="J200" i="13"/>
  <c r="I200" i="13"/>
  <c r="H200" i="13"/>
  <c r="G200" i="13"/>
  <c r="F200" i="13"/>
  <c r="T32" i="37" l="1" a="1"/>
  <c r="T32" i="37" s="1"/>
  <c r="F22" i="56" a="1"/>
  <c r="F22" i="56" s="1"/>
  <c r="F24" i="56" s="1"/>
  <c r="F41" i="60" a="1"/>
  <c r="F41" i="60" s="1"/>
  <c r="F43" i="60" s="1"/>
  <c r="F24" i="60" a="1"/>
  <c r="L627" i="7"/>
  <c r="I627" i="7"/>
  <c r="F627" i="7"/>
  <c r="H627" i="7"/>
  <c r="J627" i="7"/>
  <c r="G627" i="7"/>
  <c r="T90" i="37" a="1"/>
  <c r="T90" i="37" s="1"/>
  <c r="H24" i="56" l="1"/>
  <c r="M24" i="56"/>
  <c r="J24" i="56"/>
  <c r="G24" i="56"/>
  <c r="K24" i="56"/>
  <c r="I24" i="56"/>
  <c r="L24" i="56"/>
  <c r="M43" i="60"/>
  <c r="L43" i="60"/>
  <c r="G43" i="60"/>
  <c r="J43" i="60"/>
  <c r="K43" i="60"/>
  <c r="I43" i="60"/>
  <c r="H43" i="60"/>
  <c r="F24" i="60"/>
  <c r="F26" i="60" s="1"/>
  <c r="M26" i="60"/>
  <c r="J26" i="60"/>
  <c r="L26" i="60"/>
  <c r="H26" i="60"/>
  <c r="G26" i="60"/>
  <c r="K26" i="60"/>
  <c r="I26" i="60"/>
  <c r="T65" i="37" a="1"/>
  <c r="T65" i="37" s="1"/>
  <c r="T44" i="37" a="1"/>
  <c r="T44" i="37" s="1"/>
  <c r="G485" i="59" l="1" a="1"/>
  <c r="G485" i="59" s="1"/>
  <c r="G507" i="59" a="1"/>
  <c r="G507" i="59" s="1"/>
  <c r="F337" i="59" s="1" a="1"/>
  <c r="F337" i="59" s="1"/>
  <c r="G496" i="59" a="1"/>
  <c r="G496" i="59" s="1"/>
  <c r="F336" i="59" s="1" a="1"/>
  <c r="F336" i="59" s="1"/>
  <c r="G487" i="59" a="1"/>
  <c r="G487" i="59" s="1"/>
  <c r="G509" i="59" a="1"/>
  <c r="G509" i="59" s="1"/>
  <c r="F347" i="59" s="1" a="1"/>
  <c r="F347" i="59" s="1"/>
  <c r="G498" i="59" a="1"/>
  <c r="G498" i="59" s="1"/>
  <c r="F346" i="59" s="1" a="1"/>
  <c r="F346" i="59" s="1"/>
  <c r="G506" i="59" a="1"/>
  <c r="G506" i="59" s="1"/>
  <c r="F332" i="59" s="1" a="1"/>
  <c r="F332" i="59" s="1"/>
  <c r="G484" i="59" a="1"/>
  <c r="G484" i="59" s="1"/>
  <c r="G495" i="59" a="1"/>
  <c r="G495" i="59" s="1"/>
  <c r="F331" i="59" s="1" a="1"/>
  <c r="F331" i="59" s="1"/>
  <c r="G497" i="59" a="1"/>
  <c r="G497" i="59" s="1"/>
  <c r="F341" i="59" s="1" a="1"/>
  <c r="F341" i="59" s="1"/>
  <c r="G486" i="59" a="1"/>
  <c r="G486" i="59" s="1"/>
  <c r="G508" i="59" a="1"/>
  <c r="G508" i="59" s="1"/>
  <c r="F342" i="59" s="1" a="1"/>
  <c r="F342" i="59" s="1"/>
  <c r="F330" i="59" l="1" a="1"/>
  <c r="F330" i="59" s="1"/>
  <c r="F333" i="59" s="1" a="1"/>
  <c r="F333" i="59" s="1"/>
  <c r="F345" i="59" a="1"/>
  <c r="F345" i="59" s="1"/>
  <c r="F340" i="59" a="1"/>
  <c r="F340" i="59" s="1"/>
  <c r="F343" i="59" s="1" a="1"/>
  <c r="F343" i="59" s="1"/>
  <c r="F335" i="59" a="1"/>
  <c r="F335" i="59" s="1"/>
  <c r="F338" i="59" s="1" a="1"/>
  <c r="F338" i="59" s="1"/>
  <c r="F348" i="59" l="1" a="1"/>
  <c r="F348" i="59" s="1"/>
  <c r="G492" i="59" a="1"/>
  <c r="G492" i="59" s="1"/>
  <c r="F316" i="59" s="1" a="1"/>
  <c r="F316" i="59" s="1"/>
  <c r="G503" i="59" a="1"/>
  <c r="G503" i="59" s="1"/>
  <c r="F317" i="59" s="1" a="1"/>
  <c r="F317" i="59" s="1"/>
  <c r="G481" i="59" a="1"/>
  <c r="G481" i="59" s="1"/>
  <c r="F315" i="59" l="1" a="1"/>
  <c r="F315" i="59" s="1"/>
  <c r="F318" i="59" s="1" a="1"/>
  <c r="F318" i="59" s="1"/>
  <c r="G493" i="59" a="1"/>
  <c r="G504" i="59" a="1"/>
  <c r="G482" i="59" a="1"/>
  <c r="G483" i="59" a="1"/>
  <c r="G483" i="59" s="1"/>
  <c r="G494" i="59" a="1"/>
  <c r="G494" i="59" s="1"/>
  <c r="F326" i="59" s="1" a="1"/>
  <c r="F326" i="59" s="1"/>
  <c r="F325" i="59" l="1" a="1"/>
  <c r="F325" i="59" s="1"/>
  <c r="G482" i="59"/>
  <c r="N488" i="59"/>
  <c r="M488" i="59"/>
  <c r="J488" i="59"/>
  <c r="I488" i="59"/>
  <c r="H488" i="59"/>
  <c r="L488" i="59"/>
  <c r="K488" i="59"/>
  <c r="G504" i="59"/>
  <c r="F322" i="59" s="1" a="1"/>
  <c r="F322" i="59" s="1"/>
  <c r="G493" i="59"/>
  <c r="L499" i="59"/>
  <c r="J499" i="59"/>
  <c r="N499" i="59"/>
  <c r="K499" i="59"/>
  <c r="I499" i="59"/>
  <c r="H499" i="59"/>
  <c r="M499" i="59"/>
  <c r="G505" i="59" a="1"/>
  <c r="G505" i="59" s="1"/>
  <c r="F327" i="59" s="1" a="1"/>
  <c r="F327" i="59" s="1"/>
  <c r="F328" i="59" l="1" a="1"/>
  <c r="F328" i="59" s="1"/>
  <c r="G499" i="59"/>
  <c r="F321" i="59" a="1"/>
  <c r="F321" i="59" s="1"/>
  <c r="G488" i="59"/>
  <c r="F320" i="59" a="1"/>
  <c r="F320" i="59" s="1"/>
  <c r="K510" i="59"/>
  <c r="L510" i="59"/>
  <c r="J510" i="59"/>
  <c r="N510" i="59"/>
  <c r="H510" i="59"/>
  <c r="I510" i="59"/>
  <c r="M510" i="59"/>
  <c r="G510" i="59"/>
  <c r="F323" i="59" l="1" a="1"/>
  <c r="F323" i="59" s="1"/>
  <c r="G513" i="59" a="1"/>
  <c r="G513" i="59" s="1"/>
  <c r="F349" i="59" s="1" a="1"/>
  <c r="F349" i="59" s="1"/>
  <c r="F351" i="59" l="1" a="1"/>
  <c r="F351" i="59" s="1"/>
  <c r="T8" i="37" s="1" a="1"/>
  <c r="T8" i="37" s="1"/>
  <c r="U9" i="41" a="1"/>
  <c r="U9" i="41" s="1"/>
  <c r="G519" i="59" a="1"/>
  <c r="G519" i="59" s="1"/>
  <c r="F268" i="13" l="1" a="1"/>
  <c r="F268" i="13" l="1"/>
  <c r="E347" i="13" s="1" a="1"/>
  <c r="E347" i="13" s="1"/>
  <c r="E219" i="13" s="1" a="1"/>
  <c r="E219" i="13" s="1"/>
  <c r="E221" i="13" s="1" a="1"/>
  <c r="E221" i="13" s="1"/>
  <c r="U11" i="51" l="1" a="1"/>
  <c r="U11" i="51" s="1"/>
  <c r="E240" i="13" a="1"/>
  <c r="E240" i="13" s="1"/>
  <c r="T15" i="37" s="1" a="1"/>
  <c r="T15" i="37" l="1"/>
  <c r="G466" i="56" l="1"/>
  <c r="M466" i="56" l="1"/>
  <c r="L466" i="56"/>
  <c r="H466" i="56"/>
  <c r="J466" i="56"/>
  <c r="I466" i="56"/>
  <c r="K466" i="56"/>
  <c r="F466" i="56" l="1"/>
  <c r="F487" i="56" a="1"/>
  <c r="F362" i="56" a="1"/>
  <c r="I495" i="56" l="1"/>
  <c r="H495" i="56"/>
  <c r="G495" i="56"/>
  <c r="K495" i="56"/>
  <c r="F487" i="56"/>
  <c r="J495" i="56"/>
  <c r="M495" i="56"/>
  <c r="L495" i="56"/>
  <c r="M370" i="56"/>
  <c r="G370" i="56"/>
  <c r="J370" i="56"/>
  <c r="H370" i="56"/>
  <c r="I370" i="56"/>
  <c r="F362" i="56"/>
  <c r="L370" i="56"/>
  <c r="K370" i="56"/>
  <c r="U30" i="45" l="1" a="1"/>
  <c r="U30" i="45" s="1"/>
  <c r="G140" i="37" a="1"/>
  <c r="F370" i="56"/>
  <c r="T26" i="37" s="1" a="1"/>
  <c r="T26" i="37" s="1"/>
  <c r="F495" i="56"/>
  <c r="F512" i="56" s="1" a="1"/>
  <c r="F512" i="56" s="1"/>
  <c r="F412" i="56" a="1"/>
  <c r="T64" i="37" l="1" a="1"/>
  <c r="T64" i="37" s="1"/>
  <c r="J420" i="56"/>
  <c r="J437" i="56" s="1"/>
  <c r="K420" i="56"/>
  <c r="K437" i="56" s="1"/>
  <c r="L420" i="56"/>
  <c r="L437" i="56" s="1"/>
  <c r="I420" i="56"/>
  <c r="I437" i="56" s="1"/>
  <c r="F412" i="56"/>
  <c r="M420" i="56"/>
  <c r="M437" i="56" s="1"/>
  <c r="H420" i="56"/>
  <c r="H437" i="56" s="1"/>
  <c r="G420" i="56"/>
  <c r="G437" i="56" s="1"/>
  <c r="J173" i="37"/>
  <c r="K173" i="37"/>
  <c r="H173" i="37"/>
  <c r="I173" i="37"/>
  <c r="N173" i="37"/>
  <c r="M173" i="37"/>
  <c r="L173" i="37"/>
  <c r="G140" i="37"/>
  <c r="G173" i="37" s="1"/>
  <c r="F420" i="56" l="1"/>
  <c r="F437" i="56" s="1"/>
  <c r="T9" i="37" s="1" a="1"/>
  <c r="U10" i="45" a="1"/>
  <c r="U10" i="45" s="1"/>
  <c r="T9" i="37" l="1"/>
  <c r="F78" i="20" l="1" a="1"/>
  <c r="F78" i="20" s="1"/>
  <c r="F41" i="20" l="1" a="1"/>
  <c r="F41" i="20" s="1"/>
  <c r="F88" i="20" a="1"/>
  <c r="F88" i="20" s="1"/>
  <c r="F51" i="20" s="1" a="1"/>
  <c r="F51" i="20" s="1"/>
  <c r="F86" i="20" a="1"/>
  <c r="F86" i="20" s="1"/>
  <c r="F87" i="20" a="1"/>
  <c r="F87" i="20" s="1"/>
  <c r="F50" i="20" s="1" a="1"/>
  <c r="F50" i="20" s="1"/>
  <c r="F49" i="20" l="1" a="1"/>
  <c r="F49" i="20" s="1"/>
  <c r="F89" i="20" a="1"/>
  <c r="F89" i="20" s="1"/>
  <c r="F52" i="20" s="1" a="1"/>
  <c r="F52" i="20" s="1"/>
  <c r="F32" i="59" a="1"/>
  <c r="T81" i="37" a="1"/>
  <c r="T81" i="37" s="1"/>
  <c r="T47" i="37" a="1"/>
  <c r="T47" i="37" s="1"/>
  <c r="U33" i="49" a="1"/>
  <c r="U33" i="49" s="1"/>
  <c r="T68" i="37" a="1"/>
  <c r="T68" i="37" s="1"/>
  <c r="U49" i="49" a="1"/>
  <c r="U49" i="49" s="1"/>
  <c r="T13" i="37" l="1" a="1"/>
  <c r="U13" i="49" a="1"/>
  <c r="U13" i="49" s="1"/>
  <c r="F32" i="59"/>
  <c r="M216" i="59"/>
  <c r="H216" i="59"/>
  <c r="J217" i="59"/>
  <c r="K215" i="59"/>
  <c r="I35" i="59"/>
  <c r="G35" i="59"/>
  <c r="K217" i="59"/>
  <c r="J35" i="59"/>
  <c r="G216" i="59"/>
  <c r="G215" i="59"/>
  <c r="M215" i="59"/>
  <c r="H35" i="59"/>
  <c r="K35" i="59"/>
  <c r="K216" i="59"/>
  <c r="M217" i="59"/>
  <c r="J216" i="59"/>
  <c r="L215" i="59"/>
  <c r="I215" i="59"/>
  <c r="I216" i="59"/>
  <c r="G217" i="59"/>
  <c r="J215" i="59"/>
  <c r="L217" i="59"/>
  <c r="L35" i="59"/>
  <c r="H217" i="59"/>
  <c r="I217" i="59"/>
  <c r="L216" i="59"/>
  <c r="M35" i="59"/>
  <c r="H215" i="59"/>
  <c r="F216" i="59" l="1"/>
  <c r="F215" i="59"/>
  <c r="F217" i="59"/>
  <c r="G158" i="37" a="1"/>
  <c r="G158" i="37" s="1"/>
  <c r="F35" i="59"/>
  <c r="W17" i="37"/>
  <c r="U17" i="37"/>
  <c r="T13" i="37"/>
  <c r="T17" i="37" s="1"/>
  <c r="AA17" i="37"/>
  <c r="Z17" i="37"/>
  <c r="X17" i="37"/>
  <c r="V17" i="37"/>
  <c r="Y17" i="37"/>
  <c r="F279" i="59" l="1" a="1"/>
  <c r="F26" i="64" a="1"/>
  <c r="F104" i="59" a="1"/>
  <c r="F104" i="59" s="1"/>
  <c r="M20" i="64" l="1"/>
  <c r="H20" i="64"/>
  <c r="L20" i="64"/>
  <c r="J20" i="64"/>
  <c r="I20" i="64"/>
  <c r="K20" i="64"/>
  <c r="G20" i="64"/>
  <c r="G29" i="64"/>
  <c r="M29" i="64"/>
  <c r="H29" i="64"/>
  <c r="F26" i="64"/>
  <c r="L29" i="64"/>
  <c r="I29" i="64"/>
  <c r="J29" i="64"/>
  <c r="K29" i="64"/>
  <c r="F279" i="59"/>
  <c r="L286" i="59"/>
  <c r="I286" i="59"/>
  <c r="G286" i="59"/>
  <c r="M286" i="59"/>
  <c r="H286" i="59"/>
  <c r="J286" i="59"/>
  <c r="K286" i="59"/>
  <c r="U73" i="41" l="1" a="1"/>
  <c r="U73" i="41" s="1"/>
  <c r="F20" i="64"/>
  <c r="U93" i="41" a="1"/>
  <c r="U93" i="41" s="1"/>
  <c r="F29" i="64"/>
  <c r="F286" i="59"/>
  <c r="G129" i="37" a="1"/>
  <c r="G129"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tc={403A426A-F51C-464E-BC41-1EAB6AB641C5}</author>
  </authors>
  <commentList>
    <comment ref="E56" authorId="0" shapeId="0" xr:uid="{403A426A-F51C-464E-BC41-1EAB6AB641C5}">
      <text>
        <t>[Comentario encadenado]
Su versión de Excel le permite leer este comentario encadenado; sin embargo, las ediciones que se apliquen se quitarán si el archivo se abre en una versión más reciente de Excel. Más información: https://go.microsoft.com/fwlink/?linkid=870924
Comentario:
    @Ana Teresa Ortega Minakata</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<sst xmlns="http://schemas.openxmlformats.org/spreadsheetml/2006/main" count="14121" uniqueCount="2677">
  <si>
    <t>TRAYECTORIAS</t>
  </si>
  <si>
    <t>PCG</t>
  </si>
  <si>
    <t>AR 5</t>
  </si>
  <si>
    <t>AR 6</t>
  </si>
  <si>
    <t xml:space="preserve">UNIDAD EMISION </t>
  </si>
  <si>
    <r>
      <t>Mt CO</t>
    </r>
    <r>
      <rPr>
        <vertAlign val="subscript"/>
        <sz val="10"/>
        <color theme="1"/>
        <rFont val="Calibri"/>
        <family val="2"/>
        <scheme val="minor"/>
      </rPr>
      <t>2</t>
    </r>
    <r>
      <rPr>
        <sz val="11"/>
        <color theme="1"/>
        <rFont val="Calibri"/>
        <family val="2"/>
        <scheme val="minor"/>
      </rPr>
      <t>e</t>
    </r>
  </si>
  <si>
    <r>
      <t>t CO</t>
    </r>
    <r>
      <rPr>
        <vertAlign val="subscript"/>
        <sz val="10"/>
        <color theme="1"/>
        <rFont val="Calibri"/>
        <family val="2"/>
        <scheme val="minor"/>
      </rPr>
      <t>2</t>
    </r>
    <r>
      <rPr>
        <sz val="11"/>
        <color theme="1"/>
        <rFont val="Calibri"/>
        <family val="2"/>
        <scheme val="minor"/>
      </rPr>
      <t>e</t>
    </r>
  </si>
  <si>
    <r>
      <t>Gg CO</t>
    </r>
    <r>
      <rPr>
        <vertAlign val="subscript"/>
        <sz val="10"/>
        <color theme="1"/>
        <rFont val="Calibri"/>
        <family val="2"/>
        <scheme val="minor"/>
      </rPr>
      <t>2</t>
    </r>
    <r>
      <rPr>
        <sz val="11"/>
        <color theme="1"/>
        <rFont val="Calibri"/>
        <family val="2"/>
        <scheme val="minor"/>
      </rPr>
      <t>e</t>
    </r>
  </si>
  <si>
    <t>UNIDAD ENERGÍA</t>
  </si>
  <si>
    <t>TWh</t>
  </si>
  <si>
    <t>MWh</t>
  </si>
  <si>
    <t>TJ</t>
  </si>
  <si>
    <t>PJ</t>
  </si>
  <si>
    <t>GJ</t>
  </si>
  <si>
    <t>SUPERFICIE</t>
  </si>
  <si>
    <t>Mha</t>
  </si>
  <si>
    <t>ha</t>
  </si>
  <si>
    <r>
      <t>m</t>
    </r>
    <r>
      <rPr>
        <vertAlign val="superscript"/>
        <sz val="11"/>
        <color theme="1"/>
        <rFont val="Calibri"/>
        <family val="2"/>
        <scheme val="minor"/>
      </rPr>
      <t>2</t>
    </r>
  </si>
  <si>
    <r>
      <t>km</t>
    </r>
    <r>
      <rPr>
        <vertAlign val="superscript"/>
        <sz val="11"/>
        <color theme="1"/>
        <rFont val="Calibri"/>
        <family val="2"/>
        <scheme val="minor"/>
      </rPr>
      <t>2</t>
    </r>
  </si>
  <si>
    <t>UNIDAD COSTOS</t>
  </si>
  <si>
    <t xml:space="preserve">$ MMCOP </t>
  </si>
  <si>
    <t>1. Potenciales de Calentamiento Global (PCG)</t>
  </si>
  <si>
    <r>
      <t xml:space="preserve">El PCG es un índice basado en las propiedades de radiación de los GEI, que mide la fuerza de radiación tras la emisión de un pulso de una unidad de masa de un GEI dado en la atmósfera actual integrado en un período determinado, con relación a la unidad de dióxido de carbono. En este caso se han empleado los potenciales de calentamiento global del Cuarto Informe del IPCC de 2007. 
Estos potenciales son reportados de los informes desarrollados por el  Panel Intergubernamental del Cambio Climático. Hasta el año 2022 se usaban los PCG del Quinto informe de evaluación, denominado </t>
    </r>
    <r>
      <rPr>
        <b/>
        <i/>
        <sz val="11"/>
        <color theme="1"/>
        <rFont val="Calibri"/>
        <family val="2"/>
        <scheme val="minor"/>
      </rPr>
      <t>AR5</t>
    </r>
    <r>
      <rPr>
        <i/>
        <sz val="11"/>
        <color theme="1"/>
        <rFont val="Calibri"/>
        <family val="2"/>
        <scheme val="minor"/>
      </rPr>
      <t xml:space="preserve">, el cual fue publicado en el año 2014. Sin embargo, estos potenciales fueron sustituidos en el sexto informe de evaluación publicado en el año 2022, el </t>
    </r>
    <r>
      <rPr>
        <b/>
        <i/>
        <sz val="11"/>
        <color theme="1"/>
        <rFont val="Calibri"/>
        <family val="2"/>
        <scheme val="minor"/>
      </rPr>
      <t>AR6</t>
    </r>
    <r>
      <rPr>
        <i/>
        <sz val="11"/>
        <color theme="1"/>
        <rFont val="Calibri"/>
        <family val="2"/>
        <scheme val="minor"/>
      </rPr>
      <t>. 
La presente herramienta proporciona la posibilidad de seleccionar los potenciales que quieran ser utilizados. Por favor seleccione a continuación los que desee usar:</t>
    </r>
  </si>
  <si>
    <t xml:space="preserve">Potenciales de Calentamiento Global </t>
  </si>
  <si>
    <t>2. Cambio de unidades de la sección resultados</t>
  </si>
  <si>
    <r>
      <t>La Calculadora establece una serie de unidades predeterminadas de medición de sus diferentes componentes: Emisiones (Mt CO</t>
    </r>
    <r>
      <rPr>
        <i/>
        <vertAlign val="subscript"/>
        <sz val="11"/>
        <color theme="1"/>
        <rFont val="Calibri"/>
        <family val="2"/>
        <scheme val="minor"/>
      </rPr>
      <t>2</t>
    </r>
    <r>
      <rPr>
        <i/>
        <sz val="11"/>
        <color theme="1"/>
        <rFont val="Calibri"/>
        <family val="2"/>
        <scheme val="minor"/>
      </rPr>
      <t xml:space="preserve">e), Energía (TWh) y Costos ($MMCOP). 
Sin embargo, es posible modificar estas unidades en la página de resultados de cada sector. A continuación se muestran las diferentes posibilidades de ajuste para los tres componentes. </t>
    </r>
  </si>
  <si>
    <t xml:space="preserve">Unidad gráficos generales </t>
  </si>
  <si>
    <t xml:space="preserve">GENERAL </t>
  </si>
  <si>
    <t xml:space="preserve">Emisiones </t>
  </si>
  <si>
    <t>Mt CO2e</t>
  </si>
  <si>
    <t xml:space="preserve">Energía </t>
  </si>
  <si>
    <t xml:space="preserve">Unidades por sector </t>
  </si>
  <si>
    <t>ENERGÍA</t>
  </si>
  <si>
    <t xml:space="preserve"> </t>
  </si>
  <si>
    <t xml:space="preserve">ELECTRICIDAD </t>
  </si>
  <si>
    <t>Mt CO2 e</t>
  </si>
  <si>
    <t>INDUSTRIA</t>
  </si>
  <si>
    <t xml:space="preserve">RESIDUOS </t>
  </si>
  <si>
    <t>EDIFICACIONES</t>
  </si>
  <si>
    <t>TRANSPORTE</t>
  </si>
  <si>
    <t>AGRICULTURA</t>
  </si>
  <si>
    <t>GANADERÍA</t>
  </si>
  <si>
    <t xml:space="preserve">BOSQUES </t>
  </si>
  <si>
    <t>Superficie</t>
  </si>
  <si>
    <t>¿Qué es la Calculadora Colombiana de Carbono 2050?</t>
  </si>
  <si>
    <t>Estructura de la Calculadora</t>
  </si>
  <si>
    <t>Secciones principales</t>
  </si>
  <si>
    <t xml:space="preserve">Tipos de datos </t>
  </si>
  <si>
    <t>Entradas</t>
  </si>
  <si>
    <t xml:space="preserve">Supuestos de trayectoria </t>
  </si>
  <si>
    <t xml:space="preserve">Supuestos fijos </t>
  </si>
  <si>
    <t>Supuestos de costos</t>
  </si>
  <si>
    <t>Salidas</t>
  </si>
  <si>
    <t>Pasos lógicos para la creación de escenarios</t>
  </si>
  <si>
    <t>* Este proceso para la creación de escenarios se muestra en un VIDEO TUTORIAL, disponible en el siguiente enlace:</t>
  </si>
  <si>
    <t xml:space="preserve">enlace </t>
  </si>
  <si>
    <t>¿Qué sectores contempla?</t>
  </si>
  <si>
    <t>Interrelaciones sectoriales</t>
  </si>
  <si>
    <t>Resultados ¿Qué significan las gráficas?</t>
  </si>
  <si>
    <t>Nombre en la Calculadora Colombiana de Carbono 2050</t>
  </si>
  <si>
    <t>Nombre de la categoría IPCC</t>
  </si>
  <si>
    <t>1 - Energía</t>
  </si>
  <si>
    <t>Combustibles fósiles</t>
  </si>
  <si>
    <t xml:space="preserve">1A1b - Refinación de petróleo </t>
  </si>
  <si>
    <t>Combustibles fósiles (carbón)</t>
  </si>
  <si>
    <t>1A1c - Fabricación de combustibles sólidos y otras industrias energéticas</t>
  </si>
  <si>
    <t>ELECTRICIDAD</t>
  </si>
  <si>
    <t>1A1a - Producción de electricidad y calor como actividad principal</t>
  </si>
  <si>
    <t>1A2 - Industrias manufactureras y de la construcción</t>
  </si>
  <si>
    <t>RESIDUOS</t>
  </si>
  <si>
    <t xml:space="preserve">4- Residuos </t>
  </si>
  <si>
    <t>Residuos sólidos</t>
  </si>
  <si>
    <t>-</t>
  </si>
  <si>
    <t xml:space="preserve">Eliminación de residuos sólidos </t>
  </si>
  <si>
    <t>4A- Eliminación de desechos sólidos (4A1- Sitios gestionados de eliminación de desechos)</t>
  </si>
  <si>
    <t xml:space="preserve">     Relleno sanitario</t>
  </si>
  <si>
    <t xml:space="preserve">4A1a- Rellenos regionales </t>
  </si>
  <si>
    <t xml:space="preserve">     Celda de contingencia</t>
  </si>
  <si>
    <t xml:space="preserve">4A1b- Rellenos locales plantas integrales y celdas de contingencia </t>
  </si>
  <si>
    <t>Tratamiento mecánico biológico - Compostaje</t>
  </si>
  <si>
    <t xml:space="preserve">4B- Tratamiento biológico de los desechos sólidos </t>
  </si>
  <si>
    <t xml:space="preserve">Combustibles derivados de residuos </t>
  </si>
  <si>
    <t xml:space="preserve">Incineración </t>
  </si>
  <si>
    <t xml:space="preserve">4C1- Incineración e incineración abierta de desechos </t>
  </si>
  <si>
    <t>Reciclado</t>
  </si>
  <si>
    <t xml:space="preserve">Aguas residuales </t>
  </si>
  <si>
    <t xml:space="preserve">4D - Tratamiento y eliminación de aguas residuales </t>
  </si>
  <si>
    <t xml:space="preserve">Aguas residuales domésticas </t>
  </si>
  <si>
    <t xml:space="preserve">4D1- Tratamiento y eliminación de aguas residuales domésticas </t>
  </si>
  <si>
    <t xml:space="preserve">Aguas residuales Industriales </t>
  </si>
  <si>
    <t xml:space="preserve">4D2- Tratamiento y eliminación de aguas residuales industriales </t>
  </si>
  <si>
    <t xml:space="preserve">EDIFICACIONES </t>
  </si>
  <si>
    <t>1A4- Otros sectores</t>
  </si>
  <si>
    <t xml:space="preserve">Edificaciones residenciales </t>
  </si>
  <si>
    <t xml:space="preserve">1A4b- Residencial </t>
  </si>
  <si>
    <t>Edificaciones rurales</t>
  </si>
  <si>
    <t xml:space="preserve">Edificaciones comerciales y de servicios </t>
  </si>
  <si>
    <t xml:space="preserve">1A4a- Comercial/Institucional </t>
  </si>
  <si>
    <t xml:space="preserve">1A3-Transporte </t>
  </si>
  <si>
    <t>Transporte de pasajeros</t>
  </si>
  <si>
    <t>1A3b-Transporte terrestre</t>
  </si>
  <si>
    <t>Transporte de carga</t>
  </si>
  <si>
    <t xml:space="preserve">1A3b-Transporte terrestre / 1A3c- Ferrocarriles </t>
  </si>
  <si>
    <t xml:space="preserve">Navegación internacional </t>
  </si>
  <si>
    <t>1A3d- Navegación marítima y fluvial</t>
  </si>
  <si>
    <t>Aviación internacional</t>
  </si>
  <si>
    <t xml:space="preserve">1A3a-Aviación civil </t>
  </si>
  <si>
    <t>3 - Agricultura, Silvicultura, y Otros Usos de la Tierra</t>
  </si>
  <si>
    <t>Mejores prácticas agrícolas</t>
  </si>
  <si>
    <t>3B2 - Tierras de cultivo</t>
  </si>
  <si>
    <t>Producción de biomasa</t>
  </si>
  <si>
    <t>Tierra dedicada para biocombustibles</t>
  </si>
  <si>
    <t>Prácticas sostenibles en suelos ganaderos</t>
  </si>
  <si>
    <t>3B3a -Pastizales que permanecen como tales/ 
3B3b - Tierras convertidas en pastizales</t>
  </si>
  <si>
    <t>Mejores prácticas pecuarias</t>
  </si>
  <si>
    <t>3A1 - Fermentación entérica</t>
  </si>
  <si>
    <t>Producción de estiércol para bioenergía</t>
  </si>
  <si>
    <t>3A2 - Gestión de estiércol</t>
  </si>
  <si>
    <t>3 - Agricultura, Silvicultura, y Otros Usos de la Tierra (3B1 - Tierras forestales)</t>
  </si>
  <si>
    <t>Desarrollo y consolidación de la cadena productiva de las plantaciones forestales con fines comerciales</t>
  </si>
  <si>
    <t>3B1aiii - Tierras forestales que permanecen como tales (Plantaciones)</t>
  </si>
  <si>
    <t>Reducción intersectorial de la deforestación</t>
  </si>
  <si>
    <t>ENERGÍA - Combustibles fósiles y Bioenergía</t>
  </si>
  <si>
    <t>Eficiencia energética en producción de hidrocarburos</t>
  </si>
  <si>
    <t>ENERGÍA - Electricidad y Autogeneración</t>
  </si>
  <si>
    <t>Transición a una generación eléctrica baja en carbono</t>
  </si>
  <si>
    <t>Eficiencia energética y optimización de procesos industriales</t>
  </si>
  <si>
    <t>Procesos productivos sostenibles</t>
  </si>
  <si>
    <t>Sustitución de gases refrigerantes</t>
  </si>
  <si>
    <t>Gestión de desarrollo integral de ladrilleras</t>
  </si>
  <si>
    <t>Residuos Sólidos Municipales</t>
  </si>
  <si>
    <t xml:space="preserve">Reducción y mejora de la gestión de Residuos Sólidos </t>
  </si>
  <si>
    <t>Aguas Residuales</t>
  </si>
  <si>
    <t>Aprovechamiento del biogás de las aguas residuales</t>
  </si>
  <si>
    <t>Aumento del tratamiento de las Aguas Residuales y su reutilización</t>
  </si>
  <si>
    <t>Edificaciones Residenciales</t>
  </si>
  <si>
    <t xml:space="preserve">Subsector: Acondicionamiento de espacios residenciales </t>
  </si>
  <si>
    <t>Diseño y eficiencia energética para el acondicionamiento de espacios</t>
  </si>
  <si>
    <t xml:space="preserve">Subsector: Iluminación, refrigeración, cocción y otros usos </t>
  </si>
  <si>
    <t>Eficiencia energética y equipos eficientes en viviendas</t>
  </si>
  <si>
    <t>Uso y hábitos de consumo</t>
  </si>
  <si>
    <t>Potencia instalada para autogeneración solar fotovoltaica</t>
  </si>
  <si>
    <t>Subsector: Residencial Rural</t>
  </si>
  <si>
    <t>Eficiencia energética para viviendas rurales</t>
  </si>
  <si>
    <t>Edificaciones Comerciales y de Servicios</t>
  </si>
  <si>
    <t xml:space="preserve">Subsector: Acondicionamiento de espacios comerciales </t>
  </si>
  <si>
    <t>Acondicionamiento de espacios comercial y de servicios</t>
  </si>
  <si>
    <t xml:space="preserve">Subsector: Usos térmicos y hábitos de consumo </t>
  </si>
  <si>
    <t>Usos térmicos y equipamiento comercial y de servicios</t>
  </si>
  <si>
    <t>Gestión de la demanda de transporte de pasajeros</t>
  </si>
  <si>
    <t>Eficiencia energética y uso de tecnologías limpias en el transporte de pasajeros</t>
  </si>
  <si>
    <t>Gestión de la demanda en el transporte de carga</t>
  </si>
  <si>
    <t>Eficiencia energética y uso de tecnologías limpias en el transporte de carga</t>
  </si>
  <si>
    <t>Transporte nacional - Aviación</t>
  </si>
  <si>
    <t>Gestión de la demanda de transporte aéreo nacional</t>
  </si>
  <si>
    <t>Transporte nacional- Navegación</t>
  </si>
  <si>
    <t>Gestión de la demanda de transporte marino nacional</t>
  </si>
  <si>
    <t>BOSQUES</t>
  </si>
  <si>
    <t>Biocombustible</t>
  </si>
  <si>
    <t>Los biocombustibles son aquellos combustibles obtenidos de una fuente biológica, de manera renovable a partir de restos orgánicos. . Actualmente se encuentran ampliamente desarrollados dos
tipos de biocombustibles: Biodiésel y Bioetanol. (SIC, 2011)</t>
  </si>
  <si>
    <t>Bioenergía</t>
  </si>
  <si>
    <t>Energía derivada de cualquier forma de biomasa o sus subproductos metabólicos.</t>
  </si>
  <si>
    <t>Biomasa</t>
  </si>
  <si>
    <t>Material orgánico vivo o recientemente muerto. Véanse también Biocombustible y Bioenergía.</t>
  </si>
  <si>
    <t>Bosque</t>
  </si>
  <si>
    <t>Tipo de vegetación en que predominan los árboles. Las definiciones de bosque en distintos lugares del mundo son muy diversas, en consonancia con la diversidad de condiciones biogeofísicas y de estructuras sociales y económicas. Para un análisis del término bosque y de los conceptos conexos de forestación, reforestación y deforestación, véase el Informe especial del IPCC sobre uso de la tierra, cambio de uso de la tierra y silvicultura (IPCC, 2000). Véanse además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t>
  </si>
  <si>
    <t>Calefacción, ventilación y climatización</t>
  </si>
  <si>
    <t>La tecnología de calefacción, ventilación y climatización se utiliza para controlar la temperatura y la humedad en un ambiente interior, ya sea en edificios o vehículos, lo que proporciona bienestar térmico y una buena calidad del aire a las personas que los ocupan. Estos sistemas pueden diseñarse para un espacio aislado, un edificio en particular o una red distribuida de calefacción y refrigeración de edificios o distritos. Este último sistema genera economías de escala y la posibilidad de integrar el calor solar, la calefacción/refrigeración natural según la estación, entre otros.</t>
  </si>
  <si>
    <t>Cambio climático</t>
  </si>
  <si>
    <t xml:space="preserve">El cambio climático hace referencia a una variación del estado del clima identificable (p. ej., mediante pruebas estadísticas) en las variaciones del valor medio o en la variabilidad de sus propiedades, que persiste durante períodos prolongados, generalmente décadas o períodos más largos. El cambio climático puede deberse a procesos internos naturales o a forzamientos externos, tales como modulaciones de los ciclos solares, erupciones volcánicas y cambios antropógenos persistentes de la composición de la atmósfera o del uso de la tierra. La Convención Marco de las Naciones Unidas sobre el Cambio Climático (CMNUCC), en su artículo 1, define el cambio climático como “cambio de clima atribuido directa o indirectamente a la actividad humana que altera la composición de la atmósfera global y que se suma a la variabilidad natural del clima observada durante períodos de tiempo comparables”. </t>
  </si>
  <si>
    <t>Captura y almacenamiento de dióxido de carbono (CAC) (carbon dioxide
capture and storage (CCS))</t>
  </si>
  <si>
    <r>
      <t>Proceso en el que un flujo relativamente puro de dióxido de carbono (CO</t>
    </r>
    <r>
      <rPr>
        <vertAlign val="subscript"/>
        <sz val="11"/>
        <color theme="1"/>
        <rFont val="Calibri"/>
        <family val="2"/>
        <scheme val="minor"/>
      </rPr>
      <t>2</t>
    </r>
    <r>
      <rPr>
        <sz val="11"/>
        <color theme="1"/>
        <rFont val="Calibri"/>
        <family val="2"/>
        <scheme val="minor"/>
      </rPr>
      <t xml:space="preserve">) procedente de fuentes industriales y de fuentes relacionadas con la energía se separa (captura), se condiciona, se comprime y se transporta hasta un lugar de almacenamiento para su aislamiento de la atmósfera durante un largo período. A veces se denomina “captura y secuestro de carbono”. </t>
    </r>
  </si>
  <si>
    <t>Captura y utilización</t>
  </si>
  <si>
    <r>
      <t>Proceso en el que un flujo relativamente puro de dióxido de carbono (CO</t>
    </r>
    <r>
      <rPr>
        <vertAlign val="subscript"/>
        <sz val="11"/>
        <color theme="1"/>
        <rFont val="Calibri"/>
        <family val="2"/>
        <scheme val="minor"/>
      </rPr>
      <t>2</t>
    </r>
    <r>
      <rPr>
        <sz val="11"/>
        <color theme="1"/>
        <rFont val="Calibri"/>
        <family val="2"/>
        <scheme val="minor"/>
      </rPr>
      <t>) procedente de fuentes industriales y de fuentes relacionadas con la energía se separa (captura), se condiciona, se comprime y se transporta hasta un lugar de almacenamiento para su uso diferente a almacenamiento.</t>
    </r>
  </si>
  <si>
    <t>Clima</t>
  </si>
  <si>
    <t>El clima se suele definir en sentido restringido como el estado promedio del tiempo y, más rigurosamente, como una descripción estadística del tiempo atmosférico en términos de los valores medios y de la variabilidad de las magnitudes correspondientes durante períodos que pueden abarcar desde meses hasta miles o millones de años. El período de promedio habitual es de 30 años, según la definición de la Organización Meteorológica Mundial. Las magnitudes son casi siempre variables de superficie (p. ej., temperatura, precipitación o viento). En un sentido más amplio, el clima es el estado del sistema climático en términos tanto clásicos como estadísticos.</t>
  </si>
  <si>
    <r>
      <t>CO</t>
    </r>
    <r>
      <rPr>
        <b/>
        <vertAlign val="subscript"/>
        <sz val="12"/>
        <color theme="5" tint="-0.249977111117893"/>
        <rFont val="Calibri"/>
        <family val="2"/>
        <scheme val="minor"/>
      </rPr>
      <t>2</t>
    </r>
    <r>
      <rPr>
        <b/>
        <sz val="12"/>
        <color theme="5" tint="-0.249977111117893"/>
        <rFont val="Calibri"/>
        <family val="2"/>
        <scheme val="minor"/>
      </rPr>
      <t>e</t>
    </r>
  </si>
  <si>
    <t xml:space="preserve">CO2 equivalente (WRI/WBCSD, 2005): Unidad universal de medida que indica el potencial de calentamiento global (PCG) de cada uno de los GEI, expresado en unidad de dióxido de carbono. Se utiliza para evaluar la liberación o el evitarla, de diferentes GEI contra un denominador común. </t>
  </si>
  <si>
    <t xml:space="preserve">Cobeneficios </t>
  </si>
  <si>
    <t>Efectos positivos que una política o medida destinada a un objetivo podrían tener en otros objetivos, incrementando de ese modo los beneficios totales para la sociedad o el medioambiente. Los cobeneficios suelen estar sujetos a incertidumbre y dependen de las circunstancias locales y las prácticas de aplicación, entre otros factores. Los cobeneficios también se denominan beneficios accesorios.</t>
  </si>
  <si>
    <t xml:space="preserve">Combustibles fósiles </t>
  </si>
  <si>
    <t>Combustibles basados en carbono procedentes de depósitos de hidrocarburos fósiles, incluidos el carbón, el petróleo y el gas natural.</t>
  </si>
  <si>
    <t>Contaminación atmosférica</t>
  </si>
  <si>
    <t>Degradación de la calidad del aire que tiene efectos negativos para la salud humana o el entorno natural o edificado, debido a la introducción en la atmósfera, a través de procesos naturales o actividades humanas, de sustancias (gases, aerosoles) que conllevan efectos nocivos directos (contaminantes primarios) o indirectos (contaminantes secundarios). Véanse también Aerosol y Forzadores climáticos de vida corta.</t>
  </si>
  <si>
    <t>Contribuciones determinadas a nivel nacional (CDN) (Nationally Determined
Contributions (NDCs))</t>
  </si>
  <si>
    <t xml:space="preserve">Término utilizado en virtud de la Convención Marco de las Naciones Unidas sobre el Cambio Climático (CMNUCC), conforme al cual un país que se ha adherido al Acuerdo de París especifica los planes del país para reducir sus emisiones. En las CDN de algunos países también se aborda la forma en que se adaptarán a los impactos del cambio climático, qué tipo de apoyo necesitan de otros países y qué tipo de apoyo proporcionarán a otros países para adoptar trayectorias de bajas emisiones de carbono y fortalecer la resiliencia al clima. De conformidad con el párrafo 2 del artículo 4 del Acuerdo de París, cada Parte deberá preparar, comunicar y mantener las sucesivas contribuciones determinadas a nivel nacional que tenga previsto efectuar. Antes del 21er período de sesiones de la Conferencia de las Partes, celebrado en París en 2015, los países presentaron las contribuciones previstas determinadas a nivel nacional (CPDN). Cuando los países se adhieren al Acuerdo de París, a menos que adopten otra decisión, esta CPDN se convierte en su primera CDN. </t>
  </si>
  <si>
    <t>Deforestación</t>
  </si>
  <si>
    <t>Conversión de una extensión boscosa en no boscosa. Para un análisis del término bosque y de los conceptos conexos de forestación, reforestación y deforestación, véase el Informe especial del IPCC sobre uso de la tierra, cambio de uso de la tierra y silvicultura (IPCC, 2000).</t>
  </si>
  <si>
    <t>Descuento</t>
  </si>
  <si>
    <t>Operación matemática cuya finalidad es hacer que las cantidades monetarias (u otras cantidades) recibidas o gastadas en diferentes momentos (años) sean comparables a lo largo del tiempo. En la operación se utiliza una tasa de descuento fija o que posiblemente varíe en el tiempo de un año a otro, que hace que el valor futuro tenga un valor menor en la actualidad (si la tasa de descuento es positiva). La elección de la tasa de descuento está sujeta a debate, dado que el criterio se basa en valores ocultos o explícitos.</t>
  </si>
  <si>
    <r>
      <t>Dióxido de carbono (CO</t>
    </r>
    <r>
      <rPr>
        <b/>
        <vertAlign val="subscript"/>
        <sz val="12"/>
        <color theme="5" tint="-0.249977111117893"/>
        <rFont val="Calibri"/>
        <family val="2"/>
        <scheme val="minor"/>
      </rPr>
      <t>2</t>
    </r>
    <r>
      <rPr>
        <b/>
        <sz val="12"/>
        <color theme="5" tint="-0.249977111117893"/>
        <rFont val="Calibri"/>
        <family val="2"/>
        <scheme val="minor"/>
      </rPr>
      <t>)</t>
    </r>
  </si>
  <si>
    <t>El CO2, que es un gas de origen natural, también es un subproducto de la quema de combustibles fósiles (como el petróleo, el gas y el carbón), de la quema de biomasa, de los cambios de uso de la tierra y de procesos industriales (p. ej., la producción de cemento). Es el principal gas de efecto invernadero (GEI) antropógeno que afecta al equilibrio radiativo de la Tierra. Es el gas utilizado como referencia para medir  otros GEI, por lo que su potencial de calentamiento global (PCG) es igual a 1.</t>
  </si>
  <si>
    <t>Eficiencia energética</t>
  </si>
  <si>
    <t>Relación entre la producción de energía útil o servicios energéticos u otro producto físico útil que se obtiene por medio de un sistema, un proceso de conversión o una actividad de transmisión o almacenamiento y la cantidad de energía consumida (medida en kWh kWh-1, toneladas/kWh-1 o en cualquier otra medida física del producto útil, como la tonelada/km transportada). La eficiencia energética suele describirse en términos de intensidad energética. En economía, la intensidad energética refleja la relación entre la producción económica y el consumo de energía. Por lo general, la eficiencia energética se mide como el consumo de energía en una unidad económica o física, es decir, kWh USD-1 (intensidad energética), kWh tonelada-1. En el caso de los edificios, suele medirse como kWh m-2, y para los vehículos como km litro-1 o litro km-1. En el contexto de las políticas, la “eficiencia energética” suele presentarse como las medidas destinadas a reducir la demanda de energía a través de opciones tecnológicas, como el aislamiento de los edificios, electrodomésticos más eficientes, equipos de iluminación eficientes y vehículos eficientes, entre otras. (IPCC, 2018).</t>
  </si>
  <si>
    <r>
      <t>Emisión de CO</t>
    </r>
    <r>
      <rPr>
        <b/>
        <vertAlign val="subscript"/>
        <sz val="12"/>
        <color theme="5" tint="-0.249977111117893"/>
        <rFont val="Calibri"/>
        <family val="2"/>
        <scheme val="minor"/>
      </rPr>
      <t>2</t>
    </r>
    <r>
      <rPr>
        <b/>
        <sz val="12"/>
        <color theme="5" tint="-0.249977111117893"/>
        <rFont val="Calibri"/>
        <family val="2"/>
        <scheme val="minor"/>
      </rPr>
      <t xml:space="preserve"> equivalente (CO</t>
    </r>
    <r>
      <rPr>
        <b/>
        <vertAlign val="subscript"/>
        <sz val="12"/>
        <color theme="5" tint="-0.249977111117893"/>
        <rFont val="Calibri"/>
        <family val="2"/>
        <scheme val="minor"/>
      </rPr>
      <t>2</t>
    </r>
    <r>
      <rPr>
        <b/>
        <sz val="12"/>
        <color theme="5" tint="-0.249977111117893"/>
        <rFont val="Calibri"/>
        <family val="2"/>
        <scheme val="minor"/>
      </rPr>
      <t>e)</t>
    </r>
  </si>
  <si>
    <r>
      <t>Cuantía de emisión de dióxido de carbono (CO</t>
    </r>
    <r>
      <rPr>
        <vertAlign val="subscript"/>
        <sz val="11"/>
        <color theme="1"/>
        <rFont val="Calibri"/>
        <family val="2"/>
        <scheme val="minor"/>
      </rPr>
      <t>2</t>
    </r>
    <r>
      <rPr>
        <sz val="11"/>
        <color theme="1"/>
        <rFont val="Calibri"/>
        <family val="2"/>
        <scheme val="minor"/>
      </rPr>
      <t>) que causaría el mismo forzamiento radiativo integrado o cambio de temperatura, en un plazo dado, que cierta cantidad emitida de un gas de efecto invernadero (GEI) o de una mezcla de GEI. Hay varias maneras de calcular esas emisiones equivalentes y de elegir los plazos adecuados. La emisión de CO2 equivalente suele calcularse habitualmente multiplicando la emisión de un GEI por su potencial de calentamiento global (PCG) en el plazo de 100 años. En el caso de las mezclas de GEI, se suman las emisiones de CO2 equivalente correspondientes a cada gas. La emisión de dióxido  de carbono equivalente constituye una escala común para comparar las emisiones de diferentes GEI, aunque no implica una equivalencia exacta en las respuestas correspondientes en términos de cambio climático. Generalmente no existe ninguna conexión entre las emisiones de CO</t>
    </r>
    <r>
      <rPr>
        <vertAlign val="subscript"/>
        <sz val="11"/>
        <color theme="1"/>
        <rFont val="Calibri"/>
        <family val="2"/>
        <scheme val="minor"/>
      </rPr>
      <t>2</t>
    </r>
    <r>
      <rPr>
        <sz val="11"/>
        <color theme="1"/>
        <rFont val="Calibri"/>
        <family val="2"/>
        <scheme val="minor"/>
      </rPr>
      <t xml:space="preserve"> equivalente y las concentraciones de CO</t>
    </r>
    <r>
      <rPr>
        <vertAlign val="subscript"/>
        <sz val="11"/>
        <color theme="1"/>
        <rFont val="Calibri"/>
        <family val="2"/>
        <scheme val="minor"/>
      </rPr>
      <t>2</t>
    </r>
    <r>
      <rPr>
        <sz val="11"/>
        <color theme="1"/>
        <rFont val="Calibri"/>
        <family val="2"/>
        <scheme val="minor"/>
      </rPr>
      <t xml:space="preserve"> equivalente resultantes.(IPCC, 2018).</t>
    </r>
  </si>
  <si>
    <r>
      <t>Emisiones netas de CO</t>
    </r>
    <r>
      <rPr>
        <b/>
        <vertAlign val="subscript"/>
        <sz val="12"/>
        <color theme="5" tint="-0.249977111117893"/>
        <rFont val="Calibri"/>
        <family val="2"/>
        <scheme val="minor"/>
      </rPr>
      <t>2</t>
    </r>
    <r>
      <rPr>
        <b/>
        <sz val="12"/>
        <color theme="5" tint="-0.249977111117893"/>
        <rFont val="Calibri"/>
        <family val="2"/>
        <scheme val="minor"/>
      </rPr>
      <t xml:space="preserve"> iguales a cero</t>
    </r>
  </si>
  <si>
    <r>
      <t>Las emisiones netas de dióxido de carbono (CO</t>
    </r>
    <r>
      <rPr>
        <vertAlign val="subscript"/>
        <sz val="11"/>
        <color theme="1"/>
        <rFont val="Calibri"/>
        <family val="2"/>
        <scheme val="minor"/>
      </rPr>
      <t>2</t>
    </r>
    <r>
      <rPr>
        <sz val="11"/>
        <color theme="1"/>
        <rFont val="Calibri"/>
        <family val="2"/>
        <scheme val="minor"/>
      </rPr>
      <t>) iguales a cero se consiguen cuando las emisiones antropógenas de CO</t>
    </r>
    <r>
      <rPr>
        <vertAlign val="subscript"/>
        <sz val="11"/>
        <color theme="1"/>
        <rFont val="Calibri"/>
        <family val="2"/>
        <scheme val="minor"/>
      </rPr>
      <t>2</t>
    </r>
    <r>
      <rPr>
        <sz val="11"/>
        <color theme="1"/>
        <rFont val="Calibri"/>
        <family val="2"/>
        <scheme val="minor"/>
      </rPr>
      <t xml:space="preserve"> se equilibran a nivel mundial gracias a las remociones antropógenas de CO</t>
    </r>
    <r>
      <rPr>
        <vertAlign val="subscript"/>
        <sz val="11"/>
        <color theme="1"/>
        <rFont val="Calibri"/>
        <family val="2"/>
        <scheme val="minor"/>
      </rPr>
      <t>2</t>
    </r>
    <r>
      <rPr>
        <sz val="11"/>
        <color theme="1"/>
        <rFont val="Calibri"/>
        <family val="2"/>
        <scheme val="minor"/>
      </rPr>
      <t xml:space="preserve"> en un período específico. Las emisiones netas de CO</t>
    </r>
    <r>
      <rPr>
        <vertAlign val="subscript"/>
        <sz val="11"/>
        <color theme="1"/>
        <rFont val="Calibri"/>
        <family val="2"/>
        <scheme val="minor"/>
      </rPr>
      <t>2</t>
    </r>
    <r>
      <rPr>
        <sz val="11"/>
        <color theme="1"/>
        <rFont val="Calibri"/>
        <family val="2"/>
        <scheme val="minor"/>
      </rPr>
      <t xml:space="preserve"> iguales a cero también se denominan neutralidad en carbono.(IPCC, 2018).</t>
    </r>
  </si>
  <si>
    <t>Factor de Emisión (FE)</t>
  </si>
  <si>
    <t>Valor representativo que intenta relacionar la cantidad de contaminante emitido a la atmósfera con una actividad asociada a la emisión del contaminante. Estos factores son usualmente expresados como la masa del contaminante dividido por una unidad de peso, volumen, distancia o duración. (RESOLUCIÓN No. 000320, 2022)</t>
  </si>
  <si>
    <t>Forestación</t>
  </si>
  <si>
    <t xml:space="preserve">Plantación de nuevos bosques en tierras que históricamente no han contenido bosques. Para un análisis del término bosque y de los conceptos conexos de forestación, reforestación y deforestación, véanse el Informe especial del IPCC sobre uso de la tierra, cambio de uso de la tierra y silvicultura (IPCC, 2000),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 </t>
  </si>
  <si>
    <t>Gases de efecto Invernadero (GEI)</t>
  </si>
  <si>
    <r>
      <t>Componente gaseoso de la atmósfera, natural o antropógeno, que absorbe y emite radiación en determinadas longitudes de onda del espectro de radiación terrestre emitida por la superficie de la Tierra, por la propia atmósfera y por las nubes. Esta propiedad ocasiona el efecto invernadero. El vapor de agua (H</t>
    </r>
    <r>
      <rPr>
        <vertAlign val="subscript"/>
        <sz val="11"/>
        <color theme="1"/>
        <rFont val="Calibri"/>
        <family val="2"/>
        <scheme val="minor"/>
      </rPr>
      <t>2</t>
    </r>
    <r>
      <rPr>
        <sz val="11"/>
        <color theme="1"/>
        <rFont val="Calibri"/>
        <family val="2"/>
        <scheme val="minor"/>
      </rPr>
      <t>O), el dióxido de carbono (CO</t>
    </r>
    <r>
      <rPr>
        <vertAlign val="subscript"/>
        <sz val="11"/>
        <color theme="1"/>
        <rFont val="Calibri"/>
        <family val="2"/>
        <scheme val="minor"/>
      </rPr>
      <t>2</t>
    </r>
    <r>
      <rPr>
        <sz val="11"/>
        <color theme="1"/>
        <rFont val="Calibri"/>
        <family val="2"/>
        <scheme val="minor"/>
      </rPr>
      <t>), el óxido nitroso (N</t>
    </r>
    <r>
      <rPr>
        <vertAlign val="subscript"/>
        <sz val="11"/>
        <color theme="1"/>
        <rFont val="Calibri"/>
        <family val="2"/>
        <scheme val="minor"/>
      </rPr>
      <t>2</t>
    </r>
    <r>
      <rPr>
        <sz val="11"/>
        <color theme="1"/>
        <rFont val="Calibri"/>
        <family val="2"/>
        <scheme val="minor"/>
      </rPr>
      <t>O), el metano (CH</t>
    </r>
    <r>
      <rPr>
        <vertAlign val="subscript"/>
        <sz val="11"/>
        <color theme="1"/>
        <rFont val="Calibri"/>
        <family val="2"/>
        <scheme val="minor"/>
      </rPr>
      <t>4</t>
    </r>
    <r>
      <rPr>
        <sz val="11"/>
        <color theme="1"/>
        <rFont val="Calibri"/>
        <family val="2"/>
        <scheme val="minor"/>
      </rPr>
      <t>) y el ozono (O</t>
    </r>
    <r>
      <rPr>
        <vertAlign val="subscript"/>
        <sz val="11"/>
        <color theme="1"/>
        <rFont val="Calibri"/>
        <family val="2"/>
        <scheme val="minor"/>
      </rPr>
      <t>3</t>
    </r>
    <r>
      <rPr>
        <sz val="11"/>
        <color theme="1"/>
        <rFont val="Calibri"/>
        <family val="2"/>
        <scheme val="minor"/>
      </rPr>
      <t>) son los gases de efecto invernadero primarios de la atmósfera terrestre. Asimismo, la atmósfera contiene cierto número de gases de efecto invernadero enteramente antropógeno, como los halocarbonos u otras sustancias que contienen cloro y bromo, y contemplados en el Protocolo de Montreal. Además del CO</t>
    </r>
    <r>
      <rPr>
        <vertAlign val="subscript"/>
        <sz val="11"/>
        <color theme="1"/>
        <rFont val="Calibri"/>
        <family val="2"/>
        <scheme val="minor"/>
      </rPr>
      <t>2</t>
    </r>
    <r>
      <rPr>
        <sz val="11"/>
        <color theme="1"/>
        <rFont val="Calibri"/>
        <family val="2"/>
        <scheme val="minor"/>
      </rPr>
      <t>, el N</t>
    </r>
    <r>
      <rPr>
        <vertAlign val="subscript"/>
        <sz val="11"/>
        <color theme="1"/>
        <rFont val="Calibri"/>
        <family val="2"/>
        <scheme val="minor"/>
      </rPr>
      <t>2</t>
    </r>
    <r>
      <rPr>
        <sz val="11"/>
        <color theme="1"/>
        <rFont val="Calibri"/>
        <family val="2"/>
        <scheme val="minor"/>
      </rPr>
      <t>O y el CH</t>
    </r>
    <r>
      <rPr>
        <vertAlign val="subscript"/>
        <sz val="11"/>
        <color theme="1"/>
        <rFont val="Calibri"/>
        <family val="2"/>
        <scheme val="minor"/>
      </rPr>
      <t>4</t>
    </r>
    <r>
      <rPr>
        <sz val="11"/>
        <color theme="1"/>
        <rFont val="Calibri"/>
        <family val="2"/>
        <scheme val="minor"/>
      </rPr>
      <t>, el Protocolo de Kyoto contempla los gases de efecto invernadero: hexafluoruro de azufre (SF6), los hidrofluorocarbonos (HFC) y los perfluorocarbonos (PFC). (IPCC, 2018).</t>
    </r>
  </si>
  <si>
    <t>Gas Licuado de Petróleo (GLP)</t>
  </si>
  <si>
    <t>GLP es un combustible que proviene de la mezcla de dos hidrocarburos principales: el propano y butano, es comúnmente conocido como gas en cilindro o pipetas. Se obtiene a partir del proceso de refinación del crudo del petróleo o del proceso de separación del crudo o gas natural en los campos de extracción.</t>
  </si>
  <si>
    <t>Gas Natural (GN)</t>
  </si>
  <si>
    <t>Es una mezcla de gases de gran poder calorífico que se formó en las entrañas de la tierra a través de los años. El principal componente de esta mezcla es el metano. Los demás componentes, en pequeñas cantidades, son otros gases como el etanol, dióxido de carbono (CO2) y vapor de agua, principalmente.</t>
  </si>
  <si>
    <t>Medidas de mitigación</t>
  </si>
  <si>
    <t>En el contexto de la política climática, las medidas de mitigación son tecnologías, procesos o prácticas que contribuyen a la mitigación, por ejemplo, tecnologías de energía renovable, procesos de minimización de desechos y prácticas que promueven el uso del transporte público. (IPCC, 2018).</t>
  </si>
  <si>
    <r>
      <t>Metano (CH</t>
    </r>
    <r>
      <rPr>
        <b/>
        <vertAlign val="subscript"/>
        <sz val="12"/>
        <color theme="5" tint="-0.249977111117893"/>
        <rFont val="Calibri"/>
        <family val="2"/>
        <scheme val="minor"/>
      </rPr>
      <t>4</t>
    </r>
    <r>
      <rPr>
        <b/>
        <sz val="12"/>
        <color theme="5" tint="-0.249977111117893"/>
        <rFont val="Calibri"/>
        <family val="2"/>
        <scheme val="minor"/>
      </rPr>
      <t>)</t>
    </r>
  </si>
  <si>
    <t>Uno de los seis gases de efecto invernadero (GEI) que se deben reducir en el marco del Protocolo de Kyoto. Es el componente principal del gas natural y está asociado a todos los hidrocarburos utilizados como combustibles. Se producen emisiones significativas a causa de la ganadería y la agricultura y su gestión representa una importante posibilidad de mitigación.(IPCC, 2018).</t>
  </si>
  <si>
    <t>Mitigación</t>
  </si>
  <si>
    <t>Intervención humana destinada a reducir las emisiones o mejorar los sumideros de gases de efecto invernadero. (IPCC, 2018).</t>
  </si>
  <si>
    <t>Meta climática</t>
  </si>
  <si>
    <t>Una meta climática se refiere a un límite de temperatura, nivel de concentración u objetivo de reducción de emisiones que se utiliza para evitar interferencias antropógenas peligrosas en el sistema climático. Por ejemplo, las metas climáticas nacionales pueden procurar reducir las emisiones de gases de efecto invernadero en una determinada cantidad en un plazo específico, como las que se establecen en el Protocolo de Kyoto. (IPCC, 2018).</t>
  </si>
  <si>
    <t>Medición, reporte y verificación (MRV)</t>
  </si>
  <si>
    <t>Procesos de recopilación de datos a lo largo del tiempo, que proporciona conjuntos de datos básicos, con la exactitud y precisión conexas, para la gama de variables pertinentes. Las posibles fuentes de datos incluyen las mediciones sobre el terreno, las observaciones sobre el terreno, la detección mediante teledetección y las entrevistas (Programa ONU-REDD, 2009). Notificación (Reporte). Proceso de notificación oficial de los resultados de las evaluaciones a la CMNUCC, de conformidad con formatos predeterminados y normas establecidas, en particular las directrices y la orientación sobre las buenas prácticas del Grupo Intergubernamental de Expertos sobre el Cambio Climático (IPCC) (Programa ONU-REDD, 2009).</t>
  </si>
  <si>
    <r>
      <t>Óxido nitroso (N</t>
    </r>
    <r>
      <rPr>
        <b/>
        <vertAlign val="subscript"/>
        <sz val="12"/>
        <color theme="5" tint="-0.249977111117893"/>
        <rFont val="Calibri"/>
        <family val="2"/>
        <scheme val="minor"/>
      </rPr>
      <t>2</t>
    </r>
    <r>
      <rPr>
        <b/>
        <sz val="12"/>
        <color theme="5" tint="-0.249977111117893"/>
        <rFont val="Calibri"/>
        <family val="2"/>
        <scheme val="minor"/>
      </rPr>
      <t>O)</t>
    </r>
  </si>
  <si>
    <t>Uno de los seis gases de efecto invernadero (GEI) que se deben reducir en el marco del Protocolo de Kyoto. La fuente antropógena principal de N2O es la agricultura (la gestión del suelo y del estiércol), pero hay también aportaciones importantes provenientes del tratamiento de aguas residuales, de la quema de combustibles fósiles y de los procesos industriales químicos. El N2O también es producido naturalmente por muy diversas fuentes biológicas presentes en el suelo y en el agua, y particularmente por la acción microbiana en los bosques tropicales húmedos. (IPCC, 2018).</t>
  </si>
  <si>
    <t>Potencial de Calentamiento Global (PCG)</t>
  </si>
  <si>
    <t>Potencial de Calentamiento Global, PCG (UNE, 2019): Índice, basado en las propiedades de radiación de los GEI que mide la fuerza de radiación tras la emisión de un pulso de una unidad de masa de un GEI dado en la atmósfera actual integrando en un periodo determinado, con relación a la unidad del dióxido de carbono.</t>
  </si>
  <si>
    <t>Producto interno bruto (PIB)</t>
  </si>
  <si>
    <t xml:space="preserve">Suma del valor añadido bruto, a precios de compra, aportado por todos los productores residentes y no residentes de la economía, más los impuestos y menos las subvenciones no incluidas en el valor de los productos en un país o región geográfica durante un período determinado, normalmente un año. El PIB se calcula sin deducir la depreciación de los bienes fabricados ni el agotamiento o la degradación de los recursos naturales. </t>
  </si>
  <si>
    <t>Reforestación</t>
  </si>
  <si>
    <t>Plantación de bosques en tierras que ya habían contenido bosque, pero que habían sido destinadas a otro uso. Para un análisis del término bosque y de los conceptos conexos de forestación, reforestación y deforestación, véanse el Informe especial del IPCC sobre uso de la tierra, cambio de uso de la tierra y silvicultura (IPCC, 2000),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t>
  </si>
  <si>
    <t>Sumidero de carbono</t>
  </si>
  <si>
    <t>Reservorio (de origen natural o producto de la actividad humana, en suelos, océanos y plantas) en el que un gas de efecto invernadero, un aerosol o un precursor de un gas de efecto invernadero se almacenan. El artículo 1.8 de la CMNUCC hace referencia a los sumideros como cualquier proceso, actividad o mecanismo que remueve un gas de efecto invernadero, un aerosol o un precursor de un gas de efecto invernadero de la atmósfera.</t>
  </si>
  <si>
    <t>Suplementación estratégica</t>
  </si>
  <si>
    <t>La suplementación estratégica se basa en el análisis de la calidad nutricional de los alimentos, la estimación de los requerimientos nutricionales de los bovinos, el conocimiento de las condiciones climáticas de la zona de implementación, el suministro de cantidades recomendadas y el uso de un programa de balanceo de raciones. https://www.agrosavia.co/productos-y-servicios/oferta-tecnol%C3%B3gica/l%C3%ADnea-pecuaria/ganader%C3%ADa-y-especies-menores/recomendaciones-protocolos-y-metodolog%C3%ADas/684-recomendaciones-de-suplementaci%C3%B3n-estrat%C3%A9gica-para-bovinos-de-cr%C3%ADa-ceba-y-doble-prop%C3%B3sito-de-la-orinoquia#:~:text=La%20suplementaci%C3%B3n%20estrat%C3%A9gica%20se%20basa,un%20programa%20de%20balanceo%20de</t>
  </si>
  <si>
    <t>Uso de la tierra</t>
  </si>
  <si>
    <t>El término “uso de la tierra” denota el conjunto de disposiciones, actividades e insumos (conjunto de actividades humanas) adoptados para cierto tipo de cubierta terrestre. Este término se utiliza también en el sentido de los fines sociales y económicos que persigue la gestión de la tierra (p. ej., pastoreo, extracción y conservación de madera y viviendas urbanas). En los inventarios nacionales de gases de efecto invernadero, el uso de la tierra se clasifica en función de las categorías del uso de la tierra del IPCC, tales como, tierras forestales, tierras agrícolas, praderas, humedales y asentamientos, entre otros. Véase también Cambio de uso de la tierra.</t>
  </si>
  <si>
    <t xml:space="preserve">Vehículo eléctrico </t>
  </si>
  <si>
    <t>Un vehículo impulsado exclusivamente por uno o más motores eléctricos, que obtienen corriente de un sistema de almacenamiento de energía recargable, como baterías, u otros dispositivos portátiles de almacenamiento de energía eléctrica, incluyendo celdas de combustible de hidrógeno o que obtienen la corriente a través de catenarias. Estos vehículos no cuentan con motores de combustión interna o sistemas de generación eléctrica a bordo como medio para suministrar energía eléctrica. (LEY 1964 ,2019)</t>
  </si>
  <si>
    <t xml:space="preserve">Fuente: </t>
  </si>
  <si>
    <t>https://www.ipcc.ch/site/assets/uploads/sites/2/2019/10/SR15_Glossary_spanish.pdf</t>
  </si>
  <si>
    <t>MEJORA DE LA CALIDAD DEL AIRE</t>
  </si>
  <si>
    <t>PONDERACIÓN por sector</t>
  </si>
  <si>
    <r>
      <t>NO</t>
    </r>
    <r>
      <rPr>
        <b/>
        <vertAlign val="subscript"/>
        <sz val="12"/>
        <color theme="1"/>
        <rFont val="Calibri"/>
        <family val="2"/>
        <scheme val="minor"/>
      </rPr>
      <t>2</t>
    </r>
  </si>
  <si>
    <r>
      <t>SO</t>
    </r>
    <r>
      <rPr>
        <b/>
        <vertAlign val="subscript"/>
        <sz val="11"/>
        <color theme="1"/>
        <rFont val="Calibri"/>
        <family val="2"/>
        <scheme val="minor"/>
      </rPr>
      <t>2</t>
    </r>
  </si>
  <si>
    <t>PM2.5</t>
  </si>
  <si>
    <t>Carbono negro</t>
  </si>
  <si>
    <t>CALIDAD DEL AIRE</t>
  </si>
  <si>
    <r>
      <t>SO</t>
    </r>
    <r>
      <rPr>
        <b/>
        <vertAlign val="subscript"/>
        <sz val="12"/>
        <color theme="1"/>
        <rFont val="Calibri"/>
        <family val="2"/>
        <scheme val="minor"/>
      </rPr>
      <t>2</t>
    </r>
  </si>
  <si>
    <t>Leyenda</t>
  </si>
  <si>
    <t>La medida empeora la calidad del aire</t>
  </si>
  <si>
    <t>La medida no afecta a la calidad del aire</t>
  </si>
  <si>
    <t>La medida mejora la calidad del aire</t>
  </si>
  <si>
    <t>La medida mejora significativamente la calidad del aire</t>
  </si>
  <si>
    <t xml:space="preserve">Reducción y mejora de la gestión de Residuos sólidos </t>
  </si>
  <si>
    <t>Aumento del tratamiento de las aguas residuales y su reutilización</t>
  </si>
  <si>
    <t>Gestión de la demanda de transporte aéreo internacional</t>
  </si>
  <si>
    <t>Gestión de la demanda de transporte marino internacional</t>
  </si>
  <si>
    <t>Aprovechamiento de biomasa residual</t>
  </si>
  <si>
    <t>MÁX</t>
  </si>
  <si>
    <t>MÁX TOTAL</t>
  </si>
  <si>
    <t>MEJORA DE LA SALUD</t>
  </si>
  <si>
    <t>Cobeneficios en salud por mejoras en la calidad del aire</t>
  </si>
  <si>
    <t>Disminución de infecciones respiratorias agudas</t>
  </si>
  <si>
    <t>-Disminución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t>
  </si>
  <si>
    <t>No se producen beneficios sobre la salud</t>
  </si>
  <si>
    <t>Disminución de enfermedades cardiovasculares</t>
  </si>
  <si>
    <t>Disminución de enfermedades pulmonares como asma,  EPOC y cáncer de pulmón</t>
  </si>
  <si>
    <t>Disminución de accidentes cerebrovasculares</t>
  </si>
  <si>
    <t>Disminución de mortalidad temprana asociada a contaminación atmosférica (pulmonar y cardiovascular)</t>
  </si>
  <si>
    <t>Disminución de mortalidad por infecciones de las vías respiratorias bajas en los niños menores de 5 años por PM</t>
  </si>
  <si>
    <t>Cobeneficios en salud por mejoras en condiciones higienicosanitarias de viviendas y entornos</t>
  </si>
  <si>
    <t xml:space="preserve">Disminución de enfermedades respiratorias por mejoras al interior de las viviendas que disminuyen la humedad, por ende disminuye la proliferación de hongos y bacterias </t>
  </si>
  <si>
    <t>-Al mejorar el tratamiento de aguas residuales se disminuye la proliferación de vectores y las enfermedades que estos puedan generar.
-Al mejorar el tratamiento de aguas residuales y su reutilización, se disminuye la contaminación de fuentes de agua potable, de igual forma se disminuyen las enfermedades asociadas a la calidad del agua (como enfermedades diarreicas agudas)  tanto para consumo como para uso en cultivos.</t>
  </si>
  <si>
    <t>Disminución de enfermedades asociadas al manejo inadecuado de residuos, como respiratorias, de la piel y gastrointestinales.</t>
  </si>
  <si>
    <t>Mejora en la seguridad alimentaria  de la población rural por el acceso a fuentes de energía que permitan mejorar las prácticas de manipulación de alimentos</t>
  </si>
  <si>
    <t>Al mejorar el tratamiento de aguas residuales se disminuye la proliferación de vectores y las enfermedades que estos puedan generar.</t>
  </si>
  <si>
    <t>Al mejorar el tratamiento de aguas residuales y su reutilización, se disminuye la contaminación de fuentes de agua potable, de igual forma se disminuyen las enfermedades asociadas a la calidad del agua (como enfermedades diarreicas agudas)  tanto para consumo como para uso en cultivos.</t>
  </si>
  <si>
    <t>Cobeneficios en salud asociados a la conservación de bosques</t>
  </si>
  <si>
    <t>Proteger las áreas de bosques permite que las especies que lo habitan lo sigan haciendo de forma natural y no deban desplazarse a zonas urbanas, así se pueden controlar eventos ofídicos y enfermedades vectoriales y zoonóticas.</t>
  </si>
  <si>
    <t>Cobeneficios en salud por mejoras en la calidad del aire y por mejoras en condiciones higienicosanitarias de viviendas y entornos</t>
  </si>
  <si>
    <t>Cobeneficios en salud por mejoras en la calidad del aire y asociados a la conservación de bosques</t>
  </si>
  <si>
    <t>Cobeneficios en salud por mejoras en condiciones higienicosanitarias de viviendas y entornos y asociados a la conservación de bosques</t>
  </si>
  <si>
    <t>Cobeneficios en salud por mejoras en la calidad del aire, por mejoras en condiciones higienicosanitarias de viviendas y entornos y asociados a la conservación de bosques</t>
  </si>
  <si>
    <t>Sectors</t>
  </si>
  <si>
    <t>Annual budget in billions of US$</t>
  </si>
  <si>
    <t>Annual budget in MMCOP</t>
  </si>
  <si>
    <t>Number of jobs created annually</t>
  </si>
  <si>
    <t>Jobs per MMCOP</t>
  </si>
  <si>
    <t>CREACIÓN DE EMPLEOS</t>
  </si>
  <si>
    <t>Surface transportation</t>
  </si>
  <si>
    <t>Sectores</t>
  </si>
  <si>
    <t>Total jobs multipliers - median</t>
  </si>
  <si>
    <t>Direct jobs proportion</t>
  </si>
  <si>
    <t>Indirect jobs proportion</t>
  </si>
  <si>
    <t>Induced jobs proportion</t>
  </si>
  <si>
    <t>Water/wastewater</t>
  </si>
  <si>
    <t>Energía</t>
  </si>
  <si>
    <t>Electricity</t>
  </si>
  <si>
    <t>Electricidad</t>
  </si>
  <si>
    <t>Airports</t>
  </si>
  <si>
    <t>Industria</t>
  </si>
  <si>
    <t>Inland waterways/marine ports</t>
  </si>
  <si>
    <t>Residuos Sólidos</t>
  </si>
  <si>
    <t>Dams</t>
  </si>
  <si>
    <t>Hazardous and solid waste</t>
  </si>
  <si>
    <t>Levees</t>
  </si>
  <si>
    <t>Edificaciones comerciales y servicios</t>
  </si>
  <si>
    <t>Public parks and recreation</t>
  </si>
  <si>
    <t>Rail</t>
  </si>
  <si>
    <t>Schools</t>
  </si>
  <si>
    <t>Agricultura</t>
  </si>
  <si>
    <t>Gas distribution pipelines-leak repairs only</t>
  </si>
  <si>
    <t xml:space="preserve">Ganadería </t>
  </si>
  <si>
    <t>Broadband</t>
  </si>
  <si>
    <t>Bosques</t>
  </si>
  <si>
    <t>Building retrofits</t>
  </si>
  <si>
    <t>Industrial efficiency</t>
  </si>
  <si>
    <t>High-efficiency autos</t>
  </si>
  <si>
    <t>Wind energy</t>
  </si>
  <si>
    <t>Solar energy</t>
  </si>
  <si>
    <t>Geothermal energy</t>
  </si>
  <si>
    <t>Regenerative agriculture</t>
  </si>
  <si>
    <t>Farmland conservation</t>
  </si>
  <si>
    <t>Costos de capital (medio)</t>
  </si>
  <si>
    <t>Organic farming</t>
  </si>
  <si>
    <t>Sector</t>
  </si>
  <si>
    <t>2020</t>
  </si>
  <si>
    <t>2025</t>
  </si>
  <si>
    <t>2030</t>
  </si>
  <si>
    <t>2035</t>
  </si>
  <si>
    <t>2040</t>
  </si>
  <si>
    <t>2045</t>
  </si>
  <si>
    <t>2050</t>
  </si>
  <si>
    <t>Resources for marginalized farmers</t>
  </si>
  <si>
    <t>Agricultural R&amp;D</t>
  </si>
  <si>
    <t>Pollution cleanup</t>
  </si>
  <si>
    <t>Closing orphaned wells</t>
  </si>
  <si>
    <t>Ecosystem restoration</t>
  </si>
  <si>
    <t>Care Economy</t>
  </si>
  <si>
    <t>Public Health</t>
  </si>
  <si>
    <t>Postal Service</t>
  </si>
  <si>
    <t>Empleos generados</t>
  </si>
  <si>
    <t>Total</t>
  </si>
  <si>
    <t>Empleos directos</t>
  </si>
  <si>
    <t>Empleos indirectos</t>
  </si>
  <si>
    <t>Empleos inducidos</t>
  </si>
  <si>
    <t>Módulo Cobeneficios</t>
  </si>
  <si>
    <t xml:space="preserve">Mejora de la calidad del aire </t>
  </si>
  <si>
    <t>Mejora de la calidad del aire</t>
  </si>
  <si>
    <t>Transporte internacional - Aviación</t>
  </si>
  <si>
    <t>Transporte internacional - Navegación</t>
  </si>
  <si>
    <t>Desarrollo de plantaciones protectoras</t>
  </si>
  <si>
    <t>MEJORA DE LA CALIDAD DE LA AIRE GENERAL</t>
  </si>
  <si>
    <t>Mejora de la salud</t>
  </si>
  <si>
    <t>No Aplica</t>
  </si>
  <si>
    <t>MEJORA DE LA SALUD GENERAL</t>
  </si>
  <si>
    <t>Número de empleos directos</t>
  </si>
  <si>
    <t>SECTORES</t>
  </si>
  <si>
    <t>Ganadería</t>
  </si>
  <si>
    <t>Número total de empleos directos</t>
  </si>
  <si>
    <t>Total empleos directos para todos los sectores</t>
  </si>
  <si>
    <t>Número de empleos indirectos</t>
  </si>
  <si>
    <t>Número total de empleos indirectos</t>
  </si>
  <si>
    <t>Total empleos indirectos para todos los sectores</t>
  </si>
  <si>
    <t>Número de empleos inducidos</t>
  </si>
  <si>
    <t>Número total de empleos inducidos</t>
  </si>
  <si>
    <t>Total empleos inducidoss para todos los sectores</t>
  </si>
  <si>
    <t>TRAYECTORIA 1</t>
  </si>
  <si>
    <t>TRAYECTORIA 2</t>
  </si>
  <si>
    <t>TRAYECTORIA 3</t>
  </si>
  <si>
    <t>TRAYECTORIA 4</t>
  </si>
  <si>
    <t>Para el año 2050 no se establece una mejora sobre la eficiencia energética en la producción de hidrocarburos. Las variaciones en la energía producidas y las emisiones derivadas no están asociadas a la aplicación de medidas enfocadas a la mejora de la eficiencia energética, sino a las fluctuaciones en la producción de los hidrocarburos</t>
  </si>
  <si>
    <t>El consumo energético derivado de la producción de hidrocarburos se ve disminuido debido a las medidas de eficiencia energética,. La producción se mantiene constante con una reducción del consumo energético del 5% a partir del 2030</t>
  </si>
  <si>
    <t>La aplicación de medidas para mejorar la eficiencia energética en la producción de hidrocarburos supone un ahorro energético y una disminución de las emisiones derivadas del sector. El ahorro energético derivado de la eficiencia energética aumenta un 5% para 2020 y un 10% para 2030 manteniéndose constante has 2050. La producción de hidrocarburos se mantiene igual que en las trayectorias anteriores</t>
  </si>
  <si>
    <t>Esta trayectoria supone una disminución del consumo energético del 25% para el 2020 derivada de la aplicación de medidas para aumentar la eficiencia energética. Esta disminución se mantiene constante hasta el 2050. La producción de hidrocarburos se mantiene igual que en las trayectorias anteriores</t>
  </si>
  <si>
    <t>Transición a un sistema de generación eléctrica renovable no convencional</t>
  </si>
  <si>
    <t>Bajo esta trayectoria la producción de electricidad derivada de energías renovables y combustibles fósiles mantiene las tendencias de consumo de años anteriores. La potencia eléctrica derivada de combustibles fósiles y energías renovables no convencionales aumenta de cara al 2050</t>
  </si>
  <si>
    <t xml:space="preserve">Para el año 2050, la capacidad de generación con combustibles fósiles aumenta en 3,000 MW en comparación al 2020, resultado del aumento de la capacidad con gas natural y carbón. Respecto de la capacidad con energías renovables en este escenario representan el 81% de la capacidad total instalada en el país y muestra un aumento de 1,000 MW respecto de la Trayectoria 1. </t>
  </si>
  <si>
    <t>Este escenario muestra que la capacidad de generación de electricidad con combustibles fósiles se mantiene constante desde el 2020, por lo que al 2050 representa el 13%, en tanto que, la capacidad de generación con energías renovables no convencionales se incrementa al 87%.</t>
  </si>
  <si>
    <t>En este escenario la electricidad producida por combustibles fósiles se transforma a una fuente de energía baja en carbón con la implementación de la captura, almacenamiento y uso de carbono (CCUS, por su siglas en inglés) en las plantas de generación termoeléctricas a base de carbón y gas natural. Con lo cual, la electricidad producida energías renovables suma 91% y con CCUS 9%, pasando la capacidad de 29,000 MW respecto al año base (2020).</t>
  </si>
  <si>
    <t>Para el año 2050 no se realizan mejoras en la industria centradas en la eficiencia energética en ninguno de los sectores industriales. El crecimiento industrial supone un aumento en el consumo energético y de combustibles, sin medidas para la reducción del consumo.</t>
  </si>
  <si>
    <t xml:space="preserve">El incremento de la eficiencia energética de los sectores industriales se mantiene constante, hasta lograr un crecimiento del 20% respecto al año base en 2050. 
El consumo de combustibles y el consumo energético se ve disminuido debido a las medidas de eficiencia energética. </t>
  </si>
  <si>
    <t xml:space="preserve">El incremento de la eficiencia energética de los sectores industriales se mantiene constante, hasta lograr un crecimiento del 40% respecto al año base en 2050, superando los objetivos acordados en la NDC, sin llegar a cumplir completamientos los de la E2050. </t>
  </si>
  <si>
    <t xml:space="preserve">El incremento de la eficiencia energética de los sectores industriales se mantiene constante, hasta lograr un crecimiento del 60% respecto al año base en 2050, se alcanza la mayor eficiencia energética posible en cada sector industrial según los datos de las BAT´s de cada sector. 
Esta trayectoria sigue los objetivos acordados en la E2050 donde se especifica que en 2050 se adoptan las mejores tecnologías disponibles (BAT) en todos los usos finales de energía, con un impacto de entre 40 y 60% de la reducción de demanda y de emisiones asociadas. 
</t>
  </si>
  <si>
    <t>El uso de refrigerantes se mantiene constante en el ámbito industrial de cara a 2050.  Se mantienen las emisiones asociadas a los gases refrigerantes utilizados en la industria.</t>
  </si>
  <si>
    <t>Sustitución  por refrigerantes naturales del 25% de gases refrigerantes utilizados en las industria con una disminución asociada de las emisiones.</t>
  </si>
  <si>
    <t>Sustitución por refrigerantes naturales del 50% de gases refrigerantes utilizados en las industria con una disminución asociada de las emisiones.</t>
  </si>
  <si>
    <t>Sustitución total de los gases refrigerantes  por refrigerantes naturales. Esta medida supone una disminución de las emisiones para el año 2050, con la sustitución total de gases refrigerantes</t>
  </si>
  <si>
    <t>Se introduce dentro de la industria colombiana la gestión y manejo de los residuos derivados de la actividad cementara con el objetivo de incorporar la sostenibilidad en los procesos industriales. El objetivo establecido para el año 2050 es la implementación del manejo y gestión de un 20% de residuos generados por la industria cementera</t>
  </si>
  <si>
    <t xml:space="preserve">Al igual que año anterior se implementan el manejar y gestión de residuos en la industria cementera , así como la incorporación de tecnologías para el abatimiento de emisiones de N2O en la producción de ácido nítrico  como procesos productivos sostenibles en la industria manufacturera colombiana. El objetivo es la implementación de un manejo del 50% de los residuos producidos para el año 2025 y la implementación de sistemas de abatimiento en un 26% de los procesos industriales </t>
  </si>
  <si>
    <t>Se establece la incorporación de los procesos productivos utilizados en las trayectorias anteriores alcanzando un 75% de manejo y gestión de residuos para el año 2030 y la implementación de sistemas de abatimiento sobre el 63% de los procesos industriales en la producción de ácido nítrico para el 2025</t>
  </si>
  <si>
    <t>Se establece la incorporación de los procesos productivos utilizados en las trayectorias anteriores alcanzando un 100% de manejo y gestión de residuos para el año 2030 y la implementación de sistemas de abatimiento sobre el 100% de los procesos industriales en la producción de ácido nítrico para el 2025</t>
  </si>
  <si>
    <t>Esta trayectoria no presenta mejoras centradas en la eficiencia energética de la industria ladrillera hasta 2050.
El crecimiento industrial supone un aumento en el consumo energético y de combustibles, sin medidas para la reducción del consumo.</t>
  </si>
  <si>
    <t>El crecimiento de la eficiencia energética de los sector ladrillero  se mantiene constante, hasta lograr un crecimiento del 20% respecto al año base en 2050. 
Se produce un aumento de eficiencia energética constante en el sector ladrillero del 1.5% tal y como se especifica en los objetivos de la NDC. El consumo de combustibles y el consumo energético se ve disminuido debido a las medidas de eficiencia energética.</t>
  </si>
  <si>
    <t xml:space="preserve">El crecimiento de la eficiencia energética de los sector ladrillero  se mantiene constante, hasta lograr un crecimiento del 40% respecto al año base en 2050.  superando los objetivos acordados en la NDC, sin llegar a cumplir completamente los de la E2050. </t>
  </si>
  <si>
    <t xml:space="preserve">El crecimiento de la eficiencia energética en el sector ladrillero se mantiene constante, hasta lograr un crecimiento del 60% respecto al año base en 2050, se alcanza la mayor eficiencia energética posible en cada este sector según los datos de las BAT´s.  
Siguiendo las recomendaciones de las BAT´s de  este sector, se logrará una reducción de entre el 40 y 60% de la demanda energética y las emisiones asociadas, siguiendo con los objetivos acordados en la E2050 donde se especifica que en 2050 se adoptan las mejores tecnologías disponibles (BAT) en todos los usos finales de energía.  
</t>
  </si>
  <si>
    <t>Residuos sólidos municipales</t>
  </si>
  <si>
    <t xml:space="preserve">Reducción y mejora de la gestión de residuos sólidos </t>
  </si>
  <si>
    <r>
      <t xml:space="preserve">La generación de residuos evoluciona manteniendo la tendencia actual. Alcanzando para el año 2050 un 149% de crecimiento respecto a la generación del 2018. 
En cuanto a la gestión de estos residuos se mantiene constante, es decir el 96% de estos residuos serán gestionados mediante un sistema autorizado. 
La gestión de los residuos principalmente es mediante su disposición en Rellenos sanitarios controlados, correspondiendo a un 96%, y un 2% en celdas de contingencia, esta distribución de mantiene constante a 2050. </t>
    </r>
    <r>
      <rPr>
        <sz val="9"/>
        <rFont val="Calibri"/>
        <family val="2"/>
        <scheme val="minor"/>
      </rPr>
      <t xml:space="preserve">
La capacidad instalada para los sistemas de incineración se mantiene constante a 2050, con una potencia de 0 MW. </t>
    </r>
  </si>
  <si>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45%. 
La capacidad instalada para los sistemas de incineración aumenta hasta lograr una potencia de 703 MW en el año 2050. </t>
  </si>
  <si>
    <r>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45%. </t>
    </r>
    <r>
      <rPr>
        <sz val="9"/>
        <rFont val="Calibri"/>
        <family val="2"/>
        <scheme val="minor"/>
      </rPr>
      <t xml:space="preserve">
La capacidad instalada para los sistemas de incineración aumenta hasta lograr una potencia de 1.874,67MW en el año 2050. 
</t>
    </r>
  </si>
  <si>
    <r>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35%. Se incluyen diferentes medios de gestión: El tratamiento mecánico biológico (Compost), los combustibles derivados de residuos y la incineración. Se alcanzan los objetivos planteados por la Estrategia de largo plazo E2050 para el año 2050, logrando reducir los residuos dispuestos en Rellenos sanitarios al 35%. </t>
    </r>
    <r>
      <rPr>
        <sz val="9"/>
        <rFont val="Calibri"/>
        <family val="2"/>
        <scheme val="minor"/>
      </rPr>
      <t xml:space="preserve">
La capacidad instalada para los sistemas de incineración se mantiene constante, con una potencia de 2.813,33 MW. </t>
    </r>
  </si>
  <si>
    <t>La Trayectoria 1 representa que un 50% de Estaciones de Tratamiento de Aguas Residuales Municipales e Industriales se destina para la generación de energía ya sea con fines comerciales o para autoabastecimiento.</t>
  </si>
  <si>
    <t>La Trayectoria 2 representa que un 50% de Estaciones de Tratamiento de Aguas Residuales Municipales e Industriales se destina para la generación de energía ya sea con fines comerciales o para autoabastecimiento.</t>
  </si>
  <si>
    <t>La Trayectoria 3 representa que un 50% de Estaciones de Tratamiento de Aguas Residuales Municipales e Industriales se destina para la generación de energía ya sea con fines comerciales o para autoabastecimiento.</t>
  </si>
  <si>
    <t>La Trayectoria 4 representa que un 50% de Estaciones de Tratamiento de Aguas Residuales Municipales e Industriales se destina para la generación de energía ya sea con fines comerciales o para autoabastecimiento.</t>
  </si>
  <si>
    <t xml:space="preserve">Para las aguas residuales domésticas: El 43% de las aguas residuales es tratada, un 0% reutilizado y  un 57%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</si>
  <si>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69% de las aguas residuales es tratada, un 5% reutilizado y  un 26%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</si>
  <si>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75% de las aguas residuales es tratada, un 10% reutilizado y  un 15%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</si>
  <si>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80% de las aguas residuales es tratada, un 10% reutilizado y  un 10% no es sometida a ningún tratamiento, estos porcentajes se mantienen constantes a 2050. 
Para las aguas residuales industriales: El 9% de las aguas residuales es reutilizada, un 91% tratada estos porcentajes se mantienen constantes a 2050. </t>
  </si>
  <si>
    <t>En este nivel el consumo de energía para acondicionamiento de espacios será 1,49 TWh en 2050, sin ninguna reducción producto de la implementación de medidas.</t>
  </si>
  <si>
    <t>Se asume que en el año 2050 se implementarán medidas pasivas en 10% de las viviendas nuevas y 1% de las existentes de la zona cálida húmeda; 7% de las viviendas nuevas y 1% de las existentes de la cálida seca; 10% de las viviendas nuevas y 1% de las existentes de la templada; 14 % de las viviendas nuevas y 2% de las existentes de la fría.
En el resto de viviendas (las que no implementaron medidas pasivas) de las zonas cálida húmeda y cálida seca, el porcentaje de tenencia de equipos de alta eficiencia será 69%. 
En este nivel se produce una reducción del consumo de energía del 5% (este consumo será de 2,10 TWh en 2050).</t>
  </si>
  <si>
    <t>Se asume que en el año 2050 se implementarán medidas pasivas en 21% de las viviendas nuevas y 4% de las existentes de la zona cálida húmeda; 13% de las viviendas nuevas y 3% de las existentes de la cálida seca; 19% de las viviendas nuevas y 3% de las existentes de la templada; 28 % de las viviendas nuevas y 6% de las existentes de la fría. En el resto de viviendas (las que no implementaron medidas pasivas) de las zonas cálida húmeda y cálida seca, el porcentaje de tenencia de equipos de alta eficiencia será 100%. En este nivel se produce una reducción del consumo de energía del 9% (este consumo será de 3,91 TWh en 2050).</t>
  </si>
  <si>
    <t>Se asume que en el año 2050 se implementarán medidas pasivas en 41% de las viviendas nuevas y 8% de las existentes de la zona cálida húmeda; 27% de las viviendas nuevas y 6% de las existentes de la cálida seca; 39% de las viviendas nuevas y 6% de las existentes de la templada; 53 % de las viviendas nuevas y 12% de las existentes de la fría. En el resto de viviendas (las que no implementaron medidas pasivas) de todas las zonas climáticas, el porcentaje de tenencia de equipos de alta eficiencia será 100%. En este nivel se produce una reducción del consumo de energía del 12% (este consumo será de 6,41 TWh en 2050).</t>
  </si>
  <si>
    <t xml:space="preserve">Se asume que no hay cambios importantes en las tecnologías utilizadas para iluminación, refrigeración y cocción. Para este nivel se conserva la participación por tecnología observada en la línea base durante todo el período de análisis: 
• Tenencia de luminarias incandescentes del 35%, 58% Lámparas Fluorescentes Compactas (LFC) y 0% LED.
• Porcentaje de neveras con edad superior a 10 años es del 11%.
• 100% de las estufas a gas tienen eficiencia del 40%. 
</t>
  </si>
  <si>
    <t xml:space="preserve">Producto de la implementación de programas de sustitución de bombillas incandescentes por eficientes y reemplazo de neveras con edad superior de 10 años y considerando las condiciones actuales del mercado se logrará en el año 2050: 
• Tenencia de luminarias incandescentes del 0%, 93% LFC y 0% LED. 
• Porcentaje de neveras con edad superior a 10 años del 0%. 
• 69% de las estufas a gas tienen eficiencia del 40%, el 31% restante corresponde a estufas mejoradas con eficiencia del 60%. 
</t>
  </si>
  <si>
    <t xml:space="preserve">Los programas de sustitución de bombillas incandescentes por eficientes y reemplazo de neveras con edad superior de 10 años han mostrado grandes beneficios durante su implementación.
En este nivel, la tecnología LED empieza a penetrar gradualmente y el stock de neveras se moderniza, con lo cual en 2050:
• Tenencia de luminarias incandescentes del 0%, 58% LFC y 35% LED.
• Porcentaje de neveras con edad superior a 6 años del 0%.
• 39% de las estufas a gas tiene eficiencia del 40%, el 61% restante corresponde a estufas mejoradas con eficiencia del 60%.
</t>
  </si>
  <si>
    <t xml:space="preserve">Producto de importantes cambios tecnológicos e interés de los hogares por la utilización de la energía y la reducción en el consumo, en este nivel se propone para el año 2050: 
• Tenencia de luminarias incandescentes del 0%, 0% LFC y 100% LED. 
• Porcentaje de neveras con edad superior a 6 años del 0%. 
• 100% de las estufas a gas corresponde a estufas mejoradas con eficiencia del 60%. 
</t>
  </si>
  <si>
    <t>La medida se basa en el aumento de la capacidad instalada y por lo tanto de una mayor autogeneración eléctrica en el sector residencial. La trayectoria 1, implica una generación de 0,21 TWh a 2050.</t>
  </si>
  <si>
    <t>La trayectoria 2 , implica una  generación de 0,36 TWh a 2050.</t>
  </si>
  <si>
    <t>La trayectoria 3, implica una generación  de 0,57 TWh a 2050.</t>
  </si>
  <si>
    <t>La trayectoria 1, implica una generación  de 1,07 TWh a 2050.</t>
  </si>
  <si>
    <t xml:space="preserve">Subsector: Residencial rural </t>
  </si>
  <si>
    <t xml:space="preserve">En esta trayectoria, de acuerdo al escenario base de demanda energética elaborado por la UPME3 en el marco del Plan Energético Nacional, se asume que habrá una disminución del uso de leña en el sector residencial rural, en beneficio del uso del gas natural, GLP y electricidad, como consecuencia de lo anterior el consumo de leña en el año 2050 será 9,64 TWh, mientras que el consumo de GLP será 2,69 TWh. </t>
  </si>
  <si>
    <t xml:space="preserve">En esta trayectoria se asume un escenario intermedio entre los niveles 1 y 3, con lo cual el consumo de leña en el año 2050 será 6,24 TWh, mientras que el consumo de GLP será 3,16 TWh. </t>
  </si>
  <si>
    <t>En esta trayectoria, de acuerdo al escenario de eficiencia energética elaborado por la UPME3 en el marco del Plan Energético Nacional4, se supone metas de aumento de eficiencia en procesos de cocción y calentamiento de agua en el sector residencial, como consecuencia de lo anterior el consumo de leña en el año 2050 será 2,84 TWh, mientras que el consumo de GLP será 3,63 TWh.</t>
  </si>
  <si>
    <t xml:space="preserve">En esta trayectoria se asume que el consumo de leña en el año 2050 es remplazado totalmente por GLP, como consecuencia de los anterior el consumo de leña será 0 TWh, mientras que el consumo de GLP será 7,78 TWh. </t>
  </si>
  <si>
    <t>Subsector: Acondicionamiento de espacios comerciales y de servicios</t>
  </si>
  <si>
    <t>El consumo de energía para el acondicionamiento de espacios en el año 2010 es 3,89 TWh. En esta trayectoria se asume que el consumo de energía crece a una tasa del 2% promedio anual y sin ningún esfuerzo de reducción se incrementará en 2050 a 6,99 TWh.</t>
  </si>
  <si>
    <t>Producto de la implementación de medidas pasivas y de mejoramiento de la eficiencia energética en los equipos en 40% del área nueva construida y 5% del área de edificaciones existentes, se reduce el consumo total de energía para acondicionamiento en un 10%, en 2050 será 6,32 TWh</t>
  </si>
  <si>
    <t>En esta trayectoria, producto de la implementación de medidas pasivas y de mejoramiento de la eficiencia energética en los equipos en 65% del área nueva construida y 20% del área de edificaciones existentes, se logra reducir el consumo total de energía para acondicionamiento de espacios un 25%, en 2050 será 5,21 TWh</t>
  </si>
  <si>
    <t>Producto de la implementación de medidas pasivas y de mejoramiento de la eficiencia energética en los equipos en 100% del área de nueva construida y 40% del área de edificaciones existentes, se genera una reducción del consumo total de energía  para acondicionamiento de espacios del 50%, en 2050 será 3,51 TWh.</t>
  </si>
  <si>
    <t xml:space="preserve">Subsector: Usos térmicos y equipamiento </t>
  </si>
  <si>
    <t>En el año 2010 el consumo de energía para usos térmicos y equipamiento fue de 13,2 TWh. En este nivel, se asume que el consumo de energía crece a una tasa del 2% promedio anual y sin ningún esfuerzo de reducción el consumo de energía se incrementará en 2050 a 23,64 TWh.</t>
  </si>
  <si>
    <t>En este nivel se asume que se alcanza la mitad de la meta planteada por la UPME, logrando una reducción del 14% del consumo de energía para equipamiento. El consumo total de energía para usos térmicos y equipamiento en 2050 será de 23,25 TWh.</t>
  </si>
  <si>
    <t>En este nivel se asume que se alcanza la meta planteada por la UPME, logrando una reducción del 27% del consumo de energía para equipamiento. El consumo total de energía para usos térmicos y equipamiento en 2050 será de 22,91 TWh</t>
  </si>
  <si>
    <t>En este nivel se asume que se alcanza la meta planteada por la UPME y adicionalmente se implementan medidas de automatización y dimerización en la iluminación y de eficiencia en otros equipos eléctricos, logrando una reducción del 50% del consumo de energía para equipamiento. El consumo total de energía para usos térmicos y equipamiento en 2050 será de 22,21 TWh.</t>
  </si>
  <si>
    <t>En esta trayectoria las flotas de servicio urbano público y privado son impulsadas por combustibles fósiles (manteniéndose su participación del 66% a 2050), la penetración de las tecnologías bajas (Vehículos híbridos, Gas Natural y GLP) de un  y cero emisiones continua siendo muy baja ( Ver Supuesto de trayectoria - Distribución por tecnología).</t>
  </si>
  <si>
    <t>En este nivel, acorde a las políticas gubernamentales y las condiciones propias del mercado, se propone un aumento gradual de la participación de las tecnologías híbrida, eléctrica, y de bajas emisiones durante el periodo de análisis. Logrando así en el año 2050 tan solo una participación de los combustibles fósiles del 20% ( Ver Supuesto de trayectoria - Distribución por tecnología).</t>
  </si>
  <si>
    <t>En este nivel, producto de la aplicación de incentivos y la construcción de infraestructura para la recarga de los vehículos, se logra un incremento de la participación de las tecnologías híbrida, eléctrica y de bajas emisiones durante el periodo de análisis. Logrando así en el año 2050 tan solo una participación de los combustibles fósiles del 17% ( Ver Supuesto de trayectoria - Distribución por tecnología)</t>
  </si>
  <si>
    <t>En este nivel, gracias a una importante inversión en infraestructura para la recarga de los vehículo eléctricos y la concientización de la población sobre la utilización de tecnologías mas limpias en el transporte, se alcanza la mas alta participación de las tecnologías híbrida, eléctrica y de bajas emisiones  durante el periodo de análisis. Logrando así en el año 2050 tan solo una participación de los combustibles fósiles del 11% ( Ver Supuesto de trayectoria - Distribución por tecnología)</t>
  </si>
  <si>
    <t xml:space="preserve">Esta Trayectoria 1, consiste en la línea base de la medida y asume que los combustibles fósiles continúan dominando el transporte de carga nacional, la participación de las diferentes tecnologías de los vehículos de carga conserva la misma distribución de la línea base durante todo el periodo de análisis. 
La participación en esta trayectoria de   los camiones de  Gas Natural, eléctricos y de hidrógeno para el transporte de carga a partir del año 2020, hasta alcanzar un participación del 26%, 5% y 0% respectivamente,  para la carga interurbana, 10% (GN) y 33% (eléctricos) para la carga urbana en 2050. </t>
  </si>
  <si>
    <t xml:space="preserve">La Trayectoria 2 asume la inversión en infraestructura necesaria produce un incremento en la participación de los camiones Gas Natural, eléctricos y de hidrógeno para el transporte de carga a partir del año 2020, hasta alcanzar un participación del 68%, 8% y 0% respectivamente,  para la carga interurbana 10% (GN) y 50% (eléctricos) para la carga urbana en 2050. </t>
  </si>
  <si>
    <t xml:space="preserve">La Trayectoria 3 asume la inversión en infraestructura necesaria produce un incremento en la participación de los camiones Gas Natural, eléctricos y de hidrógeno para el transporte de carga a partir del año 2020, hasta alcanzar un participación del 68%, 10% y 0% respectivamente,  para la carga interurbana 10% (GN) y 90% (eléctricos) para la carga urbana en 2050. </t>
  </si>
  <si>
    <t xml:space="preserve">La Trayectoria 4 asume la inversión en infraestructura necesaria produce un incremento en la participación de los camiones Gas Natural, eléctricos y de hidrógeno para el transporte de carga a partir del año 2020, hasta alcanzar un participación del 68%, 10% y 8% respectivamente,  para la carga interurbana 10% (GN) y 90% (eléctricos) para la carga urbana en 2050. </t>
  </si>
  <si>
    <t>En el año 2018 la aviación nacional supone un consumo de 4,07 TWh con una estimación de aumento de hasta 5,21 TWh para el año 2050.</t>
  </si>
  <si>
    <t xml:space="preserve">En esta trayectoria 2 en la aviación nacional se produce un aumento del consumo, debida a un crecimiento del 28,22% demanda en este subsector, por lo tanto para el año 2050 el consumo energético será de 5,0 TWh, considerando una eficiencia constante (del 6,69%) en el uso de combustible utilizado en etapas de despegue y aterrizaje. </t>
  </si>
  <si>
    <t xml:space="preserve">En esta trayectoria 3 en la aviación nacional se produce una  aumento del consumo, debida a un crecimiento del 23,09% demanda en este subsector, por lo tanto para el año 2050 el consumo energético será de 4,48 TWh, considerando una eficiencia constante (del 6,69%) en el uso de combustible utilizado en etapas de despegue y aterrizaje. </t>
  </si>
  <si>
    <t xml:space="preserve">En esta trayectoria 4 en la aviación nacional se mantiene el consumo del año base, por lo tanto para el año 2050 el consumo energético será de 4,07 TWh, considerando una eficiencia constante (del 6,69%) en el uso de combustible utilizado en etapas de despegue y aterrizaje. </t>
  </si>
  <si>
    <t>Transporte nacional - Navegación</t>
  </si>
  <si>
    <t xml:space="preserve">En el año 2018 la navegación nacional supone un consumo de 1,1 TWh con una estimación de aumento de hasta 1,4  TWh para el año 2050 asumiendo un aumento del 30% de la demanda de energía con respecto al año 2018. </t>
  </si>
  <si>
    <t xml:space="preserve">En el año 2018 la navegación nacional supone un consumo de 1,1 TWh con una estimación de aumento de hasta 1,3 TWh para el año 2050 asumiendo un aumento del 20% de la demanda de energía con respecto al año 2018. </t>
  </si>
  <si>
    <t xml:space="preserve">En el año 2018 la navegación nacional supone un consumo de 1,1 TWh con una estimación de aumento de hasta 1,2 TWh para el año 2050 asumiendo un aumento del 10% de la demanda de energía con respecto al año 2018. </t>
  </si>
  <si>
    <t>En esta trayectoria 4 en la navegación nacional se mantiene el consumo del año base, por lo tanto para el año 2050 el consumo energético será de 1,1 TWh</t>
  </si>
  <si>
    <t>Esta trayectoria no incluye mejoras en prácticas agrícolas</t>
  </si>
  <si>
    <t>Los sistemas agroforestales, uso eficiente de fertilizantes, plantaciones de mango y aguacate y el uso de biodigestores, se estima se implemente en el 15% de las superficies agrícolas para el año 2030 y en un 35% para el año 2050.</t>
  </si>
  <si>
    <t>Los sistemas agroforestales, uso eficiente de fertilizantes, plantaciones de mango y aguacate y el uso de biodigestores, se estima se implemente en el 18% de las superficies agrícolas para el año 2030 y en un 42% para el año 2050.</t>
  </si>
  <si>
    <t>Los sistemas agroforestales, uso eficiente de fertilizantes, plantaciones de mango y aguacate y el uso de biodigestores, se estima se implemente en el 24% de las superficies agrícolas para el año 2030 y en un 56% para el año 2050.</t>
  </si>
  <si>
    <t>Producción de Biomasa</t>
  </si>
  <si>
    <t>Para este escenario se asume que no hay producción de biomasa que se utilice para la producción de energía</t>
  </si>
  <si>
    <t>En este escenario se produce el 30% de la biomasa al 2030 y se mantiene a lo largo del tiempo sin aumento, con lo que en 2050 se produce un 30% de biomasa</t>
  </si>
  <si>
    <t>Se produce un 30% de biomasa en el año 2030 y se tienen aumentos del porcentaje hasta alcanzar el 50% en el año 2050.</t>
  </si>
  <si>
    <t>Se produce un 30% de biomasa en el año 2030 y se tienen aumentos del porcentaje hasta alcanzar el 80% en el año 2050.</t>
  </si>
  <si>
    <t>Tierra dedicada a biocombustibles</t>
  </si>
  <si>
    <t>En esta trayectoria no se consideran superficies de tierras dedicadas para los biocombustibles</t>
  </si>
  <si>
    <t>La superficie de implementación de tierras dedicadas para biocombustibles de caña de azúcar y palma de aceite alcanzan un 1% en 2030 y un 2% en 2050</t>
  </si>
  <si>
    <t>La superficie de implementación de tierras dedicadas para biocombustibles de caña de azúcar y palma de aceite alcanzan un 9% en 2030 y un 20% en 2050</t>
  </si>
  <si>
    <t>La superficie de implementación de tierras dedicadas para biocombustibles de caña de azúcar y palma de aceite alcanzan un 15% en 2030 y un 35% en 2050</t>
  </si>
  <si>
    <t>La aplicación de prácticas sostenibles en suelos ganaderos supone un incremento de las remociones de carbono emitidas del sector ganadero. En este escenario se asume que no se produce un cambio en estos suelos, manteniendo las áreas iniciales de implementación para las prácticas sostenibles constantes hasta 2050.</t>
  </si>
  <si>
    <t>La aplicación de prácticas sostenibles incluye un incremento estimado de superficies al año 2030 de un 15% en sistemas silvopastoriles, 12% en rehabilitación de pasturas, cercas vivas y árboles dispersos. Se conserva el crecimiento del 15% para silvopastoriles y el 12% para rehabilitación de pasturas, cercas vivas y árboles dispersos hasta el 2050.</t>
  </si>
  <si>
    <t>La aplicación de prácticas sostenibles incluye un incremento estimado de superficies al año 2030 de un 21% en sistemas silvopastoriles, 18% en rehabilitación de pasturas, y 12% en cercas vivas y árboles dispersos. Mientras que al año 2050 supone un incremento estimado de 49% en sistemas silvopastoriles intensivos, 42% en rehabilitación de pasturas y 30% en cercas vivas y árboles dispersos.</t>
  </si>
  <si>
    <t>Esta trayectoria es la más ambiciosa, implica la aplicación de prácticas sostenibles incluye un incremento estimado de superficies al año 2030 de un 27% en sistemas silvopastoriles, 24% en rehabilitación de pasturas, y 12% en cercas vivas y árboles dispersos. Mientras que al año 2050 supone un incremento estimado de 63% en sistemas silvopastoriles intensivos, 56% en rehabilitación de pasturas y 32% en cercas vivas y árboles dispersos.</t>
  </si>
  <si>
    <t>Mediante la aplicación de mejores prácticas pecuarias, como la suplementación estratégica, se pretende establecer una reducción de las emisiones generadas por la ganadería. En este escenario tendencial no se aplicarían estas prácticas, por lo que no se produciría una reducción de la emisiones bajo este esquema</t>
  </si>
  <si>
    <t>La aplicación de mejores prácticas pecuarias se implementa en las cabezas de ganado, en un 1.5% para la suplementación estratégica y mejora de dieta del ganado y en un 15% en el pastoreo racional al año 2030, alcanzando en 2050 un 5% y un 35% respectivamente.</t>
  </si>
  <si>
    <t>La aplicación de mejores prácticas pecuarias se implementa en las cabezas de ganado, en un 6% para la suplementación estratégica y mejora de dieta del ganado y en un 21% en el pastoreo racional al año 2030, alcanzando en 2050 un15% y un 49% respectivamente.</t>
  </si>
  <si>
    <t>La aplicación de mejores prácticas pecuarias se implementa en las cabezas de ganado, en un 12% para la suplementación estratégica y mejora de dieta del ganado y en un 30% en el pastoreo racional al año 2030, alcanzando en 2050 un 30% y un 70% respectivamente.</t>
  </si>
  <si>
    <t xml:space="preserve">Para este escenario se asume que no hay producción de bioenergía derivada del estiércol de los aprovechamientos ganaderos. </t>
  </si>
  <si>
    <t>En esta trayectoria se asume que el 12% del estiércol es destinado a la producción de bioenergía para el año 2030, mientras que se destina un 33% en el año 2050.</t>
  </si>
  <si>
    <t>En esta trayectoria se asume que el 25% del estiércol es destinado a la producción de bioenergía para el año 2030, mientras que se destina un 66% en el año 2050.</t>
  </si>
  <si>
    <t>En esta trayectoria, la más ambiciosa, se asume que el 38% del estiércol es destinado a la producción de bioenergía para el año 2030, mientras que se destina un 100% en el año 2050.</t>
  </si>
  <si>
    <t>En esta trayectoria se asume que no existen cambios y/o aumentos en las plantaciones forestales con fines comerciales y que se mantiene la tendencia de la línea base de acuerdo con el BAU.</t>
  </si>
  <si>
    <t>Se aumentan las plantaciones comerciales en un 45% al año 2030 de acuerdo a los planteamientos de la NDC, y se mantiene la tendencia de aumento hasta el año 2050, llegando a 1 millón de hectáreas de plantaciones forestales en 2030 y a 2 millones en 2050. Se mantiene el aumento alrededor de 230 mil ha por cada quinquenio (el 45% corresponde al aumento de la línea base 2018 a la meta 2030, dada en hectáreas en la NDC).</t>
  </si>
  <si>
    <t>Se aumentan las plantaciones forestales siguiendo la meta NDC a 2030 (1 millón de ha). La meta de la Estrategia 2050 para el año 2040 se logra hasta el año 2050. Se alcanzan 1.5 millones de ha de plantaciones forestales en 2050.</t>
  </si>
  <si>
    <t>Se aumentan las plantaciones forestales siguiendo las metas enunciadas en la Estrategia 2050, de 1 millón de hectáreas en 2030 a 2 millones de ha en 2050, esto corresponde con la tendencia extendida de la NDC 2030, por lo que la trayectoria 2 y 4 son iguales.</t>
  </si>
  <si>
    <t>En esta trayectoria se asume que la deforestación continúa  de acuerdo con el BAU. En este caso no existen emisiones evitadas por deforestación. Las hectáreas se reparten por región (Amazonía, Andina, Caribe, Pacífico y Orinoquia).</t>
  </si>
  <si>
    <t>La trayectoria de deforestación se ve disminuida al año 2030 de acuerdo a las metas NDC, hasta 50,000 ha. La deforestación se mantiene en 50,000 ha hasta el año 2050.</t>
  </si>
  <si>
    <t>La trayectoria de deforestación disminuye hasta 50,000 ha anuales en 2030, a partir de ahí, sigue disminuyendo con la tendencia de la NDC hasta el año 2050. La deforestación para el año 2050 es 0. Las emisiones evitadas se refieren a la resta de la deforestación de la trayectoria 1 menos la trayectoria 3.</t>
  </si>
  <si>
    <t>La trayectoria de deforestación neta anual disminuye a 0 en el año 2030 de acuerdo a la Estrategia 2050. Por lo que no existen emisiones netas por deforestación a partir del año 2030.</t>
  </si>
  <si>
    <t>Evolución de las emisiones a nivel nacional</t>
  </si>
  <si>
    <t>Energía - CFyB</t>
  </si>
  <si>
    <t>Energía - EyA</t>
  </si>
  <si>
    <t>Residuos</t>
  </si>
  <si>
    <t>Edificaciones</t>
  </si>
  <si>
    <t>Transporte</t>
  </si>
  <si>
    <t>Evolución de la generación energética nacional</t>
  </si>
  <si>
    <t>Evolución de la demanda energética nacional</t>
  </si>
  <si>
    <t>Consumo de combustibles por sector</t>
  </si>
  <si>
    <t>Consumo por tipo de combustible</t>
  </si>
  <si>
    <t>Gasolina</t>
  </si>
  <si>
    <t>Diesel</t>
  </si>
  <si>
    <t>Gas GNC</t>
  </si>
  <si>
    <t>Gas GNL</t>
  </si>
  <si>
    <t>GLP</t>
  </si>
  <si>
    <t>Fuel oil</t>
  </si>
  <si>
    <t>Crudo</t>
  </si>
  <si>
    <t>Hidrógeno</t>
  </si>
  <si>
    <t>Queroseno</t>
  </si>
  <si>
    <t>Leña</t>
  </si>
  <si>
    <t>Bagazo</t>
  </si>
  <si>
    <t>Carbon mineral</t>
  </si>
  <si>
    <t>Carbón de leña</t>
  </si>
  <si>
    <t>Coque</t>
  </si>
  <si>
    <t>Consumo de electricidad por sector</t>
  </si>
  <si>
    <t>Flujos de energía</t>
  </si>
  <si>
    <t>Tabla de datos para diagrama de flujos (diagrama Sankey)</t>
  </si>
  <si>
    <t xml:space="preserve">De </t>
  </si>
  <si>
    <t>a</t>
  </si>
  <si>
    <t>Gas natural</t>
  </si>
  <si>
    <t>Carbón</t>
  </si>
  <si>
    <t>Energías renovables</t>
  </si>
  <si>
    <t>Importaciones</t>
  </si>
  <si>
    <t>Exportaciones</t>
  </si>
  <si>
    <t>Otros sectores</t>
  </si>
  <si>
    <t>Evolución de las emisiones del sector Energía - Combustibles fósiles y Bioenergía</t>
  </si>
  <si>
    <t>Combustible</t>
  </si>
  <si>
    <t xml:space="preserve">Crudo </t>
  </si>
  <si>
    <t xml:space="preserve">Gas natural </t>
  </si>
  <si>
    <t>Evolución de la generación energética del sector Energía (producción de combustibles)</t>
  </si>
  <si>
    <t>Evolución del consumo energético (consumo de combustibles fósiles)</t>
  </si>
  <si>
    <t>Petróleo</t>
  </si>
  <si>
    <t>Diésel</t>
  </si>
  <si>
    <t>Fuel oíl</t>
  </si>
  <si>
    <t>Gasolina para motones</t>
  </si>
  <si>
    <t>Evolución de las Excedentes energéticos</t>
  </si>
  <si>
    <t>Gas</t>
  </si>
  <si>
    <t xml:space="preserve">Carbón </t>
  </si>
  <si>
    <t>Evolución de las Requerimientos energéticos</t>
  </si>
  <si>
    <t>Evolución de las emisiones del sector Energía - Electricidad y Autogeneración</t>
  </si>
  <si>
    <t>Tipo de generación</t>
  </si>
  <si>
    <t>Termoeléctrica (gas natural)</t>
  </si>
  <si>
    <t>Termoeléctrica (carbón)</t>
  </si>
  <si>
    <t xml:space="preserve">Fuel oíl </t>
  </si>
  <si>
    <t>Termoeléctrica (gas natural) + CCUS</t>
  </si>
  <si>
    <t>Termoeléctrica (carbón) + CCUS</t>
  </si>
  <si>
    <t>Autogeneración -Residuos</t>
  </si>
  <si>
    <t>Evolución de la generación energética del sector Electricidad</t>
  </si>
  <si>
    <t>Grandes centrales hidroeléctricas</t>
  </si>
  <si>
    <t>Pequeñas centrales hidroeléctricas</t>
  </si>
  <si>
    <t>Solar Térmica</t>
  </si>
  <si>
    <t>Solar Fotovoltaica</t>
  </si>
  <si>
    <t>Eólica costa adentro (Parque Jepirachi)</t>
  </si>
  <si>
    <t>Eólica costa adentro (resto del país)</t>
  </si>
  <si>
    <t>Eólica costa afuera</t>
  </si>
  <si>
    <t>Hidrógeno verde</t>
  </si>
  <si>
    <t>Evolución de los Requerimientos energéticos</t>
  </si>
  <si>
    <t>Balance energético</t>
  </si>
  <si>
    <t>Requerimientos energéticos</t>
  </si>
  <si>
    <t>Evolución de los excedentes energéticos</t>
  </si>
  <si>
    <t>Excedentes energéticos</t>
  </si>
  <si>
    <t>Evolución de las emisiones del sector Industria</t>
  </si>
  <si>
    <t>Tipo de industria</t>
  </si>
  <si>
    <t xml:space="preserve">Cemento </t>
  </si>
  <si>
    <t>Hierro y no ferrosos</t>
  </si>
  <si>
    <t>Papel</t>
  </si>
  <si>
    <t>Químicos</t>
  </si>
  <si>
    <t>Alimentos y bebidas</t>
  </si>
  <si>
    <t>Textil</t>
  </si>
  <si>
    <t>Ladrilleras</t>
  </si>
  <si>
    <t>Otros</t>
  </si>
  <si>
    <t>Emisiones SAO</t>
  </si>
  <si>
    <t>Evolución de la demanda energética del sector Industria (por tipo de industria)</t>
  </si>
  <si>
    <t>Evolución de la demanda energética del sector Industria (por combustible)</t>
  </si>
  <si>
    <t>Tipo de combustible</t>
  </si>
  <si>
    <t>Carbón mineral</t>
  </si>
  <si>
    <t>Fuel Oíl</t>
  </si>
  <si>
    <t>Electricidad SIN</t>
  </si>
  <si>
    <t xml:space="preserve">Hidrógeno azul </t>
  </si>
  <si>
    <t>Evolución de las emisiones del sector Residuos</t>
  </si>
  <si>
    <t>Tipo de gestión</t>
  </si>
  <si>
    <t>Relleno sanitario controlados- Sin captación</t>
  </si>
  <si>
    <t>Relleno sanitario controlados- Quema antorcha</t>
  </si>
  <si>
    <t>Celda de contingencia</t>
  </si>
  <si>
    <t>Tratamiento Mecánico Biológico (TMB)-Compostaje</t>
  </si>
  <si>
    <t>Aguas Residuales Domesticas</t>
  </si>
  <si>
    <t>Aguas Residuales Industriales</t>
  </si>
  <si>
    <t>Evolución de la demanda energética del sector Residuos</t>
  </si>
  <si>
    <t>Medidas</t>
  </si>
  <si>
    <t>Aprovechamiento del biogás de las aguas residuales y aumento de su tratamiento</t>
  </si>
  <si>
    <t>Evolución de la generación energética del sector Residuos</t>
  </si>
  <si>
    <t>Evolución de las emisiones del sector Edificaciones</t>
  </si>
  <si>
    <t>Eficiencia energética y equipos eficientes en viviendas + Uso y hábitos de consumo</t>
  </si>
  <si>
    <t>Evolución de la demanda energética del sector Edificaciones (por combustible)</t>
  </si>
  <si>
    <t>Subsector</t>
  </si>
  <si>
    <t>Electricidad (entregado al usuario final)</t>
  </si>
  <si>
    <t>Gas Natural</t>
  </si>
  <si>
    <t xml:space="preserve">Petróleo </t>
  </si>
  <si>
    <t>Biomasa seca y residuos (leña)</t>
  </si>
  <si>
    <t>Evolución del consumo energética del sector Edificaciones (por sector)</t>
  </si>
  <si>
    <t>Edificaciones Residenciales Urbanas</t>
  </si>
  <si>
    <t>Edificaciones Residenciales Rurales</t>
  </si>
  <si>
    <t>Edificaciones Comerciales y de servicios</t>
  </si>
  <si>
    <t>Evolución de la generación energética del sector Edificaciones</t>
  </si>
  <si>
    <t>Evolución de las emisiones del sector Transporte</t>
  </si>
  <si>
    <t>Evolución de la demanda energética del sector Transporte (por modo de transporte)</t>
  </si>
  <si>
    <t>Evolución de la demanda energética del sector Transporte (por combustible)</t>
  </si>
  <si>
    <t>Eléctrico</t>
  </si>
  <si>
    <t>Queroseno Jet</t>
  </si>
  <si>
    <t>Vehículo de Hidrógeno</t>
  </si>
  <si>
    <t>Evolución de las emisiones del sector Agricultura</t>
  </si>
  <si>
    <t xml:space="preserve">Cultivo de biocombustibles </t>
  </si>
  <si>
    <t xml:space="preserve">Mejores prácticas </t>
  </si>
  <si>
    <t>Evolución del potencial energético para el aprovechamiento de residuos agrícolas y de biocombustibles</t>
  </si>
  <si>
    <t>Cultivos</t>
  </si>
  <si>
    <t>Biocombustibles</t>
  </si>
  <si>
    <t xml:space="preserve">Tierras dedicada a Biocombustibles </t>
  </si>
  <si>
    <t>Palma de Aceite</t>
  </si>
  <si>
    <t>Caña de Azúcar</t>
  </si>
  <si>
    <t>Ha</t>
  </si>
  <si>
    <t>Evolución de las emisiones del sector Ganadería</t>
  </si>
  <si>
    <t>Hato ganadero</t>
  </si>
  <si>
    <t>Prácticas sostenibles</t>
  </si>
  <si>
    <t xml:space="preserve">Manejo de estiércol </t>
  </si>
  <si>
    <t>Evolución de la producción de bioenergía a través del estiércol</t>
  </si>
  <si>
    <t>Subsector generador</t>
  </si>
  <si>
    <t>Hembras</t>
  </si>
  <si>
    <t xml:space="preserve">Machos </t>
  </si>
  <si>
    <t>Evolución de las emisiones del sector Bosques</t>
  </si>
  <si>
    <t>Nombre de las series</t>
  </si>
  <si>
    <t>Absorciones por plantaciones comerciales</t>
  </si>
  <si>
    <t>Emisiones por deforestación</t>
  </si>
  <si>
    <t>Evolución de las hectáreas de bosque</t>
  </si>
  <si>
    <t>Superficie total deforestación acumulada</t>
  </si>
  <si>
    <t>Superficie reforestación comercial acumulada</t>
  </si>
  <si>
    <t>Poderes Caloríficos Brutos de Combustibles seleccionados</t>
  </si>
  <si>
    <t>ENERGÉTICO</t>
  </si>
  <si>
    <t>TWh/kg</t>
  </si>
  <si>
    <t>Primarios</t>
  </si>
  <si>
    <t xml:space="preserve">Carbón mineral </t>
  </si>
  <si>
    <t>(TWh/L)</t>
  </si>
  <si>
    <t>Recuperación/residuos</t>
  </si>
  <si>
    <t>(TWh/TJ)</t>
  </si>
  <si>
    <t>Cascarilla de café</t>
  </si>
  <si>
    <t>Cascarilla de arroz</t>
  </si>
  <si>
    <t>Residuos de palma</t>
  </si>
  <si>
    <t>Secundarios</t>
  </si>
  <si>
    <t>Biodiésel</t>
  </si>
  <si>
    <t xml:space="preserve">Carbón leña </t>
  </si>
  <si>
    <t xml:space="preserve">Diésel oil </t>
  </si>
  <si>
    <t xml:space="preserve">Fuel oil </t>
  </si>
  <si>
    <t>Gasolina motor</t>
  </si>
  <si>
    <t>Densidades de combustibles seleccionados</t>
  </si>
  <si>
    <t>Densidad</t>
  </si>
  <si>
    <t>Gaseosos</t>
  </si>
  <si>
    <t>kg/m3</t>
  </si>
  <si>
    <t xml:space="preserve"> Biogás Genérico </t>
  </si>
  <si>
    <t xml:space="preserve"> Coke Gas Genérico </t>
  </si>
  <si>
    <t xml:space="preserve"> Gas natural Generico </t>
  </si>
  <si>
    <t xml:space="preserve"> GLP Genérico </t>
  </si>
  <si>
    <t xml:space="preserve"> LPG Propano </t>
  </si>
  <si>
    <t xml:space="preserve"> Gas de Pozo cupiagua </t>
  </si>
  <si>
    <t xml:space="preserve"> Mezcla Cusiana/Guajira - Nodo SEBASTOPOL. Antioquia </t>
  </si>
  <si>
    <t xml:space="preserve"> Mezcla Apiay/Cusiana - Nodo USME. Boyaca-Bogota </t>
  </si>
  <si>
    <t xml:space="preserve"> Mezcla Cusiana/Cupiagua - Nodo MARIQUITA. Occidente </t>
  </si>
  <si>
    <t xml:space="preserve"> Mezclas Teóricas Guajira Cusiana </t>
  </si>
  <si>
    <t>Líquidos</t>
  </si>
  <si>
    <t>kg/l</t>
  </si>
  <si>
    <t xml:space="preserve"> Combustoleo </t>
  </si>
  <si>
    <t xml:space="preserve"> Crudo de Castilla </t>
  </si>
  <si>
    <t xml:space="preserve"> Avigas </t>
  </si>
  <si>
    <t xml:space="preserve"> Jet A1 </t>
  </si>
  <si>
    <t xml:space="preserve"> Diesel B10 (Mezcla Comercial) </t>
  </si>
  <si>
    <t xml:space="preserve"> Biodiesel palma </t>
  </si>
  <si>
    <t xml:space="preserve"> Etanol Anhidro </t>
  </si>
  <si>
    <t xml:space="preserve"> Fuel Oil # 4 - Ecopetrol </t>
  </si>
  <si>
    <t xml:space="preserve"> Gasolina Motor </t>
  </si>
  <si>
    <t xml:space="preserve"> Diesel Marino </t>
  </si>
  <si>
    <t xml:space="preserve"> Diesel B2  </t>
  </si>
  <si>
    <t xml:space="preserve"> Gasolina E10 (Mezcla Comercial) </t>
  </si>
  <si>
    <t xml:space="preserve"> Mezcla Teórica Gasolina- Etanol </t>
  </si>
  <si>
    <t xml:space="preserve"> Mezcla Teórica Diesel- Biodiesel </t>
  </si>
  <si>
    <t xml:space="preserve"> GLP Genérico USADO </t>
  </si>
  <si>
    <t>Potenciales de calentamiento global</t>
  </si>
  <si>
    <t>PCG AR5</t>
  </si>
  <si>
    <t>PCG AR6</t>
  </si>
  <si>
    <t>Dióxido de carbono</t>
  </si>
  <si>
    <t>Metano</t>
  </si>
  <si>
    <t>Óxido nitroso</t>
  </si>
  <si>
    <t>HFC-23</t>
  </si>
  <si>
    <t>HFC32</t>
  </si>
  <si>
    <t>HFC-125</t>
  </si>
  <si>
    <t>HFC-134a</t>
  </si>
  <si>
    <t>HFC-143a</t>
  </si>
  <si>
    <t>R-116</t>
  </si>
  <si>
    <t>SF6</t>
  </si>
  <si>
    <t>Gal</t>
  </si>
  <si>
    <t>1 Gal UK</t>
  </si>
  <si>
    <t>litros</t>
  </si>
  <si>
    <t>1 Gal USA</t>
  </si>
  <si>
    <t>CO2</t>
  </si>
  <si>
    <t>CH4</t>
  </si>
  <si>
    <t xml:space="preserve">N2O </t>
  </si>
  <si>
    <t>Conversión Energía</t>
  </si>
  <si>
    <t>Unidades</t>
  </si>
  <si>
    <t>Nombre</t>
  </si>
  <si>
    <t>Joules</t>
  </si>
  <si>
    <t>Petajulios</t>
  </si>
  <si>
    <t>Terajulios</t>
  </si>
  <si>
    <t>Gigajulios</t>
  </si>
  <si>
    <t>J</t>
  </si>
  <si>
    <t>Julios</t>
  </si>
  <si>
    <t>MJ</t>
  </si>
  <si>
    <t>Megajulios</t>
  </si>
  <si>
    <t>kWh</t>
  </si>
  <si>
    <t>Kilovatio / hora</t>
  </si>
  <si>
    <t>Teravatio / hora</t>
  </si>
  <si>
    <t>GWh</t>
  </si>
  <si>
    <t>Gigavatio / hora</t>
  </si>
  <si>
    <t>Megavatio / hora</t>
  </si>
  <si>
    <t>bop</t>
  </si>
  <si>
    <t>Barriles equivalentes en petróleo</t>
  </si>
  <si>
    <t>Mbop</t>
  </si>
  <si>
    <t>Miles de barriles equivalentes en petróleo</t>
  </si>
  <si>
    <t>toe</t>
  </si>
  <si>
    <t>Toneladas de equivalentes en petróleo</t>
  </si>
  <si>
    <t>ktoe</t>
  </si>
  <si>
    <t>Kilotoneladas de equivalentes en petróleo</t>
  </si>
  <si>
    <t>Mtoe</t>
  </si>
  <si>
    <t>Megatoneladas de equivalentes en petróleo</t>
  </si>
  <si>
    <t>calorie</t>
  </si>
  <si>
    <t>Calorías</t>
  </si>
  <si>
    <t>bcm</t>
  </si>
  <si>
    <t>Billones de metros cúbicos (Gas)</t>
  </si>
  <si>
    <t>Original</t>
  </si>
  <si>
    <t>Factor</t>
  </si>
  <si>
    <t>Objetivo</t>
  </si>
  <si>
    <t xml:space="preserve">1 m3 = </t>
  </si>
  <si>
    <t>PC</t>
  </si>
  <si>
    <t>1 MPC =</t>
  </si>
  <si>
    <t>m3</t>
  </si>
  <si>
    <t>1 Gal =</t>
  </si>
  <si>
    <t>lt</t>
  </si>
  <si>
    <t>1 Bl =</t>
  </si>
  <si>
    <t>Bl</t>
  </si>
  <si>
    <t>1 kBl =</t>
  </si>
  <si>
    <t>1 lt =</t>
  </si>
  <si>
    <t>kBl</t>
  </si>
  <si>
    <t>1 BTU =</t>
  </si>
  <si>
    <t>Joule</t>
  </si>
  <si>
    <t>1 Wh =</t>
  </si>
  <si>
    <t>1 MBTU=</t>
  </si>
  <si>
    <t>1 Mpie3=</t>
  </si>
  <si>
    <t>MBTU</t>
  </si>
  <si>
    <t>Conversión Potencia</t>
  </si>
  <si>
    <t>Watts</t>
  </si>
  <si>
    <t>GW</t>
  </si>
  <si>
    <t>Gigavatios</t>
  </si>
  <si>
    <t>MW</t>
  </si>
  <si>
    <t>Megavatios</t>
  </si>
  <si>
    <t>kW</t>
  </si>
  <si>
    <t>Kilovatios</t>
  </si>
  <si>
    <t>W</t>
  </si>
  <si>
    <t>Vatios</t>
  </si>
  <si>
    <t>mcm/d</t>
  </si>
  <si>
    <t>mcm/d  gas natural</t>
  </si>
  <si>
    <t>Mtoe/y</t>
  </si>
  <si>
    <t>Mtoe por año</t>
  </si>
  <si>
    <t>Conversión temporal</t>
  </si>
  <si>
    <t>Segundos</t>
  </si>
  <si>
    <t>y</t>
  </si>
  <si>
    <t>Año</t>
  </si>
  <si>
    <t>d</t>
  </si>
  <si>
    <t>Día</t>
  </si>
  <si>
    <t>h</t>
  </si>
  <si>
    <t>Hora</t>
  </si>
  <si>
    <t>m</t>
  </si>
  <si>
    <t>Minuto</t>
  </si>
  <si>
    <t>Conversión Área</t>
  </si>
  <si>
    <t>m2</t>
  </si>
  <si>
    <t>Hectáreas</t>
  </si>
  <si>
    <t>Millones de Hectáreas</t>
  </si>
  <si>
    <t>km^2</t>
  </si>
  <si>
    <t>Kilómetros cuadrados</t>
  </si>
  <si>
    <t>m^2</t>
  </si>
  <si>
    <t>Metros cuadrados</t>
  </si>
  <si>
    <t xml:space="preserve">Supuestos generales </t>
  </si>
  <si>
    <t>Generales</t>
  </si>
  <si>
    <t>Población</t>
  </si>
  <si>
    <t>Hogares</t>
  </si>
  <si>
    <t>Cabecera</t>
  </si>
  <si>
    <t>Rural</t>
  </si>
  <si>
    <t>% población urbana</t>
  </si>
  <si>
    <t>Hogares por zona climática</t>
  </si>
  <si>
    <t>%</t>
  </si>
  <si>
    <t>Zona climática</t>
  </si>
  <si>
    <t>Frío</t>
  </si>
  <si>
    <t>Templado</t>
  </si>
  <si>
    <t>Cálido seco</t>
  </si>
  <si>
    <t>Cálido Húmedo</t>
  </si>
  <si>
    <t>% Hogares urbanos nuevos</t>
  </si>
  <si>
    <t>Frio</t>
  </si>
  <si>
    <t xml:space="preserve">Supuestos de costos </t>
  </si>
  <si>
    <t>Costos</t>
  </si>
  <si>
    <t>PIB (2015 $MMCOP)</t>
  </si>
  <si>
    <t>PIB (2020 $MMCOP)</t>
  </si>
  <si>
    <t>PIB per Cápita ($2020)</t>
  </si>
  <si>
    <t>Tasa de descuento</t>
  </si>
  <si>
    <t>Factor de descuento</t>
  </si>
  <si>
    <t>$MMCOP</t>
  </si>
  <si>
    <t>$COP</t>
  </si>
  <si>
    <t>Billones de pesos Colombianos($BCOP) de (año base)</t>
  </si>
  <si>
    <t>Miles de millones de pesos Colombianos ($MMCOP) de (año base)</t>
  </si>
  <si>
    <t>Millones de pesos Colombianos ($MCOP) de (año base)</t>
  </si>
  <si>
    <t>Miles de pesos Colombianos ($KCOP) de (año base)</t>
  </si>
  <si>
    <t>Pesos Colombianos ($COP) de (año base)</t>
  </si>
  <si>
    <t>2019 US dólares (US $ 2019)</t>
  </si>
  <si>
    <t>2019 Euros</t>
  </si>
  <si>
    <t>Nivel de ambicion de los diferentes escenarios</t>
  </si>
  <si>
    <t xml:space="preserve">Tipo de escenario </t>
  </si>
  <si>
    <t>En el escenario alto se asume que los costos permanecen constantes durante todo el periodo de análisis</t>
  </si>
  <si>
    <t>En el escenario medio se asume que el costo en 2050 será 20% más bajo que el reportado para el año 2018</t>
  </si>
  <si>
    <t>En el escenario bajo se asume que el costo en 2050 es 30% más bajo que el reportado para el año 2018</t>
  </si>
  <si>
    <t>Sector Combustibles Fósiles</t>
  </si>
  <si>
    <t>Combustibles</t>
  </si>
  <si>
    <t>Costo Crudo (US$/boe)</t>
  </si>
  <si>
    <t>Alto</t>
  </si>
  <si>
    <t>Medio</t>
  </si>
  <si>
    <t>Bajo</t>
  </si>
  <si>
    <t>Costo Carbón (US$/MBTU)</t>
  </si>
  <si>
    <t> </t>
  </si>
  <si>
    <t xml:space="preserve">Alto </t>
  </si>
  <si>
    <t>Costo Gas Natural (US$/MBTU)</t>
  </si>
  <si>
    <t xml:space="preserve">Costos de Consumo de combustibles fósiles por sectores ajenos </t>
  </si>
  <si>
    <t xml:space="preserve">Combustibles </t>
  </si>
  <si>
    <t>Gasolina (US$/MBTU)</t>
  </si>
  <si>
    <t>Costo Diesel (US$/MBTU)</t>
  </si>
  <si>
    <t>Costo Fuel Oil (US$/MBTU)</t>
  </si>
  <si>
    <t>Gas LP (US$/MBTU)</t>
  </si>
  <si>
    <t>Queroseno (US$/MBTU)</t>
  </si>
  <si>
    <t>Factor de Sector</t>
  </si>
  <si>
    <t>Sector Electricidad</t>
  </si>
  <si>
    <t>Costos de Capital Alto</t>
  </si>
  <si>
    <t xml:space="preserve"> (USD/ kW)</t>
  </si>
  <si>
    <t xml:space="preserve">Medio </t>
  </si>
  <si>
    <t xml:space="preserve">Bajo </t>
  </si>
  <si>
    <t>Termoelectrica (gas natural)</t>
  </si>
  <si>
    <t>Termoelectrica (carbón)</t>
  </si>
  <si>
    <t>Termoelectrica (gas natural) + CCUS</t>
  </si>
  <si>
    <t>Termoelectrica (carbón) + CCUS</t>
  </si>
  <si>
    <t>Energías Renovables No Convencionales</t>
  </si>
  <si>
    <t>Eólica costa adentro (Jepírachi)</t>
  </si>
  <si>
    <t xml:space="preserve">Costos de Operación y Mantenimiento </t>
  </si>
  <si>
    <t xml:space="preserve">Sector Edificaciones </t>
  </si>
  <si>
    <t xml:space="preserve">Acondicionamiento de espacios residenciales </t>
  </si>
  <si>
    <t>ALTO</t>
  </si>
  <si>
    <t xml:space="preserve">Costo de Capital </t>
  </si>
  <si>
    <t>Costo de Operación</t>
  </si>
  <si>
    <t>USD /vivienda</t>
  </si>
  <si>
    <t>Calido Seco</t>
  </si>
  <si>
    <t>Calido Humedo</t>
  </si>
  <si>
    <t>MEDIO</t>
  </si>
  <si>
    <t>BAJO</t>
  </si>
  <si>
    <t>Iluminación, refrigeración, cocción y otros usos</t>
  </si>
  <si>
    <t xml:space="preserve">Iluminación </t>
  </si>
  <si>
    <t>Tecnología</t>
  </si>
  <si>
    <t>Costos de capital (COP)</t>
  </si>
  <si>
    <t>Incandescente</t>
  </si>
  <si>
    <t>LED</t>
  </si>
  <si>
    <t>LFC</t>
  </si>
  <si>
    <t xml:space="preserve">Resto </t>
  </si>
  <si>
    <t>Neveras</t>
  </si>
  <si>
    <t>Estufa de gas</t>
  </si>
  <si>
    <t>Estufa electrica</t>
  </si>
  <si>
    <t xml:space="preserve">Residencial Rural </t>
  </si>
  <si>
    <t>Descripción</t>
  </si>
  <si>
    <t>Unidad</t>
  </si>
  <si>
    <t>Valor</t>
  </si>
  <si>
    <t>Visa útil (años)</t>
  </si>
  <si>
    <t>Escenario</t>
  </si>
  <si>
    <t>Costo de capital de kit de Estuga de Gas LP</t>
  </si>
  <si>
    <t>COP/unidad</t>
  </si>
  <si>
    <t>Consumo de una estufa de Gas LP</t>
  </si>
  <si>
    <t>TWh/unidad/año</t>
  </si>
  <si>
    <t xml:space="preserve">Usos térmicos y equipamiento </t>
  </si>
  <si>
    <t>Trayectoria</t>
  </si>
  <si>
    <t>Alto (USD/TWh)</t>
  </si>
  <si>
    <t>Bajo (USD/TWh)</t>
  </si>
  <si>
    <t>Medio (USD/TWh)</t>
  </si>
  <si>
    <t>Sector Transporte</t>
  </si>
  <si>
    <t>USD</t>
  </si>
  <si>
    <t xml:space="preserve">Costo de capital unitario </t>
  </si>
  <si>
    <t xml:space="preserve">Costo de O&amp;M </t>
  </si>
  <si>
    <t>Bicicleta</t>
  </si>
  <si>
    <t>Vehiculos</t>
  </si>
  <si>
    <t>Vehículo de combustión convencional -Gasolina</t>
  </si>
  <si>
    <t>Vehículo de combustión convencional -Diesel</t>
  </si>
  <si>
    <t>Vehículo híbrido enchufable - Gasolina</t>
  </si>
  <si>
    <t>Vehículo híbrido enchufable - Diesel</t>
  </si>
  <si>
    <t>GN</t>
  </si>
  <si>
    <t>Vehículo Eléctrico (Batería)</t>
  </si>
  <si>
    <t>Taxi</t>
  </si>
  <si>
    <t>Motos</t>
  </si>
  <si>
    <t>2T</t>
  </si>
  <si>
    <t>4T</t>
  </si>
  <si>
    <t>Buses</t>
  </si>
  <si>
    <t>Buses BRT</t>
  </si>
  <si>
    <t>Ferreo</t>
  </si>
  <si>
    <t>Carretero</t>
  </si>
  <si>
    <t>USD/ud</t>
  </si>
  <si>
    <t>Vehículo de combustión convencional -Gasolina [km/gal]</t>
  </si>
  <si>
    <t>Vehículo de combustión convencional -Diesel [km/gal]</t>
  </si>
  <si>
    <t>GN Comprimido [km/lb]</t>
  </si>
  <si>
    <t>GN Licuado [kg/km]</t>
  </si>
  <si>
    <t>Vehículo Hibrido- Gasolina</t>
  </si>
  <si>
    <t>Vehículo hibrido- Diesel</t>
  </si>
  <si>
    <t>DIESEL</t>
  </si>
  <si>
    <t>ELECTRIC</t>
  </si>
  <si>
    <t>Sector Industria</t>
  </si>
  <si>
    <t>Costo de producción por sector</t>
  </si>
  <si>
    <t>2018 Punto de partida MMCOP</t>
  </si>
  <si>
    <t xml:space="preserve"> Gasto de capital neto</t>
  </si>
  <si>
    <t>Gasto O&amp;M (sin combustible)</t>
  </si>
  <si>
    <t>Cemento</t>
  </si>
  <si>
    <t xml:space="preserve">Textil </t>
  </si>
  <si>
    <t>Otros y ptp</t>
  </si>
  <si>
    <t>Impacto de la elección de la trayectoria de eficiencia energética - 2050 % de aumento de costos por unidad de energía (alto)</t>
  </si>
  <si>
    <t>Impacto de la elección de la trayectoria de eficiencia energética - 2050 % de aumento de costos por unidad de energía (bajo)</t>
  </si>
  <si>
    <t>Sector Residuos</t>
  </si>
  <si>
    <t>Costos de Capital</t>
  </si>
  <si>
    <t>Vida útil</t>
  </si>
  <si>
    <t>Rellenos Sanitarios</t>
  </si>
  <si>
    <t>Costos tratamiento residuos en el relleno</t>
  </si>
  <si>
    <t>USD/ Ton residuos</t>
  </si>
  <si>
    <t>Costos  sistema de quema de biogas</t>
  </si>
  <si>
    <t>USD/ m3 Biogas</t>
  </si>
  <si>
    <t>Costos Sistema de aprovechamiento de biogás de alto BTU</t>
  </si>
  <si>
    <t>Celda de Contingencia</t>
  </si>
  <si>
    <t>Planta de tratamiento</t>
  </si>
  <si>
    <t>-Tratamiento Mecánico Biológico (TMB)-Compostaje</t>
  </si>
  <si>
    <t>- Combustibles Derivados de Residuos (CDM)</t>
  </si>
  <si>
    <t>-Incineración</t>
  </si>
  <si>
    <t>Costos Operación y Mantenimiento</t>
  </si>
  <si>
    <t>Costos Disposición y transporte residuos</t>
  </si>
  <si>
    <t>Concepto</t>
  </si>
  <si>
    <t>Costo de Capital Planta de Tratamiento de Aguas Residuales</t>
  </si>
  <si>
    <t>Tratamiento AR sin extracción</t>
  </si>
  <si>
    <t>USD/ hm3 agua residual</t>
  </si>
  <si>
    <t>Tratamiento AR con extracción de Biogás</t>
  </si>
  <si>
    <t>Planta de O&amp;M de Planta Tratamiento de Aguas Residuales</t>
  </si>
  <si>
    <t>Sector Agricultura</t>
  </si>
  <si>
    <t>Practica</t>
  </si>
  <si>
    <t>Actividad</t>
  </si>
  <si>
    <t>Mejores Prácticas Agrícolas</t>
  </si>
  <si>
    <t>Sistemas Agroforestales</t>
  </si>
  <si>
    <t>COP/ha</t>
  </si>
  <si>
    <t>Uso eficiente de fertilizantes</t>
  </si>
  <si>
    <t>USD/ha</t>
  </si>
  <si>
    <t>Plantaciones de mango y agucate</t>
  </si>
  <si>
    <t>Uso de biodigestores</t>
  </si>
  <si>
    <t>Palma de aceite</t>
  </si>
  <si>
    <t>Caña de azucar</t>
  </si>
  <si>
    <t>Sector Ganadería</t>
  </si>
  <si>
    <t xml:space="preserve">Prácticas sostenibles en suelos ganaderos </t>
  </si>
  <si>
    <t>Sistemas Silvopastoriles</t>
  </si>
  <si>
    <t xml:space="preserve">Rehabilitación de Pasturas </t>
  </si>
  <si>
    <t>Suplementación Estratégica</t>
  </si>
  <si>
    <t>COP/cabeza de ganado</t>
  </si>
  <si>
    <t>Pastoreo Racional</t>
  </si>
  <si>
    <t>Sectos Bosques</t>
  </si>
  <si>
    <t>Reforestación Comercial</t>
  </si>
  <si>
    <t>Costos de capital</t>
  </si>
  <si>
    <t>Costos Directos de Establecimiento Año 1 (Sólo una vez)</t>
  </si>
  <si>
    <t xml:space="preserve">Costo Directo Mano de Obra Año 1 Reforestación Comercial </t>
  </si>
  <si>
    <t>Costo Directo Insumos Año 1 Reforestación Comercial</t>
  </si>
  <si>
    <t>Costos Indirectos de establecimiento año 1 (Sólo una vez)</t>
  </si>
  <si>
    <t>Costo Indirecto Herramientas Año 1 Reforestación Comercial</t>
  </si>
  <si>
    <t>Costo Indirecto Transporte de insumos</t>
  </si>
  <si>
    <t>Costos de O&amp;M</t>
  </si>
  <si>
    <t>Costos de mantenimiento (año 2 en adelante)</t>
  </si>
  <si>
    <t xml:space="preserve">Costo O&amp;M Directo Mano de Obra Año 2 Reforestación Comercial </t>
  </si>
  <si>
    <t xml:space="preserve">Costo O&amp;M Directo de Insumos Año 2 Reforestación Comercial </t>
  </si>
  <si>
    <t xml:space="preserve">Costos Indirectos de establecimiento (año 2 en adelante) </t>
  </si>
  <si>
    <t>Costo O&amp;M Indirecto Herramientas Año 2 Reforestación Comercial</t>
  </si>
  <si>
    <t xml:space="preserve">Costo O&amp;M Indirecto Transporte de insumos Año 2 Reforestación Comercial </t>
  </si>
  <si>
    <t>Reforestación Protectora</t>
  </si>
  <si>
    <t>Costo Directo Mano de Obra Año 1 Reforestación Protectora</t>
  </si>
  <si>
    <t>Costo Directo Insumos Año 1 Reforestación Protectora</t>
  </si>
  <si>
    <t>Costo Indirecto Herramientas Año 1 Reforestación Protectora</t>
  </si>
  <si>
    <t>Costo Indirecto Transporte de insumos Año 1 Reforestación Protectora</t>
  </si>
  <si>
    <t>Costo O&amp;M Directo Mano de Obra Año 2 Reforestación Protectora</t>
  </si>
  <si>
    <t>Costo O&amp;M Directo de Insumos Año 2 Reforestación Protectora</t>
  </si>
  <si>
    <t>Costo O&amp;M Indirecto Herramientas Año 2 Reforestación Protectora</t>
  </si>
  <si>
    <t>Costo O&amp;M Indirecto Transporte de insumos Año 2 Reforestación Protectora</t>
  </si>
  <si>
    <t>SECTOR</t>
  </si>
  <si>
    <t>MÓDULO</t>
  </si>
  <si>
    <t>TIPO DE SUPUESTO</t>
  </si>
  <si>
    <t>NOMBRE DEL SUPUESTO</t>
  </si>
  <si>
    <t>TRATAMIENTO DEL DATO</t>
  </si>
  <si>
    <t>FUENTE DEL DATO</t>
  </si>
  <si>
    <t>Datos generales</t>
  </si>
  <si>
    <t>Supuestos Generales</t>
  </si>
  <si>
    <t>Supuestos fijos</t>
  </si>
  <si>
    <t xml:space="preserve">Los datos de proyecciones de población y hogares fueron extraidos de las proyecciones publicadas por el DANE. </t>
  </si>
  <si>
    <t>DANE, 2018.</t>
  </si>
  <si>
    <t>% han sido extraidos del siguiente documento: Criterios ambientales para el diseño y construcción de vivienda urbana, de la tabla de clasificación por municipios por zona climñatica pag 62-63.</t>
  </si>
  <si>
    <t>MinAmbiente, 2012.</t>
  </si>
  <si>
    <t>Supuesto Fijo</t>
  </si>
  <si>
    <t>Se asume como la diferencia del número de hogares del año (n+1) menos el año (n)</t>
  </si>
  <si>
    <t>% de hogares urbanos</t>
  </si>
  <si>
    <t>Para la determinación del número de hogares urbanos por zona climática, se hizo el cruce entre la base de datos de hogares por municipio del censo del año 2005 (DANE), con la base de datos de clasificación de los municipios por zona climática (MVCT). Se asumió que la proporción de hogares por  zona climática permanece constante durante todo el periodo de análisis</t>
  </si>
  <si>
    <t>Constantes</t>
  </si>
  <si>
    <t>PCB</t>
  </si>
  <si>
    <t>Los poderes caloríficos utilizados  fueron extraídos de la base de cálculo del BECO. Tabla 1. Energéticos y poderes caloríficos (BEN &amp; EAM)</t>
  </si>
  <si>
    <t>Balance Energético Colombiano, BECO, 2021.</t>
  </si>
  <si>
    <t>Densidades de los Combustibles</t>
  </si>
  <si>
    <t xml:space="preserve">Densidades </t>
  </si>
  <si>
    <t>Las densidades de los combustibles así como los factores de conversión utilizados fueron extraídas de la base de cálculo del BECO.</t>
  </si>
  <si>
    <t xml:space="preserve">PCG </t>
  </si>
  <si>
    <t>Los potenciales de calentamiento global (GWP) utilizados fueron extraídos del Quinto y  Sexto informe de Evaluación del IPCC</t>
  </si>
  <si>
    <t>IPCC Fifth Assessment Report (2014) y IPCC Sixth Assessment Report (2021)</t>
  </si>
  <si>
    <t>Supuestos de Costos</t>
  </si>
  <si>
    <t>PwC en The long view: how will the global economic order change by 2050? (2017) estima una tasa de crecimiento anual del GDP de 3.3% para Colombia
https://www.pwc.com/gx/en/world-2050/assets/pwc-the-world-in-2050-full-report-feb-2017.pdf</t>
  </si>
  <si>
    <t>https://www.pwc.com/gx/en/world-2050/assets/pwc-the-world-in-2050-full-report-feb-2017.pdf</t>
  </si>
  <si>
    <t>Costo de Sistemas Silvopastoriles Intensivos, Mejores prácticas de fertilización, Plantaciones de aguacate y mango, Uso de biodigestores y Tierra dedicada a biocombustibles (Palma de aceite y Caña de azúcar)</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</si>
  <si>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</si>
  <si>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UDA (2014). Productos Analíticos para apoyar la toma de decisiones sobre acciones de mitigación a nivel sectorial - Sector Agropecuario.</t>
  </si>
  <si>
    <t>Aguas residuales</t>
  </si>
  <si>
    <t>Costos de sistemas de tratamiento de Aguas residuales.</t>
  </si>
  <si>
    <t>Garzón, Hernando &amp; Ruiz-Ochoa, Mauricio &amp; Rodriguez Miranda, Juan. (2020). Costos de inversión para la descontaminación ambiental mediante modelos econométricos.
UDA (2014). Productos Analíticos para apoyar la toma de decisiones sobre acciones de mitigación a nivel sectorial - Sector Transportes.</t>
  </si>
  <si>
    <t>Costos de Capital y O&amp;M de Reforestación Comercial y Reforestación Protectora</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</si>
  <si>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</si>
  <si>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Guillermo Prieto, Ministerio de  Ambiente y Desarrollo Sostenible.</t>
  </si>
  <si>
    <t>Precios de combustibles (Gas Natural, Carbón, Gas LP, Fuel Oíl, Crudo, etc.)</t>
  </si>
  <si>
    <t>Para cada combustible se calculo la media estadística de los datos disponibles en todo el país, de acuerdo con el escenario. El costo medio corresponde al precio de referencia, el costo alto corresponde al precio más alto y el costo bajo corresponde al precio más bajo.Por otro lado, para el costo proyectado de Coque, no se ha encontrado proyección del precio a 2050, por lo que se ha decidido usar el precio del carbón para ese caso</t>
  </si>
  <si>
    <t>UPME. Proyección de Precios de los Energéticos en Fuentes de Producción y en Plantas de Generación​.</t>
  </si>
  <si>
    <t>Precios de combustibles (Queroseno) y Factor de Sector</t>
  </si>
  <si>
    <t>Para el Factor sector se calculo la diferencia porcentual de precios de combustibles entre el sector energía eléctrica y los sectores transporte, edificaciones e industria.</t>
  </si>
  <si>
    <t>EIA. Energy prices by sector and source</t>
  </si>
  <si>
    <t>Costos de paquete de reducción de energía en edificación residencial.</t>
  </si>
  <si>
    <t>UDA (2020). Estimación de curvas de costo de abatimiento de emisiones de CO2 a partir de la modificación del tipo de iluminarias utilizadas en el sector vivienda en Colombia</t>
  </si>
  <si>
    <t>Costo de acondicionamiento de edificación residencial.</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</si>
  <si>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2019</t>
  </si>
  <si>
    <t>IEA (2021). Residential Heat Economics Calculator.</t>
  </si>
  <si>
    <t>Costos de diseño y eficiencia comercial.</t>
  </si>
  <si>
    <t>El estudio proporciona para las medidas analizadas el costo de implementación por metro cuadrado (USD/m2) y el valor de la reducción de energía por la implementación de las medidas por metro cuadrado (kWh/año/m2). Para calcular las proyecciones a 2050 del escenario alto, se asume que el costo por metro cuadrado permanece constante durante el periodo de análisis, los valores cada 5 años varían porque los porcentajes de área implementada varían. Para el escenario medio se asume que el costo en 2050 será 20% más bajo que el reportado para escenario alto, y para el escenario bajo se asume que el costo a 2050 es 30% más bajo que el reportado para el escenario alto. Los costos presentados por el estudio referenciado corresponden a la diferencia entre las tecnologías convencionales y las de alta eficiencia (costo incremental).</t>
  </si>
  <si>
    <t xml:space="preserve"> UDA (2013). Desarrollo de la Curva de Costos Marginales de Abatimiento para las Edificaciones del Sector Comercial en Colombia.
ETSAP (2012). Building Shell and Thermal Insulation.
ETSAP (2012). Electric Appliances.</t>
  </si>
  <si>
    <t>Costo de usos térmicos y equipamiento comercial.</t>
  </si>
  <si>
    <t>Para el escenario medio se asume que el costo es 20% más bajo que el reportado para escenario alto y para el escenario bajo se asume es 30% más bajo que el reportado para el escenario alto.</t>
  </si>
  <si>
    <t>UDA (2013). Desarrollo de la Curva de Costos Marginales de Abatimiento para las Edificaciones del Sector Comercial en Colombia.
New Hampshire Electric Cooperative (2022). New Heat Pump Calculator.
UDA (2014). Productos Analíticos para apoyar la toma de decisiones sobre acciones de mitigación a nivel sectorial - Sector Edificaciones
ETSAP (2012). Space Heating and Cooling.</t>
  </si>
  <si>
    <t>Costos de Iluminación, refrigeración, cocción y otros usos</t>
  </si>
  <si>
    <t>Los valores presentados para el año base 2018 se obtienen a partir de una  revisión de las precios de las tecnologías en el mercado y de precios de referencia utilizados en otros estudios y herramientas de costos para el sector edificación residencial. Se asume, en el escenario alto, un costo igual al año base 2018 para 2050. En el escenario medio se asume que el costo en 2050 será 20% más bajo que el año base 2018. En el escenario bajo se asume que el costo en 2050 es 30% más bajo que el reportado para el año base 2018</t>
  </si>
  <si>
    <t>IEA (2021). Residential Heat Economics Calculator.
UDA (2020). Estimación de curvas de costo de abatimiento de emisiones de CO2 a partir de la modificación del tipo de iluminarias utilizadas en el sector vivienda en Colombia.
UDA (2014). Productos Analíticos para apoyar la toma de decisiones sobre acciones de mitigación a nivel sectorial - Sector Edificaciones.
ETSAP (2012). Space Heating and Cooling.
ETSAP (2012). Lighting.</t>
  </si>
  <si>
    <t>Costos de diseño y eficiencia edificación residencial.</t>
  </si>
  <si>
    <t>Se asume, en el escenario alto, un costo igual al año base 2018 para 2050. En el escenario medio se asume que el costo en 2050 será 20% más bajo que el año base 2018. En el escenario bajo se asume que el costo en 2050 es 30% más bajo que el reportado para el año base 2018</t>
  </si>
  <si>
    <t>UDA (2014). Productos Analíticos para apoyar la toma de decisiones sobre acciones de mitigación a nivel sectorial - Sector Edificaciones.
ETSAP (2012). Building Shell and Thermal Insulation.
ETSAP (2012). Electric Appliances.</t>
  </si>
  <si>
    <t>Costos de capital de generación de electricidad</t>
  </si>
  <si>
    <t>Los costos altos de capital corresponden al costo (USD/kW) más alto encontrado en el mercado, el costo medio corresponden a la mediana o valor central encontrado por cada tecnología y el costo bajo corresponde al valor más bajo encontrado por cada tecnología.</t>
  </si>
  <si>
    <t>CNE (2020). Informe de costos de Tecnología de generación.
UPME (2022). Costos Nivelados de Generación de Electricidad.
Erazo Solarte, Mario &amp; Mosquera Quiñones, Luis F. (2018). Revisión de los Esquemas de generación de energía para implementar en Zonas no Interconectadas en Colombia.</t>
  </si>
  <si>
    <t>Costo de Rehabilitación de pasturas, Pastoreo racional, Sistemas Silvopastoriles y Suplementación Estratégica</t>
  </si>
  <si>
    <t>Gasto neto de capital de la industria del cemento</t>
  </si>
  <si>
    <t>Trejos Perez, C &amp; Quevedo Suarez, J. (2021). Evaluación del desempeño financiero de las empresas del sector fabricación de cemento, cal y yeso (C2394) en Colombia durante el periodo 2014-2019.</t>
  </si>
  <si>
    <t>Gasto neto de capital de la industria del papel</t>
  </si>
  <si>
    <t>Rivera-Godoy, Jorge Alberto, Lopeda-Quiceno, Stephanny, &amp; Oviedo-Álvarez, Néstor David. (2018) Evaluación financiera de la industria de fabricación de papel, cartón y derivados en Colombia 2010-2015.</t>
  </si>
  <si>
    <t>Gasto neto de capital de la industria de alimentos</t>
  </si>
  <si>
    <t>Guzmán Álvarez, J. (2020). Análisis de la estructura de capital del sector alimentos en Colombia.</t>
  </si>
  <si>
    <t>Gasto neto de capital de la industria de ladrillos</t>
  </si>
  <si>
    <t>Gómez, N. R., Gámez, G. J. &amp; Arguello, L. S. (2017). Análisis financiero, análisis del sistema de costeo y elaboración del presupuesto para la empresa Ladrillos y Acabados S.A.S. del municipio de San Gil.</t>
  </si>
  <si>
    <t>Gasto neto de capital de la industria de químicos y la industria de hierro y no ferrosos.
Impacto de la elección de la trayectoria de eficiencia energética - 2050 % de aumento de costos por unidad de energía</t>
  </si>
  <si>
    <t>Se establecen por trayectoria cuánto serían más altos los costos por cada industria en el caso de que hubiera esfuerzos por reducir el consumo energético.  Estos porcentajes resultan de un ponderado de estimaciones que realizó HM Goverment para la Calculadora de Carbono en Reino Unido sobre el aumento de costos para diferentes sectores industriales en caso de realizar esfuerzos para reducir el consumo energético.</t>
  </si>
  <si>
    <t>HM Government (2010). The UK 2050 Calculator: Industrial Processes Costs.</t>
  </si>
  <si>
    <t xml:space="preserve">Residuos sólidos municipales </t>
  </si>
  <si>
    <t>Costos de sistemas de tratamiento de Residuos sólidos municipales.</t>
  </si>
  <si>
    <t>En el escenario alto se asume un costo igual al año base 2018. En el escenario medio se asume que el costo en 2050 será 20% más bajo que el año base 2018. En el escenario bajo se asume que el costo en 2050 es 30% más bajo que el reportado para el año base 2018.</t>
  </si>
  <si>
    <t>Garzón, Hernando &amp; Ruiz-Ochoa, Mauricio &amp; Rodriguez Miranda, Juan. (2020). Costos de inversión para la descontaminación ambiental mediante modelos econométricos.
BID (2010). Guidance Note on Landfill Gas Capture and Utilization.</t>
  </si>
  <si>
    <t>Metodología para el Calculo de la Tasa de descuento para Colombia.</t>
  </si>
  <si>
    <t>Barrientos Marín, Jorge &amp; Villada Duque, Fernando (2017). Cálculo de un WACC diferenciado por región para proyectos de generación de electricidad con fuentes renovables en Colombia.</t>
  </si>
  <si>
    <t>Costos de Capital de transporte de pasajeros.
Costos de Operación y Mantenimiento de transporte de pasajeros.</t>
  </si>
  <si>
    <t>El costo de capital corresponde a la media aritmética del precio por vehículo de cada tecnología encontrada en el mercado. 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</si>
  <si>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GIZ (2019). Evaluación Económico-Financiera de Buses Eléctricos en Colombia. 
CFF (2018). Análisis de tecnologías alternas para buses.
UDA (2014). Productos Analíticos para apoyar la toma de decisiones sobre acciones de mitigación a nivel sectorial - Sector Transportes.
ETSAP (2011). Public transport.
ETSAP (2010). Advanced Automotive Diesel Engines.
ETSAP (2010). Advanced Automotive Gasoline Engines.
ETSAP (2010). Electric and Plug-in Hybrid Vehicles.</t>
  </si>
  <si>
    <t>Costos de Capital de transporte de carga.
Costos de Operación y Mantenimiento de transporte de carga.</t>
  </si>
  <si>
    <t>El costo de capital corresponde a un valor de referencia del precio por vehículo de carga de cada tecnología. 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</si>
  <si>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HINICIO (2017). Estudio de Diagnóstico, Evaluación, Análisis y Propuesta para Apoyar la NAMA de Preparación del Sector Energético para la Transformación hacia una Matriz Energética Limpia a Través del uso de Transporte Limpio.
UDA (2014). Productos Analíticos para apoyar la toma de decisiones sobre acciones de mitigación a nivel sectorial - Sector Transportes.
ETSAP (2012). Heavy Trucks.
ETSAP (2012). Light Trucks.</t>
  </si>
  <si>
    <t>Factores de emisión</t>
  </si>
  <si>
    <t>Factor de emisión por tipo de generación mediante Combustibles Fósiles</t>
  </si>
  <si>
    <t>Los factores de emisión fueron obtenido del BUR3 Colombia. Estos datos a su vez proceden de la metodología del IPCC 2006.( Volumen 2. Capítulo 4. Cuadro 4.2.5) la cual fue aplicada en la calculadora. Factores de emisión utilizados para calcular las emisiones asociadas al consumo energético del país.</t>
  </si>
  <si>
    <t>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2805-9921</t>
  </si>
  <si>
    <t>CRUDO</t>
  </si>
  <si>
    <t>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2805-9922</t>
  </si>
  <si>
    <t>GAS</t>
  </si>
  <si>
    <t>Los factores de emisión fueron obtenido del BUR3 Colombia. Estos datos a su vez proceden de la metodología del IPCC 2006.( Volumen 2. Capítulo 4. Cuadro 4.2.5) la cual fue aplicada en la calculadora. . Factores de emisión utilizados para calcular las emisiones asociadas al consumo energético del país.</t>
  </si>
  <si>
    <t>Combustión en refinación de crudo</t>
  </si>
  <si>
    <t>Factor de emisión extraído del BUR3 Colombia. Estos datos a su vez proceden del FECOC-UPME. Se aplico la mitología de Nivel 2, excepto la estimación de las emisiones generadas por el consumo de gas de refinería en la subcategoría 1A1b- Refinación de petróleo, en la que se empleó una metodología nivel 1. Las ecuaciones aplicadas fueron la Ecuación 2.1: Emisiones de gases de efecto invernadero procedentes de la combustión estacionaria (IPCC – 2006, volumen 2, capítulo 2) y para estimar emisiones por la producción de coque (Nivel 1)
Ecuación 4.1 IPCC – 2006, volumen 3, capítulo 4.</t>
  </si>
  <si>
    <t>EMISIONES POR EL PROCESO DE PROCESO DE PRODUCCION DE HIERRO Y ACERO</t>
  </si>
  <si>
    <t>Se basa en la metodología de nivel 1 utilizada por el IPCC - 2006, Volumen 3, Capítulo 4, Cuadro 4.1 para obtener Factor de emisión de CO2 para producción de acero BOF y acero EAF. Ecuación 4.4. Emisiones de CO2 provenientes de la producción de hierro y acero (nivel 1)</t>
  </si>
  <si>
    <t>EMISIONES POR EL PROCESO DE PRODUCCION DE AMONIACO</t>
  </si>
  <si>
    <t>Se basa en la metodología de nivel 1 utilizada por el IPCC - 2006, Volumen 3, Capítulo 3, Cuadro 3.1. Ecuación 3.1. Emisiones de CO2 provenientes de la producción de amoníaco – nivel 1. Ecuación 3.1. Emisiones de CO2 provenientes de la producción de amoníaco – nivel 1
(IPCC – 2006, Volumen 3, Capítulo 3)</t>
  </si>
  <si>
    <t>EMISIONES POR EL PROCESO DE PRODUCCION DE CAL</t>
  </si>
  <si>
    <t>Corresponden a valores por defecto suministrados por el IPCC en sus
Directrices de 2006.. Ecuación 2.6. Nivel 2: Emisiones basadas en los datos de producción nacional de cal, por tipos (IPCC – 2006, Volumen 3, Capítulo 2)</t>
  </si>
  <si>
    <t>EMISIONES POR EL PROCESO DE PRODUCCION DE CEMENTO</t>
  </si>
  <si>
    <t>Calculo de emisiones a partir de la Ecuación 2.1. Nivel 1: Emisiones basadas en la producción de cemento (IPCC – 2006, Volumen 3, Capítulo 2). Se aplico el valor tomado del Protocolo de CO2 y Energía del
Cemento, diseñado por la Iniciativa de Sostenibilidad del Cemento (CSI por sus siglas en inglés) del Consejo Mundial de Negocios para el Desarrollo Sostenible (WBCSD por sus siglas en inglés) (WBCSD,
2011)</t>
  </si>
  <si>
    <t>EMISIONES POR EL PROCESO DE PRODUCCION DE FERROALEACIONES</t>
  </si>
  <si>
    <t>Utilizada la Ecuación 4.15. Emisiones de CO2 para la producción de ferroaleaciones por el método de nivel 1 (IPCC 2006, Volumen 3, Capítulo 4). Los fatores de emisión utilizados en la formula fueron extraídos del BUR3 que a su vez se obtuvieron de Cerromatoso S.A.</t>
  </si>
  <si>
    <t>EMISIONES POR EL PROCESO DE PRODUCCION DE VIDRIO</t>
  </si>
  <si>
    <t>Corresponden a valores por defecto suministrados por el IPCC en sus
Directrices de 2006. Ecuación 2.11: Nivel 2: Emisiones basadas en el proceso de fabricación del vidrio (IPCC – 2006, Volumen 3, Capítulo 2)</t>
  </si>
  <si>
    <t>PRODUCCION DE PLOMO</t>
  </si>
  <si>
    <t>Se basa en la metodología de nivel 1 utilizada por el IPCC – 2006, Volumen 3, Capítulo 4, Cuadro 4.21. Ecuación 4.32. Emisiones de CO2 provenientes de la producción de plomo</t>
  </si>
  <si>
    <t>INDUSTRIAS MANUFACTURERAS Y DE CONSTRUCCION</t>
  </si>
  <si>
    <t>Factor de emisión extraído del BUR3 Colombia. Estos datos a su vez proceden del FECOC-UPME. Se aplico la mitología de Nivel 2, excepto la estimación de las emisiones generadas por el consumo de gas de refinería- Refinación de petróleo, en la que se empleó una metodología nivel 1. Las ecuaciones aplicadas fueron la Ecuación 2.1: Emisiones de gases de efecto invernadero procedentes de la combustión estacionaria (IPCC – 2006, volumen 2, capítulo 2) y para estimar emisiones por la producción de coque (Nivel 1)
Ecuación 4.1 IPCC – 2006, volumen 3, capítulo 4.</t>
  </si>
  <si>
    <t xml:space="preserve">RELLENOS SANITARIOS </t>
  </si>
  <si>
    <r>
      <t>Estimación de las emisiones de CH4 procedentes de los vertederos de residuos sólidos mediante el método descrito en  "</t>
    </r>
    <r>
      <rPr>
        <i/>
        <sz val="9"/>
        <rFont val="Calibri"/>
        <family val="2"/>
        <scheme val="minor"/>
      </rPr>
      <t xml:space="preserve">Las Directrices del IPCC para los inventarios nacionales de gases de efecto invernadero". </t>
    </r>
    <r>
      <rPr>
        <sz val="9"/>
        <rFont val="Calibri"/>
        <family val="2"/>
        <scheme val="minor"/>
      </rPr>
      <t xml:space="preserve">A través de los parámetros aportados por la </t>
    </r>
    <r>
      <rPr>
        <i/>
        <sz val="9"/>
        <rFont val="Calibri"/>
        <family val="2"/>
        <scheme val="minor"/>
      </rPr>
      <t xml:space="preserve">NAMA RSM </t>
    </r>
    <r>
      <rPr>
        <sz val="9"/>
        <rFont val="Calibri"/>
        <family val="2"/>
        <scheme val="minor"/>
      </rPr>
      <t xml:space="preserve">de Colombia y se aplicó el método por defecto especificado en por el IPCC asumiendo un factor de emisión constante a lo largo del tiempo para facilitar el cálculo de emisiones </t>
    </r>
  </si>
  <si>
    <t xml:space="preserve">Anthesis Lavola, DNP, MinAmbiente y MinVivienda. 2021. Estructuración y formulación de la NAMA de residuos sólidos. Informe final. </t>
  </si>
  <si>
    <t xml:space="preserve">TRATAMIENTO MECÁNICO BIOLÓGICO </t>
  </si>
  <si>
    <t>La metodología empleada para la estimación del INGEI del módulo de residuos es la proporcionada por el Panel Intergubernamental de Cambio Climático (IPCC, por sus siglas en inglés), a través de las
directrices 2006. Las emisiones de generadas por los sitios gestionados y no categorizados de disposición de residuos se estiman mediante la metodología de descomposición de primer orden - FOD (del inglés, First Order Decay) propuesta en las directrices IPCC 2006 (Nivel 2)</t>
  </si>
  <si>
    <t xml:space="preserve">IPCC 2006, 2006 IPCC Guidelines for National Greenhouse Gas Inventories, Prepared by the National
Greenhouse Gas Inventories Programme, Egglestoneladas H.S., Buendia L., Miwa K., Ngara T. y Tanabe K. (eds).
Publicado por: IGES, Japón. </t>
  </si>
  <si>
    <t>AGUAS RESIDUALES</t>
  </si>
  <si>
    <t>El enfoque metodológico empleado para la estimación de emisiones provenientes del tratamiento de aguas residuales domésticas corresponde al Nivel 1, ya que se emplearon factores de emisión por
defecto tomados de las guías IPCC. Ecuaciones utilizadas para la estimación de emisiones de GEI por el Tratamiento y eliminación de aguas residuales domésticas (IPCC – 2006, volumen 5, capítulo 6)</t>
  </si>
  <si>
    <t>SECTOR RESIDENCIAL</t>
  </si>
  <si>
    <t>Los factores de emisión fueron obtenido del BUR3 Colombia. Estos datos a su vez proceden de la metodología del IPCC 2006.( Volumen 2. Capítulo 4. Cuadro 4.2.5) la cual fue aplicada en la calculadora</t>
  </si>
  <si>
    <t>SECTOR COMERCIAL-SERVICIOS</t>
  </si>
  <si>
    <t>AVIACION</t>
  </si>
  <si>
    <t>Se sigue la metodología descrita en las Directrices IPCC 2006, Volumen 2, Capitulo 3, 3.6 Aviación civil – nivel 2, el cual separa las emisiones del combustible JET Fuel en nacional e internacional y a su vez lo desagrega en emisiones para ciclos LTO y en modo crucero. Los factores de emisión fueron obtenidos a partir de la información de FECOC –UPME/MADS IPCC 2006. Volumen 2. Capítulo 3. Cuadro 3.6.9</t>
  </si>
  <si>
    <t>FERROCARRILES</t>
  </si>
  <si>
    <t>Se sigue la metodología descrita en las Directrices IPCC 2006. Los factores de emisión fueron obtenidos a partir de la información de FECOC –UPME/MADS IPCC 2006. Volumen 2.
Capítulo 2. Cuadro 2.2 y Capítulo 3. Cuadro 3.4.1.</t>
  </si>
  <si>
    <t>TODO TERRENO</t>
  </si>
  <si>
    <t>Corresponden a valores por defecto suministrados por el IPCC en sus
Directrices de 2006. Metodología nivel 3 de acuerdo con los lineamientos establecidos en las Directrices IPCC 2006, Volumen 2, Capitulo 3, 3.3 Transporte todo terreno. os factores de emisión fueron obtenidos a partir de la información de FECOC –UPME/MADS IPCC 2006. Volumen 2. Capítulo 3. Cuadro 3.6.9</t>
  </si>
  <si>
    <t>TRANSPORTE MARITIMO Y FLUVIAL</t>
  </si>
  <si>
    <t>Corresponden a valores por defecto suministrados por el IPCC en sus
Directrices de 2006.Nivel metodológico 2 para CO2 y nivel metodológico 1 para CH4 y N2O, donde las emisiones dependen netamente del combustible quemado</t>
  </si>
  <si>
    <t>TRANSPORTE TERRESTRE</t>
  </si>
  <si>
    <t>Los factores de emisión fueron obtenido del BUR3 Colombia. Estos datos a su vez proceden de la metodología del IPCC 2006IPCC 2006. Volumen 2.
Capítulo 2. Cuadro 2.2 y Capítulo 3. Cuadro 3.4.1.</t>
  </si>
  <si>
    <t>Quema de biomasa en cultivos</t>
  </si>
  <si>
    <t>El abordaje metodológico para la estimación de las emisiones producidas por el fuego se realizó a partir de nivel 1 avanzado. Ecuación 2.27 Estimación de emisiones de GEI a causa del fuego (IPCC – 2006, volumen 4, capítulo 2). Las fuentes de información utilizadas para el factor de emisión fueron sacadas de los datos del BUR3 que a su vez son aportadas por el IDEAM y las Directrices IPPC 2006</t>
  </si>
  <si>
    <t>Factores de reducción</t>
  </si>
  <si>
    <t>Potencial de Reducción de emisiones de Mejores Prácticas Agrícolas</t>
  </si>
  <si>
    <t>FAO.Secuestro de Carbono en bosques, su papel en el ciclo global. http://www.fao.org/docrep/006/y4435s/y4435s09.htm#TopOfPage
Universidad de los Andes, 2014</t>
  </si>
  <si>
    <t xml:space="preserve">Supuesto fijo </t>
  </si>
  <si>
    <t>Producción de hidrocarburos</t>
  </si>
  <si>
    <t xml:space="preserve">Información  aportada por el Ministerio de Minas y Energía de Colombia (Base de datos Actividades y Emisiones (1)) y extraída del BECO 2021. Se utiliza para cuantificar las emisiones de GEI mediante la ecuación IPCC y el factor de emisión asociado </t>
  </si>
  <si>
    <t>UPME. Balance Energético Colombiano, BECO, 2021.</t>
  </si>
  <si>
    <t>Producción de carbón</t>
  </si>
  <si>
    <t>Factores de emisión carbón</t>
  </si>
  <si>
    <t>No de pozos</t>
  </si>
  <si>
    <t xml:space="preserve">Información  aportada por el Ministerio de Minas y Energía de Colombia (Base de datos Actividades y Emisiones (1)) y extraída del BECO 2021. Se utiliza para cuantificar las emisiones de GEI mediante la ecuación IPCC y el factor de emisión asociado  asociado </t>
  </si>
  <si>
    <t xml:space="preserve">Datos de la producción de crudo en el año base </t>
  </si>
  <si>
    <t xml:space="preserve">Datos de la producción de gas natural en el año base </t>
  </si>
  <si>
    <t>Consumo de energéticos</t>
  </si>
  <si>
    <t>Datos utilizados para cuantificar la energía consumida a través de las extracciones calculadas en el módulo, las cuales son dependientes de la trayectoria seleccionada</t>
  </si>
  <si>
    <t>Supuesto de trayectoria</t>
  </si>
  <si>
    <t>Capacidad de generación</t>
  </si>
  <si>
    <t>Datos obtenidos del Plan Energético Nacional (PEN) 2020 - 2050, alieneado los escenarios establecidos con las cuatro trayectorias de la Calculadora:
- Escenario Actualización = Trayectoria 1
- Escenario Modernización = Trayectoria 2
- Escenario Inflexión = Trayectoria 3
- Escenario Disrupción = Trayectoria 4
Porcentajes aplicados del Boletín estadístico del UPME. Producción de gas natural y carbon por departamente/ Producción total</t>
  </si>
  <si>
    <t>UPME. Plan Energético Nacional 2020-2050.</t>
  </si>
  <si>
    <t>Factor de utilización (%)</t>
  </si>
  <si>
    <t>Factor de utiización expresado en porcentaje (%) es utilizado para estimar la generación eléctrica a partir de la capacidad ínstalada por cada tecnología que forma parte de la matriz de generación.</t>
  </si>
  <si>
    <t>Monitoreo, Reporte y Verificación (MRV) de Mitigación de Emisiones de GEI del PIGCCme</t>
  </si>
  <si>
    <t>Generación de electricidad</t>
  </si>
  <si>
    <t>Se tomaron los datos de capacidad de generación (MW) y se multiplicaron por el factor de utilización (%) y el número de horas trabajadas en el año (8,760).</t>
  </si>
  <si>
    <t>Estimación realizada con informacion del UPME. Plan Energético Nacional 2020-2050 y del documento Monitoreo, Reporte y Verificación (MRV) de Mitigación de Emisiones de GEI del PIGCCme.</t>
  </si>
  <si>
    <t>Eficiencia energética- % de reducción de consumo energético</t>
  </si>
  <si>
    <t>Esta medida estipula el % de reducción en el consumo enegético de los distintos subsectors industriales debido al aumento de la eficiencia energética en base a lo requerido en la NDC y E2050. Los datos reflejados no representan el aumento de eficiencia sino el % de consumo energético ahorrado gracias a la misma. Según lo especificado en la E2050- "En 2050 se adoptan las mejores tecnologías disponibles (BAT) en todos los usos finales de energía, con un impacto de entre 40 y 60% de la reducción de demanda y de emisiones asociadas" y en la NDC- "Hasta 15% en la reducción de energía y/o emisiones en producción industrial, en el módulo correspondiente de demanda energía" se estructuraron las trayectorias 2 y 4. La trayectoria 1 "Bussiness as usual" se ajustaron los valores a 0 asumiendo que no hay un aumento de eficiencia de cara a 2050, por lo que no se produce una reducción del consumo energético. La trayectoria 3 se calculo a partir de la media de los datos obtenidos entre la trayectoria 2 y 4.</t>
  </si>
  <si>
    <t xml:space="preserve">BEU Industria-UPME: Primer balance de Energía Útil para Colombia y Cuantificación de las Perdidas energéticas relacionadas y la brecha de eficiencia energética Resumen Ejecutivo BEU Bogotá y Karlsruhe, Sector Abril de 2019 Industrial.  
Plan Acción Indicativo del PROURE PAI-PROURE 2022-2030
Estrategia 2050. 
Actualización de la Contribución Determinada a Nivel Nacional de Colombia (NDC)
</t>
  </si>
  <si>
    <t>Eficiencia energética- % de reducción de consumo energético (Ladrilleras)</t>
  </si>
  <si>
    <t>Datos del PROGRAMA DE EFICIENCIA ENERGÉTICAEN LADRILLERAS ARTESANALES DE AMERICA LATINA PARA MITIGAR EL CAMBIO CLIMATICO –EELA. 
% de crecimiento de la eficiencia energética de 1.5% al año especificado en la NDC para el sector ladrillero, con este datos se asume que la disminución de los consumos energéticos del sector son proporcionales al aumento de la eficiencia energética</t>
  </si>
  <si>
    <t xml:space="preserve">PROGRAMA DE EFICIENCIA ENERGÉTICAEN LADRILLERAS ARTESANALES DE AMERICA LATINA PARA MITIGAR EL CAMBIO CLIMATICO –EELA
Actualización de la Contribución Determinada a Nivel Nacional de Colombia (NDC)
Estrategia 2050. </t>
  </si>
  <si>
    <t xml:space="preserve">Eficiencia energética- % crecimiento de autogeneración y cogeneración </t>
  </si>
  <si>
    <t>Trayectorias pendientes. Los datos hacen referencia al aumento de energía producida a partir del aumento de capacidad instalada y electricidad producido derivada de las instalciones autogeneración y cogeneración de la industria manufacturera colombiana</t>
  </si>
  <si>
    <t xml:space="preserve"> ANDI. Inventario de la capcidad instalada de autogeneración y cogeneración de la industria colombiana. Septiembre 2014</t>
  </si>
  <si>
    <t>Sustitución de SAO y HFC</t>
  </si>
  <si>
    <t>% de sustitución de sustancias agotadoras de la capa de ozono y otros gases refrigerantes por refrigerantes naturales . Este % según la trayectoria seleccionada se utiliza para el calculo de emisiones asociadas a dichas sustancias en el sector industria, especialmente para las utilizadas en la refrigeración y aire acondicionado. Con el % se sustitución se calcula el % de eliminación gases agotadores de ozono, utilizando la metodología del IPCC .Datos procesados de acuerdo al trabajo articulado que realizó la UTO para el marco de actualización de la NDC, con las proyecciones a 2050</t>
  </si>
  <si>
    <t xml:space="preserve">Plan Nacional de Gestión de Bancos de SAO y HFC
</t>
  </si>
  <si>
    <t xml:space="preserve">Los datos de procesos productivos sostenibles hacen referencia a la Implementación de tecnologias para el abatimiento de emisiones de N2O en la producción de ácido nítrico y el Programa de escala nacional  para promover  buenas practicas operativas en gestión energetica y reducción de emisiones con aprovechamiento de materiales en los  procesos de la industria cementera naciona,  facilitados por el Ministerio a traves de los documentos "202008  PROPUESTA MEDIDA NDC Cemento Colombia AGOSTO 2020" y "IPPU_2B2_BD Escenario Mitigación 31.08.2020" </t>
  </si>
  <si>
    <t>"202008  PROPUESTA MEDIDA NDC Cemento Colombia AGOSTO 2020" y " "IPPU_2B2_BD Escenario Mitigación 31.08.2020" Sandra Isabel Granados Avellaneda - Profesional apoyo técnico en la actualización de la NDC de Colombia (Sector IPPU)
Bogotá
Agosto 2020</t>
  </si>
  <si>
    <t>Supuesto fijo</t>
  </si>
  <si>
    <t xml:space="preserve">Producción  anual de materiales </t>
  </si>
  <si>
    <t xml:space="preserve">Los datos de producción anual de materiales fueron facilitadas por el gobierno a partir de las proyecciones desarrolladas para la NDC, a partir de los documentos IPPU Escenario Referencia 31.08.2020, IPPU_2B2_BD Escenario Mitigación 31.08.2020 y 202008  PROPUESTA MEDIDA NDC Cemento Colombia AGOSTO 2020. </t>
  </si>
  <si>
    <t>Producción  anual de ladrillos</t>
  </si>
  <si>
    <t>Datos de actividad Inventario Nacional del sector ladrillero Colombiano 2015, aplicados al primer año. El resto de años se debe aplicar el crecimiento de producción asociado específico del sector.  El crecimiento es calculado de acuerdo con el aumento de consumo energético de cada sector. El consumo de combustibles utilizado por el sector ladrillero fue extraido del "Validated Inventory of the brik" de la CAEM</t>
  </si>
  <si>
    <t>CAEM (Corporación ambiental empresarial) 2015-Validated Inventory of the brik
Inventario Nacional del Sector Ladrillero Colombiano, 2015</t>
  </si>
  <si>
    <t>Producción de ácido nítrico</t>
  </si>
  <si>
    <t>% de remoción promedio y factor de emisión en la producción de N2O. Datos obtenidos del documento IPPU_2B2_BD Escenario Mitigación 31.08.2020" facilitado por el Ministerio. Los datos mencionados se utilizan para calcular las emisiones y remociones asociadas a la producción de ácido nítrico por parte de la industria colombiana, según la trayectoria escogida</t>
  </si>
  <si>
    <t>. "IPPU_2B2_BD Escenario Mitigación 31.08.2020" Sandra Isabel Granados Avellaneda - Profesional apoyo técnico en la actualización de la NDC de Colombia (Sector IPPU)
Bogotá
Agosto 2020</t>
  </si>
  <si>
    <t>Producción de cemento</t>
  </si>
  <si>
    <t>Tasa ecoprocesamiento e indice de intensidad energética obtenidos a partir del documento 202008  PROPUESTA MEDIDA NDC Cemento Colombia AGOSTO 2020. Estos datos se utilizan para calcular conjuntamente con la medida de procesos productivos sostenibles las emisiones asociadas a la producción de cemento a nivel nacional</t>
  </si>
  <si>
    <t>Indice de consumo</t>
  </si>
  <si>
    <t>Datos del consumo energético para la producción de ladrillos en kg combustible/t arcilla obtenidos a partir del nventario Nacional del sector ladrillero Colombiano 2015</t>
  </si>
  <si>
    <t>Distribución según tipo de combustible- Ladrilleras</t>
  </si>
  <si>
    <t>Distribución del tipo de combustible utilizado para la producción ladrillera</t>
  </si>
  <si>
    <t>Uso energético por combustible en el sector ladrillero</t>
  </si>
  <si>
    <t>Se utilizo el Índice de consumo de combustible (kg de combustible/toneladas arcilla) para cuantificar la energía necesaria para la producción anual de ladrillos a través del datos de producción anual de ladrillos. El dato se obtuvo a partir de la media anual de los consumos segun los tipos de hornos utilizados a nivel nacional</t>
  </si>
  <si>
    <t>Uso energético por combustible</t>
  </si>
  <si>
    <t>Mediante los datos de consumo energético por sector industrial y combustible se pudo cuantificar los consumos energéticos de cada una de las industrias, así como las emisiones asociadas a estos consumos energéticos. Se utilizaron los factores de emisión para cada uno de los combustibles para poder cuantificar las emisiones. Los datos de proyección hasta 2030 fueron obtenidos del Primer balance de Energía Útil para Colombia y Cuantificación de las Perdidas energéticas relacionadas y la brecha de eficiencia energética – Resumen Ejecutivo BEU. Los datos a 2030 se mantuvieron constante hasta 2050 a falta de una proyección de datos para este año.De acuerdo al  Informe Nacional del Registro Único Ambiental Manufacturero de Colombia la demanada energética en Cundinamarca supone un 9,7% respecto al nacional</t>
  </si>
  <si>
    <t>UPME, 2019. Primer balance de Energía Útil para Colombia y Cuantificación de las Perdidas energéticas relacionadas y la brecha de eficiencia energética – Resumen Ejecutivo BEU Sector Industrial (BC_Industrial)
Plan Acción Indicativo del PROURE PAI-PROURE 2022-2030</t>
  </si>
  <si>
    <t>Capacidad instalada de autogeneración y cogeneración</t>
  </si>
  <si>
    <t>Mediante los datos de energía producida por cogeneración y autogeneración se pudieron cuantificar tanto los consumos netos del sector industria, como la producción energética propia del sector. Los datos de excedencia fueron calculados a partir de los datos de capacidad instalada por las horas de operación utilizadas en el módulo de electricidad y el factor de utilización. Este dato supone un autogeneración energética por el sector industria de entorno al 3% tal y como se especifica en el informe del ANDI.</t>
  </si>
  <si>
    <t>Emisiones de SAO</t>
  </si>
  <si>
    <t>Datos de proyección obtenidos a partir del archivo IPPU_2F para emisiones totales por sector industrial facilitados por la UTO.</t>
  </si>
  <si>
    <t xml:space="preserve">Datos del comité de expertos de la UTO facilitados por el IDEAM
Programa “Apoyo a Colombia en la implementación de su Contribución Nacionalmente Determinada”-IPPU_2F_Escenario Mitigación
</t>
  </si>
  <si>
    <t>Supuestos de trayectoria</t>
  </si>
  <si>
    <t>Generación anual de residuos</t>
  </si>
  <si>
    <t>Se cuenta con la evolución del escenario BAU, esté ha sido dividido en 4 trayectorias, de menos a más ambiciosa. Los datos se establecieron a partir de los datos de la NAMA RSM con las proyecciones a 2030 y los datos territoriales fueron calculados en base a las proyecciones demográficas</t>
  </si>
  <si>
    <t>Tipo de gestión de los residuos</t>
  </si>
  <si>
    <t xml:space="preserve">Cantidades obtenidas de los datos dispuestos en la NAMA residuos sólidos, estos han sido transformados a porcentajes. Los valores de Tratamiento mecánico biológico, Combustibles derivados de residuos e incineración para el año base los residuos destinados a estos tipos de gestión son 0, en 2050 sin embargo se han sido estimados mediante los supuestos de la NAMA. </t>
  </si>
  <si>
    <t>Capacidad instalada para los sistemas de recuperación y aprovechamiento del biogás en rellenos sanitarios</t>
  </si>
  <si>
    <t>Los valores reportados en la NAMA han sido divididos en 4 trayectorias, de menos a más ambiciosa.</t>
  </si>
  <si>
    <t>Capacidad instalada para los sistemas de Incineración de residuos</t>
  </si>
  <si>
    <t xml:space="preserve">% de Rellenos sanitarios con captación/aprovechamiento </t>
  </si>
  <si>
    <t>Dato utilizado para categorizar el destino final de las toneladaseladas de residuo producido anualmente, cuantificar la producción de metano asociado a cada destino final y estimar los costos asociados a cada una de las gestiones del residuo.</t>
  </si>
  <si>
    <t>Distribución de los residuos por zona climática</t>
  </si>
  <si>
    <t>% han sido extraidos del siguiente documento: Criterios ambientales para el diseño y construcción de vivienda urbana, de la tabla de clasificación por municipios por zona climñatica pag 62-63. Localizando cada relleno sanitario en uno de los municipios y obteniendo así la relación de residuos destinada a cada zona climática.</t>
  </si>
  <si>
    <t xml:space="preserve"> Caracterización por tipo de residuos generados</t>
  </si>
  <si>
    <t>La categorización del residuo se utiliza para calcular las emisiones asociadas a través de la metodología del IPCC y los factores de emisión asociados. Cada tipo de residuo posee un factor de emisión propio calculada a través de los datos de NAMA Residuos y la metodología descrita anteriormente (IPCC).</t>
  </si>
  <si>
    <t>Generación de metano por tipología de residuo</t>
  </si>
  <si>
    <t xml:space="preserve">Dato a partir de la generación y las toneladaseladas introducidas reportada por los diferentes rellenos sanitarios en la línea base de la NAMA Residuos Sólidos </t>
  </si>
  <si>
    <t>Datos de la generación energética de los Rellenos sanitarios</t>
  </si>
  <si>
    <t>Dato utilizado para cuantificar la energía eléctrica producida por el sector a través de la gestión en rellenos sanitarios Este dato se reporta a su vez a los supuestos generales, así como al módulo de electricidad</t>
  </si>
  <si>
    <t>Datos de la generación energética mediante la Incineración de residuos</t>
  </si>
  <si>
    <t>Dato utilizado para cuantificar la energía eléctrica producida por el sector a través de la quema de residuos. Este dato se reporta a su vez a los supuestos generales, así como al módulo de electricidad</t>
  </si>
  <si>
    <t>Consumo energético medio por tratamiento</t>
  </si>
  <si>
    <t>El consumo energético de los tratamientos se utiliza para cuantificar la demanda energética total del módulo de residuos sólidos. Este dato se reporta a su vez a los supuestos generales, así como al módulo de electricidad</t>
  </si>
  <si>
    <t>Cantidad de Aguas Residuales Domésticas generadas</t>
  </si>
  <si>
    <t>La cantidad de aguas residuales domesticas generadas se utiliza para categorizar las aguas tratadas y no tratadas, para cuantificar posteriormente las emisiones, producción y consumo de energía, así como los costos asociados a cada categoría. Según la trayectoria seleccionada el % de aguas tratadas varía y por tanto las emisiones del módulo</t>
  </si>
  <si>
    <t>Cantidad de Aguas Residuales Industriales generadas</t>
  </si>
  <si>
    <t>La cantidad de aguas residuales industriales generadas se utiliza para categorizar las aguas tratadas y no tratadas y cuantificar posteriormente las emisiones, producción y consumo de energético y los costos asociados a cada categoría. Según la trayectoria seleccionada el % de aguas tratadas varía y por tanto las emisiones del módulo, la demanda energética y los costos asociados.</t>
  </si>
  <si>
    <t>% de Estaciones de Tratamiento de Aguas Residuales Domésticas con sistemas de extracción y aprovechamiento de Biogás</t>
  </si>
  <si>
    <t>La trayectoria permite elegir el % de estaciones con aprovechamiento de biogás, variando la producción energética del sector.</t>
  </si>
  <si>
    <t>DBO por m3 de agua residual doméstica tratada</t>
  </si>
  <si>
    <t>Valor por defecto del IPCC</t>
  </si>
  <si>
    <t>DBO por m3 de agua residual doméstica no tratada</t>
  </si>
  <si>
    <t>DBO por m3 de agua residual industrial tratada</t>
  </si>
  <si>
    <t xml:space="preserve">DBO por m3 de agua residual industrial no tratada </t>
  </si>
  <si>
    <t>Generación de CH4 por kg DBO tratado</t>
  </si>
  <si>
    <t>Generación de CH4 por kg DBO no tratado</t>
  </si>
  <si>
    <t>Datos de la generación energética de las estaciones de tratamiento</t>
  </si>
  <si>
    <t>Dato utilizado para cuantificar la energía eléctrica producida por el sector a través de la gestión de las aguas en las estaciones de tratamiento. Este dato se reporta a su vez a los supuestos generales, así como al módulo de electricidad</t>
  </si>
  <si>
    <t>Acondicionamiento de espacios Residenciales</t>
  </si>
  <si>
    <t>Demanda para acondicionamiento de espacios (diseño y eficiencia)</t>
  </si>
  <si>
    <t>"Caracterización energética del sector residencial urbano y rural en Colombia" (2012)  "Productos analíticos para apoyar la toma de decisiones sobre acciones de mitigación a nivel sectorial" (2014) Para "diseño y eficiencia" se contempla la introducción de medidas estructurales y/o pasivas en viviendas nuevas y retrofit en vivienda existente, así como la introducción de aparatos para el acondicionamiento de espacios más eficientes. El componente de solo "Eficiencia" se enfoca al segmento de viviendas que no aplican medidas en las edificaciones (pasivas o retrofit) pero si aplican medidas de eficiencia en los equipos de aire acondicionado. Las medidas incluyen: cambios en la orientación de la edificación, en la configuración de la planta arquitectónica, en la relación muro ventana optimización de la altura libre, inclinación cubiertas, ventanas de doble cristalería, celosías y calados, materiales de acabados de pisos y placa de yeso interior en fachada.  La determinación del porcentaje de implementación de las medidas tanto en vivienda nueva como existente, se ha determinado con base en consultas individuales a expertos y mesas de trabajo realizadas durante el mes de octubre.</t>
  </si>
  <si>
    <t>UPME, 2012.
Universidad de los Andes, 2014.</t>
  </si>
  <si>
    <t>Demanda para acondicionamiento de espacios (solo eficiencia)</t>
  </si>
  <si>
    <t>% implementación</t>
  </si>
  <si>
    <t xml:space="preserve"> % Equipos para el acondicionamiento de espacios de alta eficiencia</t>
  </si>
  <si>
    <t>% Tenencia</t>
  </si>
  <si>
    <t>El porcentaje de tenencia se estableció con base en datos de la Encuesta de Calidad de Vida del DANE y datos del estudio de "Caracterización energética del sector residencial urbano y rural en Colombia" (2012) de la Usme</t>
  </si>
  <si>
    <t>DANE y UPME 2012.</t>
  </si>
  <si>
    <t>Demanda para iluminación</t>
  </si>
  <si>
    <t>La demanda por hogar por zona climática se determina a partir del estudio "Caracterización energética del sector residencial urbano y rural en Colombia" (2012) de la Usme. Para iluminación la reducción en el consumo por hogar se logra por el aumento en la utilización de tecnologías LFC y LED</t>
  </si>
  <si>
    <t>UPME 2012.</t>
  </si>
  <si>
    <t>% por tecnología para iluminación</t>
  </si>
  <si>
    <t>La caracterización de las bombillas por tipo de tecnología de la trayectoria A, se obtiene a partir del "Caracterización energética del sector residencial urbano y rural en Colombia" (2012) de la Usme. Lo propuesto en las trayectorias B, C y D corresponde a lo planteado en los diferentes niveles de ambición. (B: sustitución de incandescentes por LFC; C: sustitución de incandescentes por LED y D: sustitución de incandescentes y LFC por LED)</t>
  </si>
  <si>
    <t>Demanda por refrigeración</t>
  </si>
  <si>
    <t>Para refrigeración se presenta el total del consumo para dicho uso, calculado a partir de datos de caracterización de las neveras de UPME y UTO, el incremento del consumo corresponde al aumento en el numero de hogares.  Para refrigeración por el reemplazo de neveras con edades superiores de 6 años por neveras mas eficientes.</t>
  </si>
  <si>
    <t>% de neveras más eficientes</t>
  </si>
  <si>
    <t xml:space="preserve">Demanda para cocción con gas natural </t>
  </si>
  <si>
    <t xml:space="preserve"> El consumo por hogar para cocción se asume constante durante todo el período de análisis. El consumo por hogar para iluminación aumenta progresivamente hasta 2050, se tomaron los datos del estudio "Productos analíticos para apoyar la toma de decisiones sobre acciones de mitigación a nivel sectorial" (2014) de la Universidad de los Andes. Para cocción a gas natural por la utilización de hornillas con eficiencia.</t>
  </si>
  <si>
    <t>% de estufas con eficiencia mejorada</t>
  </si>
  <si>
    <t>Demanda para cocción con GLP</t>
  </si>
  <si>
    <t>Reducción de la demanda de energía eléctrica</t>
  </si>
  <si>
    <t>La reducción total de la demanda de energía eléctrica corresponde al componente de "Uso y Hábitos de Consumo", en este componente se incluyen las reducciones producto de la introducción de programas de educación al usuario, las trayectorias se dejan con ceros debido a falta de información.</t>
  </si>
  <si>
    <t>Gobierno de Colombia. 2021. Trayectorias de carbono neutralidad y resiliencia climática para el 2030, 2040 y 2050.</t>
  </si>
  <si>
    <t>Demanda de Gas natural por uso</t>
  </si>
  <si>
    <t>La demanda por hogar por zona climática se determina a partir del estudio "Caracterización energética del sector residencial urbano y rural en Colombia" (2012) de la Usme, se asume que permanece constante durante todo el periodo de análisis</t>
  </si>
  <si>
    <t xml:space="preserve">UPME, 2012. </t>
  </si>
  <si>
    <t>Demanda de GLP por uso</t>
  </si>
  <si>
    <t>% de tendencia por uso - Energía Eléctrica</t>
  </si>
  <si>
    <t>% de tendencia por uso - Gas natural</t>
  </si>
  <si>
    <t>% de tendencia por uso - GLP</t>
  </si>
  <si>
    <t>Número de bombillos por hogar</t>
  </si>
  <si>
    <t>Los datos del año 2010, corresponden al estudio "Caracterización energética del sector residencial urbano y rural en Colombia" de la Usme. A partir del año 2015 corresponde a estimaciones realizadas por el equipo de la Calculadora Colombiana de Carbono</t>
  </si>
  <si>
    <t xml:space="preserve">Universidad de los Andes - Consejo Colombiano de Construcción Sostenible (2012). Estimación de curva de costos de abatimiento de emisiones de gases de efecto invernadero para el sector vivienda urbana </t>
  </si>
  <si>
    <t>% de tenencia de refrigeradores</t>
  </si>
  <si>
    <t>Los datos del año 2010 corresponden a información del estudio "Caracterización energética del sector residencial urbano y rural en Colombia" (2012) de la Usme, Para la estimación de los años siguientes, se reviso las encuestas de calidad de vida realizadas a partir del año 1997, con esto se determino que para todas las zonas climáticas, exceptuando la templada, la tendencia es que llegue a ser el 100% en el año 2050</t>
  </si>
  <si>
    <t>UPME, 2012.</t>
  </si>
  <si>
    <t xml:space="preserve">Residencial rural </t>
  </si>
  <si>
    <t>Proyección de la demanda energética de los edificios residenciales rurales. Según la trayectoria escogida en el modulo se calcula el consumo energético de GLP y leña asociado al sector con sus correspondientes emisiones. Estas salidas alimentan posteriormente a los resultados generales, así como el módulo de energía y electricidad.</t>
  </si>
  <si>
    <t>Balance Energético Colombiano, BECO, 2018.</t>
  </si>
  <si>
    <t>Demanda de leña</t>
  </si>
  <si>
    <t>Demanda de energía eléctrica</t>
  </si>
  <si>
    <t>Datos obtenidos de las proyecciones realizadas por el grupo de demanda de la UPME. El valor del año 2010 se calibra de modo que las emisiones sean iguales a las reportadas en el primer informe bienal de actualización de Colombia ante la Convención Marco de la Naciones Unidas para el Cambio Climático (2014), IDEAM</t>
  </si>
  <si>
    <t>UPME, 2010.
IDEAM, 2014.</t>
  </si>
  <si>
    <t>Acondicionamiento de espacios Comerciales y de Servicios</t>
  </si>
  <si>
    <t>Demanda total de energía para acondicionamiento de espacios (diseño y eficiencia)</t>
  </si>
  <si>
    <t xml:space="preserve">Datos obtenidos de las proyecciones realizadas por el grupo de demanda de la UPME. Para "diseño y eficiencia" se contempla la introducción de medidas estructurales y/o pasivas en edificaciones nuevas y retrofit en edificaciones existentes, así como la introducción de aparatos para el acondicionamiento de espacios más eficientes. El componente de solo "Eficiencia" se enfoca al segmento que no aplican medidas en las edificaciones (pasivas o retrofit) pero si aplican medidas de eficiencia en los equipos de aire acondicionado. Las medidas estructurales y/o pasivas incluyen: orientación de la planta, aislamientos, vidrios dobles, cortasoles; para el componente de eficiencia  en los equipos: automatización con sensores de ocupación, HVAC premium, economizadores HVAC. </t>
  </si>
  <si>
    <t>UPME</t>
  </si>
  <si>
    <t>Edificaciones comerciales y de servicios</t>
  </si>
  <si>
    <t>Demanda total de energía para acondicionamiento de espacios (eficiencia)</t>
  </si>
  <si>
    <t>Usos térmicos y equipamiento</t>
  </si>
  <si>
    <t>% de reducción por eficiencia en la iluminación</t>
  </si>
  <si>
    <t>El porcentaje de reducción por eficiencia en iluminación y refrigeración se propone acorde a las metas de reducción del estudio "Determinación del potencial de reducción del consumo energético en el sector servicios en Colombia" de la UPME y el estudio "Desarrollo de la curva de costos</t>
  </si>
  <si>
    <t>% de reducción por eficiencia en la refrigeración</t>
  </si>
  <si>
    <t>% de reducción por eficiencia en usos térmicos</t>
  </si>
  <si>
    <t>Consumo total de energía por uso - Usos térmicos</t>
  </si>
  <si>
    <t>Los datos del año 2010 corresponden al Balance Energético Nacional, la proyección de los años siguientes se hace de acuerdo a estimaciones del grupo de demanda de la UPME</t>
  </si>
  <si>
    <t>UMPE, 2010.</t>
  </si>
  <si>
    <t>Consumo total de energía por uso - Equipamiento</t>
  </si>
  <si>
    <t>Participación usos en equipamiento</t>
  </si>
  <si>
    <t>La participación de cada uso en equipamiento se determinó con base en el estudio "Determinación del potencial de reducción del consumo energético en el sector servicios en Colombia" (2013) de la UPME</t>
  </si>
  <si>
    <t>UMPE, 2013.</t>
  </si>
  <si>
    <t>Participación de los energéticos en los usos térmicos</t>
  </si>
  <si>
    <t>La participación de los energéticos en los usos térmicos y equipamiento se determina con base en el Balance Energético Nacional, se asume que durante todo el periodo de análisis dicha participación permanece constante</t>
  </si>
  <si>
    <t>Participación de los energéticos en equipamiento</t>
  </si>
  <si>
    <t>Distribución por modo - Transporte urbano</t>
  </si>
  <si>
    <r>
      <t xml:space="preserve">La distribución modal del transporte urbano ha sido extraida de los archivos de trabajo de la NDC. Exactamente de los siguientes archivos excel: </t>
    </r>
    <r>
      <rPr>
        <i/>
        <sz val="9"/>
        <rFont val="Calibri"/>
        <family val="2"/>
        <scheme val="minor"/>
      </rPr>
      <t xml:space="preserve">Extrapolación RV +línea base.xlsx </t>
    </r>
    <r>
      <rPr>
        <b/>
        <sz val="9"/>
        <rFont val="Calibri"/>
        <family val="2"/>
        <scheme val="minor"/>
      </rPr>
      <t xml:space="preserve">(Extraidos de este archivo los datos correspondientes a la Distribución modal escenario BAU, la sustitución por modo del uso de bicicletas y la proyección del aumento de uso de las bicicletas). </t>
    </r>
    <r>
      <rPr>
        <sz val="9"/>
        <rFont val="Calibri"/>
        <family val="2"/>
        <scheme val="minor"/>
      </rPr>
      <t xml:space="preserve">Con los datos mencionados se trasladaron los datos del 2018-2030 (a excepción de los datos de Buses/Buses BRT/Férreo, los cuales figuran en el archivo de la NDC cómo Transporte masivo y su porcentage corresponde a un 12%, este ha sido dividido de manera equitativa entre los tres modos contemplados en la calculadora. Para la proyección BAU a 2050, se ha mantenido la misma distribución para todos los años, manteniendo la constancia de la NDC de los años 2018-2030. Para la trayectoria 2 se ha incluido el aumento de los viajes en bicicleta del 5,5% propuesto por la NAMA a 2030 (con su correspondiente % de sustitución del resto de modos) y se ha mantenido la misma tendencia de crecimiento a 2050.  Las trayectorías 3 y 4 se han duplicado de la trayectoria 2, ya que a pesar de que la Estrategía 2050 plante medidas cómo, el 70% de la demanda total de la movilidad de pasajeros es atendida con sistemas de transporte público, no se cuenta con la información necesaria para elaborar el supuesto de trayectoria 3 y 4. </t>
    </r>
  </si>
  <si>
    <t>Actualización de la Contribución Determinada a Nivel Nacional de Colombia (NDC). 2020.</t>
  </si>
  <si>
    <t>Distancia promedio por viaje por modo - Transporte urbano</t>
  </si>
  <si>
    <t xml:space="preserve">Estimaciones propias realizadas a partir de información del estudio de la Universidad de los Andes "Productos analíticos para apoyar la toma de decisiones sobre acciones de mitigación a nivel sectorial" para los modos motorizados de transporte. Para los medios no motorizados, se toma valores reportados en los estudios realizados para la implementación de SITP </t>
  </si>
  <si>
    <t>Universidad de los Andes, 2014</t>
  </si>
  <si>
    <t>Distribución por modo -tecnología (%) - Transporte urbano</t>
  </si>
  <si>
    <r>
      <t xml:space="preserve">Distribución modal del parque vehicular de Colombia. Para establecer los porcentajes de distribución tecnología de este supuesto, se utilizaron los datos para los 4 escenarios del PEN (Extraidos del archivo </t>
    </r>
    <r>
      <rPr>
        <b/>
        <i/>
        <sz val="9"/>
        <rFont val="Calibri"/>
        <family val="2"/>
        <scheme val="minor"/>
      </rPr>
      <t>Supuestos Pen 2020-2050, https://www1.upme.gov.co/DemandayEficiencia/Paginas/PEN.aspx</t>
    </r>
    <r>
      <rPr>
        <sz val="9"/>
        <rFont val="Calibri"/>
        <family val="2"/>
        <scheme val="minor"/>
      </rPr>
      <t xml:space="preserve">). Supuesto de trayectoria utilizado para el calculo del consumo de combustibles, las emisiones de GEI y los costos asociadas al módulo . Se utilizo la metodología del IPCC 2006 capítulo 3 para combustión móvil para calcular la emisiones asociadas al transporte de pasajeros. 
</t>
    </r>
  </si>
  <si>
    <t xml:space="preserve">Número total de vehículos </t>
  </si>
  <si>
    <t>Número de vehículos utilizados a nivel nacional, calculados a partir del N.º de viajes, los km totales, la distribución modal por tecnología y la distancia promedio de viaje por modo. El N.º total de vehículos se utiliza para el cálculo de costos del modulo de transporte</t>
  </si>
  <si>
    <t>N.º viajes por habitante por día</t>
  </si>
  <si>
    <r>
      <t xml:space="preserve">El número de viajes por habitante día ha sido extraida de los archivos de trabajo de la NDC. Exactamente de los siguientes archivos excel: </t>
    </r>
    <r>
      <rPr>
        <i/>
        <sz val="9"/>
        <rFont val="Calibri"/>
        <family val="2"/>
        <scheme val="minor"/>
      </rPr>
      <t xml:space="preserve">Extrapolación RV +línea base.xlsx </t>
    </r>
    <r>
      <rPr>
        <b/>
        <sz val="9"/>
        <rFont val="Calibri"/>
        <family val="2"/>
        <scheme val="minor"/>
      </rPr>
      <t xml:space="preserve">(Extraidos de este archivo los datos correspondientes a los viajes totales realizados y divididos por la población de la pestaña de suepuestos generales de la presente calculadora). </t>
    </r>
  </si>
  <si>
    <t>% De uso de combustibles fósiles en vehículos híbridos</t>
  </si>
  <si>
    <t>Supuesto, de acuerdo a la revisión bibliográfica no hay un valor fijo para esta relación</t>
  </si>
  <si>
    <t>Rendimiento modo tecnología - Transporte urbano (vehículos nuevos)</t>
  </si>
  <si>
    <t>Rendimiento modo tecnología - Transporte urbano (vehículos nuevos): Los valores han sido extraidos del BUR 3, de la Tabla 6-4, Rendimientos utilizados para el transporte carretero, pag. 961. Adaptando las unidades a las requeridas por el sector.</t>
  </si>
  <si>
    <t>Rendimiento modo tecnología - Transporte urbano (vehículos existentes)</t>
  </si>
  <si>
    <t>Rendimiento modo tecnología - Transporte urbano</t>
  </si>
  <si>
    <t xml:space="preserve">Estimaciones a partir de datos reportados en el estudio de la Universidad de los Andes   "Productos analíticos para apoyar la toma de decisiones sobre acciones de mitigación a nivel sectorial" y bibliografía consultada para vehículos a gas y eléctricos. Para vehículos nuevos que utilizan hidrocarburos líquidos, se asume el rendimiento aumenta un 1% cada año.
Para el caso del Gas Natural, los valores de rendimiento se han extraido del BUR3 tabla 6-4 Rendimientos utilizados para el transporte carretero, pag. 961. Adaptando las unidades a las requeridas por el sector. </t>
  </si>
  <si>
    <t>Universidad de los Andes, 2014
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2805-9921</t>
  </si>
  <si>
    <t>Porcentaje de vehículos nuevos - transporte urbano</t>
  </si>
  <si>
    <t>Estimado a partir de las flotas de vehículos calculadas en el estudio de la Universidad de los Andes "Productos analíticos para apoyar la toma de decisiones sobre acciones de mitigación a nivel sectorial", se asume como la diferencia entre las flota del año (n+1) menos la flota del año (n)</t>
  </si>
  <si>
    <t>Kilómetros totales modo carretero - Transporte Interurbano</t>
  </si>
  <si>
    <t>Estimaciones realizadas a partir de información del estudio de la Universidad de los Andes "Productos analíticos para apoyar la toma de decisiones sobre acciones de mitigación a nivel sectorial", flota de transporte interurbano proyectada y factor de actividad</t>
  </si>
  <si>
    <t>Demanda de energía otros modos - Transporte Interurbano</t>
  </si>
  <si>
    <t>Para el modo aéreo corresponde a estimaciones del grupo de demanda de la UPME, para los modos férreo y fluvial se asume cero debido a la baja participación de estos en la movilización de pasajeros interurbanos</t>
  </si>
  <si>
    <t>Porcentaje de demanda eléctrica para el modo férreo</t>
  </si>
  <si>
    <t>Distribución por modo carretero- Transporte interurbano</t>
  </si>
  <si>
    <t>Tomado del estudio de la Universidad de los Andes  "Productos analíticos para apoyar la toma de decisiones sobre acciones de mitigación a nivel sectorial", se supone que se mantiene fijo durante todo el periodo de análisis</t>
  </si>
  <si>
    <t>Rendimiento modo tecnología - Transporte interurbano (vehículos nuevos)</t>
  </si>
  <si>
    <t>Rendimiento modo tecnología - Transporte interurbano (vehículos existentes)</t>
  </si>
  <si>
    <t>Porcentaje de vehículos nuevos - Transporte interurbano</t>
  </si>
  <si>
    <t>Información suministrada por la Universidad de los Andes y recopilada en el marco de la elaboración del estudio citado en la nota  "Productos analíticos para apoyar la toma de decisiones sobre acciones de mitigación a nivel sectorial"</t>
  </si>
  <si>
    <t>Distancia típica viajada por modo - transporte urbano</t>
  </si>
  <si>
    <t>Para las categorías: vehículos livianos y taxi corresponde a información del estudio de la Universidad de los Andes "Productos analíticos para apoyar la toma de decisiones sobre acciones de mitigación a nivel sectorial". Los valores presentados para buses convencionales y articulados corresponde a estimaciones realizadas por la calculadora a partir de información del  estudio antes referenciado. Para la categoría Férreo el valor se estima con base en cifras del informe corporativo del metro de Medellín para el año 2010. Para las bicicletas se calcula con base información de encuestas de movilidad para Bogotá y para la categoría de motos se estima de manera que se obtenga la flota observada en el año 2010. Para transporte interurbano se estima a partir de información de la Universidad de los Andes "Productos analíticos para apoyar la toma de decisiones sobre acciones de mitigación a nivel sectorial" y el Balance Energético Nacional de la UPME</t>
  </si>
  <si>
    <t>Distancia típica viajada por modo - transporte interurbano</t>
  </si>
  <si>
    <t>Vida útil - transporte urbano</t>
  </si>
  <si>
    <t>Estudio de la Universidad de los Andes, Productos analíticos para apoyar la toma de decisiones sobre acciones de mitigación a nivel sectorial (2014)
Se mantiene igual el valor proporcionado por la calculadora de UK
Se supone igual al de los vehículos
Tomado del documento "Low carbón tecnologías can transformó Latin Américas bus fleets" (2013) del BID
Tomado del documento Análisis económico para el financiamiento de autobuses híbridos y eléctricos en el marco del "sistema integrado de transporte" (2013) de la ciudad de Bogotá
Se asume el mismo valor que los buses de servicio urbano</t>
  </si>
  <si>
    <t xml:space="preserve">Universidad de los Andes, 2014.
Calculadora UK. 
BID 2013.
</t>
  </si>
  <si>
    <t>Uso de energía para el transporte férreo - Transporte de carga interurbano</t>
  </si>
  <si>
    <t>Metodología IPCC 2006. Volumen 2. Energía. Capitulo 3. Combustión móvil. Dato utilizado para el cálculo de emisiones asociadas al transporte férreo interurbano</t>
  </si>
  <si>
    <t>Distancia modo férreo</t>
  </si>
  <si>
    <t>Estimado a partir de los datos del modelo para transporte de carga del estudio de la Universidad de los Andes (2014) "Productos analíticos para apoyar la toma de decisiones sobre acciones de mitigación a nivel sectorial", el crecimiento de la carga transportada se modela en función   del PIB total, se determinó la relación entre la carga transportada y el numero de camiones para 2010, la cual permanece constante durante todo el periodo de análisis. La distancia se determina a partir de la flota y el factor de actividad, obtenido del mismo estudio. En los niveles 2, 3 y 4 se propone la reducción de la distancia en modo carretero, producto de la sustitución de modo  carretero por fluvial y férreo</t>
  </si>
  <si>
    <t xml:space="preserve">Universidad de los Andes, 2014.
</t>
  </si>
  <si>
    <t>Distancia para el transporte carretero - Transporte de carga interurbano</t>
  </si>
  <si>
    <t xml:space="preserve">La distancia para el transporte carretero es dependiente de la trayectoria seleccionada, utilizada para el cálculo del consumo energético del módulo y las emisiones asociadas, mediante la metodología del IPCC 2006,Volumen 2. Energía Capítulo 3. Combustión móvil. Estimado a partir de los datos del modelo para transporte de carga del estudio de la Universidad de los Andes (2014) "Productos analíticos para apoyar la toma de decisiones sobre acciones de mitigación a nivel sectorial", el crecimiento de la carga transportada se modela en función  del PIB total, se determinó la relación entre la carga transportada y el numero de camiones para 2010, la cual permanece constante durante todo el periodo de análisis. La distancia se determina a partir de la flota y el factor de actividad, obtenido del mismo estudio. </t>
  </si>
  <si>
    <t>Actualización de la Contribución Determinada a Nivel
Nacional de Colombia (NDC)</t>
  </si>
  <si>
    <t>Uso de energía para el transporte fluvial - Transporte de carga interurbano</t>
  </si>
  <si>
    <t>Metodología IPCC 2006. Volumen 2. Energía. Capítulo 3. Combustión móvil. Dato utilizado para el cálculo de emisiones asociadas al transporte fluvial interurbano</t>
  </si>
  <si>
    <t>Uso de energía para el transporte aéreo - Transporte de carga interurbano</t>
  </si>
  <si>
    <t>Metodología IPCC 2006. Volumen 2. Energía. Capítulo 3. Combustión móvil. Dato utilizado para el cálculo de emisiones asociadas al transporte aéreo interurbano</t>
  </si>
  <si>
    <t>Carga sustituida por modo - Transporte de carga interurbano</t>
  </si>
  <si>
    <t>La carga sustituida por modo, hacer referencia a la carga que se transportaba en el modo carretero y que se propone sea transportada en los modos férreo y/o fluvial. No se obtuvo información relacionada con proyecciones de carga transportada para los modos férreo, fluvial y aéreo razón por la cual en las tablas se muestra únicamente la carga que se sustituirá del modo carretero y será transferida a los modos férreo y fluvial, es por esta misma razón que las tablas de los diferentes niveles de ambición presentan los datos solo para los modos férreo y fluvial.  A partir del estudio de la Universidad de los Andes  "Productos analíticos para apoyar la toma de decisiones sobre acciones de mitigación a nivel sectorial" se obtuvo la carga transportada y su crecimiento durante el periodo de análisis para el  modo carretero</t>
  </si>
  <si>
    <t>Distribución por tecnología - Transporte de carga urbano</t>
  </si>
  <si>
    <t>Distribución de la tecnología (Combustible utilizado por tipo de vehículo) del parque vehicular de carga urbano .Metodología IPCC 2006. Capítulo 3. Combustión móvil. Dato utilizado para el cálculo de emisiones asociadas al combustible utilizado por tecnología</t>
  </si>
  <si>
    <t xml:space="preserve">UPME. 2020. Plan Energético Nacional 2020-2050. </t>
  </si>
  <si>
    <t>Distribución por tecnología - Transporte de carga interurbano</t>
  </si>
  <si>
    <t>Distribución de la tecnología (Combustible utilizado por tipo de vehículo) del parque vehicular de carga interurbano .Metodología IPCC 2006. Capítulo 3. Combustión móvil. Dato utilizado para el cálculo de emisiones asociadas al combustible utilizado por tecnología</t>
  </si>
  <si>
    <t>Factor de actividad - Transporte de carga urbano</t>
  </si>
  <si>
    <t>Estimado a partir de los datos del modelo para transporte de carga del estudio de la Universidad de los Andes  "Productos analíticos para apoyar la toma de decisiones sobre acciones de mitigación a nivel sectorial" , la distancia se determina a partir de la flota y el factor de actividad</t>
  </si>
  <si>
    <t>Rendimiento modo carretero -  Transporte de carga urbano</t>
  </si>
  <si>
    <t>Para el año 2010, los valores se determinaron a partir de información proporcionada por la Universidad de los Andes  "Productos analíticos para apoyar la toma de decisiones sobre acciones de mitigación a nivel sectorial"  y se calibra con el Balance Energético Nacional para ese año, se asume que el rendimiento permanece constante durante todo el período de análisis</t>
  </si>
  <si>
    <t>Rendimiento modo carretero -  Transporte de carga interurbano</t>
  </si>
  <si>
    <t>Para el año 2010, los valores se determinaron a partir de información proporcionada por la Universidad de los Andes "Productos analíticos para apoyar la toma de decisiones sobre acciones de mitigación a nivel sectorial"  y se calibra con el Balance Energético Nacional para ese año, se asume que el rendimiento permanece constante durante todo el período de análisis</t>
  </si>
  <si>
    <t>Distancia típica por modo - Transporte de carga urbano</t>
  </si>
  <si>
    <t>Estimada a partir de información de las flotas para cada categoría (urbana e interurbana) calculadas por la Universidad de los Andes  "Productos analíticos para apoyar la toma de decisiones sobre acciones de mitigación a nivel sectorial"  y los datos del Balance Energético Nacional de la UPME</t>
  </si>
  <si>
    <t>Estimada a partir de información de las flotas para cada categoría (urbana e interurbana) calculadas por la Universidad de los Andes "Productos analíticos para apoyar la toma de decisiones sobre acciones de mitigación a nivel sectorial"  y los datos del Balance Energético Nacional de la UPME</t>
  </si>
  <si>
    <t>Distancia típica por modo - Transporte de carga interurbano</t>
  </si>
  <si>
    <t>Vida útil - transporte de carga urbano</t>
  </si>
  <si>
    <t>Información obtenida del estudio de la Universidad de los Andes "Productos analíticos para apoyar la toma de decisiones sobre acciones de mitigación a nivel sectorial" , se asume igual para todas las tecnologías</t>
  </si>
  <si>
    <t xml:space="preserve">Número de vehículos - transporte de carga urbano </t>
  </si>
  <si>
    <t xml:space="preserve">Número de vehículos - transporte de carga interurbano </t>
  </si>
  <si>
    <t>Aviación</t>
  </si>
  <si>
    <t>Uso de combustible para aviación internacional</t>
  </si>
  <si>
    <t>Para el año 2018 se toma el valor reportado por el BECO, 2018. Para el nivel 1 se asume un aumento del 30% de la demanda de energía con respecto al año 2010, Para el nivel 2 se asume un aumento del 20% de la demanda de energía; en el nivel 3, la meta establecida por la OACI, que plantea un crecimiento neutro de las emisiones a partir del año 2020. Para el nivel 4 la demanda de energía a 2050 es igual a la reportada en el año 2010</t>
  </si>
  <si>
    <t>IDEAM
Balance Energético Nacional, 2018</t>
  </si>
  <si>
    <t>Para el año 2010 se toma el valor reportado por el IDEAM en la Tercera Comunicación Nacional ante la Convención Marco de las Naciones Unidas sobre Cambio Climático. Para el nivel 1 se asume un aumento del 30% de la demanda de energía con respecto al año 2010, Para el nivel 2 se asume un aumento del 20% de la demanda de energía; en el nivel 3, la meta establecida por la OACI, que plantea un crecimiento neutro de las emisiones a partir del año 2020. Para el nivel 4 la demanda de energía a 2050 es igual a la reportada en el año 2010</t>
  </si>
  <si>
    <t>IDEAM</t>
  </si>
  <si>
    <t>Proporción de combustible utilizado en etapas de despegue y aterrizaje</t>
  </si>
  <si>
    <t>Se mantienen los mismos valores de la versión de la calculadora del Reino Unido</t>
  </si>
  <si>
    <t>Calculadora UK</t>
  </si>
  <si>
    <t>Navegación</t>
  </si>
  <si>
    <t>Uso de combustible para navegación internacional</t>
  </si>
  <si>
    <t>Para el año base 2018 se toma el valor reportado por el BECO. 
Para el año 2010 se toma el valor reportado por el IDEAM en la Tercera Comunicación Nacional ante la Convención Marco de las Naciones Unidas sobre Cambio Climático. Para el nivel 1 se asume un aumento del 30% de la demanda de energía con respecto al año 2010, 25% y 10% para los niveles 2 y 3 respectivamente. Para el nivel 4 la demanda de energía a 2050 es igual a la reportada en el año 2010</t>
  </si>
  <si>
    <t>Mejores Prácticas Agrícolas (superficie de implementación)</t>
  </si>
  <si>
    <t xml:space="preserve">% de superficie de implementación utilizado según la trayectoria seleccionada. El cálculo se realiza en base al área de implementación de inicial especificado en los supuestos fijos </t>
  </si>
  <si>
    <t>Los porcentajes de incremento de aprovechamiento de la biomasa residual proveniente de los cultivos agrícolas se define en función de las metas establecidas en la E2050 para los periodos 2030-2040 y 2040-2050</t>
  </si>
  <si>
    <t>Transición socioecológica de las opciones de transformación de cada una de las apuestas de la E2050.</t>
  </si>
  <si>
    <t>Tierra dedicada para biocombustibles (superficie de implementación)</t>
  </si>
  <si>
    <t>% de superficie de implementación utilizado según la trayectoria seleccionada. El cálculo se realiza en base al área inicial los cultivos de palma y caña de azúcar</t>
  </si>
  <si>
    <t>Expertos del sector agropecuario</t>
  </si>
  <si>
    <t xml:space="preserve">Factor de producción de Biocombustibles por Ha según tipo de cultivo </t>
  </si>
  <si>
    <t>1 hectárea de palma produce aproximadamente 3.4 toneladaseladas Aceite de palma. Una  toneladaselada de aceite produce 1.05 toneladaseladas de biodiesel.  
1 Ha produce 115 toneladas caña. En el año 2010 se molieron 2'272.594 toneladaseladas de caña y se produjo 291.286 Mlt de etanol. Fuente: Balance estadístico Asocaña.</t>
  </si>
  <si>
    <t>Experto Guillermo Mantilla y http://www.palmadeAceite.org/el-biodiesel.  Poder calorífico:  UPME, 2003. Sustitución de Diesel y fueloil por biodiesel en la planta de generación de electricidad de Leticia.</t>
  </si>
  <si>
    <t xml:space="preserve">Producción biocombustibles </t>
  </si>
  <si>
    <t>Balance energético nacional, 2010. (UPME)</t>
  </si>
  <si>
    <t>Porcentaje del cultivo usado para biocombustibles</t>
  </si>
  <si>
    <t>% del área inicial de los cultivos de palma de aceite y caña de azúcar utilizados para la producción de biocombustibles.</t>
  </si>
  <si>
    <t xml:space="preserve"> IGAC</t>
  </si>
  <si>
    <t>Factor de Emisión de cultivo usado para biocombustibles</t>
  </si>
  <si>
    <t>El factor de emisión es un valor calculado de la información de línea base de emisiones del sector agropecuario de la Universidad de los Andes y del total de tierras en uso actual del sector agropecuario según el IGAC.</t>
  </si>
  <si>
    <t>Universidad de los Andes</t>
  </si>
  <si>
    <t>Línea base de emisiones por suelos gestionados</t>
  </si>
  <si>
    <t>Emisiones de GEI asociadas a los suelos agrícolas gestionados, independientes de las medidas seleccionadas y aplicadas en la calculadora para el módulo de agricultura.</t>
  </si>
  <si>
    <t xml:space="preserve">Datos preliminares de emisiones para Colombia calculados con IPCC 2006 Nivel II para la 3ra comunicación (Ideam-PNUD). </t>
  </si>
  <si>
    <t>Uso actual de la tierra sector Agropecuario en Colombia</t>
  </si>
  <si>
    <t>* Se mantuvo la misma superficie de Otros en uso potencial y uso actual, dado que no se tienen datos de referencia.</t>
  </si>
  <si>
    <t>https://agronegocios.uniandes.edu.co/2022/02/el-campo-en-colombia-nos-falta-orden-o-nos-falta-pasion/#:~:text=Actualmente%2C%20se%20han%20destinado%20cerca,de%20explotar%20las%20tierras%20colombianas.</t>
  </si>
  <si>
    <t>Tasas de crecimiento del PIB sectorial de agricultura</t>
  </si>
  <si>
    <t>Tasa de variación del PIB sectorial, utilizado para calcular la progresión de las áreas de los principales cultivos de cara a 2050</t>
  </si>
  <si>
    <t>Áreas de implementación de Mejores Prácticas Agrícolas</t>
  </si>
  <si>
    <t>Área inicial de implementación de mejores prácticas agrícolas de cara a 2050. Dato utilizado para calcular las emisiones mediante el factor de emisión asociado</t>
  </si>
  <si>
    <t>Factor de producción  biomasa por cultivo</t>
  </si>
  <si>
    <t>Factor de emisión extraído del BUR3 Colombia. Estos datos a su vez proceden del FECOC-UPME. Se aplico la mitología de Nivel 2, excepto la estimación de las emisiones generadas por el consumo de gas de refinería en la subcategoría 1A1b- Refinación de petróleo</t>
  </si>
  <si>
    <t>Metodología UPME, actualizado datos de producción año 2010.</t>
  </si>
  <si>
    <t>Potencial energético por unidad de biomasa</t>
  </si>
  <si>
    <t>Potencial energético por unidad de biomasa aplicado para el cálculo del aporte energético del módulo asociado a la quema de biomasa. Utilizada la metodología IPCC 2006. La energía aportada por el módulo alimenta el módulo de energía.</t>
  </si>
  <si>
    <t>Prácticas sostenibles en suelos ganaderos (crecimiento estimado de superficies)</t>
  </si>
  <si>
    <t>El Nivel I supone que no se implementarán practicas sostenibles en suelos ganaderos en el país, por lo tanto las emisiones de la categoría de suelos del sector agropecuario se mantienen crecientes durante el periodo 2010 a 2050. El nivel 2 asume el escenario de mitigación propuesto por la Universidad de los andes, Niveles 3 y 4 propuestos por la calculadora.</t>
  </si>
  <si>
    <t>Mejores prácticas pecuarias (Porcentaje de cabezas de ganado)</t>
  </si>
  <si>
    <t>Porcentajes propuestos en los talleres de expertos del sector agropecuario.</t>
  </si>
  <si>
    <t>Fuente: Expertos del sector agropecuario</t>
  </si>
  <si>
    <t xml:space="preserve">Hato Ganadero Colombiano </t>
  </si>
  <si>
    <t>N.º de cabezas de ganado bovino</t>
  </si>
  <si>
    <t>Formato para la caracterización de las medidas sectoriales de la NDC: NAMA de la ganadería bovina sostenible</t>
  </si>
  <si>
    <t xml:space="preserve">Factor de emisión de metano (CH4) por género </t>
  </si>
  <si>
    <t xml:space="preserve">Datos preliminares de factores de emisión  y estimación de la proporción del hato para Colombia calculados con IPCC 2006 Nivel II para la 3ra comunicación (Ideam-PNUD). </t>
  </si>
  <si>
    <t>Áreas iniciales de implementación para prácticas sostenibles en suelos ganaderos</t>
  </si>
  <si>
    <t>Área inicial de implementación de prácticas sostenibles en suelos ganaderos de cara a 2050. Dato utilizado para calcular las emisiones mediante el factor de emisión y los costos asociados según la metodología del IPCC 2006</t>
  </si>
  <si>
    <t>Estudio de la Universidad de los Andes, 2014.</t>
  </si>
  <si>
    <t>Factor producción de estiércol por cabeza de ganado y emisiones</t>
  </si>
  <si>
    <t xml:space="preserve"> La materia fecal y la orina forman un solo tipo de residuo, que se denomina estiércol, ya que no se pueden separar. Una vaca excreta por día alrededor del 5 al 6% de su peso vivo. Un ejemplar de 400 Kg de peso vivo excreta alrededor de 20 a 25 Kg diarios de estiércol. Dado su porcentaje de humedad del 80 - 85%, finalmente serían unos 3 Kg diarios de residuo sólido por animal, en promedio, que se eliminarían al suelo.</t>
  </si>
  <si>
    <t>intensivo (feedlot), elementos que intervienen y posibles impactos en el medio ambiente  por M.V. Susana B. Gil. 2006</t>
  </si>
  <si>
    <t>Potencial energético del estiércol</t>
  </si>
  <si>
    <t>Potencial energético por toneladaselada de estiércol producido aplicado para el cálculo del aporte energético del módulo asociado a la quema de biomasa. Utilizada la metodología IPCC 2006. La energía aportada por el módulo alimenta el módulo de energía.</t>
  </si>
  <si>
    <t>Atlas del Potencial Energético de la Biomasa Residual en Colombia (UPME)</t>
  </si>
  <si>
    <t>Emisiones de GEI asociadas a los suelos ganaderos gestionados, independientes de las medidas seleccionadas y aplicadas en la calculadora para el módulo de ganadería.</t>
  </si>
  <si>
    <t>Línea base de emisiones por gestión de estiércol en ganadería</t>
  </si>
  <si>
    <t>Emisiones de GEI asociadas a la gestión del estiércol, independientes de las medidas seleccionadas y aplicadas en la calculadora para el módulo de ganadería.</t>
  </si>
  <si>
    <t>Potencial de reducción de emisiones Prácticas Sostenibles en Suelos Ganaderos</t>
  </si>
  <si>
    <t>Se tomaron los coeficientes de remoción de carbono para los distintos usos de suelo y ecorregión</t>
  </si>
  <si>
    <t>Acción de mitigación  nacionalmente apropiada NAMA de la ganaderia bovina sostenible en Colombia, 2021</t>
  </si>
  <si>
    <t xml:space="preserve">Potencial de reducción de emisiones  de Mejores Prácticas Pecuarias  </t>
  </si>
  <si>
    <t>La  suplementación estratégica del ganado con grasas reduce en un ~10 a25% la producción de CH4. Para la calculadora se toma un valor conservador del -10%</t>
  </si>
  <si>
    <t>http://www.academia.edu/3324467/Eficiencia_productiva_como_alternativa_para_reducir_las_emisiones_de_gases_efecto_invernadero</t>
  </si>
  <si>
    <t>Prevención de la degradación y pérdida de bosques por aumento en las áreas de conservación de biodiversidad (y su stock de carbono en biomasa) en áreas protegidas</t>
  </si>
  <si>
    <t>T4. Se toman los valores de la E2050 del 2030, 2040 y 2050. El resto son interpolados</t>
  </si>
  <si>
    <t>T4. Transición socioecológica de las opciones de transformación de cada una de las apuestas de la E2050</t>
  </si>
  <si>
    <t>T1. Línea base: se toma linea base del formato para la caracterización de las medidas sectoriales de la NDC hasta el año 2030, a partir de ahí se realiza extrapolación con la mismsa tendencia a 2050
T2. Se toman los datos de deforestación de hectáreas anuales provistas en la NDC. Se continua con el valor de 2030 hasta el año 2050
T3. Se toman los datos de la NDC hasta 2030 y se fija el valor de la E2050 para el año 2040 en 2050, se interpolan los valores de 2030 a 2050
T4. Se usan los datos de la E2050</t>
  </si>
  <si>
    <t>T1. Formato para la caracterización de las medidas sectoriales de la  NDC. Reducción sectorial de la deforestación
T2. Actualización NDC Colombia 2020
T4. Transición socioecológica de las opciones de transformación de cada una de las apuestas de la E2050</t>
  </si>
  <si>
    <t>T1 Linea base: valor de inicio 7747ha en 2017 (MADR 2020). Se sumaron las áreas proyectadas para establecimiento sin CIF
T2. Se sumaron 7747ha anuales (base+incremento anual de plantaciones) hasta alcanzar 13847ha de plantaciones para escenario de mitigación 2030, se extrapola la tendencia hasta 2050
T3. Se sigue la trayetoria de NDC al 2030 y el objetivo 2040 de la E2050 se cumple en año 2050
T4. Se sigue la trayectoria E2050, que corresponde a T2, la trayectoria 2 y 4 son iguales</t>
  </si>
  <si>
    <t>T1. Formato para la caracterización de las medidas sectoriales de la  NDC. Desarrollo y consolidación de la cadena productiva de las plantaciones forestales con fines comerciales como contribución a la captura de GEI
T2. Actualización NDC Colombia 2020
T4. Transición socioecológica de las opciones de transformación de cada una de las apuestas de la E2050</t>
  </si>
  <si>
    <t>Contenidos de carbono por zonas naturales</t>
  </si>
  <si>
    <t>Contenido de carbono almacenado o emitido por ha de bosque según la región natural de Colombia específica.  Corresponde al contenido de biomasa aérea y subterránea</t>
  </si>
  <si>
    <t>Documento Nivel de Referencia de Emisiones Forestales 2020</t>
  </si>
  <si>
    <t>Factor de conversión de tC a tCO2e</t>
  </si>
  <si>
    <t>Para  convertir la cantidad de carbono (almacenado o emitido) en bosques, se emplea el factor de 44/12=3,67, el cual resulta de dividir el peso atómico de una molécula de dióxido de carbono entre el peso específico del carbono (IPCC 2003,2006).</t>
  </si>
  <si>
    <t>Herramienta de cálculo para la elaboración de los inventarios de emisiones GEI en las ciudades colombianas. Miambiente-WWF. 2021.</t>
  </si>
  <si>
    <t>Área para la Reforestación Comercial</t>
  </si>
  <si>
    <t>Para supuestos fijos y cálculos se usó la metodología planteada en el formato de caracterización de las medidas sectoriales de la NDC: Desarrollo y consolidación de la cadena productiva de las plantaciones forestales con fines comerciales como contribución a la captura de GEI.</t>
  </si>
  <si>
    <t>Formato para la caracterización de las medidas sectoriales de la  NDC. Desarrollo y consolidación de la cadena productiva de las plantaciones forestales con fines comerciales como contribución a la captura de GEI</t>
  </si>
  <si>
    <t>Biomasa aérea + subterránea - Reforestación comercial</t>
  </si>
  <si>
    <t>Biomasa para las especies reportadas para deforestación comercial</t>
  </si>
  <si>
    <t>Para supuestos fijos y cálculos se usó la metodología planteada en el formato de caracterización de las medidas sectoriales de la NDC: Reducción sectorial de la deforestación.</t>
  </si>
  <si>
    <t>Formato para la caracterización de las medidas sectoriales de la  NDC. Reducción sectorial de la deforestación</t>
  </si>
  <si>
    <t>Fracción de carbono de leña seca</t>
  </si>
  <si>
    <t>Se tomo el dato del IDEAM con la metodología para el cálculo usada en el Fortmato para la caracterización de las medidas sectoriales de la NDC: Sustitución de fogones tradicionales de leña por estufas eficientes - incremento de ambición</t>
  </si>
  <si>
    <t>Inventario Forestal Nacional</t>
  </si>
  <si>
    <t>FACTORES DE EMISIÓN</t>
  </si>
  <si>
    <t>ENERGÍA - Electricidad</t>
  </si>
  <si>
    <t>Fuente: INGEI, 2018.</t>
  </si>
  <si>
    <r>
      <t>MtCO</t>
    </r>
    <r>
      <rPr>
        <b/>
        <vertAlign val="subscript"/>
        <sz val="11"/>
        <color theme="1"/>
        <rFont val="Calibri"/>
        <family val="2"/>
        <scheme val="minor"/>
      </rPr>
      <t>2</t>
    </r>
    <r>
      <rPr>
        <b/>
        <sz val="11"/>
        <color theme="1"/>
        <rFont val="Calibri"/>
        <family val="2"/>
        <scheme val="minor"/>
      </rPr>
      <t>/MWh</t>
    </r>
  </si>
  <si>
    <r>
      <t>MtCO</t>
    </r>
    <r>
      <rPr>
        <b/>
        <vertAlign val="subscript"/>
        <sz val="11"/>
        <color theme="1"/>
        <rFont val="Calibri"/>
        <family val="2"/>
        <scheme val="minor"/>
      </rPr>
      <t>2</t>
    </r>
    <r>
      <rPr>
        <b/>
        <sz val="11"/>
        <color theme="1"/>
        <rFont val="Calibri"/>
        <family val="2"/>
        <scheme val="minor"/>
      </rPr>
      <t>/TWh</t>
    </r>
  </si>
  <si>
    <t>Factor de Emisión</t>
  </si>
  <si>
    <t>ENERGÍA - Combustibles fósiles</t>
  </si>
  <si>
    <r>
      <t>BIÓXIDO DE CARBONO (CO</t>
    </r>
    <r>
      <rPr>
        <b/>
        <vertAlign val="subscript"/>
        <sz val="11"/>
        <rFont val="Calibri"/>
        <family val="2"/>
        <scheme val="minor"/>
      </rPr>
      <t>2</t>
    </r>
    <r>
      <rPr>
        <b/>
        <sz val="11"/>
        <rFont val="Calibri"/>
        <family val="2"/>
        <scheme val="minor"/>
      </rPr>
      <t>)</t>
    </r>
  </si>
  <si>
    <t>Fuente</t>
  </si>
  <si>
    <t>FE</t>
  </si>
  <si>
    <t xml:space="preserve">Perforación de pozo </t>
  </si>
  <si>
    <r>
      <t>Gg CO</t>
    </r>
    <r>
      <rPr>
        <vertAlign val="subscript"/>
        <sz val="11"/>
        <color theme="1"/>
        <rFont val="Calibri"/>
        <family val="2"/>
        <scheme val="minor"/>
      </rPr>
      <t>2</t>
    </r>
    <r>
      <rPr>
        <sz val="11"/>
        <color theme="1"/>
        <rFont val="Calibri"/>
        <family val="2"/>
        <scheme val="minor"/>
      </rPr>
      <t>/Pozo perforado</t>
    </r>
  </si>
  <si>
    <t xml:space="preserve">Prueba de pozo </t>
  </si>
  <si>
    <t>Servicio de pozo</t>
  </si>
  <si>
    <t>Producción</t>
  </si>
  <si>
    <r>
      <t>Gg CO</t>
    </r>
    <r>
      <rPr>
        <vertAlign val="subscript"/>
        <sz val="11"/>
        <color theme="1"/>
        <rFont val="Calibri"/>
        <family val="2"/>
        <scheme val="minor"/>
      </rPr>
      <t>2</t>
    </r>
    <r>
      <rPr>
        <sz val="11"/>
        <color theme="1"/>
        <rFont val="Calibri"/>
        <family val="2"/>
        <scheme val="minor"/>
      </rPr>
      <t>/10^3 m</t>
    </r>
    <r>
      <rPr>
        <vertAlign val="superscript"/>
        <sz val="11"/>
        <color theme="1"/>
        <rFont val="Calibri"/>
        <family val="2"/>
        <scheme val="minor"/>
      </rPr>
      <t>3</t>
    </r>
    <r>
      <rPr>
        <sz val="11"/>
        <color theme="1"/>
        <rFont val="Calibri"/>
        <family val="2"/>
        <scheme val="minor"/>
      </rPr>
      <t xml:space="preserve"> petróleo</t>
    </r>
  </si>
  <si>
    <t>Transporte GLP</t>
  </si>
  <si>
    <r>
      <t>Gg CO</t>
    </r>
    <r>
      <rPr>
        <vertAlign val="subscript"/>
        <sz val="11"/>
        <color theme="1"/>
        <rFont val="Calibri"/>
        <family val="2"/>
        <scheme val="minor"/>
      </rPr>
      <t>2</t>
    </r>
    <r>
      <rPr>
        <sz val="11"/>
        <color theme="1"/>
        <rFont val="Calibri"/>
        <family val="2"/>
        <scheme val="minor"/>
      </rPr>
      <t>/10^3 m</t>
    </r>
    <r>
      <rPr>
        <vertAlign val="superscript"/>
        <sz val="11"/>
        <color theme="1"/>
        <rFont val="Calibri"/>
        <family val="2"/>
        <scheme val="minor"/>
      </rPr>
      <t>3</t>
    </r>
    <r>
      <rPr>
        <sz val="11"/>
        <color theme="1"/>
        <rFont val="Calibri"/>
        <family val="2"/>
        <scheme val="minor"/>
      </rPr>
      <t xml:space="preserve"> GLP</t>
    </r>
  </si>
  <si>
    <t>Transporte oleoducto</t>
  </si>
  <si>
    <t xml:space="preserve">Refinación </t>
  </si>
  <si>
    <r>
      <t>METANO (CH</t>
    </r>
    <r>
      <rPr>
        <b/>
        <vertAlign val="subscript"/>
        <sz val="11"/>
        <rFont val="Calibri"/>
        <family val="2"/>
        <scheme val="minor"/>
      </rPr>
      <t>4</t>
    </r>
    <r>
      <rPr>
        <b/>
        <sz val="11"/>
        <rFont val="Calibri"/>
        <family val="2"/>
        <scheme val="minor"/>
      </rPr>
      <t>)</t>
    </r>
  </si>
  <si>
    <r>
      <t>OXIDO NITROSO (N</t>
    </r>
    <r>
      <rPr>
        <b/>
        <vertAlign val="subscript"/>
        <sz val="11"/>
        <rFont val="Calibri"/>
        <family val="2"/>
        <scheme val="minor"/>
      </rPr>
      <t>2</t>
    </r>
    <r>
      <rPr>
        <b/>
        <sz val="11"/>
        <rFont val="Calibri"/>
        <family val="2"/>
        <scheme val="minor"/>
      </rPr>
      <t>O)</t>
    </r>
  </si>
  <si>
    <r>
      <t>MtCO</t>
    </r>
    <r>
      <rPr>
        <b/>
        <vertAlign val="subscript"/>
        <sz val="11"/>
        <color theme="1"/>
        <rFont val="Calibri"/>
        <family val="2"/>
        <scheme val="minor"/>
      </rPr>
      <t>2</t>
    </r>
    <r>
      <rPr>
        <b/>
        <sz val="11"/>
        <color theme="1"/>
        <rFont val="Calibri"/>
        <family val="2"/>
        <scheme val="minor"/>
      </rPr>
      <t>e/TPC</t>
    </r>
  </si>
  <si>
    <t>Producción de Gas</t>
  </si>
  <si>
    <t>Transmisión y almacenamiento</t>
  </si>
  <si>
    <t>Procesamiento de Gas</t>
  </si>
  <si>
    <t>Distribución</t>
  </si>
  <si>
    <r>
      <t>METANO (CH</t>
    </r>
    <r>
      <rPr>
        <b/>
        <vertAlign val="subscript"/>
        <sz val="11"/>
        <color theme="1"/>
        <rFont val="Calibri"/>
        <family val="2"/>
        <scheme val="minor"/>
      </rPr>
      <t>4</t>
    </r>
    <r>
      <rPr>
        <b/>
        <sz val="11"/>
        <color theme="1"/>
        <rFont val="Calibri"/>
        <family val="2"/>
        <scheme val="minor"/>
      </rPr>
      <t>)</t>
    </r>
  </si>
  <si>
    <r>
      <t>Gg CH</t>
    </r>
    <r>
      <rPr>
        <vertAlign val="subscript"/>
        <sz val="11"/>
        <color theme="1"/>
        <rFont val="Calibri"/>
        <family val="2"/>
        <scheme val="minor"/>
      </rPr>
      <t>4</t>
    </r>
    <r>
      <rPr>
        <sz val="11"/>
        <color theme="1"/>
        <rFont val="Calibri"/>
        <family val="2"/>
        <scheme val="minor"/>
      </rPr>
      <t>/Pozo perforado</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</si>
  <si>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</si>
  <si>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 comercializable</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</si>
  <si>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 crudo</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</si>
  <si>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ventas de servicios</t>
    </r>
  </si>
  <si>
    <r>
      <t>kg CO</t>
    </r>
    <r>
      <rPr>
        <vertAlign val="subscript"/>
        <sz val="11"/>
        <color theme="1"/>
        <rFont val="Calibri"/>
        <family val="2"/>
        <scheme val="minor"/>
      </rPr>
      <t>2</t>
    </r>
    <r>
      <rPr>
        <sz val="11"/>
        <color theme="1"/>
        <rFont val="Calibri"/>
        <family val="2"/>
        <scheme val="minor"/>
      </rPr>
      <t>/TJ</t>
    </r>
  </si>
  <si>
    <t>Gasolina para motores</t>
  </si>
  <si>
    <t>carbón mineral</t>
  </si>
  <si>
    <t>Gas de refinería</t>
  </si>
  <si>
    <t>Diesel oil</t>
  </si>
  <si>
    <t>Queroseno para motor a reacción</t>
  </si>
  <si>
    <r>
      <t>kg CH</t>
    </r>
    <r>
      <rPr>
        <vertAlign val="subscript"/>
        <sz val="11"/>
        <color theme="1"/>
        <rFont val="Calibri"/>
        <family val="2"/>
        <scheme val="minor"/>
      </rPr>
      <t>4</t>
    </r>
    <r>
      <rPr>
        <sz val="11"/>
        <color theme="1"/>
        <rFont val="Calibri"/>
        <family val="2"/>
        <scheme val="minor"/>
      </rPr>
      <t>/TJ</t>
    </r>
  </si>
  <si>
    <r>
      <t>kg N</t>
    </r>
    <r>
      <rPr>
        <vertAlign val="subscript"/>
        <sz val="11"/>
        <color theme="1"/>
        <rFont val="Calibri"/>
        <family val="2"/>
        <scheme val="minor"/>
      </rPr>
      <t>2</t>
    </r>
    <r>
      <rPr>
        <sz val="11"/>
        <color theme="1"/>
        <rFont val="Calibri"/>
        <family val="2"/>
        <scheme val="minor"/>
      </rPr>
      <t>O/TJ</t>
    </r>
  </si>
  <si>
    <r>
      <t>t CO</t>
    </r>
    <r>
      <rPr>
        <b/>
        <vertAlign val="subscript"/>
        <sz val="11"/>
        <color theme="1"/>
        <rFont val="Calibri"/>
        <family val="2"/>
        <scheme val="minor"/>
      </rPr>
      <t>2</t>
    </r>
    <r>
      <rPr>
        <b/>
        <sz val="11"/>
        <color theme="1"/>
        <rFont val="Calibri"/>
        <family val="2"/>
        <scheme val="minor"/>
      </rPr>
      <t>/T</t>
    </r>
  </si>
  <si>
    <t>Tipo</t>
  </si>
  <si>
    <t>Acero BOF</t>
  </si>
  <si>
    <t>Acero sintetizado</t>
  </si>
  <si>
    <t>FR</t>
  </si>
  <si>
    <t>GJ/T amoniaco</t>
  </si>
  <si>
    <r>
      <t>CO</t>
    </r>
    <r>
      <rPr>
        <b/>
        <vertAlign val="subscript"/>
        <sz val="11"/>
        <color theme="1"/>
        <rFont val="Calibri"/>
        <family val="2"/>
        <scheme val="minor"/>
      </rPr>
      <t>2</t>
    </r>
  </si>
  <si>
    <t>CCF</t>
  </si>
  <si>
    <t>kg C/GJ</t>
  </si>
  <si>
    <t>FOC</t>
  </si>
  <si>
    <t>-/-</t>
  </si>
  <si>
    <t>???????</t>
  </si>
  <si>
    <t>CAL VIVA</t>
  </si>
  <si>
    <r>
      <t>t CO</t>
    </r>
    <r>
      <rPr>
        <b/>
        <vertAlign val="subscript"/>
        <sz val="11"/>
        <color theme="1"/>
        <rFont val="Calibri"/>
        <family val="2"/>
        <scheme val="minor"/>
      </rPr>
      <t>2</t>
    </r>
    <r>
      <rPr>
        <b/>
        <sz val="11"/>
        <color theme="1"/>
        <rFont val="Calibri"/>
        <family val="2"/>
        <scheme val="minor"/>
      </rPr>
      <t>/T clinkler</t>
    </r>
  </si>
  <si>
    <t>CFCKD</t>
  </si>
  <si>
    <t>Ferroníquel</t>
  </si>
  <si>
    <t>Vidrio plano</t>
  </si>
  <si>
    <t>Plomo</t>
  </si>
  <si>
    <r>
      <t>kg CO</t>
    </r>
    <r>
      <rPr>
        <b/>
        <vertAlign val="subscript"/>
        <sz val="11"/>
        <color theme="1"/>
        <rFont val="Calibri"/>
        <family val="2"/>
        <scheme val="minor"/>
      </rPr>
      <t>2</t>
    </r>
    <r>
      <rPr>
        <b/>
        <sz val="11"/>
        <color theme="1"/>
        <rFont val="Calibri"/>
        <family val="2"/>
        <scheme val="minor"/>
      </rPr>
      <t>/TJ</t>
    </r>
  </si>
  <si>
    <t>Residuos palma</t>
  </si>
  <si>
    <t>Residuos arroz</t>
  </si>
  <si>
    <t>Residuos café</t>
  </si>
  <si>
    <t>Carbón vegetal</t>
  </si>
  <si>
    <t>Biodiesel</t>
  </si>
  <si>
    <t>Gas de alto horno</t>
  </si>
  <si>
    <r>
      <t>kg CH</t>
    </r>
    <r>
      <rPr>
        <b/>
        <vertAlign val="subscript"/>
        <sz val="11"/>
        <color theme="1"/>
        <rFont val="Calibri"/>
        <family val="2"/>
        <scheme val="minor"/>
      </rPr>
      <t>4</t>
    </r>
    <r>
      <rPr>
        <b/>
        <sz val="11"/>
        <color theme="1"/>
        <rFont val="Calibri"/>
        <family val="2"/>
        <scheme val="minor"/>
      </rPr>
      <t>/TJ</t>
    </r>
  </si>
  <si>
    <t>Lena</t>
  </si>
  <si>
    <r>
      <t>kg N</t>
    </r>
    <r>
      <rPr>
        <b/>
        <vertAlign val="subscript"/>
        <sz val="11"/>
        <color theme="1"/>
        <rFont val="Calibri"/>
        <family val="2"/>
        <scheme val="minor"/>
      </rPr>
      <t>2</t>
    </r>
    <r>
      <rPr>
        <b/>
        <sz val="11"/>
        <color theme="1"/>
        <rFont val="Calibri"/>
        <family val="2"/>
        <scheme val="minor"/>
      </rPr>
      <t>O/TJ</t>
    </r>
  </si>
  <si>
    <t>Fuente: NAMA Residuos, 2018.</t>
  </si>
  <si>
    <t xml:space="preserve">Zona climática 1 </t>
  </si>
  <si>
    <t>Categoría IPCC</t>
  </si>
  <si>
    <r>
      <t>m</t>
    </r>
    <r>
      <rPr>
        <b/>
        <vertAlign val="superscript"/>
        <sz val="11"/>
        <rFont val="Calibri"/>
        <family val="2"/>
        <scheme val="minor"/>
      </rPr>
      <t>3</t>
    </r>
    <r>
      <rPr>
        <b/>
        <sz val="11"/>
        <rFont val="Calibri"/>
        <family val="2"/>
        <scheme val="minor"/>
      </rPr>
      <t xml:space="preserve"> CH</t>
    </r>
    <r>
      <rPr>
        <b/>
        <vertAlign val="subscript"/>
        <sz val="11"/>
        <rFont val="Calibri"/>
        <family val="2"/>
        <scheme val="minor"/>
      </rPr>
      <t>4</t>
    </r>
    <r>
      <rPr>
        <b/>
        <sz val="11"/>
        <rFont val="Calibri"/>
        <family val="2"/>
        <scheme val="minor"/>
      </rPr>
      <t>/ t residuos</t>
    </r>
  </si>
  <si>
    <t>Materia Orgánica (Comida)</t>
  </si>
  <si>
    <t xml:space="preserve">Papel </t>
  </si>
  <si>
    <t xml:space="preserve">Madera </t>
  </si>
  <si>
    <t>Textiles</t>
  </si>
  <si>
    <t>Residuos solidos (Metales, Vidrio, Plásticos, Goma y Otros inorgánicos)</t>
  </si>
  <si>
    <t>Zona climática 2</t>
  </si>
  <si>
    <t>Zona climática 3</t>
  </si>
  <si>
    <t>Zona climática 4</t>
  </si>
  <si>
    <t xml:space="preserve">Fuente: Directices IPCC, 2006. </t>
  </si>
  <si>
    <t>Generación de GEI por Kg de desechos tratados</t>
  </si>
  <si>
    <r>
      <t>kg CH</t>
    </r>
    <r>
      <rPr>
        <b/>
        <vertAlign val="subscript"/>
        <sz val="11"/>
        <color rgb="FF000000"/>
        <rFont val="Calibri"/>
        <family val="2"/>
        <scheme val="minor"/>
      </rPr>
      <t>4</t>
    </r>
    <r>
      <rPr>
        <b/>
        <sz val="11"/>
        <color rgb="FF000000"/>
        <rFont val="Calibri"/>
        <family val="2"/>
        <scheme val="minor"/>
      </rPr>
      <t xml:space="preserve">/ T desechos </t>
    </r>
  </si>
  <si>
    <r>
      <t>kg N</t>
    </r>
    <r>
      <rPr>
        <b/>
        <vertAlign val="subscript"/>
        <sz val="11"/>
        <color rgb="FF000000"/>
        <rFont val="Calibri"/>
        <family val="2"/>
        <scheme val="minor"/>
      </rPr>
      <t>2</t>
    </r>
    <r>
      <rPr>
        <b/>
        <sz val="11"/>
        <color rgb="FF000000"/>
        <rFont val="Calibri"/>
        <family val="2"/>
        <scheme val="minor"/>
      </rPr>
      <t xml:space="preserve">O/ T desechos </t>
    </r>
  </si>
  <si>
    <r>
      <t>kg DBO / m</t>
    </r>
    <r>
      <rPr>
        <b/>
        <vertAlign val="superscript"/>
        <sz val="11"/>
        <rFont val="Calibri"/>
        <family val="2"/>
        <scheme val="minor"/>
      </rPr>
      <t>3</t>
    </r>
    <r>
      <rPr>
        <b/>
        <sz val="11"/>
        <rFont val="Calibri"/>
        <family val="2"/>
        <scheme val="minor"/>
      </rPr>
      <t xml:space="preserve"> agua tratada</t>
    </r>
  </si>
  <si>
    <t>Aguas Domésticas</t>
  </si>
  <si>
    <r>
      <t>DBO por m</t>
    </r>
    <r>
      <rPr>
        <b/>
        <vertAlign val="superscript"/>
        <sz val="11"/>
        <rFont val="Calibri"/>
        <family val="2"/>
        <scheme val="minor"/>
      </rPr>
      <t>3</t>
    </r>
    <r>
      <rPr>
        <b/>
        <sz val="11"/>
        <rFont val="Calibri"/>
        <family val="2"/>
        <scheme val="minor"/>
      </rPr>
      <t xml:space="preserve"> de agua residual doméstica no tratada</t>
    </r>
  </si>
  <si>
    <r>
      <t>DBO por m</t>
    </r>
    <r>
      <rPr>
        <b/>
        <vertAlign val="superscript"/>
        <sz val="11"/>
        <rFont val="Calibri"/>
        <family val="2"/>
        <scheme val="minor"/>
      </rPr>
      <t>3</t>
    </r>
    <r>
      <rPr>
        <b/>
        <sz val="11"/>
        <rFont val="Calibri"/>
        <family val="2"/>
        <scheme val="minor"/>
      </rPr>
      <t xml:space="preserve"> de agua residual industrial tratada</t>
    </r>
  </si>
  <si>
    <t xml:space="preserve">Aguas Industriales </t>
  </si>
  <si>
    <r>
      <t>DBO por m</t>
    </r>
    <r>
      <rPr>
        <b/>
        <vertAlign val="superscript"/>
        <sz val="11"/>
        <rFont val="Calibri"/>
        <family val="2"/>
        <scheme val="minor"/>
      </rPr>
      <t>3</t>
    </r>
    <r>
      <rPr>
        <b/>
        <sz val="11"/>
        <rFont val="Calibri"/>
        <family val="2"/>
        <scheme val="minor"/>
      </rPr>
      <t xml:space="preserve"> de agua residual industrial no tratada </t>
    </r>
  </si>
  <si>
    <r>
      <t>Generación de CH</t>
    </r>
    <r>
      <rPr>
        <b/>
        <vertAlign val="subscript"/>
        <sz val="11"/>
        <rFont val="Calibri"/>
        <family val="2"/>
        <scheme val="minor"/>
      </rPr>
      <t>4</t>
    </r>
    <r>
      <rPr>
        <b/>
        <sz val="11"/>
        <rFont val="Calibri"/>
        <family val="2"/>
        <scheme val="minor"/>
      </rPr>
      <t xml:space="preserve"> por kg DBO tratado</t>
    </r>
  </si>
  <si>
    <r>
      <t>kg CH</t>
    </r>
    <r>
      <rPr>
        <b/>
        <vertAlign val="subscript"/>
        <sz val="11"/>
        <rFont val="Calibri"/>
        <family val="2"/>
        <scheme val="minor"/>
      </rPr>
      <t>4</t>
    </r>
    <r>
      <rPr>
        <b/>
        <sz val="11"/>
        <rFont val="Calibri"/>
        <family val="2"/>
        <scheme val="minor"/>
      </rPr>
      <t xml:space="preserve"> / kg DBO</t>
    </r>
  </si>
  <si>
    <r>
      <t>Generación de N</t>
    </r>
    <r>
      <rPr>
        <b/>
        <vertAlign val="subscript"/>
        <sz val="11"/>
        <rFont val="Calibri"/>
        <family val="2"/>
        <scheme val="minor"/>
      </rPr>
      <t>2</t>
    </r>
    <r>
      <rPr>
        <b/>
        <sz val="11"/>
        <rFont val="Calibri"/>
        <family val="2"/>
        <scheme val="minor"/>
      </rPr>
      <t>O por m</t>
    </r>
    <r>
      <rPr>
        <b/>
        <vertAlign val="superscript"/>
        <sz val="11"/>
        <rFont val="Calibri"/>
        <family val="2"/>
        <scheme val="minor"/>
      </rPr>
      <t>3</t>
    </r>
    <r>
      <rPr>
        <b/>
        <sz val="11"/>
        <rFont val="Calibri"/>
        <family val="2"/>
        <scheme val="minor"/>
      </rPr>
      <t xml:space="preserve"> de agua tratada</t>
    </r>
  </si>
  <si>
    <r>
      <t>kg N</t>
    </r>
    <r>
      <rPr>
        <b/>
        <vertAlign val="subscript"/>
        <sz val="11"/>
        <rFont val="Calibri"/>
        <family val="2"/>
        <scheme val="minor"/>
      </rPr>
      <t>2</t>
    </r>
    <r>
      <rPr>
        <b/>
        <sz val="11"/>
        <rFont val="Calibri"/>
        <family val="2"/>
        <scheme val="minor"/>
      </rPr>
      <t>O/m</t>
    </r>
    <r>
      <rPr>
        <b/>
        <vertAlign val="superscript"/>
        <sz val="11"/>
        <rFont val="Calibri"/>
        <family val="2"/>
        <scheme val="minor"/>
      </rPr>
      <t>3</t>
    </r>
    <r>
      <rPr>
        <b/>
        <sz val="11"/>
        <rFont val="Calibri"/>
        <family val="2"/>
        <scheme val="minor"/>
      </rPr>
      <t xml:space="preserve"> agua tratada</t>
    </r>
  </si>
  <si>
    <r>
      <t>kg CO</t>
    </r>
    <r>
      <rPr>
        <b/>
        <vertAlign val="subscript"/>
        <sz val="11"/>
        <color theme="1"/>
        <rFont val="Calibri"/>
        <family val="2"/>
        <scheme val="minor"/>
      </rPr>
      <t>2</t>
    </r>
    <r>
      <rPr>
        <b/>
        <sz val="11"/>
        <color theme="1"/>
        <rFont val="Calibri"/>
        <family val="2"/>
        <scheme val="minor"/>
      </rPr>
      <t>/TWh</t>
    </r>
  </si>
  <si>
    <t>Fuel Oil</t>
  </si>
  <si>
    <r>
      <t>kg CO</t>
    </r>
    <r>
      <rPr>
        <b/>
        <vertAlign val="subscript"/>
        <sz val="11"/>
        <color theme="1"/>
        <rFont val="Calibri"/>
        <family val="2"/>
        <scheme val="minor"/>
      </rPr>
      <t>2</t>
    </r>
    <r>
      <rPr>
        <b/>
        <sz val="11"/>
        <color theme="1"/>
        <rFont val="Calibri"/>
        <family val="2"/>
        <scheme val="minor"/>
      </rPr>
      <t>/LTO</t>
    </r>
  </si>
  <si>
    <t>727-100</t>
  </si>
  <si>
    <t>727-200</t>
  </si>
  <si>
    <t>737-100/200</t>
  </si>
  <si>
    <t>737-300/400/500</t>
  </si>
  <si>
    <t>737-600</t>
  </si>
  <si>
    <t>737-700</t>
  </si>
  <si>
    <t>737-800/900</t>
  </si>
  <si>
    <t>747-100</t>
  </si>
  <si>
    <t>747-200</t>
  </si>
  <si>
    <t>747-300</t>
  </si>
  <si>
    <t>747-400</t>
  </si>
  <si>
    <t>757-200</t>
  </si>
  <si>
    <t>757-300</t>
  </si>
  <si>
    <t>767-200</t>
  </si>
  <si>
    <t>767-300</t>
  </si>
  <si>
    <t>767-400</t>
  </si>
  <si>
    <t>777-200/300</t>
  </si>
  <si>
    <t>A300</t>
  </si>
  <si>
    <t>A310</t>
  </si>
  <si>
    <t>A319</t>
  </si>
  <si>
    <t>A320</t>
  </si>
  <si>
    <t>A321</t>
  </si>
  <si>
    <t>A330-200/300</t>
  </si>
  <si>
    <t>A340-200</t>
  </si>
  <si>
    <t>A340-300</t>
  </si>
  <si>
    <t>A340-500/600</t>
  </si>
  <si>
    <t>ATR72-500</t>
  </si>
  <si>
    <t>Beech King Air</t>
  </si>
  <si>
    <t>Cessna 525/560</t>
  </si>
  <si>
    <t>CRJ-100ER</t>
  </si>
  <si>
    <t>DC-10</t>
  </si>
  <si>
    <t>DC-8-50/60/70</t>
  </si>
  <si>
    <t>DC-9</t>
  </si>
  <si>
    <t>DHC8-100</t>
  </si>
  <si>
    <t>Dornier 328 Jet</t>
  </si>
  <si>
    <t>ERJ-145</t>
  </si>
  <si>
    <t>Fokker 100/70/28</t>
  </si>
  <si>
    <t>GASOLINA PARA AVIACION</t>
  </si>
  <si>
    <t>Gulfstream V</t>
  </si>
  <si>
    <t>JET - A1 PARA MOTOR A REACCION</t>
  </si>
  <si>
    <t>MD-11</t>
  </si>
  <si>
    <t>MD-80</t>
  </si>
  <si>
    <t>QUEROSENO PARA MOTOR A REACCION</t>
  </si>
  <si>
    <t>RJ-RJ85</t>
  </si>
  <si>
    <t>TU-134</t>
  </si>
  <si>
    <t>TU-154-M</t>
  </si>
  <si>
    <r>
      <t>kg CH</t>
    </r>
    <r>
      <rPr>
        <b/>
        <vertAlign val="subscript"/>
        <sz val="11"/>
        <color theme="1"/>
        <rFont val="Calibri"/>
        <family val="2"/>
        <scheme val="minor"/>
      </rPr>
      <t>4</t>
    </r>
    <r>
      <rPr>
        <b/>
        <sz val="11"/>
        <color theme="1"/>
        <rFont val="Calibri"/>
        <family val="2"/>
        <scheme val="minor"/>
      </rPr>
      <t>/LTO</t>
    </r>
  </si>
  <si>
    <r>
      <t>kg N</t>
    </r>
    <r>
      <rPr>
        <b/>
        <vertAlign val="subscript"/>
        <sz val="11"/>
        <color theme="1"/>
        <rFont val="Calibri"/>
        <family val="2"/>
        <scheme val="minor"/>
      </rPr>
      <t>2</t>
    </r>
    <r>
      <rPr>
        <b/>
        <sz val="11"/>
        <color theme="1"/>
        <rFont val="Calibri"/>
        <family val="2"/>
        <scheme val="minor"/>
      </rPr>
      <t>O/LTO</t>
    </r>
  </si>
  <si>
    <r>
      <t>BIÓXIDO DE CARBONO (CO</t>
    </r>
    <r>
      <rPr>
        <b/>
        <vertAlign val="subscript"/>
        <sz val="11"/>
        <color theme="1"/>
        <rFont val="Calibri"/>
        <family val="2"/>
        <scheme val="minor"/>
      </rPr>
      <t>2</t>
    </r>
    <r>
      <rPr>
        <b/>
        <sz val="11"/>
        <color theme="1"/>
        <rFont val="Calibri"/>
        <family val="2"/>
        <scheme val="minor"/>
      </rPr>
      <t>)</t>
    </r>
  </si>
  <si>
    <r>
      <t>ÓXIDO NITROSO (N</t>
    </r>
    <r>
      <rPr>
        <b/>
        <vertAlign val="subscript"/>
        <sz val="11"/>
        <color theme="1"/>
        <rFont val="Calibri"/>
        <family val="2"/>
        <scheme val="minor"/>
      </rPr>
      <t>2</t>
    </r>
    <r>
      <rPr>
        <b/>
        <sz val="11"/>
        <color theme="1"/>
        <rFont val="Calibri"/>
        <family val="2"/>
        <scheme val="minor"/>
      </rPr>
      <t>O)</t>
    </r>
  </si>
  <si>
    <r>
      <t>kg CO</t>
    </r>
    <r>
      <rPr>
        <vertAlign val="subscript"/>
        <sz val="11"/>
        <color theme="1"/>
        <rFont val="Calibri"/>
        <family val="2"/>
        <scheme val="minor"/>
      </rPr>
      <t>2</t>
    </r>
    <r>
      <rPr>
        <sz val="11"/>
        <color theme="1"/>
        <rFont val="Calibri"/>
        <family val="2"/>
        <scheme val="minor"/>
      </rPr>
      <t>/GWh</t>
    </r>
  </si>
  <si>
    <t>Alcohol</t>
  </si>
  <si>
    <r>
      <t>kg CH</t>
    </r>
    <r>
      <rPr>
        <vertAlign val="subscript"/>
        <sz val="11"/>
        <color theme="1"/>
        <rFont val="Calibri"/>
        <family val="2"/>
        <scheme val="minor"/>
      </rPr>
      <t>4</t>
    </r>
    <r>
      <rPr>
        <sz val="11"/>
        <color theme="1"/>
        <rFont val="Calibri"/>
        <family val="2"/>
        <scheme val="minor"/>
      </rPr>
      <t>/GWh</t>
    </r>
  </si>
  <si>
    <r>
      <t>kg N</t>
    </r>
    <r>
      <rPr>
        <vertAlign val="subscript"/>
        <sz val="11"/>
        <color theme="1"/>
        <rFont val="Calibri"/>
        <family val="2"/>
        <scheme val="minor"/>
      </rPr>
      <t>2</t>
    </r>
    <r>
      <rPr>
        <sz val="11"/>
        <color theme="1"/>
        <rFont val="Calibri"/>
        <family val="2"/>
        <scheme val="minor"/>
      </rPr>
      <t>O/GWh</t>
    </r>
  </si>
  <si>
    <t>Gasolina para motocicletas</t>
  </si>
  <si>
    <t xml:space="preserve">AGRICULTURA </t>
  </si>
  <si>
    <t>kg GEI /t masa quemada</t>
  </si>
  <si>
    <t>N2O</t>
  </si>
  <si>
    <t xml:space="preserve">POTENCIALES DE REDUCCIÓN </t>
  </si>
  <si>
    <r>
      <t>tCO</t>
    </r>
    <r>
      <rPr>
        <b/>
        <vertAlign val="subscript"/>
        <sz val="11"/>
        <rFont val="Calibri"/>
        <family val="2"/>
        <scheme val="minor"/>
      </rPr>
      <t>2</t>
    </r>
    <r>
      <rPr>
        <b/>
        <sz val="11"/>
        <rFont val="Calibri"/>
        <family val="2"/>
        <scheme val="minor"/>
      </rPr>
      <t>/ha</t>
    </r>
  </si>
  <si>
    <t>Sistemas agroforestales</t>
  </si>
  <si>
    <t>Plantaciones de Mango y Aguacate</t>
  </si>
  <si>
    <t>Manejo eficiente del agua en cultivos de arroz</t>
  </si>
  <si>
    <t>Elección de trayectoria</t>
  </si>
  <si>
    <t>Componente</t>
  </si>
  <si>
    <t>Eficiencia energética en la producción de hidrocarburos</t>
  </si>
  <si>
    <t>Consumo de combustibles fósiles</t>
  </si>
  <si>
    <t xml:space="preserve">TOTAL </t>
  </si>
  <si>
    <t xml:space="preserve">Queroseno </t>
  </si>
  <si>
    <t xml:space="preserve">TOTAL CONSUMO COMBUSTIBLES </t>
  </si>
  <si>
    <t>Eficiencia energética en la refinación de crudo</t>
  </si>
  <si>
    <t>Ud</t>
  </si>
  <si>
    <t>Hidrocarburo</t>
  </si>
  <si>
    <t>Crudo (KBL)</t>
  </si>
  <si>
    <t>Gas natural (MPC)</t>
  </si>
  <si>
    <t>t /año</t>
  </si>
  <si>
    <t>Producción total de carbón</t>
  </si>
  <si>
    <t>Subterráneo</t>
  </si>
  <si>
    <t>Cielo abierto</t>
  </si>
  <si>
    <t>Extracción subterránea venteo</t>
  </si>
  <si>
    <t>m3 CH4/ton</t>
  </si>
  <si>
    <t>Post-extracción subterránea</t>
  </si>
  <si>
    <t>Extracción cielo abierto</t>
  </si>
  <si>
    <t>Post-extracción cielo abierto</t>
  </si>
  <si>
    <t>Extracción subterránea</t>
  </si>
  <si>
    <t>m3 CO2/ton</t>
  </si>
  <si>
    <t>nº pozos</t>
  </si>
  <si>
    <t>Pozos en producción</t>
  </si>
  <si>
    <t xml:space="preserve">% del total de crudo </t>
  </si>
  <si>
    <t xml:space="preserve">Producción </t>
  </si>
  <si>
    <t>10^3 m3</t>
  </si>
  <si>
    <t>GLP producido</t>
  </si>
  <si>
    <t>Crudo trasportado oleoducto</t>
  </si>
  <si>
    <t>Crudo a refinería</t>
  </si>
  <si>
    <t>m3/año</t>
  </si>
  <si>
    <t>unidad</t>
  </si>
  <si>
    <t>Extracción primaria</t>
  </si>
  <si>
    <t>10^6 m3</t>
  </si>
  <si>
    <t>Insumos transformación</t>
  </si>
  <si>
    <t>Oferta interna</t>
  </si>
  <si>
    <t>TWh/m3</t>
  </si>
  <si>
    <t>Queroseno y jet fuel</t>
  </si>
  <si>
    <t>Supuestos Costos</t>
  </si>
  <si>
    <t>MMCOP</t>
  </si>
  <si>
    <t>Gas LP</t>
  </si>
  <si>
    <t xml:space="preserve">Combustibles fósiles producidos </t>
  </si>
  <si>
    <t xml:space="preserve">COMBUSTIBLES FÓSILES </t>
  </si>
  <si>
    <t xml:space="preserve">Tipo de combustible </t>
  </si>
  <si>
    <t>TOTAL COMBUSTIBLES FÓSILES</t>
  </si>
  <si>
    <t>Consumo de combustibles fósiles por el propio sector</t>
  </si>
  <si>
    <t xml:space="preserve">Consumo de combustibles para la refinación del crudo </t>
  </si>
  <si>
    <t xml:space="preserve">Consumo de combustibles fósiles por sectores ajenos </t>
  </si>
  <si>
    <t>Emisiones</t>
  </si>
  <si>
    <t>Emisiones de Gases de Efecto Invernadero - GEI</t>
  </si>
  <si>
    <t>PRODUCCIÓN</t>
  </si>
  <si>
    <t>Total crudo</t>
  </si>
  <si>
    <t>Total gas natural</t>
  </si>
  <si>
    <t>Total carbón</t>
  </si>
  <si>
    <t>TOTAL PRODUCCIÓN Mt CO2 e</t>
  </si>
  <si>
    <t>CONSUMO</t>
  </si>
  <si>
    <t>Total petróleo</t>
  </si>
  <si>
    <t>Total diésel</t>
  </si>
  <si>
    <t xml:space="preserve">Total fuel oíl </t>
  </si>
  <si>
    <t>Total GLP</t>
  </si>
  <si>
    <t>Total gasolina</t>
  </si>
  <si>
    <t>Total queroseno</t>
  </si>
  <si>
    <t>TOTAL CONSUMO Mt CO2 e</t>
  </si>
  <si>
    <t>TOTAL  Mt CO2 e</t>
  </si>
  <si>
    <t>Resumen de costos</t>
  </si>
  <si>
    <t>Costos de capital Alto</t>
  </si>
  <si>
    <t>Costos de capital Medio</t>
  </si>
  <si>
    <t>Costos de capital Bajo</t>
  </si>
  <si>
    <t>EMISIONES FUGITIVAS</t>
  </si>
  <si>
    <t>Proyección de producción de Crudo</t>
  </si>
  <si>
    <t>Proyección de GLP</t>
  </si>
  <si>
    <t>Proyección crudo transportado por oleoducto</t>
  </si>
  <si>
    <t>Proyección crudo a refinerías</t>
  </si>
  <si>
    <t>GAS NATURAL</t>
  </si>
  <si>
    <t>Proyección de producción de gas</t>
  </si>
  <si>
    <t>Proyección transmisión y almacenamiento de gas</t>
  </si>
  <si>
    <t>Procesamiento de gas</t>
  </si>
  <si>
    <t>PRODUCCIÓN DE CRUDO</t>
  </si>
  <si>
    <t xml:space="preserve">Mt CO2 </t>
  </si>
  <si>
    <t>Producción de petróleo</t>
  </si>
  <si>
    <t>Transporte de GLP</t>
  </si>
  <si>
    <t>Total emisiones</t>
  </si>
  <si>
    <t>Mt CH4</t>
  </si>
  <si>
    <t>Mt N2O</t>
  </si>
  <si>
    <t>TOTAL PRODUCCIÓN CRUDO</t>
  </si>
  <si>
    <t>PRODUCCIÓN DE GAS</t>
  </si>
  <si>
    <t>TOTAL PRODUCCIÓN GAS</t>
  </si>
  <si>
    <t xml:space="preserve">PRODUCCIÓN DE CARBÓN </t>
  </si>
  <si>
    <t>Minería subterránea (Mt CO2 e)</t>
  </si>
  <si>
    <t>Minería a cielo abierto  (Mt CO2 e)</t>
  </si>
  <si>
    <t>CONSUMO DE COMBUSTIBLES EN REFINERIA</t>
  </si>
  <si>
    <t>TOTAL</t>
  </si>
  <si>
    <t>EMISIONES POR CONSUMO DE COMBUSTIBLES EN REFINERIA</t>
  </si>
  <si>
    <t>Mt CO2</t>
  </si>
  <si>
    <t xml:space="preserve">TOTAL CONSUMO </t>
  </si>
  <si>
    <t>EMISIONES NETAS POR EFIENCIENCIA POR COMBUSTIÓN</t>
  </si>
  <si>
    <t xml:space="preserve">TOTAL NETO </t>
  </si>
  <si>
    <t xml:space="preserve">Industria </t>
  </si>
  <si>
    <t>Energía inyectada a red</t>
  </si>
  <si>
    <t>Demanda</t>
  </si>
  <si>
    <t>Emisiones derivadas de la autogeneración</t>
  </si>
  <si>
    <t>MtCO2e</t>
  </si>
  <si>
    <t>CAPACIDAD DE GENERACIÓN</t>
  </si>
  <si>
    <t>Trayectoria 1</t>
  </si>
  <si>
    <t>Solar Distribuida Terciario</t>
  </si>
  <si>
    <t>CAPACIDAD TOTAL</t>
  </si>
  <si>
    <t>Trayectoria 2</t>
  </si>
  <si>
    <t>Trayectoria 3</t>
  </si>
  <si>
    <t>Trayectoria 4</t>
  </si>
  <si>
    <t xml:space="preserve">Horas de operación año </t>
  </si>
  <si>
    <t>Horas de operación al año</t>
  </si>
  <si>
    <t>Factor de carga (%)</t>
  </si>
  <si>
    <t>COMBUSTIBELS FÓSILES</t>
  </si>
  <si>
    <t xml:space="preserve">Costo de Capital Alto </t>
  </si>
  <si>
    <t>ENERGÍAS RENOVABLES NO CONVENCIONALES</t>
  </si>
  <si>
    <t>Costo de Capital Medio</t>
  </si>
  <si>
    <t>Costo de Capital Bajo</t>
  </si>
  <si>
    <t xml:space="preserve">Costo de Operación y Mantenimiento Alto </t>
  </si>
  <si>
    <t>Costo de Operación y Mantenimiento Medio</t>
  </si>
  <si>
    <t>Costo de Operación y Mantenimiento Bajo</t>
  </si>
  <si>
    <t xml:space="preserve">TOTAL RENOVABLES </t>
  </si>
  <si>
    <t>Energía demandada</t>
  </si>
  <si>
    <t>BALANCE</t>
  </si>
  <si>
    <t xml:space="preserve">BALANCE TOTAL </t>
  </si>
  <si>
    <t xml:space="preserve">TOTALES </t>
  </si>
  <si>
    <t>EMISIONES TOTALES ELECTRICIDAD</t>
  </si>
  <si>
    <t>Costos de O&amp;M Alto</t>
  </si>
  <si>
    <t>Costos de O&amp;M Medio</t>
  </si>
  <si>
    <t>Costos de O&amp;M Bajo</t>
  </si>
  <si>
    <t>METODOLOGÍA</t>
  </si>
  <si>
    <t>GENERACIÓN DE ELECTRICIDAD</t>
  </si>
  <si>
    <t>Eólica costa adentro (Jepirachi)</t>
  </si>
  <si>
    <t>EMISIONES GENERADAS</t>
  </si>
  <si>
    <t>Excedentes de energía</t>
  </si>
  <si>
    <t>Eficiencia energética  y optimización de procesos en  industrias</t>
  </si>
  <si>
    <t xml:space="preserve">Tipo de fuente energética </t>
  </si>
  <si>
    <t>Bagazo y otros</t>
  </si>
  <si>
    <t xml:space="preserve">% de reducción de consumo energético por aumento en la eficiencia energética </t>
  </si>
  <si>
    <t>Trayectorias</t>
  </si>
  <si>
    <t>Eficiencia energética- % de autogeneración y cogeneración (Ladrilleras)</t>
  </si>
  <si>
    <t>Refrigeración y aire acondicionado</t>
  </si>
  <si>
    <t>Agentes espumantes</t>
  </si>
  <si>
    <t>Protección contra incendios</t>
  </si>
  <si>
    <t xml:space="preserve">Aerosoles </t>
  </si>
  <si>
    <t>Solventes</t>
  </si>
  <si>
    <t>Implementación sistema abatimiento</t>
  </si>
  <si>
    <t>Degradación de residuos y manejo de estos</t>
  </si>
  <si>
    <t>Supuestos fijos.</t>
  </si>
  <si>
    <t>2A1 PRODUCCION DE CEMENTO</t>
  </si>
  <si>
    <t>A</t>
  </si>
  <si>
    <t>CANTIDAD PRODUCIDA DE CLINKER</t>
  </si>
  <si>
    <t>t</t>
  </si>
  <si>
    <t>2A2 PRODUCCION DE CAL</t>
  </si>
  <si>
    <t>CANTIDAD PRODUCIDA DE CAL</t>
  </si>
  <si>
    <t>CAL HIDRATADA</t>
  </si>
  <si>
    <t>CAL DOLOMITA</t>
  </si>
  <si>
    <t>Producción de Clinker</t>
  </si>
  <si>
    <t>2A3 PRODUCCION DE VIDRIO</t>
  </si>
  <si>
    <t>CANTIDAD PRODUCIDA DE VIDRIO</t>
  </si>
  <si>
    <t>VIDRIO PLANO</t>
  </si>
  <si>
    <t>Producción de cal</t>
  </si>
  <si>
    <t>BOTELLAS</t>
  </si>
  <si>
    <t>Producción de vidrio</t>
  </si>
  <si>
    <t>FIBRA DE VIDRIO</t>
  </si>
  <si>
    <t>Producción de amoníaco</t>
  </si>
  <si>
    <t>2A4b OTROS USOS DE LA CENIZA DE SOSA</t>
  </si>
  <si>
    <t>b</t>
  </si>
  <si>
    <t>CANTIDAD USADA DE CARBONATO DE SODIO</t>
  </si>
  <si>
    <t>2B1 PRODUCCION DE AMONIACO</t>
  </si>
  <si>
    <t>B</t>
  </si>
  <si>
    <t>CANTIDAD PRODUCIDA DE AMONIACO</t>
  </si>
  <si>
    <t>AMONIACO</t>
  </si>
  <si>
    <t>Producción de hierro y acero</t>
  </si>
  <si>
    <t>CANTIDAD PRODUCIDA DE UREA</t>
  </si>
  <si>
    <t>UREA</t>
  </si>
  <si>
    <t>kg</t>
  </si>
  <si>
    <t>Producción de ferroaleaciones</t>
  </si>
  <si>
    <t>2B2 PRODUCCION DE ACIDO NITRICO</t>
  </si>
  <si>
    <t>CANTIDAD PRODUCIDA DE ACIDO NITRICO</t>
  </si>
  <si>
    <t>Producción de plomo</t>
  </si>
  <si>
    <t>2B4 PRODUCCION DE CAPROLACTAMA, GLOXIL Y ACIDO GLIOXILICO</t>
  </si>
  <si>
    <t>CANTIDAD DE CAPROLACTAMA PRODUCIDA</t>
  </si>
  <si>
    <t>Industria de pulpa y papel</t>
  </si>
  <si>
    <t>2B8b PRODUCCION DE ETILENO</t>
  </si>
  <si>
    <t>CANTIDAD DE ETILENO PRODUCIDA</t>
  </si>
  <si>
    <t>Industria de alimentación</t>
  </si>
  <si>
    <t>2B8c PRODUCCION DE DICLORURO DE ETILENO Y MONÓMERO CLORURO DE VINILO</t>
  </si>
  <si>
    <t>c</t>
  </si>
  <si>
    <t>CANTIDAD DE DICLORURO DE ETILENO Y MONÓMERO CLORURO DE VINILO PRODUCIDA</t>
  </si>
  <si>
    <t>2B8f PRODUCCION DE NEGRO DE HUMO</t>
  </si>
  <si>
    <t>f</t>
  </si>
  <si>
    <t>CANTIDAD DE NEGRO DE HUMO PRODUCIDA</t>
  </si>
  <si>
    <t>2C1 PRODUCCION DE HIERRO Y ACERO</t>
  </si>
  <si>
    <t>C</t>
  </si>
  <si>
    <t>CANTIDAD DE ACERO BOF PRODUCIDA</t>
  </si>
  <si>
    <t>ACERO BOF</t>
  </si>
  <si>
    <t>CANTIDAD DE ACERO EAF PRODUCIDA</t>
  </si>
  <si>
    <t>ACERO EAF</t>
  </si>
  <si>
    <t>CANTIDAD DE SÍNTER PRODUCIDO PRODUCIDA</t>
  </si>
  <si>
    <t>ACERO SINTERIZADO</t>
  </si>
  <si>
    <t>CANTIDAD DE ARRABIO PRODUCIDO PRODUCIDA</t>
  </si>
  <si>
    <t>ARRABIO</t>
  </si>
  <si>
    <t>Remoción promedio de N2O en la producción</t>
  </si>
  <si>
    <t>2C2 PRODUCCION DE FERROALEACIONES</t>
  </si>
  <si>
    <t>CANTIDAD DE FERROALEACIONES PRODUCIDAS</t>
  </si>
  <si>
    <t>FERRONIQUEL</t>
  </si>
  <si>
    <t>2D1 USO DE LUBRICANTES</t>
  </si>
  <si>
    <t>D</t>
  </si>
  <si>
    <t>USO DE LUBRICANTES</t>
  </si>
  <si>
    <t>GRASAS LUBRICANTES</t>
  </si>
  <si>
    <t xml:space="preserve"> (kg N2O/t ácido nítrico producido)</t>
  </si>
  <si>
    <t>ACEITES LUBRICANTES</t>
  </si>
  <si>
    <t>Factor de emisión</t>
  </si>
  <si>
    <t>2D2 USO DE CERA DE PARAFINA</t>
  </si>
  <si>
    <t>USO DE CERA DE PARAFINA</t>
  </si>
  <si>
    <t>CERAS PARAFINAS</t>
  </si>
  <si>
    <t>2G1b USO DE EQUIPOS ELECTRICOS</t>
  </si>
  <si>
    <t>G</t>
  </si>
  <si>
    <t>USO DE EQUIPOS ELECTRICOS</t>
  </si>
  <si>
    <t>GENERACION TOTAL DE ENERGIA ELECTRICA</t>
  </si>
  <si>
    <t>2C5 PRODUCCION DE PLOMO</t>
  </si>
  <si>
    <t>CANTIDAD PRODUCIDA DE PLOMO</t>
  </si>
  <si>
    <t>PLOMO SECUNDARIO</t>
  </si>
  <si>
    <t>Índice Intensidad Energía  MJ/ t Clinker</t>
  </si>
  <si>
    <t>Tasa de ecoprocesamiento ( fracción)</t>
  </si>
  <si>
    <t xml:space="preserve">Producción anual de ladrillos </t>
  </si>
  <si>
    <t>Ladrillos</t>
  </si>
  <si>
    <t>Índice de consumo</t>
  </si>
  <si>
    <t>kg combustible/t arcilla</t>
  </si>
  <si>
    <t>Aserrín</t>
  </si>
  <si>
    <t>Cisco de café</t>
  </si>
  <si>
    <t>Diésel Oíl</t>
  </si>
  <si>
    <t>Hierro y acero</t>
  </si>
  <si>
    <t>Factor de utilización de autogeneración y cogeneración</t>
  </si>
  <si>
    <t>Autogeneración</t>
  </si>
  <si>
    <t>Cogeneración</t>
  </si>
  <si>
    <t xml:space="preserve">Capacidad instalada de auto-generación </t>
  </si>
  <si>
    <t>Hidráulicos</t>
  </si>
  <si>
    <t>Excedentes de autogeneración</t>
  </si>
  <si>
    <t xml:space="preserve">Capacidad instalada de cogeneración </t>
  </si>
  <si>
    <t xml:space="preserve">Excedentes de cogeneración </t>
  </si>
  <si>
    <t xml:space="preserve">Emisión de SAO </t>
  </si>
  <si>
    <t>GgCO2 e</t>
  </si>
  <si>
    <t>Costo Incremental de la Reducción</t>
  </si>
  <si>
    <t>Índice de Uso energético por Industria</t>
  </si>
  <si>
    <t>Costos de Capital Eficiencia energética (reducción de consumo energético)</t>
  </si>
  <si>
    <t>Costos de Capital Eficiencia Energética (reducción de consumo energético) Alto</t>
  </si>
  <si>
    <t>Costos de Capital Eficiencia Energética (reducción de consumo energético) Medio</t>
  </si>
  <si>
    <t>Costos de Capital Eficiencia Energética (reducción de consumo energético) Bajo</t>
  </si>
  <si>
    <t xml:space="preserve">Costos de O&amp;M Eficiencia Energética (reducción de consumo energético) </t>
  </si>
  <si>
    <t>Costos de O&amp;M Eficiencia Energética  (reducción de consumo energético) Alto</t>
  </si>
  <si>
    <t>Costos de O&amp;M Eficiencia Energética (reducción de consumo energético) Medio</t>
  </si>
  <si>
    <t>Costos de O&amp;M Eficiencia Energética  (reducción de consumo energético) Bajo</t>
  </si>
  <si>
    <t xml:space="preserve">POR COMBUSTIBLE </t>
  </si>
  <si>
    <t>Energía requerida</t>
  </si>
  <si>
    <t>Hidráulico</t>
  </si>
  <si>
    <t>Energía producida por autogeneración y cogeneración</t>
  </si>
  <si>
    <t>Balance total de la energía requerida</t>
  </si>
  <si>
    <t xml:space="preserve">Bagazo </t>
  </si>
  <si>
    <t>TOTAL ELECTRICIDAD</t>
  </si>
  <si>
    <t>TOTAL OTROS COMBUSTIBLES</t>
  </si>
  <si>
    <t>Total inyectado a red</t>
  </si>
  <si>
    <t>POR TIPO DE INDUSTRIA</t>
  </si>
  <si>
    <t xml:space="preserve">Otros </t>
  </si>
  <si>
    <t>Balance total de la energía</t>
  </si>
  <si>
    <t>Gases efecto invernadero</t>
  </si>
  <si>
    <t>Tipo de Industria</t>
  </si>
  <si>
    <t>TOTAL EMISIONES INDUSTRIA</t>
  </si>
  <si>
    <t>Emisiones por el consumo de bagazo y otros</t>
  </si>
  <si>
    <t>Emisiones provenientes de Agricultura</t>
  </si>
  <si>
    <t>Metodología</t>
  </si>
  <si>
    <t>Emisiones por consumo energético</t>
  </si>
  <si>
    <t>Emisiones procesos industriales</t>
  </si>
  <si>
    <t>Energía producida y requerida</t>
  </si>
  <si>
    <t>1. Emisiones por consumo energético</t>
  </si>
  <si>
    <t xml:space="preserve">Consumo energético por combustible = Consumo de combustible *eficiencia energética </t>
  </si>
  <si>
    <t>Químico</t>
  </si>
  <si>
    <t>Alimentación y bebidas</t>
  </si>
  <si>
    <t xml:space="preserve">Consumo energético por autogeneración = Consumo de combustible *eficiencia energética </t>
  </si>
  <si>
    <t xml:space="preserve">Consumo energético por cogeneración = Consumo de combustible *eficiencia energética </t>
  </si>
  <si>
    <t xml:space="preserve">Excedentes de auto y cogeneración = Excedente de autogeneración *eficiencia energética + Excedente de cogeneración *eficiencia energética </t>
  </si>
  <si>
    <t xml:space="preserve"> Emisiones por consumo energético= Consumo energético*FE</t>
  </si>
  <si>
    <t xml:space="preserve">Emisiones evitadas de auto y cogeneración = Excedente de autogeneración *eficiencia energética + Excedente de cogeneración *eficiencia energética </t>
  </si>
  <si>
    <t>Emisiones CH4</t>
  </si>
  <si>
    <t>Emisiones N2O</t>
  </si>
  <si>
    <t>Emisiones por procesos industriales</t>
  </si>
  <si>
    <t>Emisiones por sector=Toneladas de producción*FE</t>
  </si>
  <si>
    <t>Cal</t>
  </si>
  <si>
    <t>Vidrio</t>
  </si>
  <si>
    <t>Ácido nítrico</t>
  </si>
  <si>
    <t>Amoniaco</t>
  </si>
  <si>
    <t>Ferroaleaciones</t>
  </si>
  <si>
    <t>Emisiones totales procesos industriales</t>
  </si>
  <si>
    <t>Sustitución de energía ( aporte otros materiales)  TJ al año</t>
  </si>
  <si>
    <t>Estimación de materiales/ residuos toneladas al año</t>
  </si>
  <si>
    <t>Emisiones evitada de la degradación de residuos y manejo de estos ( t CO2e / año)</t>
  </si>
  <si>
    <t>MTCO2eq</t>
  </si>
  <si>
    <t>Cantidad de Residuos generada anual</t>
  </si>
  <si>
    <t>% respecto al año base</t>
  </si>
  <si>
    <t>Dato Base (Tn)-2018</t>
  </si>
  <si>
    <t>Residuos totales generados</t>
  </si>
  <si>
    <t>Residuos en sistema autorizado</t>
  </si>
  <si>
    <t>No autorizado</t>
  </si>
  <si>
    <t>Relleno sanitario controlados</t>
  </si>
  <si>
    <t>Planta de tratamiento:</t>
  </si>
  <si>
    <t>- Reciclado</t>
  </si>
  <si>
    <t>Capacidad instalada</t>
  </si>
  <si>
    <t>Capacidad instalada para los sistemas de Incineración</t>
  </si>
  <si>
    <t xml:space="preserve">Sin captación </t>
  </si>
  <si>
    <t>Quema biogás en antorcha</t>
  </si>
  <si>
    <t>Aprovechamiento energético del biogás</t>
  </si>
  <si>
    <t>1. Excesivamente húmedo</t>
  </si>
  <si>
    <t>2. Húmedo</t>
  </si>
  <si>
    <t>3. Moderadamente húmedo</t>
  </si>
  <si>
    <t>4. Moderadamente seco</t>
  </si>
  <si>
    <t xml:space="preserve"> %</t>
  </si>
  <si>
    <t>VERTEDEROS CONTROLADOS</t>
  </si>
  <si>
    <t>Residuos sólidos (Metales, Vidrio, Plásticos, Goma y Otros inorgánicos)</t>
  </si>
  <si>
    <t>DANE</t>
  </si>
  <si>
    <t>m3 CH4/ t residuos</t>
  </si>
  <si>
    <t>Datos de la generación energética de los rellenos sanitarios</t>
  </si>
  <si>
    <t>Dato</t>
  </si>
  <si>
    <t>Potencial eléctrico</t>
  </si>
  <si>
    <t>kWh/m3</t>
  </si>
  <si>
    <t xml:space="preserve">Eficiencia del motor generador </t>
  </si>
  <si>
    <t>% metano en el biogás</t>
  </si>
  <si>
    <t>Datos de la generación energética mediante incineración</t>
  </si>
  <si>
    <t xml:space="preserve">Capacidad de generación </t>
  </si>
  <si>
    <t>KwH/ton RSU</t>
  </si>
  <si>
    <t xml:space="preserve">Consumo energético medio por tratamiento </t>
  </si>
  <si>
    <t>kWh/tn residuos</t>
  </si>
  <si>
    <t xml:space="preserve">Datos para la estimación de las emisiones de incineración </t>
  </si>
  <si>
    <t>Emisiones de CO2</t>
  </si>
  <si>
    <t>% Materia seca</t>
  </si>
  <si>
    <t xml:space="preserve">Carbono total </t>
  </si>
  <si>
    <t xml:space="preserve">Fracción de carbono fósil </t>
  </si>
  <si>
    <t>Factor de oxidación</t>
  </si>
  <si>
    <t>FE CO2 t/ t residuos</t>
  </si>
  <si>
    <t xml:space="preserve">*Se asume que la categoría de residuos sólidos no es gestionada mediante incineración </t>
  </si>
  <si>
    <t xml:space="preserve">Total </t>
  </si>
  <si>
    <t xml:space="preserve">Factor de emisión del CH4 para incineración </t>
  </si>
  <si>
    <t xml:space="preserve">Factor de emisión  </t>
  </si>
  <si>
    <t>kg/ Gg</t>
  </si>
  <si>
    <t xml:space="preserve">t CH4 /t residuos </t>
  </si>
  <si>
    <t xml:space="preserve">g N2O /t residuos </t>
  </si>
  <si>
    <t xml:space="preserve">t N2O /t residuos </t>
  </si>
  <si>
    <t>ESCENARIO ALTO</t>
  </si>
  <si>
    <t>Costos  estimados de Capital</t>
  </si>
  <si>
    <t>Costos  estimados de Operación y Mantenimiento</t>
  </si>
  <si>
    <t xml:space="preserve">Disposición y transporte </t>
  </si>
  <si>
    <t>ESCENARIO MEDIO</t>
  </si>
  <si>
    <t>Costos  estimados de Capital: Escenario Medio</t>
  </si>
  <si>
    <t>Costos  estimados de Operación y Mantenimiento: Escenario Medio</t>
  </si>
  <si>
    <t>Disposición y transporte</t>
  </si>
  <si>
    <t xml:space="preserve">ESCENARIO BAJO </t>
  </si>
  <si>
    <t>Costos  estimados de Capital: Escenario Bajo</t>
  </si>
  <si>
    <t>Costos  estimados de Operación y Mantenimiento: Escenario Bajo</t>
  </si>
  <si>
    <t>Energía consumida</t>
  </si>
  <si>
    <t>Total consumido</t>
  </si>
  <si>
    <t>Energía producida</t>
  </si>
  <si>
    <t>Total producido</t>
  </si>
  <si>
    <t>TOTAL INYECTADO A RED</t>
  </si>
  <si>
    <t xml:space="preserve">Emisiones de Gases de Efecto Invernadero - RESIDUOS </t>
  </si>
  <si>
    <t xml:space="preserve">Gases GEI </t>
  </si>
  <si>
    <t xml:space="preserve">CO2 (biogénico) </t>
  </si>
  <si>
    <t>CO2 e</t>
  </si>
  <si>
    <t>Quema en antorcha</t>
  </si>
  <si>
    <t>Total CO2 e</t>
  </si>
  <si>
    <t>Emisiones de Gases de Efecto Invernadero - ENERGÍA</t>
  </si>
  <si>
    <t xml:space="preserve">Total CO2 e </t>
  </si>
  <si>
    <t>Estimaciones de Coste</t>
  </si>
  <si>
    <t>Costos de capital ALTO</t>
  </si>
  <si>
    <t>Costos de capital MEDIO</t>
  </si>
  <si>
    <t xml:space="preserve">Costos de capital BAJO </t>
  </si>
  <si>
    <t>Costos de operación ALTO</t>
  </si>
  <si>
    <t xml:space="preserve">Costos de operación MEDIO </t>
  </si>
  <si>
    <t xml:space="preserve">Costos de operación BAJO </t>
  </si>
  <si>
    <t>Residuos generados x %de tipo de sistema =</t>
  </si>
  <si>
    <t>CANTIDAD DE RESIDUOS POR TIPO DE SISTEMA</t>
  </si>
  <si>
    <t>Tn</t>
  </si>
  <si>
    <t>Tipo gestión</t>
  </si>
  <si>
    <t>Sistema autorizado</t>
  </si>
  <si>
    <t>Residuos generados en sistema autorizado x %de tipo de gestión =</t>
  </si>
  <si>
    <t>CANTIDAD DE RESIDUOS POR TIPO DE GESTIÓN</t>
  </si>
  <si>
    <t>EMISIONES DE LOS TRATAMIENTOS</t>
  </si>
  <si>
    <t>Residuos tratados en cada tipo de gestión =</t>
  </si>
  <si>
    <t>RELLENO SANITARIO</t>
  </si>
  <si>
    <t>Tipo de Relleno sanitario</t>
  </si>
  <si>
    <t>Cantidad de Tn destinadas a los distintos tipos de rellenos x % zona climática</t>
  </si>
  <si>
    <t>m3 CH4</t>
  </si>
  <si>
    <t>Biogás por zona climática y caracterización de residuos</t>
  </si>
  <si>
    <t>ZONA CLIMÁTICA 1</t>
  </si>
  <si>
    <t>ZONA CLIMÁTICA 2</t>
  </si>
  <si>
    <t>ZONA CLIMÁTICA 3</t>
  </si>
  <si>
    <t>ZONA CLIMÁTICA 4</t>
  </si>
  <si>
    <t xml:space="preserve">CH4 generado por caracterización de residuo x %tipo de sistema </t>
  </si>
  <si>
    <t>Tn por zona climática y tipo de RS</t>
  </si>
  <si>
    <t>TOTALES</t>
  </si>
  <si>
    <t>CELDA DE CONTNGENCIA</t>
  </si>
  <si>
    <t>Tn residuos por tipo de gestión x %zona climática x % caracterización x FE CH4</t>
  </si>
  <si>
    <t>TRATAMIENTO MECÁNICO BIOLÓGICO -Compostaje</t>
  </si>
  <si>
    <t>Tn residuos por tipo de gestión x FE CH4</t>
  </si>
  <si>
    <t>Mt GEI</t>
  </si>
  <si>
    <t>INCINERACIÓN</t>
  </si>
  <si>
    <t xml:space="preserve">kg GEI </t>
  </si>
  <si>
    <t xml:space="preserve">GENERACIÓN / CONSUMO ENERGÉTICO </t>
  </si>
  <si>
    <t xml:space="preserve">Generación por tipo de tratamiento </t>
  </si>
  <si>
    <t xml:space="preserve">Relleno sanitario </t>
  </si>
  <si>
    <t>Incineración</t>
  </si>
  <si>
    <t xml:space="preserve">Consumo por tipo de tratamiento </t>
  </si>
  <si>
    <t>Cantidad de Aguas Residuales Domésticas</t>
  </si>
  <si>
    <t>Aguas residuales domésticas:</t>
  </si>
  <si>
    <t>- Aguas reutilizadas</t>
  </si>
  <si>
    <t>- Total Aguas tratadas</t>
  </si>
  <si>
    <t>- Aguas no tratadas</t>
  </si>
  <si>
    <t>Cantidad de Aguas residuales Industriales</t>
  </si>
  <si>
    <t>Aguas residuales industriales:</t>
  </si>
  <si>
    <t>% de Estaciones de Tratamiento de Aguas Residuales Municipales con extracción de Biogás</t>
  </si>
  <si>
    <t>% de Estaciones de Tratamiento de Aguas Residuales Industriales con extracción de Biogás</t>
  </si>
  <si>
    <t>kg DBO / m3 agua tratada</t>
  </si>
  <si>
    <t>kg DBO / m3 agua no tratada</t>
  </si>
  <si>
    <t>kg CH4 / kg DBO</t>
  </si>
  <si>
    <t>Datos de la generación energética de las estaciones  de tratamiento</t>
  </si>
  <si>
    <t>KwH/ m3 agua tratada</t>
  </si>
  <si>
    <t>Tratamiento de Aguas Residuales Domésticas</t>
  </si>
  <si>
    <t xml:space="preserve">Tratamiento de Aguas Residuales Industriales </t>
  </si>
  <si>
    <t xml:space="preserve">ESCENARIO ALTO </t>
  </si>
  <si>
    <t xml:space="preserve">Descripción </t>
  </si>
  <si>
    <t>Estaciones de Tratamiento de AR sin captación</t>
  </si>
  <si>
    <t>Estaciones de Tratamiento de AR con extracción de Biogás</t>
  </si>
  <si>
    <t xml:space="preserve">ESCENARIO MEDIO </t>
  </si>
  <si>
    <t>Energía consumida por las Aguas Residuales Domésticas</t>
  </si>
  <si>
    <t xml:space="preserve">Energía consumida por las Aguas Residuales Industriales </t>
  </si>
  <si>
    <t>Energía generada por las Aguas Residuales Domésticas</t>
  </si>
  <si>
    <t xml:space="preserve">Energía generada por las Aguas Residuales Industriales </t>
  </si>
  <si>
    <t>TOTAL GENERACIÓN</t>
  </si>
  <si>
    <t>BALANCE ENERGÉTICO TOTAL</t>
  </si>
  <si>
    <t>ENERGÍA INYECTADA A RED</t>
  </si>
  <si>
    <t>Emisiones de Gases de Efecto Invernadero - Aguas Residuales</t>
  </si>
  <si>
    <t>Aguas Residuales Domésticas</t>
  </si>
  <si>
    <t>Mt</t>
  </si>
  <si>
    <t>TCO2e</t>
  </si>
  <si>
    <t>N20</t>
  </si>
  <si>
    <t>Total CO2 e ARD</t>
  </si>
  <si>
    <t>TCO2E</t>
  </si>
  <si>
    <t>Total CO2 e ARI</t>
  </si>
  <si>
    <t xml:space="preserve">TOTAL EMISIONES GEI AGUAS RESIDUALES </t>
  </si>
  <si>
    <t xml:space="preserve">Emisiones de Gases de Efecto Invernadero - ENERGÍA </t>
  </si>
  <si>
    <t>TOTAL EMISIONES GEI ENERGÍA</t>
  </si>
  <si>
    <t>Aguas residuales domesticas</t>
  </si>
  <si>
    <t>Aguas residuales industriales</t>
  </si>
  <si>
    <t>Generación energética</t>
  </si>
  <si>
    <t>AGUAS RESIDUALES DOMESTICAS</t>
  </si>
  <si>
    <t>Aguas reutilizadas</t>
  </si>
  <si>
    <t>Total Aguas tratadas</t>
  </si>
  <si>
    <t>Aguas no tratadas</t>
  </si>
  <si>
    <t xml:space="preserve">DBO por m3 de agua residual doméstica </t>
  </si>
  <si>
    <t>kg DBO</t>
  </si>
  <si>
    <t xml:space="preserve">CH4 por m3 de agua residual domestica </t>
  </si>
  <si>
    <t>Emisiones derivadas del aprovechamiento energético</t>
  </si>
  <si>
    <t>Emisiones sin aprovechamiento energético</t>
  </si>
  <si>
    <t>AGUAS RESIDUALES INDUSTRIALES</t>
  </si>
  <si>
    <t xml:space="preserve"> kg DBO</t>
  </si>
  <si>
    <t>CH4 por m3 de agua residual industrial tratada</t>
  </si>
  <si>
    <t>GENERACIÓN ENERGÉTICA</t>
  </si>
  <si>
    <t>Producción energética ARD</t>
  </si>
  <si>
    <t>Aguas residuales domesticas tratadas con sistemas de extracción de biogás</t>
  </si>
  <si>
    <t>Producción energética ARI</t>
  </si>
  <si>
    <t>Aguas residuales industriales tratadas con sistemas de extracción de biogás</t>
  </si>
  <si>
    <t>Consumo energético</t>
  </si>
  <si>
    <t>TWH</t>
  </si>
  <si>
    <t>Aguas Industriales</t>
  </si>
  <si>
    <t>Nuevos</t>
  </si>
  <si>
    <t>Existentes</t>
  </si>
  <si>
    <t>Demanda para acondicionamiento de espacios  (solo eficiencia)</t>
  </si>
  <si>
    <t>% Implementación</t>
  </si>
  <si>
    <t>% Equipos para el acondicionamiento de espacios de alta eficiencia</t>
  </si>
  <si>
    <t xml:space="preserve">% de Tenencia </t>
  </si>
  <si>
    <t>Costos de capital (diseño y eficiencia)</t>
  </si>
  <si>
    <t>Costos de capital  (solo eficiencia)</t>
  </si>
  <si>
    <t>Costos de operación  (solo eficiencia)</t>
  </si>
  <si>
    <t>Acondicionamiento de espacios</t>
  </si>
  <si>
    <t>Electricidad ( entregado al usuario final)</t>
  </si>
  <si>
    <t xml:space="preserve">Emisiones de gases efecto invernadero </t>
  </si>
  <si>
    <t>Estimación alta de los costos de capital</t>
  </si>
  <si>
    <t>Estimación media de los costos de capital</t>
  </si>
  <si>
    <t xml:space="preserve">Estimación baja de los costos de capital </t>
  </si>
  <si>
    <t xml:space="preserve">Estimación alta  de los costos de operación </t>
  </si>
  <si>
    <t xml:space="preserve">Estimación media de los costos de operación </t>
  </si>
  <si>
    <t xml:space="preserve">Estimación baja de los costos de operación </t>
  </si>
  <si>
    <t>DISEÑO Y EFICIENCIA</t>
  </si>
  <si>
    <t>Demanda para acondicionamiento (Diseño y eficiencia) x (% implementación)  x (% Tenencia) x (%Hogares Nuevos)</t>
  </si>
  <si>
    <t>=</t>
  </si>
  <si>
    <t>DEMANDA DISEÑO Y EFICIENCIA VIVIENDAS NUEVAS</t>
  </si>
  <si>
    <t>Demanda para acondicionamiento (Diseño y eficiencia)  x (% implementación)  x (% Tenencia) x (1- %Hogares Nuevos)</t>
  </si>
  <si>
    <t>DEMANDA DISEÑO Y EFICIENCIA VIVIENDAS EXISTENTES</t>
  </si>
  <si>
    <t>Demanda diseño y eficiencia viviendas nuevas + Demanda diseño y eficiencia viviendas existentes</t>
  </si>
  <si>
    <t>DEMANDA TOTAL  DISEÑO Y EFICIENCIA</t>
  </si>
  <si>
    <t>Total diseño y eficiencia</t>
  </si>
  <si>
    <t>EFICIENCIA</t>
  </si>
  <si>
    <t>Demanda para acondicionamiento (Eficiencia)  x (1- % implementación)  x (% Tenencia) x (%Hogares Nuevos)</t>
  </si>
  <si>
    <t>DEMANDA EFICIENCIA VIVIENDAS NUEVAS</t>
  </si>
  <si>
    <t>Demanda para acondicionamiento (Eficiencia)   x (1- % implementación)  x (% Tenencia) x (1-%Hogares Nuevos)</t>
  </si>
  <si>
    <t>DEMANDA EFICIENCIA VIVIENDAS EXISTENTES</t>
  </si>
  <si>
    <t>Demanda eficiencia viviendas nuevas + Demanda eficiencia viviendas existentes</t>
  </si>
  <si>
    <t>DEMANDA TOTAL EFICIENCIA</t>
  </si>
  <si>
    <t>DEMANDA TOTAL PARA ACONDICIONAMIENTO DE ESPACIOS</t>
  </si>
  <si>
    <t>Eficiencia energética y equipos eficientes</t>
  </si>
  <si>
    <t>Demanda Iluminación</t>
  </si>
  <si>
    <t>TWh/Hogar mes</t>
  </si>
  <si>
    <t>Porcentaje tecnología para Iluminación</t>
  </si>
  <si>
    <t>Demanda total por refrigeración</t>
  </si>
  <si>
    <t>Refrigeración</t>
  </si>
  <si>
    <t>Porcentaje de neveras más eficientes</t>
  </si>
  <si>
    <t>Demanda cocción con Gas Natural</t>
  </si>
  <si>
    <t>Cocción</t>
  </si>
  <si>
    <t>Twhe</t>
  </si>
  <si>
    <t>Porcentaje de estufas con eficiencia mejorada</t>
  </si>
  <si>
    <t>TWhe/mes</t>
  </si>
  <si>
    <t>Reducción total de la demanda de energía eléctrica</t>
  </si>
  <si>
    <t xml:space="preserve">Potencia instalada </t>
  </si>
  <si>
    <t>TW</t>
  </si>
  <si>
    <t>TRAYECTORIA</t>
  </si>
  <si>
    <t>Demanda Energía eléctrica por uso</t>
  </si>
  <si>
    <t>TWhe/Hogar mes</t>
  </si>
  <si>
    <t>Calentar agua</t>
  </si>
  <si>
    <t>Demanda Gas Natural por uso</t>
  </si>
  <si>
    <t>Demanda GLP por uso</t>
  </si>
  <si>
    <t>% Tenencia por uso - Energía eléctrica</t>
  </si>
  <si>
    <t>% Tenencia por uso - Gas Natural</t>
  </si>
  <si>
    <t>% Tenencia por uso - GLP</t>
  </si>
  <si>
    <t>nº</t>
  </si>
  <si>
    <t>Porcentaje de tenencia refrigeradores</t>
  </si>
  <si>
    <t>Refrigeradores</t>
  </si>
  <si>
    <t>Horas útiles de operación de la autogeneración solar fotovoltaica</t>
  </si>
  <si>
    <t>Hora útiles</t>
  </si>
  <si>
    <t>Iluminación</t>
  </si>
  <si>
    <t>Costos de capital por tecnología - Escenario Alto</t>
  </si>
  <si>
    <t>Costos de capital por tecnología - Escenario Medio</t>
  </si>
  <si>
    <t>Costos de capital por tecnología - Escenario Bajo</t>
  </si>
  <si>
    <t>Costos capital por refrigerador - Escenario Alto</t>
  </si>
  <si>
    <t>Nivel</t>
  </si>
  <si>
    <t>Costos capital por refrigerador - Escenario Medio</t>
  </si>
  <si>
    <t>Costos capital por refrigerador - Escenario Bajo</t>
  </si>
  <si>
    <t>Estimación costos de capital - Escenario alto</t>
  </si>
  <si>
    <t>Estimación costos de capital - Escenario medio</t>
  </si>
  <si>
    <t>Estimación costos de capital - Escenario bajo</t>
  </si>
  <si>
    <t>Iluminación y otros usos</t>
  </si>
  <si>
    <t xml:space="preserve">CONSUMO TOTAL </t>
  </si>
  <si>
    <t xml:space="preserve">Generación </t>
  </si>
  <si>
    <t>Solar fotovoltaica</t>
  </si>
  <si>
    <t xml:space="preserve">BALANCE ENERGÉTICO TOTAL </t>
  </si>
  <si>
    <t xml:space="preserve">Estimación Baja de los costos de capital </t>
  </si>
  <si>
    <t>DEMANDA TOTAL ILUMINACIÓN</t>
  </si>
  <si>
    <t>DEMANDA TOTAL REFRIGERACIÓN</t>
  </si>
  <si>
    <t>Demanda electricidad x porcentaje de tenencia uso - electricidad</t>
  </si>
  <si>
    <t>DEMANDA TOTAL COCCIÓN</t>
  </si>
  <si>
    <t>Demanda por hogar x porcentaje de tenencia</t>
  </si>
  <si>
    <t>DEMANDA TOTAL CALENTAMIENTO DE AGUA</t>
  </si>
  <si>
    <t>DEMANDA TOTAL OTROS USOS</t>
  </si>
  <si>
    <t>DEMANDA TOTAL POR ZONA CLIMATICA Y ENERGÉTICO</t>
  </si>
  <si>
    <t>REDUCCIÓN POR USO Y HABITOS DE CONSUMO</t>
  </si>
  <si>
    <t>GENERACIÓN SOLAR FOTOVOLTAICA</t>
  </si>
  <si>
    <t>EMISIONES</t>
  </si>
  <si>
    <t xml:space="preserve">CO2 </t>
  </si>
  <si>
    <t>NO2</t>
  </si>
  <si>
    <t>Demanda de GLP</t>
  </si>
  <si>
    <t>Número de Estufas de GLP</t>
  </si>
  <si>
    <t xml:space="preserve">Costos de Capital </t>
  </si>
  <si>
    <t>Costo de Capital Alto</t>
  </si>
  <si>
    <t>Demanda edificaciones rurales</t>
  </si>
  <si>
    <t>Hidrocarburos gaseosos (GLP)</t>
  </si>
  <si>
    <t>Demanda de energía</t>
  </si>
  <si>
    <t xml:space="preserve">Cálculo de emisiones </t>
  </si>
  <si>
    <t>Cálculo de costos</t>
  </si>
  <si>
    <t>DEMANDA DE ENERGÍA</t>
  </si>
  <si>
    <t xml:space="preserve">Eléctrica </t>
  </si>
  <si>
    <t>TOTAL DEMANDA ENERGÍA</t>
  </si>
  <si>
    <t>CÁLCULO DE EMISIONES</t>
  </si>
  <si>
    <t>CÁLCULO DE COSTOS</t>
  </si>
  <si>
    <t>Cambio consumo energía con respecto al nivel 1 para los 5 años precedentes</t>
  </si>
  <si>
    <t>Estimado de costos por año - Escenario Alto</t>
  </si>
  <si>
    <t>Estimado de costos por año - Escenario Medio</t>
  </si>
  <si>
    <t>Estimado de costos por año - Escenario Bajo</t>
  </si>
  <si>
    <t>Demanda total energía para acondicionamiento de espacios (diseño y eficiencia)</t>
  </si>
  <si>
    <t>Demanda total energía para acondicionamiento de espacios (eficiencia)</t>
  </si>
  <si>
    <t xml:space="preserve">Diseño y eficiencia </t>
  </si>
  <si>
    <t>USD/TWh</t>
  </si>
  <si>
    <t xml:space="preserve">Sólo eficiencia </t>
  </si>
  <si>
    <t xml:space="preserve">Costos / TWh reducido </t>
  </si>
  <si>
    <t>Diseño y eficiencia</t>
  </si>
  <si>
    <t>Reducción consumo de energía con respecto al nivel 1 X costo</t>
  </si>
  <si>
    <t>Estimado de costos por año - Escenario alto</t>
  </si>
  <si>
    <t>Estimado de costos por año - Escenario medio</t>
  </si>
  <si>
    <t>Estimado de costos por año - Escenario bajo</t>
  </si>
  <si>
    <t>Eficiencia</t>
  </si>
  <si>
    <t>DEMANDA TOTAL = DEMANDA TOTAL (DISEÑO Y EFICIENCIA) + DEMANDA TOTAL (EFICIENCIA)</t>
  </si>
  <si>
    <t>DEMANDA NUEVAS DISEÑO Y EFICIENCIA</t>
  </si>
  <si>
    <t>% Reducción por eficiencia en la iluminación</t>
  </si>
  <si>
    <t>% Reducción por eficiencia en refrigeración</t>
  </si>
  <si>
    <t xml:space="preserve"> % Reducción por eficiencia en usos térmicos</t>
  </si>
  <si>
    <t>Usos térmicos</t>
  </si>
  <si>
    <t>Consumo total de energía por uso</t>
  </si>
  <si>
    <t>Equipamiento</t>
  </si>
  <si>
    <t xml:space="preserve">Hidrocarburos </t>
  </si>
  <si>
    <t xml:space="preserve">Participación de los energéticos en los usos térmicos x consumo total </t>
  </si>
  <si>
    <t>1A</t>
  </si>
  <si>
    <t>CONSUMO POR ENERGETICO (usos térmicos)</t>
  </si>
  <si>
    <t xml:space="preserve">Consumo por energético x reducción en eficiencia por usos térmicos </t>
  </si>
  <si>
    <t>1B CONSUMO POR ENERGETICO DESPUÉS DE MEDIDAS (usos térmicos)</t>
  </si>
  <si>
    <t>1C CONSUMO POR ENERGETICO DESPUÉS DE MEDIDAS (usos térmicos)</t>
  </si>
  <si>
    <t>Consumo total de energía por uso - Equipamiento x Participación de los energéticos en equipamiento</t>
  </si>
  <si>
    <t>2A</t>
  </si>
  <si>
    <t>CONSUMO POR ENERGETICO (Equipamiento)</t>
  </si>
  <si>
    <t>2B</t>
  </si>
  <si>
    <t>CONSUMO ELÉCTRICO DESPUÉS DE MEDIDAS</t>
  </si>
  <si>
    <t>2E</t>
  </si>
  <si>
    <t>Transporte urbano - Distribución modal</t>
  </si>
  <si>
    <t>Modo</t>
  </si>
  <si>
    <t>Caminata</t>
  </si>
  <si>
    <t>Vehículos livianos</t>
  </si>
  <si>
    <t>Férreo</t>
  </si>
  <si>
    <t>Transporte urbano - Distancia Promedio por viaje por modo</t>
  </si>
  <si>
    <t>km viaje</t>
  </si>
  <si>
    <t>Transporte urbano - Distribución por tecnología</t>
  </si>
  <si>
    <t>% por tecnología</t>
  </si>
  <si>
    <t>Vehículos</t>
  </si>
  <si>
    <t>Vehículo híbrido enchufable</t>
  </si>
  <si>
    <t>Número de viajes por habitante al año</t>
  </si>
  <si>
    <t>Taxis</t>
  </si>
  <si>
    <t>Buses-BRT</t>
  </si>
  <si>
    <t>Hidrocarburos líquidos</t>
  </si>
  <si>
    <t>Km/TJ</t>
  </si>
  <si>
    <t>Vehículo de combustión convencional - Gasolina</t>
  </si>
  <si>
    <t>Vehículo de combustión convencional - Diésel</t>
  </si>
  <si>
    <t>Vehículo de combustión convencional -Diésel</t>
  </si>
  <si>
    <t>Eléctricos</t>
  </si>
  <si>
    <t>TWh/ Km</t>
  </si>
  <si>
    <t>PHEV - Eléctrico</t>
  </si>
  <si>
    <t>EV</t>
  </si>
  <si>
    <t>Gas natural vehicular</t>
  </si>
  <si>
    <t>Km</t>
  </si>
  <si>
    <t>Distancia</t>
  </si>
  <si>
    <t>Fluvial</t>
  </si>
  <si>
    <t>Aéreo</t>
  </si>
  <si>
    <t>Tasa</t>
  </si>
  <si>
    <t>Demanda energía</t>
  </si>
  <si>
    <t>GN Licuado</t>
  </si>
  <si>
    <t>Km/ TJ</t>
  </si>
  <si>
    <t>km/vehículo</t>
  </si>
  <si>
    <t>Total viajes anuales</t>
  </si>
  <si>
    <t>viajes</t>
  </si>
  <si>
    <t>N.º viajes</t>
  </si>
  <si>
    <t>Años</t>
  </si>
  <si>
    <t>ICE - Gasolina</t>
  </si>
  <si>
    <t>ICE - Diésel</t>
  </si>
  <si>
    <t>PHEV</t>
  </si>
  <si>
    <t>ICE-Gasolina</t>
  </si>
  <si>
    <t>HEV</t>
  </si>
  <si>
    <t>Número de vehículos - transporte urbano</t>
  </si>
  <si>
    <t xml:space="preserve">nº vehículos </t>
  </si>
  <si>
    <t>Número de vehículos - transporte interurbano</t>
  </si>
  <si>
    <t>Costos de Capital - transporte urbano</t>
  </si>
  <si>
    <t>Estimado de costos de capital por vehículo - Alto</t>
  </si>
  <si>
    <t>Estimado de costos de capital por vehículo - Medio</t>
  </si>
  <si>
    <t>Estimado de costos de capital por vehículo - Bajo</t>
  </si>
  <si>
    <t>Costos de Operación - transporte urbano</t>
  </si>
  <si>
    <t>Estimado de costos de operación por vehículo - Alto</t>
  </si>
  <si>
    <t>Estimado de costos de operación por vehículo - Medio</t>
  </si>
  <si>
    <t>Estimado de costos de operación por vehículo - Bajo</t>
  </si>
  <si>
    <t>Costos de Capital - transporte interurbano</t>
  </si>
  <si>
    <t>Costos de Operación - transporte interurbano</t>
  </si>
  <si>
    <t>Energía requerida - Transporte pasajeros</t>
  </si>
  <si>
    <t>Transporte urbano</t>
  </si>
  <si>
    <t xml:space="preserve">Estimación puntual de los costos de operación </t>
  </si>
  <si>
    <t xml:space="preserve">Estimación Baja de los costos de operación </t>
  </si>
  <si>
    <t>Transporte interurbano</t>
  </si>
  <si>
    <t>Cálculo de la distancia total por modo - Transporte urbano</t>
  </si>
  <si>
    <t>Cálculo de la distancia por tecnología para el modo carretero - Transporte interurbano</t>
  </si>
  <si>
    <t>Cálculo de la demanda de energía - Transporte urbano</t>
  </si>
  <si>
    <t>Cálculo de la demanda de energía - Transporte interurbano</t>
  </si>
  <si>
    <t>Cálculo de la demanda total en TWh - Transporte urbano</t>
  </si>
  <si>
    <t>Cálculo de la demanda total en TWh - Transporte interurbano</t>
  </si>
  <si>
    <t>Agrupación de la demanda de energía por modo</t>
  </si>
  <si>
    <t>Agrupación de la demanda de energía por vector energético</t>
  </si>
  <si>
    <t>CÁLCULO DE LA DISTANCIA TOTAL POR MODO - TRANSPORTE URBANO</t>
  </si>
  <si>
    <t>1.A</t>
  </si>
  <si>
    <t>VIAJES TOTALES</t>
  </si>
  <si>
    <t>Viajes Totales</t>
  </si>
  <si>
    <t>Población total</t>
  </si>
  <si>
    <t>%  de población urbana</t>
  </si>
  <si>
    <t>Total de viajes al año * ST Transporte urbano - Distribución modal =</t>
  </si>
  <si>
    <t>1.B</t>
  </si>
  <si>
    <t>VIAJES TOTALES POR MODO</t>
  </si>
  <si>
    <t>nº viajes</t>
  </si>
  <si>
    <t>Viajes totales por modo * Distancia promedio por viaje por modo =</t>
  </si>
  <si>
    <t>1.C</t>
  </si>
  <si>
    <t xml:space="preserve">DISTANCIA TOTAL POR MODO </t>
  </si>
  <si>
    <t>km total per cápita</t>
  </si>
  <si>
    <t>Distancia total por modo * Distribución por modo  tecnología  =</t>
  </si>
  <si>
    <t>1.E</t>
  </si>
  <si>
    <t>DISTANCIA TOTAL POR MODO Y TECNOLOGÍA</t>
  </si>
  <si>
    <t>km</t>
  </si>
  <si>
    <t xml:space="preserve">Distancia por modo carretero de transporte interurbano * Distribución por modo tecnología = </t>
  </si>
  <si>
    <t>DISTANCIA POR TECNOLOGÍA PARA EL MODO CARRETERO - TRANSPORTE INTERURBANO</t>
  </si>
  <si>
    <t>DEMANDA DE ENERGÍA TRANSPORTE URBANO</t>
  </si>
  <si>
    <t>AGRUPACIÓN POR COMBUSTIBLE</t>
  </si>
  <si>
    <t xml:space="preserve">[1] (Distancia total modo tecnología * % nuevos)/Rendimiento + (Distancia total modo tecnología * (1-% nuevos))/Rendimiento </t>
  </si>
  <si>
    <t>[2] Distancia modo tecnología / Rendimiento</t>
  </si>
  <si>
    <t>[3] Distancia total por modo y tecnología * Rendimiento =</t>
  </si>
  <si>
    <t>[4] Distancia total por modo y tecnología / Rendimiento =</t>
  </si>
  <si>
    <t>[1]</t>
  </si>
  <si>
    <t>Motos 2T</t>
  </si>
  <si>
    <t>Motos 4T</t>
  </si>
  <si>
    <t>Total Diesel</t>
  </si>
  <si>
    <t>[3]</t>
  </si>
  <si>
    <t>Taxi - Vehículo Eléctrico (Batería)</t>
  </si>
  <si>
    <t>Motos - Vehículo Eléctrico (Batería)</t>
  </si>
  <si>
    <t>Buses - Vehículo Eléctrico (Batería)</t>
  </si>
  <si>
    <t>Buses BRT - Vehículo Eléctrico (Batería)</t>
  </si>
  <si>
    <t>Férreo Eléctrico</t>
  </si>
  <si>
    <t>Taxi híbrido enchufable</t>
  </si>
  <si>
    <t>Buses híbrido enchufable</t>
  </si>
  <si>
    <t>Buses BRT híbrido enchufable</t>
  </si>
  <si>
    <t>Total Eléctrico</t>
  </si>
  <si>
    <t>[4]</t>
  </si>
  <si>
    <t>Total Gas Natural</t>
  </si>
  <si>
    <t>DEMANDA DE ENERGÍA TRANSPORTE INTERURBANO</t>
  </si>
  <si>
    <t>4.A</t>
  </si>
  <si>
    <t>DEMANDA ENERGÍA POR TECNOLOGÍA MODO CARRETERO</t>
  </si>
  <si>
    <t>4.B</t>
  </si>
  <si>
    <t>DEMANDA DE ENERGÍA TRANSPORTE OTROS MODOS TRANSPORTE INTERURBANO</t>
  </si>
  <si>
    <t>DEMANDA TOTAL POR MODO Y TECNOLOGÍA TRANSPORTE URBANO</t>
  </si>
  <si>
    <t>MODO DE TRANSPORTE</t>
  </si>
  <si>
    <t>2T - Gasolina</t>
  </si>
  <si>
    <t>4T - Gasolina</t>
  </si>
  <si>
    <t>2T - Diesel</t>
  </si>
  <si>
    <t>4T - Diesel</t>
  </si>
  <si>
    <t>DEMANDA POR MODO Y TECNOLOGÍA TRANSPORTE INTERURBANO</t>
  </si>
  <si>
    <t>7.A</t>
  </si>
  <si>
    <t>7.B</t>
  </si>
  <si>
    <t>7.C</t>
  </si>
  <si>
    <t>TOTAL DEMANDA DE ENERGÍA</t>
  </si>
  <si>
    <t>8.A</t>
  </si>
  <si>
    <t>8.B</t>
  </si>
  <si>
    <t>8.C</t>
  </si>
  <si>
    <t>Demanda de hidrocarburos líquidos</t>
  </si>
  <si>
    <t>Demanda de hidrocarburos gaseosos</t>
  </si>
  <si>
    <t>Emisiones por combustión</t>
  </si>
  <si>
    <t>Mt  N2O</t>
  </si>
  <si>
    <t>t CO2 e</t>
  </si>
  <si>
    <t>Toneladas</t>
  </si>
  <si>
    <t>FERREO</t>
  </si>
  <si>
    <t>CARRETERO</t>
  </si>
  <si>
    <t>FLUVIAL</t>
  </si>
  <si>
    <t>AEREO</t>
  </si>
  <si>
    <t>GN Comprimido</t>
  </si>
  <si>
    <t>Tren de combustión convencional -Diesel</t>
  </si>
  <si>
    <t xml:space="preserve">Tren eléctrico </t>
  </si>
  <si>
    <t>Kms recorridos carga urbana</t>
  </si>
  <si>
    <t>Rendimiento modo carretero</t>
  </si>
  <si>
    <t>Transporte de carga urbano</t>
  </si>
  <si>
    <t>Transporte de carga interurbano</t>
  </si>
  <si>
    <t>Distancia típica por modo</t>
  </si>
  <si>
    <t>nº vehículos</t>
  </si>
  <si>
    <t>Número de vehículos - transporte de carga interurbano</t>
  </si>
  <si>
    <t>CAR</t>
  </si>
  <si>
    <t>Costos de capital por modo - Transporte de carga interurbano</t>
  </si>
  <si>
    <t>$MMCOP/tonelada</t>
  </si>
  <si>
    <t>Costos de capital por vehículo - Transporte de carga urbano</t>
  </si>
  <si>
    <t>$MMCOP/ vehículo</t>
  </si>
  <si>
    <t>Costos de operación por vehículo - Transporte de carga urbano</t>
  </si>
  <si>
    <t>Costos de capital por vehículo - Transporte de carga interurbano</t>
  </si>
  <si>
    <t>Costos de operación por vehículo - Transporte de carga interurbano</t>
  </si>
  <si>
    <t>Energía requerida - Transporte de carretera</t>
  </si>
  <si>
    <t>TECNOLOGIA MODO CARRETERO</t>
  </si>
  <si>
    <t xml:space="preserve">Factor de actividad carga urbana x Distribución por tecnología =
</t>
  </si>
  <si>
    <t xml:space="preserve">FACTOR DE ACTIVIDAD CARGA URBANA POR TECNOLOGÍA </t>
  </si>
  <si>
    <t>1B</t>
  </si>
  <si>
    <t>FACTOR DE ACTIVIDAD CARGA INTERURBANA POR TECNOLOGÍA</t>
  </si>
  <si>
    <t>DEMANDA DE ENERGÍA MODO CARRETERO</t>
  </si>
  <si>
    <t>Factor actividad por tecnología  / rendimiento =</t>
  </si>
  <si>
    <t>CARGA URBANA</t>
  </si>
  <si>
    <t>Lb</t>
  </si>
  <si>
    <t>Kg</t>
  </si>
  <si>
    <t>CARGA INTER URBANA</t>
  </si>
  <si>
    <t>DEMANDA DE ENERGÍA MODO FERREO</t>
  </si>
  <si>
    <t>DEMANDA DE ENERGÍA MODO FLUVIAL</t>
  </si>
  <si>
    <t>DEMANDA DE ENERGÍA MODO AÉREO</t>
  </si>
  <si>
    <t>AÉREO</t>
  </si>
  <si>
    <t xml:space="preserve">Querosene Jet </t>
  </si>
  <si>
    <t>DEMANDA POR MODO DE TRANSPORTE POR CARRETERA</t>
  </si>
  <si>
    <t>`</t>
  </si>
  <si>
    <t>Evolución de los costos marginales de abatimiento</t>
  </si>
  <si>
    <t>$MMCOP/MtCO2e</t>
  </si>
  <si>
    <t xml:space="preserve">Aviación internacional  </t>
  </si>
  <si>
    <t>Aviación y Navegación Internacional</t>
  </si>
  <si>
    <t>Estimaciones de costo operación</t>
  </si>
  <si>
    <t>Baja</t>
  </si>
  <si>
    <t>Media</t>
  </si>
  <si>
    <t>Alta</t>
  </si>
  <si>
    <t xml:space="preserve">Consumo energía </t>
  </si>
  <si>
    <t>Calculo de las emisiones</t>
  </si>
  <si>
    <t>CONSUMO DE ENERGÍA PARA EL TRANSPORTE AÉREO INTERNACIONAL</t>
  </si>
  <si>
    <t xml:space="preserve">1. </t>
  </si>
  <si>
    <t>2. CÁLCULO DE EMISIONES</t>
  </si>
  <si>
    <t>3. CÁLCULO DE COSTOS</t>
  </si>
  <si>
    <t>Gases</t>
  </si>
  <si>
    <t>Uso de combustible nivel 1</t>
  </si>
  <si>
    <t>Combustible ahorrado</t>
  </si>
  <si>
    <t>Combustible ahorrado en el nivel seleccionado</t>
  </si>
  <si>
    <t>Emisiones del nivel 1</t>
  </si>
  <si>
    <t>Abatimiento</t>
  </si>
  <si>
    <t>Estimado de costos de operación - Bajo</t>
  </si>
  <si>
    <t>Estimado de costos de operación - Medio</t>
  </si>
  <si>
    <t>Estimado de costos de operación - Alto</t>
  </si>
  <si>
    <t>Uso de combustible en la navegación nacional</t>
  </si>
  <si>
    <t>Uso de combustible para navegación nacional</t>
  </si>
  <si>
    <r>
      <t>Mt CO</t>
    </r>
    <r>
      <rPr>
        <b/>
        <vertAlign val="subscript"/>
        <sz val="10"/>
        <color theme="1"/>
        <rFont val="Calibri"/>
        <family val="2"/>
        <scheme val="minor"/>
      </rPr>
      <t>2</t>
    </r>
    <r>
      <rPr>
        <b/>
        <sz val="11"/>
        <color theme="1"/>
        <rFont val="Calibri"/>
        <family val="2"/>
        <scheme val="minor"/>
      </rPr>
      <t>e</t>
    </r>
  </si>
  <si>
    <t>Mejores Prácticas Agrícolas (% superficie de implementación)</t>
  </si>
  <si>
    <t xml:space="preserve">Tipo de biocombustible </t>
  </si>
  <si>
    <t>t/ha</t>
  </si>
  <si>
    <t>Mlt/ha</t>
  </si>
  <si>
    <t>TWh/ha</t>
  </si>
  <si>
    <t>TWh/Mlt</t>
  </si>
  <si>
    <t>Producción Biodiesel</t>
  </si>
  <si>
    <t>Producción Bioetanol</t>
  </si>
  <si>
    <t>tCO2/ha</t>
  </si>
  <si>
    <t>Uso Potencial</t>
  </si>
  <si>
    <t>% Uso Potencial</t>
  </si>
  <si>
    <t>Uso actual</t>
  </si>
  <si>
    <t>% Uso actual</t>
  </si>
  <si>
    <t>Diferencia</t>
  </si>
  <si>
    <t>PIB sectorial agrícola</t>
  </si>
  <si>
    <t>MEJORES PRÁCTICAS AGRÍCOLAS</t>
  </si>
  <si>
    <t>Total área de implementación:</t>
  </si>
  <si>
    <t>BIOMASA</t>
  </si>
  <si>
    <t>Cultivo</t>
  </si>
  <si>
    <r>
      <t>t</t>
    </r>
    <r>
      <rPr>
        <b/>
        <vertAlign val="subscript"/>
        <sz val="11"/>
        <color theme="1"/>
        <rFont val="Calibri"/>
        <family val="2"/>
        <scheme val="minor"/>
      </rPr>
      <t>residuos</t>
    </r>
    <r>
      <rPr>
        <b/>
        <sz val="11"/>
        <color theme="1"/>
        <rFont val="Calibri"/>
        <family val="2"/>
        <scheme val="minor"/>
      </rPr>
      <t>/ha</t>
    </r>
  </si>
  <si>
    <t>Caña Panelera</t>
  </si>
  <si>
    <t>Café</t>
  </si>
  <si>
    <t>Maíz</t>
  </si>
  <si>
    <t>Arroz</t>
  </si>
  <si>
    <t>Banano</t>
  </si>
  <si>
    <t>Plátano</t>
  </si>
  <si>
    <t>tResiduo/ tproducto principal</t>
  </si>
  <si>
    <t>TWh/t residuo</t>
  </si>
  <si>
    <t>Tipo Residuo</t>
  </si>
  <si>
    <t>Factor de residuo</t>
  </si>
  <si>
    <t xml:space="preserve">Cuesco </t>
  </si>
  <si>
    <t>Fibra</t>
  </si>
  <si>
    <t>Raquis</t>
  </si>
  <si>
    <t>Caña de Azúcar (Molida)</t>
  </si>
  <si>
    <t>Cogollo</t>
  </si>
  <si>
    <t>Hojas-Cogollo</t>
  </si>
  <si>
    <t>Pulpa</t>
  </si>
  <si>
    <t>Cisco</t>
  </si>
  <si>
    <t>Tallos</t>
  </si>
  <si>
    <t>Rastrojo</t>
  </si>
  <si>
    <t>Tusa</t>
  </si>
  <si>
    <t>Capacho</t>
  </si>
  <si>
    <t>Tamo</t>
  </si>
  <si>
    <t>Cascarilla</t>
  </si>
  <si>
    <t xml:space="preserve">Banano* </t>
  </si>
  <si>
    <t>Raquis de banano</t>
  </si>
  <si>
    <t>Vástago</t>
  </si>
  <si>
    <t>Banano de rechazo</t>
  </si>
  <si>
    <t>Plátano*</t>
  </si>
  <si>
    <t>Raquis de plátano</t>
  </si>
  <si>
    <t>Vástago de plátano</t>
  </si>
  <si>
    <t>Plátano de rechazo</t>
  </si>
  <si>
    <t>Costos Mejores Practicas Agrícolas</t>
  </si>
  <si>
    <t>$MMCOP/Ha</t>
  </si>
  <si>
    <t>Plantaciones de mango y aguacate</t>
  </si>
  <si>
    <t>Costos Tierra dedicada para biocombustibles</t>
  </si>
  <si>
    <t xml:space="preserve">Palma Aceite </t>
  </si>
  <si>
    <t>$MMCOP/ha</t>
  </si>
  <si>
    <t>Caña de azúcar</t>
  </si>
  <si>
    <t>TOTAL CULTIVOS</t>
  </si>
  <si>
    <t>Biodiesel (Palma de Aceite)</t>
  </si>
  <si>
    <t>Bioetanol (Caña de Azúcar)</t>
  </si>
  <si>
    <t>Emisiones cultivo biocombustibles</t>
  </si>
  <si>
    <t>Implementación de mejores prácticas agrícolas</t>
  </si>
  <si>
    <t>Potencial de reducción de emisiones de las medidas</t>
  </si>
  <si>
    <t>TOTAL AGRICULTURA</t>
  </si>
  <si>
    <t>Emisiones a INDUSTRIA</t>
  </si>
  <si>
    <t>Cultivos consumidos por el sector industria (Bagazo y otros)</t>
  </si>
  <si>
    <t>Costos Mejores Prácticas Agrícolas</t>
  </si>
  <si>
    <t xml:space="preserve">Costos de Sistemas Agroforestales (SA) </t>
  </si>
  <si>
    <t xml:space="preserve">Costos de Uso eficiente de fertilizantes </t>
  </si>
  <si>
    <t xml:space="preserve">Costos de Plantaciones de mango y aguacate </t>
  </si>
  <si>
    <t xml:space="preserve">Costos de Uso de biodigestores </t>
  </si>
  <si>
    <t>Costos de Tierra dedicada para biocombustibles</t>
  </si>
  <si>
    <t xml:space="preserve">Costos de Palma de aceite </t>
  </si>
  <si>
    <t xml:space="preserve">Costos de Caña de azúcar </t>
  </si>
  <si>
    <t xml:space="preserve"> Área principales cultivos de Colombia </t>
  </si>
  <si>
    <t xml:space="preserve"> Área sembrada anualmente principales cultivos de Colombia </t>
  </si>
  <si>
    <t>Generación de residuos (biomasa)</t>
  </si>
  <si>
    <t>TOTAL BAGAZO Y OTROS</t>
  </si>
  <si>
    <t>Potencial Energético</t>
  </si>
  <si>
    <t>Total bioenergía biomasa</t>
  </si>
  <si>
    <t>x Participación de biomasa seca en el BEN 2010 %</t>
  </si>
  <si>
    <t>Oferta total de energía de biomasa seca ajustada</t>
  </si>
  <si>
    <t>Área sembrada</t>
  </si>
  <si>
    <t>Energía de biodiesel</t>
  </si>
  <si>
    <t xml:space="preserve">Emisiones por generación energética en cultivos </t>
  </si>
  <si>
    <t>Sistemas silvopastoriles intensivos</t>
  </si>
  <si>
    <t>Rehabilitación de pasturas</t>
  </si>
  <si>
    <t>Cercas vivas</t>
  </si>
  <si>
    <t>Árboles dispersos</t>
  </si>
  <si>
    <t>Suplementación estratégica y mejora de la dieta del ganado</t>
  </si>
  <si>
    <t xml:space="preserve">Pastoreo racional </t>
  </si>
  <si>
    <t xml:space="preserve">Aumento de la cantidad de estiércol destinada a la producción de bioenergía </t>
  </si>
  <si>
    <t>Uso actual de la tierra sector Agropecuario en Cundinamarca</t>
  </si>
  <si>
    <t>M ha</t>
  </si>
  <si>
    <t>Cabezas de ganado bovino</t>
  </si>
  <si>
    <t>Número de cabezas de ganado al año</t>
  </si>
  <si>
    <r>
      <t>Factor Emisión (tCO</t>
    </r>
    <r>
      <rPr>
        <b/>
        <vertAlign val="subscript"/>
        <sz val="10"/>
        <rFont val="Calibri"/>
        <family val="2"/>
        <scheme val="minor"/>
      </rPr>
      <t>2</t>
    </r>
    <r>
      <rPr>
        <b/>
        <sz val="10"/>
        <rFont val="Calibri"/>
        <family val="2"/>
        <scheme val="minor"/>
      </rPr>
      <t>e/CG)</t>
    </r>
  </si>
  <si>
    <t>Proporción del hato</t>
  </si>
  <si>
    <t xml:space="preserve">Hembras </t>
  </si>
  <si>
    <t>Machos</t>
  </si>
  <si>
    <t>Comentario</t>
  </si>
  <si>
    <t>Área inicial (2018)</t>
  </si>
  <si>
    <t>Producción Kg</t>
  </si>
  <si>
    <r>
      <t>tCO</t>
    </r>
    <r>
      <rPr>
        <b/>
        <vertAlign val="subscript"/>
        <sz val="10"/>
        <rFont val="Calibri"/>
        <family val="2"/>
        <scheme val="minor"/>
      </rPr>
      <t>2</t>
    </r>
    <r>
      <rPr>
        <b/>
        <sz val="10"/>
        <rFont val="Calibri"/>
        <family val="2"/>
        <scheme val="minor"/>
      </rPr>
      <t xml:space="preserve">e / CG </t>
    </r>
  </si>
  <si>
    <t>Estiércol por cabeza de ganado</t>
  </si>
  <si>
    <t>TWh/Kg</t>
  </si>
  <si>
    <t>Ganado de leche</t>
  </si>
  <si>
    <t>Ganado de carne</t>
  </si>
  <si>
    <t>tCO2e/ha/año</t>
  </si>
  <si>
    <t>Coeficiente de remoción de carbono para los distintos usos de suelo y ecorregión (anual)</t>
  </si>
  <si>
    <t>Ecorregión</t>
  </si>
  <si>
    <t>Mejoramiento de pasturas/Rehabilitación de praderas</t>
  </si>
  <si>
    <t>SSPi</t>
  </si>
  <si>
    <t>Altiplano cundiboyacense</t>
  </si>
  <si>
    <t>Amazonia</t>
  </si>
  <si>
    <t>Antioquia y Eje Cafetalero</t>
  </si>
  <si>
    <t>Caribe Húmedo</t>
  </si>
  <si>
    <t>Caribe Seco</t>
  </si>
  <si>
    <t>Magdalena medio</t>
  </si>
  <si>
    <t>Orinoquia</t>
  </si>
  <si>
    <t>Santanderes</t>
  </si>
  <si>
    <t>Suroccidente</t>
  </si>
  <si>
    <t>Suroriente</t>
  </si>
  <si>
    <t>Promedio nacional</t>
  </si>
  <si>
    <t>Suplementación estratégica y mejora de la dieta</t>
  </si>
  <si>
    <t>Prácticas sostenibles en suelos ganaderos - Sistemas Silvopastoriles</t>
  </si>
  <si>
    <t xml:space="preserve">Prácticas sostenibles en suelos ganaderos - Rehabilitación de Pasturas </t>
  </si>
  <si>
    <t xml:space="preserve">Mejores prácticas pecuarias - Suplementación estratégica </t>
  </si>
  <si>
    <t>Mejores prácticas pecuarias - Pastoreo Racional</t>
  </si>
  <si>
    <t xml:space="preserve"> Costos Capital Prácticas Sostenibles en Suelos Ganaderos</t>
  </si>
  <si>
    <t>Rehabilitación de Pasturas</t>
  </si>
  <si>
    <t>Costos Capital Mejores Prácticas Pecuarias</t>
  </si>
  <si>
    <t>$MMCOP/cabeza de ganado</t>
  </si>
  <si>
    <t>Producción de bioenergía por tipo de ganado</t>
  </si>
  <si>
    <t>Hembras (vacas)</t>
  </si>
  <si>
    <t>Machos (reses)</t>
  </si>
  <si>
    <t>Emisiones de hato ganadero</t>
  </si>
  <si>
    <t>MtCO2/año</t>
  </si>
  <si>
    <t>Prácticas Sostenibles en Suelos Ganaderos</t>
  </si>
  <si>
    <t xml:space="preserve">   - Hembras (vacas)</t>
  </si>
  <si>
    <t xml:space="preserve">   - Machos (reses)</t>
  </si>
  <si>
    <t>Reducción por la implementación de la medida</t>
  </si>
  <si>
    <t>Manejo de estiércol</t>
  </si>
  <si>
    <t>Costos Capital prácticas Sostenibles en Suelos Ganaderos</t>
  </si>
  <si>
    <t>Estimación baja de los costos de capital</t>
  </si>
  <si>
    <t xml:space="preserve">Área de implementación de prácticas sostenibles en suelos ganaderos </t>
  </si>
  <si>
    <t>Áreas de implementación pastoreo racional</t>
  </si>
  <si>
    <t>Pastoreo racional</t>
  </si>
  <si>
    <t>Cabezas de ganado  totales</t>
  </si>
  <si>
    <t>Cabezas de ganado</t>
  </si>
  <si>
    <t>Participación de ganado bajo este esquema</t>
  </si>
  <si>
    <t xml:space="preserve">Participación por tipo de ganado </t>
  </si>
  <si>
    <t>Producción de estiércol (hembras)</t>
  </si>
  <si>
    <t xml:space="preserve">Estiércol destinado a bioenergía </t>
  </si>
  <si>
    <t>Bioenergía del estiércol (Hembras)</t>
  </si>
  <si>
    <t>Producción de estiércol (machos)</t>
  </si>
  <si>
    <t>Bioenergía de estiércol (Machos)</t>
  </si>
  <si>
    <t>Total Bioenergía proveniente del estiércol</t>
  </si>
  <si>
    <t>Estiércol generado</t>
  </si>
  <si>
    <t>Emisiones por el estiércol generado</t>
  </si>
  <si>
    <t>Emisiones evitadas por la buena práctica de gestión del estiércol generado</t>
  </si>
  <si>
    <t xml:space="preserve">Escenarios de Deforestación </t>
  </si>
  <si>
    <t>ha/año con deforestación</t>
  </si>
  <si>
    <t>Cundinamarca</t>
  </si>
  <si>
    <t>NACIONAL</t>
  </si>
  <si>
    <t>Plantación Comercial</t>
  </si>
  <si>
    <t xml:space="preserve">AREA ANUAL DEFORESTADA PUNTUAL </t>
  </si>
  <si>
    <t>Acumulado</t>
  </si>
  <si>
    <t>Deforestación observada (no acumulada)</t>
  </si>
  <si>
    <t>Nacional</t>
  </si>
  <si>
    <t>tC/ha (incluye biomasa aérea y subterránea)</t>
  </si>
  <si>
    <t>FREL 2020</t>
  </si>
  <si>
    <t>Factor de conversión de biomasa por deforestación</t>
  </si>
  <si>
    <t>tCO2/tC</t>
  </si>
  <si>
    <t>Factor de conversión de biomasa (tC) a tCO2</t>
  </si>
  <si>
    <t>ha acumuladas para el periodo</t>
  </si>
  <si>
    <t>Especie</t>
  </si>
  <si>
    <t>Acacia mangium</t>
  </si>
  <si>
    <t>Bombacopsis quinata</t>
  </si>
  <si>
    <t>Cariniana pyriformis</t>
  </si>
  <si>
    <t>Cedrela odorata</t>
  </si>
  <si>
    <t>Cordia alliodora</t>
  </si>
  <si>
    <t>Crecimiento lento</t>
  </si>
  <si>
    <t>Crecimiento medio</t>
  </si>
  <si>
    <t>Crecimiento rápido</t>
  </si>
  <si>
    <t>Cupressus sp.</t>
  </si>
  <si>
    <t>Eucalyptus globulus</t>
  </si>
  <si>
    <t>Eucalyptus grandis</t>
  </si>
  <si>
    <t>Eucalyptus pellita</t>
  </si>
  <si>
    <t>Eucalyptus tereticornis</t>
  </si>
  <si>
    <t>Gmelina arborea</t>
  </si>
  <si>
    <t>Pinus caribaea</t>
  </si>
  <si>
    <t>Pinus oocarpa</t>
  </si>
  <si>
    <t>Pinus patula</t>
  </si>
  <si>
    <t>Quercus humboldtii</t>
  </si>
  <si>
    <t>Tabebuia rosea</t>
  </si>
  <si>
    <t>Tectona grandis</t>
  </si>
  <si>
    <t xml:space="preserve">Total area </t>
  </si>
  <si>
    <t>% de superficie acumulada para el periodo</t>
  </si>
  <si>
    <t>TonC/ha</t>
  </si>
  <si>
    <t>tonCO2/ha</t>
  </si>
  <si>
    <t xml:space="preserve">Descuentos aplicables a Reforestación Comercial </t>
  </si>
  <si>
    <t>Manejo y Aprovechamiento</t>
  </si>
  <si>
    <t>Permanencia</t>
  </si>
  <si>
    <t>Total Descuentos</t>
  </si>
  <si>
    <t>Tasa de descuento por cada 5 años</t>
  </si>
  <si>
    <t>Costos por Reforestación Comercial</t>
  </si>
  <si>
    <t>Escenario de costos Alto</t>
  </si>
  <si>
    <t>Costos Directos de Capital Año 1 (Sólo una vez)</t>
  </si>
  <si>
    <t>Costos Indirectos de Capital año 1 (Sólo una vez)</t>
  </si>
  <si>
    <t>Total Costos Capital año 1</t>
  </si>
  <si>
    <t>Costos Directos de O&amp;M (año 2 en adelante)</t>
  </si>
  <si>
    <t xml:space="preserve">Costos Indirectos de O&amp;M (año 2 en adelante) </t>
  </si>
  <si>
    <t>Total Costos O&amp;M año 2 en adelante</t>
  </si>
  <si>
    <t>Escenario de costos Medio</t>
  </si>
  <si>
    <t>Escenario de costos Bajo</t>
  </si>
  <si>
    <t>TOTAL ÁREAS REFORESTADAS</t>
  </si>
  <si>
    <t>TOTAL DEFORESTADA ACUMULADA</t>
  </si>
  <si>
    <t>REFORESTACIÓN COMERCIAL ACUMULADA</t>
  </si>
  <si>
    <t>Total Emisiones</t>
  </si>
  <si>
    <t>Mt CO2/año</t>
  </si>
  <si>
    <t>Emisiones evitadas por deforestación</t>
  </si>
  <si>
    <t xml:space="preserve">Total de emisiones </t>
  </si>
  <si>
    <t>Costos Capital Reforestación Comercial</t>
  </si>
  <si>
    <t>Costos O&amp;M Reforestación Comercial</t>
  </si>
  <si>
    <t>DEFORESTACIÓN EVITADA</t>
  </si>
  <si>
    <t xml:space="preserve">AREA ANUAL DE PLANTACIÓN PUNTUAL -Comercial </t>
  </si>
  <si>
    <t>Andina</t>
  </si>
  <si>
    <t>Emisiones por deforestación (línea base - trayectoria 1)</t>
  </si>
  <si>
    <t>MtCO2</t>
  </si>
  <si>
    <t>Captura por plantación comercial</t>
  </si>
  <si>
    <t>tCO2</t>
  </si>
  <si>
    <t>Emisiones evitadas por plantación comercial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</si>
</sst>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8">
    <numFmt numFmtId="41" formatCode="_-* #,##0_-;\-* #,##0_-;_-* &quot;-&quot;_-;_-@_-"/>
    <numFmt numFmtId="43" formatCode="_-* #,##0.00_-;\-* #,##0.00_-;_-* &quot;-&quot;??_-;_-@_-"/>
    <numFmt numFmtId="164" formatCode="_-&quot;$&quot;* #,##0.00_-;\-&quot;$&quot;* #,##0.00_-;_-&quot;$&quot;* &quot;-&quot;??_-;_-@_-"/>
    <numFmt numFmtId="165" formatCode="_-* #,##0.00\ _€_-;\-* #,##0.00\ _€_-;_-* &quot;-&quot;??\ _€_-;_-@_-"/>
    <numFmt numFmtId="166" formatCode="_-* #,##0_-;\-* #,##0_-;_-* &quot;-&quot;??_-;_-@_-"/>
    <numFmt numFmtId="167" formatCode="_-* #,##0.0_-;\-* #,##0.0_-;_-* &quot;-&quot;??_-;_-@_-"/>
    <numFmt numFmtId="168" formatCode="0.000"/>
    <numFmt numFmtId="169" formatCode="0.0000000"/>
    <numFmt numFmtId="170" formatCode="0.00%;\ \(0.00%\);\ \-"/>
    <numFmt numFmtId="171" formatCode="0.0%"/>
    <numFmt numFmtId="172" formatCode="#,##0.0_);\(#,##0.0\);&quot;-&quot;_);@"/>
    <numFmt numFmtId="173" formatCode="#,##0_);\(#,##0\);&quot;-&quot;_);@"/>
    <numFmt numFmtId="174" formatCode="0.0"/>
    <numFmt numFmtId="175" formatCode="0.0E+00"/>
    <numFmt numFmtId="176" formatCode="0%;\ \(0%\);\ \-"/>
    <numFmt numFmtId="177" formatCode="#,##0.0_);\(#,##0.0\);&quot;-&quot;;@"/>
    <numFmt numFmtId="178" formatCode="#,##0.00_);\(#,##0.00\);&quot;-&quot;_);@"/>
    <numFmt numFmtId="179" formatCode="#,##0.000_);\(#,##0.000\);&quot;-&quot;_);@"/>
    <numFmt numFmtId="180" formatCode="#,##0.00000000_);\(#,##0.00000000\);&quot;-&quot;_);@"/>
    <numFmt numFmtId="181" formatCode="0.000%"/>
    <numFmt numFmtId="182" formatCode="0.000000"/>
    <numFmt numFmtId="183" formatCode="0.00000"/>
    <numFmt numFmtId="184" formatCode="0.0000"/>
    <numFmt numFmtId="185" formatCode="_-* #,##0.000_-;\-* #,##0.000_-;_-* &quot;-&quot;??_-;_-@_-"/>
    <numFmt numFmtId="186" formatCode="#,##0.0000_);\(#,##0.0000\);&quot;-&quot;_);@"/>
    <numFmt numFmtId="187" formatCode="General_)"/>
    <numFmt numFmtId="188" formatCode="0E+00"/>
    <numFmt numFmtId="189" formatCode="#,##0.0"/>
    <numFmt numFmtId="190" formatCode="_(* #,##0_);_(* \(#,##0\);_(* &quot;-&quot;??_);_(@_)"/>
    <numFmt numFmtId="191" formatCode="_-* #,##0.00000000_-;\-* #,##0.00000000_-;_-* &quot;-&quot;??_-;_-@_-"/>
    <numFmt numFmtId="192" formatCode="0&quot;kg/gal&quot;"/>
    <numFmt numFmtId="193" formatCode="0&quot;km/lb&quot;"/>
    <numFmt numFmtId="194" formatCode="0&quot;kg/km&quot;"/>
    <numFmt numFmtId="195" formatCode="0&quot;km/gal&quot;"/>
    <numFmt numFmtId="196" formatCode="0&quot;TWh/km&quot;"/>
    <numFmt numFmtId="197" formatCode="#,##0.00000_);\(#,##0.00000\);&quot;-&quot;_);@"/>
    <numFmt numFmtId="198" formatCode="_-* #,##0.0000_-;\-* #,##0.0000_-;_-* &quot;-&quot;??_-;_-@_-"/>
    <numFmt numFmtId="199" formatCode="#,##0.0000"/>
    <numFmt numFmtId="200" formatCode="_-* #,##0.0\ _€_-;\-* #,##0.0\ _€_-;_-* &quot;-&quot;?\ _€_-;_-@_-"/>
    <numFmt numFmtId="201" formatCode="_(* #,##0.00_);_(* \(#,##0.00\);_(* &quot;-&quot;??_);_(@_)"/>
    <numFmt numFmtId="202" formatCode="0\ &quot;bep&quot;"/>
    <numFmt numFmtId="203" formatCode="0.00000000"/>
    <numFmt numFmtId="204" formatCode="0.000000000"/>
    <numFmt numFmtId="205" formatCode="0.00000000000000000"/>
    <numFmt numFmtId="206" formatCode="_-* #,##0.0000000\ _€_-;\-* #,##0.0000000\ _€_-;_-* &quot;-&quot;??\ _€_-;_-@_-"/>
    <numFmt numFmtId="207" formatCode="_-* #,##0.000_-;\-* #,##0.000_-;_-* &quot;-&quot;_-;_-@_-"/>
    <numFmt numFmtId="208" formatCode="0.0%;\ \(0.0%\);\ \-"/>
    <numFmt numFmtId="209" formatCode="_-* #,##0.0000000_-;\-* #,##0.0000000_-;_-* &quot;-&quot;??_-;_-@_-"/>
  </numFmts>
  <fonts count="188">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1" tint="0.499984740745262"/>
      <name val="Calibri"/>
      <family val="2"/>
      <scheme val="minor"/>
    </font>
    <font>
      <sz val="10"/>
      <color theme="1"/>
      <name val="Calibri"/>
      <family val="1"/>
      <scheme val="minor"/>
    </font>
    <font>
      <b/>
      <sz val="12"/>
      <color theme="1"/>
      <name val="Calibri"/>
      <family val="2"/>
      <scheme val="minor"/>
    </font>
    <font>
      <sz val="11"/>
      <color rgb="FFC00000"/>
      <name val="Calibri"/>
      <family val="2"/>
      <scheme val="minor"/>
    </font>
    <font>
      <sz val="11"/>
      <color rgb="FF7030A0"/>
      <name val="Calibri"/>
      <family val="2"/>
      <scheme val="minor"/>
    </font>
    <font>
      <b/>
      <sz val="14"/>
      <color theme="1"/>
      <name val="Calibri"/>
      <family val="2"/>
      <scheme val="minor"/>
    </font>
    <font>
      <sz val="11"/>
      <name val="Calibri"/>
      <family val="2"/>
      <scheme val="minor"/>
    </font>
    <font>
      <sz val="8"/>
      <name val="Calibri"/>
      <family val="2"/>
      <scheme val="minor"/>
    </font>
    <font>
      <sz val="10"/>
      <color theme="1"/>
      <name val="Calibri"/>
      <family val="2"/>
      <scheme val="minor"/>
    </font>
    <font>
      <sz val="12"/>
      <color theme="1"/>
      <name val="Calibri"/>
      <family val="2"/>
      <scheme val="minor"/>
    </font>
    <font>
      <b/>
      <sz val="10"/>
      <color theme="1"/>
      <name val="Calibri"/>
      <family val="2"/>
      <scheme val="minor"/>
    </font>
    <font>
      <sz val="10"/>
      <color rgb="FFFF0000"/>
      <name val="Calibri"/>
      <family val="2"/>
      <scheme val="minor"/>
    </font>
    <font>
      <b/>
      <sz val="11"/>
      <name val="Calibri"/>
      <family val="2"/>
      <scheme val="minor"/>
    </font>
    <font>
      <sz val="10"/>
      <color theme="1" tint="0.499984740745262"/>
      <name val="Calibri"/>
      <family val="2"/>
      <scheme val="minor"/>
    </font>
    <font>
      <sz val="14"/>
      <color theme="1"/>
      <name val="Calibri"/>
      <family val="2"/>
      <scheme val="minor"/>
    </font>
    <font>
      <sz val="10"/>
      <color theme="8"/>
      <name val="Calibri"/>
      <family val="2"/>
      <scheme val="minor"/>
    </font>
    <font>
      <sz val="10"/>
      <name val="Calibri"/>
      <family val="2"/>
      <scheme val="minor"/>
    </font>
    <font>
      <b/>
      <sz val="14"/>
      <name val="Calibri"/>
      <family val="2"/>
      <scheme val="minor"/>
    </font>
    <font>
      <b/>
      <sz val="12"/>
      <name val="Calibri"/>
      <family val="2"/>
      <scheme val="minor"/>
    </font>
    <font>
      <b/>
      <sz val="10"/>
      <name val="Calibri"/>
      <family val="2"/>
      <scheme val="minor"/>
    </font>
    <font>
      <sz val="10"/>
      <color rgb="FFB469FF"/>
      <name val="Calibri"/>
      <family val="2"/>
      <scheme val="minor"/>
    </font>
    <font>
      <b/>
      <sz val="16"/>
      <color theme="1"/>
      <name val="Calibri"/>
      <family val="2"/>
      <scheme val="minor"/>
    </font>
    <font>
      <b/>
      <sz val="10"/>
      <color theme="1"/>
      <name val="Calibri"/>
      <family val="1"/>
      <scheme val="minor"/>
    </font>
    <font>
      <b/>
      <sz val="11"/>
      <color rgb="FFFF0000"/>
      <name val="Calibri"/>
      <family val="2"/>
      <scheme val="minor"/>
    </font>
    <font>
      <b/>
      <sz val="12"/>
      <color theme="1"/>
      <name val="Calibri"/>
      <family val="1"/>
      <scheme val="minor"/>
    </font>
    <font>
      <sz val="12"/>
      <color theme="1"/>
      <name val="Calibri"/>
      <family val="1"/>
      <scheme val="minor"/>
    </font>
    <font>
      <b/>
      <sz val="10"/>
      <color theme="1"/>
      <name val="Calibri Light"/>
      <family val="2"/>
      <scheme val="major"/>
    </font>
    <font>
      <b/>
      <sz val="8"/>
      <color theme="1"/>
      <name val="Calibri Light"/>
      <family val="2"/>
      <scheme val="major"/>
    </font>
    <font>
      <sz val="11"/>
      <color theme="8"/>
      <name val="Calibri"/>
      <family val="2"/>
      <scheme val="minor"/>
    </font>
    <font>
      <sz val="10"/>
      <color theme="1"/>
      <name val="Calibri Light"/>
      <family val="2"/>
      <scheme val="major"/>
    </font>
    <font>
      <b/>
      <sz val="10"/>
      <name val="Calibri Light"/>
      <family val="2"/>
      <scheme val="major"/>
    </font>
    <font>
      <sz val="10"/>
      <color rgb="FFFF0000"/>
      <name val="Calibri"/>
      <family val="1"/>
      <scheme val="minor"/>
    </font>
    <font>
      <i/>
      <sz val="11"/>
      <color theme="1"/>
      <name val="Calibri"/>
      <family val="2"/>
      <scheme val="minor"/>
    </font>
    <font>
      <sz val="18"/>
      <color theme="1"/>
      <name val="Calibri"/>
      <family val="1"/>
      <scheme val="minor"/>
    </font>
    <font>
      <b/>
      <sz val="12"/>
      <color theme="1"/>
      <name val="Calibri Light"/>
      <family val="2"/>
      <scheme val="major"/>
    </font>
    <font>
      <b/>
      <vertAlign val="subscript"/>
      <sz val="10"/>
      <color theme="1"/>
      <name val="Calibri"/>
      <family val="2"/>
      <scheme val="minor"/>
    </font>
    <font>
      <sz val="11"/>
      <color theme="1"/>
      <name val="Calibri"/>
      <family val="1"/>
      <scheme val="minor"/>
    </font>
    <font>
      <sz val="10"/>
      <name val="Calibri"/>
      <family val="1"/>
      <scheme val="minor"/>
    </font>
    <font>
      <sz val="12"/>
      <color theme="1"/>
      <name val="Arial"/>
      <family val="2"/>
    </font>
    <font>
      <sz val="8"/>
      <name val="Calibri"/>
      <family val="1"/>
      <scheme val="minor"/>
    </font>
    <font>
      <sz val="12"/>
      <name val="Calibri"/>
      <family val="1"/>
      <scheme val="minor"/>
    </font>
    <font>
      <b/>
      <sz val="11"/>
      <color theme="1"/>
      <name val="Calibri"/>
      <family val="1"/>
      <scheme val="minor"/>
    </font>
    <font>
      <b/>
      <sz val="10"/>
      <color rgb="FFFF0000"/>
      <name val="Calibri"/>
      <family val="2"/>
      <scheme val="minor"/>
    </font>
    <font>
      <b/>
      <sz val="8"/>
      <color theme="1"/>
      <name val="Calibri"/>
      <family val="2"/>
      <scheme val="minor"/>
    </font>
    <font>
      <sz val="10"/>
      <color theme="4"/>
      <name val="Calibri"/>
      <family val="2"/>
      <scheme val="minor"/>
    </font>
    <font>
      <sz val="12"/>
      <name val="Calibri"/>
      <family val="2"/>
      <scheme val="minor"/>
    </font>
    <font>
      <sz val="18"/>
      <color theme="1"/>
      <name val="Calibri"/>
      <family val="2"/>
      <scheme val="minor"/>
    </font>
    <font>
      <b/>
      <sz val="11"/>
      <color theme="8"/>
      <name val="Calibri"/>
      <family val="2"/>
      <scheme val="minor"/>
    </font>
    <font>
      <sz val="10"/>
      <color theme="1"/>
      <name val="Arial"/>
      <family val="2"/>
    </font>
    <font>
      <sz val="10"/>
      <color theme="0" tint="-0.499984740745262"/>
      <name val="Calibri"/>
      <family val="2"/>
      <scheme val="minor"/>
    </font>
    <font>
      <sz val="12"/>
      <color rgb="FF1F497D"/>
      <name val="Calibri"/>
      <family val="2"/>
      <scheme val="minor"/>
    </font>
    <font>
      <u/>
      <sz val="11"/>
      <color theme="10"/>
      <name val="Calibri"/>
      <family val="2"/>
      <scheme val="minor"/>
    </font>
    <font>
      <b/>
      <sz val="10"/>
      <color rgb="FFB469FF"/>
      <name val="Calibri"/>
      <family val="2"/>
      <scheme val="minor"/>
    </font>
    <font>
      <i/>
      <sz val="10"/>
      <color theme="1"/>
      <name val="Calibri"/>
      <family val="2"/>
      <scheme val="minor"/>
    </font>
    <font>
      <i/>
      <sz val="10"/>
      <color theme="2" tint="-0.499984740745262"/>
      <name val="Calibri"/>
      <family val="2"/>
      <scheme val="minor"/>
    </font>
    <font>
      <b/>
      <i/>
      <sz val="10"/>
      <color rgb="FFB469FF"/>
      <name val="Calibri"/>
      <family val="2"/>
      <scheme val="minor"/>
    </font>
    <font>
      <i/>
      <sz val="10"/>
      <color rgb="FFFF0000"/>
      <name val="Calibri"/>
      <family val="2"/>
      <scheme val="minor"/>
    </font>
    <font>
      <sz val="11"/>
      <color rgb="FF000000"/>
      <name val="Calibri"/>
      <family val="2"/>
      <scheme val="minor"/>
    </font>
    <font>
      <sz val="11"/>
      <color rgb="FFFFFFFF"/>
      <name val="Calibri"/>
      <family val="2"/>
      <scheme val="minor"/>
    </font>
    <font>
      <b/>
      <sz val="10"/>
      <color rgb="FF000000"/>
      <name val="Calibri"/>
      <family val="1"/>
      <scheme val="minor"/>
    </font>
    <font>
      <b/>
      <sz val="11"/>
      <color rgb="FF000000"/>
      <name val="Calibri"/>
      <family val="2"/>
      <scheme val="minor"/>
    </font>
    <font>
      <sz val="10"/>
      <color rgb="FF000000"/>
      <name val="Calibri"/>
      <family val="2"/>
      <scheme val="minor"/>
    </font>
    <font>
      <sz val="10"/>
      <color rgb="FFFFFFFF"/>
      <name val="Calibri"/>
      <family val="2"/>
      <scheme val="minor"/>
    </font>
    <font>
      <i/>
      <sz val="8"/>
      <color rgb="FF000000"/>
      <name val="Calibri"/>
      <family val="2"/>
      <scheme val="minor"/>
    </font>
    <font>
      <b/>
      <sz val="10"/>
      <color rgb="FFFFFFFF"/>
      <name val="Calibri"/>
      <family val="2"/>
      <scheme val="minor"/>
    </font>
    <font>
      <b/>
      <sz val="10"/>
      <color rgb="FF000000"/>
      <name val="Calibri"/>
      <family val="2"/>
      <scheme val="minor"/>
    </font>
    <font>
      <sz val="10"/>
      <name val="Arial"/>
      <family val="2"/>
    </font>
    <font>
      <i/>
      <sz val="11"/>
      <color theme="2" tint="-0.499984740745262"/>
      <name val="Calibri"/>
      <family val="2"/>
      <scheme val="minor"/>
    </font>
    <font>
      <sz val="11"/>
      <color theme="2" tint="-0.499984740745262"/>
      <name val="Calibri"/>
      <family val="2"/>
      <scheme val="minor"/>
    </font>
    <font>
      <b/>
      <sz val="12"/>
      <color rgb="FF000000"/>
      <name val="Calibri"/>
      <family val="2"/>
      <scheme val="minor"/>
    </font>
    <font>
      <sz val="12"/>
      <color rgb="FF000000"/>
      <name val="Calibri"/>
      <family val="2"/>
      <scheme val="minor"/>
    </font>
    <font>
      <b/>
      <sz val="11"/>
      <color rgb="FF000000"/>
      <name val="Calibri"/>
      <family val="1"/>
      <scheme val="minor"/>
    </font>
    <font>
      <i/>
      <sz val="8"/>
      <name val="Calibri"/>
      <family val="2"/>
      <scheme val="minor"/>
    </font>
    <font>
      <i/>
      <sz val="8"/>
      <color rgb="FFFF0000"/>
      <name val="Calibri"/>
      <family val="2"/>
      <scheme val="minor"/>
    </font>
    <font>
      <sz val="10"/>
      <color rgb="FF000000"/>
      <name val="Calibri"/>
      <family val="1"/>
      <scheme val="minor"/>
    </font>
    <font>
      <sz val="12"/>
      <color rgb="FFFF0000"/>
      <name val="Calibri"/>
      <family val="2"/>
      <scheme val="minor"/>
    </font>
    <font>
      <sz val="8"/>
      <color rgb="FFFF0000"/>
      <name val="Calibri"/>
      <family val="2"/>
      <scheme val="minor"/>
    </font>
    <font>
      <sz val="10"/>
      <color theme="8"/>
      <name val="Calibri"/>
      <family val="1"/>
      <scheme val="minor"/>
    </font>
    <font>
      <sz val="14"/>
      <color theme="1"/>
      <name val="Calibri"/>
      <family val="1"/>
      <scheme val="minor"/>
    </font>
    <font>
      <b/>
      <sz val="11"/>
      <color theme="1"/>
      <name val="Calibri"/>
      <family val="2"/>
    </font>
    <font>
      <i/>
      <sz val="10"/>
      <name val="Calibri"/>
      <family val="2"/>
      <scheme val="minor"/>
    </font>
    <font>
      <b/>
      <sz val="10"/>
      <color theme="0"/>
      <name val="Calibri"/>
      <family val="2"/>
      <scheme val="minor"/>
    </font>
    <font>
      <b/>
      <i/>
      <sz val="10"/>
      <color theme="0"/>
      <name val="Calibri"/>
      <family val="2"/>
      <scheme val="minor"/>
    </font>
    <font>
      <sz val="8"/>
      <color theme="1"/>
      <name val="Calibri"/>
      <family val="2"/>
      <scheme val="minor"/>
    </font>
    <font>
      <b/>
      <sz val="12"/>
      <color rgb="FFFF0000"/>
      <name val="Calibri"/>
      <family val="2"/>
      <scheme val="minor"/>
    </font>
    <font>
      <b/>
      <sz val="12"/>
      <color rgb="FF2B441C"/>
      <name val="Calibri"/>
      <family val="2"/>
      <scheme val="minor"/>
    </font>
    <font>
      <b/>
      <sz val="14"/>
      <color theme="9" tint="-0.499984740745262"/>
      <name val="Calibri"/>
      <family val="2"/>
      <scheme val="minor"/>
    </font>
    <font>
      <b/>
      <sz val="14"/>
      <color theme="5" tint="-0.249977111117893"/>
      <name val="Calibri"/>
      <family val="2"/>
      <scheme val="minor"/>
    </font>
    <font>
      <sz val="14"/>
      <color theme="5" tint="-0.249977111117893"/>
      <name val="Calibri"/>
      <family val="2"/>
      <scheme val="minor"/>
    </font>
    <font>
      <sz val="11"/>
      <color theme="5" tint="-0.249977111117893"/>
      <name val="Calibri"/>
      <family val="2"/>
      <scheme val="minor"/>
    </font>
    <font>
      <u/>
      <sz val="11"/>
      <color theme="4"/>
      <name val="Calibri"/>
      <family val="2"/>
      <scheme val="minor"/>
    </font>
    <font>
      <b/>
      <sz val="18"/>
      <color rgb="FFFF0000"/>
      <name val="Calibri"/>
      <family val="2"/>
      <scheme val="minor"/>
    </font>
    <font>
      <i/>
      <sz val="11"/>
      <color rgb="FFFF0000"/>
      <name val="Calibri"/>
      <family val="2"/>
      <scheme val="minor"/>
    </font>
    <font>
      <b/>
      <sz val="10"/>
      <color rgb="FFFF0000"/>
      <name val="Calibri"/>
      <family val="1"/>
      <scheme val="minor"/>
    </font>
    <font>
      <b/>
      <sz val="10"/>
      <name val="Calibri"/>
      <family val="1"/>
      <scheme val="minor"/>
    </font>
    <font>
      <b/>
      <vertAlign val="subscript"/>
      <sz val="10"/>
      <name val="Calibri"/>
      <family val="2"/>
      <scheme val="minor"/>
    </font>
    <font>
      <sz val="10"/>
      <color theme="8" tint="-0.499984740745262"/>
      <name val="Calibri"/>
      <family val="2"/>
      <scheme val="minor"/>
    </font>
    <font>
      <i/>
      <sz val="11"/>
      <name val="Calibri"/>
      <family val="2"/>
      <scheme val="minor"/>
    </font>
    <font>
      <b/>
      <i/>
      <sz val="11"/>
      <color theme="0" tint="-0.499984740745262"/>
      <name val="Calibri"/>
      <family val="2"/>
      <scheme val="minor"/>
    </font>
    <font>
      <b/>
      <sz val="12"/>
      <color rgb="FFFF0000"/>
      <name val="Calibri Light"/>
      <family val="2"/>
      <scheme val="major"/>
    </font>
    <font>
      <sz val="10"/>
      <color theme="2" tint="-0.499984740745262"/>
      <name val="Calibri"/>
      <family val="2"/>
      <scheme val="minor"/>
    </font>
    <font>
      <b/>
      <i/>
      <sz val="11"/>
      <name val="Calibri"/>
      <family val="2"/>
      <scheme val="minor"/>
    </font>
    <font>
      <b/>
      <sz val="9"/>
      <color theme="1"/>
      <name val="Calibri"/>
      <family val="1"/>
      <scheme val="minor"/>
    </font>
    <font>
      <b/>
      <vertAlign val="subscript"/>
      <sz val="11"/>
      <color theme="1"/>
      <name val="Calibri"/>
      <family val="2"/>
      <scheme val="minor"/>
    </font>
    <font>
      <b/>
      <sz val="11"/>
      <name val="Calibri"/>
      <family val="1"/>
      <scheme val="minor"/>
    </font>
    <font>
      <sz val="11"/>
      <name val="Calibri"/>
      <family val="1"/>
      <scheme val="minor"/>
    </font>
    <font>
      <b/>
      <sz val="11"/>
      <color theme="4"/>
      <name val="Calibri"/>
      <family val="2"/>
      <scheme val="minor"/>
    </font>
    <font>
      <b/>
      <i/>
      <sz val="11"/>
      <color theme="1"/>
      <name val="Calibri"/>
      <family val="2"/>
      <scheme val="minor"/>
    </font>
    <font>
      <b/>
      <sz val="12"/>
      <name val="Calibri Light"/>
      <family val="2"/>
      <scheme val="major"/>
    </font>
    <font>
      <b/>
      <sz val="10"/>
      <color rgb="FFC00000"/>
      <name val="Calibri"/>
      <family val="1"/>
      <scheme val="minor"/>
    </font>
    <font>
      <sz val="11"/>
      <color theme="1" tint="0.249977111117893"/>
      <name val="Calibri"/>
      <family val="2"/>
      <scheme val="minor"/>
    </font>
    <font>
      <i/>
      <sz val="10"/>
      <color theme="1" tint="0.249977111117893"/>
      <name val="Calibri"/>
      <family val="2"/>
      <scheme val="minor"/>
    </font>
    <font>
      <i/>
      <sz val="10"/>
      <color theme="9" tint="-0.499984740745262"/>
      <name val="Calibri"/>
      <family val="2"/>
      <scheme val="minor"/>
    </font>
    <font>
      <b/>
      <i/>
      <sz val="10"/>
      <color theme="9" tint="-0.499984740745262"/>
      <name val="Calibri"/>
      <family val="2"/>
      <scheme val="minor"/>
    </font>
    <font>
      <b/>
      <i/>
      <sz val="11"/>
      <color theme="9" tint="-0.499984740745262"/>
      <name val="Calibri"/>
      <family val="2"/>
      <scheme val="minor"/>
    </font>
    <font>
      <b/>
      <sz val="9"/>
      <name val="Calibri"/>
      <family val="1"/>
      <scheme val="minor"/>
    </font>
    <font>
      <b/>
      <sz val="12"/>
      <name val="Calibri"/>
      <family val="1"/>
      <scheme val="minor"/>
    </font>
    <font>
      <i/>
      <sz val="11"/>
      <color theme="1" tint="0.249977111117893"/>
      <name val="Calibri"/>
      <family val="2"/>
      <scheme val="minor"/>
    </font>
    <font>
      <b/>
      <sz val="8"/>
      <color rgb="FF000000"/>
      <name val="Calibri"/>
      <family val="2"/>
      <scheme val="minor"/>
    </font>
    <font>
      <sz val="11"/>
      <color rgb="FF333333"/>
      <name val="Arial"/>
      <family val="2"/>
    </font>
    <font>
      <b/>
      <sz val="11"/>
      <color theme="0"/>
      <name val="Calibri"/>
      <family val="2"/>
      <scheme val="minor"/>
    </font>
    <font>
      <b/>
      <sz val="11"/>
      <color theme="5" tint="-0.249977111117893"/>
      <name val="Calibri"/>
      <family val="2"/>
      <scheme val="minor"/>
    </font>
    <font>
      <b/>
      <sz val="16"/>
      <color theme="5" tint="-0.249977111117893"/>
      <name val="Calibri"/>
      <family val="2"/>
      <scheme val="minor"/>
    </font>
    <font>
      <sz val="9"/>
      <color theme="1"/>
      <name val="Calibri"/>
      <family val="2"/>
      <scheme val="minor"/>
    </font>
    <font>
      <sz val="9"/>
      <name val="Calibri"/>
      <family val="2"/>
      <scheme val="minor"/>
    </font>
    <font>
      <b/>
      <sz val="12"/>
      <color theme="5" tint="-0.249977111117893"/>
      <name val="Calibri"/>
      <family val="2"/>
      <scheme val="minor"/>
    </font>
    <font>
      <b/>
      <sz val="12"/>
      <color rgb="FF843C0C"/>
      <name val="Calibri"/>
      <family val="2"/>
      <scheme val="minor"/>
    </font>
    <font>
      <sz val="11"/>
      <color rgb="FF843C0C"/>
      <name val="Calibri"/>
      <family val="2"/>
      <scheme val="minor"/>
    </font>
    <font>
      <i/>
      <sz val="11"/>
      <color theme="0" tint="-0.34998626667073579"/>
      <name val="Calibri"/>
      <family val="2"/>
      <scheme val="minor"/>
    </font>
    <font>
      <b/>
      <sz val="10"/>
      <color theme="1" tint="0.499984740745262"/>
      <name val="Calibri"/>
      <family val="2"/>
      <scheme val="minor"/>
    </font>
    <font>
      <sz val="9"/>
      <color rgb="FFFF0000"/>
      <name val="Calibri"/>
      <family val="2"/>
      <scheme val="minor"/>
    </font>
    <font>
      <b/>
      <sz val="11"/>
      <color theme="9" tint="-0.499984740745262"/>
      <name val="Calibri"/>
      <family val="2"/>
      <scheme val="minor"/>
    </font>
    <font>
      <b/>
      <sz val="11"/>
      <color theme="2" tint="-0.749992370372631"/>
      <name val="Calibri"/>
      <family val="2"/>
      <scheme val="minor"/>
    </font>
    <font>
      <sz val="16"/>
      <color rgb="FFFF0000"/>
      <name val="Calibri"/>
      <family val="2"/>
      <scheme val="minor"/>
    </font>
    <font>
      <b/>
      <i/>
      <sz val="10"/>
      <color theme="1"/>
      <name val="Calibri Light"/>
      <family val="2"/>
      <scheme val="major"/>
    </font>
    <font>
      <b/>
      <sz val="11"/>
      <color rgb="FFFF0000"/>
      <name val="Calibri"/>
      <family val="1"/>
      <scheme val="minor"/>
    </font>
    <font>
      <sz val="11"/>
      <color rgb="FF202122"/>
      <name val="Arial"/>
      <family val="2"/>
    </font>
    <font>
      <b/>
      <sz val="16"/>
      <name val="Calibri"/>
      <family val="2"/>
      <scheme val="minor"/>
    </font>
    <font>
      <b/>
      <sz val="16"/>
      <color rgb="FFFF0000"/>
      <name val="Calibri"/>
      <family val="2"/>
      <scheme val="minor"/>
    </font>
    <font>
      <b/>
      <vertAlign val="subscript"/>
      <sz val="12"/>
      <color theme="5" tint="-0.249977111117893"/>
      <name val="Calibri"/>
      <family val="2"/>
      <scheme val="minor"/>
    </font>
    <font>
      <i/>
      <sz val="11"/>
      <color theme="0" tint="-0.499984740745262"/>
      <name val="Calibri"/>
      <family val="2"/>
      <scheme val="minor"/>
    </font>
    <font>
      <b/>
      <sz val="9"/>
      <color theme="1"/>
      <name val="Calibri"/>
      <family val="2"/>
      <scheme val="minor"/>
    </font>
    <font>
      <vertAlign val="subscript"/>
      <sz val="11"/>
      <color theme="1"/>
      <name val="Calibri"/>
      <family val="2"/>
      <scheme val="minor"/>
    </font>
    <font>
      <vertAlign val="superscript"/>
      <sz val="11"/>
      <color theme="1"/>
      <name val="Calibri"/>
      <family val="2"/>
      <scheme val="minor"/>
    </font>
    <font>
      <sz val="10"/>
      <color rgb="FF000000"/>
      <name val="Calibri"/>
      <family val="2"/>
    </font>
    <font>
      <sz val="11"/>
      <color rgb="FF000000"/>
      <name val="Calibri"/>
      <family val="2"/>
    </font>
    <font>
      <b/>
      <sz val="12"/>
      <color rgb="FF000000"/>
      <name val="Calibri"/>
      <family val="2"/>
    </font>
    <font>
      <b/>
      <sz val="11"/>
      <color rgb="FF000000"/>
      <name val="Calibri"/>
      <family val="2"/>
    </font>
    <font>
      <b/>
      <sz val="11"/>
      <color rgb="FFFFFFFF"/>
      <name val="Calibri"/>
      <family val="2"/>
      <scheme val="minor"/>
    </font>
    <font>
      <i/>
      <sz val="9"/>
      <name val="Calibri"/>
      <family val="2"/>
      <scheme val="minor"/>
    </font>
    <font>
      <i/>
      <sz val="9"/>
      <color rgb="FFFF0000"/>
      <name val="Calibri"/>
      <family val="2"/>
      <scheme val="minor"/>
    </font>
    <font>
      <sz val="11"/>
      <color theme="0"/>
      <name val="Calibri"/>
      <family val="2"/>
      <scheme val="minor"/>
    </font>
    <font>
      <b/>
      <sz val="14"/>
      <color theme="9" tint="-0.249977111117893"/>
      <name val="Calibri"/>
      <family val="2"/>
      <scheme val="minor"/>
    </font>
    <font>
      <b/>
      <sz val="12"/>
      <color theme="9" tint="-0.249977111117893"/>
      <name val="Calibri"/>
      <family val="2"/>
      <scheme val="minor"/>
    </font>
    <font>
      <b/>
      <sz val="11"/>
      <color rgb="FF3F3F3F"/>
      <name val="Calibri"/>
      <family val="2"/>
      <scheme val="minor"/>
    </font>
    <font>
      <i/>
      <sz val="10"/>
      <color theme="1"/>
      <name val="Calibri"/>
      <family val="1"/>
      <scheme val="minor"/>
    </font>
    <font>
      <b/>
      <sz val="10"/>
      <color theme="0" tint="-0.249977111117893"/>
      <name val="Calibri"/>
      <family val="2"/>
      <scheme val="minor"/>
    </font>
    <font>
      <sz val="10"/>
      <color theme="0" tint="-0.249977111117893"/>
      <name val="Calibri"/>
      <family val="2"/>
      <scheme val="minor"/>
    </font>
    <font>
      <i/>
      <sz val="10"/>
      <color theme="0" tint="-0.249977111117893"/>
      <name val="Calibri"/>
      <family val="2"/>
      <scheme val="minor"/>
    </font>
    <font>
      <sz val="14"/>
      <color rgb="FFFF0000"/>
      <name val="Calibri"/>
      <family val="2"/>
      <scheme val="minor"/>
    </font>
    <font>
      <sz val="14"/>
      <color theme="0"/>
      <name val="Calibri"/>
      <family val="2"/>
      <scheme val="minor"/>
    </font>
    <font>
      <b/>
      <sz val="9"/>
      <name val="Calibri"/>
      <family val="2"/>
      <scheme val="minor"/>
    </font>
    <font>
      <b/>
      <i/>
      <sz val="9"/>
      <name val="Calibri"/>
      <family val="2"/>
      <scheme val="minor"/>
    </font>
    <font>
      <i/>
      <u/>
      <sz val="11"/>
      <color theme="10"/>
      <name val="Calibri"/>
      <family val="2"/>
      <scheme val="minor"/>
    </font>
    <font>
      <b/>
      <vertAlign val="subscript"/>
      <sz val="11"/>
      <name val="Calibri"/>
      <family val="2"/>
      <scheme val="minor"/>
    </font>
    <font>
      <b/>
      <vertAlign val="subscript"/>
      <sz val="11"/>
      <color rgb="FF000000"/>
      <name val="Calibri"/>
      <family val="2"/>
      <scheme val="minor"/>
    </font>
    <font>
      <i/>
      <sz val="11"/>
      <color rgb="FF000000"/>
      <name val="Calibri"/>
      <family val="2"/>
      <scheme val="minor"/>
    </font>
    <font>
      <sz val="11"/>
      <color rgb="FFB469FF"/>
      <name val="Calibri"/>
      <family val="2"/>
      <scheme val="minor"/>
    </font>
    <font>
      <b/>
      <vertAlign val="superscript"/>
      <sz val="11"/>
      <name val="Calibri"/>
      <family val="2"/>
      <scheme val="minor"/>
    </font>
    <font>
      <b/>
      <sz val="26"/>
      <color theme="9" tint="-0.499984740745262"/>
      <name val="Calibri"/>
      <family val="2"/>
      <scheme val="minor"/>
    </font>
    <font>
      <vertAlign val="subscript"/>
      <sz val="10"/>
      <color theme="1"/>
      <name val="Calibri"/>
      <family val="2"/>
      <scheme val="minor"/>
    </font>
    <font>
      <u/>
      <sz val="11"/>
      <color theme="9" tint="-0.499984740745262"/>
      <name val="Calibri"/>
      <family val="2"/>
      <scheme val="minor"/>
    </font>
    <font>
      <sz val="11"/>
      <color theme="9" tint="-0.499984740745262"/>
      <name val="Calibri"/>
      <family val="2"/>
      <scheme val="minor"/>
    </font>
    <font>
      <b/>
      <sz val="13"/>
      <color rgb="FFFF1515"/>
      <name val="Calibri"/>
      <family val="2"/>
      <scheme val="minor"/>
    </font>
    <font>
      <i/>
      <vertAlign val="subscript"/>
      <sz val="11"/>
      <color theme="1"/>
      <name val="Calibri"/>
      <family val="2"/>
      <scheme val="minor"/>
    </font>
    <font>
      <b/>
      <sz val="12"/>
      <color rgb="FF3F3F3F"/>
      <name val="Calibri"/>
      <family val="2"/>
      <scheme val="minor"/>
    </font>
    <font>
      <sz val="12"/>
      <color rgb="FF2B441C"/>
      <name val="Calibri"/>
      <family val="2"/>
      <scheme val="minor"/>
    </font>
    <font>
      <sz val="12"/>
      <color rgb="FF3F3F3F"/>
      <name val="Calibri"/>
      <family val="2"/>
      <scheme val="minor"/>
    </font>
    <font>
      <b/>
      <vertAlign val="subscript"/>
      <sz val="12"/>
      <color theme="1"/>
      <name val="Calibri"/>
      <family val="2"/>
      <scheme val="minor"/>
    </font>
    <font>
      <b/>
      <sz val="12"/>
      <color rgb="FF111111"/>
      <name val="Inherit"/>
    </font>
    <font>
      <sz val="12"/>
      <color rgb="FF444444"/>
      <name val="Inherit"/>
    </font>
    <font>
      <b/>
      <sz val="12"/>
      <color rgb="FF444444"/>
      <name val="Inherit"/>
    </font>
    <font>
      <i/>
      <u/>
      <sz val="12"/>
      <color rgb="FF2B441C"/>
      <name val="Calibri"/>
      <family val="2"/>
      <scheme val="minor"/>
    </font>
    <font>
      <sz val="10"/>
      <color theme="5" tint="-0.249977111117893"/>
      <name val="Calibri"/>
      <family val="2"/>
      <scheme val="minor"/>
    </font>
  </fonts>
  <fills count="50">
    <fill>
      <patternFill patternType="none"/>
    </fill>
    <fill>
      <patternFill patternType="gray125"/>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79998168889431442"/>
        <bgColor theme="0"/>
      </patternFill>
    </fill>
    <fill>
      <patternFill patternType="solid">
        <fgColor indexed="65"/>
        <bgColor theme="0"/>
      </patternFill>
    </fill>
    <fill>
      <patternFill patternType="solid">
        <fgColor theme="9" tint="0.39997558519241921"/>
        <bgColor theme="0"/>
      </patternFill>
    </fill>
    <fill>
      <patternFill patternType="solid">
        <fgColor theme="9" tint="0.79998168889431442"/>
        <bgColor theme="0"/>
      </patternFill>
    </fill>
    <fill>
      <patternFill patternType="solid">
        <fgColor theme="2" tint="-0.249977111117893"/>
        <bgColor theme="0"/>
      </patternFill>
    </fill>
    <fill>
      <patternFill patternType="solid">
        <fgColor theme="2" tint="-9.9978637043366805E-2"/>
        <bgColor theme="0"/>
      </patternFill>
    </fill>
    <fill>
      <patternFill patternType="solid">
        <fgColor theme="4" tint="0.39997558519241921"/>
        <bgColor theme="0"/>
      </patternFill>
    </fill>
    <fill>
      <patternFill patternType="solid">
        <fgColor theme="4" tint="0.79998168889431442"/>
        <bgColor theme="0"/>
      </patternFill>
    </fill>
    <fill>
      <patternFill patternType="solid">
        <fgColor theme="5" tint="0.79998168889431442"/>
        <bgColor rgb="FF000000"/>
      </patternFill>
    </fill>
    <fill>
      <patternFill patternType="solid">
        <fgColor rgb="FFFFFFFF"/>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2"/>
        <bgColor indexed="64"/>
      </patternFill>
    </fill>
    <fill>
      <patternFill patternType="solid">
        <fgColor theme="0" tint="-4.9989318521683403E-2"/>
        <bgColor indexed="64"/>
      </patternFill>
    </fill>
    <fill>
      <patternFill patternType="solid">
        <fgColor theme="0"/>
        <bgColor rgb="FF000000"/>
      </patternFill>
    </fill>
    <fill>
      <patternFill patternType="solid">
        <fgColor theme="9"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91C46E"/>
        <bgColor indexed="64"/>
      </patternFill>
    </fill>
    <fill>
      <patternFill patternType="solid">
        <fgColor rgb="FFFCE4D6"/>
        <bgColor indexed="64"/>
      </patternFill>
    </fill>
    <fill>
      <patternFill patternType="solid">
        <fgColor theme="9" tint="0.79998168889431442"/>
        <bgColor rgb="FF000000"/>
      </patternFill>
    </fill>
    <fill>
      <patternFill patternType="solid">
        <fgColor theme="0"/>
        <bgColor theme="0"/>
      </patternFill>
    </fill>
    <fill>
      <patternFill patternType="solid">
        <fgColor theme="2" tint="-9.9978637043366805E-2"/>
        <bgColor rgb="FF000000"/>
      </patternFill>
    </fill>
    <fill>
      <patternFill patternType="solid">
        <fgColor rgb="FFFFFFFF"/>
        <bgColor indexed="64"/>
      </patternFill>
    </fill>
    <fill>
      <patternFill patternType="solid">
        <fgColor theme="9" tint="-0.499984740745262"/>
        <bgColor indexed="64"/>
      </patternFill>
    </fill>
    <fill>
      <patternFill patternType="solid">
        <fgColor rgb="FFFCE4D6"/>
        <bgColor rgb="FF000000"/>
      </patternFill>
    </fill>
    <fill>
      <patternFill patternType="solid">
        <fgColor theme="0" tint="-0.34998626667073579"/>
        <bgColor indexed="64"/>
      </patternFill>
    </fill>
    <fill>
      <patternFill patternType="solid">
        <fgColor rgb="FFF4B084"/>
        <bgColor rgb="FF000000"/>
      </patternFill>
    </fill>
    <fill>
      <patternFill patternType="solid">
        <fgColor theme="8" tint="0.79998168889431442"/>
        <bgColor indexed="65"/>
      </patternFill>
    </fill>
    <fill>
      <patternFill patternType="solid">
        <fgColor theme="7" tint="0.79998168889431442"/>
        <bgColor indexed="64"/>
      </patternFill>
    </fill>
    <fill>
      <patternFill patternType="solid">
        <fgColor theme="0" tint="-0.14999847407452621"/>
        <bgColor indexed="64"/>
      </patternFill>
    </fill>
    <fill>
      <patternFill patternType="solid">
        <fgColor rgb="FFC9A4E4"/>
        <bgColor indexed="64"/>
      </patternFill>
    </fill>
    <fill>
      <patternFill patternType="solid">
        <fgColor rgb="FFFF7C80"/>
        <bgColor indexed="64"/>
      </patternFill>
    </fill>
    <fill>
      <patternFill patternType="solid">
        <fgColor theme="7" tint="0.59999389629810485"/>
        <bgColor indexed="64"/>
      </patternFill>
    </fill>
    <fill>
      <patternFill patternType="solid">
        <fgColor rgb="FFF2F2F2"/>
      </patternFill>
    </fill>
    <fill>
      <patternFill patternType="solid">
        <fgColor rgb="FF7030A0"/>
        <bgColor indexed="64"/>
      </patternFill>
    </fill>
    <fill>
      <patternFill patternType="solid">
        <fgColor rgb="FFCCCCFF"/>
        <bgColor indexed="64"/>
      </patternFill>
    </fill>
    <fill>
      <patternFill patternType="solid">
        <fgColor theme="5" tint="0.79998168889431442"/>
        <bgColor rgb="FFFFFFFF"/>
      </patternFill>
    </fill>
  </fills>
  <borders count="171">
    <border>
      <left/>
      <right/>
      <top/>
      <bottom/>
      <diagonal/>
    </border>
    <border>
      <left style="thin">
        <color theme="0"/>
      </left>
      <right/>
      <top style="thin">
        <color theme="0"/>
      </top>
      <bottom/>
      <diagonal/>
    </border>
    <border>
      <left/>
      <right/>
      <top style="thin">
        <color theme="0"/>
      </top>
      <bottom/>
      <diagonal/>
    </border>
    <border>
      <left/>
      <right/>
      <top style="thin">
        <color indexed="64"/>
      </top>
      <bottom style="thin">
        <color indexed="64"/>
      </bottom>
      <diagonal/>
    </border>
    <border>
      <left/>
      <right/>
      <top/>
      <bottom style="thin">
        <color auto="1"/>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theme="0"/>
      </left>
      <right/>
      <top/>
      <bottom/>
      <diagonal/>
    </border>
    <border>
      <left/>
      <right/>
      <top style="thin">
        <color theme="1" tint="4.9989318521683403E-2"/>
      </top>
      <bottom style="thin">
        <color theme="0" tint="-0.34998626667073579"/>
      </bottom>
      <diagonal/>
    </border>
    <border>
      <left/>
      <right/>
      <top style="thin">
        <color indexed="64"/>
      </top>
      <bottom/>
      <diagonal/>
    </border>
    <border>
      <left/>
      <right/>
      <top/>
      <bottom style="thin">
        <color theme="1" tint="4.9989318521683403E-2"/>
      </bottom>
      <diagonal/>
    </border>
    <border>
      <left/>
      <right/>
      <top style="thin">
        <color theme="0" tint="-0.34998626667073579"/>
      </top>
      <bottom/>
      <diagonal/>
    </border>
    <border>
      <left/>
      <right/>
      <top style="thin">
        <color theme="1" tint="4.9989318521683403E-2"/>
      </top>
      <bottom/>
      <diagonal/>
    </border>
    <border>
      <left/>
      <right/>
      <top style="thin">
        <color auto="1"/>
      </top>
      <bottom style="thin">
        <color theme="1" tint="4.9989318521683403E-2"/>
      </bottom>
      <diagonal/>
    </border>
    <border>
      <left style="thin">
        <color theme="0"/>
      </left>
      <right/>
      <top/>
      <bottom style="thin">
        <color theme="0"/>
      </bottom>
      <diagonal/>
    </border>
    <border>
      <left/>
      <right/>
      <top/>
      <bottom style="thin">
        <color theme="0"/>
      </bottom>
      <diagonal/>
    </border>
    <border>
      <left/>
      <right style="thin">
        <color theme="0"/>
      </right>
      <top/>
      <bottom/>
      <diagonal/>
    </border>
    <border>
      <left/>
      <right/>
      <top style="thin">
        <color rgb="FF0D0D0D"/>
      </top>
      <bottom/>
      <diagonal/>
    </border>
    <border>
      <left/>
      <right/>
      <top style="thin">
        <color auto="1"/>
      </top>
      <bottom style="thin">
        <color rgb="FF0D0D0D"/>
      </bottom>
      <diagonal/>
    </border>
    <border>
      <left/>
      <right/>
      <top style="thin">
        <color theme="0" tint="-0.34998626667073579"/>
      </top>
      <bottom style="thin">
        <color indexed="64"/>
      </bottom>
      <diagonal/>
    </border>
    <border>
      <left/>
      <right/>
      <top style="thin">
        <color indexed="64"/>
      </top>
      <bottom style="thin">
        <color theme="0" tint="-0.249977111117893"/>
      </bottom>
      <diagonal/>
    </border>
    <border>
      <left/>
      <right/>
      <top style="thin">
        <color indexed="64"/>
      </top>
      <bottom style="thin">
        <color theme="0" tint="-0.34998626667073579"/>
      </bottom>
      <diagonal/>
    </border>
    <border>
      <left/>
      <right/>
      <top/>
      <bottom style="thin">
        <color theme="0" tint="-0.34998626667073579"/>
      </bottom>
      <diagonal/>
    </border>
    <border>
      <left style="thin">
        <color rgb="FFFFFFFF"/>
      </left>
      <right/>
      <top/>
      <bottom/>
      <diagonal/>
    </border>
    <border>
      <left/>
      <right/>
      <top style="thin">
        <color indexed="64"/>
      </top>
      <bottom style="thin">
        <color rgb="FFA6A6A6"/>
      </bottom>
      <diagonal/>
    </border>
    <border>
      <left/>
      <right/>
      <top style="thin">
        <color rgb="FFA6A6A6"/>
      </top>
      <bottom/>
      <diagonal/>
    </border>
    <border>
      <left/>
      <right style="thin">
        <color theme="2" tint="-0.249977111117893"/>
      </right>
      <top style="thin">
        <color theme="0" tint="-0.34998626667073579"/>
      </top>
      <bottom/>
      <diagonal/>
    </border>
    <border>
      <left/>
      <right style="thin">
        <color theme="2" tint="-0.249977111117893"/>
      </right>
      <top/>
      <bottom/>
      <diagonal/>
    </border>
    <border>
      <left/>
      <right style="thin">
        <color theme="2" tint="-0.249977111117893"/>
      </right>
      <top/>
      <bottom style="thin">
        <color auto="1"/>
      </bottom>
      <diagonal/>
    </border>
    <border>
      <left/>
      <right/>
      <top style="thin">
        <color rgb="FF0D0D0D"/>
      </top>
      <bottom style="thin">
        <color rgb="FFA6A6A6"/>
      </bottom>
      <diagonal/>
    </border>
    <border>
      <left/>
      <right/>
      <top style="thin">
        <color theme="0" tint="-0.34998626667073579"/>
      </top>
      <bottom style="thin">
        <color theme="0" tint="-0.34998626667073579"/>
      </bottom>
      <diagonal/>
    </border>
    <border>
      <left/>
      <right/>
      <top style="thin">
        <color theme="0" tint="-0.249977111117893"/>
      </top>
      <bottom/>
      <diagonal/>
    </border>
    <border>
      <left/>
      <right/>
      <top/>
      <bottom style="dotted">
        <color theme="9" tint="-0.499984740745262"/>
      </bottom>
      <diagonal/>
    </border>
    <border>
      <left/>
      <right/>
      <top/>
      <bottom style="dotted">
        <color theme="5" tint="-0.249977111117893"/>
      </bottom>
      <diagonal/>
    </border>
    <border>
      <left/>
      <right/>
      <top/>
      <bottom style="thin">
        <color theme="0" tint="-0.14999847407452621"/>
      </bottom>
      <diagonal/>
    </border>
    <border>
      <left/>
      <right style="thick">
        <color theme="0"/>
      </right>
      <top/>
      <bottom style="thin">
        <color theme="0" tint="-0.14999847407452621"/>
      </bottom>
      <diagonal/>
    </border>
    <border>
      <left style="thin">
        <color theme="0" tint="-0.34998626667073579"/>
      </left>
      <right/>
      <top style="thin">
        <color indexed="64"/>
      </top>
      <bottom/>
      <diagonal/>
    </border>
    <border>
      <left style="thin">
        <color theme="0" tint="-0.34998626667073579"/>
      </left>
      <right/>
      <top/>
      <bottom style="thin">
        <color theme="0" tint="-0.34998626667073579"/>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right/>
      <top style="thin">
        <color rgb="FFA6A6A6"/>
      </top>
      <bottom style="thin">
        <color theme="0" tint="-0.34998626667073579"/>
      </bottom>
      <diagonal/>
    </border>
    <border>
      <left style="thin">
        <color theme="0" tint="-0.34998626667073579"/>
      </left>
      <right/>
      <top/>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style="thin">
        <color theme="0" tint="-0.34998626667073579"/>
      </bottom>
      <diagonal/>
    </border>
    <border>
      <left/>
      <right/>
      <top style="thin">
        <color rgb="FF0D0D0D"/>
      </top>
      <bottom style="thin">
        <color theme="0" tint="-0.34998626667073579"/>
      </bottom>
      <diagonal/>
    </border>
    <border>
      <left/>
      <right/>
      <top/>
      <bottom style="dotted">
        <color theme="2" tint="-0.749992370372631"/>
      </bottom>
      <diagonal/>
    </border>
    <border>
      <left/>
      <right style="dotted">
        <color theme="2" tint="-0.749992370372631"/>
      </right>
      <top/>
      <bottom/>
      <diagonal/>
    </border>
    <border>
      <left style="dotted">
        <color theme="2" tint="-0.749992370372631"/>
      </left>
      <right/>
      <top/>
      <bottom style="dotted">
        <color theme="2" tint="-0.749992370372631"/>
      </bottom>
      <diagonal/>
    </border>
    <border>
      <left/>
      <right/>
      <top style="thin">
        <color theme="1" tint="4.9989318521683403E-2"/>
      </top>
      <bottom style="thin">
        <color auto="1"/>
      </bottom>
      <diagonal/>
    </border>
    <border>
      <left/>
      <right/>
      <top style="dotted">
        <color theme="9" tint="-0.499984740745262"/>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dotted">
        <color theme="5" tint="-0.249977111117893"/>
      </left>
      <right/>
      <top style="dotted">
        <color theme="5" tint="-0.249977111117893"/>
      </top>
      <bottom style="dotted">
        <color theme="5" tint="-0.249977111117893"/>
      </bottom>
      <diagonal/>
    </border>
    <border>
      <left style="thin">
        <color theme="0"/>
      </left>
      <right style="thin">
        <color theme="0"/>
      </right>
      <top style="thin">
        <color theme="0"/>
      </top>
      <bottom style="thin">
        <color theme="0"/>
      </bottom>
      <diagonal/>
    </border>
    <border>
      <left/>
      <right/>
      <top style="thin">
        <color theme="0" tint="-4.9989318521683403E-2"/>
      </top>
      <bottom style="thin">
        <color theme="0" tint="-4.9989318521683403E-2"/>
      </bottom>
      <diagonal/>
    </border>
    <border>
      <left style="thin">
        <color theme="2" tint="-0.249977111117893"/>
      </left>
      <right style="thin">
        <color theme="2" tint="-0.249977111117893"/>
      </right>
      <top style="thin">
        <color theme="2" tint="-0.249977111117893"/>
      </top>
      <bottom/>
      <diagonal/>
    </border>
    <border>
      <left style="thin">
        <color theme="2" tint="-0.249977111117893"/>
      </left>
      <right style="thin">
        <color theme="2" tint="-0.249977111117893"/>
      </right>
      <top/>
      <bottom/>
      <diagonal/>
    </border>
    <border>
      <left style="thin">
        <color theme="2" tint="-0.249977111117893"/>
      </left>
      <right style="thin">
        <color theme="2" tint="-0.249977111117893"/>
      </right>
      <top/>
      <bottom style="thin">
        <color theme="2" tint="-0.249977111117893"/>
      </bottom>
      <diagonal/>
    </border>
    <border>
      <left/>
      <right/>
      <top style="thin">
        <color theme="9" tint="0.59999389629810485"/>
      </top>
      <bottom/>
      <diagonal/>
    </border>
    <border>
      <left/>
      <right/>
      <top/>
      <bottom style="thin">
        <color theme="9" tint="0.59999389629810485"/>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bottom style="thin">
        <color theme="0" tint="-0.499984740745262"/>
      </bottom>
      <diagonal/>
    </border>
    <border>
      <left style="hair">
        <color theme="5" tint="-0.249977111117893"/>
      </left>
      <right style="hair">
        <color theme="5" tint="-0.249977111117893"/>
      </right>
      <top style="hair">
        <color theme="5" tint="-0.249977111117893"/>
      </top>
      <bottom style="hair">
        <color theme="5" tint="-0.249977111117893"/>
      </bottom>
      <diagonal/>
    </border>
    <border>
      <left/>
      <right style="medium">
        <color theme="5" tint="-0.249977111117893"/>
      </right>
      <top style="medium">
        <color theme="5" tint="-0.249977111117893"/>
      </top>
      <bottom style="medium">
        <color theme="5" tint="-0.249977111117893"/>
      </bottom>
      <diagonal/>
    </border>
    <border>
      <left/>
      <right/>
      <top style="thin">
        <color indexed="64"/>
      </top>
      <bottom style="thin">
        <color theme="0" tint="-0.499984740745262"/>
      </bottom>
      <diagonal/>
    </border>
    <border>
      <left style="medium">
        <color theme="5" tint="-0.249977111117893"/>
      </left>
      <right style="medium">
        <color theme="5" tint="-0.249977111117893"/>
      </right>
      <top style="medium">
        <color theme="5" tint="-0.249977111117893"/>
      </top>
      <bottom/>
      <diagonal/>
    </border>
    <border>
      <left style="medium">
        <color theme="5" tint="-0.249977111117893"/>
      </left>
      <right style="medium">
        <color theme="5" tint="-0.249977111117893"/>
      </right>
      <top/>
      <bottom style="medium">
        <color theme="5" tint="-0.249977111117893"/>
      </bottom>
      <diagonal/>
    </border>
    <border>
      <left style="medium">
        <color theme="5" tint="-0.249977111117893"/>
      </left>
      <right style="medium">
        <color theme="5" tint="-0.249977111117893"/>
      </right>
      <top style="medium">
        <color theme="5" tint="-0.249977111117893"/>
      </top>
      <bottom style="thin">
        <color theme="2" tint="-0.249977111117893"/>
      </bottom>
      <diagonal/>
    </border>
    <border>
      <left style="medium">
        <color theme="5" tint="-0.249977111117893"/>
      </left>
      <right style="medium">
        <color theme="5" tint="-0.249977111117893"/>
      </right>
      <top/>
      <bottom style="thin">
        <color theme="2" tint="-0.249977111117893"/>
      </bottom>
      <diagonal/>
    </border>
    <border>
      <left style="medium">
        <color theme="5" tint="-0.249977111117893"/>
      </left>
      <right style="medium">
        <color theme="5" tint="-0.249977111117893"/>
      </right>
      <top style="thin">
        <color theme="2" tint="-0.249977111117893"/>
      </top>
      <bottom style="thin">
        <color theme="2" tint="-0.249977111117893"/>
      </bottom>
      <diagonal/>
    </border>
    <border>
      <left style="medium">
        <color theme="5" tint="-0.249977111117893"/>
      </left>
      <right style="medium">
        <color theme="5" tint="-0.249977111117893"/>
      </right>
      <top style="thin">
        <color theme="2" tint="-0.249977111117893"/>
      </top>
      <bottom/>
      <diagonal/>
    </border>
    <border>
      <left style="medium">
        <color theme="5" tint="-0.249977111117893"/>
      </left>
      <right style="medium">
        <color theme="5" tint="-0.249977111117893"/>
      </right>
      <top style="thin">
        <color theme="2" tint="-0.249977111117893"/>
      </top>
      <bottom style="medium">
        <color theme="5" tint="-0.249977111117893"/>
      </bottom>
      <diagonal/>
    </border>
    <border>
      <left style="medium">
        <color theme="5" tint="-0.249977111117893"/>
      </left>
      <right style="medium">
        <color theme="5" tint="-0.249977111117893"/>
      </right>
      <top/>
      <bottom/>
      <diagonal/>
    </border>
    <border>
      <left/>
      <right/>
      <top style="thin">
        <color theme="2" tint="-0.249977111117893"/>
      </top>
      <bottom/>
      <diagonal/>
    </border>
    <border>
      <left/>
      <right style="thin">
        <color indexed="64"/>
      </right>
      <top/>
      <bottom/>
      <diagonal/>
    </border>
    <border>
      <left/>
      <right style="thin">
        <color indexed="64"/>
      </right>
      <top/>
      <bottom style="thin">
        <color auto="1"/>
      </bottom>
      <diagonal/>
    </border>
    <border>
      <left style="thin">
        <color indexed="64"/>
      </left>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5" tint="-0.249977111117893"/>
      </left>
      <right style="thin">
        <color theme="5" tint="-0.249977111117893"/>
      </right>
      <top/>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style="thin">
        <color theme="0" tint="-0.34998626667073579"/>
      </right>
      <top style="medium">
        <color indexed="64"/>
      </top>
      <bottom style="thin">
        <color theme="0" tint="-0.34998626667073579"/>
      </bottom>
      <diagonal/>
    </border>
    <border>
      <left style="thin">
        <color theme="0" tint="-0.34998626667073579"/>
      </left>
      <right style="thin">
        <color theme="0" tint="-0.34998626667073579"/>
      </right>
      <top style="medium">
        <color indexed="64"/>
      </top>
      <bottom style="thin">
        <color theme="0" tint="-0.34998626667073579"/>
      </bottom>
      <diagonal/>
    </border>
    <border>
      <left style="thin">
        <color theme="0" tint="-0.34998626667073579"/>
      </left>
      <right style="medium">
        <color indexed="64"/>
      </right>
      <top style="medium">
        <color indexed="64"/>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indexed="64"/>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theme="0" tint="-0.34998626667073579"/>
      </left>
      <right style="thin">
        <color theme="0" tint="-0.34998626667073579"/>
      </right>
      <top style="thin">
        <color theme="0" tint="-0.34998626667073579"/>
      </top>
      <bottom style="medium">
        <color indexed="64"/>
      </bottom>
      <diagonal/>
    </border>
    <border>
      <left style="thin">
        <color theme="0" tint="-0.34998626667073579"/>
      </left>
      <right style="medium">
        <color indexed="64"/>
      </right>
      <top style="thin">
        <color theme="0" tint="-0.34998626667073579"/>
      </top>
      <bottom style="medium">
        <color indexed="64"/>
      </bottom>
      <diagonal/>
    </border>
    <border>
      <left/>
      <right style="thin">
        <color theme="0" tint="-0.34998626667073579"/>
      </right>
      <top style="thin">
        <color theme="0" tint="-0.34998626667073579"/>
      </top>
      <bottom style="thin">
        <color theme="0" tint="-0.34998626667073579"/>
      </bottom>
      <diagonal/>
    </border>
    <border>
      <left/>
      <right/>
      <top/>
      <bottom style="medium">
        <color rgb="FFEEEEEE"/>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hair">
        <color theme="9" tint="-0.499984740745262"/>
      </bottom>
      <diagonal/>
    </border>
    <border>
      <left/>
      <right/>
      <top style="hair">
        <color theme="9" tint="-0.499984740745262"/>
      </top>
      <bottom style="hair">
        <color theme="9" tint="-0.499984740745262"/>
      </bottom>
      <diagonal/>
    </border>
    <border>
      <left style="medium">
        <color indexed="64"/>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indexed="64"/>
      </right>
      <top style="thin">
        <color theme="0" tint="-0.34998626667073579"/>
      </top>
      <bottom/>
      <diagonal/>
    </border>
    <border>
      <left style="medium">
        <color indexed="64"/>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medium">
        <color indexed="64"/>
      </right>
      <top/>
      <bottom style="thin">
        <color theme="0" tint="-0.34998626667073579"/>
      </bottom>
      <diagonal/>
    </border>
    <border>
      <left/>
      <right/>
      <top style="thin">
        <color theme="0" tint="-0.499984740745262"/>
      </top>
      <bottom/>
      <diagonal/>
    </border>
    <border>
      <left/>
      <right/>
      <top style="thin">
        <color indexed="64"/>
      </top>
      <bottom style="thin">
        <color theme="0" tint="-0.24994659260841701"/>
      </bottom>
      <diagonal/>
    </border>
    <border>
      <left/>
      <right/>
      <top/>
      <bottom style="thin">
        <color theme="0" tint="-0.249977111117893"/>
      </bottom>
      <diagonal/>
    </border>
    <border>
      <left/>
      <right/>
      <top style="thin">
        <color theme="0" tint="-0.249977111117893"/>
      </top>
      <bottom style="thin">
        <color auto="1"/>
      </bottom>
      <diagonal/>
    </border>
    <border>
      <left style="thin">
        <color theme="0" tint="-0.34998626667073579"/>
      </left>
      <right style="medium">
        <color indexed="64"/>
      </right>
      <top style="medium">
        <color indexed="64"/>
      </top>
      <bottom style="thin">
        <color indexed="64"/>
      </bottom>
      <diagonal/>
    </border>
    <border>
      <left style="thin">
        <color theme="0" tint="-0.34998626667073579"/>
      </left>
      <right style="thin">
        <color theme="0" tint="-0.34998626667073579"/>
      </right>
      <top style="medium">
        <color indexed="64"/>
      </top>
      <bottom style="thin">
        <color indexed="64"/>
      </bottom>
      <diagonal/>
    </border>
    <border>
      <left style="medium">
        <color indexed="64"/>
      </left>
      <right style="thin">
        <color theme="0" tint="-0.34998626667073579"/>
      </right>
      <top style="medium">
        <color indexed="64"/>
      </top>
      <bottom style="thin">
        <color indexed="64"/>
      </bottom>
      <diagonal/>
    </border>
    <border>
      <left style="thin">
        <color theme="0" tint="-0.34998626667073579"/>
      </left>
      <right style="medium">
        <color indexed="64"/>
      </right>
      <top style="thin">
        <color indexed="64"/>
      </top>
      <bottom style="medium">
        <color indexed="64"/>
      </bottom>
      <diagonal/>
    </border>
    <border>
      <left/>
      <right style="thin">
        <color theme="0" tint="-0.34998626667073579"/>
      </right>
      <top style="thin">
        <color indexed="64"/>
      </top>
      <bottom style="medium">
        <color indexed="64"/>
      </bottom>
      <diagonal/>
    </border>
    <border>
      <left style="medium">
        <color indexed="64"/>
      </left>
      <right style="thin">
        <color theme="0" tint="-0.34998626667073579"/>
      </right>
      <top/>
      <bottom style="medium">
        <color indexed="64"/>
      </bottom>
      <diagonal/>
    </border>
    <border>
      <left style="thin">
        <color theme="0" tint="-0.34998626667073579"/>
      </left>
      <right style="thin">
        <color theme="0" tint="-0.34998626667073579"/>
      </right>
      <top/>
      <bottom style="medium">
        <color indexed="64"/>
      </bottom>
      <diagonal/>
    </border>
    <border>
      <left style="thin">
        <color rgb="FFAEAAAA"/>
      </left>
      <right style="thin">
        <color theme="0" tint="-0.34998626667073579"/>
      </right>
      <top style="thin">
        <color rgb="FFAEAAAA"/>
      </top>
      <bottom style="thin">
        <color rgb="FFAEAAAA"/>
      </bottom>
      <diagonal/>
    </border>
    <border>
      <left style="thin">
        <color theme="0" tint="-0.34998626667073579"/>
      </left>
      <right style="thin">
        <color rgb="FFAEAAAA"/>
      </right>
      <top style="thin">
        <color rgb="FFAEAAAA"/>
      </top>
      <bottom style="thin">
        <color rgb="FFAEAAAA"/>
      </bottom>
      <diagonal/>
    </border>
    <border>
      <left style="thin">
        <color rgb="FFAEAAAA"/>
      </left>
      <right style="thin">
        <color theme="0" tint="-0.34998626667073579"/>
      </right>
      <top style="thin">
        <color theme="0" tint="-0.34998626667073579"/>
      </top>
      <bottom style="thin">
        <color rgb="FFAEAAAA"/>
      </bottom>
      <diagonal/>
    </border>
    <border>
      <left style="thin">
        <color theme="0" tint="-0.34998626667073579"/>
      </left>
      <right style="thin">
        <color theme="0" tint="-0.34998626667073579"/>
      </right>
      <top style="thin">
        <color theme="0" tint="-0.34998626667073579"/>
      </top>
      <bottom style="thin">
        <color rgb="FFAEAAAA"/>
      </bottom>
      <diagonal/>
    </border>
    <border>
      <left style="thin">
        <color theme="0" tint="-0.34998626667073579"/>
      </left>
      <right style="thin">
        <color rgb="FFAEAAAA"/>
      </right>
      <top style="thin">
        <color rgb="FFAEAAAA"/>
      </top>
      <bottom style="medium">
        <color indexed="64"/>
      </bottom>
      <diagonal/>
    </border>
    <border>
      <left style="thin">
        <color rgb="FFAEAAAA"/>
      </left>
      <right style="medium">
        <color theme="2" tint="-0.249977111117893"/>
      </right>
      <top style="thin">
        <color rgb="FFAEAAAA"/>
      </top>
      <bottom style="medium">
        <color theme="1"/>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top/>
      <bottom style="hair">
        <color theme="5" tint="-0.24994659260841701"/>
      </bottom>
      <diagonal/>
    </border>
  </borders>
  <cellStyleXfs count="37">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xf numFmtId="172" fontId="5" fillId="0" borderId="0" applyFont="0" applyFill="0" applyBorder="0" applyAlignment="0" applyProtection="0"/>
    <xf numFmtId="0" fontId="1" fillId="0" borderId="0"/>
    <xf numFmtId="176" fontId="42" fillId="0" borderId="0" applyFont="0" applyFill="0" applyBorder="0" applyAlignment="0" applyProtection="0"/>
    <xf numFmtId="177" fontId="43" fillId="0" borderId="0" applyNumberFormat="0" applyFill="0" applyBorder="0" applyAlignment="0" applyProtection="0"/>
    <xf numFmtId="9" fontId="1" fillId="0" borderId="0" applyFont="0" applyFill="0" applyBorder="0" applyAlignment="0" applyProtection="0"/>
    <xf numFmtId="0" fontId="1" fillId="0" borderId="0"/>
    <xf numFmtId="0" fontId="52" fillId="0" borderId="0"/>
    <xf numFmtId="0" fontId="55" fillId="0" borderId="0" applyNumberFormat="0" applyFill="0" applyBorder="0" applyAlignment="0" applyProtection="0"/>
    <xf numFmtId="0" fontId="7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7" fontId="70"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0" fontId="55" fillId="0" borderId="0" applyNumberForma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40" borderId="0" applyNumberFormat="0" applyBorder="0" applyAlignment="0" applyProtection="0"/>
    <xf numFmtId="0" fontId="158" fillId="46" borderId="102" applyNumberForma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3942">
    <xf numFmtId="0" fontId="0" fillId="0" borderId="0" xfId="0"/>
    <xf numFmtId="0" fontId="4" fillId="2" borderId="0" xfId="0" applyFont="1" applyFill="1" applyAlignment="1">
      <alignment horizontal="right"/>
    </xf>
    <xf numFmtId="0" fontId="3" fillId="2" borderId="0" xfId="0" applyFont="1" applyFill="1"/>
    <xf numFmtId="0" fontId="0" fillId="2" borderId="0" xfId="0" applyFill="1"/>
    <xf numFmtId="0" fontId="3" fillId="4" borderId="3" xfId="0" applyFont="1" applyFill="1" applyBorder="1"/>
    <xf numFmtId="0" fontId="0" fillId="3" borderId="2" xfId="0" applyFill="1" applyBorder="1"/>
    <xf numFmtId="0" fontId="0" fillId="4" borderId="0" xfId="0" applyFill="1"/>
    <xf numFmtId="0" fontId="0" fillId="4" borderId="4" xfId="0" applyFill="1" applyBorder="1"/>
    <xf numFmtId="0" fontId="9" fillId="3" borderId="1" xfId="3" applyFont="1" applyFill="1" applyBorder="1" applyAlignment="1">
      <alignment horizontal="left" vertical="center" indent="1"/>
    </xf>
    <xf numFmtId="0" fontId="3" fillId="4" borderId="3" xfId="0" applyFont="1" applyFill="1" applyBorder="1" applyAlignment="1">
      <alignment horizontal="right" vertical="center"/>
    </xf>
    <xf numFmtId="0" fontId="0" fillId="5" borderId="6" xfId="0" applyFill="1" applyBorder="1" applyAlignment="1">
      <alignment vertical="center"/>
    </xf>
    <xf numFmtId="0" fontId="0" fillId="6" borderId="7" xfId="0" applyFill="1" applyBorder="1"/>
    <xf numFmtId="0" fontId="0" fillId="6" borderId="0" xfId="0" applyFill="1"/>
    <xf numFmtId="0" fontId="12" fillId="6" borderId="7" xfId="3" applyFont="1" applyFill="1" applyBorder="1"/>
    <xf numFmtId="0" fontId="6" fillId="5" borderId="0" xfId="3" applyFont="1" applyFill="1"/>
    <xf numFmtId="0" fontId="13" fillId="5" borderId="0" xfId="3" applyFont="1" applyFill="1"/>
    <xf numFmtId="0" fontId="13" fillId="5" borderId="0" xfId="3" applyFont="1" applyFill="1" applyAlignment="1">
      <alignment horizontal="right"/>
    </xf>
    <xf numFmtId="0" fontId="6" fillId="5" borderId="0" xfId="3" applyFont="1" applyFill="1" applyAlignment="1">
      <alignment horizontal="left"/>
    </xf>
    <xf numFmtId="0" fontId="13" fillId="6" borderId="0" xfId="3" applyFont="1" applyFill="1"/>
    <xf numFmtId="0" fontId="14" fillId="6" borderId="0" xfId="3" applyFont="1" applyFill="1"/>
    <xf numFmtId="0" fontId="12" fillId="6" borderId="0" xfId="3" applyFont="1" applyFill="1"/>
    <xf numFmtId="0" fontId="12" fillId="6" borderId="0" xfId="3" applyFont="1" applyFill="1" applyAlignment="1">
      <alignment horizontal="right"/>
    </xf>
    <xf numFmtId="0" fontId="14" fillId="6" borderId="0" xfId="3" applyFont="1" applyFill="1" applyAlignment="1">
      <alignment horizontal="left"/>
    </xf>
    <xf numFmtId="0" fontId="3" fillId="7" borderId="0" xfId="3" quotePrefix="1" applyFont="1" applyFill="1" applyAlignment="1">
      <alignment vertical="center"/>
    </xf>
    <xf numFmtId="0" fontId="3" fillId="6" borderId="0" xfId="3" applyFont="1" applyFill="1" applyAlignment="1">
      <alignment vertical="center"/>
    </xf>
    <xf numFmtId="0" fontId="13" fillId="6" borderId="7" xfId="0" applyFont="1" applyFill="1" applyBorder="1"/>
    <xf numFmtId="0" fontId="14" fillId="6" borderId="0" xfId="3" applyFont="1" applyFill="1" applyAlignment="1">
      <alignment vertical="center"/>
    </xf>
    <xf numFmtId="0" fontId="14" fillId="6" borderId="0" xfId="3" applyFont="1" applyFill="1" applyAlignment="1">
      <alignment horizontal="right"/>
    </xf>
    <xf numFmtId="0" fontId="14" fillId="6" borderId="8" xfId="0" applyFont="1" applyFill="1" applyBorder="1" applyAlignment="1">
      <alignment vertical="center"/>
    </xf>
    <xf numFmtId="0" fontId="14" fillId="6" borderId="8" xfId="0" applyFont="1" applyFill="1" applyBorder="1" applyAlignment="1">
      <alignment horizontal="right" vertical="center"/>
    </xf>
    <xf numFmtId="0" fontId="12" fillId="6" borderId="0" xfId="0" applyFont="1" applyFill="1" applyAlignment="1">
      <alignment vertical="center"/>
    </xf>
    <xf numFmtId="168" fontId="12" fillId="6" borderId="0" xfId="0" applyNumberFormat="1" applyFont="1" applyFill="1" applyAlignment="1">
      <alignment vertical="center"/>
    </xf>
    <xf numFmtId="0" fontId="12" fillId="6" borderId="4" xfId="0" applyFont="1" applyFill="1" applyBorder="1" applyAlignment="1">
      <alignment vertical="center"/>
    </xf>
    <xf numFmtId="0" fontId="14" fillId="6" borderId="0" xfId="0" applyFont="1" applyFill="1" applyAlignment="1">
      <alignment horizontal="right" vertical="center"/>
    </xf>
    <xf numFmtId="169" fontId="12" fillId="6" borderId="0" xfId="0" applyNumberFormat="1" applyFont="1" applyFill="1" applyAlignment="1">
      <alignment vertical="center"/>
    </xf>
    <xf numFmtId="0" fontId="14" fillId="6" borderId="0" xfId="0" applyFont="1" applyFill="1" applyAlignment="1">
      <alignment vertical="center"/>
    </xf>
    <xf numFmtId="0" fontId="12" fillId="6" borderId="0" xfId="0" applyFont="1" applyFill="1" applyAlignment="1">
      <alignment horizontal="right" vertical="center"/>
    </xf>
    <xf numFmtId="0" fontId="6" fillId="6" borderId="0" xfId="3" applyFont="1" applyFill="1"/>
    <xf numFmtId="10" fontId="12" fillId="6" borderId="0" xfId="2" applyNumberFormat="1" applyFont="1" applyFill="1" applyBorder="1" applyAlignment="1">
      <alignment horizontal="right" vertical="center"/>
    </xf>
    <xf numFmtId="10" fontId="12" fillId="6" borderId="4" xfId="2" applyNumberFormat="1" applyFont="1" applyFill="1" applyBorder="1" applyAlignment="1">
      <alignment horizontal="right" vertical="center"/>
    </xf>
    <xf numFmtId="0" fontId="13" fillId="6" borderId="0" xfId="0" applyFont="1" applyFill="1"/>
    <xf numFmtId="0" fontId="14" fillId="7" borderId="0" xfId="3" applyFont="1" applyFill="1" applyAlignment="1">
      <alignment vertical="center"/>
    </xf>
    <xf numFmtId="0" fontId="6" fillId="6" borderId="0" xfId="0" applyFont="1" applyFill="1"/>
    <xf numFmtId="4" fontId="15" fillId="6" borderId="0" xfId="0" applyNumberFormat="1" applyFont="1" applyFill="1" applyAlignment="1">
      <alignment horizontal="right" vertical="center"/>
    </xf>
    <xf numFmtId="2" fontId="14" fillId="6" borderId="0" xfId="0" applyNumberFormat="1" applyFont="1" applyFill="1" applyAlignment="1">
      <alignment horizontal="right" vertical="center"/>
    </xf>
    <xf numFmtId="3" fontId="12" fillId="6" borderId="0" xfId="0" applyNumberFormat="1" applyFont="1" applyFill="1" applyAlignment="1">
      <alignment horizontal="right" vertical="center"/>
    </xf>
    <xf numFmtId="2" fontId="15" fillId="6" borderId="0" xfId="0" applyNumberFormat="1" applyFont="1" applyFill="1" applyAlignment="1">
      <alignment horizontal="right" vertical="center"/>
    </xf>
    <xf numFmtId="0" fontId="6" fillId="6" borderId="7" xfId="0" applyFont="1" applyFill="1" applyBorder="1"/>
    <xf numFmtId="0" fontId="16" fillId="3" borderId="0" xfId="0" applyFont="1" applyFill="1"/>
    <xf numFmtId="0" fontId="10" fillId="3" borderId="0" xfId="0" applyFont="1" applyFill="1"/>
    <xf numFmtId="0" fontId="10" fillId="4" borderId="0" xfId="0" applyFont="1" applyFill="1"/>
    <xf numFmtId="0" fontId="16" fillId="4" borderId="0" xfId="0" applyFont="1" applyFill="1"/>
    <xf numFmtId="0" fontId="16" fillId="4" borderId="0" xfId="0" applyFont="1" applyFill="1" applyAlignment="1">
      <alignment horizontal="right"/>
    </xf>
    <xf numFmtId="0" fontId="14" fillId="4" borderId="8" xfId="0" applyFont="1" applyFill="1" applyBorder="1" applyAlignment="1">
      <alignment horizontal="left" vertical="center"/>
    </xf>
    <xf numFmtId="0" fontId="14" fillId="4" borderId="8" xfId="0" applyFont="1" applyFill="1" applyBorder="1" applyAlignment="1">
      <alignment horizontal="right" vertical="center"/>
    </xf>
    <xf numFmtId="0" fontId="16" fillId="4" borderId="3" xfId="0" applyFont="1" applyFill="1" applyBorder="1"/>
    <xf numFmtId="0" fontId="3" fillId="8" borderId="0" xfId="0" applyFont="1" applyFill="1"/>
    <xf numFmtId="0" fontId="0" fillId="8" borderId="0" xfId="0" applyFill="1"/>
    <xf numFmtId="0" fontId="0" fillId="9" borderId="0" xfId="0" applyFill="1"/>
    <xf numFmtId="0" fontId="3" fillId="9" borderId="0" xfId="0" applyFont="1" applyFill="1"/>
    <xf numFmtId="0" fontId="3" fillId="9" borderId="0" xfId="0" applyFont="1" applyFill="1" applyAlignment="1">
      <alignment horizontal="right"/>
    </xf>
    <xf numFmtId="0" fontId="14" fillId="9" borderId="8" xfId="0" applyFont="1" applyFill="1" applyBorder="1" applyAlignment="1">
      <alignment horizontal="center" vertical="center"/>
    </xf>
    <xf numFmtId="0" fontId="14" fillId="9" borderId="8" xfId="0" applyFont="1" applyFill="1" applyBorder="1" applyAlignment="1">
      <alignment horizontal="right" vertical="center"/>
    </xf>
    <xf numFmtId="0" fontId="0" fillId="9" borderId="0" xfId="0" applyFill="1" applyAlignment="1">
      <alignment horizontal="center"/>
    </xf>
    <xf numFmtId="0" fontId="3" fillId="10" borderId="0" xfId="0" applyFont="1" applyFill="1"/>
    <xf numFmtId="0" fontId="0" fillId="10" borderId="0" xfId="0" applyFill="1"/>
    <xf numFmtId="0" fontId="0" fillId="11" borderId="0" xfId="0" applyFill="1"/>
    <xf numFmtId="0" fontId="3" fillId="11" borderId="0" xfId="0" applyFont="1" applyFill="1"/>
    <xf numFmtId="0" fontId="14" fillId="11" borderId="8" xfId="0" applyFont="1" applyFill="1" applyBorder="1" applyAlignment="1">
      <alignment horizontal="center" vertical="center"/>
    </xf>
    <xf numFmtId="0" fontId="14" fillId="11" borderId="8" xfId="0" applyFont="1" applyFill="1" applyBorder="1" applyAlignment="1">
      <alignment horizontal="right" vertical="center"/>
    </xf>
    <xf numFmtId="0" fontId="17" fillId="2" borderId="0" xfId="0" applyFont="1" applyFill="1" applyAlignment="1">
      <alignment horizontal="right"/>
    </xf>
    <xf numFmtId="0" fontId="14" fillId="2" borderId="0" xfId="0" applyFont="1" applyFill="1"/>
    <xf numFmtId="0" fontId="12" fillId="2" borderId="0" xfId="0" applyFont="1" applyFill="1"/>
    <xf numFmtId="0" fontId="12" fillId="3" borderId="2" xfId="0" applyFont="1" applyFill="1" applyBorder="1"/>
    <xf numFmtId="0" fontId="12" fillId="4" borderId="0" xfId="0" applyFont="1" applyFill="1"/>
    <xf numFmtId="0" fontId="14" fillId="4" borderId="3" xfId="0" applyFont="1" applyFill="1" applyBorder="1"/>
    <xf numFmtId="0" fontId="12" fillId="4" borderId="3" xfId="0" applyFont="1" applyFill="1" applyBorder="1"/>
    <xf numFmtId="0" fontId="14" fillId="4" borderId="3" xfId="0" applyFont="1" applyFill="1" applyBorder="1" applyAlignment="1">
      <alignment horizontal="center" vertical="center"/>
    </xf>
    <xf numFmtId="0" fontId="12" fillId="4" borderId="9" xfId="0" applyFont="1" applyFill="1" applyBorder="1" applyAlignment="1">
      <alignment horizontal="left"/>
    </xf>
    <xf numFmtId="0" fontId="12" fillId="4" borderId="9" xfId="0" applyFont="1" applyFill="1" applyBorder="1"/>
    <xf numFmtId="0" fontId="12" fillId="4" borderId="4" xfId="0" applyFont="1" applyFill="1" applyBorder="1"/>
    <xf numFmtId="0" fontId="12" fillId="4" borderId="0" xfId="3" applyFont="1" applyFill="1"/>
    <xf numFmtId="0" fontId="14" fillId="4" borderId="0" xfId="3" applyFont="1" applyFill="1" applyAlignment="1">
      <alignment horizontal="right"/>
    </xf>
    <xf numFmtId="0" fontId="12" fillId="6" borderId="7" xfId="0" applyFont="1" applyFill="1" applyBorder="1"/>
    <xf numFmtId="0" fontId="12" fillId="6" borderId="0" xfId="0" applyFont="1" applyFill="1"/>
    <xf numFmtId="9" fontId="19" fillId="6" borderId="0" xfId="2" applyFont="1" applyFill="1" applyBorder="1"/>
    <xf numFmtId="9" fontId="19" fillId="6" borderId="0" xfId="2" applyFont="1" applyFill="1" applyBorder="1" applyAlignment="1">
      <alignment vertical="center"/>
    </xf>
    <xf numFmtId="0" fontId="12" fillId="5" borderId="0" xfId="3" applyFont="1" applyFill="1"/>
    <xf numFmtId="43" fontId="19" fillId="6" borderId="0" xfId="1" applyFont="1" applyFill="1" applyBorder="1" applyAlignment="1">
      <alignment vertical="center"/>
    </xf>
    <xf numFmtId="0" fontId="14" fillId="6" borderId="8" xfId="0" applyFont="1" applyFill="1" applyBorder="1" applyAlignment="1">
      <alignment horizontal="center" vertical="center"/>
    </xf>
    <xf numFmtId="0" fontId="12" fillId="6" borderId="0" xfId="0" applyFont="1" applyFill="1" applyAlignment="1">
      <alignment horizontal="center" vertical="center"/>
    </xf>
    <xf numFmtId="0" fontId="12" fillId="6" borderId="4" xfId="0" applyFont="1" applyFill="1" applyBorder="1" applyAlignment="1">
      <alignment horizontal="center" vertical="center"/>
    </xf>
    <xf numFmtId="0" fontId="14" fillId="6" borderId="3" xfId="0" applyFont="1" applyFill="1" applyBorder="1" applyAlignment="1">
      <alignment vertical="center"/>
    </xf>
    <xf numFmtId="0" fontId="6" fillId="5" borderId="0" xfId="3" quotePrefix="1" applyFont="1" applyFill="1" applyAlignment="1">
      <alignment vertical="center"/>
    </xf>
    <xf numFmtId="43" fontId="19" fillId="6" borderId="0" xfId="1" applyFont="1" applyFill="1" applyBorder="1" applyAlignment="1">
      <alignment horizontal="right" vertical="center"/>
    </xf>
    <xf numFmtId="9" fontId="19" fillId="6" borderId="0" xfId="2" applyFont="1" applyFill="1" applyBorder="1" applyAlignment="1">
      <alignment horizontal="right" vertical="center"/>
    </xf>
    <xf numFmtId="0" fontId="14" fillId="6" borderId="0" xfId="0" applyFont="1" applyFill="1"/>
    <xf numFmtId="0" fontId="14" fillId="6" borderId="7" xfId="0" applyFont="1" applyFill="1" applyBorder="1"/>
    <xf numFmtId="4" fontId="20" fillId="6" borderId="0" xfId="0" applyNumberFormat="1" applyFont="1" applyFill="1" applyAlignment="1">
      <alignment horizontal="right" vertical="center"/>
    </xf>
    <xf numFmtId="0" fontId="21" fillId="3" borderId="0" xfId="0" applyFont="1" applyFill="1"/>
    <xf numFmtId="0" fontId="20" fillId="3" borderId="0" xfId="0" applyFont="1" applyFill="1"/>
    <xf numFmtId="0" fontId="20" fillId="4" borderId="0" xfId="0" applyFont="1" applyFill="1"/>
    <xf numFmtId="0" fontId="22" fillId="4" borderId="0" xfId="0" applyFont="1" applyFill="1"/>
    <xf numFmtId="0" fontId="23" fillId="4" borderId="0" xfId="0" applyFont="1" applyFill="1" applyAlignment="1">
      <alignment horizontal="right"/>
    </xf>
    <xf numFmtId="0" fontId="14" fillId="4" borderId="8" xfId="0" applyFont="1" applyFill="1" applyBorder="1" applyAlignment="1">
      <alignment horizontal="center" vertical="center"/>
    </xf>
    <xf numFmtId="0" fontId="9" fillId="8" borderId="0" xfId="0" applyFont="1" applyFill="1"/>
    <xf numFmtId="0" fontId="12" fillId="8" borderId="0" xfId="0" applyFont="1" applyFill="1"/>
    <xf numFmtId="0" fontId="12" fillId="9" borderId="0" xfId="0" applyFont="1" applyFill="1"/>
    <xf numFmtId="0" fontId="6" fillId="9" borderId="0" xfId="0" applyFont="1" applyFill="1"/>
    <xf numFmtId="0" fontId="14" fillId="9" borderId="0" xfId="0" applyFont="1" applyFill="1" applyAlignment="1">
      <alignment horizontal="right"/>
    </xf>
    <xf numFmtId="0" fontId="9" fillId="10" borderId="0" xfId="0" applyFont="1" applyFill="1"/>
    <xf numFmtId="0" fontId="12" fillId="10" borderId="0" xfId="0" applyFont="1" applyFill="1"/>
    <xf numFmtId="0" fontId="12" fillId="11" borderId="0" xfId="0" applyFont="1" applyFill="1"/>
    <xf numFmtId="0" fontId="6" fillId="11" borderId="0" xfId="0" applyFont="1" applyFill="1"/>
    <xf numFmtId="0" fontId="14" fillId="11" borderId="0" xfId="0" applyFont="1" applyFill="1"/>
    <xf numFmtId="0" fontId="12" fillId="11" borderId="0" xfId="0" applyFont="1" applyFill="1" applyAlignment="1">
      <alignment horizontal="center"/>
    </xf>
    <xf numFmtId="0" fontId="9" fillId="5" borderId="5" xfId="0" applyFont="1" applyFill="1" applyBorder="1" applyAlignment="1">
      <alignment horizontal="left" vertical="center" indent="1"/>
    </xf>
    <xf numFmtId="0" fontId="14" fillId="6" borderId="0" xfId="3" applyFont="1" applyFill="1" applyAlignment="1">
      <alignment horizontal="center" vertical="center"/>
    </xf>
    <xf numFmtId="0" fontId="25" fillId="3" borderId="1" xfId="3" applyFont="1" applyFill="1" applyBorder="1" applyAlignment="1">
      <alignment horizontal="left" vertical="center" indent="1"/>
    </xf>
    <xf numFmtId="0" fontId="12" fillId="5" borderId="0" xfId="3" applyFont="1" applyFill="1" applyAlignment="1">
      <alignment horizontal="right"/>
    </xf>
    <xf numFmtId="0" fontId="14" fillId="5" borderId="0" xfId="3" applyFont="1" applyFill="1" applyAlignment="1">
      <alignment horizontal="left"/>
    </xf>
    <xf numFmtId="171" fontId="19" fillId="6" borderId="0" xfId="2" applyNumberFormat="1" applyFont="1" applyFill="1" applyBorder="1" applyAlignment="1">
      <alignment vertical="center"/>
    </xf>
    <xf numFmtId="171" fontId="15" fillId="6" borderId="0" xfId="2" applyNumberFormat="1" applyFont="1" applyFill="1" applyBorder="1" applyAlignment="1">
      <alignment vertical="center"/>
    </xf>
    <xf numFmtId="0" fontId="0" fillId="6" borderId="0" xfId="0" applyFill="1" applyAlignment="1">
      <alignment horizontal="center" vertical="center"/>
    </xf>
    <xf numFmtId="43" fontId="10" fillId="4" borderId="0" xfId="1" applyFont="1" applyFill="1" applyAlignment="1">
      <alignment horizontal="center"/>
    </xf>
    <xf numFmtId="0" fontId="27" fillId="2" borderId="0" xfId="0" applyFont="1" applyFill="1"/>
    <xf numFmtId="0" fontId="3" fillId="4" borderId="9" xfId="0" applyFont="1" applyFill="1" applyBorder="1"/>
    <xf numFmtId="0" fontId="0" fillId="4" borderId="9" xfId="0" applyFill="1" applyBorder="1"/>
    <xf numFmtId="0" fontId="3" fillId="4" borderId="9" xfId="0" applyFont="1" applyFill="1" applyBorder="1" applyAlignment="1">
      <alignment horizontal="right" vertical="center"/>
    </xf>
    <xf numFmtId="0" fontId="28" fillId="5" borderId="0" xfId="5" applyFont="1" applyFill="1"/>
    <xf numFmtId="0" fontId="26" fillId="6" borderId="0" xfId="0" applyFont="1" applyFill="1"/>
    <xf numFmtId="0" fontId="1" fillId="0" borderId="0" xfId="5"/>
    <xf numFmtId="0" fontId="1" fillId="6" borderId="7" xfId="5" applyFill="1" applyBorder="1"/>
    <xf numFmtId="0" fontId="0" fillId="12" borderId="0" xfId="0" applyFill="1"/>
    <xf numFmtId="0" fontId="26" fillId="12" borderId="0" xfId="0" applyFont="1" applyFill="1" applyAlignment="1">
      <alignment horizontal="right"/>
    </xf>
    <xf numFmtId="0" fontId="1" fillId="6" borderId="0" xfId="5" applyFill="1"/>
    <xf numFmtId="11" fontId="1" fillId="0" borderId="0" xfId="5" applyNumberFormat="1"/>
    <xf numFmtId="0" fontId="30" fillId="12" borderId="8" xfId="0" applyFont="1" applyFill="1" applyBorder="1" applyAlignment="1">
      <alignment horizontal="center" vertical="center"/>
    </xf>
    <xf numFmtId="0" fontId="31" fillId="0" borderId="0" xfId="5" applyFont="1" applyAlignment="1">
      <alignment horizontal="center"/>
    </xf>
    <xf numFmtId="0" fontId="0" fillId="12" borderId="0" xfId="0" applyFill="1" applyAlignment="1">
      <alignment horizontal="center" vertical="center"/>
    </xf>
    <xf numFmtId="0" fontId="33" fillId="0" borderId="0" xfId="5" applyFont="1"/>
    <xf numFmtId="173" fontId="33" fillId="0" borderId="0" xfId="4" applyNumberFormat="1" applyFont="1"/>
    <xf numFmtId="0" fontId="0" fillId="12" borderId="10" xfId="0" applyFill="1" applyBorder="1" applyAlignment="1">
      <alignment horizontal="center" vertical="center"/>
    </xf>
    <xf numFmtId="0" fontId="26" fillId="6" borderId="0" xfId="5" applyFont="1" applyFill="1"/>
    <xf numFmtId="0" fontId="30" fillId="6" borderId="8" xfId="0" applyFont="1" applyFill="1" applyBorder="1" applyAlignment="1">
      <alignment vertical="center"/>
    </xf>
    <xf numFmtId="0" fontId="0" fillId="6" borderId="11" xfId="0" applyFill="1" applyBorder="1" applyAlignment="1">
      <alignment vertical="center"/>
    </xf>
    <xf numFmtId="0" fontId="0" fillId="6" borderId="0" xfId="0" applyFill="1" applyAlignment="1">
      <alignment vertical="center"/>
    </xf>
    <xf numFmtId="0" fontId="0" fillId="6" borderId="4" xfId="0" applyFill="1" applyBorder="1" applyAlignment="1">
      <alignment vertical="center"/>
    </xf>
    <xf numFmtId="0" fontId="36" fillId="6" borderId="0" xfId="0" applyFont="1" applyFill="1"/>
    <xf numFmtId="0" fontId="0" fillId="13" borderId="0" xfId="0" applyFill="1"/>
    <xf numFmtId="0" fontId="0" fillId="15" borderId="0" xfId="0" applyFill="1"/>
    <xf numFmtId="0" fontId="6" fillId="14" borderId="0" xfId="0" applyFont="1" applyFill="1"/>
    <xf numFmtId="0" fontId="13" fillId="14" borderId="0" xfId="0" applyFont="1" applyFill="1"/>
    <xf numFmtId="0" fontId="13" fillId="14" borderId="0" xfId="0" applyFont="1" applyFill="1" applyAlignment="1">
      <alignment horizontal="right"/>
    </xf>
    <xf numFmtId="0" fontId="26" fillId="15" borderId="0" xfId="0" applyFont="1" applyFill="1"/>
    <xf numFmtId="0" fontId="0" fillId="15" borderId="0" xfId="0" applyFill="1" applyAlignment="1">
      <alignment horizontal="right"/>
    </xf>
    <xf numFmtId="0" fontId="3" fillId="15" borderId="0" xfId="0" applyFont="1" applyFill="1" applyAlignment="1">
      <alignment horizontal="right"/>
    </xf>
    <xf numFmtId="0" fontId="30" fillId="15" borderId="12" xfId="0" applyFont="1" applyFill="1" applyBorder="1" applyAlignment="1">
      <alignment vertical="center"/>
    </xf>
    <xf numFmtId="0" fontId="30" fillId="15" borderId="12" xfId="0" applyFont="1" applyFill="1" applyBorder="1" applyAlignment="1">
      <alignment horizontal="right" vertical="center"/>
    </xf>
    <xf numFmtId="0" fontId="0" fillId="15" borderId="15" xfId="0" applyFill="1" applyBorder="1" applyAlignment="1">
      <alignment vertical="center"/>
    </xf>
    <xf numFmtId="0" fontId="26" fillId="17" borderId="0" xfId="0" applyFont="1" applyFill="1"/>
    <xf numFmtId="0" fontId="0" fillId="17" borderId="0" xfId="0" applyFill="1"/>
    <xf numFmtId="0" fontId="0" fillId="17" borderId="0" xfId="0" applyFill="1" applyAlignment="1">
      <alignment horizontal="right"/>
    </xf>
    <xf numFmtId="0" fontId="3" fillId="17" borderId="0" xfId="0" applyFont="1" applyFill="1" applyAlignment="1">
      <alignment horizontal="right"/>
    </xf>
    <xf numFmtId="0" fontId="0" fillId="17" borderId="16" xfId="0" applyFill="1" applyBorder="1"/>
    <xf numFmtId="0" fontId="30" fillId="17" borderId="17" xfId="0" applyFont="1" applyFill="1" applyBorder="1" applyAlignment="1">
      <alignment horizontal="right" vertical="center"/>
    </xf>
    <xf numFmtId="0" fontId="0" fillId="18" borderId="6" xfId="0" applyFill="1" applyBorder="1"/>
    <xf numFmtId="0" fontId="0" fillId="19" borderId="0" xfId="0" applyFill="1"/>
    <xf numFmtId="0" fontId="26" fillId="19" borderId="0" xfId="0" applyFont="1" applyFill="1"/>
    <xf numFmtId="0" fontId="3" fillId="19" borderId="0" xfId="0" applyFont="1" applyFill="1" applyAlignment="1">
      <alignment horizontal="right"/>
    </xf>
    <xf numFmtId="0" fontId="30" fillId="19" borderId="12" xfId="0" applyFont="1" applyFill="1" applyBorder="1" applyAlignment="1">
      <alignment vertical="center"/>
    </xf>
    <xf numFmtId="0" fontId="30" fillId="19" borderId="12" xfId="0" applyFont="1" applyFill="1" applyBorder="1" applyAlignment="1">
      <alignment horizontal="right" vertical="center"/>
    </xf>
    <xf numFmtId="0" fontId="0" fillId="19" borderId="11" xfId="0" applyFill="1" applyBorder="1" applyAlignment="1">
      <alignment vertical="center"/>
    </xf>
    <xf numFmtId="173" fontId="0" fillId="19" borderId="11" xfId="4" applyNumberFormat="1" applyFont="1" applyFill="1" applyBorder="1" applyAlignment="1">
      <alignment horizontal="right" vertical="center"/>
    </xf>
    <xf numFmtId="0" fontId="0" fillId="19" borderId="0" xfId="0" applyFill="1" applyAlignment="1">
      <alignment vertical="center"/>
    </xf>
    <xf numFmtId="173" fontId="0" fillId="19" borderId="0" xfId="4" applyNumberFormat="1" applyFont="1" applyFill="1" applyBorder="1" applyAlignment="1">
      <alignment horizontal="right" vertical="center"/>
    </xf>
    <xf numFmtId="0" fontId="0" fillId="19" borderId="10" xfId="0" applyFill="1" applyBorder="1" applyAlignment="1">
      <alignment vertical="center"/>
    </xf>
    <xf numFmtId="173" fontId="0" fillId="19" borderId="10" xfId="4" applyNumberFormat="1" applyFont="1" applyFill="1" applyBorder="1" applyAlignment="1">
      <alignment horizontal="right" vertical="center"/>
    </xf>
    <xf numFmtId="0" fontId="0" fillId="19" borderId="15" xfId="0" applyFill="1" applyBorder="1"/>
    <xf numFmtId="0" fontId="3" fillId="4" borderId="9" xfId="0" applyFont="1" applyFill="1" applyBorder="1" applyAlignment="1">
      <alignment horizontal="center" vertical="center"/>
    </xf>
    <xf numFmtId="0" fontId="28" fillId="5" borderId="0" xfId="0" applyFont="1" applyFill="1"/>
    <xf numFmtId="0" fontId="0" fillId="5" borderId="0" xfId="0" applyFill="1"/>
    <xf numFmtId="0" fontId="28" fillId="6" borderId="0" xfId="0" applyFont="1" applyFill="1"/>
    <xf numFmtId="0" fontId="26" fillId="6" borderId="0" xfId="0" applyFont="1" applyFill="1" applyAlignment="1">
      <alignment horizontal="right"/>
    </xf>
    <xf numFmtId="0" fontId="0" fillId="0" borderId="0" xfId="0" applyAlignment="1">
      <alignment horizontal="right" wrapText="1"/>
    </xf>
    <xf numFmtId="0" fontId="30" fillId="6" borderId="8" xfId="0" applyFont="1" applyFill="1" applyBorder="1" applyAlignment="1">
      <alignment horizontal="center" vertical="center"/>
    </xf>
    <xf numFmtId="0" fontId="0" fillId="0" borderId="0" xfId="0" applyAlignment="1">
      <alignment horizontal="right"/>
    </xf>
    <xf numFmtId="0" fontId="29" fillId="6" borderId="7" xfId="0" applyFont="1" applyFill="1" applyBorder="1"/>
    <xf numFmtId="0" fontId="0" fillId="6" borderId="10" xfId="0" applyFill="1" applyBorder="1" applyAlignment="1">
      <alignment horizontal="center" vertical="center"/>
    </xf>
    <xf numFmtId="174" fontId="0" fillId="0" borderId="0" xfId="0" applyNumberFormat="1" applyAlignment="1">
      <alignment horizontal="right"/>
    </xf>
    <xf numFmtId="0" fontId="0" fillId="6" borderId="0" xfId="0" applyFill="1" applyAlignment="1">
      <alignment horizontal="right"/>
    </xf>
    <xf numFmtId="0" fontId="0" fillId="6" borderId="19" xfId="0" applyFill="1" applyBorder="1" applyAlignment="1">
      <alignment vertical="center"/>
    </xf>
    <xf numFmtId="0" fontId="5" fillId="6" borderId="0" xfId="3" applyFill="1" applyAlignment="1">
      <alignment vertical="center"/>
    </xf>
    <xf numFmtId="0" fontId="34" fillId="6" borderId="20" xfId="0" applyFont="1" applyFill="1" applyBorder="1" applyAlignment="1">
      <alignment vertical="center"/>
    </xf>
    <xf numFmtId="0" fontId="41" fillId="6" borderId="4" xfId="0" applyFont="1" applyFill="1" applyBorder="1"/>
    <xf numFmtId="0" fontId="43" fillId="0" borderId="0" xfId="7" applyNumberFormat="1"/>
    <xf numFmtId="0" fontId="44" fillId="6" borderId="7" xfId="7" applyNumberFormat="1" applyFont="1" applyFill="1" applyBorder="1"/>
    <xf numFmtId="0" fontId="26" fillId="6" borderId="0" xfId="3" applyFont="1" applyFill="1" applyAlignment="1">
      <alignment vertical="center"/>
    </xf>
    <xf numFmtId="175" fontId="1" fillId="6" borderId="0" xfId="4" applyNumberFormat="1" applyFont="1" applyFill="1" applyBorder="1" applyAlignment="1">
      <alignment horizontal="right" vertical="center"/>
    </xf>
    <xf numFmtId="2" fontId="5" fillId="6" borderId="0" xfId="6" applyNumberFormat="1" applyFont="1" applyFill="1" applyBorder="1" applyAlignment="1">
      <alignment horizontal="right" vertical="center"/>
    </xf>
    <xf numFmtId="0" fontId="43" fillId="0" borderId="0" xfId="7" applyNumberFormat="1" applyBorder="1"/>
    <xf numFmtId="0" fontId="45" fillId="6" borderId="0" xfId="5" applyFont="1" applyFill="1"/>
    <xf numFmtId="0" fontId="30" fillId="6" borderId="8" xfId="5" applyFont="1" applyFill="1" applyBorder="1" applyAlignment="1">
      <alignment vertical="center"/>
    </xf>
    <xf numFmtId="0" fontId="0" fillId="6" borderId="0" xfId="0" applyFill="1" applyAlignment="1">
      <alignment horizontal="left" vertical="center"/>
    </xf>
    <xf numFmtId="0" fontId="0" fillId="6" borderId="4" xfId="0" applyFill="1" applyBorder="1" applyAlignment="1">
      <alignment horizontal="left" vertical="center"/>
    </xf>
    <xf numFmtId="173" fontId="0" fillId="6" borderId="0" xfId="4" applyNumberFormat="1" applyFont="1" applyFill="1" applyBorder="1"/>
    <xf numFmtId="173" fontId="0" fillId="6" borderId="0" xfId="4" applyNumberFormat="1" applyFont="1" applyFill="1" applyBorder="1" applyAlignment="1">
      <alignment horizontal="right"/>
    </xf>
    <xf numFmtId="0" fontId="5" fillId="0" borderId="0" xfId="3"/>
    <xf numFmtId="0" fontId="26" fillId="0" borderId="0" xfId="3" applyFont="1"/>
    <xf numFmtId="0" fontId="0" fillId="4" borderId="7" xfId="0" applyFill="1" applyBorder="1"/>
    <xf numFmtId="0" fontId="28" fillId="3" borderId="0" xfId="0" applyFont="1" applyFill="1"/>
    <xf numFmtId="172" fontId="0" fillId="0" borderId="0" xfId="4" applyFont="1"/>
    <xf numFmtId="0" fontId="26" fillId="4" borderId="0" xfId="0" applyFont="1" applyFill="1"/>
    <xf numFmtId="0" fontId="0" fillId="4" borderId="0" xfId="0" applyFill="1" applyAlignment="1">
      <alignment horizontal="right"/>
    </xf>
    <xf numFmtId="0" fontId="3" fillId="4" borderId="0" xfId="0" applyFont="1" applyFill="1" applyAlignment="1">
      <alignment horizontal="right"/>
    </xf>
    <xf numFmtId="0" fontId="30" fillId="4" borderId="21" xfId="0" applyFont="1" applyFill="1" applyBorder="1" applyAlignment="1">
      <alignment vertical="center"/>
    </xf>
    <xf numFmtId="49" fontId="30" fillId="4" borderId="21" xfId="0" applyNumberFormat="1" applyFont="1" applyFill="1" applyBorder="1" applyAlignment="1">
      <alignment horizontal="right" vertical="center"/>
    </xf>
    <xf numFmtId="0" fontId="29" fillId="0" borderId="0" xfId="0" applyFont="1"/>
    <xf numFmtId="0" fontId="29" fillId="4" borderId="7" xfId="0" applyFont="1" applyFill="1" applyBorder="1"/>
    <xf numFmtId="0" fontId="0" fillId="4" borderId="0" xfId="0" applyFill="1" applyAlignment="1">
      <alignment vertical="center"/>
    </xf>
    <xf numFmtId="0" fontId="29" fillId="0" borderId="0" xfId="3" applyFont="1"/>
    <xf numFmtId="0" fontId="29" fillId="4" borderId="14" xfId="3" applyFont="1" applyFill="1" applyBorder="1"/>
    <xf numFmtId="0" fontId="5" fillId="4" borderId="15" xfId="3" applyFill="1" applyBorder="1" applyAlignment="1">
      <alignment vertical="center"/>
    </xf>
    <xf numFmtId="0" fontId="5" fillId="0" borderId="0" xfId="3" applyAlignment="1">
      <alignment vertical="center"/>
    </xf>
    <xf numFmtId="0" fontId="3" fillId="8" borderId="0" xfId="0" applyFont="1" applyFill="1" applyAlignment="1">
      <alignment horizontal="left" vertical="center"/>
    </xf>
    <xf numFmtId="0" fontId="3" fillId="8" borderId="0" xfId="0" applyFont="1" applyFill="1" applyAlignment="1">
      <alignment horizontal="right"/>
    </xf>
    <xf numFmtId="0" fontId="26" fillId="9" borderId="0" xfId="0" applyFont="1" applyFill="1"/>
    <xf numFmtId="0" fontId="0" fillId="9" borderId="0" xfId="0" applyFill="1" applyAlignment="1">
      <alignment horizontal="left" vertical="center"/>
    </xf>
    <xf numFmtId="0" fontId="0" fillId="9" borderId="0" xfId="0" applyFill="1" applyAlignment="1">
      <alignment horizontal="right"/>
    </xf>
    <xf numFmtId="0" fontId="30" fillId="9" borderId="21" xfId="0" applyFont="1" applyFill="1" applyBorder="1" applyAlignment="1">
      <alignment horizontal="right" vertical="center"/>
    </xf>
    <xf numFmtId="172" fontId="0" fillId="9" borderId="0" xfId="4" applyFont="1" applyFill="1" applyBorder="1" applyAlignment="1">
      <alignment vertical="center"/>
    </xf>
    <xf numFmtId="0" fontId="5" fillId="9" borderId="0" xfId="3" applyFill="1" applyAlignment="1">
      <alignment vertical="center"/>
    </xf>
    <xf numFmtId="172" fontId="5" fillId="9" borderId="0" xfId="3" applyNumberFormat="1" applyFill="1" applyAlignment="1">
      <alignment vertical="center"/>
    </xf>
    <xf numFmtId="172" fontId="33" fillId="0" borderId="0" xfId="4" applyFont="1" applyAlignment="1">
      <alignment horizontal="right"/>
    </xf>
    <xf numFmtId="0" fontId="0" fillId="11" borderId="7" xfId="0" applyFill="1" applyBorder="1"/>
    <xf numFmtId="0" fontId="26" fillId="11" borderId="0" xfId="0" applyFont="1" applyFill="1"/>
    <xf numFmtId="0" fontId="3" fillId="11" borderId="0" xfId="0" applyFont="1" applyFill="1" applyAlignment="1">
      <alignment horizontal="right"/>
    </xf>
    <xf numFmtId="0" fontId="29" fillId="11" borderId="7" xfId="0" applyFont="1" applyFill="1" applyBorder="1"/>
    <xf numFmtId="0" fontId="30" fillId="11" borderId="21" xfId="0" applyFont="1" applyFill="1" applyBorder="1" applyAlignment="1">
      <alignment vertical="center"/>
    </xf>
    <xf numFmtId="0" fontId="30" fillId="11" borderId="21" xfId="0" applyFont="1" applyFill="1" applyBorder="1" applyAlignment="1">
      <alignment horizontal="right" vertical="center"/>
    </xf>
    <xf numFmtId="0" fontId="0" fillId="11" borderId="0" xfId="0" applyFill="1" applyAlignment="1">
      <alignment vertical="center"/>
    </xf>
    <xf numFmtId="173" fontId="0" fillId="11" borderId="0" xfId="4" applyNumberFormat="1" applyFont="1" applyFill="1" applyBorder="1" applyAlignment="1">
      <alignment vertical="center"/>
    </xf>
    <xf numFmtId="0" fontId="5" fillId="11" borderId="7" xfId="3" applyFill="1" applyBorder="1"/>
    <xf numFmtId="0" fontId="5" fillId="11" borderId="0" xfId="3" applyFill="1"/>
    <xf numFmtId="0" fontId="0" fillId="6" borderId="7" xfId="5" applyFont="1" applyFill="1" applyBorder="1"/>
    <xf numFmtId="0" fontId="6" fillId="5" borderId="0" xfId="5" applyFont="1" applyFill="1"/>
    <xf numFmtId="0" fontId="13" fillId="5" borderId="0" xfId="5" applyFont="1" applyFill="1"/>
    <xf numFmtId="0" fontId="6" fillId="6" borderId="0" xfId="5" applyFont="1" applyFill="1" applyAlignment="1">
      <alignment horizontal="right"/>
    </xf>
    <xf numFmtId="0" fontId="0" fillId="0" borderId="0" xfId="5" applyFont="1"/>
    <xf numFmtId="0" fontId="6" fillId="6" borderId="0" xfId="5" applyFont="1" applyFill="1"/>
    <xf numFmtId="0" fontId="13" fillId="6" borderId="0" xfId="5" applyFont="1" applyFill="1"/>
    <xf numFmtId="0" fontId="0" fillId="6" borderId="0" xfId="5" applyFont="1" applyFill="1"/>
    <xf numFmtId="0" fontId="14" fillId="6" borderId="0" xfId="5" applyFont="1" applyFill="1" applyAlignment="1">
      <alignment horizontal="right"/>
    </xf>
    <xf numFmtId="0" fontId="13" fillId="6" borderId="7" xfId="5" applyFont="1" applyFill="1" applyBorder="1"/>
    <xf numFmtId="0" fontId="14" fillId="6" borderId="8" xfId="5" applyFont="1" applyFill="1" applyBorder="1" applyAlignment="1">
      <alignment horizontal="center" vertical="center"/>
    </xf>
    <xf numFmtId="0" fontId="0" fillId="6" borderId="0" xfId="5" applyFont="1" applyFill="1" applyAlignment="1">
      <alignment horizontal="center" vertical="center"/>
    </xf>
    <xf numFmtId="173" fontId="19" fillId="6" borderId="0" xfId="4" applyNumberFormat="1" applyFont="1" applyFill="1" applyBorder="1" applyAlignment="1">
      <alignment vertical="center"/>
    </xf>
    <xf numFmtId="0" fontId="0" fillId="6" borderId="10" xfId="5" applyFont="1" applyFill="1" applyBorder="1" applyAlignment="1">
      <alignment horizontal="center" vertical="center"/>
    </xf>
    <xf numFmtId="0" fontId="14" fillId="6" borderId="8" xfId="3" applyFont="1" applyFill="1" applyBorder="1" applyAlignment="1">
      <alignment horizontal="right" vertical="center"/>
    </xf>
    <xf numFmtId="0" fontId="0" fillId="6" borderId="0" xfId="3" applyFont="1" applyFill="1" applyAlignment="1">
      <alignment horizontal="center" vertical="center"/>
    </xf>
    <xf numFmtId="0" fontId="14" fillId="6" borderId="0" xfId="5" applyFont="1" applyFill="1"/>
    <xf numFmtId="0" fontId="0" fillId="6" borderId="0" xfId="5" applyFont="1" applyFill="1" applyAlignment="1">
      <alignment vertical="center"/>
    </xf>
    <xf numFmtId="173" fontId="48" fillId="6" borderId="0" xfId="4" applyNumberFormat="1" applyFont="1" applyFill="1" applyBorder="1" applyAlignment="1">
      <alignment horizontal="right" vertical="center"/>
    </xf>
    <xf numFmtId="0" fontId="6" fillId="7" borderId="0" xfId="5" applyFont="1" applyFill="1"/>
    <xf numFmtId="0" fontId="3" fillId="6" borderId="0" xfId="5" applyFont="1" applyFill="1"/>
    <xf numFmtId="0" fontId="14" fillId="6" borderId="8" xfId="5" applyFont="1" applyFill="1" applyBorder="1" applyAlignment="1">
      <alignment vertical="center"/>
    </xf>
    <xf numFmtId="0" fontId="0" fillId="6" borderId="10" xfId="5" applyFont="1" applyFill="1" applyBorder="1" applyAlignment="1">
      <alignment vertical="center"/>
    </xf>
    <xf numFmtId="0" fontId="14" fillId="6" borderId="0" xfId="0" applyFont="1" applyFill="1" applyAlignment="1">
      <alignment horizontal="right"/>
    </xf>
    <xf numFmtId="0" fontId="14" fillId="6" borderId="8" xfId="3" applyFont="1" applyFill="1" applyBorder="1" applyAlignment="1">
      <alignment vertical="center"/>
    </xf>
    <xf numFmtId="0" fontId="11" fillId="6" borderId="0" xfId="7" applyNumberFormat="1" applyFont="1" applyFill="1"/>
    <xf numFmtId="0" fontId="11" fillId="0" borderId="0" xfId="7" applyNumberFormat="1" applyFont="1"/>
    <xf numFmtId="176" fontId="19" fillId="6" borderId="0" xfId="6" applyFont="1" applyFill="1" applyBorder="1" applyAlignment="1">
      <alignment vertical="center"/>
    </xf>
    <xf numFmtId="0" fontId="49" fillId="6" borderId="0" xfId="7" applyNumberFormat="1" applyFont="1" applyFill="1" applyBorder="1"/>
    <xf numFmtId="176" fontId="12" fillId="6" borderId="0" xfId="6" applyFont="1" applyFill="1" applyBorder="1" applyAlignment="1">
      <alignment vertical="center"/>
    </xf>
    <xf numFmtId="176" fontId="48" fillId="6" borderId="0" xfId="6" applyFont="1" applyFill="1" applyBorder="1" applyAlignment="1">
      <alignment vertical="center"/>
    </xf>
    <xf numFmtId="0" fontId="0" fillId="6" borderId="4" xfId="0" applyFill="1" applyBorder="1"/>
    <xf numFmtId="0" fontId="14" fillId="6" borderId="0" xfId="3" applyFont="1" applyFill="1" applyAlignment="1">
      <alignment horizontal="right" vertical="center"/>
    </xf>
    <xf numFmtId="0" fontId="0" fillId="6" borderId="0" xfId="0" applyFill="1" applyAlignment="1">
      <alignment horizontal="center"/>
    </xf>
    <xf numFmtId="9" fontId="19" fillId="6" borderId="0" xfId="6" applyNumberFormat="1" applyFont="1" applyFill="1" applyBorder="1" applyAlignment="1">
      <alignment vertical="center"/>
    </xf>
    <xf numFmtId="0" fontId="12" fillId="6" borderId="19" xfId="0" applyFont="1" applyFill="1" applyBorder="1" applyAlignment="1">
      <alignment vertical="center"/>
    </xf>
    <xf numFmtId="176" fontId="20" fillId="6" borderId="0" xfId="6" applyFont="1" applyFill="1" applyBorder="1" applyAlignment="1">
      <alignment vertical="center"/>
    </xf>
    <xf numFmtId="0" fontId="49" fillId="6" borderId="7" xfId="7" applyNumberFormat="1" applyFont="1" applyFill="1" applyBorder="1"/>
    <xf numFmtId="175" fontId="0" fillId="6" borderId="0" xfId="4" applyNumberFormat="1" applyFont="1" applyFill="1" applyBorder="1" applyAlignment="1">
      <alignment horizontal="right" vertical="center"/>
    </xf>
    <xf numFmtId="0" fontId="12" fillId="6" borderId="0" xfId="3" applyFont="1" applyFill="1" applyAlignment="1">
      <alignment vertical="center"/>
    </xf>
    <xf numFmtId="0" fontId="11" fillId="6" borderId="0" xfId="7" applyNumberFormat="1" applyFont="1" applyFill="1" applyBorder="1"/>
    <xf numFmtId="1" fontId="19" fillId="6" borderId="0" xfId="4" applyNumberFormat="1" applyFont="1" applyFill="1" applyBorder="1" applyAlignment="1">
      <alignment vertical="center"/>
    </xf>
    <xf numFmtId="0" fontId="23" fillId="6" borderId="0" xfId="3" applyFont="1" applyFill="1" applyAlignment="1">
      <alignment vertical="center"/>
    </xf>
    <xf numFmtId="1" fontId="23" fillId="6" borderId="0" xfId="4" applyNumberFormat="1" applyFont="1" applyFill="1" applyBorder="1" applyAlignment="1">
      <alignment vertical="center"/>
    </xf>
    <xf numFmtId="0" fontId="14" fillId="6" borderId="4" xfId="3" applyFont="1" applyFill="1" applyBorder="1" applyAlignment="1">
      <alignment horizontal="left" vertical="center"/>
    </xf>
    <xf numFmtId="0" fontId="12" fillId="6" borderId="0" xfId="3" applyFont="1" applyFill="1" applyAlignment="1">
      <alignment horizontal="center" vertical="center"/>
    </xf>
    <xf numFmtId="0" fontId="14" fillId="6" borderId="0" xfId="3" applyFont="1" applyFill="1" applyAlignment="1">
      <alignment horizontal="left" vertical="center"/>
    </xf>
    <xf numFmtId="2" fontId="12" fillId="6" borderId="0" xfId="6" applyNumberFormat="1" applyFont="1" applyFill="1" applyBorder="1" applyAlignment="1">
      <alignment horizontal="left" vertical="center"/>
    </xf>
    <xf numFmtId="1" fontId="48" fillId="6" borderId="0" xfId="4" applyNumberFormat="1" applyFont="1" applyFill="1" applyBorder="1" applyAlignment="1">
      <alignment vertical="center"/>
    </xf>
    <xf numFmtId="2" fontId="15" fillId="6" borderId="0" xfId="6" applyNumberFormat="1" applyFont="1" applyFill="1" applyBorder="1" applyAlignment="1">
      <alignment horizontal="right" vertical="center"/>
    </xf>
    <xf numFmtId="178" fontId="15" fillId="6" borderId="0" xfId="4" applyNumberFormat="1" applyFont="1" applyFill="1" applyBorder="1" applyAlignment="1">
      <alignment vertical="center"/>
    </xf>
    <xf numFmtId="0" fontId="12" fillId="0" borderId="0" xfId="3" applyFont="1"/>
    <xf numFmtId="0" fontId="12" fillId="4" borderId="7" xfId="3" applyFont="1" applyFill="1" applyBorder="1"/>
    <xf numFmtId="0" fontId="6" fillId="3" borderId="0" xfId="3" applyFont="1" applyFill="1"/>
    <xf numFmtId="0" fontId="12" fillId="3" borderId="0" xfId="3" applyFont="1" applyFill="1"/>
    <xf numFmtId="0" fontId="12" fillId="3" borderId="0" xfId="3" applyFont="1" applyFill="1" applyAlignment="1">
      <alignment horizontal="right"/>
    </xf>
    <xf numFmtId="0" fontId="6" fillId="4" borderId="0" xfId="3" applyFont="1" applyFill="1"/>
    <xf numFmtId="0" fontId="12" fillId="4" borderId="0" xfId="3" applyFont="1" applyFill="1" applyAlignment="1">
      <alignment horizontal="right"/>
    </xf>
    <xf numFmtId="0" fontId="14" fillId="4" borderId="0" xfId="3" applyFont="1" applyFill="1"/>
    <xf numFmtId="0" fontId="13" fillId="4" borderId="7" xfId="3" applyFont="1" applyFill="1" applyBorder="1"/>
    <xf numFmtId="0" fontId="14" fillId="4" borderId="3" xfId="3" applyFont="1" applyFill="1" applyBorder="1" applyAlignment="1">
      <alignment horizontal="center" vertical="center"/>
    </xf>
    <xf numFmtId="0" fontId="0" fillId="4" borderId="9" xfId="3" applyFont="1" applyFill="1" applyBorder="1" applyAlignment="1">
      <alignment vertical="center"/>
    </xf>
    <xf numFmtId="172" fontId="0" fillId="4" borderId="9" xfId="4" applyFont="1" applyFill="1" applyBorder="1" applyAlignment="1">
      <alignment vertical="center"/>
    </xf>
    <xf numFmtId="0" fontId="0" fillId="4" borderId="0" xfId="3" applyFont="1" applyFill="1" applyAlignment="1">
      <alignment vertical="center"/>
    </xf>
    <xf numFmtId="173" fontId="0" fillId="4" borderId="0" xfId="4" applyNumberFormat="1" applyFont="1" applyFill="1" applyBorder="1" applyAlignment="1">
      <alignment vertical="center"/>
    </xf>
    <xf numFmtId="172" fontId="14" fillId="4" borderId="0" xfId="0" applyNumberFormat="1" applyFont="1" applyFill="1" applyAlignment="1">
      <alignment vertical="center"/>
    </xf>
    <xf numFmtId="0" fontId="12" fillId="4" borderId="0" xfId="3" applyFont="1" applyFill="1" applyAlignment="1">
      <alignment vertical="center"/>
    </xf>
    <xf numFmtId="0" fontId="14" fillId="4" borderId="0" xfId="3" applyFont="1" applyFill="1" applyAlignment="1">
      <alignment vertical="center"/>
    </xf>
    <xf numFmtId="0" fontId="13" fillId="0" borderId="0" xfId="3" applyFont="1"/>
    <xf numFmtId="0" fontId="14" fillId="9" borderId="0" xfId="3" applyFont="1" applyFill="1"/>
    <xf numFmtId="0" fontId="12" fillId="9" borderId="0" xfId="3" applyFont="1" applyFill="1"/>
    <xf numFmtId="0" fontId="12" fillId="9" borderId="0" xfId="3" applyFont="1" applyFill="1" applyAlignment="1">
      <alignment horizontal="right"/>
    </xf>
    <xf numFmtId="0" fontId="14" fillId="9" borderId="0" xfId="3" applyFont="1" applyFill="1" applyAlignment="1">
      <alignment horizontal="right"/>
    </xf>
    <xf numFmtId="0" fontId="14" fillId="9" borderId="21" xfId="3" applyFont="1" applyFill="1" applyBorder="1" applyAlignment="1">
      <alignment vertical="center"/>
    </xf>
    <xf numFmtId="0" fontId="14" fillId="9" borderId="21" xfId="3" applyFont="1" applyFill="1" applyBorder="1" applyAlignment="1">
      <alignment horizontal="center" vertical="center"/>
    </xf>
    <xf numFmtId="0" fontId="12" fillId="9" borderId="0" xfId="3" applyFont="1" applyFill="1" applyAlignment="1">
      <alignment vertical="center"/>
    </xf>
    <xf numFmtId="172" fontId="0" fillId="9" borderId="0" xfId="0" applyNumberFormat="1" applyFill="1" applyAlignment="1">
      <alignment vertical="center"/>
    </xf>
    <xf numFmtId="172" fontId="12" fillId="9" borderId="0" xfId="3" applyNumberFormat="1" applyFont="1" applyFill="1" applyAlignment="1">
      <alignment vertical="center"/>
    </xf>
    <xf numFmtId="0" fontId="12" fillId="11" borderId="7" xfId="3" applyFont="1" applyFill="1" applyBorder="1"/>
    <xf numFmtId="0" fontId="14" fillId="11" borderId="0" xfId="3" applyFont="1" applyFill="1"/>
    <xf numFmtId="0" fontId="12" fillId="11" borderId="0" xfId="3" applyFont="1" applyFill="1"/>
    <xf numFmtId="0" fontId="14" fillId="11" borderId="0" xfId="3" applyFont="1" applyFill="1" applyAlignment="1">
      <alignment horizontal="right"/>
    </xf>
    <xf numFmtId="0" fontId="13" fillId="11" borderId="7" xfId="3" applyFont="1" applyFill="1" applyBorder="1"/>
    <xf numFmtId="0" fontId="14" fillId="11" borderId="0" xfId="3" applyFont="1" applyFill="1" applyAlignment="1">
      <alignment vertical="center"/>
    </xf>
    <xf numFmtId="0" fontId="14" fillId="11" borderId="22" xfId="3" applyFont="1" applyFill="1" applyBorder="1" applyAlignment="1">
      <alignment horizontal="right" vertical="center"/>
    </xf>
    <xf numFmtId="0" fontId="12" fillId="11" borderId="9" xfId="3" applyFont="1" applyFill="1" applyBorder="1" applyAlignment="1">
      <alignment vertical="center"/>
    </xf>
    <xf numFmtId="173" fontId="0" fillId="11" borderId="9" xfId="4" applyNumberFormat="1" applyFont="1" applyFill="1" applyBorder="1" applyAlignment="1">
      <alignment vertical="center"/>
    </xf>
    <xf numFmtId="0" fontId="12" fillId="11" borderId="0" xfId="3" applyFont="1" applyFill="1" applyAlignment="1">
      <alignment vertical="center"/>
    </xf>
    <xf numFmtId="0" fontId="0" fillId="11" borderId="7" xfId="3" applyFont="1" applyFill="1" applyBorder="1"/>
    <xf numFmtId="0" fontId="12" fillId="11" borderId="4" xfId="3" applyFont="1" applyFill="1" applyBorder="1" applyAlignment="1">
      <alignment vertical="center"/>
    </xf>
    <xf numFmtId="173" fontId="0" fillId="11" borderId="4" xfId="4" applyNumberFormat="1" applyFont="1" applyFill="1" applyBorder="1" applyAlignment="1">
      <alignment vertical="center"/>
    </xf>
    <xf numFmtId="0" fontId="9" fillId="5" borderId="0" xfId="3" applyFont="1" applyFill="1" applyAlignment="1">
      <alignment horizontal="left" vertical="center" indent="1"/>
    </xf>
    <xf numFmtId="0" fontId="0" fillId="5" borderId="0" xfId="0" applyFill="1" applyAlignment="1">
      <alignment vertical="center"/>
    </xf>
    <xf numFmtId="0" fontId="12" fillId="6" borderId="11" xfId="0" applyFont="1" applyFill="1" applyBorder="1" applyAlignment="1">
      <alignment vertical="center"/>
    </xf>
    <xf numFmtId="0" fontId="14" fillId="6" borderId="12" xfId="0" applyFont="1" applyFill="1" applyBorder="1" applyAlignment="1">
      <alignment vertical="center"/>
    </xf>
    <xf numFmtId="0" fontId="14" fillId="6" borderId="12" xfId="0" applyFont="1" applyFill="1" applyBorder="1" applyAlignment="1">
      <alignment horizontal="right" vertical="center"/>
    </xf>
    <xf numFmtId="0" fontId="14" fillId="6" borderId="4" xfId="3" applyFont="1" applyFill="1" applyBorder="1" applyAlignment="1">
      <alignment vertical="center"/>
    </xf>
    <xf numFmtId="0" fontId="14" fillId="6" borderId="22" xfId="0" applyFont="1" applyFill="1" applyBorder="1" applyAlignment="1">
      <alignment horizontal="right" vertical="center"/>
    </xf>
    <xf numFmtId="0" fontId="14" fillId="6" borderId="9" xfId="0" applyFont="1" applyFill="1" applyBorder="1" applyAlignment="1">
      <alignment vertical="center"/>
    </xf>
    <xf numFmtId="0" fontId="14" fillId="6" borderId="4" xfId="0" applyFont="1" applyFill="1" applyBorder="1" applyAlignment="1">
      <alignment horizontal="right" vertical="center"/>
    </xf>
    <xf numFmtId="0" fontId="3" fillId="6" borderId="8" xfId="0" applyFont="1" applyFill="1" applyBorder="1" applyAlignment="1">
      <alignment vertical="center"/>
    </xf>
    <xf numFmtId="0" fontId="3" fillId="6" borderId="21" xfId="0" applyFont="1" applyFill="1" applyBorder="1" applyAlignment="1">
      <alignment vertical="center"/>
    </xf>
    <xf numFmtId="0" fontId="26" fillId="6" borderId="0" xfId="3" applyFont="1" applyFill="1"/>
    <xf numFmtId="0" fontId="1" fillId="6" borderId="11" xfId="3" applyFont="1" applyFill="1" applyBorder="1" applyAlignment="1">
      <alignment vertical="center"/>
    </xf>
    <xf numFmtId="0" fontId="1" fillId="6" borderId="4" xfId="3" applyFont="1" applyFill="1" applyBorder="1" applyAlignment="1">
      <alignment vertical="center"/>
    </xf>
    <xf numFmtId="0" fontId="3" fillId="6" borderId="0" xfId="0" applyFont="1" applyFill="1" applyAlignment="1">
      <alignment vertical="center"/>
    </xf>
    <xf numFmtId="1" fontId="19" fillId="6" borderId="0" xfId="6" applyNumberFormat="1" applyFont="1" applyFill="1" applyBorder="1" applyAlignment="1">
      <alignment vertical="center"/>
    </xf>
    <xf numFmtId="1" fontId="19" fillId="6" borderId="0" xfId="4" applyNumberFormat="1" applyFont="1" applyFill="1" applyBorder="1" applyAlignment="1">
      <alignment horizontal="right" vertical="center"/>
    </xf>
    <xf numFmtId="1" fontId="19" fillId="6" borderId="0" xfId="6" applyNumberFormat="1" applyFont="1" applyFill="1" applyBorder="1" applyAlignment="1">
      <alignment horizontal="right" vertical="center"/>
    </xf>
    <xf numFmtId="0" fontId="12" fillId="6" borderId="0" xfId="3" applyFont="1" applyFill="1" applyAlignment="1">
      <alignment horizontal="left" vertical="center"/>
    </xf>
    <xf numFmtId="0" fontId="13" fillId="6" borderId="7" xfId="3" applyFont="1" applyFill="1" applyBorder="1"/>
    <xf numFmtId="173" fontId="53" fillId="6" borderId="0" xfId="4" applyNumberFormat="1" applyFont="1" applyFill="1" applyBorder="1"/>
    <xf numFmtId="172" fontId="20" fillId="6" borderId="0" xfId="4" applyFont="1" applyFill="1" applyBorder="1" applyAlignment="1">
      <alignment vertical="center"/>
    </xf>
    <xf numFmtId="0" fontId="23" fillId="6" borderId="0" xfId="3" applyFont="1" applyFill="1" applyAlignment="1">
      <alignment horizontal="right" vertical="center"/>
    </xf>
    <xf numFmtId="0" fontId="3" fillId="6" borderId="4" xfId="3" applyFont="1" applyFill="1" applyBorder="1" applyAlignment="1">
      <alignment vertical="center"/>
    </xf>
    <xf numFmtId="0" fontId="20" fillId="6" borderId="0" xfId="3" applyFont="1" applyFill="1" applyAlignment="1">
      <alignment horizontal="right" vertical="center"/>
    </xf>
    <xf numFmtId="0" fontId="20" fillId="6" borderId="0" xfId="3" applyFont="1" applyFill="1" applyAlignment="1">
      <alignment vertical="center"/>
    </xf>
    <xf numFmtId="2" fontId="15" fillId="6" borderId="0" xfId="6" applyNumberFormat="1" applyFont="1" applyFill="1" applyBorder="1" applyAlignment="1">
      <alignment vertical="center"/>
    </xf>
    <xf numFmtId="11" fontId="19" fillId="6" borderId="0" xfId="4" applyNumberFormat="1" applyFont="1" applyFill="1" applyBorder="1" applyAlignment="1">
      <alignment vertical="center"/>
    </xf>
    <xf numFmtId="0" fontId="20" fillId="6" borderId="4" xfId="3" applyFont="1" applyFill="1" applyBorder="1" applyAlignment="1">
      <alignment vertical="center"/>
    </xf>
    <xf numFmtId="0" fontId="20" fillId="6" borderId="11" xfId="3" applyFont="1" applyFill="1" applyBorder="1" applyAlignment="1">
      <alignment vertical="center"/>
    </xf>
    <xf numFmtId="0" fontId="20" fillId="6" borderId="19" xfId="3" applyFont="1" applyFill="1" applyBorder="1" applyAlignment="1">
      <alignment vertical="center"/>
    </xf>
    <xf numFmtId="0" fontId="12" fillId="6" borderId="0" xfId="3" applyFont="1" applyFill="1" applyAlignment="1">
      <alignment horizontal="right" vertical="center"/>
    </xf>
    <xf numFmtId="0" fontId="23" fillId="6" borderId="0" xfId="3" applyFont="1" applyFill="1"/>
    <xf numFmtId="0" fontId="20" fillId="6" borderId="0" xfId="3" applyFont="1" applyFill="1"/>
    <xf numFmtId="175" fontId="20" fillId="6" borderId="0" xfId="4" applyNumberFormat="1" applyFont="1" applyFill="1" applyBorder="1" applyAlignment="1">
      <alignment horizontal="right" vertical="center"/>
    </xf>
    <xf numFmtId="178" fontId="19" fillId="6" borderId="0" xfId="4" applyNumberFormat="1" applyFont="1" applyFill="1" applyBorder="1" applyAlignment="1">
      <alignment vertical="center"/>
    </xf>
    <xf numFmtId="179" fontId="19" fillId="6" borderId="0" xfId="4" applyNumberFormat="1" applyFont="1" applyFill="1" applyBorder="1" applyAlignment="1">
      <alignment vertical="center"/>
    </xf>
    <xf numFmtId="179" fontId="20" fillId="6" borderId="4" xfId="4" applyNumberFormat="1" applyFont="1" applyFill="1" applyBorder="1" applyAlignment="1">
      <alignment vertical="center"/>
    </xf>
    <xf numFmtId="173" fontId="20" fillId="6" borderId="0" xfId="4" applyNumberFormat="1" applyFont="1" applyFill="1" applyBorder="1" applyAlignment="1">
      <alignment vertical="center"/>
    </xf>
    <xf numFmtId="180" fontId="20" fillId="6" borderId="0" xfId="4" applyNumberFormat="1" applyFont="1" applyFill="1" applyBorder="1" applyAlignment="1">
      <alignment vertical="center"/>
    </xf>
    <xf numFmtId="2" fontId="19" fillId="6" borderId="0" xfId="4" applyNumberFormat="1" applyFont="1" applyFill="1" applyBorder="1" applyAlignment="1">
      <alignment horizontal="right" vertical="center"/>
    </xf>
    <xf numFmtId="2" fontId="19" fillId="6" borderId="0" xfId="6" applyNumberFormat="1" applyFont="1" applyFill="1" applyBorder="1" applyAlignment="1">
      <alignment horizontal="right" vertical="center"/>
    </xf>
    <xf numFmtId="0" fontId="10" fillId="6" borderId="7" xfId="7" applyNumberFormat="1" applyFont="1" applyFill="1" applyBorder="1"/>
    <xf numFmtId="174" fontId="32" fillId="6" borderId="0" xfId="3" applyNumberFormat="1" applyFont="1" applyFill="1" applyAlignment="1">
      <alignment horizontal="right" vertical="center"/>
    </xf>
    <xf numFmtId="11" fontId="32" fillId="6" borderId="0" xfId="4" applyNumberFormat="1" applyFont="1" applyFill="1" applyBorder="1" applyAlignment="1">
      <alignment vertical="center"/>
    </xf>
    <xf numFmtId="175" fontId="10" fillId="6" borderId="0" xfId="4" applyNumberFormat="1" applyFont="1" applyFill="1" applyBorder="1" applyAlignment="1">
      <alignment horizontal="right" vertical="center"/>
    </xf>
    <xf numFmtId="0" fontId="15" fillId="6" borderId="0" xfId="3" applyFont="1" applyFill="1" applyAlignment="1">
      <alignment vertical="center"/>
    </xf>
    <xf numFmtId="172" fontId="15" fillId="6" borderId="0" xfId="4" applyFont="1" applyFill="1" applyBorder="1" applyAlignment="1">
      <alignment vertical="center"/>
    </xf>
    <xf numFmtId="1" fontId="19" fillId="6" borderId="0" xfId="4" applyNumberFormat="1" applyFont="1" applyFill="1" applyBorder="1"/>
    <xf numFmtId="176" fontId="19" fillId="6" borderId="0" xfId="6" applyFont="1" applyFill="1" applyBorder="1" applyAlignment="1">
      <alignment horizontal="right" vertical="center"/>
    </xf>
    <xf numFmtId="2" fontId="12" fillId="6" borderId="0" xfId="6" applyNumberFormat="1" applyFont="1" applyFill="1" applyBorder="1" applyAlignment="1">
      <alignment horizontal="right" vertical="center"/>
    </xf>
    <xf numFmtId="0" fontId="0" fillId="6" borderId="0" xfId="0" applyFill="1" applyAlignment="1">
      <alignment horizontal="right" vertical="center"/>
    </xf>
    <xf numFmtId="0" fontId="46" fillId="6" borderId="0" xfId="3" applyFont="1" applyFill="1" applyAlignment="1">
      <alignment horizontal="right"/>
    </xf>
    <xf numFmtId="173" fontId="12" fillId="6" borderId="0" xfId="4" applyNumberFormat="1" applyFont="1" applyFill="1" applyBorder="1" applyAlignment="1">
      <alignment horizontal="right"/>
    </xf>
    <xf numFmtId="173" fontId="14" fillId="6" borderId="0" xfId="4" applyNumberFormat="1" applyFont="1" applyFill="1" applyBorder="1"/>
    <xf numFmtId="0" fontId="13" fillId="3" borderId="0" xfId="3" applyFont="1" applyFill="1"/>
    <xf numFmtId="0" fontId="13" fillId="3" borderId="0" xfId="3" applyFont="1" applyFill="1" applyAlignment="1">
      <alignment horizontal="right"/>
    </xf>
    <xf numFmtId="0" fontId="13" fillId="9" borderId="0" xfId="3" applyFont="1" applyFill="1"/>
    <xf numFmtId="0" fontId="14" fillId="9" borderId="21" xfId="3" applyFont="1" applyFill="1" applyBorder="1" applyAlignment="1">
      <alignment horizontal="right" vertical="center"/>
    </xf>
    <xf numFmtId="0" fontId="13" fillId="11" borderId="0" xfId="3" applyFont="1" applyFill="1"/>
    <xf numFmtId="0" fontId="0" fillId="11" borderId="0" xfId="3" applyFont="1" applyFill="1"/>
    <xf numFmtId="0" fontId="6" fillId="3" borderId="1" xfId="3" applyFont="1" applyFill="1" applyBorder="1" applyAlignment="1">
      <alignment horizontal="left" vertical="center" indent="1"/>
    </xf>
    <xf numFmtId="0" fontId="3" fillId="4" borderId="0" xfId="0" applyFont="1" applyFill="1" applyAlignment="1">
      <alignment horizontal="right" vertical="center"/>
    </xf>
    <xf numFmtId="0" fontId="16" fillId="5" borderId="0" xfId="11" applyFont="1" applyFill="1"/>
    <xf numFmtId="0" fontId="3" fillId="7" borderId="0" xfId="0" applyFont="1" applyFill="1"/>
    <xf numFmtId="0" fontId="3" fillId="6" borderId="0" xfId="0" applyFont="1" applyFill="1"/>
    <xf numFmtId="0" fontId="57" fillId="6" borderId="0" xfId="0" applyFont="1" applyFill="1" applyAlignment="1">
      <alignment vertical="center"/>
    </xf>
    <xf numFmtId="9" fontId="15" fillId="6" borderId="0" xfId="2" applyFont="1" applyFill="1" applyAlignment="1">
      <alignment vertical="center"/>
    </xf>
    <xf numFmtId="0" fontId="16" fillId="6" borderId="0" xfId="11" applyFont="1" applyFill="1" applyAlignment="1">
      <alignment vertical="center"/>
    </xf>
    <xf numFmtId="0" fontId="12" fillId="6" borderId="22" xfId="0" applyFont="1" applyFill="1" applyBorder="1" applyAlignment="1">
      <alignment vertical="center"/>
    </xf>
    <xf numFmtId="0" fontId="58" fillId="6" borderId="0" xfId="0" quotePrefix="1" applyFont="1" applyFill="1" applyAlignment="1">
      <alignment vertical="center"/>
    </xf>
    <xf numFmtId="0" fontId="58" fillId="6" borderId="4" xfId="0" quotePrefix="1" applyFont="1" applyFill="1" applyBorder="1" applyAlignment="1">
      <alignment vertical="center"/>
    </xf>
    <xf numFmtId="0" fontId="57" fillId="6" borderId="0" xfId="0" quotePrefix="1" applyFont="1" applyFill="1" applyAlignment="1">
      <alignment vertical="center"/>
    </xf>
    <xf numFmtId="43" fontId="56" fillId="6" borderId="0" xfId="1" applyFont="1" applyFill="1" applyBorder="1" applyAlignment="1">
      <alignment horizontal="right" vertical="center"/>
    </xf>
    <xf numFmtId="9" fontId="24" fillId="6" borderId="0" xfId="2" applyFont="1" applyFill="1" applyBorder="1" applyAlignment="1">
      <alignment vertical="center"/>
    </xf>
    <xf numFmtId="0" fontId="56" fillId="6" borderId="0" xfId="0" applyFont="1" applyFill="1" applyAlignment="1">
      <alignment horizontal="right" vertical="center"/>
    </xf>
    <xf numFmtId="181" fontId="12" fillId="6" borderId="0" xfId="3" applyNumberFormat="1" applyFont="1" applyFill="1"/>
    <xf numFmtId="0" fontId="12" fillId="6" borderId="11" xfId="0" applyFont="1" applyFill="1" applyBorder="1" applyAlignment="1">
      <alignment horizontal="center" vertical="center"/>
    </xf>
    <xf numFmtId="43" fontId="24" fillId="6" borderId="0" xfId="1" applyFont="1" applyFill="1" applyBorder="1" applyAlignment="1">
      <alignment vertical="center"/>
    </xf>
    <xf numFmtId="9" fontId="15" fillId="6" borderId="0" xfId="2" applyFont="1" applyFill="1" applyBorder="1" applyAlignment="1">
      <alignment vertical="center"/>
    </xf>
    <xf numFmtId="0" fontId="10" fillId="2" borderId="0" xfId="0" applyFont="1" applyFill="1"/>
    <xf numFmtId="0" fontId="61" fillId="20" borderId="23" xfId="0" applyFont="1" applyFill="1" applyBorder="1"/>
    <xf numFmtId="0" fontId="61" fillId="20" borderId="0" xfId="0" applyFont="1" applyFill="1"/>
    <xf numFmtId="0" fontId="62" fillId="21" borderId="0" xfId="0" applyFont="1" applyFill="1"/>
    <xf numFmtId="0" fontId="62" fillId="21" borderId="0" xfId="0" applyFont="1" applyFill="1" applyAlignment="1">
      <alignment vertical="center"/>
    </xf>
    <xf numFmtId="0" fontId="2" fillId="21" borderId="0" xfId="0" applyFont="1" applyFill="1" applyAlignment="1">
      <alignment vertical="center"/>
    </xf>
    <xf numFmtId="0" fontId="63" fillId="20" borderId="0" xfId="0" applyFont="1" applyFill="1"/>
    <xf numFmtId="0" fontId="61" fillId="20" borderId="0" xfId="0" applyFont="1" applyFill="1" applyAlignment="1">
      <alignment horizontal="right"/>
    </xf>
    <xf numFmtId="0" fontId="64" fillId="20" borderId="0" xfId="0" applyFont="1" applyFill="1" applyAlignment="1">
      <alignment horizontal="right"/>
    </xf>
    <xf numFmtId="0" fontId="63" fillId="20" borderId="24" xfId="0" applyFont="1" applyFill="1" applyBorder="1" applyAlignment="1">
      <alignment vertical="center"/>
    </xf>
    <xf numFmtId="0" fontId="63" fillId="20" borderId="24" xfId="0" applyFont="1" applyFill="1" applyBorder="1" applyAlignment="1">
      <alignment horizontal="right" vertical="center"/>
    </xf>
    <xf numFmtId="0" fontId="65" fillId="20" borderId="25" xfId="0" applyFont="1" applyFill="1" applyBorder="1" applyAlignment="1">
      <alignment vertical="center"/>
    </xf>
    <xf numFmtId="0" fontId="63" fillId="20" borderId="25" xfId="0" applyFont="1" applyFill="1" applyBorder="1" applyAlignment="1">
      <alignment vertical="center"/>
    </xf>
    <xf numFmtId="0" fontId="65" fillId="20" borderId="0" xfId="0" applyFont="1" applyFill="1" applyAlignment="1">
      <alignment vertical="center"/>
    </xf>
    <xf numFmtId="0" fontId="63" fillId="20" borderId="0" xfId="0" applyFont="1" applyFill="1" applyAlignment="1">
      <alignment vertical="center"/>
    </xf>
    <xf numFmtId="0" fontId="66" fillId="21" borderId="0" xfId="0" applyFont="1" applyFill="1" applyAlignment="1">
      <alignment vertical="center"/>
    </xf>
    <xf numFmtId="0" fontId="66" fillId="21" borderId="0" xfId="0" applyFont="1" applyFill="1"/>
    <xf numFmtId="0" fontId="15" fillId="21" borderId="0" xfId="0" applyFont="1" applyFill="1"/>
    <xf numFmtId="0" fontId="20" fillId="20" borderId="4" xfId="0" applyFont="1" applyFill="1" applyBorder="1" applyAlignment="1">
      <alignment vertical="center" wrapText="1"/>
    </xf>
    <xf numFmtId="0" fontId="63" fillId="20" borderId="4" xfId="0" applyFont="1" applyFill="1" applyBorder="1" applyAlignment="1">
      <alignment vertical="center"/>
    </xf>
    <xf numFmtId="0" fontId="67" fillId="20" borderId="0" xfId="0" applyFont="1" applyFill="1" applyAlignment="1">
      <alignment vertical="center"/>
    </xf>
    <xf numFmtId="0" fontId="43" fillId="20" borderId="0" xfId="0" applyFont="1" applyFill="1"/>
    <xf numFmtId="0" fontId="68" fillId="21" borderId="0" xfId="0" applyFont="1" applyFill="1" applyAlignment="1">
      <alignment horizontal="center" vertical="center"/>
    </xf>
    <xf numFmtId="0" fontId="64" fillId="22" borderId="0" xfId="0" applyFont="1" applyFill="1"/>
    <xf numFmtId="0" fontId="69" fillId="20" borderId="0" xfId="0" applyFont="1" applyFill="1"/>
    <xf numFmtId="0" fontId="64" fillId="20" borderId="21" xfId="0" applyFont="1" applyFill="1" applyBorder="1" applyAlignment="1">
      <alignment horizontal="right"/>
    </xf>
    <xf numFmtId="0" fontId="20" fillId="20" borderId="4" xfId="0" applyFont="1" applyFill="1" applyBorder="1" applyAlignment="1">
      <alignment vertical="center"/>
    </xf>
    <xf numFmtId="0" fontId="12" fillId="6" borderId="26" xfId="0" applyFont="1" applyFill="1" applyBorder="1" applyAlignment="1">
      <alignment vertical="center"/>
    </xf>
    <xf numFmtId="0" fontId="12" fillId="6" borderId="27" xfId="0" applyFont="1" applyFill="1" applyBorder="1" applyAlignment="1">
      <alignment vertical="center"/>
    </xf>
    <xf numFmtId="0" fontId="12" fillId="6" borderId="28" xfId="0" applyFont="1" applyFill="1" applyBorder="1" applyAlignment="1">
      <alignment vertical="center"/>
    </xf>
    <xf numFmtId="10" fontId="24" fillId="6" borderId="0" xfId="2" applyNumberFormat="1" applyFont="1" applyFill="1" applyBorder="1" applyAlignment="1">
      <alignment horizontal="right" vertical="center"/>
    </xf>
    <xf numFmtId="0" fontId="58" fillId="6" borderId="11" xfId="0" quotePrefix="1" applyFont="1" applyFill="1" applyBorder="1" applyAlignment="1">
      <alignment vertical="center"/>
    </xf>
    <xf numFmtId="0" fontId="10" fillId="6" borderId="0" xfId="0" applyFont="1" applyFill="1"/>
    <xf numFmtId="0" fontId="23" fillId="6" borderId="0" xfId="0" applyFont="1" applyFill="1" applyAlignment="1">
      <alignment horizontal="right"/>
    </xf>
    <xf numFmtId="0" fontId="20" fillId="6" borderId="0" xfId="0" applyFont="1" applyFill="1" applyAlignment="1">
      <alignment vertical="center"/>
    </xf>
    <xf numFmtId="0" fontId="20" fillId="6" borderId="4" xfId="0" applyFont="1" applyFill="1" applyBorder="1" applyAlignment="1">
      <alignment vertical="center"/>
    </xf>
    <xf numFmtId="0" fontId="23" fillId="6" borderId="0" xfId="0" applyFont="1" applyFill="1" applyAlignment="1">
      <alignment vertical="center"/>
    </xf>
    <xf numFmtId="3" fontId="23" fillId="6" borderId="0" xfId="0" applyNumberFormat="1" applyFont="1" applyFill="1" applyAlignment="1">
      <alignment horizontal="right" vertical="center"/>
    </xf>
    <xf numFmtId="0" fontId="49" fillId="2" borderId="0" xfId="0" applyFont="1" applyFill="1" applyAlignment="1">
      <alignment horizontal="left" indent="1"/>
    </xf>
    <xf numFmtId="0" fontId="10" fillId="2" borderId="0" xfId="0" applyFont="1" applyFill="1" applyAlignment="1">
      <alignment vertical="center"/>
    </xf>
    <xf numFmtId="0" fontId="23" fillId="2" borderId="0" xfId="0" applyFont="1" applyFill="1" applyAlignment="1">
      <alignment horizontal="center"/>
    </xf>
    <xf numFmtId="3" fontId="23" fillId="2" borderId="0" xfId="0" applyNumberFormat="1" applyFont="1" applyFill="1" applyAlignment="1">
      <alignment horizontal="center"/>
    </xf>
    <xf numFmtId="3" fontId="23" fillId="2" borderId="0" xfId="0" applyNumberFormat="1" applyFont="1" applyFill="1"/>
    <xf numFmtId="3" fontId="10" fillId="2" borderId="0" xfId="0" applyNumberFormat="1" applyFont="1" applyFill="1"/>
    <xf numFmtId="0" fontId="23" fillId="4" borderId="8" xfId="0" applyFont="1" applyFill="1" applyBorder="1" applyAlignment="1">
      <alignment horizontal="center" vertical="center"/>
    </xf>
    <xf numFmtId="0" fontId="23" fillId="4" borderId="8" xfId="0" applyFont="1" applyFill="1" applyBorder="1" applyAlignment="1">
      <alignment horizontal="right" vertical="center"/>
    </xf>
    <xf numFmtId="0" fontId="23" fillId="4" borderId="0" xfId="0" applyFont="1" applyFill="1" applyAlignment="1">
      <alignment horizontal="center" vertical="center"/>
    </xf>
    <xf numFmtId="0" fontId="16" fillId="4" borderId="11" xfId="0" applyFont="1" applyFill="1" applyBorder="1"/>
    <xf numFmtId="0" fontId="10" fillId="4" borderId="11" xfId="0" applyFont="1" applyFill="1" applyBorder="1"/>
    <xf numFmtId="43" fontId="10" fillId="4" borderId="0" xfId="1" applyFont="1" applyFill="1" applyBorder="1" applyAlignment="1">
      <alignment horizontal="center"/>
    </xf>
    <xf numFmtId="0" fontId="71" fillId="4" borderId="0" xfId="0" applyFont="1" applyFill="1"/>
    <xf numFmtId="0" fontId="71" fillId="4" borderId="11" xfId="0" applyFont="1" applyFill="1" applyBorder="1"/>
    <xf numFmtId="43" fontId="71" fillId="4" borderId="11" xfId="1" applyFont="1" applyFill="1" applyBorder="1" applyAlignment="1">
      <alignment horizontal="center"/>
    </xf>
    <xf numFmtId="43" fontId="71" fillId="4" borderId="0" xfId="1" applyFont="1" applyFill="1" applyAlignment="1">
      <alignment horizontal="center"/>
    </xf>
    <xf numFmtId="0" fontId="71" fillId="2" borderId="0" xfId="0" applyFont="1" applyFill="1"/>
    <xf numFmtId="43" fontId="71" fillId="4" borderId="0" xfId="1" applyFont="1" applyFill="1" applyBorder="1" applyAlignment="1">
      <alignment horizontal="center"/>
    </xf>
    <xf numFmtId="0" fontId="71" fillId="4" borderId="4" xfId="0" applyFont="1" applyFill="1" applyBorder="1"/>
    <xf numFmtId="43" fontId="71" fillId="4" borderId="4" xfId="1" applyFont="1" applyFill="1" applyBorder="1" applyAlignment="1">
      <alignment horizontal="center"/>
    </xf>
    <xf numFmtId="0" fontId="10" fillId="4" borderId="3" xfId="0" applyFont="1" applyFill="1" applyBorder="1"/>
    <xf numFmtId="0" fontId="10" fillId="4" borderId="0" xfId="0" applyFont="1" applyFill="1" applyAlignment="1">
      <alignment horizontal="center"/>
    </xf>
    <xf numFmtId="0" fontId="16" fillId="8" borderId="0" xfId="0" applyFont="1" applyFill="1"/>
    <xf numFmtId="0" fontId="10" fillId="8" borderId="0" xfId="0" applyFont="1" applyFill="1"/>
    <xf numFmtId="0" fontId="10" fillId="9" borderId="0" xfId="0" applyFont="1" applyFill="1"/>
    <xf numFmtId="0" fontId="16" fillId="9" borderId="0" xfId="0" applyFont="1" applyFill="1"/>
    <xf numFmtId="0" fontId="16" fillId="9" borderId="0" xfId="0" applyFont="1" applyFill="1" applyAlignment="1">
      <alignment horizontal="right"/>
    </xf>
    <xf numFmtId="0" fontId="23" fillId="9" borderId="8" xfId="0" applyFont="1" applyFill="1" applyBorder="1" applyAlignment="1">
      <alignment horizontal="center" vertical="center"/>
    </xf>
    <xf numFmtId="0" fontId="23" fillId="9" borderId="0" xfId="0" applyFont="1" applyFill="1" applyAlignment="1">
      <alignment horizontal="center" vertical="center"/>
    </xf>
    <xf numFmtId="0" fontId="10" fillId="9" borderId="0" xfId="0" applyFont="1" applyFill="1" applyAlignment="1">
      <alignment horizontal="center"/>
    </xf>
    <xf numFmtId="0" fontId="71" fillId="9" borderId="11" xfId="0" applyFont="1" applyFill="1" applyBorder="1"/>
    <xf numFmtId="0" fontId="23" fillId="9" borderId="11" xfId="0" applyFont="1" applyFill="1" applyBorder="1" applyAlignment="1">
      <alignment horizontal="center" vertical="center"/>
    </xf>
    <xf numFmtId="0" fontId="72" fillId="9" borderId="0" xfId="0" applyFont="1" applyFill="1" applyAlignment="1">
      <alignment horizontal="center"/>
    </xf>
    <xf numFmtId="0" fontId="23" fillId="9" borderId="22" xfId="0" applyFont="1" applyFill="1" applyBorder="1" applyAlignment="1">
      <alignment horizontal="center" vertical="center"/>
    </xf>
    <xf numFmtId="0" fontId="71" fillId="9" borderId="0" xfId="0" applyFont="1" applyFill="1"/>
    <xf numFmtId="0" fontId="16" fillId="9" borderId="3" xfId="0" applyFont="1" applyFill="1" applyBorder="1" applyAlignment="1">
      <alignment horizontal="center"/>
    </xf>
    <xf numFmtId="0" fontId="16" fillId="10" borderId="0" xfId="0" applyFont="1" applyFill="1"/>
    <xf numFmtId="0" fontId="10" fillId="10" borderId="0" xfId="0" applyFont="1" applyFill="1"/>
    <xf numFmtId="0" fontId="10" fillId="11" borderId="0" xfId="0" applyFont="1" applyFill="1"/>
    <xf numFmtId="0" fontId="16" fillId="11" borderId="0" xfId="0" applyFont="1" applyFill="1"/>
    <xf numFmtId="0" fontId="16" fillId="11" borderId="0" xfId="0" applyFont="1" applyFill="1" applyAlignment="1">
      <alignment horizontal="right"/>
    </xf>
    <xf numFmtId="0" fontId="23" fillId="11" borderId="8" xfId="0" applyFont="1" applyFill="1" applyBorder="1" applyAlignment="1">
      <alignment horizontal="center" vertical="center"/>
    </xf>
    <xf numFmtId="0" fontId="23" fillId="11" borderId="0" xfId="0" applyFont="1" applyFill="1" applyAlignment="1">
      <alignment horizontal="center" vertical="center"/>
    </xf>
    <xf numFmtId="0" fontId="10" fillId="11" borderId="0" xfId="0" applyFont="1" applyFill="1" applyAlignment="1">
      <alignment horizontal="center"/>
    </xf>
    <xf numFmtId="0" fontId="73" fillId="23" borderId="0" xfId="0" applyFont="1" applyFill="1"/>
    <xf numFmtId="0" fontId="74" fillId="23" borderId="0" xfId="0" applyFont="1" applyFill="1"/>
    <xf numFmtId="0" fontId="75" fillId="22" borderId="0" xfId="0" applyFont="1" applyFill="1"/>
    <xf numFmtId="0" fontId="23" fillId="20" borderId="0" xfId="0" applyFont="1" applyFill="1" applyAlignment="1">
      <alignment horizontal="right"/>
    </xf>
    <xf numFmtId="0" fontId="63" fillId="20" borderId="29" xfId="0" applyFont="1" applyFill="1" applyBorder="1"/>
    <xf numFmtId="0" fontId="64" fillId="20" borderId="23" xfId="0" applyFont="1" applyFill="1" applyBorder="1"/>
    <xf numFmtId="0" fontId="23" fillId="20" borderId="0" xfId="0" applyFont="1" applyFill="1"/>
    <xf numFmtId="0" fontId="41" fillId="20" borderId="0" xfId="0" quotePrefix="1" applyFont="1" applyFill="1"/>
    <xf numFmtId="0" fontId="41" fillId="20" borderId="4" xfId="0" quotePrefix="1" applyFont="1" applyFill="1" applyBorder="1"/>
    <xf numFmtId="0" fontId="76" fillId="20" borderId="0" xfId="0" applyFont="1" applyFill="1"/>
    <xf numFmtId="0" fontId="10" fillId="20" borderId="23" xfId="0" applyFont="1" applyFill="1" applyBorder="1"/>
    <xf numFmtId="0" fontId="10" fillId="20" borderId="0" xfId="0" applyFont="1" applyFill="1"/>
    <xf numFmtId="0" fontId="20" fillId="20" borderId="0" xfId="0" applyFont="1" applyFill="1"/>
    <xf numFmtId="0" fontId="23" fillId="20" borderId="29" xfId="0" applyFont="1" applyFill="1" applyBorder="1"/>
    <xf numFmtId="0" fontId="16" fillId="20" borderId="23" xfId="0" applyFont="1" applyFill="1" applyBorder="1"/>
    <xf numFmtId="0" fontId="20" fillId="20" borderId="0" xfId="0" quotePrefix="1" applyFont="1" applyFill="1"/>
    <xf numFmtId="0" fontId="20" fillId="20" borderId="4" xfId="0" quotePrefix="1" applyFont="1" applyFill="1" applyBorder="1"/>
    <xf numFmtId="0" fontId="2" fillId="20" borderId="23" xfId="0" applyFont="1" applyFill="1" applyBorder="1"/>
    <xf numFmtId="0" fontId="77" fillId="20" borderId="0" xfId="0" applyFont="1" applyFill="1"/>
    <xf numFmtId="0" fontId="2" fillId="6" borderId="0" xfId="0" applyFont="1" applyFill="1"/>
    <xf numFmtId="0" fontId="2" fillId="2" borderId="0" xfId="0" applyFont="1" applyFill="1"/>
    <xf numFmtId="0" fontId="67" fillId="20" borderId="0" xfId="0" applyFont="1" applyFill="1"/>
    <xf numFmtId="0" fontId="78" fillId="20" borderId="0" xfId="0" applyFont="1" applyFill="1"/>
    <xf numFmtId="0" fontId="14" fillId="6" borderId="12" xfId="0" applyFont="1" applyFill="1" applyBorder="1" applyAlignment="1">
      <alignment horizontal="center" vertical="center"/>
    </xf>
    <xf numFmtId="0" fontId="79" fillId="6" borderId="7" xfId="0" applyFont="1" applyFill="1" applyBorder="1"/>
    <xf numFmtId="0" fontId="46" fillId="6" borderId="0" xfId="0" applyFont="1" applyFill="1" applyAlignment="1">
      <alignment vertical="center"/>
    </xf>
    <xf numFmtId="0" fontId="15" fillId="6" borderId="0" xfId="0" applyFont="1" applyFill="1" applyAlignment="1">
      <alignment vertical="center"/>
    </xf>
    <xf numFmtId="0" fontId="46" fillId="6" borderId="0" xfId="0" applyFont="1" applyFill="1" applyAlignment="1">
      <alignment horizontal="right" vertical="center"/>
    </xf>
    <xf numFmtId="0" fontId="15" fillId="6" borderId="0" xfId="0" applyFont="1" applyFill="1" applyAlignment="1">
      <alignment horizontal="right" vertical="center"/>
    </xf>
    <xf numFmtId="0" fontId="6" fillId="5" borderId="1" xfId="0" applyFont="1" applyFill="1" applyBorder="1" applyAlignment="1">
      <alignment horizontal="left" vertical="center" indent="1"/>
    </xf>
    <xf numFmtId="0" fontId="0" fillId="5" borderId="2" xfId="0" applyFill="1" applyBorder="1" applyAlignment="1">
      <alignment vertical="center"/>
    </xf>
    <xf numFmtId="0" fontId="23" fillId="6" borderId="8" xfId="0" applyFont="1" applyFill="1" applyBorder="1" applyAlignment="1">
      <alignment vertical="center"/>
    </xf>
    <xf numFmtId="0" fontId="23" fillId="6" borderId="12" xfId="0" applyFont="1" applyFill="1" applyBorder="1" applyAlignment="1">
      <alignment vertical="center"/>
    </xf>
    <xf numFmtId="0" fontId="23" fillId="6" borderId="12" xfId="0" applyFont="1" applyFill="1" applyBorder="1" applyAlignment="1">
      <alignment horizontal="right" vertical="center"/>
    </xf>
    <xf numFmtId="0" fontId="20" fillId="6" borderId="30" xfId="3" applyFont="1" applyFill="1" applyBorder="1" applyAlignment="1">
      <alignment vertical="center"/>
    </xf>
    <xf numFmtId="0" fontId="20" fillId="6" borderId="30" xfId="0" applyFont="1" applyFill="1" applyBorder="1" applyAlignment="1">
      <alignment vertical="center"/>
    </xf>
    <xf numFmtId="0" fontId="79" fillId="6" borderId="0" xfId="0" applyFont="1" applyFill="1"/>
    <xf numFmtId="0" fontId="23" fillId="6" borderId="0" xfId="0" applyFont="1" applyFill="1" applyAlignment="1">
      <alignment horizontal="right" vertical="center"/>
    </xf>
    <xf numFmtId="10" fontId="12" fillId="6" borderId="11" xfId="2" applyNumberFormat="1" applyFont="1" applyFill="1" applyBorder="1" applyAlignment="1">
      <alignment horizontal="right" vertical="center"/>
    </xf>
    <xf numFmtId="0" fontId="23" fillId="6" borderId="0" xfId="3" applyFont="1" applyFill="1" applyAlignment="1">
      <alignment horizontal="right"/>
    </xf>
    <xf numFmtId="0" fontId="11" fillId="2" borderId="0" xfId="7" applyNumberFormat="1" applyFont="1" applyFill="1" applyBorder="1"/>
    <xf numFmtId="0" fontId="2" fillId="4" borderId="0" xfId="0" applyFont="1" applyFill="1"/>
    <xf numFmtId="0" fontId="21" fillId="8" borderId="0" xfId="0" applyFont="1" applyFill="1"/>
    <xf numFmtId="0" fontId="2" fillId="8" borderId="0" xfId="0" applyFont="1" applyFill="1"/>
    <xf numFmtId="0" fontId="16" fillId="9" borderId="0" xfId="0" applyFont="1" applyFill="1" applyAlignment="1">
      <alignment horizontal="left"/>
    </xf>
    <xf numFmtId="0" fontId="10" fillId="9" borderId="0" xfId="0" applyFont="1" applyFill="1" applyAlignment="1">
      <alignment horizontal="left"/>
    </xf>
    <xf numFmtId="0" fontId="16" fillId="9" borderId="0" xfId="0" applyFont="1" applyFill="1" applyAlignment="1">
      <alignment horizontal="center"/>
    </xf>
    <xf numFmtId="0" fontId="21" fillId="10" borderId="0" xfId="0" applyFont="1" applyFill="1"/>
    <xf numFmtId="0" fontId="23" fillId="11" borderId="12" xfId="0" applyFont="1" applyFill="1" applyBorder="1" applyAlignment="1">
      <alignment horizontal="center" vertical="center"/>
    </xf>
    <xf numFmtId="0" fontId="10" fillId="11" borderId="11" xfId="0" applyFont="1" applyFill="1" applyBorder="1"/>
    <xf numFmtId="0" fontId="10" fillId="11" borderId="4" xfId="0" applyFont="1" applyFill="1" applyBorder="1"/>
    <xf numFmtId="0" fontId="2" fillId="11" borderId="0" xfId="0" applyFont="1" applyFill="1"/>
    <xf numFmtId="11" fontId="0" fillId="2" borderId="3" xfId="0" applyNumberFormat="1" applyFill="1" applyBorder="1"/>
    <xf numFmtId="0" fontId="3" fillId="2" borderId="3" xfId="0" applyFont="1" applyFill="1" applyBorder="1" applyAlignment="1">
      <alignment horizontal="left"/>
    </xf>
    <xf numFmtId="0" fontId="3" fillId="2" borderId="3" xfId="0" applyFont="1" applyFill="1" applyBorder="1" applyAlignment="1">
      <alignment horizontal="right"/>
    </xf>
    <xf numFmtId="11" fontId="0" fillId="2" borderId="0" xfId="0" applyNumberFormat="1" applyFill="1"/>
    <xf numFmtId="0" fontId="0" fillId="2" borderId="0" xfId="0" applyFill="1" applyAlignment="1">
      <alignment horizontal="left"/>
    </xf>
    <xf numFmtId="0" fontId="3" fillId="2" borderId="0" xfId="0" applyFont="1" applyFill="1" applyAlignment="1">
      <alignment horizontal="right"/>
    </xf>
    <xf numFmtId="11" fontId="0" fillId="2" borderId="3" xfId="1" applyNumberFormat="1" applyFont="1" applyFill="1" applyBorder="1"/>
    <xf numFmtId="0" fontId="14" fillId="2" borderId="0" xfId="0" applyFont="1" applyFill="1" applyAlignment="1">
      <alignment horizontal="right"/>
    </xf>
    <xf numFmtId="0" fontId="14" fillId="2" borderId="3" xfId="0" applyFont="1" applyFill="1" applyBorder="1"/>
    <xf numFmtId="0" fontId="12" fillId="2" borderId="4" xfId="0" applyFont="1" applyFill="1" applyBorder="1"/>
    <xf numFmtId="0" fontId="0" fillId="2" borderId="0" xfId="0" applyFill="1" applyAlignment="1">
      <alignment horizontal="center" vertical="center"/>
    </xf>
    <xf numFmtId="2" fontId="12" fillId="2" borderId="0" xfId="0" applyNumberFormat="1" applyFont="1" applyFill="1"/>
    <xf numFmtId="43" fontId="0" fillId="2" borderId="3" xfId="1" applyFont="1" applyFill="1" applyBorder="1"/>
    <xf numFmtId="0" fontId="46" fillId="2" borderId="0" xfId="0" applyFont="1" applyFill="1"/>
    <xf numFmtId="43" fontId="12" fillId="2" borderId="0" xfId="0" applyNumberFormat="1" applyFont="1" applyFill="1"/>
    <xf numFmtId="183" fontId="12" fillId="2" borderId="0" xfId="0" applyNumberFormat="1" applyFont="1" applyFill="1"/>
    <xf numFmtId="184" fontId="12" fillId="2" borderId="0" xfId="0" applyNumberFormat="1" applyFont="1" applyFill="1"/>
    <xf numFmtId="168" fontId="12" fillId="2" borderId="0" xfId="0" applyNumberFormat="1" applyFont="1" applyFill="1"/>
    <xf numFmtId="185" fontId="0" fillId="2" borderId="3" xfId="1" applyNumberFormat="1" applyFont="1" applyFill="1" applyBorder="1"/>
    <xf numFmtId="178" fontId="20" fillId="4" borderId="0" xfId="1" applyNumberFormat="1" applyFont="1" applyFill="1" applyAlignment="1">
      <alignment horizontal="center"/>
    </xf>
    <xf numFmtId="43" fontId="20" fillId="4" borderId="3" xfId="1" applyFont="1" applyFill="1" applyBorder="1" applyAlignment="1">
      <alignment horizontal="center"/>
    </xf>
    <xf numFmtId="43" fontId="10" fillId="4" borderId="3" xfId="1" applyFont="1" applyFill="1" applyBorder="1" applyAlignment="1">
      <alignment horizontal="center"/>
    </xf>
    <xf numFmtId="0" fontId="3" fillId="6" borderId="22" xfId="0" applyFont="1" applyFill="1" applyBorder="1" applyAlignment="1">
      <alignment vertical="center"/>
    </xf>
    <xf numFmtId="178" fontId="11" fillId="2" borderId="0" xfId="4" applyNumberFormat="1" applyFont="1" applyFill="1" applyBorder="1"/>
    <xf numFmtId="173" fontId="11" fillId="2" borderId="0" xfId="4" applyNumberFormat="1" applyFont="1" applyFill="1" applyBorder="1"/>
    <xf numFmtId="0" fontId="12" fillId="2" borderId="0" xfId="3" applyFont="1" applyFill="1"/>
    <xf numFmtId="0" fontId="54" fillId="2" borderId="0" xfId="3" applyFont="1" applyFill="1"/>
    <xf numFmtId="0" fontId="10" fillId="2" borderId="0" xfId="7" applyNumberFormat="1" applyFont="1" applyFill="1" applyBorder="1"/>
    <xf numFmtId="0" fontId="1" fillId="2" borderId="0" xfId="3" applyFont="1" applyFill="1"/>
    <xf numFmtId="1" fontId="12" fillId="2" borderId="0" xfId="3" applyNumberFormat="1" applyFont="1" applyFill="1"/>
    <xf numFmtId="0" fontId="14" fillId="2" borderId="0" xfId="3" applyFont="1" applyFill="1" applyAlignment="1">
      <alignment horizontal="right"/>
    </xf>
    <xf numFmtId="0" fontId="12" fillId="2" borderId="0" xfId="3" applyFont="1" applyFill="1" applyAlignment="1">
      <alignment vertical="center"/>
    </xf>
    <xf numFmtId="0" fontId="12" fillId="2" borderId="0" xfId="3" applyFont="1" applyFill="1" applyAlignment="1">
      <alignment horizontal="right" vertical="center"/>
    </xf>
    <xf numFmtId="173" fontId="0" fillId="2" borderId="0" xfId="4" applyNumberFormat="1" applyFont="1" applyFill="1" applyBorder="1" applyAlignment="1">
      <alignment vertical="center"/>
    </xf>
    <xf numFmtId="1" fontId="12" fillId="2" borderId="0" xfId="3" applyNumberFormat="1" applyFont="1" applyFill="1" applyAlignment="1">
      <alignment horizontal="left"/>
    </xf>
    <xf numFmtId="0" fontId="14" fillId="2" borderId="0" xfId="3" applyFont="1" applyFill="1" applyAlignment="1">
      <alignment vertical="center"/>
    </xf>
    <xf numFmtId="0" fontId="14" fillId="2" borderId="0" xfId="3" applyFont="1" applyFill="1" applyAlignment="1">
      <alignment horizontal="center"/>
    </xf>
    <xf numFmtId="0" fontId="12" fillId="2" borderId="0" xfId="3" applyFont="1" applyFill="1" applyAlignment="1">
      <alignment horizontal="right"/>
    </xf>
    <xf numFmtId="0" fontId="12" fillId="2" borderId="0" xfId="3" applyFont="1" applyFill="1" applyAlignment="1">
      <alignment horizontal="center"/>
    </xf>
    <xf numFmtId="0" fontId="14" fillId="2" borderId="0" xfId="3" applyFont="1" applyFill="1" applyAlignment="1">
      <alignment horizontal="right" vertical="center"/>
    </xf>
    <xf numFmtId="0" fontId="14" fillId="2" borderId="0" xfId="3" applyFont="1" applyFill="1"/>
    <xf numFmtId="172" fontId="12" fillId="2" borderId="0" xfId="4" applyFont="1" applyFill="1" applyAlignment="1">
      <alignment horizontal="right"/>
    </xf>
    <xf numFmtId="0" fontId="1" fillId="6" borderId="0" xfId="3" applyFont="1" applyFill="1" applyAlignment="1">
      <alignment vertical="center"/>
    </xf>
    <xf numFmtId="0" fontId="3" fillId="6" borderId="12" xfId="0" applyFont="1" applyFill="1" applyBorder="1" applyAlignment="1">
      <alignment vertical="center"/>
    </xf>
    <xf numFmtId="0" fontId="15" fillId="6" borderId="0" xfId="3" applyFont="1" applyFill="1"/>
    <xf numFmtId="0" fontId="80" fillId="2" borderId="0" xfId="7" applyNumberFormat="1" applyFont="1" applyFill="1" applyBorder="1"/>
    <xf numFmtId="0" fontId="11" fillId="2" borderId="0" xfId="7" applyNumberFormat="1" applyFont="1" applyFill="1"/>
    <xf numFmtId="0" fontId="10" fillId="2" borderId="0" xfId="7" applyNumberFormat="1" applyFont="1" applyFill="1"/>
    <xf numFmtId="0" fontId="50" fillId="2" borderId="0" xfId="3" applyFont="1" applyFill="1"/>
    <xf numFmtId="0" fontId="13" fillId="2" borderId="0" xfId="3" applyFont="1" applyFill="1"/>
    <xf numFmtId="11" fontId="0" fillId="0" borderId="0" xfId="5" applyNumberFormat="1" applyFont="1"/>
    <xf numFmtId="0" fontId="47" fillId="0" borderId="0" xfId="5" applyFont="1" applyAlignment="1">
      <alignment horizontal="center"/>
    </xf>
    <xf numFmtId="0" fontId="12" fillId="0" borderId="0" xfId="5" applyFont="1"/>
    <xf numFmtId="173" fontId="12" fillId="0" borderId="0" xfId="4" applyNumberFormat="1" applyFont="1" applyBorder="1"/>
    <xf numFmtId="0" fontId="11" fillId="0" borderId="0" xfId="7" applyNumberFormat="1" applyFont="1" applyBorder="1"/>
    <xf numFmtId="0" fontId="14" fillId="0" borderId="0" xfId="3" applyFont="1"/>
    <xf numFmtId="0" fontId="12" fillId="0" borderId="0" xfId="3" applyFont="1" applyAlignment="1">
      <alignment vertical="center"/>
    </xf>
    <xf numFmtId="0" fontId="14" fillId="6" borderId="12" xfId="3" applyFont="1" applyFill="1" applyBorder="1" applyAlignment="1">
      <alignment vertical="center"/>
    </xf>
    <xf numFmtId="0" fontId="12" fillId="6" borderId="31" xfId="0" applyFont="1" applyFill="1" applyBorder="1" applyAlignment="1">
      <alignment vertical="center"/>
    </xf>
    <xf numFmtId="2" fontId="14" fillId="6" borderId="9" xfId="6" applyNumberFormat="1" applyFont="1" applyFill="1" applyBorder="1" applyAlignment="1">
      <alignment horizontal="center" vertical="center"/>
    </xf>
    <xf numFmtId="0" fontId="16" fillId="2" borderId="0" xfId="0" applyFont="1" applyFill="1"/>
    <xf numFmtId="0" fontId="80" fillId="0" borderId="0" xfId="7" applyNumberFormat="1" applyFont="1" applyBorder="1"/>
    <xf numFmtId="0" fontId="3" fillId="2" borderId="3" xfId="0" applyFont="1" applyFill="1" applyBorder="1"/>
    <xf numFmtId="0" fontId="82" fillId="0" borderId="0" xfId="0" applyFont="1"/>
    <xf numFmtId="0" fontId="38" fillId="0" borderId="0" xfId="0" applyFont="1"/>
    <xf numFmtId="173" fontId="41" fillId="0" borderId="0" xfId="4" applyNumberFormat="1" applyFont="1" applyFill="1" applyBorder="1" applyAlignment="1">
      <alignment vertical="center"/>
    </xf>
    <xf numFmtId="0" fontId="83" fillId="0" borderId="0" xfId="0" applyFont="1" applyAlignment="1">
      <alignment vertical="center"/>
    </xf>
    <xf numFmtId="0" fontId="26" fillId="0" borderId="0" xfId="0" applyFont="1"/>
    <xf numFmtId="0" fontId="26" fillId="0" borderId="0" xfId="0" applyFont="1" applyAlignment="1">
      <alignment horizontal="right"/>
    </xf>
    <xf numFmtId="0" fontId="38" fillId="0" borderId="0" xfId="0" applyFont="1" applyAlignment="1">
      <alignment horizontal="right"/>
    </xf>
    <xf numFmtId="0" fontId="26" fillId="0" borderId="0" xfId="0" applyFont="1" applyAlignment="1">
      <alignment horizontal="left"/>
    </xf>
    <xf numFmtId="0" fontId="0" fillId="0" borderId="0" xfId="0" applyAlignment="1">
      <alignment horizontal="center"/>
    </xf>
    <xf numFmtId="0" fontId="26" fillId="0" borderId="0" xfId="0" applyFont="1" applyAlignment="1">
      <alignment horizontal="right" vertical="center"/>
    </xf>
    <xf numFmtId="0" fontId="26" fillId="0" borderId="0" xfId="0" applyFont="1" applyAlignment="1">
      <alignment horizontal="left" vertical="center" wrapText="1"/>
    </xf>
    <xf numFmtId="0" fontId="3" fillId="0" borderId="0" xfId="0" applyFont="1"/>
    <xf numFmtId="0" fontId="3" fillId="0" borderId="0" xfId="0" applyFont="1" applyAlignment="1">
      <alignment horizontal="right"/>
    </xf>
    <xf numFmtId="0" fontId="12" fillId="2" borderId="0" xfId="0" applyFont="1" applyFill="1" applyAlignment="1">
      <alignment vertical="center"/>
    </xf>
    <xf numFmtId="0" fontId="3" fillId="2" borderId="9" xfId="0" applyFont="1" applyFill="1" applyBorder="1"/>
    <xf numFmtId="0" fontId="12" fillId="2" borderId="9" xfId="0" applyFont="1" applyFill="1" applyBorder="1" applyAlignment="1">
      <alignment vertical="center"/>
    </xf>
    <xf numFmtId="0" fontId="0" fillId="0" borderId="9" xfId="0" applyBorder="1"/>
    <xf numFmtId="0" fontId="0" fillId="0" borderId="9" xfId="0" applyBorder="1" applyAlignment="1">
      <alignment horizontal="right"/>
    </xf>
    <xf numFmtId="166" fontId="0" fillId="0" borderId="0" xfId="1" applyNumberFormat="1" applyFont="1" applyBorder="1"/>
    <xf numFmtId="166" fontId="0" fillId="0" borderId="0" xfId="1" applyNumberFormat="1" applyFont="1" applyBorder="1" applyAlignment="1">
      <alignment horizontal="right"/>
    </xf>
    <xf numFmtId="0" fontId="36" fillId="0" borderId="0" xfId="0" applyFont="1" applyAlignment="1">
      <alignment horizontal="left" vertical="center"/>
    </xf>
    <xf numFmtId="0" fontId="26" fillId="0" borderId="0" xfId="0" applyFont="1" applyAlignment="1">
      <alignment vertical="center" wrapText="1"/>
    </xf>
    <xf numFmtId="0" fontId="58" fillId="2" borderId="0" xfId="0" quotePrefix="1" applyFont="1" applyFill="1" applyAlignment="1">
      <alignment vertical="center"/>
    </xf>
    <xf numFmtId="0" fontId="20" fillId="6" borderId="19" xfId="0" quotePrefix="1" applyFont="1" applyFill="1" applyBorder="1" applyAlignment="1">
      <alignment vertical="center"/>
    </xf>
    <xf numFmtId="0" fontId="36" fillId="2" borderId="0" xfId="0" applyFont="1" applyFill="1"/>
    <xf numFmtId="0" fontId="20" fillId="2" borderId="11" xfId="0" quotePrefix="1" applyFont="1" applyFill="1" applyBorder="1" applyAlignment="1">
      <alignment vertical="center"/>
    </xf>
    <xf numFmtId="0" fontId="10" fillId="2" borderId="11" xfId="0" applyFont="1" applyFill="1" applyBorder="1"/>
    <xf numFmtId="166" fontId="0" fillId="2" borderId="0" xfId="1" applyNumberFormat="1" applyFont="1" applyFill="1"/>
    <xf numFmtId="0" fontId="3" fillId="24" borderId="0" xfId="0" applyFont="1" applyFill="1"/>
    <xf numFmtId="0" fontId="0" fillId="24" borderId="0" xfId="0" applyFill="1"/>
    <xf numFmtId="166" fontId="0" fillId="2" borderId="0" xfId="1" applyNumberFormat="1" applyFont="1" applyFill="1" applyBorder="1"/>
    <xf numFmtId="166" fontId="10" fillId="2" borderId="0" xfId="1" applyNumberFormat="1" applyFont="1" applyFill="1" applyBorder="1"/>
    <xf numFmtId="0" fontId="3" fillId="25" borderId="0" xfId="0" applyFont="1" applyFill="1"/>
    <xf numFmtId="0" fontId="84" fillId="2" borderId="0" xfId="0" quotePrefix="1" applyFont="1" applyFill="1" applyAlignment="1">
      <alignment vertical="center"/>
    </xf>
    <xf numFmtId="0" fontId="65" fillId="26" borderId="0" xfId="0" applyFont="1" applyFill="1" applyAlignment="1">
      <alignment vertical="center"/>
    </xf>
    <xf numFmtId="0" fontId="20" fillId="26" borderId="0" xfId="0" applyFont="1" applyFill="1" applyAlignment="1">
      <alignment vertical="center" wrapText="1"/>
    </xf>
    <xf numFmtId="0" fontId="16" fillId="2" borderId="0" xfId="0" applyFont="1" applyFill="1" applyAlignment="1">
      <alignment horizontal="right"/>
    </xf>
    <xf numFmtId="0" fontId="16" fillId="2" borderId="3" xfId="0" applyFont="1" applyFill="1" applyBorder="1"/>
    <xf numFmtId="0" fontId="16" fillId="25" borderId="0" xfId="0" applyFont="1" applyFill="1"/>
    <xf numFmtId="0" fontId="20" fillId="2" borderId="0" xfId="0" applyFont="1" applyFill="1" applyAlignment="1">
      <alignment vertical="center"/>
    </xf>
    <xf numFmtId="166" fontId="10" fillId="2" borderId="0" xfId="1" applyNumberFormat="1" applyFont="1" applyFill="1"/>
    <xf numFmtId="165" fontId="0" fillId="2" borderId="0" xfId="0" applyNumberFormat="1" applyFill="1"/>
    <xf numFmtId="0" fontId="23" fillId="26" borderId="0" xfId="0" applyFont="1" applyFill="1" applyAlignment="1">
      <alignment vertical="center" wrapText="1"/>
    </xf>
    <xf numFmtId="166" fontId="16" fillId="2" borderId="0" xfId="1" applyNumberFormat="1" applyFont="1" applyFill="1" applyBorder="1" applyAlignment="1">
      <alignment horizontal="right"/>
    </xf>
    <xf numFmtId="0" fontId="27" fillId="20" borderId="0" xfId="0" applyFont="1" applyFill="1"/>
    <xf numFmtId="0" fontId="41" fillId="26" borderId="0" xfId="0" quotePrefix="1" applyFont="1" applyFill="1"/>
    <xf numFmtId="0" fontId="41" fillId="26" borderId="9" xfId="0" quotePrefix="1" applyFont="1" applyFill="1" applyBorder="1"/>
    <xf numFmtId="0" fontId="23" fillId="26" borderId="0" xfId="0" applyFont="1" applyFill="1" applyAlignment="1">
      <alignment horizontal="right"/>
    </xf>
    <xf numFmtId="166" fontId="1" fillId="2" borderId="0" xfId="1" applyNumberFormat="1" applyFont="1" applyFill="1"/>
    <xf numFmtId="0" fontId="12" fillId="0" borderId="0" xfId="0" applyFont="1" applyAlignment="1">
      <alignment horizontal="left"/>
    </xf>
    <xf numFmtId="43" fontId="0" fillId="6" borderId="0" xfId="1" applyFont="1" applyFill="1"/>
    <xf numFmtId="0" fontId="0" fillId="29" borderId="0" xfId="0" applyFill="1"/>
    <xf numFmtId="0" fontId="23" fillId="6" borderId="8" xfId="0" applyFont="1" applyFill="1" applyBorder="1" applyAlignment="1">
      <alignment horizontal="left" vertical="center"/>
    </xf>
    <xf numFmtId="43" fontId="20" fillId="6" borderId="4" xfId="1" applyFont="1" applyFill="1" applyBorder="1" applyAlignment="1">
      <alignment horizontal="left" vertical="center"/>
    </xf>
    <xf numFmtId="0" fontId="10" fillId="4" borderId="4" xfId="0" applyFont="1" applyFill="1" applyBorder="1"/>
    <xf numFmtId="0" fontId="0" fillId="30" borderId="0" xfId="0" applyFill="1"/>
    <xf numFmtId="0" fontId="9" fillId="3" borderId="2" xfId="3" applyFont="1" applyFill="1" applyBorder="1" applyAlignment="1">
      <alignment horizontal="left" vertical="center" indent="1"/>
    </xf>
    <xf numFmtId="0" fontId="91" fillId="0" borderId="33" xfId="0" applyFont="1" applyBorder="1"/>
    <xf numFmtId="0" fontId="92" fillId="0" borderId="33" xfId="0" applyFont="1" applyBorder="1"/>
    <xf numFmtId="0" fontId="93" fillId="0" borderId="33" xfId="0" applyFont="1" applyBorder="1"/>
    <xf numFmtId="0" fontId="91" fillId="0" borderId="0" xfId="0" applyFont="1"/>
    <xf numFmtId="0" fontId="92" fillId="0" borderId="0" xfId="0" applyFont="1"/>
    <xf numFmtId="0" fontId="93" fillId="0" borderId="0" xfId="0" applyFont="1"/>
    <xf numFmtId="0" fontId="13" fillId="2" borderId="0" xfId="0" applyFont="1" applyFill="1"/>
    <xf numFmtId="0" fontId="0" fillId="2" borderId="33" xfId="0" applyFill="1" applyBorder="1"/>
    <xf numFmtId="0" fontId="94" fillId="2" borderId="0" xfId="0" applyFont="1" applyFill="1"/>
    <xf numFmtId="0" fontId="0" fillId="29" borderId="0" xfId="0" applyFill="1" applyProtection="1">
      <protection hidden="1"/>
    </xf>
    <xf numFmtId="0" fontId="0" fillId="0" borderId="0" xfId="0" applyProtection="1">
      <protection hidden="1"/>
    </xf>
    <xf numFmtId="0" fontId="0" fillId="2" borderId="0" xfId="0" applyFill="1" applyProtection="1">
      <protection hidden="1"/>
    </xf>
    <xf numFmtId="0" fontId="3" fillId="27" borderId="32" xfId="0" applyFont="1" applyFill="1" applyBorder="1" applyAlignment="1" applyProtection="1">
      <alignment vertical="center"/>
      <protection hidden="1"/>
    </xf>
    <xf numFmtId="0" fontId="3"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3" fillId="0" borderId="0" xfId="0" applyFont="1" applyAlignment="1" applyProtection="1">
      <alignment vertical="center"/>
      <protection hidden="1"/>
    </xf>
    <xf numFmtId="0" fontId="3" fillId="2" borderId="0" xfId="0" applyFont="1" applyFill="1" applyAlignment="1" applyProtection="1">
      <alignment horizontal="center" vertical="center"/>
      <protection hidden="1"/>
    </xf>
    <xf numFmtId="0" fontId="89" fillId="2" borderId="0" xfId="0" applyFont="1" applyFill="1" applyAlignment="1" applyProtection="1">
      <alignment horizontal="left" vertical="center"/>
      <protection hidden="1"/>
    </xf>
    <xf numFmtId="0" fontId="0" fillId="2" borderId="0" xfId="0" applyFill="1" applyAlignment="1" applyProtection="1">
      <alignment horizontal="center"/>
      <protection hidden="1"/>
    </xf>
    <xf numFmtId="0" fontId="3" fillId="0" borderId="0" xfId="0" applyFont="1" applyAlignment="1" applyProtection="1">
      <alignment horizontal="center" vertical="center"/>
      <protection hidden="1"/>
    </xf>
    <xf numFmtId="49" fontId="65" fillId="2" borderId="0" xfId="0" applyNumberFormat="1" applyFont="1" applyFill="1" applyAlignment="1" applyProtection="1">
      <alignment horizontal="left" vertical="center"/>
      <protection hidden="1"/>
    </xf>
    <xf numFmtId="49" fontId="73" fillId="2" borderId="0" xfId="0" applyNumberFormat="1" applyFont="1" applyFill="1" applyAlignment="1" applyProtection="1">
      <alignment vertical="center"/>
      <protection hidden="1"/>
    </xf>
    <xf numFmtId="49" fontId="73" fillId="2" borderId="0" xfId="0" applyNumberFormat="1" applyFont="1" applyFill="1" applyAlignment="1" applyProtection="1">
      <alignment horizontal="left" vertical="center"/>
      <protection hidden="1"/>
    </xf>
    <xf numFmtId="0" fontId="3" fillId="2" borderId="0" xfId="0" applyFont="1" applyFill="1" applyProtection="1">
      <protection hidden="1"/>
    </xf>
    <xf numFmtId="0" fontId="0" fillId="29" borderId="0" xfId="0" applyFill="1" applyAlignment="1" applyProtection="1">
      <alignment horizontal="center"/>
      <protection hidden="1"/>
    </xf>
    <xf numFmtId="0" fontId="3" fillId="0" borderId="0" xfId="0" applyFont="1" applyProtection="1">
      <protection hidden="1"/>
    </xf>
    <xf numFmtId="0" fontId="2" fillId="2" borderId="0" xfId="0" applyFont="1" applyFill="1" applyProtection="1">
      <protection hidden="1"/>
    </xf>
    <xf numFmtId="0" fontId="0" fillId="2" borderId="0" xfId="0" applyFill="1" applyProtection="1">
      <protection locked="0"/>
    </xf>
    <xf numFmtId="0" fontId="10" fillId="2" borderId="0" xfId="0" applyFont="1" applyFill="1" applyProtection="1">
      <protection hidden="1"/>
    </xf>
    <xf numFmtId="0" fontId="9" fillId="6" borderId="0" xfId="3" applyFont="1" applyFill="1" applyAlignment="1" applyProtection="1">
      <alignment horizontal="left" vertical="center" indent="1"/>
      <protection hidden="1"/>
    </xf>
    <xf numFmtId="0" fontId="0" fillId="6" borderId="0" xfId="0" applyFill="1" applyAlignment="1" applyProtection="1">
      <alignment vertical="center"/>
      <protection hidden="1"/>
    </xf>
    <xf numFmtId="0" fontId="14" fillId="6" borderId="0" xfId="3" applyFont="1" applyFill="1" applyAlignment="1" applyProtection="1">
      <alignment vertical="center"/>
      <protection hidden="1"/>
    </xf>
    <xf numFmtId="0" fontId="0" fillId="6" borderId="0" xfId="0" applyFill="1" applyProtection="1">
      <protection hidden="1"/>
    </xf>
    <xf numFmtId="0" fontId="14" fillId="6" borderId="8" xfId="0" applyFont="1" applyFill="1" applyBorder="1" applyAlignment="1" applyProtection="1">
      <alignment vertical="center"/>
      <protection hidden="1"/>
    </xf>
    <xf numFmtId="0" fontId="14" fillId="6" borderId="11" xfId="3" applyFont="1" applyFill="1" applyBorder="1" applyAlignment="1" applyProtection="1">
      <alignment vertical="center"/>
      <protection hidden="1"/>
    </xf>
    <xf numFmtId="0" fontId="14" fillId="6" borderId="4" xfId="3" applyFont="1" applyFill="1" applyBorder="1" applyAlignment="1" applyProtection="1">
      <alignment vertical="center"/>
      <protection hidden="1"/>
    </xf>
    <xf numFmtId="0" fontId="14" fillId="6" borderId="9" xfId="3" applyFont="1" applyFill="1" applyBorder="1" applyAlignment="1" applyProtection="1">
      <alignment vertical="center"/>
      <protection hidden="1"/>
    </xf>
    <xf numFmtId="0" fontId="0" fillId="6" borderId="4" xfId="0" applyFill="1" applyBorder="1" applyProtection="1">
      <protection hidden="1"/>
    </xf>
    <xf numFmtId="0" fontId="23" fillId="6" borderId="0" xfId="3" applyFont="1" applyFill="1" applyAlignment="1" applyProtection="1">
      <alignment vertical="center"/>
      <protection hidden="1"/>
    </xf>
    <xf numFmtId="0" fontId="4" fillId="2" borderId="0" xfId="0" applyFont="1" applyFill="1" applyAlignment="1" applyProtection="1">
      <alignment horizontal="right"/>
      <protection hidden="1"/>
    </xf>
    <xf numFmtId="0" fontId="14" fillId="6" borderId="8" xfId="0" applyFont="1" applyFill="1" applyBorder="1" applyAlignment="1" applyProtection="1">
      <alignment horizontal="right" vertical="center"/>
      <protection hidden="1"/>
    </xf>
    <xf numFmtId="43" fontId="56" fillId="6" borderId="11" xfId="1" applyFont="1" applyFill="1" applyBorder="1" applyAlignment="1" applyProtection="1">
      <alignment horizontal="right" vertical="center"/>
      <protection locked="0"/>
    </xf>
    <xf numFmtId="43" fontId="56" fillId="6" borderId="4" xfId="1" applyFont="1" applyFill="1" applyBorder="1" applyAlignment="1" applyProtection="1">
      <alignment horizontal="right" vertical="center"/>
      <protection locked="0"/>
    </xf>
    <xf numFmtId="43" fontId="56" fillId="6" borderId="0" xfId="1" applyFont="1" applyFill="1" applyAlignment="1" applyProtection="1">
      <alignment horizontal="right" vertical="center"/>
      <protection locked="0"/>
    </xf>
    <xf numFmtId="9" fontId="15" fillId="6" borderId="0" xfId="2" applyFont="1" applyFill="1" applyAlignment="1" applyProtection="1">
      <alignment vertical="center"/>
      <protection locked="0"/>
    </xf>
    <xf numFmtId="9" fontId="15" fillId="6" borderId="4" xfId="2" applyFont="1" applyFill="1" applyBorder="1" applyAlignment="1" applyProtection="1">
      <alignment vertical="center"/>
      <protection locked="0"/>
    </xf>
    <xf numFmtId="43" fontId="59" fillId="6" borderId="0" xfId="1" applyFont="1" applyFill="1" applyAlignment="1" applyProtection="1">
      <alignment horizontal="right" vertical="center"/>
      <protection locked="0"/>
    </xf>
    <xf numFmtId="43" fontId="23" fillId="6" borderId="19" xfId="1" applyFont="1" applyFill="1" applyBorder="1" applyAlignment="1" applyProtection="1">
      <alignment horizontal="right" vertical="center"/>
      <protection locked="0"/>
    </xf>
    <xf numFmtId="9" fontId="20" fillId="6" borderId="19" xfId="2" applyFont="1" applyFill="1" applyBorder="1" applyAlignment="1" applyProtection="1">
      <alignment vertical="center"/>
      <protection locked="0"/>
    </xf>
    <xf numFmtId="9" fontId="60" fillId="6" borderId="0" xfId="2" applyFont="1" applyFill="1" applyAlignment="1" applyProtection="1">
      <alignment vertical="center"/>
      <protection locked="0"/>
    </xf>
    <xf numFmtId="2" fontId="46" fillId="6" borderId="0" xfId="1" applyNumberFormat="1" applyFont="1" applyFill="1" applyBorder="1" applyAlignment="1" applyProtection="1">
      <alignment horizontal="center" vertical="center"/>
      <protection locked="0"/>
    </xf>
    <xf numFmtId="2" fontId="46" fillId="6" borderId="11" xfId="1" applyNumberFormat="1" applyFont="1" applyFill="1" applyBorder="1" applyAlignment="1" applyProtection="1">
      <alignment horizontal="center" vertical="center"/>
      <protection locked="0"/>
    </xf>
    <xf numFmtId="2" fontId="46" fillId="6" borderId="4" xfId="1" applyNumberFormat="1" applyFont="1" applyFill="1" applyBorder="1" applyAlignment="1" applyProtection="1">
      <alignment horizontal="center" vertical="center"/>
      <protection locked="0"/>
    </xf>
    <xf numFmtId="9" fontId="15" fillId="6" borderId="0" xfId="2" applyFont="1" applyFill="1" applyBorder="1" applyAlignment="1" applyProtection="1">
      <alignment vertical="center"/>
      <protection locked="0"/>
    </xf>
    <xf numFmtId="2" fontId="24" fillId="6" borderId="30" xfId="2" applyNumberFormat="1" applyFont="1" applyFill="1" applyBorder="1" applyAlignment="1" applyProtection="1">
      <alignment vertical="center"/>
      <protection locked="0"/>
    </xf>
    <xf numFmtId="43" fontId="46" fillId="6" borderId="11" xfId="1" applyFont="1" applyFill="1" applyBorder="1" applyAlignment="1" applyProtection="1">
      <alignment horizontal="center" vertical="center"/>
      <protection locked="0"/>
    </xf>
    <xf numFmtId="43" fontId="46" fillId="6" borderId="4" xfId="1" applyFont="1" applyFill="1" applyBorder="1" applyAlignment="1" applyProtection="1">
      <alignment horizontal="center" vertical="center"/>
      <protection locked="0"/>
    </xf>
    <xf numFmtId="168" fontId="12" fillId="6" borderId="0" xfId="0" applyNumberFormat="1" applyFont="1" applyFill="1" applyAlignment="1" applyProtection="1">
      <alignment vertical="center"/>
      <protection locked="0"/>
    </xf>
    <xf numFmtId="0" fontId="12" fillId="6" borderId="0" xfId="3" applyFont="1" applyFill="1" applyProtection="1">
      <protection locked="0"/>
    </xf>
    <xf numFmtId="0" fontId="12" fillId="6" borderId="0" xfId="3" applyFont="1" applyFill="1" applyAlignment="1" applyProtection="1">
      <alignment horizontal="right"/>
      <protection locked="0"/>
    </xf>
    <xf numFmtId="0" fontId="14" fillId="6" borderId="0" xfId="3" applyFont="1" applyFill="1" applyAlignment="1" applyProtection="1">
      <alignment horizontal="left"/>
      <protection locked="0"/>
    </xf>
    <xf numFmtId="0" fontId="14" fillId="6" borderId="0" xfId="3" applyFont="1" applyFill="1" applyAlignment="1" applyProtection="1">
      <alignment horizontal="right"/>
      <protection locked="0"/>
    </xf>
    <xf numFmtId="0" fontId="14" fillId="6" borderId="8" xfId="0" applyFont="1" applyFill="1" applyBorder="1" applyAlignment="1" applyProtection="1">
      <alignment horizontal="right" vertical="center"/>
      <protection locked="0"/>
    </xf>
    <xf numFmtId="0" fontId="12" fillId="6" borderId="0" xfId="0" applyFont="1" applyFill="1" applyProtection="1">
      <protection locked="0"/>
    </xf>
    <xf numFmtId="0" fontId="14" fillId="6" borderId="0" xfId="0" applyFont="1" applyFill="1" applyAlignment="1" applyProtection="1">
      <alignment horizontal="right" vertical="center"/>
      <protection locked="0"/>
    </xf>
    <xf numFmtId="0" fontId="12" fillId="6" borderId="0" xfId="0" applyFont="1" applyFill="1" applyAlignment="1" applyProtection="1">
      <alignment horizontal="right" vertical="center"/>
      <protection locked="0"/>
    </xf>
    <xf numFmtId="0" fontId="12" fillId="6" borderId="0" xfId="0" applyFont="1" applyFill="1" applyAlignment="1" applyProtection="1">
      <alignment vertical="center"/>
      <protection locked="0"/>
    </xf>
    <xf numFmtId="0" fontId="6" fillId="5" borderId="0" xfId="3" applyFont="1" applyFill="1" applyProtection="1">
      <protection locked="0"/>
    </xf>
    <xf numFmtId="9" fontId="19" fillId="6" borderId="0" xfId="2" applyFont="1" applyFill="1" applyBorder="1" applyProtection="1">
      <protection locked="0"/>
    </xf>
    <xf numFmtId="0" fontId="12" fillId="5" borderId="0" xfId="3" applyFont="1" applyFill="1" applyProtection="1">
      <protection locked="0"/>
    </xf>
    <xf numFmtId="9" fontId="19" fillId="5" borderId="0" xfId="2" applyFont="1" applyFill="1" applyBorder="1" applyProtection="1">
      <protection locked="0"/>
    </xf>
    <xf numFmtId="9" fontId="19" fillId="6" borderId="0" xfId="2" applyFont="1" applyFill="1" applyBorder="1" applyAlignment="1" applyProtection="1">
      <alignment vertical="center"/>
      <protection locked="0"/>
    </xf>
    <xf numFmtId="168" fontId="20" fillId="6" borderId="0" xfId="0" applyNumberFormat="1" applyFont="1" applyFill="1" applyAlignment="1" applyProtection="1">
      <alignment horizontal="right" vertical="center"/>
      <protection locked="0"/>
    </xf>
    <xf numFmtId="0" fontId="14" fillId="6" borderId="0" xfId="0" applyFont="1" applyFill="1" applyAlignment="1" applyProtection="1">
      <alignment vertical="center"/>
      <protection locked="0"/>
    </xf>
    <xf numFmtId="9" fontId="19" fillId="6" borderId="0" xfId="2" applyFont="1" applyFill="1" applyAlignment="1" applyProtection="1">
      <alignment vertical="center"/>
      <protection locked="0"/>
    </xf>
    <xf numFmtId="43" fontId="19" fillId="6" borderId="0" xfId="1" applyFont="1" applyFill="1" applyBorder="1" applyAlignment="1" applyProtection="1">
      <alignment vertical="center"/>
      <protection locked="0"/>
    </xf>
    <xf numFmtId="43" fontId="15" fillId="6" borderId="0" xfId="1" applyFont="1" applyFill="1" applyAlignment="1" applyProtection="1">
      <alignment vertical="center"/>
      <protection locked="0"/>
    </xf>
    <xf numFmtId="43" fontId="15" fillId="6" borderId="4" xfId="1" applyFont="1" applyFill="1" applyBorder="1" applyAlignment="1" applyProtection="1">
      <alignment vertical="center"/>
      <protection locked="0"/>
    </xf>
    <xf numFmtId="0" fontId="12" fillId="2" borderId="0" xfId="0" applyFont="1" applyFill="1" applyProtection="1">
      <protection locked="0"/>
    </xf>
    <xf numFmtId="0" fontId="6" fillId="5" borderId="0" xfId="3" quotePrefix="1" applyFont="1" applyFill="1" applyAlignment="1" applyProtection="1">
      <alignment vertical="center"/>
      <protection locked="0"/>
    </xf>
    <xf numFmtId="43" fontId="19" fillId="6" borderId="0" xfId="1" applyFont="1" applyFill="1" applyBorder="1" applyAlignment="1" applyProtection="1">
      <alignment horizontal="right" vertical="center"/>
      <protection locked="0"/>
    </xf>
    <xf numFmtId="9" fontId="19" fillId="6" borderId="0" xfId="2" applyFont="1" applyFill="1" applyBorder="1" applyAlignment="1" applyProtection="1">
      <alignment horizontal="right" vertical="center"/>
      <protection locked="0"/>
    </xf>
    <xf numFmtId="4" fontId="20" fillId="6" borderId="0" xfId="0" applyNumberFormat="1" applyFont="1" applyFill="1" applyAlignment="1" applyProtection="1">
      <alignment horizontal="right" vertical="center"/>
      <protection locked="0"/>
    </xf>
    <xf numFmtId="0" fontId="0" fillId="6" borderId="0" xfId="0" applyFill="1" applyProtection="1">
      <protection locked="0"/>
    </xf>
    <xf numFmtId="0" fontId="0" fillId="5" borderId="6" xfId="0" applyFill="1" applyBorder="1" applyAlignment="1" applyProtection="1">
      <alignment vertical="center"/>
      <protection locked="0"/>
    </xf>
    <xf numFmtId="0" fontId="13" fillId="6" borderId="0" xfId="0" applyFont="1" applyFill="1" applyProtection="1">
      <protection locked="0"/>
    </xf>
    <xf numFmtId="171" fontId="19" fillId="6" borderId="0" xfId="2" applyNumberFormat="1" applyFont="1" applyFill="1" applyBorder="1" applyAlignment="1" applyProtection="1">
      <alignment vertical="center"/>
      <protection locked="0"/>
    </xf>
    <xf numFmtId="171" fontId="15" fillId="6" borderId="0" xfId="2" applyNumberFormat="1" applyFont="1" applyFill="1" applyAlignment="1" applyProtection="1">
      <alignment vertical="center"/>
      <protection locked="0"/>
    </xf>
    <xf numFmtId="171" fontId="15" fillId="6" borderId="4" xfId="2" applyNumberFormat="1" applyFont="1" applyFill="1" applyBorder="1" applyAlignment="1" applyProtection="1">
      <alignment vertical="center"/>
      <protection locked="0"/>
    </xf>
    <xf numFmtId="171" fontId="15" fillId="6" borderId="0" xfId="2" applyNumberFormat="1" applyFont="1" applyFill="1" applyBorder="1" applyAlignment="1" applyProtection="1">
      <alignment vertical="center"/>
      <protection locked="0"/>
    </xf>
    <xf numFmtId="0" fontId="14" fillId="6" borderId="12" xfId="0" applyFont="1" applyFill="1" applyBorder="1" applyAlignment="1" applyProtection="1">
      <alignment horizontal="right" vertical="center"/>
      <protection locked="0"/>
    </xf>
    <xf numFmtId="0" fontId="12" fillId="6" borderId="4" xfId="3" applyFont="1" applyFill="1" applyBorder="1" applyProtection="1">
      <protection locked="0"/>
    </xf>
    <xf numFmtId="0" fontId="14" fillId="6" borderId="4" xfId="3" applyFont="1" applyFill="1" applyBorder="1" applyAlignment="1" applyProtection="1">
      <alignment horizontal="right"/>
      <protection locked="0"/>
    </xf>
    <xf numFmtId="0" fontId="14" fillId="6" borderId="22" xfId="0" applyFont="1" applyFill="1" applyBorder="1" applyAlignment="1" applyProtection="1">
      <alignment horizontal="right" vertical="center"/>
      <protection locked="0"/>
    </xf>
    <xf numFmtId="0" fontId="14" fillId="6" borderId="4" xfId="0" applyFont="1" applyFill="1" applyBorder="1" applyAlignment="1" applyProtection="1">
      <alignment horizontal="right" vertical="center"/>
      <protection locked="0"/>
    </xf>
    <xf numFmtId="0" fontId="14" fillId="6" borderId="21" xfId="0" applyFont="1" applyFill="1" applyBorder="1" applyAlignment="1" applyProtection="1">
      <alignment horizontal="right" vertical="center"/>
      <protection locked="0"/>
    </xf>
    <xf numFmtId="0" fontId="12" fillId="6" borderId="0" xfId="10" applyFont="1" applyFill="1" applyProtection="1">
      <protection locked="0"/>
    </xf>
    <xf numFmtId="0" fontId="12" fillId="6" borderId="0" xfId="10" applyFont="1" applyFill="1" applyAlignment="1" applyProtection="1">
      <alignment horizontal="right"/>
      <protection locked="0"/>
    </xf>
    <xf numFmtId="0" fontId="0" fillId="6" borderId="0" xfId="0" applyFill="1" applyAlignment="1" applyProtection="1">
      <alignment horizontal="right"/>
      <protection locked="0"/>
    </xf>
    <xf numFmtId="0" fontId="3" fillId="6" borderId="8" xfId="0" applyFont="1" applyFill="1" applyBorder="1" applyAlignment="1" applyProtection="1">
      <alignment horizontal="right" vertical="center"/>
      <protection locked="0"/>
    </xf>
    <xf numFmtId="172" fontId="12" fillId="6" borderId="0" xfId="4" applyFont="1" applyFill="1" applyBorder="1" applyAlignment="1" applyProtection="1">
      <alignment horizontal="right" vertical="center"/>
      <protection locked="0"/>
    </xf>
    <xf numFmtId="0" fontId="0" fillId="6" borderId="0" xfId="0" applyFill="1" applyAlignment="1" applyProtection="1">
      <alignment horizontal="left"/>
      <protection locked="0"/>
    </xf>
    <xf numFmtId="0" fontId="14" fillId="6" borderId="0" xfId="0" applyFont="1" applyFill="1" applyAlignment="1" applyProtection="1">
      <alignment horizontal="right"/>
      <protection locked="0"/>
    </xf>
    <xf numFmtId="1" fontId="19" fillId="6" borderId="0" xfId="6" applyNumberFormat="1" applyFont="1" applyFill="1" applyBorder="1" applyAlignment="1" applyProtection="1">
      <alignment vertical="center"/>
      <protection locked="0"/>
    </xf>
    <xf numFmtId="0" fontId="12" fillId="6" borderId="0" xfId="3" applyFont="1" applyFill="1" applyAlignment="1" applyProtection="1">
      <alignment vertical="center"/>
      <protection locked="0"/>
    </xf>
    <xf numFmtId="1" fontId="12" fillId="6" borderId="0" xfId="6" applyNumberFormat="1" applyFont="1" applyFill="1" applyBorder="1" applyAlignment="1" applyProtection="1">
      <alignment horizontal="right" vertical="center"/>
      <protection locked="0"/>
    </xf>
    <xf numFmtId="1" fontId="19" fillId="6" borderId="0" xfId="6" applyNumberFormat="1" applyFont="1" applyFill="1" applyBorder="1" applyAlignment="1" applyProtection="1">
      <alignment horizontal="right" vertical="center"/>
      <protection locked="0"/>
    </xf>
    <xf numFmtId="0" fontId="11" fillId="6" borderId="0" xfId="7" applyNumberFormat="1" applyFont="1" applyFill="1" applyBorder="1" applyProtection="1">
      <protection locked="0"/>
    </xf>
    <xf numFmtId="0" fontId="23" fillId="6" borderId="0" xfId="3" applyFont="1" applyFill="1" applyAlignment="1" applyProtection="1">
      <alignment vertical="center"/>
      <protection locked="0"/>
    </xf>
    <xf numFmtId="0" fontId="23" fillId="6" borderId="0" xfId="3" applyFont="1" applyFill="1" applyAlignment="1" applyProtection="1">
      <alignment horizontal="right" vertical="center"/>
      <protection locked="0"/>
    </xf>
    <xf numFmtId="0" fontId="20" fillId="6" borderId="0" xfId="3" applyFont="1" applyFill="1" applyAlignment="1" applyProtection="1">
      <alignment vertical="center"/>
      <protection locked="0"/>
    </xf>
    <xf numFmtId="1" fontId="20" fillId="6" borderId="0" xfId="6" applyNumberFormat="1" applyFont="1" applyFill="1" applyBorder="1" applyAlignment="1" applyProtection="1">
      <alignment vertical="center"/>
      <protection locked="0"/>
    </xf>
    <xf numFmtId="175" fontId="23" fillId="6" borderId="0" xfId="4" applyNumberFormat="1" applyFont="1" applyFill="1" applyBorder="1" applyAlignment="1" applyProtection="1">
      <alignment horizontal="right" vertical="center"/>
      <protection locked="0"/>
    </xf>
    <xf numFmtId="11" fontId="19" fillId="6" borderId="0" xfId="4" applyNumberFormat="1" applyFont="1" applyFill="1" applyBorder="1" applyAlignment="1" applyProtection="1">
      <alignment vertical="center"/>
      <protection locked="0"/>
    </xf>
    <xf numFmtId="0" fontId="0" fillId="6" borderId="0" xfId="3" applyFont="1" applyFill="1" applyAlignment="1" applyProtection="1">
      <alignment vertical="center"/>
      <protection locked="0"/>
    </xf>
    <xf numFmtId="1" fontId="20" fillId="6" borderId="0" xfId="6" applyNumberFormat="1" applyFont="1" applyFill="1" applyBorder="1" applyAlignment="1" applyProtection="1">
      <alignment horizontal="right" vertical="center"/>
      <protection locked="0"/>
    </xf>
    <xf numFmtId="0" fontId="14" fillId="6" borderId="0" xfId="3" applyFont="1" applyFill="1" applyProtection="1">
      <protection locked="0"/>
    </xf>
    <xf numFmtId="175" fontId="0" fillId="6" borderId="0" xfId="4" applyNumberFormat="1" applyFont="1" applyFill="1" applyBorder="1" applyAlignment="1" applyProtection="1">
      <alignment horizontal="right" vertical="center"/>
      <protection locked="0"/>
    </xf>
    <xf numFmtId="0" fontId="23" fillId="6" borderId="0" xfId="3" applyFont="1" applyFill="1" applyProtection="1">
      <protection locked="0"/>
    </xf>
    <xf numFmtId="0" fontId="20" fillId="6" borderId="0" xfId="3" applyFont="1" applyFill="1" applyProtection="1">
      <protection locked="0"/>
    </xf>
    <xf numFmtId="0" fontId="23" fillId="6" borderId="0" xfId="3" applyFont="1" applyFill="1" applyAlignment="1" applyProtection="1">
      <alignment horizontal="left"/>
      <protection locked="0"/>
    </xf>
    <xf numFmtId="0" fontId="20" fillId="6" borderId="0" xfId="3" applyFont="1" applyFill="1" applyAlignment="1" applyProtection="1">
      <alignment horizontal="right"/>
      <protection locked="0"/>
    </xf>
    <xf numFmtId="175" fontId="20" fillId="6" borderId="0" xfId="4" applyNumberFormat="1" applyFont="1" applyFill="1" applyBorder="1" applyAlignment="1" applyProtection="1">
      <alignment horizontal="right" vertical="center"/>
      <protection locked="0"/>
    </xf>
    <xf numFmtId="175" fontId="23" fillId="6" borderId="4" xfId="4" applyNumberFormat="1" applyFont="1" applyFill="1" applyBorder="1" applyAlignment="1" applyProtection="1">
      <alignment horizontal="right" vertical="center"/>
      <protection locked="0"/>
    </xf>
    <xf numFmtId="178" fontId="19" fillId="6" borderId="0" xfId="4" applyNumberFormat="1" applyFont="1" applyFill="1" applyBorder="1" applyAlignment="1" applyProtection="1">
      <alignment vertical="center"/>
      <protection locked="0"/>
    </xf>
    <xf numFmtId="11" fontId="20" fillId="6" borderId="0" xfId="4" applyNumberFormat="1" applyFont="1" applyFill="1" applyBorder="1" applyAlignment="1" applyProtection="1">
      <alignment vertical="center"/>
      <protection locked="0"/>
    </xf>
    <xf numFmtId="176" fontId="20" fillId="6" borderId="0" xfId="6" applyFont="1" applyFill="1" applyBorder="1" applyAlignment="1" applyProtection="1">
      <alignment horizontal="right" vertical="center"/>
      <protection locked="0"/>
    </xf>
    <xf numFmtId="171" fontId="20" fillId="6" borderId="0" xfId="6" applyNumberFormat="1" applyFont="1" applyFill="1" applyBorder="1" applyAlignment="1" applyProtection="1">
      <alignment vertical="center"/>
      <protection locked="0"/>
    </xf>
    <xf numFmtId="172" fontId="23" fillId="6" borderId="0" xfId="4" applyFont="1" applyFill="1" applyBorder="1" applyAlignment="1" applyProtection="1">
      <alignment horizontal="right" vertical="center"/>
      <protection locked="0"/>
    </xf>
    <xf numFmtId="176" fontId="19" fillId="6" borderId="4" xfId="6" applyFont="1" applyFill="1" applyBorder="1" applyAlignment="1" applyProtection="1">
      <alignment vertical="center"/>
      <protection locked="0"/>
    </xf>
    <xf numFmtId="176" fontId="19" fillId="6" borderId="0" xfId="6" applyFont="1" applyFill="1" applyBorder="1" applyAlignment="1" applyProtection="1">
      <alignment vertical="center"/>
      <protection locked="0"/>
    </xf>
    <xf numFmtId="176" fontId="15" fillId="6" borderId="4" xfId="6" applyFont="1" applyFill="1" applyBorder="1" applyAlignment="1" applyProtection="1">
      <alignment vertical="center"/>
      <protection locked="0"/>
    </xf>
    <xf numFmtId="178" fontId="20" fillId="6" borderId="0" xfId="4" applyNumberFormat="1" applyFont="1" applyFill="1" applyBorder="1" applyAlignment="1" applyProtection="1">
      <alignment vertical="center"/>
      <protection locked="0"/>
    </xf>
    <xf numFmtId="176" fontId="14" fillId="6" borderId="0" xfId="6" applyFont="1" applyFill="1" applyBorder="1" applyAlignment="1" applyProtection="1">
      <alignment horizontal="right" vertical="center"/>
      <protection locked="0"/>
    </xf>
    <xf numFmtId="178" fontId="15" fillId="6" borderId="11" xfId="4" applyNumberFormat="1" applyFont="1" applyFill="1" applyBorder="1" applyAlignment="1" applyProtection="1">
      <alignment vertical="center"/>
      <protection locked="0"/>
    </xf>
    <xf numFmtId="178" fontId="15" fillId="6" borderId="0" xfId="4" applyNumberFormat="1" applyFont="1" applyFill="1" applyBorder="1" applyAlignment="1" applyProtection="1">
      <alignment vertical="center"/>
      <protection locked="0"/>
    </xf>
    <xf numFmtId="176" fontId="20" fillId="6" borderId="0" xfId="6" applyFont="1" applyFill="1" applyBorder="1" applyAlignment="1" applyProtection="1">
      <alignment vertical="center"/>
      <protection locked="0"/>
    </xf>
    <xf numFmtId="176" fontId="20" fillId="6" borderId="19" xfId="6" applyFont="1" applyFill="1" applyBorder="1" applyAlignment="1" applyProtection="1">
      <alignment vertical="center"/>
      <protection locked="0"/>
    </xf>
    <xf numFmtId="173" fontId="20" fillId="6" borderId="0" xfId="4" applyNumberFormat="1" applyFont="1" applyFill="1" applyBorder="1" applyAlignment="1" applyProtection="1">
      <alignment vertical="center"/>
      <protection locked="0"/>
    </xf>
    <xf numFmtId="173" fontId="19" fillId="6" borderId="0" xfId="4" applyNumberFormat="1" applyFont="1" applyFill="1" applyBorder="1" applyAlignment="1" applyProtection="1">
      <alignment vertical="center"/>
      <protection locked="0"/>
    </xf>
    <xf numFmtId="176" fontId="15" fillId="6" borderId="11" xfId="6" applyFont="1" applyFill="1" applyBorder="1" applyAlignment="1" applyProtection="1">
      <alignment vertical="center"/>
      <protection locked="0"/>
    </xf>
    <xf numFmtId="176" fontId="15" fillId="6" borderId="0" xfId="6" applyFont="1" applyFill="1" applyBorder="1" applyAlignment="1" applyProtection="1">
      <alignment vertical="center"/>
      <protection locked="0"/>
    </xf>
    <xf numFmtId="0" fontId="15" fillId="6" borderId="0" xfId="3" applyFont="1" applyFill="1" applyProtection="1">
      <protection locked="0"/>
    </xf>
    <xf numFmtId="176" fontId="46" fillId="6" borderId="0" xfId="6" applyFont="1" applyFill="1" applyBorder="1" applyAlignment="1" applyProtection="1">
      <alignment horizontal="right" vertical="center"/>
      <protection locked="0"/>
    </xf>
    <xf numFmtId="173" fontId="23" fillId="6" borderId="0" xfId="4" applyNumberFormat="1" applyFont="1" applyFill="1" applyBorder="1" applyAlignment="1" applyProtection="1">
      <alignment horizontal="right" vertical="center"/>
      <protection locked="0"/>
    </xf>
    <xf numFmtId="0" fontId="23" fillId="6" borderId="8" xfId="3" applyFont="1" applyFill="1" applyBorder="1" applyAlignment="1" applyProtection="1">
      <alignment horizontal="right" vertical="center"/>
      <protection locked="0"/>
    </xf>
    <xf numFmtId="0" fontId="14" fillId="6" borderId="8" xfId="3" applyFont="1" applyFill="1" applyBorder="1" applyAlignment="1" applyProtection="1">
      <alignment horizontal="right" vertical="center"/>
      <protection locked="0"/>
    </xf>
    <xf numFmtId="176" fontId="12" fillId="6" borderId="0" xfId="6" applyFont="1" applyFill="1" applyBorder="1" applyAlignment="1" applyProtection="1">
      <alignment vertical="center"/>
      <protection locked="0"/>
    </xf>
    <xf numFmtId="0" fontId="3" fillId="6" borderId="0" xfId="3" applyFont="1" applyFill="1" applyProtection="1">
      <protection locked="0"/>
    </xf>
    <xf numFmtId="173" fontId="10" fillId="6" borderId="0" xfId="4" applyNumberFormat="1" applyFont="1" applyFill="1" applyBorder="1" applyAlignment="1" applyProtection="1">
      <alignment vertical="center"/>
      <protection locked="0"/>
    </xf>
    <xf numFmtId="173" fontId="16" fillId="6" borderId="0" xfId="4" applyNumberFormat="1" applyFont="1" applyFill="1" applyBorder="1" applyAlignment="1" applyProtection="1">
      <alignment horizontal="right" vertical="center"/>
      <protection locked="0"/>
    </xf>
    <xf numFmtId="0" fontId="16" fillId="6" borderId="12" xfId="3" applyFont="1" applyFill="1" applyBorder="1" applyAlignment="1" applyProtection="1">
      <alignment horizontal="right" vertical="center"/>
      <protection locked="0"/>
    </xf>
    <xf numFmtId="0" fontId="3" fillId="6" borderId="12" xfId="3" applyFont="1" applyFill="1" applyBorder="1" applyAlignment="1" applyProtection="1">
      <alignment horizontal="right" vertical="center"/>
      <protection locked="0"/>
    </xf>
    <xf numFmtId="2" fontId="15" fillId="6" borderId="0" xfId="6" applyNumberFormat="1" applyFont="1" applyFill="1" applyBorder="1" applyAlignment="1" applyProtection="1">
      <alignment horizontal="right" vertical="center"/>
      <protection locked="0"/>
    </xf>
    <xf numFmtId="175" fontId="3" fillId="6" borderId="0" xfId="4" applyNumberFormat="1" applyFont="1" applyFill="1" applyBorder="1" applyAlignment="1" applyProtection="1">
      <alignment horizontal="right" vertical="center"/>
      <protection locked="0"/>
    </xf>
    <xf numFmtId="0" fontId="16" fillId="6" borderId="8" xfId="3" applyFont="1" applyFill="1" applyBorder="1" applyAlignment="1" applyProtection="1">
      <alignment horizontal="right" vertical="center"/>
      <protection locked="0"/>
    </xf>
    <xf numFmtId="0" fontId="3" fillId="6" borderId="8" xfId="3" applyFont="1" applyFill="1" applyBorder="1" applyAlignment="1" applyProtection="1">
      <alignment horizontal="right" vertical="center"/>
      <protection locked="0"/>
    </xf>
    <xf numFmtId="0" fontId="15" fillId="6" borderId="0" xfId="3" applyFont="1" applyFill="1" applyAlignment="1" applyProtection="1">
      <alignment vertical="center"/>
      <protection locked="0"/>
    </xf>
    <xf numFmtId="176" fontId="15" fillId="6" borderId="0" xfId="6" applyFont="1" applyFill="1" applyBorder="1" applyAlignment="1" applyProtection="1">
      <alignment horizontal="right" vertical="center"/>
      <protection locked="0"/>
    </xf>
    <xf numFmtId="172" fontId="15" fillId="6" borderId="0" xfId="4" applyFont="1" applyFill="1" applyBorder="1" applyAlignment="1" applyProtection="1">
      <alignment vertical="center"/>
      <protection locked="0"/>
    </xf>
    <xf numFmtId="1" fontId="19" fillId="6" borderId="0" xfId="4" applyNumberFormat="1" applyFont="1" applyFill="1" applyBorder="1" applyAlignment="1" applyProtection="1">
      <alignment vertical="center"/>
      <protection locked="0"/>
    </xf>
    <xf numFmtId="1" fontId="19" fillId="6" borderId="0" xfId="4" applyNumberFormat="1" applyFont="1" applyFill="1" applyBorder="1" applyProtection="1">
      <protection locked="0"/>
    </xf>
    <xf numFmtId="1" fontId="19" fillId="6" borderId="0" xfId="4" applyNumberFormat="1" applyFont="1" applyFill="1" applyBorder="1" applyAlignment="1" applyProtection="1">
      <alignment horizontal="right" vertical="center"/>
      <protection locked="0"/>
    </xf>
    <xf numFmtId="0" fontId="0" fillId="6" borderId="0" xfId="0" applyFill="1" applyAlignment="1" applyProtection="1">
      <alignment vertical="center"/>
      <protection locked="0"/>
    </xf>
    <xf numFmtId="1" fontId="53" fillId="6" borderId="0" xfId="4" applyNumberFormat="1" applyFont="1" applyFill="1" applyBorder="1" applyAlignment="1" applyProtection="1">
      <alignment vertical="center"/>
      <protection locked="0"/>
    </xf>
    <xf numFmtId="0" fontId="0" fillId="6" borderId="4" xfId="0" applyFill="1" applyBorder="1" applyAlignment="1" applyProtection="1">
      <alignment vertical="center"/>
      <protection locked="0"/>
    </xf>
    <xf numFmtId="1" fontId="53" fillId="6" borderId="0" xfId="4" applyNumberFormat="1" applyFont="1" applyFill="1" applyBorder="1" applyAlignment="1" applyProtection="1">
      <alignment horizontal="right" vertical="center"/>
      <protection locked="0"/>
    </xf>
    <xf numFmtId="0" fontId="6" fillId="6" borderId="0" xfId="3" applyFont="1" applyFill="1" applyProtection="1">
      <protection locked="0"/>
    </xf>
    <xf numFmtId="0" fontId="6" fillId="7" borderId="0" xfId="3" applyFont="1" applyFill="1" applyProtection="1">
      <protection locked="0"/>
    </xf>
    <xf numFmtId="2" fontId="15" fillId="6" borderId="4" xfId="6" applyNumberFormat="1" applyFont="1" applyFill="1" applyBorder="1" applyAlignment="1" applyProtection="1">
      <alignment horizontal="right" vertical="center"/>
      <protection locked="0"/>
    </xf>
    <xf numFmtId="0" fontId="3" fillId="7" borderId="0" xfId="3" quotePrefix="1" applyFont="1" applyFill="1" applyAlignment="1" applyProtection="1">
      <alignment vertical="center"/>
      <protection locked="0"/>
    </xf>
    <xf numFmtId="168" fontId="12" fillId="6" borderId="0" xfId="0" applyNumberFormat="1" applyFont="1" applyFill="1" applyAlignment="1" applyProtection="1">
      <alignment horizontal="right" vertical="center"/>
      <protection locked="0"/>
    </xf>
    <xf numFmtId="173" fontId="12" fillId="6" borderId="0" xfId="4" applyNumberFormat="1" applyFont="1" applyFill="1" applyBorder="1" applyAlignment="1" applyProtection="1">
      <alignment horizontal="right"/>
      <protection locked="0"/>
    </xf>
    <xf numFmtId="0" fontId="14" fillId="6" borderId="8" xfId="5" applyFont="1" applyFill="1" applyBorder="1" applyAlignment="1" applyProtection="1">
      <alignment horizontal="right" vertical="center"/>
      <protection locked="0"/>
    </xf>
    <xf numFmtId="0" fontId="6" fillId="5" borderId="0" xfId="5" applyFont="1" applyFill="1" applyProtection="1">
      <protection locked="0"/>
    </xf>
    <xf numFmtId="0" fontId="0" fillId="6" borderId="0" xfId="5" applyFont="1" applyFill="1" applyProtection="1">
      <protection locked="0"/>
    </xf>
    <xf numFmtId="0" fontId="14" fillId="6" borderId="0" xfId="5" applyFont="1" applyFill="1" applyAlignment="1" applyProtection="1">
      <alignment horizontal="right"/>
      <protection locked="0"/>
    </xf>
    <xf numFmtId="0" fontId="0" fillId="6" borderId="0" xfId="5" applyFont="1" applyFill="1" applyAlignment="1" applyProtection="1">
      <alignment vertical="center"/>
      <protection locked="0"/>
    </xf>
    <xf numFmtId="173" fontId="48" fillId="6" borderId="0" xfId="4" applyNumberFormat="1" applyFont="1" applyFill="1" applyBorder="1" applyAlignment="1" applyProtection="1">
      <alignment horizontal="right" vertical="center"/>
      <protection locked="0"/>
    </xf>
    <xf numFmtId="0" fontId="14" fillId="6" borderId="12" xfId="3" applyFont="1" applyFill="1" applyBorder="1" applyAlignment="1" applyProtection="1">
      <alignment horizontal="right" vertical="center"/>
      <protection locked="0"/>
    </xf>
    <xf numFmtId="176" fontId="48" fillId="6" borderId="0" xfId="6" applyFont="1" applyFill="1" applyBorder="1" applyAlignment="1" applyProtection="1">
      <alignment vertical="center"/>
      <protection locked="0"/>
    </xf>
    <xf numFmtId="1" fontId="20" fillId="6" borderId="0" xfId="4" applyNumberFormat="1" applyFont="1" applyFill="1" applyBorder="1" applyAlignment="1" applyProtection="1">
      <alignment vertical="center"/>
      <protection locked="0"/>
    </xf>
    <xf numFmtId="0" fontId="14" fillId="6" borderId="0" xfId="3" applyFont="1" applyFill="1" applyAlignment="1" applyProtection="1">
      <alignment vertical="center"/>
      <protection locked="0"/>
    </xf>
    <xf numFmtId="9" fontId="23" fillId="6" borderId="0" xfId="3" applyNumberFormat="1" applyFont="1" applyFill="1" applyAlignment="1" applyProtection="1">
      <alignment vertical="center"/>
      <protection locked="0"/>
    </xf>
    <xf numFmtId="1" fontId="23" fillId="6" borderId="0" xfId="4" applyNumberFormat="1" applyFont="1" applyFill="1" applyBorder="1" applyAlignment="1" applyProtection="1">
      <alignment vertical="center"/>
      <protection locked="0"/>
    </xf>
    <xf numFmtId="1" fontId="23" fillId="6" borderId="0" xfId="4" applyNumberFormat="1" applyFont="1" applyFill="1" applyBorder="1" applyAlignment="1" applyProtection="1">
      <alignment horizontal="right" vertical="center"/>
      <protection locked="0"/>
    </xf>
    <xf numFmtId="0" fontId="6" fillId="6" borderId="0" xfId="5" applyFont="1" applyFill="1" applyProtection="1">
      <protection locked="0"/>
    </xf>
    <xf numFmtId="2" fontId="14" fillId="6" borderId="9" xfId="6" applyNumberFormat="1" applyFont="1" applyFill="1" applyBorder="1" applyAlignment="1" applyProtection="1">
      <alignment horizontal="center" vertical="center"/>
      <protection locked="0"/>
    </xf>
    <xf numFmtId="9" fontId="12" fillId="6" borderId="0" xfId="3" applyNumberFormat="1" applyFont="1" applyFill="1" applyAlignment="1" applyProtection="1">
      <alignment vertical="center"/>
      <protection locked="0"/>
    </xf>
    <xf numFmtId="1" fontId="48" fillId="6" borderId="0" xfId="4" applyNumberFormat="1" applyFont="1" applyFill="1" applyBorder="1" applyAlignment="1" applyProtection="1">
      <alignment vertical="center"/>
      <protection locked="0"/>
    </xf>
    <xf numFmtId="2" fontId="19" fillId="6" borderId="0" xfId="6" applyNumberFormat="1" applyFont="1" applyFill="1" applyBorder="1" applyAlignment="1" applyProtection="1">
      <alignment horizontal="center" vertical="center"/>
      <protection locked="0"/>
    </xf>
    <xf numFmtId="0" fontId="14" fillId="6" borderId="0" xfId="3" applyFont="1" applyFill="1" applyAlignment="1" applyProtection="1">
      <alignment horizontal="right" vertical="center"/>
      <protection locked="0"/>
    </xf>
    <xf numFmtId="2" fontId="15" fillId="6" borderId="11" xfId="6" applyNumberFormat="1" applyFont="1" applyFill="1" applyBorder="1" applyAlignment="1" applyProtection="1">
      <alignment horizontal="right" vertical="center"/>
      <protection locked="0"/>
    </xf>
    <xf numFmtId="178" fontId="15" fillId="6" borderId="0" xfId="4" applyNumberFormat="1" applyFont="1" applyFill="1" applyBorder="1" applyAlignment="1" applyProtection="1">
      <alignment horizontal="right" vertical="center"/>
      <protection locked="0"/>
    </xf>
    <xf numFmtId="178" fontId="15" fillId="6" borderId="4" xfId="4" applyNumberFormat="1" applyFont="1" applyFill="1" applyBorder="1" applyAlignment="1" applyProtection="1">
      <alignment horizontal="right" vertical="center"/>
      <protection locked="0"/>
    </xf>
    <xf numFmtId="0" fontId="30" fillId="6" borderId="8" xfId="0" applyFont="1" applyFill="1" applyBorder="1" applyAlignment="1" applyProtection="1">
      <alignment horizontal="right" vertical="center"/>
      <protection locked="0"/>
    </xf>
    <xf numFmtId="0" fontId="1" fillId="6" borderId="0" xfId="5" applyFill="1" applyProtection="1">
      <protection locked="0"/>
    </xf>
    <xf numFmtId="0" fontId="1" fillId="6" borderId="0" xfId="5" applyFill="1" applyAlignment="1" applyProtection="1">
      <alignment horizontal="right"/>
      <protection locked="0"/>
    </xf>
    <xf numFmtId="0" fontId="28" fillId="5" borderId="0" xfId="0" applyFont="1" applyFill="1" applyProtection="1">
      <protection locked="0"/>
    </xf>
    <xf numFmtId="0" fontId="26" fillId="6" borderId="0" xfId="0" applyFont="1" applyFill="1" applyAlignment="1" applyProtection="1">
      <alignment horizontal="right"/>
      <protection locked="0"/>
    </xf>
    <xf numFmtId="0" fontId="5" fillId="6" borderId="0" xfId="3" applyFill="1" applyAlignment="1" applyProtection="1">
      <alignment vertical="center"/>
      <protection locked="0"/>
    </xf>
    <xf numFmtId="49" fontId="34" fillId="6" borderId="20" xfId="0" applyNumberFormat="1" applyFont="1" applyFill="1" applyBorder="1" applyAlignment="1" applyProtection="1">
      <alignment horizontal="right" vertical="center"/>
      <protection locked="0"/>
    </xf>
    <xf numFmtId="0" fontId="26" fillId="6" borderId="0" xfId="3" applyFont="1" applyFill="1" applyAlignment="1" applyProtection="1">
      <alignment vertical="center"/>
      <protection locked="0"/>
    </xf>
    <xf numFmtId="176" fontId="26" fillId="6" borderId="0" xfId="6" applyFont="1" applyFill="1" applyBorder="1" applyAlignment="1" applyProtection="1">
      <alignment horizontal="right" vertical="center"/>
      <protection locked="0"/>
    </xf>
    <xf numFmtId="175" fontId="1" fillId="6" borderId="0" xfId="4" applyNumberFormat="1" applyFont="1" applyFill="1" applyBorder="1" applyAlignment="1" applyProtection="1">
      <alignment horizontal="right" vertical="center"/>
      <protection locked="0"/>
    </xf>
    <xf numFmtId="9" fontId="5" fillId="6" borderId="0" xfId="3" applyNumberFormat="1" applyFill="1" applyAlignment="1" applyProtection="1">
      <alignment vertical="center"/>
      <protection locked="0"/>
    </xf>
    <xf numFmtId="2" fontId="5" fillId="6" borderId="0" xfId="6" applyNumberFormat="1" applyFont="1" applyFill="1" applyBorder="1" applyAlignment="1" applyProtection="1">
      <alignment horizontal="right" vertical="center"/>
      <protection locked="0"/>
    </xf>
    <xf numFmtId="0" fontId="26" fillId="6" borderId="0" xfId="0" applyFont="1" applyFill="1" applyAlignment="1" applyProtection="1">
      <alignment horizontal="center"/>
      <protection locked="0"/>
    </xf>
    <xf numFmtId="173" fontId="35" fillId="6" borderId="11" xfId="4" applyNumberFormat="1" applyFont="1" applyFill="1" applyBorder="1" applyProtection="1">
      <protection locked="0"/>
    </xf>
    <xf numFmtId="173" fontId="35" fillId="6" borderId="0" xfId="4" applyNumberFormat="1" applyFont="1" applyFill="1" applyBorder="1" applyProtection="1">
      <protection locked="0"/>
    </xf>
    <xf numFmtId="173" fontId="35" fillId="6" borderId="4" xfId="4" applyNumberFormat="1" applyFont="1" applyFill="1" applyBorder="1" applyProtection="1">
      <protection locked="0"/>
    </xf>
    <xf numFmtId="0" fontId="30" fillId="12" borderId="8" xfId="0" applyFont="1" applyFill="1" applyBorder="1" applyAlignment="1" applyProtection="1">
      <alignment horizontal="right" vertical="center"/>
      <protection locked="0"/>
    </xf>
    <xf numFmtId="0" fontId="1" fillId="5" borderId="0" xfId="5" applyFill="1" applyProtection="1">
      <protection locked="0"/>
    </xf>
    <xf numFmtId="0" fontId="1" fillId="5" borderId="0" xfId="5" applyFill="1" applyAlignment="1" applyProtection="1">
      <alignment horizontal="right"/>
      <protection locked="0"/>
    </xf>
    <xf numFmtId="0" fontId="0" fillId="12" borderId="0" xfId="0" applyFill="1" applyProtection="1">
      <protection locked="0"/>
    </xf>
    <xf numFmtId="0" fontId="26" fillId="12" borderId="0" xfId="0" applyFont="1" applyFill="1" applyAlignment="1" applyProtection="1">
      <alignment horizontal="right"/>
      <protection locked="0"/>
    </xf>
    <xf numFmtId="0" fontId="34" fillId="6" borderId="8" xfId="0" applyFont="1" applyFill="1" applyBorder="1" applyAlignment="1" applyProtection="1">
      <alignment horizontal="right" vertical="center"/>
      <protection locked="0"/>
    </xf>
    <xf numFmtId="0" fontId="69" fillId="6" borderId="21" xfId="0" applyFont="1" applyFill="1" applyBorder="1" applyAlignment="1">
      <alignment horizontal="left" vertical="center"/>
    </xf>
    <xf numFmtId="0" fontId="2" fillId="0" borderId="0" xfId="0" applyFont="1"/>
    <xf numFmtId="0" fontId="12" fillId="6" borderId="11" xfId="0" applyFont="1" applyFill="1" applyBorder="1" applyProtection="1">
      <protection hidden="1"/>
    </xf>
    <xf numFmtId="0" fontId="12" fillId="6" borderId="4" xfId="0" applyFont="1" applyFill="1" applyBorder="1" applyProtection="1">
      <protection hidden="1"/>
    </xf>
    <xf numFmtId="0" fontId="27" fillId="6" borderId="0" xfId="0" applyFont="1" applyFill="1" applyAlignment="1" applyProtection="1">
      <alignment vertical="center"/>
      <protection hidden="1"/>
    </xf>
    <xf numFmtId="0" fontId="21" fillId="5" borderId="0" xfId="3" applyFont="1" applyFill="1" applyAlignment="1" applyProtection="1">
      <alignment horizontal="left" vertical="center" indent="1"/>
      <protection hidden="1"/>
    </xf>
    <xf numFmtId="0" fontId="0" fillId="5" borderId="0" xfId="0" applyFill="1" applyAlignment="1" applyProtection="1">
      <alignment vertical="center"/>
      <protection hidden="1"/>
    </xf>
    <xf numFmtId="0" fontId="12" fillId="6" borderId="19" xfId="0" applyFont="1" applyFill="1" applyBorder="1" applyProtection="1">
      <protection hidden="1"/>
    </xf>
    <xf numFmtId="0" fontId="3" fillId="7" borderId="0" xfId="0" applyFont="1" applyFill="1" applyProtection="1">
      <protection hidden="1"/>
    </xf>
    <xf numFmtId="0" fontId="46" fillId="6" borderId="0" xfId="3" applyFont="1" applyFill="1" applyAlignment="1" applyProtection="1">
      <alignment vertical="center"/>
      <protection hidden="1"/>
    </xf>
    <xf numFmtId="0" fontId="14" fillId="6" borderId="0" xfId="0" applyFont="1" applyFill="1" applyAlignment="1" applyProtection="1">
      <alignment vertical="center"/>
      <protection hidden="1"/>
    </xf>
    <xf numFmtId="0" fontId="12" fillId="6" borderId="0" xfId="0" applyFont="1" applyFill="1" applyProtection="1">
      <protection hidden="1"/>
    </xf>
    <xf numFmtId="0" fontId="0" fillId="6" borderId="11" xfId="0" applyFill="1" applyBorder="1" applyAlignment="1">
      <alignment horizontal="center"/>
    </xf>
    <xf numFmtId="0" fontId="0" fillId="6" borderId="4" xfId="0" applyFill="1" applyBorder="1" applyAlignment="1">
      <alignment horizontal="center"/>
    </xf>
    <xf numFmtId="1" fontId="19" fillId="6" borderId="0" xfId="4" applyNumberFormat="1" applyFont="1" applyFill="1" applyAlignment="1">
      <alignment vertical="center"/>
    </xf>
    <xf numFmtId="9" fontId="19" fillId="6" borderId="0" xfId="2" applyFont="1" applyFill="1" applyAlignment="1">
      <alignment vertical="center"/>
    </xf>
    <xf numFmtId="0" fontId="14" fillId="6" borderId="21" xfId="0" applyFont="1" applyFill="1" applyBorder="1" applyAlignment="1">
      <alignment horizontal="right" vertical="center"/>
    </xf>
    <xf numFmtId="0" fontId="80" fillId="2" borderId="0" xfId="7" applyNumberFormat="1" applyFont="1" applyFill="1"/>
    <xf numFmtId="4" fontId="20" fillId="6" borderId="0" xfId="0" applyNumberFormat="1" applyFont="1" applyFill="1" applyAlignment="1">
      <alignment horizontal="left" vertical="center"/>
    </xf>
    <xf numFmtId="4" fontId="20" fillId="6" borderId="4" xfId="0" applyNumberFormat="1" applyFont="1" applyFill="1" applyBorder="1" applyAlignment="1">
      <alignment horizontal="left" vertical="center"/>
    </xf>
    <xf numFmtId="0" fontId="20" fillId="6" borderId="0" xfId="0" applyFont="1" applyFill="1" applyAlignment="1">
      <alignment horizontal="left" vertical="center"/>
    </xf>
    <xf numFmtId="0" fontId="23" fillId="6" borderId="0" xfId="3" applyFont="1" applyFill="1" applyAlignment="1">
      <alignment horizontal="left" vertical="center"/>
    </xf>
    <xf numFmtId="0" fontId="0" fillId="5" borderId="0" xfId="0" applyFill="1" applyAlignment="1" applyProtection="1">
      <alignment vertical="center"/>
      <protection locked="0"/>
    </xf>
    <xf numFmtId="0" fontId="25" fillId="5" borderId="0" xfId="0" applyFont="1" applyFill="1" applyAlignment="1">
      <alignment horizontal="left" vertical="center" indent="1"/>
    </xf>
    <xf numFmtId="0" fontId="25" fillId="6" borderId="0" xfId="0" applyFont="1" applyFill="1" applyAlignment="1">
      <alignment horizontal="left" vertical="center" indent="1"/>
    </xf>
    <xf numFmtId="0" fontId="14" fillId="6" borderId="22" xfId="0" applyFont="1" applyFill="1" applyBorder="1" applyAlignment="1">
      <alignment vertical="center"/>
    </xf>
    <xf numFmtId="0" fontId="14" fillId="6" borderId="4" xfId="0" applyFont="1" applyFill="1" applyBorder="1" applyAlignment="1">
      <alignment vertical="center"/>
    </xf>
    <xf numFmtId="0" fontId="14" fillId="6" borderId="21" xfId="0" applyFont="1" applyFill="1" applyBorder="1" applyAlignment="1">
      <alignment vertical="center"/>
    </xf>
    <xf numFmtId="0" fontId="3" fillId="6" borderId="4" xfId="0" applyFont="1" applyFill="1" applyBorder="1" applyAlignment="1">
      <alignment vertical="center"/>
    </xf>
    <xf numFmtId="0" fontId="2" fillId="2" borderId="0" xfId="7" applyNumberFormat="1" applyFont="1" applyFill="1" applyBorder="1"/>
    <xf numFmtId="0" fontId="95" fillId="2" borderId="0" xfId="7" applyNumberFormat="1" applyFont="1" applyFill="1" applyBorder="1"/>
    <xf numFmtId="2" fontId="19" fillId="6" borderId="0" xfId="6" applyNumberFormat="1" applyFont="1" applyFill="1" applyBorder="1" applyAlignment="1">
      <alignment horizontal="center" vertical="center"/>
    </xf>
    <xf numFmtId="9" fontId="14" fillId="6" borderId="0" xfId="3" applyNumberFormat="1" applyFont="1" applyFill="1" applyAlignment="1">
      <alignment horizontal="right" vertical="center"/>
    </xf>
    <xf numFmtId="1" fontId="20" fillId="6" borderId="0" xfId="4" applyNumberFormat="1" applyFont="1" applyFill="1" applyBorder="1" applyAlignment="1">
      <alignment vertical="center"/>
    </xf>
    <xf numFmtId="0" fontId="14" fillId="6" borderId="0" xfId="0" applyFont="1" applyFill="1" applyAlignment="1">
      <alignment horizontal="left" vertical="center"/>
    </xf>
    <xf numFmtId="0" fontId="69" fillId="6" borderId="21" xfId="0" applyFont="1" applyFill="1" applyBorder="1" applyAlignment="1">
      <alignment horizontal="center" vertical="center"/>
    </xf>
    <xf numFmtId="0" fontId="0" fillId="11" borderId="11" xfId="0" applyFill="1" applyBorder="1"/>
    <xf numFmtId="0" fontId="0" fillId="11" borderId="4" xfId="0" applyFill="1" applyBorder="1"/>
    <xf numFmtId="166" fontId="10" fillId="11" borderId="11" xfId="1" applyNumberFormat="1" applyFont="1" applyFill="1" applyBorder="1" applyAlignment="1">
      <alignment horizontal="right"/>
    </xf>
    <xf numFmtId="166" fontId="10" fillId="11" borderId="0" xfId="1" applyNumberFormat="1" applyFont="1" applyFill="1" applyBorder="1" applyAlignment="1">
      <alignment horizontal="right"/>
    </xf>
    <xf numFmtId="166" fontId="10" fillId="11" borderId="4" xfId="1" applyNumberFormat="1" applyFont="1" applyFill="1" applyBorder="1" applyAlignment="1">
      <alignment horizontal="right"/>
    </xf>
    <xf numFmtId="166" fontId="20" fillId="6" borderId="11" xfId="1" applyNumberFormat="1" applyFont="1" applyFill="1" applyBorder="1" applyAlignment="1" applyProtection="1">
      <alignment horizontal="right" vertical="center"/>
      <protection locked="0"/>
    </xf>
    <xf numFmtId="166" fontId="20" fillId="6" borderId="0" xfId="1" applyNumberFormat="1" applyFont="1" applyFill="1" applyBorder="1" applyAlignment="1" applyProtection="1">
      <alignment horizontal="right" vertical="center"/>
      <protection locked="0"/>
    </xf>
    <xf numFmtId="166" fontId="20" fillId="6" borderId="4" xfId="1" applyNumberFormat="1" applyFont="1" applyFill="1" applyBorder="1" applyAlignment="1" applyProtection="1">
      <alignment horizontal="right" vertical="center"/>
      <protection locked="0"/>
    </xf>
    <xf numFmtId="4" fontId="20" fillId="6" borderId="4" xfId="0" applyNumberFormat="1" applyFont="1" applyFill="1" applyBorder="1" applyAlignment="1" applyProtection="1">
      <alignment horizontal="right" vertical="center"/>
      <protection locked="0"/>
    </xf>
    <xf numFmtId="166" fontId="23" fillId="6" borderId="3" xfId="1" applyNumberFormat="1" applyFont="1" applyFill="1" applyBorder="1" applyAlignment="1" applyProtection="1">
      <alignment horizontal="right" vertical="center"/>
      <protection locked="0"/>
    </xf>
    <xf numFmtId="0" fontId="23" fillId="6" borderId="8" xfId="0" applyFont="1" applyFill="1" applyBorder="1" applyAlignment="1">
      <alignment horizontal="right" vertical="center"/>
    </xf>
    <xf numFmtId="166" fontId="20" fillId="6" borderId="0" xfId="1" applyNumberFormat="1" applyFont="1" applyFill="1" applyAlignment="1" applyProtection="1">
      <alignment horizontal="right" vertical="center"/>
      <protection locked="0"/>
    </xf>
    <xf numFmtId="2" fontId="23" fillId="6" borderId="0" xfId="0" applyNumberFormat="1" applyFont="1" applyFill="1" applyAlignment="1">
      <alignment horizontal="right" vertical="center"/>
    </xf>
    <xf numFmtId="3" fontId="20" fillId="6" borderId="0" xfId="0" applyNumberFormat="1" applyFont="1" applyFill="1" applyAlignment="1">
      <alignment horizontal="right" vertical="center"/>
    </xf>
    <xf numFmtId="2" fontId="20" fillId="6" borderId="0" xfId="0" applyNumberFormat="1" applyFont="1" applyFill="1" applyAlignment="1">
      <alignment horizontal="right" vertical="center"/>
    </xf>
    <xf numFmtId="166" fontId="23" fillId="6" borderId="0" xfId="1" applyNumberFormat="1" applyFont="1" applyFill="1" applyBorder="1" applyAlignment="1" applyProtection="1">
      <alignment horizontal="right" vertical="center"/>
      <protection locked="0"/>
    </xf>
    <xf numFmtId="0" fontId="22" fillId="5" borderId="0" xfId="3" applyFont="1" applyFill="1"/>
    <xf numFmtId="0" fontId="22" fillId="5" borderId="0" xfId="11" applyFont="1" applyFill="1"/>
    <xf numFmtId="0" fontId="6" fillId="5" borderId="0" xfId="0" applyFont="1" applyFill="1"/>
    <xf numFmtId="0" fontId="0" fillId="7" borderId="0" xfId="0" applyFill="1"/>
    <xf numFmtId="0" fontId="14" fillId="4" borderId="12" xfId="0" applyFont="1" applyFill="1" applyBorder="1" applyAlignment="1">
      <alignment horizontal="right" vertical="center"/>
    </xf>
    <xf numFmtId="166" fontId="10" fillId="4" borderId="4" xfId="1" applyNumberFormat="1" applyFont="1" applyFill="1" applyBorder="1" applyAlignment="1">
      <alignment horizontal="right"/>
    </xf>
    <xf numFmtId="0" fontId="0" fillId="6" borderId="3" xfId="0" applyFill="1" applyBorder="1"/>
    <xf numFmtId="0" fontId="23" fillId="6" borderId="3" xfId="0" applyFont="1" applyFill="1" applyBorder="1" applyAlignment="1">
      <alignment vertical="center"/>
    </xf>
    <xf numFmtId="1" fontId="23" fillId="6" borderId="3" xfId="2" applyNumberFormat="1" applyFont="1" applyFill="1" applyBorder="1" applyAlignment="1" applyProtection="1">
      <alignment vertical="center"/>
      <protection locked="0"/>
    </xf>
    <xf numFmtId="1" fontId="23" fillId="6" borderId="3" xfId="0" applyNumberFormat="1" applyFont="1" applyFill="1" applyBorder="1" applyAlignment="1" applyProtection="1">
      <alignment horizontal="right" vertical="center"/>
      <protection locked="0"/>
    </xf>
    <xf numFmtId="0" fontId="12" fillId="11" borderId="11" xfId="0" applyFont="1" applyFill="1" applyBorder="1"/>
    <xf numFmtId="0" fontId="12" fillId="11" borderId="4" xfId="0" applyFont="1" applyFill="1" applyBorder="1"/>
    <xf numFmtId="166" fontId="12" fillId="11" borderId="11" xfId="1" applyNumberFormat="1" applyFont="1" applyFill="1" applyBorder="1" applyAlignment="1">
      <alignment horizontal="center"/>
    </xf>
    <xf numFmtId="166" fontId="12" fillId="11" borderId="0" xfId="1" applyNumberFormat="1" applyFont="1" applyFill="1" applyBorder="1" applyAlignment="1">
      <alignment horizontal="center"/>
    </xf>
    <xf numFmtId="166" fontId="12" fillId="11" borderId="4" xfId="1" applyNumberFormat="1" applyFont="1" applyFill="1" applyBorder="1" applyAlignment="1">
      <alignment horizontal="center"/>
    </xf>
    <xf numFmtId="0" fontId="14" fillId="11" borderId="0" xfId="0" applyFont="1" applyFill="1" applyAlignment="1">
      <alignment horizontal="right"/>
    </xf>
    <xf numFmtId="2" fontId="0" fillId="2" borderId="0" xfId="0" applyNumberFormat="1" applyFill="1"/>
    <xf numFmtId="11" fontId="0" fillId="2" borderId="0" xfId="1" applyNumberFormat="1" applyFont="1" applyFill="1"/>
    <xf numFmtId="0" fontId="9" fillId="5" borderId="0" xfId="0" applyFont="1" applyFill="1" applyAlignment="1">
      <alignment horizontal="left" vertical="center" indent="1"/>
    </xf>
    <xf numFmtId="0" fontId="9" fillId="6" borderId="0" xfId="0" applyFont="1" applyFill="1" applyAlignment="1">
      <alignment horizontal="left" vertical="center" indent="1"/>
    </xf>
    <xf numFmtId="0" fontId="0" fillId="2" borderId="4" xfId="0" applyFill="1" applyBorder="1"/>
    <xf numFmtId="0" fontId="0" fillId="2" borderId="0" xfId="0" applyFill="1" applyAlignment="1">
      <alignment horizontal="right"/>
    </xf>
    <xf numFmtId="1" fontId="10" fillId="6" borderId="0" xfId="0" applyNumberFormat="1" applyFont="1" applyFill="1" applyAlignment="1">
      <alignment horizontal="center"/>
    </xf>
    <xf numFmtId="1" fontId="10" fillId="6" borderId="4" xfId="0" applyNumberFormat="1" applyFont="1" applyFill="1" applyBorder="1" applyAlignment="1">
      <alignment horizontal="center"/>
    </xf>
    <xf numFmtId="166" fontId="20" fillId="6" borderId="0" xfId="1" applyNumberFormat="1" applyFont="1" applyFill="1" applyAlignment="1">
      <alignment horizontal="right" vertical="center"/>
    </xf>
    <xf numFmtId="166" fontId="20" fillId="6" borderId="4" xfId="1" applyNumberFormat="1" applyFont="1" applyFill="1" applyBorder="1" applyAlignment="1">
      <alignment horizontal="right" vertical="center"/>
    </xf>
    <xf numFmtId="166" fontId="20" fillId="6" borderId="0" xfId="1" applyNumberFormat="1" applyFont="1" applyFill="1"/>
    <xf numFmtId="166" fontId="20" fillId="6" borderId="4" xfId="1" applyNumberFormat="1" applyFont="1" applyFill="1" applyBorder="1"/>
    <xf numFmtId="166" fontId="0" fillId="11" borderId="11" xfId="1" applyNumberFormat="1" applyFont="1" applyFill="1" applyBorder="1" applyAlignment="1">
      <alignment horizontal="center"/>
    </xf>
    <xf numFmtId="166" fontId="0" fillId="11" borderId="0" xfId="1" applyNumberFormat="1" applyFont="1" applyFill="1" applyBorder="1" applyAlignment="1">
      <alignment horizontal="center"/>
    </xf>
    <xf numFmtId="166" fontId="0" fillId="11" borderId="4" xfId="1" applyNumberFormat="1" applyFont="1" applyFill="1" applyBorder="1" applyAlignment="1">
      <alignment horizontal="center"/>
    </xf>
    <xf numFmtId="11" fontId="20" fillId="6" borderId="0" xfId="0" applyNumberFormat="1" applyFont="1" applyFill="1" applyAlignment="1" applyProtection="1">
      <alignment horizontal="right" vertical="center"/>
      <protection locked="0"/>
    </xf>
    <xf numFmtId="11" fontId="20" fillId="6" borderId="4" xfId="0" applyNumberFormat="1" applyFont="1" applyFill="1" applyBorder="1" applyAlignment="1" applyProtection="1">
      <alignment horizontal="right" vertical="center"/>
      <protection locked="0"/>
    </xf>
    <xf numFmtId="0" fontId="23" fillId="6" borderId="0" xfId="3" applyFont="1" applyFill="1" applyAlignment="1" applyProtection="1">
      <alignment horizontal="right"/>
      <protection locked="0"/>
    </xf>
    <xf numFmtId="0" fontId="23" fillId="6" borderId="8" xfId="0" applyFont="1" applyFill="1" applyBorder="1" applyAlignment="1" applyProtection="1">
      <alignment horizontal="right" vertical="center"/>
      <protection locked="0"/>
    </xf>
    <xf numFmtId="0" fontId="49" fillId="6" borderId="0" xfId="0" applyFont="1" applyFill="1" applyProtection="1">
      <protection locked="0"/>
    </xf>
    <xf numFmtId="0" fontId="22" fillId="5" borderId="0" xfId="3" applyFont="1" applyFill="1" applyProtection="1">
      <protection locked="0"/>
    </xf>
    <xf numFmtId="0" fontId="14" fillId="6" borderId="8" xfId="0" applyFont="1" applyFill="1" applyBorder="1" applyAlignment="1">
      <alignment horizontal="left" vertical="center"/>
    </xf>
    <xf numFmtId="0" fontId="0" fillId="2" borderId="0" xfId="0" quotePrefix="1" applyFill="1" applyAlignment="1">
      <alignment wrapText="1"/>
    </xf>
    <xf numFmtId="0" fontId="5" fillId="2" borderId="0" xfId="3" applyFill="1" applyAlignment="1">
      <alignment vertical="center"/>
    </xf>
    <xf numFmtId="0" fontId="6" fillId="5" borderId="0" xfId="3" applyFont="1" applyFill="1" applyAlignment="1">
      <alignment horizontal="left" vertical="center" indent="1"/>
    </xf>
    <xf numFmtId="0" fontId="6" fillId="6" borderId="0" xfId="3" applyFont="1" applyFill="1" applyAlignment="1">
      <alignment horizontal="left" vertical="center" indent="1"/>
    </xf>
    <xf numFmtId="43" fontId="0" fillId="2" borderId="0" xfId="1" applyFont="1" applyFill="1"/>
    <xf numFmtId="43" fontId="0" fillId="2" borderId="4" xfId="1" applyFont="1" applyFill="1" applyBorder="1"/>
    <xf numFmtId="0" fontId="6" fillId="3" borderId="0" xfId="3" applyFont="1" applyFill="1" applyAlignment="1">
      <alignment horizontal="left" vertical="center" indent="1"/>
    </xf>
    <xf numFmtId="0" fontId="0" fillId="3" borderId="0" xfId="0" applyFill="1" applyAlignment="1">
      <alignment vertical="center"/>
    </xf>
    <xf numFmtId="0" fontId="6" fillId="4" borderId="0" xfId="3" applyFont="1" applyFill="1" applyAlignment="1">
      <alignment horizontal="left" vertical="center" indent="1"/>
    </xf>
    <xf numFmtId="0" fontId="10" fillId="32" borderId="0" xfId="0" applyFont="1" applyFill="1"/>
    <xf numFmtId="0" fontId="3" fillId="4" borderId="0" xfId="3" applyFont="1" applyFill="1"/>
    <xf numFmtId="0" fontId="13" fillId="4" borderId="0" xfId="3" applyFont="1" applyFill="1"/>
    <xf numFmtId="0" fontId="13" fillId="4" borderId="0" xfId="3" applyFont="1" applyFill="1" applyAlignment="1">
      <alignment horizontal="right"/>
    </xf>
    <xf numFmtId="0" fontId="6" fillId="4" borderId="0" xfId="3" applyFont="1" applyFill="1" applyAlignment="1">
      <alignment horizontal="left"/>
    </xf>
    <xf numFmtId="0" fontId="41" fillId="32" borderId="0" xfId="0" quotePrefix="1" applyFont="1" applyFill="1" applyAlignment="1">
      <alignment horizontal="left" vertical="top" wrapText="1"/>
    </xf>
    <xf numFmtId="0" fontId="26" fillId="4" borderId="0" xfId="3" applyFont="1" applyFill="1" applyAlignment="1">
      <alignment horizontal="right" vertical="center"/>
    </xf>
    <xf numFmtId="0" fontId="5" fillId="4" borderId="0" xfId="3" applyFill="1" applyAlignment="1">
      <alignment vertical="center"/>
    </xf>
    <xf numFmtId="174" fontId="5" fillId="4" borderId="0" xfId="4" applyNumberFormat="1" applyFont="1" applyFill="1" applyBorder="1" applyAlignment="1">
      <alignment horizontal="right" vertical="center"/>
    </xf>
    <xf numFmtId="0" fontId="23" fillId="32" borderId="0" xfId="0" applyFont="1" applyFill="1"/>
    <xf numFmtId="176" fontId="81" fillId="4" borderId="0" xfId="6" applyFont="1" applyFill="1" applyBorder="1" applyAlignment="1">
      <alignment horizontal="right" vertical="center"/>
    </xf>
    <xf numFmtId="0" fontId="20" fillId="32" borderId="0" xfId="0" applyFont="1" applyFill="1"/>
    <xf numFmtId="0" fontId="23" fillId="4" borderId="0" xfId="0" applyFont="1" applyFill="1"/>
    <xf numFmtId="0" fontId="3" fillId="3" borderId="0" xfId="3" applyFont="1" applyFill="1"/>
    <xf numFmtId="0" fontId="6" fillId="3" borderId="0" xfId="3" applyFont="1" applyFill="1" applyAlignment="1">
      <alignment horizontal="left"/>
    </xf>
    <xf numFmtId="0" fontId="26" fillId="4" borderId="0" xfId="3" applyFont="1" applyFill="1" applyAlignment="1">
      <alignment vertical="center"/>
    </xf>
    <xf numFmtId="0" fontId="26" fillId="0" borderId="0" xfId="3" applyFont="1" applyAlignment="1">
      <alignment horizontal="center" vertical="center"/>
    </xf>
    <xf numFmtId="176" fontId="81" fillId="0" borderId="0" xfId="6" applyFont="1" applyFill="1" applyBorder="1" applyAlignment="1">
      <alignment horizontal="right" vertical="center"/>
    </xf>
    <xf numFmtId="0" fontId="26" fillId="0" borderId="0" xfId="3" applyFont="1" applyAlignment="1">
      <alignment horizontal="right" vertical="center"/>
    </xf>
    <xf numFmtId="174" fontId="5" fillId="0" borderId="0" xfId="4" applyNumberFormat="1" applyFont="1" applyFill="1" applyBorder="1" applyAlignment="1">
      <alignment horizontal="right" vertical="center"/>
    </xf>
    <xf numFmtId="0" fontId="10" fillId="0" borderId="0" xfId="0" applyFont="1" applyAlignment="1">
      <alignment vertical="center"/>
    </xf>
    <xf numFmtId="0" fontId="23" fillId="0" borderId="0" xfId="0" applyFont="1" applyAlignment="1">
      <alignment vertical="center"/>
    </xf>
    <xf numFmtId="0" fontId="20" fillId="0" borderId="0" xfId="0" applyFont="1" applyAlignment="1">
      <alignment vertical="center"/>
    </xf>
    <xf numFmtId="0" fontId="98" fillId="6" borderId="8" xfId="21" applyFont="1" applyFill="1" applyBorder="1" applyAlignment="1">
      <alignment vertical="center"/>
    </xf>
    <xf numFmtId="0" fontId="14" fillId="6" borderId="8" xfId="21" applyFont="1" applyFill="1" applyBorder="1" applyAlignment="1">
      <alignment horizontal="right" vertical="center"/>
    </xf>
    <xf numFmtId="0" fontId="41" fillId="6" borderId="4" xfId="21" applyFont="1" applyFill="1" applyBorder="1" applyAlignment="1">
      <alignment vertical="center"/>
    </xf>
    <xf numFmtId="0" fontId="5" fillId="6" borderId="0" xfId="21" applyFont="1" applyFill="1" applyAlignment="1">
      <alignment vertical="center"/>
    </xf>
    <xf numFmtId="0" fontId="26" fillId="6" borderId="0" xfId="21" applyFont="1" applyFill="1" applyAlignment="1">
      <alignment horizontal="right" vertical="center"/>
    </xf>
    <xf numFmtId="0" fontId="26" fillId="4" borderId="0" xfId="3" applyFont="1" applyFill="1" applyAlignment="1">
      <alignment horizontal="center" vertical="center"/>
    </xf>
    <xf numFmtId="0" fontId="26" fillId="4" borderId="0" xfId="3" applyFont="1" applyFill="1" applyAlignment="1">
      <alignment horizontal="left" vertical="center"/>
    </xf>
    <xf numFmtId="0" fontId="26" fillId="4" borderId="4" xfId="3" applyFont="1" applyFill="1" applyBorder="1" applyAlignment="1">
      <alignment horizontal="left" vertical="center"/>
    </xf>
    <xf numFmtId="0" fontId="97" fillId="4" borderId="0" xfId="3" applyFont="1" applyFill="1" applyAlignment="1">
      <alignment horizontal="right" vertical="center"/>
    </xf>
    <xf numFmtId="0" fontId="26" fillId="4" borderId="8" xfId="21" applyFont="1" applyFill="1" applyBorder="1" applyAlignment="1">
      <alignment horizontal="right" vertical="center"/>
    </xf>
    <xf numFmtId="0" fontId="6" fillId="5" borderId="0" xfId="0" applyFont="1" applyFill="1" applyAlignment="1">
      <alignment horizontal="left" vertical="center" indent="1"/>
    </xf>
    <xf numFmtId="0" fontId="14" fillId="6" borderId="4" xfId="0" applyFont="1" applyFill="1" applyBorder="1" applyAlignment="1">
      <alignment horizontal="left" vertical="center"/>
    </xf>
    <xf numFmtId="0" fontId="79" fillId="5" borderId="0" xfId="3" applyFont="1" applyFill="1"/>
    <xf numFmtId="0" fontId="79" fillId="5" borderId="0" xfId="3" applyFont="1" applyFill="1" applyAlignment="1">
      <alignment horizontal="right"/>
    </xf>
    <xf numFmtId="0" fontId="88" fillId="5" borderId="0" xfId="3" applyFont="1" applyFill="1" applyAlignment="1">
      <alignment horizontal="left"/>
    </xf>
    <xf numFmtId="9" fontId="15" fillId="6" borderId="0" xfId="2" applyFont="1" applyFill="1" applyBorder="1" applyAlignment="1">
      <alignment horizontal="center" vertical="center"/>
    </xf>
    <xf numFmtId="0" fontId="79" fillId="6" borderId="0" xfId="3" applyFont="1" applyFill="1"/>
    <xf numFmtId="0" fontId="79" fillId="6" borderId="0" xfId="3" applyFont="1" applyFill="1" applyAlignment="1">
      <alignment horizontal="right"/>
    </xf>
    <xf numFmtId="0" fontId="88" fillId="6" borderId="0" xfId="3" applyFont="1" applyFill="1" applyAlignment="1">
      <alignment horizontal="left"/>
    </xf>
    <xf numFmtId="0" fontId="16" fillId="5" borderId="0" xfId="3" applyFont="1" applyFill="1"/>
    <xf numFmtId="0" fontId="16" fillId="6" borderId="0" xfId="3" applyFont="1" applyFill="1"/>
    <xf numFmtId="0" fontId="14" fillId="6" borderId="3" xfId="0" applyFont="1" applyFill="1" applyBorder="1" applyAlignment="1">
      <alignment horizontal="left" vertical="center"/>
    </xf>
    <xf numFmtId="0" fontId="14" fillId="6" borderId="3" xfId="0" applyFont="1" applyFill="1" applyBorder="1" applyAlignment="1">
      <alignment horizontal="center" vertical="center" wrapText="1"/>
    </xf>
    <xf numFmtId="3" fontId="14" fillId="6" borderId="3" xfId="0" applyNumberFormat="1" applyFont="1" applyFill="1" applyBorder="1" applyAlignment="1">
      <alignment horizontal="center" vertical="center"/>
    </xf>
    <xf numFmtId="0" fontId="23" fillId="4" borderId="8" xfId="0" applyFont="1" applyFill="1" applyBorder="1" applyAlignment="1">
      <alignment horizontal="left" vertical="center"/>
    </xf>
    <xf numFmtId="0" fontId="23" fillId="9" borderId="8" xfId="0" applyFont="1" applyFill="1" applyBorder="1" applyAlignment="1">
      <alignment horizontal="left" vertical="center"/>
    </xf>
    <xf numFmtId="0" fontId="61" fillId="32" borderId="0" xfId="0" applyFont="1" applyFill="1"/>
    <xf numFmtId="0" fontId="27" fillId="0" borderId="0" xfId="0" applyFont="1"/>
    <xf numFmtId="0" fontId="23" fillId="6" borderId="8" xfId="21" applyFont="1" applyFill="1" applyBorder="1" applyAlignment="1">
      <alignment vertical="center"/>
    </xf>
    <xf numFmtId="0" fontId="12" fillId="6" borderId="4" xfId="3" applyFont="1" applyFill="1" applyBorder="1" applyAlignment="1">
      <alignment horizontal="left" vertical="center"/>
    </xf>
    <xf numFmtId="0" fontId="12" fillId="6" borderId="4" xfId="3" applyFont="1" applyFill="1" applyBorder="1" applyAlignment="1">
      <alignment vertical="center"/>
    </xf>
    <xf numFmtId="0" fontId="14" fillId="4" borderId="0" xfId="0" applyFont="1" applyFill="1" applyAlignment="1">
      <alignment horizontal="left" vertical="center"/>
    </xf>
    <xf numFmtId="0" fontId="23" fillId="4" borderId="22" xfId="0" applyFont="1" applyFill="1" applyBorder="1" applyAlignment="1">
      <alignment horizontal="left" vertical="center"/>
    </xf>
    <xf numFmtId="0" fontId="23" fillId="4" borderId="4" xfId="0" applyFont="1" applyFill="1" applyBorder="1" applyAlignment="1">
      <alignment horizontal="left" vertical="center"/>
    </xf>
    <xf numFmtId="0" fontId="16" fillId="4" borderId="3" xfId="0" applyFont="1" applyFill="1" applyBorder="1" applyAlignment="1">
      <alignment horizontal="left"/>
    </xf>
    <xf numFmtId="9" fontId="15" fillId="6" borderId="4" xfId="2" applyFont="1" applyFill="1" applyBorder="1" applyAlignment="1" applyProtection="1">
      <alignment horizontal="right" vertical="center"/>
      <protection locked="0"/>
    </xf>
    <xf numFmtId="11" fontId="0" fillId="2" borderId="4" xfId="1" applyNumberFormat="1" applyFont="1" applyFill="1" applyBorder="1"/>
    <xf numFmtId="0" fontId="0" fillId="0" borderId="0" xfId="0" quotePrefix="1"/>
    <xf numFmtId="43" fontId="0" fillId="2" borderId="0" xfId="0" applyNumberFormat="1" applyFill="1"/>
    <xf numFmtId="0" fontId="0" fillId="2" borderId="3" xfId="0" applyFill="1" applyBorder="1"/>
    <xf numFmtId="11" fontId="0" fillId="0" borderId="0" xfId="1" applyNumberFormat="1" applyFont="1" applyBorder="1"/>
    <xf numFmtId="11" fontId="0" fillId="0" borderId="0" xfId="1" applyNumberFormat="1" applyFont="1" applyBorder="1" applyAlignment="1">
      <alignment horizontal="right"/>
    </xf>
    <xf numFmtId="11" fontId="0" fillId="0" borderId="9" xfId="1" applyNumberFormat="1" applyFont="1" applyBorder="1"/>
    <xf numFmtId="11" fontId="0" fillId="0" borderId="9" xfId="1" applyNumberFormat="1" applyFont="1" applyBorder="1" applyAlignment="1">
      <alignment horizontal="right"/>
    </xf>
    <xf numFmtId="11" fontId="0" fillId="0" borderId="0" xfId="0" applyNumberFormat="1" applyAlignment="1">
      <alignment horizontal="right"/>
    </xf>
    <xf numFmtId="11" fontId="0" fillId="0" borderId="0" xfId="0" applyNumberFormat="1"/>
    <xf numFmtId="0" fontId="97" fillId="0" borderId="0" xfId="0" applyFont="1" applyAlignment="1">
      <alignment horizontal="right" vertical="center"/>
    </xf>
    <xf numFmtId="0" fontId="97" fillId="0" borderId="0" xfId="0" applyFont="1" applyAlignment="1">
      <alignment horizontal="left" vertical="center" wrapText="1"/>
    </xf>
    <xf numFmtId="0" fontId="27" fillId="2" borderId="0" xfId="0" applyFont="1" applyFill="1" applyAlignment="1">
      <alignment horizontal="right"/>
    </xf>
    <xf numFmtId="0" fontId="27" fillId="2" borderId="3" xfId="0" applyFont="1" applyFill="1" applyBorder="1"/>
    <xf numFmtId="172" fontId="26" fillId="4" borderId="13" xfId="4" applyFont="1" applyFill="1" applyBorder="1" applyAlignment="1">
      <alignment vertical="center"/>
    </xf>
    <xf numFmtId="0" fontId="3" fillId="2" borderId="9" xfId="0" applyFont="1" applyFill="1" applyBorder="1" applyAlignment="1">
      <alignment horizontal="right"/>
    </xf>
    <xf numFmtId="0" fontId="0" fillId="2" borderId="0" xfId="0" applyFill="1" applyAlignment="1" applyProtection="1">
      <alignment horizontal="center" vertical="center"/>
      <protection hidden="1"/>
    </xf>
    <xf numFmtId="0" fontId="16" fillId="9" borderId="11" xfId="0" applyFont="1" applyFill="1" applyBorder="1"/>
    <xf numFmtId="0" fontId="23" fillId="2" borderId="3" xfId="0" applyFont="1" applyFill="1" applyBorder="1" applyAlignment="1">
      <alignment horizontal="right" vertical="center"/>
    </xf>
    <xf numFmtId="0" fontId="23" fillId="26" borderId="3" xfId="0" applyFont="1" applyFill="1" applyBorder="1" applyAlignment="1">
      <alignment vertical="center" wrapText="1"/>
    </xf>
    <xf numFmtId="173" fontId="20" fillId="6" borderId="0" xfId="4" applyNumberFormat="1" applyFont="1" applyFill="1" applyAlignment="1">
      <alignment vertical="center"/>
    </xf>
    <xf numFmtId="2" fontId="2" fillId="6" borderId="4" xfId="6" applyNumberFormat="1" applyFont="1" applyFill="1" applyBorder="1" applyAlignment="1" applyProtection="1">
      <alignment horizontal="right" vertical="center"/>
      <protection locked="0"/>
    </xf>
    <xf numFmtId="0" fontId="41" fillId="26" borderId="3" xfId="0" quotePrefix="1" applyFont="1" applyFill="1" applyBorder="1"/>
    <xf numFmtId="0" fontId="23" fillId="26" borderId="0" xfId="0" quotePrefix="1" applyFont="1" applyFill="1"/>
    <xf numFmtId="166" fontId="0" fillId="2" borderId="0" xfId="0" applyNumberFormat="1" applyFill="1"/>
    <xf numFmtId="0" fontId="3" fillId="2" borderId="0" xfId="0" quotePrefix="1" applyFont="1" applyFill="1"/>
    <xf numFmtId="2" fontId="24" fillId="6" borderId="0" xfId="2" applyNumberFormat="1" applyFont="1" applyFill="1" applyAlignment="1">
      <alignment vertical="center"/>
    </xf>
    <xf numFmtId="2" fontId="24" fillId="6" borderId="30" xfId="2" applyNumberFormat="1" applyFont="1" applyFill="1" applyBorder="1" applyAlignment="1" applyProtection="1">
      <alignment vertical="center"/>
    </xf>
    <xf numFmtId="2" fontId="15" fillId="6" borderId="30" xfId="2" applyNumberFormat="1" applyFont="1" applyFill="1" applyBorder="1" applyAlignment="1" applyProtection="1">
      <alignment vertical="center"/>
    </xf>
    <xf numFmtId="2" fontId="24" fillId="6" borderId="0" xfId="2" applyNumberFormat="1" applyFont="1" applyFill="1" applyBorder="1" applyAlignment="1" applyProtection="1">
      <alignment vertical="center"/>
    </xf>
    <xf numFmtId="0" fontId="101" fillId="2" borderId="0" xfId="0" applyFont="1" applyFill="1"/>
    <xf numFmtId="0" fontId="102" fillId="9" borderId="22" xfId="0" applyFont="1" applyFill="1" applyBorder="1" applyAlignment="1">
      <alignment horizontal="center"/>
    </xf>
    <xf numFmtId="2" fontId="15" fillId="6" borderId="30" xfId="2" applyNumberFormat="1" applyFont="1" applyFill="1" applyBorder="1" applyAlignment="1">
      <alignment vertical="center"/>
    </xf>
    <xf numFmtId="43" fontId="0" fillId="2" borderId="4" xfId="0" applyNumberFormat="1" applyFill="1" applyBorder="1"/>
    <xf numFmtId="43" fontId="24" fillId="6" borderId="30" xfId="1" applyFont="1" applyFill="1" applyBorder="1" applyAlignment="1" applyProtection="1">
      <alignment vertical="center"/>
    </xf>
    <xf numFmtId="11" fontId="0" fillId="2" borderId="4" xfId="0" applyNumberFormat="1" applyFill="1" applyBorder="1"/>
    <xf numFmtId="0" fontId="3" fillId="2" borderId="4" xfId="0" applyFont="1" applyFill="1" applyBorder="1"/>
    <xf numFmtId="11" fontId="10" fillId="2" borderId="4" xfId="0" applyNumberFormat="1" applyFont="1" applyFill="1" applyBorder="1"/>
    <xf numFmtId="0" fontId="84" fillId="6" borderId="0" xfId="0" quotePrefix="1" applyFont="1" applyFill="1" applyAlignment="1">
      <alignment vertical="center"/>
    </xf>
    <xf numFmtId="0" fontId="13" fillId="6" borderId="0" xfId="0" applyFont="1" applyFill="1" applyAlignment="1">
      <alignment horizontal="right"/>
    </xf>
    <xf numFmtId="166" fontId="14" fillId="6" borderId="39" xfId="1" applyNumberFormat="1" applyFont="1" applyFill="1" applyBorder="1" applyAlignment="1">
      <alignment vertical="center"/>
    </xf>
    <xf numFmtId="11" fontId="10" fillId="2" borderId="0" xfId="0" applyNumberFormat="1" applyFont="1" applyFill="1"/>
    <xf numFmtId="0" fontId="16" fillId="2" borderId="3" xfId="0" applyFont="1" applyFill="1" applyBorder="1" applyAlignment="1">
      <alignment horizontal="right"/>
    </xf>
    <xf numFmtId="0" fontId="26" fillId="0" borderId="3" xfId="0" applyFont="1" applyBorder="1" applyAlignment="1">
      <alignment horizontal="left" vertical="center" wrapText="1"/>
    </xf>
    <xf numFmtId="0" fontId="23" fillId="6" borderId="0" xfId="0" quotePrefix="1" applyFont="1" applyFill="1" applyAlignment="1">
      <alignment vertical="center"/>
    </xf>
    <xf numFmtId="0" fontId="3" fillId="0" borderId="3" xfId="0" applyFont="1" applyBorder="1" applyAlignment="1">
      <alignment horizontal="center"/>
    </xf>
    <xf numFmtId="0" fontId="12" fillId="2" borderId="4" xfId="0" applyFont="1" applyFill="1" applyBorder="1" applyAlignment="1">
      <alignment vertical="center"/>
    </xf>
    <xf numFmtId="0" fontId="0" fillId="0" borderId="4" xfId="0" applyBorder="1"/>
    <xf numFmtId="0" fontId="26" fillId="0" borderId="3" xfId="0" applyFont="1" applyBorder="1" applyAlignment="1">
      <alignment horizontal="center"/>
    </xf>
    <xf numFmtId="0" fontId="3" fillId="2" borderId="3" xfId="0" applyFont="1" applyFill="1" applyBorder="1" applyAlignment="1">
      <alignment horizontal="center"/>
    </xf>
    <xf numFmtId="0" fontId="20" fillId="6" borderId="3" xfId="0" quotePrefix="1" applyFont="1" applyFill="1" applyBorder="1" applyAlignment="1">
      <alignment vertical="center"/>
    </xf>
    <xf numFmtId="0" fontId="2" fillId="0" borderId="0" xfId="0" applyFont="1" applyAlignment="1">
      <alignment horizontal="center"/>
    </xf>
    <xf numFmtId="0" fontId="103" fillId="0" borderId="0" xfId="0" applyFont="1" applyAlignment="1">
      <alignment horizontal="right"/>
    </xf>
    <xf numFmtId="0" fontId="15" fillId="2" borderId="0" xfId="0" applyFont="1" applyFill="1" applyAlignment="1">
      <alignment vertical="center"/>
    </xf>
    <xf numFmtId="0" fontId="2" fillId="0" borderId="0" xfId="0" applyFont="1" applyAlignment="1">
      <alignment horizontal="right"/>
    </xf>
    <xf numFmtId="0" fontId="97" fillId="0" borderId="0" xfId="0" applyFont="1" applyAlignment="1">
      <alignment horizontal="right"/>
    </xf>
    <xf numFmtId="0" fontId="97" fillId="0" borderId="0" xfId="0" applyFont="1" applyAlignment="1">
      <alignment vertical="center" wrapText="1"/>
    </xf>
    <xf numFmtId="0" fontId="63" fillId="20" borderId="24" xfId="0" applyFont="1" applyFill="1" applyBorder="1" applyAlignment="1">
      <alignment horizontal="center" vertical="center"/>
    </xf>
    <xf numFmtId="11" fontId="20" fillId="6" borderId="3" xfId="1" applyNumberFormat="1" applyFont="1" applyFill="1" applyBorder="1" applyAlignment="1">
      <alignment horizontal="center"/>
    </xf>
    <xf numFmtId="1" fontId="15" fillId="6" borderId="0" xfId="2" applyNumberFormat="1" applyFont="1" applyFill="1" applyBorder="1" applyAlignment="1">
      <alignment horizontal="center" vertical="center"/>
    </xf>
    <xf numFmtId="1" fontId="63" fillId="20" borderId="24" xfId="0" applyNumberFormat="1" applyFont="1" applyFill="1" applyBorder="1" applyAlignment="1">
      <alignment horizontal="center" vertical="center"/>
    </xf>
    <xf numFmtId="1" fontId="13" fillId="6" borderId="0" xfId="0" applyNumberFormat="1" applyFont="1" applyFill="1" applyAlignment="1">
      <alignment horizontal="center"/>
    </xf>
    <xf numFmtId="1" fontId="20" fillId="6" borderId="3" xfId="1" applyNumberFormat="1" applyFont="1" applyFill="1" applyBorder="1" applyAlignment="1">
      <alignment horizontal="center"/>
    </xf>
    <xf numFmtId="0" fontId="63" fillId="20" borderId="24" xfId="0" applyFont="1" applyFill="1" applyBorder="1" applyAlignment="1">
      <alignment horizontal="left" vertical="center"/>
    </xf>
    <xf numFmtId="1" fontId="63" fillId="20" borderId="24" xfId="0" applyNumberFormat="1" applyFont="1" applyFill="1" applyBorder="1" applyAlignment="1">
      <alignment horizontal="left" vertical="center"/>
    </xf>
    <xf numFmtId="0" fontId="16" fillId="9" borderId="19" xfId="0" applyFont="1" applyFill="1" applyBorder="1"/>
    <xf numFmtId="0" fontId="23" fillId="9" borderId="19" xfId="0" applyFont="1" applyFill="1" applyBorder="1" applyAlignment="1">
      <alignment horizontal="center" vertical="center"/>
    </xf>
    <xf numFmtId="0" fontId="23" fillId="9" borderId="4" xfId="0" applyFont="1" applyFill="1" applyBorder="1" applyAlignment="1">
      <alignment horizontal="center" vertical="center"/>
    </xf>
    <xf numFmtId="0" fontId="16" fillId="9" borderId="4" xfId="0" applyFont="1" applyFill="1" applyBorder="1"/>
    <xf numFmtId="166" fontId="16" fillId="2" borderId="3" xfId="1" applyNumberFormat="1" applyFont="1" applyFill="1" applyBorder="1"/>
    <xf numFmtId="0" fontId="14" fillId="2" borderId="9" xfId="0" applyFont="1" applyFill="1" applyBorder="1"/>
    <xf numFmtId="0" fontId="23" fillId="2" borderId="3" xfId="0" applyFont="1" applyFill="1" applyBorder="1"/>
    <xf numFmtId="0" fontId="20" fillId="2" borderId="19" xfId="0" quotePrefix="1" applyFont="1" applyFill="1" applyBorder="1" applyAlignment="1">
      <alignment vertical="center"/>
    </xf>
    <xf numFmtId="0" fontId="10" fillId="4" borderId="22" xfId="0" applyFont="1" applyFill="1" applyBorder="1"/>
    <xf numFmtId="0" fontId="26" fillId="2" borderId="0" xfId="0" applyFont="1" applyFill="1" applyAlignment="1">
      <alignment horizontal="left" vertical="center" wrapText="1"/>
    </xf>
    <xf numFmtId="0" fontId="26" fillId="2" borderId="0" xfId="0" applyFont="1" applyFill="1" applyAlignment="1">
      <alignment horizontal="right"/>
    </xf>
    <xf numFmtId="0" fontId="0" fillId="2" borderId="0" xfId="0" applyFill="1" applyAlignment="1">
      <alignment horizontal="center"/>
    </xf>
    <xf numFmtId="0" fontId="26" fillId="2" borderId="3" xfId="0" applyFont="1" applyFill="1" applyBorder="1" applyAlignment="1">
      <alignment horizontal="left" vertical="center" wrapText="1"/>
    </xf>
    <xf numFmtId="0" fontId="26" fillId="2" borderId="3" xfId="0" applyFont="1" applyFill="1" applyBorder="1" applyAlignment="1">
      <alignment horizontal="center"/>
    </xf>
    <xf numFmtId="0" fontId="102" fillId="9" borderId="0" xfId="0" applyFont="1" applyFill="1" applyAlignment="1">
      <alignment horizontal="center"/>
    </xf>
    <xf numFmtId="0" fontId="16" fillId="9" borderId="4" xfId="0" applyFont="1" applyFill="1" applyBorder="1" applyAlignment="1">
      <alignment horizontal="center"/>
    </xf>
    <xf numFmtId="0" fontId="105" fillId="9" borderId="22" xfId="0" applyFont="1" applyFill="1" applyBorder="1" applyAlignment="1">
      <alignment horizontal="center"/>
    </xf>
    <xf numFmtId="166" fontId="10" fillId="9" borderId="0" xfId="1" applyNumberFormat="1" applyFont="1" applyFill="1" applyAlignment="1">
      <alignment horizontal="center"/>
    </xf>
    <xf numFmtId="166" fontId="16" fillId="9" borderId="3" xfId="1" applyNumberFormat="1" applyFont="1" applyFill="1" applyBorder="1" applyAlignment="1">
      <alignment horizontal="center"/>
    </xf>
    <xf numFmtId="0" fontId="16" fillId="9" borderId="4" xfId="0" applyFont="1" applyFill="1" applyBorder="1" applyAlignment="1">
      <alignment horizontal="right"/>
    </xf>
    <xf numFmtId="0" fontId="16" fillId="9" borderId="3" xfId="0" applyFont="1" applyFill="1" applyBorder="1" applyAlignment="1">
      <alignment horizontal="right"/>
    </xf>
    <xf numFmtId="0" fontId="16" fillId="4" borderId="3" xfId="0" applyFont="1" applyFill="1" applyBorder="1" applyAlignment="1">
      <alignment horizontal="right"/>
    </xf>
    <xf numFmtId="166" fontId="16" fillId="9" borderId="0" xfId="1" applyNumberFormat="1" applyFont="1" applyFill="1" applyBorder="1" applyAlignment="1">
      <alignment horizontal="center"/>
    </xf>
    <xf numFmtId="166" fontId="0" fillId="2" borderId="3" xfId="1" applyNumberFormat="1" applyFont="1" applyFill="1" applyBorder="1"/>
    <xf numFmtId="166" fontId="3" fillId="2" borderId="3" xfId="1" applyNumberFormat="1" applyFont="1" applyFill="1" applyBorder="1"/>
    <xf numFmtId="10" fontId="12" fillId="6" borderId="0" xfId="2" applyNumberFormat="1" applyFont="1" applyFill="1" applyBorder="1" applyAlignment="1">
      <alignment horizontal="left" vertical="center"/>
    </xf>
    <xf numFmtId="0" fontId="41" fillId="26" borderId="4" xfId="0" quotePrefix="1" applyFont="1" applyFill="1" applyBorder="1"/>
    <xf numFmtId="0" fontId="20" fillId="26" borderId="4" xfId="0" quotePrefix="1" applyFont="1" applyFill="1" applyBorder="1"/>
    <xf numFmtId="0" fontId="23" fillId="26" borderId="9" xfId="0" applyFont="1" applyFill="1" applyBorder="1"/>
    <xf numFmtId="0" fontId="20" fillId="26" borderId="0" xfId="0" quotePrefix="1" applyFont="1" applyFill="1"/>
    <xf numFmtId="166" fontId="0" fillId="2" borderId="4" xfId="1" applyNumberFormat="1" applyFont="1" applyFill="1" applyBorder="1"/>
    <xf numFmtId="166" fontId="0" fillId="2" borderId="9" xfId="1" applyNumberFormat="1" applyFont="1" applyFill="1" applyBorder="1"/>
    <xf numFmtId="166" fontId="3" fillId="2" borderId="4" xfId="1" applyNumberFormat="1" applyFont="1" applyFill="1" applyBorder="1"/>
    <xf numFmtId="0" fontId="23" fillId="26" borderId="4" xfId="0" quotePrefix="1" applyFont="1" applyFill="1" applyBorder="1" applyAlignment="1">
      <alignment horizontal="right"/>
    </xf>
    <xf numFmtId="0" fontId="23" fillId="26" borderId="3" xfId="0" quotePrefix="1" applyFont="1" applyFill="1" applyBorder="1" applyAlignment="1">
      <alignment horizontal="right"/>
    </xf>
    <xf numFmtId="0" fontId="0" fillId="2" borderId="0" xfId="0" quotePrefix="1" applyFill="1" applyAlignment="1">
      <alignment horizontal="right"/>
    </xf>
    <xf numFmtId="0" fontId="3" fillId="9" borderId="3" xfId="0" applyFont="1" applyFill="1" applyBorder="1" applyAlignment="1">
      <alignment horizontal="right"/>
    </xf>
    <xf numFmtId="0" fontId="23" fillId="4" borderId="3" xfId="0" applyFont="1" applyFill="1" applyBorder="1" applyAlignment="1">
      <alignment horizontal="right"/>
    </xf>
    <xf numFmtId="0" fontId="14" fillId="9" borderId="8" xfId="0" applyFont="1" applyFill="1" applyBorder="1" applyAlignment="1">
      <alignment horizontal="left" vertical="center"/>
    </xf>
    <xf numFmtId="0" fontId="14" fillId="11" borderId="8" xfId="0" applyFont="1" applyFill="1" applyBorder="1" applyAlignment="1">
      <alignment horizontal="left" vertical="center"/>
    </xf>
    <xf numFmtId="0" fontId="3" fillId="9" borderId="8" xfId="0" applyFont="1" applyFill="1" applyBorder="1" applyAlignment="1">
      <alignment horizontal="left" vertical="center"/>
    </xf>
    <xf numFmtId="0" fontId="3" fillId="9" borderId="8" xfId="0" applyFont="1" applyFill="1" applyBorder="1" applyAlignment="1">
      <alignment horizontal="center" vertical="center"/>
    </xf>
    <xf numFmtId="9" fontId="32" fillId="12" borderId="0" xfId="2" applyFont="1" applyFill="1" applyBorder="1" applyAlignment="1" applyProtection="1">
      <alignment vertical="center"/>
      <protection locked="0"/>
    </xf>
    <xf numFmtId="0" fontId="3" fillId="12" borderId="0" xfId="0" applyFont="1" applyFill="1" applyAlignment="1">
      <alignment vertical="center"/>
    </xf>
    <xf numFmtId="0" fontId="26" fillId="6" borderId="8" xfId="21" applyFont="1" applyFill="1" applyBorder="1" applyAlignment="1">
      <alignment vertical="center"/>
    </xf>
    <xf numFmtId="0" fontId="12" fillId="6" borderId="4" xfId="3" applyFont="1" applyFill="1" applyBorder="1" applyAlignment="1">
      <alignment horizontal="center" vertical="center"/>
    </xf>
    <xf numFmtId="0" fontId="0" fillId="12" borderId="19" xfId="0" applyFill="1" applyBorder="1" applyAlignment="1">
      <alignment horizontal="left" vertical="center"/>
    </xf>
    <xf numFmtId="0" fontId="5" fillId="6" borderId="0" xfId="3" applyFill="1"/>
    <xf numFmtId="0" fontId="106" fillId="6" borderId="0" xfId="3" applyFont="1" applyFill="1" applyAlignment="1">
      <alignment horizontal="right"/>
    </xf>
    <xf numFmtId="0" fontId="3" fillId="6" borderId="0" xfId="0" applyFont="1" applyFill="1" applyAlignment="1">
      <alignment horizontal="right"/>
    </xf>
    <xf numFmtId="0" fontId="30" fillId="12" borderId="8" xfId="0" applyFont="1" applyFill="1" applyBorder="1" applyAlignment="1" applyProtection="1">
      <alignment horizontal="center" vertical="center"/>
      <protection locked="0"/>
    </xf>
    <xf numFmtId="9" fontId="32" fillId="12" borderId="0" xfId="2" applyFont="1" applyFill="1" applyBorder="1" applyAlignment="1" applyProtection="1">
      <alignment horizontal="center" vertical="center"/>
      <protection locked="0"/>
    </xf>
    <xf numFmtId="0" fontId="0" fillId="6" borderId="0" xfId="0" applyFill="1" applyAlignment="1" applyProtection="1">
      <alignment horizontal="center"/>
      <protection locked="0"/>
    </xf>
    <xf numFmtId="0" fontId="3" fillId="6" borderId="8" xfId="21" applyFont="1" applyFill="1" applyBorder="1" applyAlignment="1">
      <alignment vertical="center"/>
    </xf>
    <xf numFmtId="0" fontId="3" fillId="6" borderId="43" xfId="21" applyFont="1" applyFill="1" applyBorder="1" applyAlignment="1">
      <alignment horizontal="center" vertical="center"/>
    </xf>
    <xf numFmtId="0" fontId="30" fillId="15" borderId="8" xfId="0" applyFont="1" applyFill="1" applyBorder="1" applyAlignment="1">
      <alignment horizontal="left" vertical="center"/>
    </xf>
    <xf numFmtId="0" fontId="30" fillId="15" borderId="8" xfId="0" applyFont="1" applyFill="1" applyBorder="1" applyAlignment="1" applyProtection="1">
      <alignment horizontal="center" vertical="center"/>
      <protection locked="0"/>
    </xf>
    <xf numFmtId="0" fontId="3" fillId="4" borderId="0" xfId="0" applyFont="1" applyFill="1"/>
    <xf numFmtId="0" fontId="105" fillId="9" borderId="0" xfId="0" applyFont="1" applyFill="1"/>
    <xf numFmtId="0" fontId="16" fillId="9" borderId="8" xfId="0" applyFont="1" applyFill="1" applyBorder="1" applyAlignment="1">
      <alignment horizontal="left" vertical="center"/>
    </xf>
    <xf numFmtId="0" fontId="16" fillId="9" borderId="8" xfId="0" applyFont="1" applyFill="1" applyBorder="1" applyAlignment="1">
      <alignment horizontal="center" vertical="center"/>
    </xf>
    <xf numFmtId="0" fontId="10" fillId="9" borderId="0" xfId="21" applyFont="1" applyFill="1"/>
    <xf numFmtId="43" fontId="10" fillId="9" borderId="0" xfId="1" applyFont="1" applyFill="1" applyAlignment="1">
      <alignment horizontal="center"/>
    </xf>
    <xf numFmtId="0" fontId="16" fillId="9" borderId="3" xfId="21" applyFont="1" applyFill="1" applyBorder="1"/>
    <xf numFmtId="173" fontId="20" fillId="6" borderId="11" xfId="4" applyNumberFormat="1" applyFont="1" applyFill="1" applyBorder="1" applyProtection="1">
      <protection locked="0"/>
    </xf>
    <xf numFmtId="0" fontId="10" fillId="6" borderId="4" xfId="0" applyFont="1" applyFill="1" applyBorder="1"/>
    <xf numFmtId="0" fontId="45" fillId="6" borderId="0" xfId="3" applyFont="1" applyFill="1"/>
    <xf numFmtId="0" fontId="16" fillId="2" borderId="0" xfId="20" applyFont="1" applyFill="1"/>
    <xf numFmtId="0" fontId="3" fillId="2" borderId="0" xfId="3" applyFont="1" applyFill="1" applyAlignment="1">
      <alignment vertical="center"/>
    </xf>
    <xf numFmtId="172" fontId="110" fillId="2" borderId="0" xfId="4" applyFont="1" applyFill="1" applyAlignment="1">
      <alignment vertical="center"/>
    </xf>
    <xf numFmtId="0" fontId="3" fillId="2" borderId="0" xfId="3" applyFont="1" applyFill="1" applyAlignment="1">
      <alignment horizontal="center" vertical="center" wrapText="1"/>
    </xf>
    <xf numFmtId="0" fontId="16" fillId="2" borderId="8" xfId="21" applyFont="1" applyFill="1" applyBorder="1" applyAlignment="1">
      <alignment vertical="center"/>
    </xf>
    <xf numFmtId="0" fontId="3" fillId="2" borderId="8" xfId="21" applyFont="1" applyFill="1" applyBorder="1" applyAlignment="1">
      <alignment horizontal="center" vertical="center"/>
    </xf>
    <xf numFmtId="0" fontId="10" fillId="2" borderId="11" xfId="21" applyFont="1" applyFill="1" applyBorder="1" applyAlignment="1">
      <alignment vertical="center" wrapText="1"/>
    </xf>
    <xf numFmtId="190" fontId="10" fillId="2" borderId="11" xfId="1" applyNumberFormat="1" applyFont="1" applyFill="1" applyBorder="1"/>
    <xf numFmtId="189" fontId="10" fillId="2" borderId="11" xfId="4" applyNumberFormat="1" applyFont="1" applyFill="1" applyBorder="1" applyAlignment="1">
      <alignment vertical="center"/>
    </xf>
    <xf numFmtId="0" fontId="10" fillId="2" borderId="22" xfId="21" applyFont="1" applyFill="1" applyBorder="1" applyAlignment="1">
      <alignment vertical="center"/>
    </xf>
    <xf numFmtId="0" fontId="10" fillId="2" borderId="0" xfId="21" applyFont="1" applyFill="1" applyAlignment="1">
      <alignment vertical="center"/>
    </xf>
    <xf numFmtId="0" fontId="10" fillId="2" borderId="4" xfId="21" applyFont="1" applyFill="1" applyBorder="1" applyAlignment="1">
      <alignment vertical="center"/>
    </xf>
    <xf numFmtId="0" fontId="10" fillId="2" borderId="0" xfId="21" applyFont="1" applyFill="1" applyAlignment="1">
      <alignment vertical="center" wrapText="1"/>
    </xf>
    <xf numFmtId="3" fontId="10" fillId="2" borderId="0" xfId="21" applyNumberFormat="1" applyFont="1" applyFill="1" applyAlignment="1">
      <alignment vertical="center"/>
    </xf>
    <xf numFmtId="3" fontId="10" fillId="2" borderId="4" xfId="21" applyNumberFormat="1" applyFont="1" applyFill="1" applyBorder="1" applyAlignment="1">
      <alignment vertical="center"/>
    </xf>
    <xf numFmtId="0" fontId="0" fillId="6" borderId="0" xfId="3" applyFont="1" applyFill="1"/>
    <xf numFmtId="0" fontId="3" fillId="6" borderId="0" xfId="3" applyFont="1" applyFill="1" applyAlignment="1">
      <alignment horizontal="right"/>
    </xf>
    <xf numFmtId="0" fontId="3" fillId="6" borderId="8" xfId="21" applyFont="1" applyFill="1" applyBorder="1" applyAlignment="1">
      <alignment horizontal="right" vertical="center"/>
    </xf>
    <xf numFmtId="0" fontId="3" fillId="6" borderId="8" xfId="21" applyFont="1" applyFill="1" applyBorder="1" applyAlignment="1">
      <alignment horizontal="center" vertical="center"/>
    </xf>
    <xf numFmtId="0" fontId="3" fillId="6" borderId="8" xfId="3" applyFont="1" applyFill="1" applyBorder="1" applyAlignment="1">
      <alignment horizontal="center" vertical="center"/>
    </xf>
    <xf numFmtId="0" fontId="10" fillId="6" borderId="0" xfId="3" applyFont="1" applyFill="1" applyAlignment="1">
      <alignment vertical="center"/>
    </xf>
    <xf numFmtId="189" fontId="10" fillId="6" borderId="0" xfId="6" applyNumberFormat="1" applyFont="1" applyFill="1" applyAlignment="1">
      <alignment horizontal="right" vertical="center"/>
    </xf>
    <xf numFmtId="171" fontId="10" fillId="6" borderId="0" xfId="2" applyNumberFormat="1" applyFont="1" applyFill="1" applyAlignment="1">
      <alignment horizontal="center" vertical="center"/>
    </xf>
    <xf numFmtId="189" fontId="10" fillId="6" borderId="0" xfId="6" applyNumberFormat="1" applyFont="1" applyFill="1" applyAlignment="1">
      <alignment horizontal="center" vertical="center"/>
    </xf>
    <xf numFmtId="4" fontId="10" fillId="6" borderId="0" xfId="6" applyNumberFormat="1" applyFont="1" applyFill="1" applyAlignment="1">
      <alignment horizontal="center"/>
    </xf>
    <xf numFmtId="0" fontId="16" fillId="6" borderId="4" xfId="3" applyFont="1" applyFill="1" applyBorder="1" applyAlignment="1">
      <alignment vertical="center"/>
    </xf>
    <xf numFmtId="4" fontId="16" fillId="6" borderId="4" xfId="6" applyNumberFormat="1" applyFont="1" applyFill="1" applyBorder="1" applyAlignment="1">
      <alignment horizontal="right" vertical="center"/>
    </xf>
    <xf numFmtId="9" fontId="16" fillId="6" borderId="4" xfId="2" applyFont="1" applyFill="1" applyBorder="1" applyAlignment="1">
      <alignment horizontal="center" vertical="center"/>
    </xf>
    <xf numFmtId="4" fontId="16" fillId="6" borderId="4" xfId="6" applyNumberFormat="1" applyFont="1" applyFill="1" applyBorder="1" applyAlignment="1">
      <alignment horizontal="center"/>
    </xf>
    <xf numFmtId="3" fontId="16" fillId="6" borderId="4" xfId="6" applyNumberFormat="1" applyFont="1" applyFill="1" applyBorder="1" applyAlignment="1">
      <alignment horizontal="center"/>
    </xf>
    <xf numFmtId="0" fontId="98" fillId="6" borderId="8" xfId="3" applyFont="1" applyFill="1" applyBorder="1" applyAlignment="1">
      <alignment horizontal="center" vertical="center" wrapText="1"/>
    </xf>
    <xf numFmtId="0" fontId="41" fillId="6" borderId="4" xfId="3" applyFont="1" applyFill="1" applyBorder="1" applyAlignment="1">
      <alignment vertical="center"/>
    </xf>
    <xf numFmtId="0" fontId="5" fillId="6" borderId="0" xfId="0" applyFont="1" applyFill="1" applyAlignment="1">
      <alignment vertical="center"/>
    </xf>
    <xf numFmtId="0" fontId="5" fillId="6" borderId="4" xfId="0" applyFont="1" applyFill="1" applyBorder="1" applyAlignment="1">
      <alignment vertical="center"/>
    </xf>
    <xf numFmtId="191" fontId="0" fillId="2" borderId="0" xfId="1" applyNumberFormat="1" applyFont="1" applyFill="1"/>
    <xf numFmtId="0" fontId="23" fillId="6" borderId="8" xfId="3" applyFont="1" applyFill="1" applyBorder="1" applyAlignment="1">
      <alignment horizontal="right" vertical="center"/>
    </xf>
    <xf numFmtId="0" fontId="10" fillId="6" borderId="19" xfId="3" applyFont="1" applyFill="1" applyBorder="1" applyAlignment="1">
      <alignment vertical="center"/>
    </xf>
    <xf numFmtId="2" fontId="20" fillId="6" borderId="19" xfId="22" applyNumberFormat="1" applyFont="1" applyFill="1" applyBorder="1" applyAlignment="1">
      <alignment vertical="center"/>
    </xf>
    <xf numFmtId="184" fontId="20" fillId="6" borderId="19" xfId="22" applyNumberFormat="1" applyFont="1" applyFill="1" applyBorder="1" applyAlignment="1">
      <alignment horizontal="right" vertical="center"/>
    </xf>
    <xf numFmtId="0" fontId="45" fillId="5" borderId="0" xfId="3" applyFont="1" applyFill="1"/>
    <xf numFmtId="0" fontId="5" fillId="5" borderId="0" xfId="3" applyFill="1"/>
    <xf numFmtId="0" fontId="98" fillId="6" borderId="0" xfId="3" applyFont="1" applyFill="1" applyAlignment="1">
      <alignment horizontal="right" vertical="center"/>
    </xf>
    <xf numFmtId="11" fontId="41" fillId="6" borderId="0" xfId="21" applyNumberFormat="1" applyFont="1" applyFill="1" applyAlignment="1">
      <alignment vertical="center"/>
    </xf>
    <xf numFmtId="0" fontId="5" fillId="6" borderId="4" xfId="21" applyFont="1" applyFill="1" applyBorder="1" applyAlignment="1">
      <alignment vertical="center"/>
    </xf>
    <xf numFmtId="11" fontId="41" fillId="6" borderId="4" xfId="21" applyNumberFormat="1" applyFont="1" applyFill="1" applyBorder="1" applyAlignment="1">
      <alignment vertical="center"/>
    </xf>
    <xf numFmtId="0" fontId="98" fillId="6" borderId="8" xfId="21" applyFont="1" applyFill="1" applyBorder="1" applyAlignment="1">
      <alignment horizontal="right" vertical="center"/>
    </xf>
    <xf numFmtId="0" fontId="45" fillId="5" borderId="0" xfId="3" applyFont="1" applyFill="1" applyAlignment="1">
      <alignment vertical="center"/>
    </xf>
    <xf numFmtId="0" fontId="5" fillId="5" borderId="0" xfId="3" applyFill="1" applyAlignment="1">
      <alignment vertical="center"/>
    </xf>
    <xf numFmtId="0" fontId="41" fillId="6" borderId="11" xfId="21" applyFont="1" applyFill="1" applyBorder="1" applyAlignment="1">
      <alignment vertical="center"/>
    </xf>
    <xf numFmtId="49" fontId="34" fillId="6" borderId="20" xfId="0" applyNumberFormat="1" applyFont="1" applyFill="1" applyBorder="1" applyAlignment="1" applyProtection="1">
      <alignment horizontal="left" vertical="center"/>
      <protection locked="0"/>
    </xf>
    <xf numFmtId="11" fontId="20" fillId="6" borderId="11" xfId="4" applyNumberFormat="1" applyFont="1" applyFill="1" applyBorder="1" applyProtection="1">
      <protection locked="0"/>
    </xf>
    <xf numFmtId="11" fontId="20" fillId="6" borderId="0" xfId="4" applyNumberFormat="1" applyFont="1" applyFill="1" applyProtection="1">
      <protection locked="0"/>
    </xf>
    <xf numFmtId="11" fontId="20" fillId="6" borderId="4" xfId="4" applyNumberFormat="1" applyFont="1" applyFill="1" applyBorder="1" applyProtection="1">
      <protection locked="0"/>
    </xf>
    <xf numFmtId="43" fontId="10" fillId="9" borderId="4" xfId="1" applyFont="1" applyFill="1" applyBorder="1" applyAlignment="1">
      <alignment horizontal="center"/>
    </xf>
    <xf numFmtId="43" fontId="12" fillId="2" borderId="0" xfId="1" applyFont="1" applyFill="1"/>
    <xf numFmtId="43" fontId="0" fillId="9" borderId="0" xfId="1" applyFont="1" applyFill="1"/>
    <xf numFmtId="0" fontId="0" fillId="9" borderId="4" xfId="0" applyFill="1" applyBorder="1"/>
    <xf numFmtId="43" fontId="0" fillId="9" borderId="4" xfId="1" applyFont="1" applyFill="1" applyBorder="1"/>
    <xf numFmtId="173" fontId="0" fillId="11" borderId="0" xfId="4" applyNumberFormat="1" applyFont="1" applyFill="1" applyAlignment="1">
      <alignment vertical="center"/>
    </xf>
    <xf numFmtId="43" fontId="0" fillId="11" borderId="9" xfId="1" applyFont="1" applyFill="1" applyBorder="1" applyAlignment="1">
      <alignment vertical="center"/>
    </xf>
    <xf numFmtId="43" fontId="0" fillId="11" borderId="0" xfId="1" applyFont="1" applyFill="1" applyAlignment="1">
      <alignment vertical="center"/>
    </xf>
    <xf numFmtId="43" fontId="0" fillId="11" borderId="4" xfId="1" applyFont="1" applyFill="1" applyBorder="1" applyAlignment="1">
      <alignment vertical="center"/>
    </xf>
    <xf numFmtId="0" fontId="111" fillId="2" borderId="0" xfId="0" applyFont="1" applyFill="1"/>
    <xf numFmtId="0" fontId="26" fillId="2" borderId="0" xfId="0" applyFont="1" applyFill="1"/>
    <xf numFmtId="0" fontId="26" fillId="2" borderId="8" xfId="21" applyFont="1" applyFill="1" applyBorder="1" applyAlignment="1">
      <alignment horizontal="center" vertical="center"/>
    </xf>
    <xf numFmtId="0" fontId="41" fillId="2" borderId="0" xfId="0" applyFont="1" applyFill="1" applyAlignment="1">
      <alignment vertical="center"/>
    </xf>
    <xf numFmtId="0" fontId="41" fillId="2" borderId="4" xfId="0" applyFont="1" applyFill="1" applyBorder="1" applyAlignment="1">
      <alignment vertical="center"/>
    </xf>
    <xf numFmtId="0" fontId="5" fillId="2" borderId="0" xfId="0" applyFont="1" applyFill="1" applyAlignment="1">
      <alignment horizontal="right" vertical="center"/>
    </xf>
    <xf numFmtId="0" fontId="111" fillId="2" borderId="0" xfId="0" applyFont="1" applyFill="1" applyAlignment="1">
      <alignment vertical="center"/>
    </xf>
    <xf numFmtId="0" fontId="26" fillId="2" borderId="8" xfId="21" applyFont="1" applyFill="1" applyBorder="1" applyAlignment="1">
      <alignment horizontal="left" vertical="center"/>
    </xf>
    <xf numFmtId="0" fontId="41" fillId="2" borderId="19" xfId="21" applyFont="1" applyFill="1" applyBorder="1" applyAlignment="1">
      <alignment vertical="center"/>
    </xf>
    <xf numFmtId="0" fontId="41" fillId="2" borderId="0" xfId="21" applyFont="1" applyFill="1" applyAlignment="1">
      <alignment vertical="center"/>
    </xf>
    <xf numFmtId="0" fontId="41" fillId="2" borderId="11" xfId="21" applyFont="1" applyFill="1" applyBorder="1" applyAlignment="1">
      <alignment vertical="center"/>
    </xf>
    <xf numFmtId="0" fontId="41" fillId="2" borderId="4" xfId="21" applyFont="1" applyFill="1" applyBorder="1" applyAlignment="1">
      <alignment vertical="center"/>
    </xf>
    <xf numFmtId="0" fontId="3" fillId="2" borderId="5" xfId="3" applyFont="1" applyFill="1" applyBorder="1" applyAlignment="1">
      <alignment horizontal="left" vertical="center"/>
    </xf>
    <xf numFmtId="0" fontId="26" fillId="2" borderId="3" xfId="0" applyFont="1" applyFill="1" applyBorder="1" applyAlignment="1">
      <alignment horizontal="right"/>
    </xf>
    <xf numFmtId="0" fontId="12" fillId="2" borderId="0" xfId="0" applyFont="1" applyFill="1" applyAlignment="1">
      <alignment horizontal="right"/>
    </xf>
    <xf numFmtId="0" fontId="23" fillId="2" borderId="0" xfId="0" applyFont="1" applyFill="1" applyAlignment="1">
      <alignment horizontal="right"/>
    </xf>
    <xf numFmtId="43" fontId="12" fillId="2" borderId="0" xfId="1" applyFont="1" applyFill="1" applyAlignment="1">
      <alignment horizontal="right"/>
    </xf>
    <xf numFmtId="43" fontId="12" fillId="2" borderId="4" xfId="1" applyFont="1" applyFill="1" applyBorder="1" applyAlignment="1">
      <alignment horizontal="right"/>
    </xf>
    <xf numFmtId="43" fontId="3" fillId="2" borderId="0" xfId="1" applyFont="1" applyFill="1" applyAlignment="1">
      <alignment horizontal="right"/>
    </xf>
    <xf numFmtId="0" fontId="3" fillId="2" borderId="0" xfId="0" applyFont="1" applyFill="1" applyAlignment="1">
      <alignment horizontal="left" vertical="center" wrapText="1"/>
    </xf>
    <xf numFmtId="0" fontId="3" fillId="2" borderId="3" xfId="0" applyFont="1" applyFill="1" applyBorder="1" applyAlignment="1">
      <alignment horizontal="left" vertical="center" wrapText="1"/>
    </xf>
    <xf numFmtId="43" fontId="3" fillId="2" borderId="4" xfId="1" applyFont="1" applyFill="1" applyBorder="1" applyAlignment="1">
      <alignment horizontal="right"/>
    </xf>
    <xf numFmtId="165" fontId="3" fillId="9" borderId="3" xfId="0" applyNumberFormat="1" applyFont="1" applyFill="1" applyBorder="1" applyAlignment="1">
      <alignment horizontal="center" vertical="center"/>
    </xf>
    <xf numFmtId="0" fontId="0" fillId="9" borderId="0" xfId="0" applyFill="1" applyAlignment="1">
      <alignment horizontal="center" vertical="center"/>
    </xf>
    <xf numFmtId="0" fontId="14" fillId="2" borderId="0" xfId="3" applyFont="1" applyFill="1" applyAlignment="1" applyProtection="1">
      <alignment horizontal="right"/>
      <protection locked="0"/>
    </xf>
    <xf numFmtId="43" fontId="12" fillId="2" borderId="4" xfId="1" applyFont="1" applyFill="1" applyBorder="1"/>
    <xf numFmtId="43" fontId="14" fillId="9" borderId="3" xfId="0" applyNumberFormat="1" applyFont="1" applyFill="1" applyBorder="1" applyAlignment="1">
      <alignment horizontal="center"/>
    </xf>
    <xf numFmtId="43" fontId="1" fillId="9" borderId="0" xfId="1" applyFont="1" applyFill="1" applyAlignment="1">
      <alignment horizontal="right"/>
    </xf>
    <xf numFmtId="43" fontId="1" fillId="9" borderId="4" xfId="1" applyFont="1" applyFill="1" applyBorder="1" applyAlignment="1">
      <alignment horizontal="right"/>
    </xf>
    <xf numFmtId="0" fontId="12" fillId="9" borderId="0" xfId="0" applyFont="1" applyFill="1" applyAlignment="1">
      <alignment vertical="center"/>
    </xf>
    <xf numFmtId="0" fontId="33" fillId="6" borderId="0" xfId="3" applyFont="1" applyFill="1" applyAlignment="1">
      <alignment vertical="center"/>
    </xf>
    <xf numFmtId="9" fontId="5" fillId="6" borderId="0" xfId="3" applyNumberFormat="1" applyFill="1" applyAlignment="1">
      <alignment vertical="center"/>
    </xf>
    <xf numFmtId="195" fontId="15" fillId="6" borderId="0" xfId="6" applyNumberFormat="1" applyFont="1" applyFill="1" applyBorder="1" applyAlignment="1" applyProtection="1">
      <alignment vertical="center"/>
      <protection locked="0"/>
    </xf>
    <xf numFmtId="173" fontId="46" fillId="6" borderId="11" xfId="4" applyNumberFormat="1" applyFont="1" applyFill="1" applyBorder="1" applyAlignment="1" applyProtection="1">
      <alignment vertical="center"/>
      <protection locked="0"/>
    </xf>
    <xf numFmtId="173" fontId="46" fillId="6" borderId="0" xfId="4" applyNumberFormat="1" applyFont="1" applyFill="1" applyBorder="1" applyAlignment="1" applyProtection="1">
      <alignment vertical="center"/>
      <protection locked="0"/>
    </xf>
    <xf numFmtId="173" fontId="46" fillId="6" borderId="4" xfId="4" applyNumberFormat="1" applyFont="1" applyFill="1" applyBorder="1" applyAlignment="1" applyProtection="1">
      <alignment vertical="center"/>
      <protection locked="0"/>
    </xf>
    <xf numFmtId="176" fontId="46" fillId="6" borderId="4" xfId="6" applyFont="1" applyFill="1" applyBorder="1" applyAlignment="1" applyProtection="1">
      <alignment vertical="center"/>
      <protection locked="0"/>
    </xf>
    <xf numFmtId="0" fontId="98" fillId="0" borderId="0" xfId="0" applyFont="1" applyAlignment="1">
      <alignment horizontal="right" vertical="center"/>
    </xf>
    <xf numFmtId="0" fontId="10" fillId="0" borderId="0" xfId="0" applyFont="1" applyAlignment="1">
      <alignment horizontal="center"/>
    </xf>
    <xf numFmtId="0" fontId="16" fillId="0" borderId="0" xfId="0" applyFont="1" applyAlignment="1">
      <alignment horizontal="right"/>
    </xf>
    <xf numFmtId="0" fontId="112" fillId="0" borderId="0" xfId="0" applyFont="1" applyAlignment="1">
      <alignment horizontal="right"/>
    </xf>
    <xf numFmtId="0" fontId="16" fillId="2" borderId="9" xfId="0" applyFont="1" applyFill="1" applyBorder="1"/>
    <xf numFmtId="0" fontId="20" fillId="2" borderId="9" xfId="0" applyFont="1" applyFill="1" applyBorder="1" applyAlignment="1">
      <alignment vertical="center"/>
    </xf>
    <xf numFmtId="166" fontId="10" fillId="0" borderId="9" xfId="1" applyNumberFormat="1" applyFont="1" applyBorder="1"/>
    <xf numFmtId="166" fontId="10" fillId="0" borderId="9" xfId="1" applyNumberFormat="1" applyFont="1" applyBorder="1" applyAlignment="1">
      <alignment horizontal="right"/>
    </xf>
    <xf numFmtId="0" fontId="20" fillId="2" borderId="4" xfId="0" applyFont="1" applyFill="1" applyBorder="1" applyAlignment="1">
      <alignment vertical="center"/>
    </xf>
    <xf numFmtId="166" fontId="10" fillId="0" borderId="4" xfId="1" applyNumberFormat="1" applyFont="1" applyBorder="1"/>
    <xf numFmtId="166" fontId="10" fillId="0" borderId="4" xfId="1" applyNumberFormat="1" applyFont="1" applyBorder="1" applyAlignment="1">
      <alignment horizontal="right"/>
    </xf>
    <xf numFmtId="0" fontId="98" fillId="0" borderId="0" xfId="0" applyFont="1" applyAlignment="1">
      <alignment horizontal="left" vertical="center" wrapText="1"/>
    </xf>
    <xf numFmtId="0" fontId="10" fillId="0" borderId="0" xfId="0" applyFont="1"/>
    <xf numFmtId="0" fontId="98" fillId="0" borderId="0" xfId="0" applyFont="1" applyAlignment="1">
      <alignment horizontal="right"/>
    </xf>
    <xf numFmtId="0" fontId="20" fillId="2" borderId="3" xfId="0" applyFont="1" applyFill="1" applyBorder="1" applyAlignment="1">
      <alignment vertical="center"/>
    </xf>
    <xf numFmtId="0" fontId="10" fillId="0" borderId="3" xfId="0" applyFont="1" applyBorder="1"/>
    <xf numFmtId="0" fontId="10" fillId="0" borderId="3" xfId="0" applyFont="1" applyBorder="1" applyAlignment="1">
      <alignment horizontal="right"/>
    </xf>
    <xf numFmtId="0" fontId="98" fillId="0" borderId="0" xfId="0" applyFont="1" applyAlignment="1">
      <alignment horizontal="left" vertical="center"/>
    </xf>
    <xf numFmtId="0" fontId="98" fillId="0" borderId="0" xfId="0" applyFont="1" applyAlignment="1">
      <alignment vertical="center" wrapText="1"/>
    </xf>
    <xf numFmtId="11" fontId="0" fillId="0" borderId="4" xfId="0" applyNumberFormat="1" applyBorder="1"/>
    <xf numFmtId="0" fontId="12" fillId="9" borderId="4" xfId="0" applyFont="1" applyFill="1" applyBorder="1" applyAlignment="1">
      <alignment vertical="center"/>
    </xf>
    <xf numFmtId="2" fontId="1" fillId="9" borderId="0" xfId="1" applyNumberFormat="1" applyFont="1" applyFill="1" applyAlignment="1">
      <alignment horizontal="center"/>
    </xf>
    <xf numFmtId="2" fontId="0" fillId="9" borderId="0" xfId="1" applyNumberFormat="1" applyFont="1" applyFill="1" applyAlignment="1">
      <alignment horizontal="center"/>
    </xf>
    <xf numFmtId="2" fontId="1" fillId="9" borderId="4" xfId="1" applyNumberFormat="1" applyFont="1" applyFill="1" applyBorder="1" applyAlignment="1">
      <alignment horizontal="center"/>
    </xf>
    <xf numFmtId="43" fontId="0" fillId="9" borderId="0" xfId="1" applyFont="1" applyFill="1" applyBorder="1" applyAlignment="1">
      <alignment vertical="center"/>
    </xf>
    <xf numFmtId="43" fontId="0" fillId="17" borderId="11" xfId="1" applyFont="1" applyFill="1" applyBorder="1" applyAlignment="1">
      <alignment horizontal="right" vertical="center"/>
    </xf>
    <xf numFmtId="43" fontId="0" fillId="17" borderId="0" xfId="1" applyFont="1" applyFill="1" applyBorder="1" applyAlignment="1">
      <alignment horizontal="right" vertical="center"/>
    </xf>
    <xf numFmtId="43" fontId="3" fillId="17" borderId="18" xfId="1" applyFont="1" applyFill="1" applyBorder="1" applyAlignment="1">
      <alignment horizontal="right" vertical="center"/>
    </xf>
    <xf numFmtId="0" fontId="3" fillId="2" borderId="12" xfId="0" applyFont="1" applyFill="1" applyBorder="1" applyAlignment="1">
      <alignment horizontal="left" vertical="center"/>
    </xf>
    <xf numFmtId="0" fontId="0" fillId="2" borderId="9" xfId="0" applyFill="1" applyBorder="1" applyAlignment="1">
      <alignment horizontal="center" vertical="center"/>
    </xf>
    <xf numFmtId="43" fontId="0" fillId="2" borderId="9" xfId="1" applyFont="1" applyFill="1" applyBorder="1"/>
    <xf numFmtId="43" fontId="0" fillId="2" borderId="0" xfId="1" applyFont="1" applyFill="1" applyBorder="1"/>
    <xf numFmtId="0" fontId="0" fillId="2" borderId="9" xfId="0" applyFill="1" applyBorder="1"/>
    <xf numFmtId="43" fontId="0" fillId="2" borderId="9" xfId="1" applyFont="1" applyFill="1" applyBorder="1" applyAlignment="1"/>
    <xf numFmtId="43" fontId="0" fillId="2" borderId="0" xfId="1" applyFont="1" applyFill="1" applyBorder="1" applyAlignment="1"/>
    <xf numFmtId="43" fontId="0" fillId="2" borderId="4" xfId="1" applyFont="1" applyFill="1" applyBorder="1" applyAlignment="1"/>
    <xf numFmtId="0" fontId="30" fillId="17" borderId="44" xfId="0" applyFont="1" applyFill="1" applyBorder="1" applyAlignment="1">
      <alignment horizontal="left" vertical="center"/>
    </xf>
    <xf numFmtId="167" fontId="12" fillId="2" borderId="0" xfId="1" applyNumberFormat="1" applyFont="1" applyFill="1" applyAlignment="1">
      <alignment horizontal="right"/>
    </xf>
    <xf numFmtId="167" fontId="12" fillId="2" borderId="4" xfId="1" applyNumberFormat="1" applyFont="1" applyFill="1" applyBorder="1" applyAlignment="1">
      <alignment horizontal="right"/>
    </xf>
    <xf numFmtId="185" fontId="12" fillId="2" borderId="0" xfId="1" applyNumberFormat="1" applyFont="1" applyFill="1" applyAlignment="1">
      <alignment horizontal="right"/>
    </xf>
    <xf numFmtId="0" fontId="16" fillId="2" borderId="3" xfId="0" applyFont="1" applyFill="1" applyBorder="1" applyAlignment="1">
      <alignment horizontal="left"/>
    </xf>
    <xf numFmtId="0" fontId="10" fillId="2" borderId="3" xfId="0" applyFont="1" applyFill="1" applyBorder="1"/>
    <xf numFmtId="43" fontId="10" fillId="2" borderId="0" xfId="1" applyFont="1" applyFill="1"/>
    <xf numFmtId="0" fontId="16" fillId="2" borderId="9" xfId="0" applyFont="1" applyFill="1" applyBorder="1" applyAlignment="1">
      <alignment horizontal="right"/>
    </xf>
    <xf numFmtId="2" fontId="10" fillId="2" borderId="9" xfId="1" applyNumberFormat="1" applyFont="1" applyFill="1" applyBorder="1"/>
    <xf numFmtId="0" fontId="10" fillId="2" borderId="4" xfId="0" applyFont="1" applyFill="1" applyBorder="1"/>
    <xf numFmtId="2" fontId="10" fillId="2" borderId="4" xfId="1" applyNumberFormat="1" applyFont="1" applyFill="1" applyBorder="1"/>
    <xf numFmtId="2" fontId="10" fillId="2" borderId="4" xfId="0" applyNumberFormat="1" applyFont="1" applyFill="1" applyBorder="1"/>
    <xf numFmtId="43" fontId="10" fillId="2" borderId="3" xfId="1" applyFont="1" applyFill="1" applyBorder="1"/>
    <xf numFmtId="43" fontId="10" fillId="2" borderId="9" xfId="1" applyFont="1" applyFill="1" applyBorder="1"/>
    <xf numFmtId="189" fontId="10" fillId="2" borderId="22" xfId="4" applyNumberFormat="1" applyFont="1" applyFill="1" applyBorder="1" applyAlignment="1">
      <alignment vertical="center"/>
    </xf>
    <xf numFmtId="0" fontId="30" fillId="33" borderId="8" xfId="0" applyFont="1" applyFill="1" applyBorder="1" applyAlignment="1" applyProtection="1">
      <alignment horizontal="right" vertical="center"/>
      <protection locked="0"/>
    </xf>
    <xf numFmtId="43" fontId="3" fillId="2" borderId="3" xfId="1" applyFont="1" applyFill="1" applyBorder="1"/>
    <xf numFmtId="0" fontId="72" fillId="4" borderId="0" xfId="0" applyFont="1" applyFill="1" applyAlignment="1">
      <alignment horizontal="left"/>
    </xf>
    <xf numFmtId="0" fontId="72" fillId="4" borderId="0" xfId="0" applyFont="1" applyFill="1"/>
    <xf numFmtId="0" fontId="7" fillId="0" borderId="0" xfId="0" applyFont="1" applyAlignment="1">
      <alignment horizontal="center"/>
    </xf>
    <xf numFmtId="0" fontId="113" fillId="0" borderId="0" xfId="0" applyFont="1" applyAlignment="1">
      <alignment vertical="center" wrapText="1"/>
    </xf>
    <xf numFmtId="0" fontId="7" fillId="0" borderId="0" xfId="0" applyFont="1"/>
    <xf numFmtId="0" fontId="3" fillId="2" borderId="8" xfId="21" applyFont="1" applyFill="1" applyBorder="1" applyAlignment="1">
      <alignment horizontal="right" vertical="center"/>
    </xf>
    <xf numFmtId="189" fontId="0" fillId="2" borderId="0" xfId="4" applyNumberFormat="1" applyFont="1" applyFill="1" applyAlignment="1">
      <alignment vertical="center"/>
    </xf>
    <xf numFmtId="189" fontId="0" fillId="2" borderId="4" xfId="4" applyNumberFormat="1" applyFont="1" applyFill="1" applyBorder="1" applyAlignment="1">
      <alignment vertical="center"/>
    </xf>
    <xf numFmtId="0" fontId="14" fillId="4" borderId="3" xfId="3" applyFont="1" applyFill="1" applyBorder="1" applyAlignment="1">
      <alignment horizontal="right" vertical="center"/>
    </xf>
    <xf numFmtId="0" fontId="0" fillId="15" borderId="19" xfId="0" applyFill="1" applyBorder="1" applyAlignment="1">
      <alignment vertical="center"/>
    </xf>
    <xf numFmtId="172" fontId="0" fillId="15" borderId="19" xfId="4" applyFont="1" applyFill="1" applyBorder="1" applyAlignment="1">
      <alignment horizontal="right" vertical="center"/>
    </xf>
    <xf numFmtId="0" fontId="23" fillId="32" borderId="0" xfId="0" applyFont="1" applyFill="1" applyAlignment="1">
      <alignment horizontal="right"/>
    </xf>
    <xf numFmtId="43" fontId="12" fillId="4" borderId="0" xfId="1" applyFont="1" applyFill="1" applyBorder="1" applyAlignment="1">
      <alignment horizontal="right" vertical="center"/>
    </xf>
    <xf numFmtId="43" fontId="0" fillId="4" borderId="0" xfId="1" applyFont="1" applyFill="1"/>
    <xf numFmtId="43" fontId="0" fillId="4" borderId="4" xfId="1" applyFont="1" applyFill="1" applyBorder="1"/>
    <xf numFmtId="0" fontId="29" fillId="6" borderId="0" xfId="5" applyFont="1" applyFill="1"/>
    <xf numFmtId="0" fontId="29" fillId="15" borderId="0" xfId="0" applyFont="1" applyFill="1"/>
    <xf numFmtId="0" fontId="29" fillId="15" borderId="15" xfId="0" applyFont="1" applyFill="1" applyBorder="1"/>
    <xf numFmtId="0" fontId="29" fillId="17" borderId="0" xfId="0" applyFont="1" applyFill="1"/>
    <xf numFmtId="0" fontId="38" fillId="18" borderId="6" xfId="0" applyFont="1" applyFill="1" applyBorder="1" applyAlignment="1">
      <alignment horizontal="left" vertical="center" indent="1"/>
    </xf>
    <xf numFmtId="0" fontId="29" fillId="19" borderId="0" xfId="0" applyFont="1" applyFill="1"/>
    <xf numFmtId="0" fontId="40" fillId="19" borderId="15" xfId="0" applyFont="1" applyFill="1" applyBorder="1"/>
    <xf numFmtId="0" fontId="37" fillId="13" borderId="0" xfId="0" applyFont="1" applyFill="1"/>
    <xf numFmtId="0" fontId="29" fillId="13" borderId="0" xfId="0" applyFont="1" applyFill="1"/>
    <xf numFmtId="0" fontId="104" fillId="4" borderId="0" xfId="0" applyFont="1" applyFill="1" applyAlignment="1">
      <alignment horizontal="left" vertical="center"/>
    </xf>
    <xf numFmtId="0" fontId="104" fillId="4" borderId="0" xfId="0" applyFont="1" applyFill="1" applyAlignment="1">
      <alignment horizontal="left"/>
    </xf>
    <xf numFmtId="0" fontId="16" fillId="2" borderId="0" xfId="3" applyFont="1" applyFill="1"/>
    <xf numFmtId="0" fontId="79" fillId="2" borderId="0" xfId="3" applyFont="1" applyFill="1"/>
    <xf numFmtId="0" fontId="79" fillId="2" borderId="0" xfId="3" applyFont="1" applyFill="1" applyAlignment="1">
      <alignment horizontal="right"/>
    </xf>
    <xf numFmtId="0" fontId="88" fillId="2" borderId="0" xfId="3" applyFont="1" applyFill="1" applyAlignment="1">
      <alignment horizontal="left"/>
    </xf>
    <xf numFmtId="0" fontId="14" fillId="2" borderId="0" xfId="0" applyFont="1" applyFill="1" applyAlignment="1">
      <alignment horizontal="left" vertical="center"/>
    </xf>
    <xf numFmtId="0" fontId="63" fillId="26" borderId="24" xfId="0" applyFont="1" applyFill="1" applyBorder="1" applyAlignment="1">
      <alignment vertical="center"/>
    </xf>
    <xf numFmtId="0" fontId="14" fillId="2" borderId="4" xfId="0" applyFont="1" applyFill="1" applyBorder="1" applyAlignment="1">
      <alignment horizontal="left" vertical="center"/>
    </xf>
    <xf numFmtId="0" fontId="14" fillId="2" borderId="3" xfId="0" applyFont="1" applyFill="1" applyBorder="1" applyAlignment="1">
      <alignment horizontal="left" vertical="center"/>
    </xf>
    <xf numFmtId="0" fontId="14" fillId="2" borderId="30" xfId="0" applyFont="1" applyFill="1" applyBorder="1" applyAlignment="1">
      <alignment horizontal="left" vertical="center"/>
    </xf>
    <xf numFmtId="166" fontId="20" fillId="2" borderId="0" xfId="1" applyNumberFormat="1" applyFont="1" applyFill="1" applyBorder="1" applyAlignment="1">
      <alignment horizontal="center" vertical="center"/>
    </xf>
    <xf numFmtId="0" fontId="12" fillId="6" borderId="9" xfId="0" applyFont="1" applyFill="1" applyBorder="1" applyAlignment="1">
      <alignment vertical="center"/>
    </xf>
    <xf numFmtId="0" fontId="14" fillId="2" borderId="22" xfId="0" applyFont="1" applyFill="1" applyBorder="1" applyAlignment="1">
      <alignment horizontal="left" vertical="center"/>
    </xf>
    <xf numFmtId="0" fontId="14" fillId="2" borderId="3" xfId="0" applyFont="1" applyFill="1" applyBorder="1" applyAlignment="1">
      <alignment horizontal="right" vertical="center"/>
    </xf>
    <xf numFmtId="43" fontId="0" fillId="0" borderId="0" xfId="1" applyFont="1"/>
    <xf numFmtId="0" fontId="14" fillId="9" borderId="0" xfId="0" applyFont="1" applyFill="1" applyAlignment="1">
      <alignment horizontal="left" vertical="center"/>
    </xf>
    <xf numFmtId="0" fontId="23" fillId="9" borderId="0" xfId="0" applyFont="1" applyFill="1" applyAlignment="1">
      <alignment horizontal="right"/>
    </xf>
    <xf numFmtId="0" fontId="63" fillId="34" borderId="24" xfId="0" applyFont="1" applyFill="1" applyBorder="1" applyAlignment="1">
      <alignment vertical="center"/>
    </xf>
    <xf numFmtId="166" fontId="12" fillId="9" borderId="0" xfId="1" applyNumberFormat="1" applyFont="1" applyFill="1" applyBorder="1" applyAlignment="1">
      <alignment horizontal="center" vertical="center"/>
    </xf>
    <xf numFmtId="166" fontId="100" fillId="9" borderId="0" xfId="1" applyNumberFormat="1" applyFont="1" applyFill="1" applyBorder="1" applyAlignment="1">
      <alignment horizontal="center" vertical="center"/>
    </xf>
    <xf numFmtId="166" fontId="20" fillId="9" borderId="0" xfId="1" applyNumberFormat="1" applyFont="1" applyFill="1" applyBorder="1" applyAlignment="1">
      <alignment horizontal="center" vertical="center"/>
    </xf>
    <xf numFmtId="0" fontId="14" fillId="9" borderId="4" xfId="0" applyFont="1" applyFill="1" applyBorder="1" applyAlignment="1">
      <alignment horizontal="left" vertical="center"/>
    </xf>
    <xf numFmtId="0" fontId="14" fillId="9" borderId="3" xfId="0" applyFont="1" applyFill="1" applyBorder="1" applyAlignment="1">
      <alignment horizontal="right" vertical="center"/>
    </xf>
    <xf numFmtId="3" fontId="14" fillId="9" borderId="3" xfId="0" applyNumberFormat="1" applyFont="1" applyFill="1" applyBorder="1" applyAlignment="1">
      <alignment horizontal="center" vertical="center"/>
    </xf>
    <xf numFmtId="3" fontId="12" fillId="9" borderId="0" xfId="0" applyNumberFormat="1" applyFont="1" applyFill="1" applyAlignment="1">
      <alignment horizontal="center" vertical="center"/>
    </xf>
    <xf numFmtId="0" fontId="14" fillId="9" borderId="22" xfId="0" applyFont="1" applyFill="1" applyBorder="1" applyAlignment="1">
      <alignment horizontal="left" vertical="center"/>
    </xf>
    <xf numFmtId="166" fontId="100" fillId="9" borderId="22" xfId="1" applyNumberFormat="1" applyFont="1" applyFill="1" applyBorder="1" applyAlignment="1">
      <alignment horizontal="center" vertical="center"/>
    </xf>
    <xf numFmtId="166" fontId="12" fillId="9" borderId="22" xfId="1" applyNumberFormat="1" applyFont="1" applyFill="1" applyBorder="1" applyAlignment="1">
      <alignment horizontal="center" vertical="center"/>
    </xf>
    <xf numFmtId="0" fontId="14" fillId="9" borderId="30" xfId="0" applyFont="1" applyFill="1" applyBorder="1" applyAlignment="1">
      <alignment horizontal="left" vertical="center"/>
    </xf>
    <xf numFmtId="166" fontId="12" fillId="9" borderId="30" xfId="1" applyNumberFormat="1" applyFont="1" applyFill="1" applyBorder="1" applyAlignment="1">
      <alignment horizontal="center" vertical="center"/>
    </xf>
    <xf numFmtId="166" fontId="100" fillId="9" borderId="30" xfId="1" applyNumberFormat="1" applyFont="1" applyFill="1" applyBorder="1" applyAlignment="1">
      <alignment horizontal="center" vertical="center"/>
    </xf>
    <xf numFmtId="43" fontId="15" fillId="6" borderId="0" xfId="1" applyFont="1" applyFill="1" applyBorder="1" applyAlignment="1" applyProtection="1">
      <alignment vertical="center"/>
      <protection locked="0"/>
    </xf>
    <xf numFmtId="0" fontId="0" fillId="0" borderId="0" xfId="0" applyAlignment="1">
      <alignment vertical="center"/>
    </xf>
    <xf numFmtId="173" fontId="2" fillId="6" borderId="0" xfId="0" applyNumberFormat="1" applyFont="1" applyFill="1"/>
    <xf numFmtId="175" fontId="0" fillId="6" borderId="0" xfId="4" applyNumberFormat="1" applyFont="1" applyFill="1" applyAlignment="1">
      <alignment horizontal="right" vertical="center"/>
    </xf>
    <xf numFmtId="0" fontId="2" fillId="6" borderId="0" xfId="3" applyFont="1" applyFill="1" applyAlignment="1">
      <alignment vertical="center"/>
    </xf>
    <xf numFmtId="10" fontId="2" fillId="6" borderId="0" xfId="6" applyNumberFormat="1" applyFont="1" applyFill="1" applyBorder="1" applyAlignment="1">
      <alignment vertical="center"/>
    </xf>
    <xf numFmtId="9" fontId="2" fillId="6" borderId="0" xfId="6" applyNumberFormat="1" applyFont="1" applyFill="1" applyBorder="1" applyAlignment="1">
      <alignment vertical="center"/>
    </xf>
    <xf numFmtId="171" fontId="2" fillId="6" borderId="0" xfId="6" applyNumberFormat="1" applyFont="1" applyFill="1" applyBorder="1" applyAlignment="1">
      <alignment horizontal="right" vertical="center"/>
    </xf>
    <xf numFmtId="0" fontId="7" fillId="6" borderId="0" xfId="0" applyFont="1" applyFill="1"/>
    <xf numFmtId="0" fontId="2" fillId="6" borderId="0" xfId="3" applyFont="1" applyFill="1" applyAlignment="1">
      <alignment vertical="center" wrapText="1"/>
    </xf>
    <xf numFmtId="166" fontId="2" fillId="6" borderId="0" xfId="1" applyNumberFormat="1" applyFont="1" applyFill="1" applyBorder="1"/>
    <xf numFmtId="0" fontId="0" fillId="6" borderId="0" xfId="3" applyFont="1" applyFill="1" applyAlignment="1">
      <alignment vertical="center"/>
    </xf>
    <xf numFmtId="0" fontId="2" fillId="6" borderId="15" xfId="0" applyFont="1" applyFill="1" applyBorder="1" applyAlignment="1">
      <alignment horizontal="right"/>
    </xf>
    <xf numFmtId="0" fontId="2" fillId="6" borderId="15" xfId="0" applyFont="1" applyFill="1" applyBorder="1"/>
    <xf numFmtId="173" fontId="0" fillId="0" borderId="0" xfId="4" applyNumberFormat="1" applyFont="1"/>
    <xf numFmtId="10" fontId="10" fillId="6" borderId="0" xfId="6" applyNumberFormat="1" applyFont="1" applyFill="1" applyBorder="1" applyAlignment="1">
      <alignment vertical="center"/>
    </xf>
    <xf numFmtId="0" fontId="10" fillId="6" borderId="9" xfId="0" applyFont="1" applyFill="1" applyBorder="1"/>
    <xf numFmtId="10" fontId="10" fillId="6" borderId="9" xfId="6" applyNumberFormat="1" applyFont="1" applyFill="1" applyBorder="1" applyAlignment="1">
      <alignment vertical="center"/>
    </xf>
    <xf numFmtId="9" fontId="10" fillId="6" borderId="9" xfId="6" applyNumberFormat="1" applyFont="1" applyFill="1" applyBorder="1" applyAlignment="1">
      <alignment vertical="center"/>
    </xf>
    <xf numFmtId="0" fontId="10" fillId="6" borderId="7" xfId="0" applyFont="1" applyFill="1" applyBorder="1"/>
    <xf numFmtId="0" fontId="20" fillId="6" borderId="0" xfId="3" applyFont="1" applyFill="1" applyAlignment="1">
      <alignment horizontal="right"/>
    </xf>
    <xf numFmtId="0" fontId="10" fillId="6" borderId="3" xfId="0" applyFont="1" applyFill="1" applyBorder="1"/>
    <xf numFmtId="166" fontId="10" fillId="6" borderId="3" xfId="1" applyNumberFormat="1" applyFont="1" applyFill="1" applyBorder="1"/>
    <xf numFmtId="166" fontId="10" fillId="6" borderId="0" xfId="1" applyNumberFormat="1" applyFont="1" applyFill="1" applyBorder="1"/>
    <xf numFmtId="175" fontId="10" fillId="6" borderId="0" xfId="4" applyNumberFormat="1" applyFont="1" applyFill="1" applyAlignment="1">
      <alignment horizontal="right" vertical="center"/>
    </xf>
    <xf numFmtId="0" fontId="10" fillId="6" borderId="0" xfId="0" applyFont="1" applyFill="1" applyAlignment="1">
      <alignment horizontal="right"/>
    </xf>
    <xf numFmtId="2" fontId="10" fillId="6" borderId="0" xfId="0" applyNumberFormat="1" applyFont="1" applyFill="1" applyAlignment="1">
      <alignment horizontal="center" vertical="center"/>
    </xf>
    <xf numFmtId="2" fontId="10" fillId="6" borderId="0" xfId="2" applyNumberFormat="1" applyFont="1" applyFill="1" applyAlignment="1">
      <alignment horizontal="center" vertical="center"/>
    </xf>
    <xf numFmtId="2" fontId="10" fillId="6" borderId="0" xfId="2" applyNumberFormat="1" applyFont="1" applyFill="1" applyBorder="1" applyAlignment="1">
      <alignment horizontal="center" vertical="center"/>
    </xf>
    <xf numFmtId="0" fontId="10" fillId="6" borderId="0" xfId="0" applyFont="1" applyFill="1" applyAlignment="1">
      <alignment vertical="center"/>
    </xf>
    <xf numFmtId="2" fontId="10" fillId="6" borderId="9" xfId="2" applyNumberFormat="1" applyFont="1" applyFill="1" applyBorder="1" applyAlignment="1">
      <alignment horizontal="center" vertical="center"/>
    </xf>
    <xf numFmtId="9" fontId="10" fillId="6" borderId="0" xfId="6" applyNumberFormat="1" applyFont="1" applyFill="1" applyBorder="1" applyAlignment="1">
      <alignment vertical="center"/>
    </xf>
    <xf numFmtId="0" fontId="6" fillId="5" borderId="0" xfId="3" applyFont="1" applyFill="1" applyAlignment="1" applyProtection="1">
      <alignment vertical="center"/>
      <protection locked="0"/>
    </xf>
    <xf numFmtId="0" fontId="12" fillId="6" borderId="19" xfId="0" applyFont="1" applyFill="1" applyBorder="1"/>
    <xf numFmtId="9" fontId="23" fillId="6" borderId="0" xfId="2" applyFont="1" applyFill="1" applyBorder="1" applyAlignment="1" applyProtection="1">
      <alignment horizontal="right" vertical="center"/>
      <protection locked="0"/>
    </xf>
    <xf numFmtId="0" fontId="16" fillId="0" borderId="0" xfId="0" applyFont="1"/>
    <xf numFmtId="43" fontId="19" fillId="6" borderId="0" xfId="1" applyFont="1" applyFill="1" applyAlignment="1">
      <alignment vertical="center"/>
    </xf>
    <xf numFmtId="0" fontId="12" fillId="5" borderId="0" xfId="0" applyFont="1" applyFill="1" applyAlignment="1">
      <alignment vertical="center"/>
    </xf>
    <xf numFmtId="0" fontId="12" fillId="5" borderId="0" xfId="0" applyFont="1" applyFill="1" applyAlignment="1" applyProtection="1">
      <alignment vertical="center"/>
      <protection locked="0"/>
    </xf>
    <xf numFmtId="0" fontId="12" fillId="4" borderId="0" xfId="0" applyFont="1" applyFill="1" applyAlignment="1">
      <alignment horizontal="center"/>
    </xf>
    <xf numFmtId="0" fontId="5" fillId="7" borderId="0" xfId="3" applyFill="1"/>
    <xf numFmtId="0" fontId="5" fillId="7" borderId="0" xfId="3" applyFill="1" applyAlignment="1">
      <alignment horizontal="right"/>
    </xf>
    <xf numFmtId="0" fontId="5" fillId="6" borderId="7" xfId="3" applyFill="1" applyBorder="1"/>
    <xf numFmtId="0" fontId="106" fillId="7" borderId="0" xfId="3" applyFont="1" applyFill="1" applyAlignment="1">
      <alignment horizontal="right"/>
    </xf>
    <xf numFmtId="0" fontId="5" fillId="6" borderId="0" xfId="3" applyFill="1" applyAlignment="1">
      <alignment horizontal="right"/>
    </xf>
    <xf numFmtId="0" fontId="43" fillId="6" borderId="0" xfId="3" applyFont="1" applyFill="1" applyAlignment="1">
      <alignment vertical="top" wrapText="1"/>
    </xf>
    <xf numFmtId="0" fontId="0" fillId="6" borderId="0" xfId="24" applyFont="1" applyFill="1"/>
    <xf numFmtId="0" fontId="119" fillId="6" borderId="0" xfId="24" applyFont="1" applyFill="1" applyAlignment="1">
      <alignment horizontal="right"/>
    </xf>
    <xf numFmtId="0" fontId="26" fillId="6" borderId="48" xfId="24" applyFont="1" applyFill="1" applyBorder="1" applyAlignment="1">
      <alignment vertical="center"/>
    </xf>
    <xf numFmtId="0" fontId="26" fillId="6" borderId="4" xfId="0" applyFont="1" applyFill="1" applyBorder="1" applyAlignment="1">
      <alignment vertical="center"/>
    </xf>
    <xf numFmtId="0" fontId="5" fillId="6" borderId="0" xfId="3" applyFill="1" applyAlignment="1">
      <alignment horizontal="center" vertical="center"/>
    </xf>
    <xf numFmtId="0" fontId="16" fillId="6" borderId="0" xfId="11" applyFont="1" applyFill="1" applyAlignment="1">
      <alignment horizontal="right" vertical="center"/>
    </xf>
    <xf numFmtId="0" fontId="26" fillId="6" borderId="8" xfId="25" applyFont="1" applyFill="1" applyBorder="1" applyAlignment="1">
      <alignment vertical="center"/>
    </xf>
    <xf numFmtId="0" fontId="41" fillId="6" borderId="19" xfId="3" applyFont="1" applyFill="1" applyBorder="1" applyAlignment="1">
      <alignment vertical="center"/>
    </xf>
    <xf numFmtId="4" fontId="41" fillId="6" borderId="19" xfId="3" applyNumberFormat="1" applyFont="1" applyFill="1" applyBorder="1" applyAlignment="1">
      <alignment horizontal="right" vertical="center"/>
    </xf>
    <xf numFmtId="0" fontId="98" fillId="6" borderId="8" xfId="25" applyFont="1" applyFill="1" applyBorder="1" applyAlignment="1">
      <alignment vertical="center"/>
    </xf>
    <xf numFmtId="0" fontId="41" fillId="6" borderId="0" xfId="0" applyFont="1" applyFill="1" applyAlignment="1">
      <alignment horizontal="left"/>
    </xf>
    <xf numFmtId="43" fontId="41" fillId="6" borderId="0" xfId="1" applyFont="1" applyFill="1" applyAlignment="1">
      <alignment horizontal="left"/>
    </xf>
    <xf numFmtId="0" fontId="45" fillId="6" borderId="0" xfId="0" applyFont="1" applyFill="1"/>
    <xf numFmtId="0" fontId="5" fillId="6" borderId="0" xfId="0" applyFont="1" applyFill="1"/>
    <xf numFmtId="0" fontId="26" fillId="6" borderId="0" xfId="0" applyFont="1" applyFill="1" applyAlignment="1">
      <alignment horizontal="center"/>
    </xf>
    <xf numFmtId="0" fontId="26" fillId="6" borderId="4" xfId="0" applyFont="1" applyFill="1" applyBorder="1" applyAlignment="1">
      <alignment horizontal="center"/>
    </xf>
    <xf numFmtId="0" fontId="26" fillId="6" borderId="21" xfId="0" applyFont="1" applyFill="1" applyBorder="1" applyAlignment="1">
      <alignment vertical="center"/>
    </xf>
    <xf numFmtId="1" fontId="98" fillId="6" borderId="21" xfId="0" applyNumberFormat="1" applyFont="1" applyFill="1" applyBorder="1" applyAlignment="1">
      <alignment horizontal="right" vertical="center"/>
    </xf>
    <xf numFmtId="1" fontId="26" fillId="6" borderId="21" xfId="0" applyNumberFormat="1" applyFont="1" applyFill="1" applyBorder="1" applyAlignment="1">
      <alignment horizontal="right" vertical="center"/>
    </xf>
    <xf numFmtId="173" fontId="41" fillId="6" borderId="0" xfId="4" applyNumberFormat="1" applyFont="1" applyFill="1" applyAlignment="1">
      <alignment horizontal="right" vertical="center"/>
    </xf>
    <xf numFmtId="0" fontId="5" fillId="6" borderId="0" xfId="3" applyFill="1" applyAlignment="1">
      <alignment horizontal="left"/>
    </xf>
    <xf numFmtId="0" fontId="98" fillId="6" borderId="0" xfId="0" applyFont="1" applyFill="1" applyAlignment="1">
      <alignment horizontal="center"/>
    </xf>
    <xf numFmtId="0" fontId="26" fillId="6" borderId="0" xfId="0" applyFont="1" applyFill="1" applyAlignment="1">
      <alignment vertical="center"/>
    </xf>
    <xf numFmtId="0" fontId="3" fillId="15" borderId="0" xfId="0" applyFont="1" applyFill="1" applyAlignment="1">
      <alignment vertical="center"/>
    </xf>
    <xf numFmtId="0" fontId="26" fillId="15" borderId="0" xfId="0" applyFont="1" applyFill="1" applyAlignment="1">
      <alignment horizontal="right"/>
    </xf>
    <xf numFmtId="0" fontId="30" fillId="15" borderId="8" xfId="0" applyFont="1" applyFill="1" applyBorder="1" applyAlignment="1">
      <alignment horizontal="center" vertical="center"/>
    </xf>
    <xf numFmtId="0" fontId="30" fillId="15" borderId="8" xfId="0" applyFont="1" applyFill="1" applyBorder="1" applyAlignment="1" applyProtection="1">
      <alignment horizontal="right" vertical="center"/>
      <protection locked="0"/>
    </xf>
    <xf numFmtId="0" fontId="41" fillId="4" borderId="0" xfId="3" applyFont="1" applyFill="1"/>
    <xf numFmtId="0" fontId="3" fillId="17" borderId="0" xfId="0" applyFont="1" applyFill="1" applyAlignment="1">
      <alignment vertical="center"/>
    </xf>
    <xf numFmtId="0" fontId="26" fillId="17" borderId="0" xfId="0" applyFont="1" applyFill="1" applyAlignment="1">
      <alignment horizontal="right"/>
    </xf>
    <xf numFmtId="0" fontId="30" fillId="17" borderId="8" xfId="0" applyFont="1" applyFill="1" applyBorder="1" applyAlignment="1">
      <alignment horizontal="center" vertical="center"/>
    </xf>
    <xf numFmtId="0" fontId="30" fillId="17" borderId="8" xfId="0" applyFont="1" applyFill="1" applyBorder="1" applyAlignment="1" applyProtection="1">
      <alignment horizontal="center" vertical="center"/>
      <protection locked="0"/>
    </xf>
    <xf numFmtId="0" fontId="20" fillId="9" borderId="0" xfId="3" applyFont="1" applyFill="1" applyAlignment="1">
      <alignment horizontal="left" vertical="center" wrapText="1"/>
    </xf>
    <xf numFmtId="0" fontId="3" fillId="33" borderId="0" xfId="0" applyFont="1" applyFill="1" applyAlignment="1">
      <alignment vertical="center"/>
    </xf>
    <xf numFmtId="0" fontId="0" fillId="33" borderId="0" xfId="0" applyFill="1"/>
    <xf numFmtId="0" fontId="26" fillId="33" borderId="0" xfId="0" applyFont="1" applyFill="1" applyAlignment="1">
      <alignment horizontal="right"/>
    </xf>
    <xf numFmtId="0" fontId="30" fillId="33" borderId="8" xfId="0" applyFont="1" applyFill="1" applyBorder="1" applyAlignment="1">
      <alignment horizontal="center" vertical="center"/>
    </xf>
    <xf numFmtId="0" fontId="109" fillId="0" borderId="0" xfId="3" applyFont="1"/>
    <xf numFmtId="43" fontId="20" fillId="0" borderId="0" xfId="1" applyFont="1" applyAlignment="1">
      <alignment horizontal="right"/>
    </xf>
    <xf numFmtId="0" fontId="41" fillId="0" borderId="0" xfId="3" applyFont="1"/>
    <xf numFmtId="0" fontId="108" fillId="0" borderId="0" xfId="3" applyFont="1" applyAlignment="1">
      <alignment horizontal="right"/>
    </xf>
    <xf numFmtId="0" fontId="109" fillId="0" borderId="0" xfId="24" applyFont="1"/>
    <xf numFmtId="0" fontId="98" fillId="0" borderId="0" xfId="3" applyFont="1"/>
    <xf numFmtId="0" fontId="98" fillId="2" borderId="0" xfId="3" applyFont="1" applyFill="1"/>
    <xf numFmtId="1" fontId="41" fillId="0" borderId="0" xfId="3" applyNumberFormat="1" applyFont="1"/>
    <xf numFmtId="3" fontId="98" fillId="0" borderId="0" xfId="3" applyNumberFormat="1" applyFont="1"/>
    <xf numFmtId="1" fontId="98" fillId="0" borderId="0" xfId="3" applyNumberFormat="1" applyFont="1"/>
    <xf numFmtId="0" fontId="10" fillId="0" borderId="0" xfId="0" applyFont="1" applyAlignment="1">
      <alignment horizontal="right"/>
    </xf>
    <xf numFmtId="0" fontId="10" fillId="0" borderId="4" xfId="0" applyFont="1" applyBorder="1"/>
    <xf numFmtId="11" fontId="0" fillId="2" borderId="0" xfId="1" applyNumberFormat="1" applyFont="1" applyFill="1" applyBorder="1"/>
    <xf numFmtId="11" fontId="1" fillId="2" borderId="0" xfId="1" applyNumberFormat="1" applyFont="1" applyFill="1"/>
    <xf numFmtId="178" fontId="20" fillId="4" borderId="0" xfId="1" applyNumberFormat="1" applyFont="1" applyFill="1" applyBorder="1" applyAlignment="1">
      <alignment horizontal="center"/>
    </xf>
    <xf numFmtId="0" fontId="104" fillId="4" borderId="0" xfId="0" applyFont="1" applyFill="1"/>
    <xf numFmtId="178" fontId="104" fillId="4" borderId="0" xfId="1" applyNumberFormat="1" applyFont="1" applyFill="1" applyBorder="1" applyAlignment="1">
      <alignment horizontal="center"/>
    </xf>
    <xf numFmtId="0" fontId="104" fillId="4" borderId="4" xfId="0" applyFont="1" applyFill="1" applyBorder="1"/>
    <xf numFmtId="178" fontId="104" fillId="4" borderId="4" xfId="1" applyNumberFormat="1" applyFont="1" applyFill="1" applyBorder="1" applyAlignment="1">
      <alignment horizontal="center"/>
    </xf>
    <xf numFmtId="0" fontId="98" fillId="6" borderId="48" xfId="24" applyFont="1" applyFill="1" applyBorder="1" applyAlignment="1">
      <alignment vertical="center"/>
    </xf>
    <xf numFmtId="0" fontId="98" fillId="6" borderId="0" xfId="24" applyFont="1" applyFill="1" applyAlignment="1">
      <alignment horizontal="left" vertical="center"/>
    </xf>
    <xf numFmtId="43" fontId="98" fillId="6" borderId="0" xfId="1" applyFont="1" applyFill="1" applyBorder="1" applyAlignment="1">
      <alignment horizontal="left" vertical="center"/>
    </xf>
    <xf numFmtId="0" fontId="2" fillId="2" borderId="4" xfId="0" applyFont="1" applyFill="1" applyBorder="1"/>
    <xf numFmtId="0" fontId="12" fillId="4" borderId="0" xfId="0" applyFont="1" applyFill="1" applyAlignment="1">
      <alignment vertical="center"/>
    </xf>
    <xf numFmtId="165" fontId="10" fillId="2" borderId="4" xfId="0" applyNumberFormat="1" applyFont="1" applyFill="1" applyBorder="1"/>
    <xf numFmtId="198" fontId="0" fillId="9" borderId="3" xfId="1" applyNumberFormat="1" applyFont="1" applyFill="1" applyBorder="1" applyAlignment="1">
      <alignment horizontal="right"/>
    </xf>
    <xf numFmtId="0" fontId="16" fillId="5" borderId="0" xfId="11" applyFont="1" applyFill="1" applyAlignment="1">
      <alignment vertical="center"/>
    </xf>
    <xf numFmtId="176" fontId="15" fillId="6" borderId="0" xfId="6" applyFont="1" applyFill="1" applyAlignment="1" applyProtection="1">
      <alignment vertical="center"/>
      <protection locked="0"/>
    </xf>
    <xf numFmtId="43" fontId="0" fillId="9" borderId="0" xfId="1" applyFont="1" applyFill="1" applyBorder="1"/>
    <xf numFmtId="43" fontId="3" fillId="9" borderId="3" xfId="1" applyFont="1" applyFill="1" applyBorder="1"/>
    <xf numFmtId="172" fontId="0" fillId="4" borderId="0" xfId="4" applyFont="1" applyFill="1" applyAlignment="1">
      <alignment horizontal="right"/>
    </xf>
    <xf numFmtId="172" fontId="0" fillId="4" borderId="0" xfId="4" applyFont="1" applyFill="1" applyBorder="1" applyAlignment="1">
      <alignment horizontal="right"/>
    </xf>
    <xf numFmtId="172" fontId="0" fillId="11" borderId="0" xfId="4" applyFont="1" applyFill="1" applyAlignment="1">
      <alignment vertical="center"/>
    </xf>
    <xf numFmtId="172" fontId="0" fillId="11" borderId="0" xfId="4" applyFont="1" applyFill="1" applyBorder="1" applyAlignment="1">
      <alignment vertical="center"/>
    </xf>
    <xf numFmtId="11" fontId="0" fillId="0" borderId="0" xfId="1" applyNumberFormat="1" applyFont="1"/>
    <xf numFmtId="11" fontId="0" fillId="2" borderId="0" xfId="0" applyNumberFormat="1" applyFill="1" applyProtection="1">
      <protection hidden="1"/>
    </xf>
    <xf numFmtId="43" fontId="0" fillId="0" borderId="0" xfId="0" applyNumberFormat="1"/>
    <xf numFmtId="1" fontId="19" fillId="6" borderId="0" xfId="4" applyNumberFormat="1" applyFont="1" applyFill="1"/>
    <xf numFmtId="2" fontId="19" fillId="6" borderId="0" xfId="6" applyNumberFormat="1" applyFont="1" applyFill="1" applyAlignment="1">
      <alignment horizontal="center" vertical="center"/>
    </xf>
    <xf numFmtId="0" fontId="14" fillId="4" borderId="0" xfId="0" applyFont="1" applyFill="1" applyAlignment="1">
      <alignment vertical="center"/>
    </xf>
    <xf numFmtId="0" fontId="26" fillId="4" borderId="13" xfId="0" applyFont="1" applyFill="1" applyBorder="1" applyAlignment="1">
      <alignment horizontal="right" vertical="center"/>
    </xf>
    <xf numFmtId="43" fontId="10" fillId="12" borderId="11" xfId="1" applyFont="1" applyFill="1" applyBorder="1" applyAlignment="1" applyProtection="1">
      <alignment vertical="center"/>
      <protection locked="0"/>
    </xf>
    <xf numFmtId="43" fontId="10" fillId="12" borderId="0" xfId="1" applyFont="1" applyFill="1" applyBorder="1" applyAlignment="1" applyProtection="1">
      <alignment vertical="center"/>
      <protection locked="0"/>
    </xf>
    <xf numFmtId="43" fontId="10" fillId="6" borderId="0" xfId="1" applyFont="1" applyFill="1" applyBorder="1"/>
    <xf numFmtId="9" fontId="20" fillId="6" borderId="0" xfId="2" applyFont="1" applyFill="1" applyBorder="1" applyAlignment="1" applyProtection="1">
      <alignment vertical="center"/>
      <protection locked="0"/>
    </xf>
    <xf numFmtId="9" fontId="20" fillId="6" borderId="0" xfId="2" applyFont="1" applyFill="1" applyAlignment="1" applyProtection="1">
      <alignment vertical="center"/>
      <protection locked="0"/>
    </xf>
    <xf numFmtId="9" fontId="20" fillId="6" borderId="11" xfId="2" applyFont="1" applyFill="1" applyBorder="1" applyAlignment="1" applyProtection="1">
      <alignment vertical="center"/>
      <protection locked="0"/>
    </xf>
    <xf numFmtId="9" fontId="20" fillId="6" borderId="4" xfId="2" applyFont="1" applyFill="1" applyBorder="1" applyAlignment="1" applyProtection="1">
      <alignment vertical="center"/>
      <protection locked="0"/>
    </xf>
    <xf numFmtId="0" fontId="20" fillId="6" borderId="0" xfId="0" applyFont="1" applyFill="1" applyAlignment="1">
      <alignment horizontal="right" vertical="center"/>
    </xf>
    <xf numFmtId="176" fontId="20" fillId="6" borderId="11" xfId="6" applyFont="1" applyFill="1" applyBorder="1" applyAlignment="1" applyProtection="1">
      <alignment vertical="center"/>
      <protection locked="0"/>
    </xf>
    <xf numFmtId="176" fontId="20" fillId="6" borderId="4" xfId="6" applyFont="1" applyFill="1" applyBorder="1" applyAlignment="1" applyProtection="1">
      <alignment vertical="center"/>
      <protection locked="0"/>
    </xf>
    <xf numFmtId="166" fontId="0" fillId="2" borderId="11" xfId="1" applyNumberFormat="1" applyFont="1" applyFill="1" applyBorder="1"/>
    <xf numFmtId="166" fontId="10" fillId="2" borderId="11" xfId="1" applyNumberFormat="1" applyFont="1" applyFill="1" applyBorder="1"/>
    <xf numFmtId="166" fontId="3" fillId="2" borderId="0" xfId="1" applyNumberFormat="1" applyFont="1" applyFill="1"/>
    <xf numFmtId="166" fontId="3" fillId="25" borderId="0" xfId="1" applyNumberFormat="1" applyFont="1" applyFill="1"/>
    <xf numFmtId="166" fontId="16" fillId="25" borderId="0" xfId="1" applyNumberFormat="1" applyFont="1" applyFill="1"/>
    <xf numFmtId="0" fontId="16" fillId="25" borderId="9" xfId="0" applyFont="1" applyFill="1" applyBorder="1"/>
    <xf numFmtId="166" fontId="16" fillId="25" borderId="9" xfId="1" applyNumberFormat="1" applyFont="1" applyFill="1" applyBorder="1"/>
    <xf numFmtId="43" fontId="16" fillId="2" borderId="3" xfId="1" applyFont="1" applyFill="1" applyBorder="1"/>
    <xf numFmtId="43" fontId="20" fillId="6" borderId="3" xfId="1" applyFont="1" applyFill="1" applyBorder="1" applyAlignment="1">
      <alignment horizontal="center" vertical="center"/>
    </xf>
    <xf numFmtId="0" fontId="13" fillId="6" borderId="0" xfId="0" applyFont="1" applyFill="1" applyAlignment="1">
      <alignment horizontal="center"/>
    </xf>
    <xf numFmtId="0" fontId="84" fillId="6" borderId="0" xfId="0" quotePrefix="1" applyFont="1" applyFill="1" applyAlignment="1">
      <alignment horizontal="center" vertical="center"/>
    </xf>
    <xf numFmtId="0" fontId="20" fillId="6" borderId="3" xfId="0" quotePrefix="1" applyFont="1" applyFill="1" applyBorder="1" applyAlignment="1">
      <alignment horizontal="left" vertical="center"/>
    </xf>
    <xf numFmtId="43" fontId="16" fillId="9" borderId="3" xfId="1" applyFont="1" applyFill="1" applyBorder="1" applyAlignment="1">
      <alignment horizontal="center"/>
    </xf>
    <xf numFmtId="43" fontId="23" fillId="9" borderId="11" xfId="1" applyFont="1" applyFill="1" applyBorder="1" applyAlignment="1">
      <alignment horizontal="center" vertical="center"/>
    </xf>
    <xf numFmtId="9" fontId="65" fillId="20" borderId="0" xfId="2" applyFont="1" applyFill="1" applyBorder="1" applyAlignment="1">
      <alignment horizontal="center" vertical="center"/>
    </xf>
    <xf numFmtId="9" fontId="65" fillId="20" borderId="11" xfId="2" applyFont="1" applyFill="1" applyBorder="1" applyAlignment="1">
      <alignment horizontal="center" vertical="center"/>
    </xf>
    <xf numFmtId="9" fontId="65" fillId="20" borderId="4" xfId="2" applyFont="1" applyFill="1" applyBorder="1" applyAlignment="1">
      <alignment horizontal="center" vertical="center"/>
    </xf>
    <xf numFmtId="0" fontId="122" fillId="20" borderId="24" xfId="0" applyFont="1" applyFill="1" applyBorder="1" applyAlignment="1">
      <alignment horizontal="center" vertical="center" wrapText="1"/>
    </xf>
    <xf numFmtId="0" fontId="47" fillId="6" borderId="8" xfId="0" applyFont="1" applyFill="1" applyBorder="1" applyAlignment="1">
      <alignment horizontal="center" vertical="center" wrapText="1"/>
    </xf>
    <xf numFmtId="9" fontId="65" fillId="20" borderId="25" xfId="2" applyFont="1" applyFill="1" applyBorder="1" applyAlignment="1">
      <alignment horizontal="center" vertical="center"/>
    </xf>
    <xf numFmtId="9" fontId="65" fillId="20" borderId="0" xfId="2" applyFont="1" applyFill="1" applyAlignment="1">
      <alignment horizontal="center" vertical="center"/>
    </xf>
    <xf numFmtId="9" fontId="20" fillId="20" borderId="4" xfId="2" applyFont="1" applyFill="1" applyBorder="1" applyAlignment="1">
      <alignment horizontal="center" vertical="center"/>
    </xf>
    <xf numFmtId="43" fontId="12" fillId="6" borderId="0" xfId="1" applyFont="1" applyFill="1" applyAlignment="1">
      <alignment vertical="center"/>
    </xf>
    <xf numFmtId="43" fontId="10" fillId="2" borderId="0" xfId="1" applyFont="1" applyFill="1" applyBorder="1"/>
    <xf numFmtId="43" fontId="61" fillId="20" borderId="0" xfId="1" applyFont="1" applyFill="1"/>
    <xf numFmtId="0" fontId="123" fillId="0" borderId="0" xfId="0" applyFont="1"/>
    <xf numFmtId="9" fontId="46" fillId="20" borderId="0" xfId="2" applyFont="1" applyFill="1" applyProtection="1">
      <protection locked="0"/>
    </xf>
    <xf numFmtId="9" fontId="15" fillId="20" borderId="4" xfId="2" applyFont="1" applyFill="1" applyBorder="1" applyProtection="1">
      <protection locked="0"/>
    </xf>
    <xf numFmtId="43" fontId="1" fillId="2" borderId="0" xfId="1" applyFont="1" applyFill="1"/>
    <xf numFmtId="2" fontId="24" fillId="6" borderId="0" xfId="2" applyNumberFormat="1" applyFont="1" applyFill="1" applyBorder="1" applyAlignment="1" applyProtection="1">
      <alignment vertical="center"/>
      <protection locked="0"/>
    </xf>
    <xf numFmtId="0" fontId="6" fillId="6" borderId="0" xfId="0" applyFont="1" applyFill="1" applyAlignment="1">
      <alignment horizontal="left" vertical="center" indent="1"/>
    </xf>
    <xf numFmtId="0" fontId="49" fillId="6" borderId="0" xfId="0" applyFont="1" applyFill="1"/>
    <xf numFmtId="9" fontId="15" fillId="6" borderId="11" xfId="2" applyFont="1" applyFill="1" applyBorder="1" applyAlignment="1" applyProtection="1">
      <alignment vertical="center"/>
      <protection locked="0"/>
    </xf>
    <xf numFmtId="0" fontId="18" fillId="5" borderId="0" xfId="0" applyFont="1" applyFill="1" applyAlignment="1">
      <alignment vertical="center"/>
    </xf>
    <xf numFmtId="0" fontId="6" fillId="25" borderId="32" xfId="0" applyFont="1" applyFill="1" applyBorder="1" applyAlignment="1" applyProtection="1">
      <alignment vertical="center"/>
      <protection hidden="1"/>
    </xf>
    <xf numFmtId="0" fontId="3" fillId="25" borderId="32" xfId="0" applyFont="1" applyFill="1" applyBorder="1" applyAlignment="1" applyProtection="1">
      <alignment vertical="center"/>
      <protection hidden="1"/>
    </xf>
    <xf numFmtId="0" fontId="10" fillId="0" borderId="9" xfId="0" applyFont="1" applyBorder="1"/>
    <xf numFmtId="11" fontId="0" fillId="0" borderId="4" xfId="1" applyNumberFormat="1" applyFont="1" applyBorder="1"/>
    <xf numFmtId="11" fontId="0" fillId="0" borderId="4" xfId="1" applyNumberFormat="1" applyFont="1" applyBorder="1" applyAlignment="1">
      <alignment horizontal="right"/>
    </xf>
    <xf numFmtId="11" fontId="0" fillId="0" borderId="4" xfId="0" applyNumberFormat="1" applyBorder="1" applyAlignment="1">
      <alignment horizontal="right"/>
    </xf>
    <xf numFmtId="0" fontId="0" fillId="0" borderId="4" xfId="0" applyBorder="1" applyAlignment="1">
      <alignment horizontal="right"/>
    </xf>
    <xf numFmtId="0" fontId="124" fillId="29" borderId="0" xfId="0" applyFont="1" applyFill="1" applyAlignment="1" applyProtection="1">
      <alignment horizontal="right"/>
      <protection hidden="1"/>
    </xf>
    <xf numFmtId="0" fontId="125" fillId="2" borderId="0" xfId="0" applyFont="1" applyFill="1"/>
    <xf numFmtId="0" fontId="126" fillId="2" borderId="0" xfId="0" applyFont="1" applyFill="1"/>
    <xf numFmtId="0" fontId="0" fillId="2" borderId="52" xfId="0" applyFill="1" applyBorder="1" applyProtection="1">
      <protection hidden="1"/>
    </xf>
    <xf numFmtId="0" fontId="0" fillId="0" borderId="52" xfId="0" applyBorder="1" applyProtection="1">
      <protection hidden="1"/>
    </xf>
    <xf numFmtId="0" fontId="93" fillId="36" borderId="0" xfId="0" applyFont="1" applyFill="1"/>
    <xf numFmtId="0" fontId="0" fillId="36" borderId="0" xfId="0" applyFill="1"/>
    <xf numFmtId="0" fontId="3" fillId="4" borderId="4" xfId="0" applyFont="1" applyFill="1" applyBorder="1"/>
    <xf numFmtId="0" fontId="3" fillId="4" borderId="4" xfId="0" applyFont="1" applyFill="1" applyBorder="1" applyAlignment="1">
      <alignment horizontal="left" vertical="center"/>
    </xf>
    <xf numFmtId="0" fontId="3" fillId="4" borderId="9" xfId="0" applyFont="1" applyFill="1" applyBorder="1" applyAlignment="1">
      <alignment horizontal="left" vertical="center"/>
    </xf>
    <xf numFmtId="0" fontId="0" fillId="4" borderId="9" xfId="0" applyFill="1" applyBorder="1" applyAlignment="1">
      <alignment vertical="center"/>
    </xf>
    <xf numFmtId="0" fontId="0" fillId="4" borderId="4" xfId="0" applyFill="1" applyBorder="1" applyAlignment="1">
      <alignment vertical="center"/>
    </xf>
    <xf numFmtId="43" fontId="10" fillId="4" borderId="11" xfId="1" applyFont="1" applyFill="1" applyBorder="1" applyAlignment="1">
      <alignment horizontal="right"/>
    </xf>
    <xf numFmtId="0" fontId="3" fillId="4" borderId="58" xfId="0" applyFont="1" applyFill="1" applyBorder="1"/>
    <xf numFmtId="0" fontId="12" fillId="4" borderId="58" xfId="0" applyFont="1" applyFill="1" applyBorder="1" applyAlignment="1">
      <alignment horizontal="left"/>
    </xf>
    <xf numFmtId="0" fontId="12" fillId="4" borderId="58" xfId="0" applyFont="1" applyFill="1" applyBorder="1"/>
    <xf numFmtId="0" fontId="12" fillId="4" borderId="57" xfId="0" applyFont="1" applyFill="1" applyBorder="1" applyAlignment="1">
      <alignment horizontal="left"/>
    </xf>
    <xf numFmtId="0" fontId="12" fillId="4" borderId="57" xfId="0" applyFont="1" applyFill="1" applyBorder="1"/>
    <xf numFmtId="43" fontId="20" fillId="2" borderId="3" xfId="1" applyFont="1" applyFill="1" applyBorder="1"/>
    <xf numFmtId="11" fontId="20" fillId="6" borderId="0" xfId="1" applyNumberFormat="1" applyFont="1" applyFill="1" applyAlignment="1" applyProtection="1">
      <alignment vertical="center"/>
      <protection locked="0"/>
    </xf>
    <xf numFmtId="11" fontId="20" fillId="6" borderId="4" xfId="1" applyNumberFormat="1" applyFont="1" applyFill="1" applyBorder="1" applyAlignment="1" applyProtection="1">
      <alignment vertical="center"/>
      <protection locked="0"/>
    </xf>
    <xf numFmtId="43" fontId="10" fillId="4" borderId="0" xfId="1" applyFont="1" applyFill="1" applyAlignment="1">
      <alignment horizontal="center" vertical="center"/>
    </xf>
    <xf numFmtId="0" fontId="0" fillId="4" borderId="22" xfId="0" applyFill="1" applyBorder="1" applyAlignment="1">
      <alignment vertical="center"/>
    </xf>
    <xf numFmtId="0" fontId="130" fillId="0" borderId="0" xfId="0" applyFont="1" applyAlignment="1">
      <alignment horizontal="left" vertical="center"/>
    </xf>
    <xf numFmtId="0" fontId="131" fillId="0" borderId="0" xfId="0" applyFont="1" applyAlignment="1">
      <alignment horizontal="left" vertical="center"/>
    </xf>
    <xf numFmtId="0" fontId="91" fillId="2" borderId="0" xfId="0" applyFont="1" applyFill="1"/>
    <xf numFmtId="0" fontId="63" fillId="32" borderId="24" xfId="0" applyFont="1" applyFill="1" applyBorder="1" applyAlignment="1">
      <alignment vertical="center"/>
    </xf>
    <xf numFmtId="0" fontId="23" fillId="20" borderId="24" xfId="0" applyFont="1" applyFill="1" applyBorder="1" applyAlignment="1">
      <alignment vertical="center"/>
    </xf>
    <xf numFmtId="166" fontId="20" fillId="4" borderId="0" xfId="1" applyNumberFormat="1" applyFont="1" applyFill="1" applyBorder="1" applyAlignment="1">
      <alignment horizontal="center" vertical="center"/>
    </xf>
    <xf numFmtId="0" fontId="14" fillId="4" borderId="4" xfId="0" applyFont="1" applyFill="1" applyBorder="1" applyAlignment="1">
      <alignment horizontal="left" vertical="center"/>
    </xf>
    <xf numFmtId="0" fontId="14" fillId="4" borderId="3" xfId="0" applyFont="1" applyFill="1" applyBorder="1" applyAlignment="1">
      <alignment horizontal="left" vertical="center"/>
    </xf>
    <xf numFmtId="3" fontId="14" fillId="4" borderId="3" xfId="0" applyNumberFormat="1" applyFont="1" applyFill="1" applyBorder="1" applyAlignment="1">
      <alignment horizontal="center" vertical="center"/>
    </xf>
    <xf numFmtId="3" fontId="12" fillId="4" borderId="0" xfId="0" applyNumberFormat="1" applyFont="1" applyFill="1" applyAlignment="1">
      <alignment horizontal="center" vertical="center"/>
    </xf>
    <xf numFmtId="0" fontId="14" fillId="4" borderId="22" xfId="0" applyFont="1" applyFill="1" applyBorder="1" applyAlignment="1">
      <alignment horizontal="left" vertical="center"/>
    </xf>
    <xf numFmtId="0" fontId="14" fillId="4" borderId="30" xfId="0" applyFont="1" applyFill="1" applyBorder="1" applyAlignment="1">
      <alignment horizontal="left" vertical="center"/>
    </xf>
    <xf numFmtId="3" fontId="14" fillId="4" borderId="0" xfId="0" applyNumberFormat="1" applyFont="1" applyFill="1" applyAlignment="1">
      <alignment horizontal="center" vertical="center"/>
    </xf>
    <xf numFmtId="0" fontId="3" fillId="4" borderId="4" xfId="0" applyFont="1" applyFill="1" applyBorder="1" applyAlignment="1">
      <alignment horizontal="right" vertical="center"/>
    </xf>
    <xf numFmtId="0" fontId="2" fillId="0" borderId="0" xfId="0" applyFont="1" applyProtection="1">
      <protection hidden="1"/>
    </xf>
    <xf numFmtId="0" fontId="23" fillId="4" borderId="3" xfId="0" applyFont="1" applyFill="1" applyBorder="1"/>
    <xf numFmtId="178" fontId="23" fillId="4" borderId="3" xfId="1" applyNumberFormat="1" applyFont="1" applyFill="1" applyBorder="1" applyAlignment="1">
      <alignment horizontal="center"/>
    </xf>
    <xf numFmtId="0" fontId="20" fillId="4" borderId="19" xfId="0" applyFont="1" applyFill="1" applyBorder="1"/>
    <xf numFmtId="178" fontId="20" fillId="4" borderId="19" xfId="1" applyNumberFormat="1" applyFont="1" applyFill="1" applyBorder="1" applyAlignment="1">
      <alignment horizontal="center"/>
    </xf>
    <xf numFmtId="43" fontId="16" fillId="4" borderId="3" xfId="1" applyFont="1" applyFill="1" applyBorder="1" applyAlignment="1">
      <alignment horizontal="right"/>
    </xf>
    <xf numFmtId="2" fontId="12" fillId="2" borderId="0" xfId="1" applyNumberFormat="1" applyFont="1" applyFill="1"/>
    <xf numFmtId="2" fontId="0" fillId="2" borderId="0" xfId="1" applyNumberFormat="1" applyFont="1" applyFill="1"/>
    <xf numFmtId="2" fontId="12" fillId="2" borderId="0" xfId="1" applyNumberFormat="1" applyFont="1" applyFill="1" applyBorder="1"/>
    <xf numFmtId="2" fontId="104" fillId="2" borderId="0" xfId="1" quotePrefix="1" applyNumberFormat="1" applyFont="1" applyFill="1" applyAlignment="1">
      <alignment vertical="center"/>
    </xf>
    <xf numFmtId="2" fontId="104" fillId="2" borderId="22" xfId="1" quotePrefix="1" applyNumberFormat="1" applyFont="1" applyFill="1" applyBorder="1" applyAlignment="1">
      <alignment vertical="center"/>
    </xf>
    <xf numFmtId="2" fontId="0" fillId="2" borderId="3" xfId="1" applyNumberFormat="1" applyFont="1" applyFill="1" applyBorder="1"/>
    <xf numFmtId="2" fontId="10" fillId="4" borderId="11" xfId="1" applyNumberFormat="1" applyFont="1" applyFill="1" applyBorder="1" applyAlignment="1">
      <alignment horizontal="center"/>
    </xf>
    <xf numFmtId="2" fontId="10" fillId="4" borderId="0" xfId="1" applyNumberFormat="1" applyFont="1" applyFill="1" applyBorder="1" applyAlignment="1">
      <alignment horizontal="center"/>
    </xf>
    <xf numFmtId="2" fontId="10" fillId="4" borderId="22" xfId="1" applyNumberFormat="1" applyFont="1" applyFill="1" applyBorder="1" applyAlignment="1">
      <alignment horizontal="center"/>
    </xf>
    <xf numFmtId="2" fontId="10" fillId="4" borderId="3" xfId="0" applyNumberFormat="1" applyFont="1" applyFill="1" applyBorder="1" applyAlignment="1">
      <alignment horizontal="center"/>
    </xf>
    <xf numFmtId="2" fontId="132" fillId="4" borderId="0" xfId="1" applyNumberFormat="1" applyFont="1" applyFill="1" applyBorder="1" applyAlignment="1">
      <alignment horizontal="center"/>
    </xf>
    <xf numFmtId="2" fontId="132" fillId="4" borderId="4" xfId="1" applyNumberFormat="1" applyFont="1" applyFill="1" applyBorder="1" applyAlignment="1">
      <alignment horizontal="center"/>
    </xf>
    <xf numFmtId="11" fontId="10" fillId="4" borderId="3" xfId="0" applyNumberFormat="1" applyFont="1" applyFill="1" applyBorder="1" applyAlignment="1">
      <alignment horizontal="center"/>
    </xf>
    <xf numFmtId="11" fontId="16" fillId="4" borderId="3" xfId="0" applyNumberFormat="1" applyFont="1" applyFill="1" applyBorder="1" applyAlignment="1">
      <alignment horizontal="center"/>
    </xf>
    <xf numFmtId="3" fontId="23" fillId="2" borderId="3" xfId="0" applyNumberFormat="1" applyFont="1" applyFill="1" applyBorder="1" applyAlignment="1">
      <alignment horizontal="center" vertical="center"/>
    </xf>
    <xf numFmtId="3" fontId="20" fillId="2" borderId="0" xfId="0" applyNumberFormat="1" applyFont="1" applyFill="1" applyAlignment="1">
      <alignment horizontal="center" vertical="center"/>
    </xf>
    <xf numFmtId="0" fontId="23" fillId="26" borderId="24" xfId="0" applyFont="1" applyFill="1" applyBorder="1" applyAlignment="1">
      <alignment vertical="center"/>
    </xf>
    <xf numFmtId="166" fontId="20" fillId="2" borderId="22" xfId="1" applyNumberFormat="1" applyFont="1" applyFill="1" applyBorder="1" applyAlignment="1">
      <alignment horizontal="center" vertical="center"/>
    </xf>
    <xf numFmtId="166" fontId="20" fillId="2" borderId="30" xfId="1" applyNumberFormat="1" applyFont="1" applyFill="1" applyBorder="1" applyAlignment="1">
      <alignment horizontal="center" vertical="center"/>
    </xf>
    <xf numFmtId="0" fontId="49" fillId="2" borderId="0" xfId="3" applyFont="1" applyFill="1"/>
    <xf numFmtId="0" fontId="49" fillId="2" borderId="0" xfId="3" applyFont="1" applyFill="1" applyAlignment="1">
      <alignment horizontal="right"/>
    </xf>
    <xf numFmtId="0" fontId="22" fillId="2" borderId="0" xfId="3" applyFont="1" applyFill="1" applyAlignment="1">
      <alignment horizontal="left"/>
    </xf>
    <xf numFmtId="0" fontId="98" fillId="4" borderId="3" xfId="3" applyFont="1" applyFill="1" applyBorder="1" applyAlignment="1">
      <alignment wrapText="1"/>
    </xf>
    <xf numFmtId="0" fontId="98" fillId="4" borderId="0" xfId="3" applyFont="1" applyFill="1" applyAlignment="1">
      <alignment wrapText="1"/>
    </xf>
    <xf numFmtId="1" fontId="0" fillId="2" borderId="0" xfId="0" applyNumberFormat="1" applyFill="1"/>
    <xf numFmtId="166" fontId="3" fillId="4" borderId="3" xfId="1" applyNumberFormat="1" applyFont="1" applyFill="1" applyBorder="1"/>
    <xf numFmtId="0" fontId="17" fillId="2" borderId="0" xfId="0" applyFont="1" applyFill="1"/>
    <xf numFmtId="0" fontId="133" fillId="2" borderId="0" xfId="0" applyFont="1" applyFill="1"/>
    <xf numFmtId="0" fontId="17" fillId="2" borderId="0" xfId="3" applyFont="1" applyFill="1" applyAlignment="1">
      <alignment horizontal="right"/>
    </xf>
    <xf numFmtId="0" fontId="4" fillId="2" borderId="0" xfId="0" applyFont="1" applyFill="1"/>
    <xf numFmtId="0" fontId="4" fillId="2" borderId="4" xfId="0" applyFont="1" applyFill="1" applyBorder="1"/>
    <xf numFmtId="11" fontId="17" fillId="2" borderId="0" xfId="0" applyNumberFormat="1" applyFont="1" applyFill="1"/>
    <xf numFmtId="0" fontId="17" fillId="2" borderId="0" xfId="0" quotePrefix="1" applyFont="1" applyFill="1"/>
    <xf numFmtId="4" fontId="17" fillId="2" borderId="0" xfId="0" applyNumberFormat="1" applyFont="1" applyFill="1"/>
    <xf numFmtId="0" fontId="4" fillId="2" borderId="59" xfId="0" applyFont="1" applyFill="1" applyBorder="1"/>
    <xf numFmtId="0" fontId="4" fillId="2" borderId="60" xfId="0" applyFont="1" applyFill="1" applyBorder="1"/>
    <xf numFmtId="0" fontId="4" fillId="2" borderId="61" xfId="0" applyFont="1" applyFill="1" applyBorder="1"/>
    <xf numFmtId="0" fontId="17" fillId="2" borderId="62" xfId="0" applyFont="1" applyFill="1" applyBorder="1"/>
    <xf numFmtId="0" fontId="17" fillId="2" borderId="62" xfId="3" applyFont="1" applyFill="1" applyBorder="1" applyAlignment="1">
      <alignment horizontal="right"/>
    </xf>
    <xf numFmtId="0" fontId="10" fillId="6" borderId="4" xfId="0" applyFont="1" applyFill="1" applyBorder="1" applyAlignment="1">
      <alignment vertical="center"/>
    </xf>
    <xf numFmtId="0" fontId="10" fillId="6" borderId="4" xfId="3" applyFont="1" applyFill="1" applyBorder="1" applyAlignment="1">
      <alignment vertical="center"/>
    </xf>
    <xf numFmtId="2" fontId="10" fillId="6" borderId="4" xfId="0" applyNumberFormat="1" applyFont="1" applyFill="1" applyBorder="1" applyAlignment="1">
      <alignment horizontal="center" vertical="center"/>
    </xf>
    <xf numFmtId="172" fontId="0" fillId="11" borderId="4" xfId="4" applyFont="1" applyFill="1" applyBorder="1" applyAlignment="1">
      <alignment vertical="center"/>
    </xf>
    <xf numFmtId="11" fontId="0" fillId="6" borderId="0" xfId="0" applyNumberFormat="1" applyFill="1"/>
    <xf numFmtId="191" fontId="17" fillId="2" borderId="0" xfId="1" applyNumberFormat="1" applyFont="1" applyFill="1"/>
    <xf numFmtId="174" fontId="10" fillId="0" borderId="4" xfId="0" applyNumberFormat="1" applyFont="1" applyBorder="1"/>
    <xf numFmtId="174" fontId="3" fillId="0" borderId="0" xfId="0" applyNumberFormat="1" applyFont="1" applyAlignment="1">
      <alignment horizontal="right"/>
    </xf>
    <xf numFmtId="174" fontId="2" fillId="0" borderId="0" xfId="0" applyNumberFormat="1" applyFont="1"/>
    <xf numFmtId="174" fontId="10" fillId="0" borderId="0" xfId="0" applyNumberFormat="1" applyFont="1"/>
    <xf numFmtId="174" fontId="16" fillId="0" borderId="0" xfId="0" applyNumberFormat="1" applyFont="1" applyAlignment="1">
      <alignment horizontal="right"/>
    </xf>
    <xf numFmtId="43" fontId="46" fillId="2" borderId="0" xfId="0" applyNumberFormat="1" applyFont="1" applyFill="1"/>
    <xf numFmtId="0" fontId="1" fillId="6" borderId="0" xfId="0" applyFont="1" applyFill="1" applyProtection="1">
      <protection hidden="1"/>
    </xf>
    <xf numFmtId="0" fontId="3" fillId="6" borderId="3" xfId="0" applyFont="1" applyFill="1" applyBorder="1" applyProtection="1">
      <protection hidden="1"/>
    </xf>
    <xf numFmtId="0" fontId="3" fillId="6" borderId="3" xfId="0" applyFont="1" applyFill="1" applyBorder="1" applyAlignment="1" applyProtection="1">
      <alignment horizontal="left"/>
      <protection hidden="1"/>
    </xf>
    <xf numFmtId="0" fontId="3" fillId="6" borderId="3" xfId="0" applyFont="1" applyFill="1" applyBorder="1" applyAlignment="1" applyProtection="1">
      <alignment horizontal="right"/>
      <protection hidden="1"/>
    </xf>
    <xf numFmtId="11" fontId="1" fillId="6" borderId="0" xfId="0" applyNumberFormat="1" applyFont="1" applyFill="1" applyAlignment="1" applyProtection="1">
      <alignment horizontal="left"/>
      <protection hidden="1"/>
    </xf>
    <xf numFmtId="11" fontId="1" fillId="6" borderId="0" xfId="0" applyNumberFormat="1" applyFont="1" applyFill="1" applyProtection="1">
      <protection hidden="1"/>
    </xf>
    <xf numFmtId="0" fontId="1" fillId="6" borderId="4" xfId="0" applyFont="1" applyFill="1" applyBorder="1" applyProtection="1">
      <protection hidden="1"/>
    </xf>
    <xf numFmtId="11" fontId="1" fillId="6" borderId="4" xfId="0" applyNumberFormat="1" applyFont="1" applyFill="1" applyBorder="1" applyAlignment="1" applyProtection="1">
      <alignment horizontal="left"/>
      <protection hidden="1"/>
    </xf>
    <xf numFmtId="11" fontId="1" fillId="6" borderId="4" xfId="0" applyNumberFormat="1" applyFont="1" applyFill="1" applyBorder="1" applyProtection="1">
      <protection hidden="1"/>
    </xf>
    <xf numFmtId="11" fontId="0" fillId="6" borderId="0" xfId="0" applyNumberFormat="1" applyFill="1" applyAlignment="1" applyProtection="1">
      <alignment horizontal="left"/>
      <protection hidden="1"/>
    </xf>
    <xf numFmtId="11" fontId="0" fillId="6" borderId="0" xfId="0" applyNumberFormat="1" applyFill="1" applyProtection="1">
      <protection hidden="1"/>
    </xf>
    <xf numFmtId="11" fontId="0" fillId="6" borderId="4" xfId="0" applyNumberFormat="1" applyFill="1" applyBorder="1" applyAlignment="1" applyProtection="1">
      <alignment horizontal="left"/>
      <protection hidden="1"/>
    </xf>
    <xf numFmtId="11" fontId="0" fillId="6" borderId="4" xfId="0" applyNumberFormat="1" applyFill="1" applyBorder="1" applyProtection="1">
      <protection hidden="1"/>
    </xf>
    <xf numFmtId="166" fontId="0" fillId="6" borderId="0" xfId="1" applyNumberFormat="1" applyFont="1" applyFill="1" applyBorder="1" applyProtection="1">
      <protection hidden="1"/>
    </xf>
    <xf numFmtId="166" fontId="0" fillId="6" borderId="0" xfId="1" applyNumberFormat="1" applyFont="1" applyFill="1" applyProtection="1">
      <protection hidden="1"/>
    </xf>
    <xf numFmtId="166" fontId="0" fillId="6" borderId="4" xfId="1" applyNumberFormat="1" applyFont="1" applyFill="1" applyBorder="1" applyProtection="1">
      <protection hidden="1"/>
    </xf>
    <xf numFmtId="0" fontId="6" fillId="2" borderId="0" xfId="0" applyFont="1" applyFill="1"/>
    <xf numFmtId="173" fontId="20" fillId="6" borderId="0" xfId="1" applyNumberFormat="1" applyFont="1" applyFill="1" applyBorder="1" applyAlignment="1">
      <alignment vertical="center"/>
    </xf>
    <xf numFmtId="0" fontId="120" fillId="9" borderId="3" xfId="3" applyFont="1" applyFill="1" applyBorder="1" applyAlignment="1">
      <alignment horizontal="right"/>
    </xf>
    <xf numFmtId="0" fontId="3" fillId="2" borderId="3" xfId="0" applyFont="1" applyFill="1" applyBorder="1" applyAlignment="1">
      <alignment wrapText="1"/>
    </xf>
    <xf numFmtId="0" fontId="16" fillId="4" borderId="4" xfId="0" applyFont="1" applyFill="1" applyBorder="1" applyAlignment="1">
      <alignment horizontal="right"/>
    </xf>
    <xf numFmtId="178" fontId="104" fillId="4" borderId="4" xfId="1" applyNumberFormat="1" applyFont="1" applyFill="1" applyBorder="1" applyAlignment="1">
      <alignment horizontal="right"/>
    </xf>
    <xf numFmtId="43" fontId="20" fillId="4" borderId="3" xfId="1" applyFont="1" applyFill="1" applyBorder="1" applyAlignment="1">
      <alignment horizontal="right"/>
    </xf>
    <xf numFmtId="2" fontId="23" fillId="4" borderId="0" xfId="1" applyNumberFormat="1" applyFont="1" applyFill="1" applyAlignment="1">
      <alignment horizontal="right"/>
    </xf>
    <xf numFmtId="178" fontId="104" fillId="4" borderId="0" xfId="1" applyNumberFormat="1" applyFont="1" applyFill="1" applyAlignment="1">
      <alignment horizontal="right"/>
    </xf>
    <xf numFmtId="0" fontId="13" fillId="6" borderId="0" xfId="0" applyFont="1" applyFill="1" applyProtection="1">
      <protection hidden="1"/>
    </xf>
    <xf numFmtId="0" fontId="3" fillId="6" borderId="0" xfId="0" applyFont="1" applyFill="1" applyProtection="1">
      <protection hidden="1"/>
    </xf>
    <xf numFmtId="0" fontId="3" fillId="6" borderId="0" xfId="0" applyFont="1" applyFill="1" applyAlignment="1" applyProtection="1">
      <alignment horizontal="left"/>
      <protection hidden="1"/>
    </xf>
    <xf numFmtId="0" fontId="3" fillId="6" borderId="0" xfId="0" applyFont="1" applyFill="1" applyAlignment="1" applyProtection="1">
      <alignment horizontal="right"/>
      <protection hidden="1"/>
    </xf>
    <xf numFmtId="0" fontId="3" fillId="6" borderId="4" xfId="0" applyFont="1" applyFill="1" applyBorder="1" applyAlignment="1" applyProtection="1">
      <alignment horizontal="left"/>
      <protection hidden="1"/>
    </xf>
    <xf numFmtId="1" fontId="0" fillId="6" borderId="0" xfId="0" applyNumberFormat="1" applyFill="1" applyProtection="1">
      <protection hidden="1"/>
    </xf>
    <xf numFmtId="0" fontId="0" fillId="6" borderId="9" xfId="0" applyFill="1" applyBorder="1" applyProtection="1">
      <protection hidden="1"/>
    </xf>
    <xf numFmtId="0" fontId="21" fillId="6" borderId="0" xfId="3" applyFont="1" applyFill="1" applyAlignment="1" applyProtection="1">
      <alignment horizontal="left" vertical="center" indent="1"/>
      <protection hidden="1"/>
    </xf>
    <xf numFmtId="0" fontId="87" fillId="6" borderId="0" xfId="0" applyFont="1" applyFill="1" applyAlignment="1" applyProtection="1">
      <alignment vertical="center"/>
      <protection hidden="1"/>
    </xf>
    <xf numFmtId="0" fontId="36" fillId="6" borderId="0" xfId="0" applyFont="1" applyFill="1" applyAlignment="1" applyProtection="1">
      <alignment horizontal="right" vertical="center"/>
      <protection hidden="1"/>
    </xf>
    <xf numFmtId="43" fontId="0" fillId="6" borderId="0" xfId="1" applyFont="1" applyFill="1" applyBorder="1" applyAlignment="1" applyProtection="1">
      <alignment vertical="center"/>
      <protection hidden="1"/>
    </xf>
    <xf numFmtId="11" fontId="1" fillId="6" borderId="9" xfId="0" applyNumberFormat="1" applyFont="1" applyFill="1" applyBorder="1" applyAlignment="1" applyProtection="1">
      <alignment horizontal="left"/>
      <protection hidden="1"/>
    </xf>
    <xf numFmtId="43" fontId="0" fillId="6" borderId="9" xfId="1" applyFont="1" applyFill="1" applyBorder="1" applyProtection="1">
      <protection hidden="1"/>
    </xf>
    <xf numFmtId="43" fontId="0" fillId="6" borderId="0" xfId="1" applyFont="1" applyFill="1" applyBorder="1" applyProtection="1">
      <protection hidden="1"/>
    </xf>
    <xf numFmtId="43" fontId="0" fillId="6" borderId="4" xfId="1" applyFont="1" applyFill="1" applyBorder="1" applyProtection="1">
      <protection hidden="1"/>
    </xf>
    <xf numFmtId="0" fontId="0" fillId="6" borderId="9" xfId="0" applyFill="1" applyBorder="1" applyAlignment="1" applyProtection="1">
      <alignment horizontal="right" vertical="center"/>
      <protection hidden="1"/>
    </xf>
    <xf numFmtId="0" fontId="36" fillId="6" borderId="4" xfId="0" applyFont="1" applyFill="1" applyBorder="1" applyAlignment="1" applyProtection="1">
      <alignment horizontal="right" vertical="center"/>
      <protection hidden="1"/>
    </xf>
    <xf numFmtId="43" fontId="0" fillId="6" borderId="4" xfId="1" applyFont="1" applyFill="1" applyBorder="1" applyAlignment="1" applyProtection="1">
      <alignment vertical="center"/>
      <protection hidden="1"/>
    </xf>
    <xf numFmtId="0" fontId="0" fillId="6" borderId="65" xfId="0" applyFill="1" applyBorder="1" applyAlignment="1" applyProtection="1">
      <alignment vertical="center"/>
      <protection hidden="1"/>
    </xf>
    <xf numFmtId="0" fontId="0" fillId="6" borderId="65" xfId="0" applyFill="1" applyBorder="1" applyAlignment="1" applyProtection="1">
      <alignment horizontal="right" vertical="center"/>
      <protection hidden="1"/>
    </xf>
    <xf numFmtId="43" fontId="0" fillId="6" borderId="65" xfId="1" applyFont="1" applyFill="1" applyBorder="1" applyAlignment="1" applyProtection="1">
      <alignment vertical="center"/>
      <protection hidden="1"/>
    </xf>
    <xf numFmtId="165" fontId="0" fillId="6" borderId="65" xfId="0" applyNumberFormat="1" applyFill="1" applyBorder="1" applyAlignment="1" applyProtection="1">
      <alignment vertical="center"/>
      <protection hidden="1"/>
    </xf>
    <xf numFmtId="0" fontId="36" fillId="0" borderId="0" xfId="0" applyFont="1" applyAlignment="1">
      <alignment horizontal="left" wrapText="1"/>
    </xf>
    <xf numFmtId="166" fontId="0" fillId="9" borderId="0" xfId="1" applyNumberFormat="1" applyFont="1" applyFill="1"/>
    <xf numFmtId="166" fontId="10" fillId="9" borderId="0" xfId="1" applyNumberFormat="1" applyFont="1" applyFill="1"/>
    <xf numFmtId="166" fontId="0" fillId="9" borderId="4" xfId="1" applyNumberFormat="1" applyFont="1" applyFill="1" applyBorder="1"/>
    <xf numFmtId="0" fontId="57" fillId="6" borderId="0" xfId="0" applyFont="1" applyFill="1" applyAlignment="1" applyProtection="1">
      <alignment horizontal="right" vertical="center"/>
      <protection hidden="1"/>
    </xf>
    <xf numFmtId="43" fontId="12" fillId="6" borderId="0" xfId="1" applyFont="1" applyFill="1" applyBorder="1" applyAlignment="1" applyProtection="1">
      <alignment vertical="center"/>
      <protection hidden="1"/>
    </xf>
    <xf numFmtId="0" fontId="12" fillId="9" borderId="11" xfId="0" applyFont="1" applyFill="1" applyBorder="1" applyAlignment="1">
      <alignment vertical="center"/>
    </xf>
    <xf numFmtId="0" fontId="0" fillId="6" borderId="3" xfId="0" applyFill="1" applyBorder="1" applyProtection="1">
      <protection hidden="1"/>
    </xf>
    <xf numFmtId="0" fontId="0" fillId="6" borderId="3" xfId="0" applyFill="1" applyBorder="1" applyAlignment="1" applyProtection="1">
      <alignment horizontal="right"/>
      <protection hidden="1"/>
    </xf>
    <xf numFmtId="184" fontId="0" fillId="6" borderId="3" xfId="0" applyNumberFormat="1" applyFill="1" applyBorder="1" applyProtection="1">
      <protection hidden="1"/>
    </xf>
    <xf numFmtId="1" fontId="23" fillId="6" borderId="3" xfId="0" applyNumberFormat="1" applyFont="1" applyFill="1" applyBorder="1" applyAlignment="1">
      <alignment horizontal="right" vertical="center"/>
    </xf>
    <xf numFmtId="0" fontId="69" fillId="20" borderId="3" xfId="0" applyFont="1" applyFill="1" applyBorder="1" applyAlignment="1">
      <alignment vertical="center"/>
    </xf>
    <xf numFmtId="166" fontId="16" fillId="6" borderId="0" xfId="1" applyNumberFormat="1" applyFont="1" applyFill="1"/>
    <xf numFmtId="0" fontId="69" fillId="20" borderId="4" xfId="0" applyFont="1" applyFill="1" applyBorder="1" applyAlignment="1">
      <alignment vertical="center"/>
    </xf>
    <xf numFmtId="3" fontId="23" fillId="6" borderId="4" xfId="0" applyNumberFormat="1" applyFont="1" applyFill="1" applyBorder="1" applyAlignment="1">
      <alignment horizontal="right" vertical="center"/>
    </xf>
    <xf numFmtId="0" fontId="69" fillId="20" borderId="0" xfId="0" applyFont="1" applyFill="1" applyAlignment="1">
      <alignment vertical="center"/>
    </xf>
    <xf numFmtId="3" fontId="20" fillId="6" borderId="0" xfId="4" applyNumberFormat="1" applyFont="1" applyFill="1" applyAlignment="1" applyProtection="1">
      <alignment horizontal="right" vertical="center"/>
      <protection locked="0"/>
    </xf>
    <xf numFmtId="3" fontId="20" fillId="6" borderId="4" xfId="4" applyNumberFormat="1" applyFont="1" applyFill="1" applyBorder="1" applyAlignment="1" applyProtection="1">
      <alignment horizontal="right" vertical="center"/>
      <protection locked="0"/>
    </xf>
    <xf numFmtId="0" fontId="23" fillId="20" borderId="3" xfId="0" applyFont="1" applyFill="1" applyBorder="1" applyAlignment="1">
      <alignment vertical="center"/>
    </xf>
    <xf numFmtId="3" fontId="23" fillId="6" borderId="3" xfId="4" applyNumberFormat="1" applyFont="1" applyFill="1" applyBorder="1" applyAlignment="1">
      <alignment horizontal="right" vertical="center"/>
    </xf>
    <xf numFmtId="0" fontId="12" fillId="6" borderId="0" xfId="0" quotePrefix="1" applyFont="1" applyFill="1" applyAlignment="1">
      <alignment vertical="center"/>
    </xf>
    <xf numFmtId="0" fontId="12" fillId="6" borderId="4" xfId="0" quotePrefix="1" applyFont="1" applyFill="1" applyBorder="1" applyAlignment="1">
      <alignment vertical="center"/>
    </xf>
    <xf numFmtId="0" fontId="47" fillId="6" borderId="0" xfId="3" applyFont="1" applyFill="1" applyAlignment="1" applyProtection="1">
      <alignment horizontal="right" vertical="center" indent="1"/>
      <protection hidden="1"/>
    </xf>
    <xf numFmtId="0" fontId="3" fillId="4" borderId="3" xfId="0" applyFont="1" applyFill="1" applyBorder="1" applyAlignment="1">
      <alignment horizontal="right"/>
    </xf>
    <xf numFmtId="0" fontId="16" fillId="9" borderId="3" xfId="21" applyFont="1" applyFill="1" applyBorder="1" applyAlignment="1">
      <alignment horizontal="right"/>
    </xf>
    <xf numFmtId="0" fontId="41" fillId="6" borderId="11" xfId="3" applyFont="1" applyFill="1" applyBorder="1" applyAlignment="1">
      <alignment vertical="center"/>
    </xf>
    <xf numFmtId="0" fontId="26" fillId="6" borderId="12" xfId="21" applyFont="1" applyFill="1" applyBorder="1" applyAlignment="1">
      <alignment vertical="center"/>
    </xf>
    <xf numFmtId="0" fontId="20" fillId="6" borderId="0" xfId="0" applyFont="1" applyFill="1" applyAlignment="1">
      <alignment horizontal="left" indent="1"/>
    </xf>
    <xf numFmtId="0" fontId="20" fillId="6" borderId="7" xfId="0" applyFont="1" applyFill="1" applyBorder="1" applyAlignment="1">
      <alignment horizontal="left" indent="1"/>
    </xf>
    <xf numFmtId="199" fontId="15" fillId="6" borderId="0" xfId="0" applyNumberFormat="1" applyFont="1" applyFill="1" applyProtection="1">
      <protection locked="0"/>
    </xf>
    <xf numFmtId="0" fontId="23" fillId="6" borderId="9" xfId="0" applyFont="1" applyFill="1" applyBorder="1" applyAlignment="1">
      <alignment vertical="center"/>
    </xf>
    <xf numFmtId="166" fontId="15" fillId="6" borderId="9" xfId="1" applyNumberFormat="1" applyFont="1" applyFill="1" applyBorder="1" applyAlignment="1">
      <alignment horizontal="right" vertical="center"/>
    </xf>
    <xf numFmtId="166" fontId="15" fillId="6" borderId="0" xfId="1" applyNumberFormat="1" applyFont="1" applyFill="1" applyAlignment="1" applyProtection="1">
      <alignment horizontal="right" vertical="center"/>
      <protection locked="0"/>
    </xf>
    <xf numFmtId="166" fontId="15" fillId="6" borderId="4" xfId="1" applyNumberFormat="1" applyFont="1" applyFill="1" applyBorder="1" applyAlignment="1" applyProtection="1">
      <alignment horizontal="right" vertical="center"/>
      <protection locked="0"/>
    </xf>
    <xf numFmtId="0" fontId="12" fillId="2" borderId="11" xfId="21" applyFont="1" applyFill="1" applyBorder="1" applyAlignment="1">
      <alignment horizontal="left" vertical="center"/>
    </xf>
    <xf numFmtId="0" fontId="12" fillId="2" borderId="9" xfId="21" applyFont="1" applyFill="1" applyBorder="1" applyAlignment="1">
      <alignment horizontal="left" vertical="center"/>
    </xf>
    <xf numFmtId="43" fontId="12" fillId="2" borderId="11" xfId="1" applyFont="1" applyFill="1" applyBorder="1" applyAlignment="1">
      <alignment horizontal="right" vertical="center"/>
    </xf>
    <xf numFmtId="43" fontId="12" fillId="0" borderId="4" xfId="1" applyFont="1" applyBorder="1"/>
    <xf numFmtId="0" fontId="12" fillId="0" borderId="0" xfId="0" applyFont="1"/>
    <xf numFmtId="0" fontId="14" fillId="0" borderId="0" xfId="0" applyFont="1" applyAlignment="1">
      <alignment horizontal="right"/>
    </xf>
    <xf numFmtId="0" fontId="14" fillId="2" borderId="8" xfId="21" applyFont="1" applyFill="1" applyBorder="1" applyAlignment="1">
      <alignment horizontal="left" vertical="center"/>
    </xf>
    <xf numFmtId="0" fontId="14" fillId="2" borderId="8" xfId="21" applyFont="1" applyFill="1" applyBorder="1" applyAlignment="1">
      <alignment horizontal="right" vertical="center"/>
    </xf>
    <xf numFmtId="0" fontId="12" fillId="0" borderId="4" xfId="0" applyFont="1" applyBorder="1"/>
    <xf numFmtId="0" fontId="14" fillId="0" borderId="3" xfId="0" applyFont="1" applyBorder="1"/>
    <xf numFmtId="43" fontId="14" fillId="0" borderId="3" xfId="1" applyFont="1" applyBorder="1"/>
    <xf numFmtId="0" fontId="14" fillId="0" borderId="0" xfId="0" applyFont="1"/>
    <xf numFmtId="166" fontId="12" fillId="0" borderId="9" xfId="1" applyNumberFormat="1" applyFont="1" applyBorder="1"/>
    <xf numFmtId="166" fontId="12" fillId="2" borderId="11" xfId="1" applyNumberFormat="1" applyFont="1" applyFill="1" applyBorder="1" applyAlignment="1">
      <alignment horizontal="right" vertical="center"/>
    </xf>
    <xf numFmtId="43" fontId="0" fillId="4" borderId="0" xfId="0" applyNumberFormat="1" applyFill="1"/>
    <xf numFmtId="43" fontId="0" fillId="4" borderId="4" xfId="0" applyNumberFormat="1" applyFill="1" applyBorder="1"/>
    <xf numFmtId="43" fontId="3" fillId="4" borderId="3" xfId="0" applyNumberFormat="1" applyFont="1" applyFill="1" applyBorder="1"/>
    <xf numFmtId="0" fontId="14" fillId="0" borderId="0" xfId="0" applyFont="1" applyAlignment="1">
      <alignment horizontal="left"/>
    </xf>
    <xf numFmtId="190" fontId="10" fillId="2" borderId="0" xfId="21" applyNumberFormat="1" applyFont="1" applyFill="1" applyAlignment="1">
      <alignment vertical="center"/>
    </xf>
    <xf numFmtId="172" fontId="16" fillId="2" borderId="0" xfId="4" applyFont="1" applyFill="1" applyAlignment="1">
      <alignment horizontal="right" vertical="center"/>
    </xf>
    <xf numFmtId="166" fontId="0" fillId="2" borderId="0" xfId="1" applyNumberFormat="1" applyFont="1" applyFill="1" applyAlignment="1">
      <alignment horizontal="right"/>
    </xf>
    <xf numFmtId="166" fontId="0" fillId="2" borderId="4" xfId="1" applyNumberFormat="1" applyFont="1" applyFill="1" applyBorder="1" applyAlignment="1">
      <alignment horizontal="right"/>
    </xf>
    <xf numFmtId="168" fontId="10" fillId="6" borderId="0" xfId="0" applyNumberFormat="1" applyFont="1" applyFill="1" applyAlignment="1">
      <alignment horizontal="center" vertical="center"/>
    </xf>
    <xf numFmtId="168" fontId="10" fillId="6" borderId="0" xfId="2" applyNumberFormat="1" applyFont="1" applyFill="1" applyBorder="1" applyAlignment="1">
      <alignment horizontal="center" vertical="center"/>
    </xf>
    <xf numFmtId="168" fontId="0" fillId="6" borderId="0" xfId="4" applyNumberFormat="1" applyFont="1" applyFill="1" applyAlignment="1">
      <alignment horizontal="right" vertical="center"/>
    </xf>
    <xf numFmtId="168" fontId="10" fillId="6" borderId="0" xfId="0" applyNumberFormat="1" applyFont="1" applyFill="1"/>
    <xf numFmtId="0" fontId="16" fillId="0" borderId="3" xfId="0" applyFont="1" applyBorder="1"/>
    <xf numFmtId="0" fontId="105" fillId="2" borderId="0" xfId="0" applyFont="1" applyFill="1"/>
    <xf numFmtId="0" fontId="16" fillId="2" borderId="8" xfId="0" applyFont="1" applyFill="1" applyBorder="1" applyAlignment="1">
      <alignment horizontal="left" vertical="center"/>
    </xf>
    <xf numFmtId="0" fontId="16" fillId="2" borderId="8" xfId="0" applyFont="1" applyFill="1" applyBorder="1" applyAlignment="1">
      <alignment horizontal="center" vertical="center"/>
    </xf>
    <xf numFmtId="0" fontId="10" fillId="2" borderId="0" xfId="21" applyFont="1" applyFill="1"/>
    <xf numFmtId="0" fontId="16" fillId="2" borderId="3" xfId="21" applyFont="1" applyFill="1" applyBorder="1"/>
    <xf numFmtId="0" fontId="0" fillId="5" borderId="0" xfId="0" applyFill="1" applyProtection="1">
      <protection hidden="1"/>
    </xf>
    <xf numFmtId="0" fontId="0" fillId="5" borderId="0" xfId="0" applyFill="1" applyAlignment="1" applyProtection="1">
      <alignment horizontal="center"/>
      <protection hidden="1"/>
    </xf>
    <xf numFmtId="0" fontId="6" fillId="5" borderId="0" xfId="0" applyFont="1" applyFill="1" applyProtection="1">
      <protection hidden="1"/>
    </xf>
    <xf numFmtId="166" fontId="0" fillId="0" borderId="4" xfId="1" applyNumberFormat="1" applyFont="1" applyBorder="1"/>
    <xf numFmtId="0" fontId="0" fillId="0" borderId="3" xfId="0" applyBorder="1"/>
    <xf numFmtId="43" fontId="10" fillId="2" borderId="0" xfId="1" applyFont="1" applyFill="1" applyAlignment="1">
      <alignment horizontal="center"/>
    </xf>
    <xf numFmtId="43" fontId="16" fillId="2" borderId="3" xfId="1" applyFont="1" applyFill="1" applyBorder="1" applyAlignment="1">
      <alignment horizontal="center"/>
    </xf>
    <xf numFmtId="166" fontId="0" fillId="0" borderId="0" xfId="1" applyNumberFormat="1" applyFont="1"/>
    <xf numFmtId="0" fontId="3" fillId="0" borderId="3" xfId="0" applyFont="1" applyBorder="1"/>
    <xf numFmtId="166" fontId="20" fillId="0" borderId="0" xfId="1" applyNumberFormat="1" applyFont="1" applyAlignment="1">
      <alignment horizontal="right"/>
    </xf>
    <xf numFmtId="166" fontId="41" fillId="0" borderId="0" xfId="1" applyNumberFormat="1" applyFont="1" applyAlignment="1">
      <alignment horizontal="right"/>
    </xf>
    <xf numFmtId="200" fontId="0" fillId="2" borderId="0" xfId="0" applyNumberFormat="1" applyFill="1" applyProtection="1">
      <protection hidden="1"/>
    </xf>
    <xf numFmtId="0" fontId="36" fillId="6" borderId="0" xfId="0" applyFont="1" applyFill="1" applyProtection="1">
      <protection hidden="1"/>
    </xf>
    <xf numFmtId="188" fontId="8" fillId="6" borderId="0" xfId="0" applyNumberFormat="1" applyFont="1" applyFill="1" applyAlignment="1" applyProtection="1">
      <alignment vertical="center"/>
      <protection hidden="1"/>
    </xf>
    <xf numFmtId="0" fontId="3" fillId="6" borderId="65" xfId="0" applyFont="1" applyFill="1" applyBorder="1" applyAlignment="1" applyProtection="1">
      <alignment horizontal="left" vertical="center"/>
      <protection hidden="1"/>
    </xf>
    <xf numFmtId="165" fontId="3" fillId="6" borderId="65" xfId="0" applyNumberFormat="1" applyFont="1" applyFill="1" applyBorder="1" applyAlignment="1" applyProtection="1">
      <alignment horizontal="left" vertical="center"/>
      <protection hidden="1"/>
    </xf>
    <xf numFmtId="0" fontId="3" fillId="6" borderId="9" xfId="0" applyFont="1" applyFill="1" applyBorder="1" applyAlignment="1" applyProtection="1">
      <alignment vertical="center"/>
      <protection hidden="1"/>
    </xf>
    <xf numFmtId="0" fontId="3" fillId="6" borderId="9" xfId="0" applyFont="1" applyFill="1" applyBorder="1" applyAlignment="1" applyProtection="1">
      <alignment horizontal="right" vertical="center"/>
      <protection hidden="1"/>
    </xf>
    <xf numFmtId="0" fontId="2" fillId="6" borderId="0" xfId="0" applyFont="1" applyFill="1" applyAlignment="1">
      <alignment horizontal="center"/>
    </xf>
    <xf numFmtId="0" fontId="137" fillId="0" borderId="0" xfId="0" applyFont="1"/>
    <xf numFmtId="170" fontId="0" fillId="6" borderId="0" xfId="0" applyNumberFormat="1" applyFill="1"/>
    <xf numFmtId="166" fontId="20" fillId="0" borderId="3" xfId="1" applyNumberFormat="1" applyFont="1" applyBorder="1" applyAlignment="1">
      <alignment horizontal="right"/>
    </xf>
    <xf numFmtId="1" fontId="98" fillId="0" borderId="0" xfId="3" applyNumberFormat="1" applyFont="1" applyAlignment="1">
      <alignment horizontal="right"/>
    </xf>
    <xf numFmtId="0" fontId="16" fillId="0" borderId="3" xfId="24" applyFont="1" applyBorder="1"/>
    <xf numFmtId="165" fontId="0" fillId="0" borderId="0" xfId="0" applyNumberFormat="1"/>
    <xf numFmtId="0" fontId="138" fillId="33" borderId="8" xfId="0" applyFont="1" applyFill="1" applyBorder="1" applyAlignment="1" applyProtection="1">
      <alignment horizontal="right" vertical="center"/>
      <protection locked="0"/>
    </xf>
    <xf numFmtId="166" fontId="84" fillId="0" borderId="0" xfId="1" applyNumberFormat="1" applyFont="1" applyAlignment="1">
      <alignment horizontal="right"/>
    </xf>
    <xf numFmtId="166" fontId="84" fillId="0" borderId="3" xfId="1" applyNumberFormat="1" applyFont="1" applyBorder="1" applyAlignment="1">
      <alignment horizontal="right"/>
    </xf>
    <xf numFmtId="166" fontId="41" fillId="0" borderId="0" xfId="1" applyNumberFormat="1" applyFont="1" applyBorder="1" applyAlignment="1">
      <alignment horizontal="right"/>
    </xf>
    <xf numFmtId="0" fontId="22" fillId="0" borderId="3" xfId="3" applyFont="1" applyBorder="1"/>
    <xf numFmtId="43" fontId="23" fillId="0" borderId="3" xfId="1" applyFont="1" applyBorder="1" applyAlignment="1">
      <alignment horizontal="right"/>
    </xf>
    <xf numFmtId="166" fontId="23" fillId="0" borderId="3" xfId="1" applyNumberFormat="1" applyFont="1" applyBorder="1" applyAlignment="1">
      <alignment horizontal="right"/>
    </xf>
    <xf numFmtId="43" fontId="5" fillId="0" borderId="0" xfId="1" applyFont="1"/>
    <xf numFmtId="0" fontId="20" fillId="20" borderId="25" xfId="0" applyFont="1" applyFill="1" applyBorder="1"/>
    <xf numFmtId="0" fontId="23" fillId="37" borderId="0" xfId="0" applyFont="1" applyFill="1" applyAlignment="1">
      <alignment horizontal="right"/>
    </xf>
    <xf numFmtId="10" fontId="0" fillId="2" borderId="0" xfId="0" applyNumberFormat="1" applyFill="1"/>
    <xf numFmtId="0" fontId="3" fillId="6" borderId="0" xfId="0" applyFont="1" applyFill="1" applyAlignment="1" applyProtection="1">
      <alignment vertical="center"/>
      <protection hidden="1"/>
    </xf>
    <xf numFmtId="0" fontId="3" fillId="6" borderId="11" xfId="0" applyFont="1" applyFill="1" applyBorder="1" applyAlignment="1" applyProtection="1">
      <alignment vertical="center"/>
      <protection hidden="1"/>
    </xf>
    <xf numFmtId="0" fontId="0" fillId="6" borderId="11" xfId="0" applyFill="1" applyBorder="1" applyAlignment="1" applyProtection="1">
      <alignment vertical="center"/>
      <protection hidden="1"/>
    </xf>
    <xf numFmtId="0" fontId="0" fillId="6" borderId="4" xfId="0" applyFill="1" applyBorder="1" applyAlignment="1" applyProtection="1">
      <alignment vertical="center"/>
      <protection hidden="1"/>
    </xf>
    <xf numFmtId="0" fontId="0" fillId="6" borderId="0" xfId="0" applyFill="1" applyAlignment="1" applyProtection="1">
      <alignment horizontal="center" vertical="center"/>
      <protection hidden="1"/>
    </xf>
    <xf numFmtId="0" fontId="0" fillId="6" borderId="4" xfId="0" applyFill="1" applyBorder="1" applyAlignment="1" applyProtection="1">
      <alignment horizontal="center" vertical="center"/>
      <protection hidden="1"/>
    </xf>
    <xf numFmtId="0" fontId="20" fillId="5" borderId="0" xfId="3" applyFont="1" applyFill="1"/>
    <xf numFmtId="0" fontId="16" fillId="7" borderId="0" xfId="11" applyFont="1" applyFill="1"/>
    <xf numFmtId="11" fontId="20" fillId="20" borderId="25" xfId="1" applyNumberFormat="1" applyFont="1" applyFill="1" applyBorder="1" applyProtection="1">
      <protection locked="0"/>
    </xf>
    <xf numFmtId="11" fontId="20" fillId="20" borderId="4" xfId="2" applyNumberFormat="1" applyFont="1" applyFill="1" applyBorder="1" applyProtection="1">
      <protection locked="0"/>
    </xf>
    <xf numFmtId="0" fontId="23" fillId="11" borderId="12" xfId="0" applyFont="1" applyFill="1" applyBorder="1" applyAlignment="1">
      <alignment horizontal="left" vertical="center"/>
    </xf>
    <xf numFmtId="0" fontId="10" fillId="11" borderId="11" xfId="0" applyFont="1" applyFill="1" applyBorder="1" applyAlignment="1">
      <alignment horizontal="left"/>
    </xf>
    <xf numFmtId="0" fontId="10" fillId="11" borderId="0" xfId="0" applyFont="1" applyFill="1" applyAlignment="1">
      <alignment horizontal="left"/>
    </xf>
    <xf numFmtId="0" fontId="10" fillId="11" borderId="4" xfId="0" applyFont="1" applyFill="1" applyBorder="1" applyAlignment="1">
      <alignment horizontal="left"/>
    </xf>
    <xf numFmtId="0" fontId="2" fillId="11" borderId="0" xfId="0" applyFont="1" applyFill="1" applyAlignment="1">
      <alignment horizontal="left"/>
    </xf>
    <xf numFmtId="166" fontId="10" fillId="11" borderId="11" xfId="1" applyNumberFormat="1" applyFont="1" applyFill="1" applyBorder="1" applyAlignment="1">
      <alignment horizontal="center" vertical="center"/>
    </xf>
    <xf numFmtId="166" fontId="10" fillId="11" borderId="0" xfId="1" applyNumberFormat="1" applyFont="1" applyFill="1" applyAlignment="1">
      <alignment horizontal="center" vertical="center"/>
    </xf>
    <xf numFmtId="166" fontId="10" fillId="11" borderId="4" xfId="1" applyNumberFormat="1" applyFont="1" applyFill="1" applyBorder="1" applyAlignment="1">
      <alignment horizontal="center" vertical="center"/>
    </xf>
    <xf numFmtId="166" fontId="10" fillId="11" borderId="0" xfId="1" applyNumberFormat="1" applyFont="1" applyFill="1" applyBorder="1" applyAlignment="1">
      <alignment horizontal="center" vertical="center"/>
    </xf>
    <xf numFmtId="11" fontId="0" fillId="2" borderId="9" xfId="1" applyNumberFormat="1" applyFont="1" applyFill="1" applyBorder="1"/>
    <xf numFmtId="166" fontId="20" fillId="20" borderId="25" xfId="1" applyNumberFormat="1" applyFont="1" applyFill="1" applyBorder="1" applyProtection="1">
      <protection locked="0"/>
    </xf>
    <xf numFmtId="166" fontId="20" fillId="20" borderId="4" xfId="1" applyNumberFormat="1" applyFont="1" applyFill="1" applyBorder="1" applyProtection="1">
      <protection locked="0"/>
    </xf>
    <xf numFmtId="43" fontId="35" fillId="4" borderId="0" xfId="1" applyFont="1" applyFill="1" applyBorder="1"/>
    <xf numFmtId="0" fontId="97" fillId="15" borderId="0" xfId="0" applyFont="1" applyFill="1" applyAlignment="1">
      <alignment horizontal="right"/>
    </xf>
    <xf numFmtId="43" fontId="35" fillId="4" borderId="0" xfId="1" applyFont="1" applyFill="1"/>
    <xf numFmtId="43" fontId="0" fillId="6" borderId="0" xfId="1" applyFont="1" applyFill="1" applyProtection="1">
      <protection hidden="1"/>
    </xf>
    <xf numFmtId="0" fontId="16" fillId="6" borderId="0" xfId="0" applyFont="1" applyFill="1"/>
    <xf numFmtId="0" fontId="16" fillId="6" borderId="0" xfId="0" applyFont="1" applyFill="1" applyAlignment="1">
      <alignment vertical="center"/>
    </xf>
    <xf numFmtId="3" fontId="20" fillId="6" borderId="0" xfId="4" applyNumberFormat="1" applyFont="1" applyFill="1" applyAlignment="1" applyProtection="1">
      <alignment horizontal="right" vertical="center"/>
    </xf>
    <xf numFmtId="3" fontId="20" fillId="6" borderId="4" xfId="4" applyNumberFormat="1" applyFont="1" applyFill="1" applyBorder="1" applyAlignment="1" applyProtection="1">
      <alignment horizontal="right" vertical="center"/>
    </xf>
    <xf numFmtId="0" fontId="16" fillId="7" borderId="0" xfId="11" applyFont="1" applyFill="1" applyProtection="1"/>
    <xf numFmtId="166" fontId="16" fillId="6" borderId="0" xfId="1" applyNumberFormat="1" applyFont="1" applyFill="1" applyProtection="1"/>
    <xf numFmtId="166" fontId="20" fillId="6" borderId="9" xfId="1" applyNumberFormat="1" applyFont="1" applyFill="1" applyBorder="1" applyAlignment="1" applyProtection="1">
      <alignment horizontal="right" vertical="center"/>
    </xf>
    <xf numFmtId="3" fontId="23" fillId="6" borderId="3" xfId="4" applyNumberFormat="1" applyFont="1" applyFill="1" applyBorder="1" applyAlignment="1" applyProtection="1">
      <alignment horizontal="right" vertical="center"/>
    </xf>
    <xf numFmtId="166" fontId="23" fillId="6" borderId="0" xfId="1" applyNumberFormat="1" applyFont="1" applyFill="1" applyBorder="1" applyAlignment="1" applyProtection="1">
      <alignment horizontal="right" vertical="center"/>
    </xf>
    <xf numFmtId="166" fontId="16" fillId="6" borderId="3" xfId="1" applyNumberFormat="1" applyFont="1" applyFill="1" applyBorder="1" applyProtection="1"/>
    <xf numFmtId="166" fontId="20" fillId="6" borderId="0" xfId="1" applyNumberFormat="1" applyFont="1" applyFill="1" applyAlignment="1" applyProtection="1">
      <alignment horizontal="right" vertical="center"/>
    </xf>
    <xf numFmtId="166" fontId="20" fillId="6" borderId="4" xfId="1" applyNumberFormat="1" applyFont="1" applyFill="1" applyBorder="1" applyAlignment="1" applyProtection="1">
      <alignment horizontal="right" vertical="center"/>
    </xf>
    <xf numFmtId="43" fontId="20" fillId="6" borderId="3" xfId="0" applyNumberFormat="1" applyFont="1" applyFill="1" applyBorder="1" applyAlignment="1">
      <alignment vertical="center"/>
    </xf>
    <xf numFmtId="0" fontId="20" fillId="6" borderId="9" xfId="0" applyFont="1" applyFill="1" applyBorder="1"/>
    <xf numFmtId="1" fontId="23" fillId="6" borderId="9" xfId="0" applyNumberFormat="1" applyFont="1" applyFill="1" applyBorder="1" applyAlignment="1">
      <alignment horizontal="right" vertical="center"/>
    </xf>
    <xf numFmtId="199" fontId="15" fillId="6" borderId="0" xfId="4" applyNumberFormat="1" applyFont="1" applyFill="1" applyAlignment="1" applyProtection="1">
      <alignment horizontal="right" vertical="center"/>
    </xf>
    <xf numFmtId="0" fontId="140" fillId="0" borderId="0" xfId="0" applyFont="1"/>
    <xf numFmtId="11" fontId="0" fillId="2" borderId="9" xfId="0" applyNumberFormat="1" applyFill="1" applyBorder="1"/>
    <xf numFmtId="2" fontId="16" fillId="2" borderId="3" xfId="0" applyNumberFormat="1" applyFont="1" applyFill="1" applyBorder="1"/>
    <xf numFmtId="0" fontId="27" fillId="2" borderId="3" xfId="0" applyFont="1" applyFill="1" applyBorder="1" applyAlignment="1">
      <alignment horizontal="left"/>
    </xf>
    <xf numFmtId="0" fontId="27" fillId="2" borderId="3" xfId="0" applyFont="1" applyFill="1" applyBorder="1" applyAlignment="1">
      <alignment horizontal="right"/>
    </xf>
    <xf numFmtId="11" fontId="2" fillId="2" borderId="0" xfId="0" applyNumberFormat="1" applyFont="1" applyFill="1"/>
    <xf numFmtId="43" fontId="2" fillId="2" borderId="0" xfId="0" applyNumberFormat="1" applyFont="1" applyFill="1"/>
    <xf numFmtId="43" fontId="2" fillId="2" borderId="4" xfId="0" applyNumberFormat="1" applyFont="1" applyFill="1" applyBorder="1"/>
    <xf numFmtId="11" fontId="2" fillId="2" borderId="3" xfId="0" applyNumberFormat="1" applyFont="1" applyFill="1" applyBorder="1"/>
    <xf numFmtId="166" fontId="3" fillId="2" borderId="3" xfId="1" applyNumberFormat="1" applyFont="1" applyFill="1" applyBorder="1" applyAlignment="1">
      <alignment horizontal="right"/>
    </xf>
    <xf numFmtId="9" fontId="2" fillId="12" borderId="0" xfId="2" applyFont="1" applyFill="1" applyAlignment="1" applyProtection="1">
      <alignment horizontal="center" vertical="center"/>
      <protection locked="0"/>
    </xf>
    <xf numFmtId="9" fontId="2" fillId="12" borderId="4" xfId="2" applyFont="1" applyFill="1" applyBorder="1" applyAlignment="1" applyProtection="1">
      <alignment horizontal="center" vertical="center"/>
      <protection locked="0"/>
    </xf>
    <xf numFmtId="0" fontId="12" fillId="2" borderId="0" xfId="21" applyFont="1" applyFill="1" applyAlignment="1">
      <alignment horizontal="left" vertical="center"/>
    </xf>
    <xf numFmtId="43" fontId="12" fillId="2" borderId="0" xfId="1" applyFont="1" applyFill="1" applyBorder="1" applyAlignment="1">
      <alignment horizontal="right" vertical="center"/>
    </xf>
    <xf numFmtId="166" fontId="12" fillId="0" borderId="0" xfId="1" applyNumberFormat="1" applyFont="1" applyBorder="1"/>
    <xf numFmtId="166" fontId="12" fillId="2" borderId="0" xfId="1" applyNumberFormat="1" applyFont="1" applyFill="1" applyBorder="1" applyAlignment="1">
      <alignment horizontal="right" vertical="center"/>
    </xf>
    <xf numFmtId="0" fontId="27" fillId="6" borderId="0" xfId="0" applyFont="1" applyFill="1" applyAlignment="1">
      <alignment horizontal="right"/>
    </xf>
    <xf numFmtId="0" fontId="12" fillId="9" borderId="4" xfId="0" applyFont="1" applyFill="1" applyBorder="1"/>
    <xf numFmtId="0" fontId="20" fillId="9" borderId="0" xfId="21" applyFont="1" applyFill="1"/>
    <xf numFmtId="0" fontId="10" fillId="4" borderId="9" xfId="0" applyFont="1" applyFill="1" applyBorder="1"/>
    <xf numFmtId="0" fontId="10" fillId="4" borderId="57" xfId="0" applyFont="1" applyFill="1" applyBorder="1"/>
    <xf numFmtId="0" fontId="10" fillId="4" borderId="58" xfId="0" applyFont="1" applyFill="1" applyBorder="1"/>
    <xf numFmtId="0" fontId="3" fillId="6" borderId="0" xfId="24" applyFont="1" applyFill="1" applyAlignment="1">
      <alignment horizontal="right"/>
    </xf>
    <xf numFmtId="0" fontId="3" fillId="6" borderId="3" xfId="0" applyFont="1" applyFill="1" applyBorder="1" applyAlignment="1">
      <alignment horizontal="right"/>
    </xf>
    <xf numFmtId="0" fontId="22" fillId="2" borderId="0" xfId="21" applyFont="1" applyFill="1" applyAlignment="1">
      <alignment vertical="center"/>
    </xf>
    <xf numFmtId="0" fontId="41" fillId="32" borderId="0" xfId="0" applyFont="1" applyFill="1" applyAlignment="1">
      <alignment horizontal="left" vertical="top" wrapText="1"/>
    </xf>
    <xf numFmtId="174" fontId="5" fillId="4" borderId="0" xfId="4" applyNumberFormat="1" applyFont="1" applyFill="1" applyAlignment="1">
      <alignment horizontal="right" vertical="center"/>
    </xf>
    <xf numFmtId="176" fontId="81" fillId="4" borderId="0" xfId="6" applyFont="1" applyFill="1" applyAlignment="1">
      <alignment horizontal="right" vertical="center"/>
    </xf>
    <xf numFmtId="0" fontId="141" fillId="2" borderId="0" xfId="20" applyFont="1" applyFill="1"/>
    <xf numFmtId="0" fontId="0" fillId="6" borderId="4" xfId="3" applyFont="1" applyFill="1" applyBorder="1" applyAlignment="1">
      <alignment horizontal="center" vertical="center"/>
    </xf>
    <xf numFmtId="0" fontId="16" fillId="6" borderId="0" xfId="0" applyFont="1" applyFill="1" applyAlignment="1">
      <alignment horizontal="right"/>
    </xf>
    <xf numFmtId="0" fontId="0" fillId="6" borderId="11" xfId="3" applyFont="1" applyFill="1" applyBorder="1" applyAlignment="1">
      <alignment horizontal="center" vertical="center"/>
    </xf>
    <xf numFmtId="0" fontId="16" fillId="6" borderId="0" xfId="3" applyFont="1" applyFill="1" applyAlignment="1">
      <alignment horizontal="left" vertical="center"/>
    </xf>
    <xf numFmtId="0" fontId="10" fillId="2" borderId="9" xfId="21" applyFont="1" applyFill="1" applyBorder="1" applyAlignment="1">
      <alignment vertical="center" wrapText="1"/>
    </xf>
    <xf numFmtId="190" fontId="10" fillId="2" borderId="9" xfId="21" applyNumberFormat="1" applyFont="1" applyFill="1" applyBorder="1" applyAlignment="1">
      <alignment vertical="center"/>
    </xf>
    <xf numFmtId="3" fontId="10" fillId="2" borderId="9" xfId="21" applyNumberFormat="1" applyFont="1" applyFill="1" applyBorder="1" applyAlignment="1">
      <alignment vertical="center"/>
    </xf>
    <xf numFmtId="3" fontId="3" fillId="2" borderId="0" xfId="0" applyNumberFormat="1" applyFont="1" applyFill="1" applyAlignment="1">
      <alignment horizontal="right"/>
    </xf>
    <xf numFmtId="166" fontId="23" fillId="9" borderId="0" xfId="1" applyNumberFormat="1" applyFont="1" applyFill="1" applyBorder="1" applyAlignment="1">
      <alignment horizontal="center" vertical="center"/>
    </xf>
    <xf numFmtId="201" fontId="16" fillId="2" borderId="3" xfId="0" applyNumberFormat="1" applyFont="1" applyFill="1" applyBorder="1"/>
    <xf numFmtId="43" fontId="16" fillId="9" borderId="3" xfId="0" applyNumberFormat="1" applyFont="1" applyFill="1" applyBorder="1"/>
    <xf numFmtId="0" fontId="142" fillId="6" borderId="0" xfId="0" applyFont="1" applyFill="1"/>
    <xf numFmtId="0" fontId="0" fillId="4" borderId="57" xfId="0" applyFill="1" applyBorder="1" applyAlignment="1">
      <alignment vertical="center"/>
    </xf>
    <xf numFmtId="0" fontId="0" fillId="4" borderId="58" xfId="0" applyFill="1" applyBorder="1" applyAlignment="1">
      <alignment vertical="center"/>
    </xf>
    <xf numFmtId="0" fontId="25" fillId="5" borderId="0" xfId="3" applyFont="1" applyFill="1" applyAlignment="1">
      <alignment horizontal="left" vertical="center" indent="1"/>
    </xf>
    <xf numFmtId="166" fontId="105" fillId="9" borderId="22" xfId="1" applyNumberFormat="1" applyFont="1" applyFill="1" applyBorder="1" applyAlignment="1">
      <alignment horizontal="center"/>
    </xf>
    <xf numFmtId="166" fontId="10" fillId="9" borderId="0" xfId="1" applyNumberFormat="1" applyFont="1" applyFill="1" applyBorder="1" applyAlignment="1">
      <alignment horizontal="center"/>
    </xf>
    <xf numFmtId="166" fontId="16" fillId="9" borderId="4" xfId="1" applyNumberFormat="1" applyFont="1" applyFill="1" applyBorder="1" applyAlignment="1">
      <alignment horizontal="center"/>
    </xf>
    <xf numFmtId="9" fontId="0" fillId="0" borderId="0" xfId="0" applyNumberFormat="1"/>
    <xf numFmtId="189" fontId="10" fillId="2" borderId="9" xfId="21" applyNumberFormat="1" applyFont="1" applyFill="1" applyBorder="1" applyAlignment="1">
      <alignment vertical="center"/>
    </xf>
    <xf numFmtId="189" fontId="10" fillId="2" borderId="4" xfId="21" applyNumberFormat="1" applyFont="1" applyFill="1" applyBorder="1" applyAlignment="1">
      <alignment vertical="center"/>
    </xf>
    <xf numFmtId="9" fontId="10" fillId="6" borderId="4" xfId="6" applyNumberFormat="1" applyFont="1" applyFill="1" applyBorder="1" applyAlignment="1">
      <alignment vertical="center"/>
    </xf>
    <xf numFmtId="9" fontId="2" fillId="6" borderId="11" xfId="6" applyNumberFormat="1" applyFont="1" applyFill="1" applyBorder="1" applyAlignment="1">
      <alignment vertical="center"/>
    </xf>
    <xf numFmtId="9" fontId="2" fillId="6" borderId="4" xfId="6" applyNumberFormat="1" applyFont="1" applyFill="1" applyBorder="1" applyAlignment="1">
      <alignment vertical="center"/>
    </xf>
    <xf numFmtId="172" fontId="12" fillId="4" borderId="0" xfId="4" applyFont="1" applyFill="1" applyBorder="1" applyAlignment="1">
      <alignment horizontal="right"/>
    </xf>
    <xf numFmtId="172" fontId="12" fillId="4" borderId="0" xfId="4" applyFont="1" applyFill="1" applyAlignment="1">
      <alignment horizontal="right"/>
    </xf>
    <xf numFmtId="0" fontId="23" fillId="4" borderId="21" xfId="0" applyFont="1" applyFill="1" applyBorder="1" applyAlignment="1">
      <alignment horizontal="right" vertical="center"/>
    </xf>
    <xf numFmtId="2" fontId="12" fillId="4" borderId="0" xfId="4" applyNumberFormat="1" applyFont="1" applyFill="1" applyBorder="1" applyAlignment="1">
      <alignment horizontal="right"/>
    </xf>
    <xf numFmtId="2" fontId="12" fillId="4" borderId="0" xfId="4" applyNumberFormat="1" applyFont="1" applyFill="1" applyAlignment="1">
      <alignment horizontal="right"/>
    </xf>
    <xf numFmtId="0" fontId="50" fillId="0" borderId="0" xfId="0" applyFont="1" applyAlignment="1">
      <alignment horizontal="right"/>
    </xf>
    <xf numFmtId="0" fontId="14" fillId="4" borderId="12" xfId="0" applyFont="1" applyFill="1" applyBorder="1" applyAlignment="1">
      <alignment vertical="center"/>
    </xf>
    <xf numFmtId="0" fontId="0" fillId="4" borderId="9" xfId="0" applyFill="1" applyBorder="1" applyAlignment="1">
      <alignment vertical="center" wrapText="1"/>
    </xf>
    <xf numFmtId="0" fontId="46" fillId="5" borderId="0" xfId="3" applyFont="1" applyFill="1" applyAlignment="1">
      <alignment vertical="center"/>
    </xf>
    <xf numFmtId="0" fontId="15" fillId="5" borderId="0" xfId="3" applyFont="1" applyFill="1" applyAlignment="1">
      <alignment vertical="center"/>
    </xf>
    <xf numFmtId="176" fontId="46" fillId="5" borderId="0" xfId="6" applyFont="1" applyFill="1" applyBorder="1" applyAlignment="1">
      <alignment vertical="center"/>
    </xf>
    <xf numFmtId="176" fontId="46" fillId="5" borderId="0" xfId="6" applyFont="1" applyFill="1" applyBorder="1" applyAlignment="1">
      <alignment horizontal="right" vertical="center"/>
    </xf>
    <xf numFmtId="176" fontId="14" fillId="5" borderId="0" xfId="6" applyFont="1" applyFill="1" applyBorder="1" applyAlignment="1">
      <alignment horizontal="right" vertical="center"/>
    </xf>
    <xf numFmtId="175" fontId="0" fillId="5" borderId="0" xfId="4" applyNumberFormat="1" applyFont="1" applyFill="1" applyBorder="1" applyAlignment="1">
      <alignment horizontal="right" vertical="center"/>
    </xf>
    <xf numFmtId="0" fontId="15" fillId="6" borderId="0" xfId="3" applyFont="1" applyFill="1" applyAlignment="1">
      <alignment horizontal="left" vertical="center"/>
    </xf>
    <xf numFmtId="9" fontId="15" fillId="6" borderId="0" xfId="3" applyNumberFormat="1" applyFont="1" applyFill="1" applyAlignment="1">
      <alignment vertical="center"/>
    </xf>
    <xf numFmtId="176" fontId="46" fillId="6" borderId="0" xfId="6" applyFont="1" applyFill="1" applyBorder="1" applyAlignment="1">
      <alignment vertical="center"/>
    </xf>
    <xf numFmtId="176" fontId="46" fillId="6" borderId="0" xfId="6" applyFont="1" applyFill="1" applyBorder="1" applyAlignment="1">
      <alignment horizontal="right" vertical="center"/>
    </xf>
    <xf numFmtId="176" fontId="14" fillId="6" borderId="0" xfId="6" applyFont="1" applyFill="1" applyBorder="1" applyAlignment="1">
      <alignment horizontal="right" vertical="center"/>
    </xf>
    <xf numFmtId="0" fontId="20" fillId="6" borderId="0" xfId="3" applyFont="1" applyFill="1" applyAlignment="1">
      <alignment horizontal="left" vertical="center"/>
    </xf>
    <xf numFmtId="9" fontId="20" fillId="6" borderId="0" xfId="3" applyNumberFormat="1" applyFont="1" applyFill="1" applyAlignment="1">
      <alignment vertical="center"/>
    </xf>
    <xf numFmtId="176" fontId="23" fillId="6" borderId="0" xfId="6" applyFont="1" applyFill="1" applyBorder="1" applyAlignment="1">
      <alignment vertical="center"/>
    </xf>
    <xf numFmtId="176" fontId="23" fillId="6" borderId="0" xfId="6" applyFont="1" applyFill="1" applyBorder="1" applyAlignment="1">
      <alignment horizontal="right" vertical="center"/>
    </xf>
    <xf numFmtId="0" fontId="23" fillId="6" borderId="8" xfId="0" applyFont="1" applyFill="1" applyBorder="1" applyAlignment="1">
      <alignment horizontal="center" vertical="center" wrapText="1"/>
    </xf>
    <xf numFmtId="0" fontId="11" fillId="0" borderId="0" xfId="7" applyNumberFormat="1" applyFont="1" applyAlignment="1">
      <alignment horizontal="right"/>
    </xf>
    <xf numFmtId="0" fontId="14" fillId="5" borderId="0" xfId="3" applyFont="1" applyFill="1" applyAlignment="1">
      <alignment vertical="center"/>
    </xf>
    <xf numFmtId="0" fontId="12" fillId="5" borderId="0" xfId="3" applyFont="1" applyFill="1" applyAlignment="1">
      <alignment vertical="center"/>
    </xf>
    <xf numFmtId="176" fontId="14" fillId="5" borderId="0" xfId="6" applyFont="1" applyFill="1" applyBorder="1" applyAlignment="1">
      <alignment vertical="center"/>
    </xf>
    <xf numFmtId="0" fontId="16" fillId="6" borderId="8" xfId="0" applyFont="1" applyFill="1" applyBorder="1" applyAlignment="1">
      <alignment vertical="center"/>
    </xf>
    <xf numFmtId="0" fontId="23" fillId="6" borderId="8" xfId="3" applyFont="1" applyFill="1" applyBorder="1" applyAlignment="1">
      <alignment vertical="center"/>
    </xf>
    <xf numFmtId="0" fontId="46" fillId="6" borderId="0" xfId="3" applyFont="1" applyFill="1" applyAlignment="1">
      <alignment vertical="center"/>
    </xf>
    <xf numFmtId="0" fontId="15" fillId="6" borderId="0" xfId="3" applyFont="1" applyFill="1" applyAlignment="1">
      <alignment horizontal="right"/>
    </xf>
    <xf numFmtId="173" fontId="20" fillId="6" borderId="19" xfId="1" applyNumberFormat="1" applyFont="1" applyFill="1" applyBorder="1" applyAlignment="1">
      <alignment vertical="center"/>
    </xf>
    <xf numFmtId="168" fontId="0" fillId="5" borderId="0" xfId="0" applyNumberFormat="1" applyFill="1"/>
    <xf numFmtId="168" fontId="23" fillId="6" borderId="8" xfId="0" applyNumberFormat="1" applyFont="1" applyFill="1" applyBorder="1" applyAlignment="1">
      <alignment horizontal="center" vertical="center" wrapText="1"/>
    </xf>
    <xf numFmtId="0" fontId="0" fillId="5" borderId="0" xfId="0" applyFill="1" applyAlignment="1">
      <alignment horizontal="right"/>
    </xf>
    <xf numFmtId="172" fontId="23" fillId="6" borderId="0" xfId="4" applyFont="1" applyFill="1" applyAlignment="1">
      <alignment horizontal="center" vertical="center"/>
    </xf>
    <xf numFmtId="0" fontId="23" fillId="6" borderId="8" xfId="0" applyFont="1" applyFill="1" applyBorder="1" applyAlignment="1">
      <alignment vertical="center" wrapText="1"/>
    </xf>
    <xf numFmtId="0" fontId="11" fillId="6" borderId="14" xfId="7" applyNumberFormat="1" applyFont="1" applyFill="1" applyBorder="1"/>
    <xf numFmtId="0" fontId="80" fillId="6" borderId="15" xfId="7" applyNumberFormat="1" applyFont="1" applyFill="1" applyBorder="1"/>
    <xf numFmtId="0" fontId="11" fillId="0" borderId="0" xfId="7" applyNumberFormat="1" applyFont="1" applyFill="1" applyBorder="1"/>
    <xf numFmtId="0" fontId="23" fillId="4" borderId="21" xfId="0" applyFont="1" applyFill="1" applyBorder="1" applyAlignment="1">
      <alignment vertical="center"/>
    </xf>
    <xf numFmtId="0" fontId="0" fillId="4" borderId="3" xfId="0" applyFill="1" applyBorder="1" applyAlignment="1">
      <alignment vertical="center"/>
    </xf>
    <xf numFmtId="0" fontId="13" fillId="0" borderId="0" xfId="0" applyFont="1" applyAlignment="1">
      <alignment horizontal="right"/>
    </xf>
    <xf numFmtId="0" fontId="0" fillId="4" borderId="0" xfId="0" applyFill="1" applyAlignment="1">
      <alignment horizontal="right" vertical="center"/>
    </xf>
    <xf numFmtId="0" fontId="14" fillId="9" borderId="0" xfId="0" applyFont="1" applyFill="1"/>
    <xf numFmtId="0" fontId="23" fillId="9" borderId="21" xfId="0" applyFont="1" applyFill="1" applyBorder="1" applyAlignment="1">
      <alignment vertical="center"/>
    </xf>
    <xf numFmtId="0" fontId="23" fillId="9" borderId="21" xfId="0" applyFont="1" applyFill="1" applyBorder="1" applyAlignment="1">
      <alignment horizontal="right" vertical="center"/>
    </xf>
    <xf numFmtId="0" fontId="0" fillId="11" borderId="0" xfId="0" applyFill="1" applyAlignment="1">
      <alignment horizontal="right"/>
    </xf>
    <xf numFmtId="0" fontId="0" fillId="11" borderId="4" xfId="0" applyFill="1" applyBorder="1" applyAlignment="1">
      <alignment vertical="center"/>
    </xf>
    <xf numFmtId="0" fontId="6" fillId="0" borderId="0" xfId="0" applyFont="1"/>
    <xf numFmtId="0" fontId="0" fillId="2" borderId="0" xfId="0" applyFill="1" applyAlignment="1">
      <alignment vertical="center"/>
    </xf>
    <xf numFmtId="172" fontId="12" fillId="2" borderId="0" xfId="4" applyFont="1" applyFill="1" applyBorder="1" applyAlignment="1">
      <alignment horizontal="right"/>
    </xf>
    <xf numFmtId="0" fontId="23" fillId="0" borderId="3" xfId="0" applyFont="1" applyBorder="1"/>
    <xf numFmtId="0" fontId="84" fillId="0" borderId="3" xfId="0" applyFont="1" applyBorder="1"/>
    <xf numFmtId="0" fontId="23" fillId="0" borderId="3" xfId="0" applyFont="1" applyBorder="1" applyAlignment="1">
      <alignment horizontal="center"/>
    </xf>
    <xf numFmtId="172" fontId="20" fillId="0" borderId="9" xfId="4" applyFont="1" applyBorder="1"/>
    <xf numFmtId="172" fontId="20" fillId="0" borderId="0" xfId="4" applyFont="1" applyBorder="1"/>
    <xf numFmtId="172" fontId="12" fillId="0" borderId="0" xfId="4" applyFont="1"/>
    <xf numFmtId="4" fontId="0" fillId="0" borderId="0" xfId="0" applyNumberFormat="1"/>
    <xf numFmtId="172" fontId="15" fillId="0" borderId="0" xfId="4" applyFont="1"/>
    <xf numFmtId="178" fontId="20" fillId="0" borderId="9" xfId="4" applyNumberFormat="1" applyFont="1" applyBorder="1"/>
    <xf numFmtId="178" fontId="20" fillId="0" borderId="0" xfId="4" applyNumberFormat="1" applyFont="1" applyBorder="1"/>
    <xf numFmtId="178" fontId="20" fillId="0" borderId="4" xfId="4" applyNumberFormat="1" applyFont="1" applyBorder="1"/>
    <xf numFmtId="172" fontId="20" fillId="0" borderId="4" xfId="4" applyFont="1" applyBorder="1"/>
    <xf numFmtId="179" fontId="20" fillId="0" borderId="9" xfId="4" applyNumberFormat="1" applyFont="1" applyBorder="1"/>
    <xf numFmtId="179" fontId="20" fillId="0" borderId="0" xfId="4" applyNumberFormat="1" applyFont="1" applyBorder="1"/>
    <xf numFmtId="179" fontId="20" fillId="0" borderId="4" xfId="4" applyNumberFormat="1" applyFont="1" applyBorder="1"/>
    <xf numFmtId="0" fontId="23" fillId="0" borderId="9" xfId="0" applyFont="1" applyBorder="1" applyAlignment="1">
      <alignment horizontal="center"/>
    </xf>
    <xf numFmtId="174" fontId="0" fillId="0" borderId="0" xfId="0" applyNumberFormat="1"/>
    <xf numFmtId="174" fontId="20" fillId="0" borderId="9" xfId="4" applyNumberFormat="1" applyFont="1" applyBorder="1"/>
    <xf numFmtId="174" fontId="20" fillId="0" borderId="0" xfId="4" applyNumberFormat="1" applyFont="1" applyBorder="1"/>
    <xf numFmtId="174" fontId="12" fillId="0" borderId="0" xfId="4" applyNumberFormat="1" applyFont="1"/>
    <xf numFmtId="174" fontId="20" fillId="0" borderId="0" xfId="4" applyNumberFormat="1" applyFont="1"/>
    <xf numFmtId="0" fontId="46" fillId="0" borderId="0" xfId="0" applyFont="1" applyAlignment="1">
      <alignment horizontal="center"/>
    </xf>
    <xf numFmtId="0" fontId="23" fillId="0" borderId="0" xfId="0" applyFont="1"/>
    <xf numFmtId="174" fontId="23" fillId="0" borderId="0" xfId="0" applyNumberFormat="1" applyFont="1" applyAlignment="1">
      <alignment horizontal="center"/>
    </xf>
    <xf numFmtId="0" fontId="0" fillId="2" borderId="4" xfId="0" applyFill="1" applyBorder="1" applyAlignment="1">
      <alignment vertical="center"/>
    </xf>
    <xf numFmtId="0" fontId="2" fillId="0" borderId="3" xfId="0" applyFont="1" applyBorder="1"/>
    <xf numFmtId="172" fontId="12" fillId="0" borderId="3" xfId="4" applyFont="1" applyBorder="1"/>
    <xf numFmtId="178" fontId="20" fillId="0" borderId="3" xfId="4" applyNumberFormat="1" applyFont="1" applyBorder="1"/>
    <xf numFmtId="172" fontId="20" fillId="0" borderId="3" xfId="4" applyFont="1" applyBorder="1"/>
    <xf numFmtId="172" fontId="10" fillId="0" borderId="3" xfId="0" applyNumberFormat="1" applyFont="1" applyBorder="1"/>
    <xf numFmtId="0" fontId="16" fillId="2" borderId="4" xfId="0" applyFont="1" applyFill="1" applyBorder="1"/>
    <xf numFmtId="174" fontId="12" fillId="0" borderId="3" xfId="4" applyNumberFormat="1" applyFont="1" applyBorder="1"/>
    <xf numFmtId="43" fontId="0" fillId="0" borderId="3" xfId="1" applyFont="1" applyBorder="1"/>
    <xf numFmtId="43" fontId="10" fillId="0" borderId="3" xfId="1" applyFont="1" applyBorder="1"/>
    <xf numFmtId="0" fontId="14" fillId="2" borderId="3" xfId="0" applyFont="1" applyFill="1" applyBorder="1" applyAlignment="1">
      <alignment vertical="center"/>
    </xf>
    <xf numFmtId="0" fontId="14" fillId="2" borderId="3" xfId="0" applyFont="1" applyFill="1" applyBorder="1" applyAlignment="1">
      <alignment horizontal="right"/>
    </xf>
    <xf numFmtId="43" fontId="0" fillId="0" borderId="3" xfId="0" applyNumberFormat="1" applyBorder="1"/>
    <xf numFmtId="172" fontId="14" fillId="4" borderId="3" xfId="4" applyFont="1" applyFill="1" applyBorder="1" applyAlignment="1">
      <alignment horizontal="right"/>
    </xf>
    <xf numFmtId="0" fontId="14" fillId="11" borderId="21" xfId="0" applyFont="1" applyFill="1" applyBorder="1" applyAlignment="1">
      <alignment vertical="center"/>
    </xf>
    <xf numFmtId="0" fontId="14" fillId="11" borderId="21" xfId="0" applyFont="1" applyFill="1" applyBorder="1" applyAlignment="1">
      <alignment horizontal="right" vertical="center"/>
    </xf>
    <xf numFmtId="172" fontId="14" fillId="2" borderId="0" xfId="0" applyNumberFormat="1" applyFont="1" applyFill="1" applyAlignment="1">
      <alignment horizontal="right"/>
    </xf>
    <xf numFmtId="174" fontId="12" fillId="2" borderId="0" xfId="4" applyNumberFormat="1" applyFont="1" applyFill="1" applyAlignment="1">
      <alignment horizontal="right" vertical="center"/>
    </xf>
    <xf numFmtId="166" fontId="12" fillId="2" borderId="11" xfId="1" applyNumberFormat="1" applyFont="1" applyFill="1" applyBorder="1" applyAlignment="1">
      <alignment vertical="center"/>
    </xf>
    <xf numFmtId="166" fontId="12" fillId="2" borderId="4" xfId="1" applyNumberFormat="1" applyFont="1" applyFill="1" applyBorder="1" applyAlignment="1">
      <alignment vertical="center"/>
    </xf>
    <xf numFmtId="9" fontId="12" fillId="2" borderId="0" xfId="0" applyNumberFormat="1" applyFont="1" applyFill="1" applyAlignment="1">
      <alignment vertical="center"/>
    </xf>
    <xf numFmtId="1" fontId="12" fillId="2" borderId="0" xfId="4" applyNumberFormat="1" applyFont="1" applyFill="1" applyAlignment="1">
      <alignment horizontal="right" vertical="center"/>
    </xf>
    <xf numFmtId="176" fontId="12" fillId="2" borderId="0" xfId="6" applyFont="1" applyFill="1" applyAlignment="1">
      <alignment horizontal="right" vertical="center"/>
    </xf>
    <xf numFmtId="1" fontId="12" fillId="2" borderId="0" xfId="0" applyNumberFormat="1" applyFont="1" applyFill="1" applyAlignment="1">
      <alignment vertical="center"/>
    </xf>
    <xf numFmtId="1" fontId="12" fillId="2" borderId="0" xfId="6" applyNumberFormat="1" applyFont="1" applyFill="1" applyAlignment="1">
      <alignment vertical="center"/>
    </xf>
    <xf numFmtId="3" fontId="12" fillId="2" borderId="4" xfId="6" applyNumberFormat="1" applyFont="1" applyFill="1" applyBorder="1" applyAlignment="1">
      <alignment vertical="center"/>
    </xf>
    <xf numFmtId="4" fontId="12" fillId="2" borderId="0" xfId="21" applyNumberFormat="1" applyFont="1" applyFill="1" applyAlignment="1">
      <alignment horizontal="right" vertical="center"/>
    </xf>
    <xf numFmtId="166" fontId="12" fillId="2" borderId="11" xfId="21" applyNumberFormat="1" applyFont="1" applyFill="1" applyBorder="1" applyAlignment="1">
      <alignment horizontal="right" vertical="center"/>
    </xf>
    <xf numFmtId="11" fontId="12" fillId="2" borderId="11" xfId="21" applyNumberFormat="1" applyFont="1" applyFill="1" applyBorder="1" applyAlignment="1">
      <alignment horizontal="right" vertical="center"/>
    </xf>
    <xf numFmtId="166" fontId="12" fillId="2" borderId="4" xfId="21" applyNumberFormat="1" applyFont="1" applyFill="1" applyBorder="1" applyAlignment="1">
      <alignment horizontal="right" vertical="center"/>
    </xf>
    <xf numFmtId="11" fontId="12" fillId="2" borderId="4" xfId="21" applyNumberFormat="1" applyFont="1" applyFill="1" applyBorder="1" applyAlignment="1">
      <alignment horizontal="right" vertical="center"/>
    </xf>
    <xf numFmtId="0" fontId="3" fillId="2" borderId="0" xfId="3" applyFont="1" applyFill="1" applyAlignment="1">
      <alignment horizontal="left" vertical="center"/>
    </xf>
    <xf numFmtId="166" fontId="12" fillId="2" borderId="0" xfId="21" applyNumberFormat="1" applyFont="1" applyFill="1" applyAlignment="1">
      <alignment horizontal="right" vertical="center"/>
    </xf>
    <xf numFmtId="11" fontId="12" fillId="2" borderId="0" xfId="21" applyNumberFormat="1" applyFont="1" applyFill="1" applyAlignment="1">
      <alignment horizontal="right" vertical="center"/>
    </xf>
    <xf numFmtId="0" fontId="23" fillId="2" borderId="8" xfId="21" applyFont="1" applyFill="1" applyBorder="1" applyAlignment="1">
      <alignment horizontal="left" vertical="center"/>
    </xf>
    <xf numFmtId="1" fontId="23" fillId="2" borderId="8" xfId="21" applyNumberFormat="1" applyFont="1" applyFill="1" applyBorder="1" applyAlignment="1">
      <alignment horizontal="right" vertical="center"/>
    </xf>
    <xf numFmtId="0" fontId="23" fillId="2" borderId="8" xfId="21" applyFont="1" applyFill="1" applyBorder="1" applyAlignment="1">
      <alignment horizontal="right" vertical="center"/>
    </xf>
    <xf numFmtId="0" fontId="20" fillId="2" borderId="11" xfId="21" applyFont="1" applyFill="1" applyBorder="1" applyAlignment="1">
      <alignment vertical="center"/>
    </xf>
    <xf numFmtId="166" fontId="20" fillId="2" borderId="11" xfId="21" applyNumberFormat="1" applyFont="1" applyFill="1" applyBorder="1" applyAlignment="1">
      <alignment horizontal="right" vertical="center"/>
    </xf>
    <xf numFmtId="11" fontId="20" fillId="2" borderId="11" xfId="21" applyNumberFormat="1" applyFont="1" applyFill="1" applyBorder="1" applyAlignment="1">
      <alignment horizontal="right" vertical="center"/>
    </xf>
    <xf numFmtId="0" fontId="20" fillId="2" borderId="4" xfId="21" applyFont="1" applyFill="1" applyBorder="1" applyAlignment="1">
      <alignment vertical="center"/>
    </xf>
    <xf numFmtId="166" fontId="20" fillId="2" borderId="4" xfId="21" applyNumberFormat="1" applyFont="1" applyFill="1" applyBorder="1" applyAlignment="1">
      <alignment horizontal="right" vertical="center"/>
    </xf>
    <xf numFmtId="11" fontId="20" fillId="2" borderId="4" xfId="21" applyNumberFormat="1" applyFont="1" applyFill="1" applyBorder="1" applyAlignment="1">
      <alignment horizontal="right" vertical="center"/>
    </xf>
    <xf numFmtId="0" fontId="20" fillId="2" borderId="0" xfId="21" applyFont="1" applyFill="1" applyAlignment="1">
      <alignment vertical="center"/>
    </xf>
    <xf numFmtId="166" fontId="20" fillId="2" borderId="0" xfId="21" applyNumberFormat="1" applyFont="1" applyFill="1" applyAlignment="1">
      <alignment horizontal="right" vertical="center"/>
    </xf>
    <xf numFmtId="11" fontId="20" fillId="2" borderId="0" xfId="21" applyNumberFormat="1" applyFont="1" applyFill="1" applyAlignment="1">
      <alignment horizontal="right" vertical="center"/>
    </xf>
    <xf numFmtId="11" fontId="12" fillId="2" borderId="4" xfId="1" applyNumberFormat="1" applyFont="1" applyFill="1" applyBorder="1" applyAlignment="1">
      <alignment horizontal="right" vertical="center"/>
    </xf>
    <xf numFmtId="11" fontId="12" fillId="2" borderId="10" xfId="1" applyNumberFormat="1" applyFont="1" applyFill="1" applyBorder="1" applyAlignment="1">
      <alignment horizontal="right" vertical="center"/>
    </xf>
    <xf numFmtId="0" fontId="0" fillId="12" borderId="4" xfId="0" applyFill="1" applyBorder="1" applyAlignment="1">
      <alignment horizontal="center" vertical="center"/>
    </xf>
    <xf numFmtId="0" fontId="23" fillId="9" borderId="3" xfId="21" applyFont="1" applyFill="1" applyBorder="1" applyAlignment="1">
      <alignment horizontal="right" vertical="center"/>
    </xf>
    <xf numFmtId="0" fontId="14" fillId="11" borderId="3" xfId="3" applyFont="1" applyFill="1" applyBorder="1" applyAlignment="1">
      <alignment vertical="center"/>
    </xf>
    <xf numFmtId="0" fontId="14" fillId="11" borderId="3" xfId="3" applyFont="1" applyFill="1" applyBorder="1" applyAlignment="1">
      <alignment horizontal="right" vertical="center"/>
    </xf>
    <xf numFmtId="43" fontId="3" fillId="0" borderId="3" xfId="1" applyFont="1" applyBorder="1"/>
    <xf numFmtId="43" fontId="0" fillId="0" borderId="4" xfId="1" applyFont="1" applyBorder="1"/>
    <xf numFmtId="172" fontId="0" fillId="0" borderId="0" xfId="0" applyNumberFormat="1"/>
    <xf numFmtId="4" fontId="0" fillId="2" borderId="0" xfId="0" applyNumberFormat="1" applyFill="1"/>
    <xf numFmtId="0" fontId="2" fillId="6" borderId="0" xfId="0" applyFont="1" applyFill="1" applyProtection="1">
      <protection hidden="1"/>
    </xf>
    <xf numFmtId="183" fontId="0" fillId="2" borderId="0" xfId="0" applyNumberFormat="1" applyFill="1"/>
    <xf numFmtId="203" fontId="0" fillId="2" borderId="0" xfId="0" applyNumberFormat="1" applyFill="1"/>
    <xf numFmtId="2" fontId="0" fillId="0" borderId="9" xfId="1" applyNumberFormat="1" applyFont="1" applyBorder="1"/>
    <xf numFmtId="2" fontId="0" fillId="0" borderId="9" xfId="1" applyNumberFormat="1" applyFont="1" applyBorder="1" applyAlignment="1">
      <alignment horizontal="right"/>
    </xf>
    <xf numFmtId="2" fontId="0" fillId="0" borderId="0" xfId="1" applyNumberFormat="1" applyFont="1" applyBorder="1"/>
    <xf numFmtId="2" fontId="0" fillId="0" borderId="0" xfId="1" applyNumberFormat="1" applyFont="1" applyBorder="1" applyAlignment="1">
      <alignment horizontal="right"/>
    </xf>
    <xf numFmtId="2" fontId="0" fillId="0" borderId="4" xfId="1" applyNumberFormat="1" applyFont="1" applyBorder="1"/>
    <xf numFmtId="2" fontId="0" fillId="0" borderId="4" xfId="1" applyNumberFormat="1" applyFont="1" applyBorder="1" applyAlignment="1">
      <alignment horizontal="right"/>
    </xf>
    <xf numFmtId="0" fontId="10" fillId="9" borderId="4" xfId="21" applyFont="1" applyFill="1" applyBorder="1"/>
    <xf numFmtId="0" fontId="3" fillId="0" borderId="3" xfId="0" applyFont="1" applyBorder="1" applyAlignment="1">
      <alignment horizontal="right"/>
    </xf>
    <xf numFmtId="0" fontId="16" fillId="0" borderId="0" xfId="24" applyFont="1"/>
    <xf numFmtId="166" fontId="20" fillId="0" borderId="0" xfId="1" applyNumberFormat="1" applyFont="1" applyBorder="1" applyAlignment="1">
      <alignment horizontal="right"/>
    </xf>
    <xf numFmtId="166" fontId="84" fillId="0" borderId="0" xfId="1" applyNumberFormat="1" applyFont="1" applyBorder="1" applyAlignment="1">
      <alignment horizontal="right"/>
    </xf>
    <xf numFmtId="204" fontId="0" fillId="0" borderId="0" xfId="0" applyNumberFormat="1"/>
    <xf numFmtId="205" fontId="0" fillId="0" borderId="0" xfId="0" applyNumberFormat="1"/>
    <xf numFmtId="9" fontId="2" fillId="6" borderId="0" xfId="6" applyNumberFormat="1" applyFont="1" applyFill="1" applyAlignment="1">
      <alignment vertical="center"/>
    </xf>
    <xf numFmtId="0" fontId="6" fillId="3" borderId="0" xfId="0" applyFont="1" applyFill="1" applyAlignment="1">
      <alignment horizontal="left" vertical="center" indent="1"/>
    </xf>
    <xf numFmtId="0" fontId="13" fillId="4" borderId="0" xfId="0" applyFont="1" applyFill="1"/>
    <xf numFmtId="0" fontId="0" fillId="6" borderId="0" xfId="0" applyFill="1" applyAlignment="1" applyProtection="1">
      <alignment horizontal="left"/>
      <protection hidden="1"/>
    </xf>
    <xf numFmtId="174" fontId="0" fillId="6" borderId="0" xfId="0" applyNumberFormat="1" applyFill="1" applyProtection="1">
      <protection hidden="1"/>
    </xf>
    <xf numFmtId="43" fontId="23" fillId="9" borderId="0" xfId="1" applyFont="1" applyFill="1" applyBorder="1" applyAlignment="1">
      <alignment horizontal="center" vertical="center"/>
    </xf>
    <xf numFmtId="43" fontId="144" fillId="9" borderId="0" xfId="1" applyFont="1" applyFill="1" applyAlignment="1">
      <alignment horizontal="center"/>
    </xf>
    <xf numFmtId="43" fontId="23" fillId="9" borderId="4" xfId="1" applyFont="1" applyFill="1" applyBorder="1" applyAlignment="1">
      <alignment horizontal="center" vertical="center"/>
    </xf>
    <xf numFmtId="0" fontId="64" fillId="5" borderId="0" xfId="0" applyFont="1" applyFill="1" applyAlignment="1">
      <alignment vertical="center" wrapText="1"/>
    </xf>
    <xf numFmtId="9" fontId="61" fillId="6" borderId="0" xfId="0" applyNumberFormat="1" applyFont="1" applyFill="1" applyAlignment="1">
      <alignment horizontal="right" vertical="center" wrapText="1"/>
    </xf>
    <xf numFmtId="10" fontId="61" fillId="6" borderId="0" xfId="0" applyNumberFormat="1" applyFont="1" applyFill="1" applyAlignment="1">
      <alignment horizontal="right" vertical="center" wrapText="1"/>
    </xf>
    <xf numFmtId="10" fontId="0" fillId="6" borderId="0" xfId="2" applyNumberFormat="1" applyFont="1" applyFill="1"/>
    <xf numFmtId="9" fontId="61" fillId="6" borderId="4" xfId="0" applyNumberFormat="1" applyFont="1" applyFill="1" applyBorder="1" applyAlignment="1">
      <alignment horizontal="right" vertical="center" wrapText="1"/>
    </xf>
    <xf numFmtId="10" fontId="61" fillId="6" borderId="4" xfId="0" applyNumberFormat="1" applyFont="1" applyFill="1" applyBorder="1" applyAlignment="1">
      <alignment horizontal="right" vertical="center" wrapText="1"/>
    </xf>
    <xf numFmtId="10" fontId="0" fillId="6" borderId="4" xfId="2" applyNumberFormat="1" applyFont="1" applyFill="1" applyBorder="1"/>
    <xf numFmtId="3" fontId="10" fillId="6" borderId="0" xfId="0" applyNumberFormat="1" applyFont="1" applyFill="1" applyAlignment="1">
      <alignment horizontal="center" vertical="center"/>
    </xf>
    <xf numFmtId="3" fontId="10" fillId="6" borderId="4" xfId="0" applyNumberFormat="1" applyFont="1" applyFill="1" applyBorder="1" applyAlignment="1">
      <alignment horizontal="center" vertical="center"/>
    </xf>
    <xf numFmtId="4" fontId="3" fillId="4" borderId="3" xfId="0" applyNumberFormat="1" applyFont="1" applyFill="1" applyBorder="1"/>
    <xf numFmtId="0" fontId="64" fillId="5" borderId="0" xfId="0" applyFont="1" applyFill="1" applyAlignment="1">
      <alignment vertical="center"/>
    </xf>
    <xf numFmtId="43" fontId="16" fillId="4" borderId="3" xfId="1" applyFont="1" applyFill="1" applyBorder="1" applyAlignment="1">
      <alignment horizontal="center"/>
    </xf>
    <xf numFmtId="0" fontId="23" fillId="6" borderId="22" xfId="0" applyFont="1" applyFill="1" applyBorder="1" applyAlignment="1">
      <alignment vertical="center"/>
    </xf>
    <xf numFmtId="168" fontId="23" fillId="6" borderId="4" xfId="0" applyNumberFormat="1" applyFont="1" applyFill="1" applyBorder="1" applyAlignment="1">
      <alignment horizontal="left" vertical="center"/>
    </xf>
    <xf numFmtId="0" fontId="20" fillId="4" borderId="0" xfId="0" applyFont="1" applyFill="1" applyAlignment="1">
      <alignment horizontal="center" vertical="center"/>
    </xf>
    <xf numFmtId="11" fontId="20" fillId="4" borderId="0" xfId="0" applyNumberFormat="1" applyFont="1" applyFill="1" applyAlignment="1">
      <alignment horizontal="center" vertical="center"/>
    </xf>
    <xf numFmtId="0" fontId="23" fillId="6" borderId="12" xfId="0" applyFont="1" applyFill="1" applyBorder="1" applyAlignment="1">
      <alignment horizontal="center" vertical="center" wrapText="1"/>
    </xf>
    <xf numFmtId="9" fontId="10" fillId="6" borderId="11" xfId="2" applyFont="1" applyFill="1" applyBorder="1" applyAlignment="1">
      <alignment horizontal="center" vertical="center"/>
    </xf>
    <xf numFmtId="9" fontId="10" fillId="6" borderId="0" xfId="2" applyFont="1" applyFill="1" applyBorder="1" applyAlignment="1">
      <alignment horizontal="center" vertical="center"/>
    </xf>
    <xf numFmtId="9" fontId="10" fillId="6" borderId="4" xfId="2" applyFont="1" applyFill="1" applyBorder="1" applyAlignment="1">
      <alignment horizontal="center" vertical="center"/>
    </xf>
    <xf numFmtId="0" fontId="10" fillId="9" borderId="19" xfId="21" applyFont="1" applyFill="1" applyBorder="1"/>
    <xf numFmtId="43" fontId="20" fillId="4" borderId="0" xfId="1" applyFont="1" applyFill="1" applyAlignment="1">
      <alignment horizontal="center" vertical="center"/>
    </xf>
    <xf numFmtId="43" fontId="0" fillId="4" borderId="3" xfId="1" applyFont="1" applyFill="1" applyBorder="1"/>
    <xf numFmtId="3" fontId="10" fillId="2" borderId="3" xfId="0" applyNumberFormat="1" applyFont="1" applyFill="1" applyBorder="1"/>
    <xf numFmtId="0" fontId="20" fillId="0" borderId="0" xfId="21" applyFont="1" applyAlignment="1">
      <alignment wrapText="1"/>
    </xf>
    <xf numFmtId="176" fontId="20" fillId="0" borderId="0" xfId="6" applyFont="1"/>
    <xf numFmtId="1" fontId="23" fillId="0" borderId="0" xfId="21" applyNumberFormat="1" applyFont="1"/>
    <xf numFmtId="2" fontId="23" fillId="0" borderId="3" xfId="21" applyNumberFormat="1" applyFont="1" applyBorder="1" applyAlignment="1">
      <alignment horizontal="right"/>
    </xf>
    <xf numFmtId="2" fontId="23" fillId="0" borderId="3" xfId="21" applyNumberFormat="1" applyFont="1" applyBorder="1"/>
    <xf numFmtId="0" fontId="3" fillId="4" borderId="3" xfId="0" applyFont="1" applyFill="1" applyBorder="1" applyAlignment="1">
      <alignment vertical="center"/>
    </xf>
    <xf numFmtId="2" fontId="14" fillId="4" borderId="3" xfId="4" applyNumberFormat="1" applyFont="1" applyFill="1" applyBorder="1" applyAlignment="1">
      <alignment horizontal="right"/>
    </xf>
    <xf numFmtId="43" fontId="16" fillId="4" borderId="3" xfId="0" applyNumberFormat="1" applyFont="1" applyFill="1" applyBorder="1" applyAlignment="1">
      <alignment horizontal="center"/>
    </xf>
    <xf numFmtId="43" fontId="14" fillId="4" borderId="3" xfId="1" applyFont="1" applyFill="1" applyBorder="1" applyAlignment="1">
      <alignment horizontal="right"/>
    </xf>
    <xf numFmtId="172" fontId="3" fillId="4" borderId="3" xfId="4" applyFont="1" applyFill="1" applyBorder="1" applyAlignment="1">
      <alignment horizontal="right"/>
    </xf>
    <xf numFmtId="43" fontId="20" fillId="4" borderId="0" xfId="1" quotePrefix="1" applyFont="1" applyFill="1" applyAlignment="1">
      <alignment horizontal="center" vertical="center"/>
    </xf>
    <xf numFmtId="0" fontId="14" fillId="4" borderId="3" xfId="0" applyFont="1" applyFill="1" applyBorder="1" applyAlignment="1">
      <alignment horizontal="right" vertical="center"/>
    </xf>
    <xf numFmtId="172" fontId="14" fillId="4" borderId="3" xfId="0" applyNumberFormat="1" applyFont="1" applyFill="1" applyBorder="1" applyAlignment="1">
      <alignment vertical="center"/>
    </xf>
    <xf numFmtId="43" fontId="16" fillId="4" borderId="0" xfId="0" applyNumberFormat="1" applyFont="1" applyFill="1" applyAlignment="1">
      <alignment horizontal="center"/>
    </xf>
    <xf numFmtId="43" fontId="16" fillId="4" borderId="19" xfId="0" applyNumberFormat="1" applyFont="1" applyFill="1" applyBorder="1" applyAlignment="1">
      <alignment horizontal="center"/>
    </xf>
    <xf numFmtId="0" fontId="16" fillId="4" borderId="4" xfId="0" applyFont="1" applyFill="1" applyBorder="1"/>
    <xf numFmtId="0" fontId="23" fillId="4" borderId="21" xfId="0" applyFont="1" applyFill="1" applyBorder="1" applyAlignment="1">
      <alignment horizontal="left" vertical="center"/>
    </xf>
    <xf numFmtId="43" fontId="0" fillId="6" borderId="0" xfId="1" applyFont="1" applyFill="1" applyBorder="1" applyAlignment="1">
      <alignment horizontal="right" vertical="center"/>
    </xf>
    <xf numFmtId="43" fontId="0" fillId="6" borderId="4" xfId="1" applyFont="1" applyFill="1" applyBorder="1" applyAlignment="1">
      <alignment horizontal="right" vertical="center"/>
    </xf>
    <xf numFmtId="172" fontId="14" fillId="2" borderId="3" xfId="0" applyNumberFormat="1" applyFont="1" applyFill="1" applyBorder="1" applyAlignment="1">
      <alignment horizontal="right"/>
    </xf>
    <xf numFmtId="172" fontId="14" fillId="4" borderId="0" xfId="4" applyFont="1" applyFill="1" applyBorder="1" applyAlignment="1">
      <alignment horizontal="right"/>
    </xf>
    <xf numFmtId="0" fontId="3" fillId="9" borderId="0" xfId="0" applyFont="1" applyFill="1" applyAlignment="1">
      <alignment horizontal="left" vertical="center"/>
    </xf>
    <xf numFmtId="43" fontId="23" fillId="9" borderId="0" xfId="1" applyFont="1" applyFill="1" applyAlignment="1">
      <alignment horizontal="center" vertical="center"/>
    </xf>
    <xf numFmtId="178" fontId="12" fillId="4" borderId="0" xfId="4" applyNumberFormat="1" applyFont="1" applyFill="1" applyAlignment="1">
      <alignment horizontal="right"/>
    </xf>
    <xf numFmtId="178" fontId="14" fillId="4" borderId="3" xfId="4" applyNumberFormat="1" applyFont="1" applyFill="1" applyBorder="1" applyAlignment="1">
      <alignment horizontal="right"/>
    </xf>
    <xf numFmtId="178" fontId="12" fillId="2" borderId="0" xfId="4" applyNumberFormat="1" applyFont="1" applyFill="1" applyAlignment="1">
      <alignment horizontal="right"/>
    </xf>
    <xf numFmtId="0" fontId="13" fillId="9" borderId="0" xfId="0" applyFont="1" applyFill="1"/>
    <xf numFmtId="0" fontId="13" fillId="9" borderId="3" xfId="0" applyFont="1" applyFill="1" applyBorder="1" applyAlignment="1">
      <alignment horizontal="right"/>
    </xf>
    <xf numFmtId="43" fontId="10" fillId="9" borderId="0" xfId="1" applyFont="1" applyFill="1" applyAlignment="1">
      <alignment horizontal="left" vertical="center"/>
    </xf>
    <xf numFmtId="0" fontId="10" fillId="9" borderId="19" xfId="0" applyFont="1" applyFill="1" applyBorder="1" applyAlignment="1">
      <alignment horizontal="left"/>
    </xf>
    <xf numFmtId="43" fontId="10" fillId="9" borderId="3" xfId="1" applyFont="1" applyFill="1" applyBorder="1" applyAlignment="1">
      <alignment horizontal="left" vertical="center"/>
    </xf>
    <xf numFmtId="43" fontId="10" fillId="9" borderId="19" xfId="1" applyFont="1" applyFill="1" applyBorder="1" applyAlignment="1">
      <alignment horizontal="left" vertical="center"/>
    </xf>
    <xf numFmtId="43" fontId="16" fillId="25" borderId="0" xfId="1" applyFont="1" applyFill="1"/>
    <xf numFmtId="165" fontId="0" fillId="0" borderId="3" xfId="0" applyNumberFormat="1" applyBorder="1"/>
    <xf numFmtId="43" fontId="20" fillId="9" borderId="0" xfId="1" applyFont="1" applyFill="1" applyAlignment="1">
      <alignment horizontal="center" vertical="center"/>
    </xf>
    <xf numFmtId="43" fontId="23" fillId="9" borderId="22" xfId="1" applyFont="1" applyFill="1" applyBorder="1" applyAlignment="1">
      <alignment horizontal="center" vertical="center"/>
    </xf>
    <xf numFmtId="0" fontId="14" fillId="15" borderId="8" xfId="0" applyFont="1" applyFill="1" applyBorder="1" applyAlignment="1" applyProtection="1">
      <alignment horizontal="center" vertical="center"/>
      <protection locked="0"/>
    </xf>
    <xf numFmtId="0" fontId="3" fillId="15" borderId="8" xfId="0" applyFont="1" applyFill="1" applyBorder="1" applyAlignment="1" applyProtection="1">
      <alignment horizontal="center" vertical="center"/>
      <protection locked="0"/>
    </xf>
    <xf numFmtId="0" fontId="14" fillId="15" borderId="8" xfId="0" applyFont="1" applyFill="1" applyBorder="1" applyAlignment="1">
      <alignment horizontal="left" vertical="center"/>
    </xf>
    <xf numFmtId="0" fontId="3" fillId="15" borderId="8" xfId="0" applyFont="1" applyFill="1" applyBorder="1" applyAlignment="1">
      <alignment horizontal="left" vertical="center"/>
    </xf>
    <xf numFmtId="0" fontId="10" fillId="4" borderId="19" xfId="0" applyFont="1" applyFill="1" applyBorder="1"/>
    <xf numFmtId="43" fontId="10" fillId="4" borderId="19" xfId="1" applyFont="1" applyFill="1" applyBorder="1"/>
    <xf numFmtId="0" fontId="16" fillId="9" borderId="0" xfId="21" applyFont="1" applyFill="1"/>
    <xf numFmtId="43" fontId="16" fillId="9" borderId="0" xfId="0" applyNumberFormat="1" applyFont="1" applyFill="1"/>
    <xf numFmtId="0" fontId="13" fillId="38" borderId="0" xfId="3" applyFont="1" applyFill="1"/>
    <xf numFmtId="0" fontId="13" fillId="38" borderId="0" xfId="3" applyFont="1" applyFill="1" applyAlignment="1">
      <alignment horizontal="right"/>
    </xf>
    <xf numFmtId="43" fontId="10" fillId="9" borderId="0" xfId="1" applyFont="1" applyFill="1" applyBorder="1" applyAlignment="1">
      <alignment horizontal="center"/>
    </xf>
    <xf numFmtId="43" fontId="102" fillId="9" borderId="22" xfId="1" applyFont="1" applyFill="1" applyBorder="1" applyAlignment="1">
      <alignment horizontal="center"/>
    </xf>
    <xf numFmtId="198" fontId="0" fillId="2" borderId="0" xfId="0" applyNumberFormat="1" applyFill="1"/>
    <xf numFmtId="2" fontId="10" fillId="2" borderId="0" xfId="0" applyNumberFormat="1" applyFont="1" applyFill="1"/>
    <xf numFmtId="166" fontId="0" fillId="0" borderId="0" xfId="0" applyNumberFormat="1"/>
    <xf numFmtId="0" fontId="23" fillId="32" borderId="0" xfId="0" applyFont="1" applyFill="1" applyAlignment="1">
      <alignment horizontal="left"/>
    </xf>
    <xf numFmtId="0" fontId="23" fillId="32" borderId="0" xfId="0" quotePrefix="1" applyFont="1" applyFill="1" applyAlignment="1">
      <alignment horizontal="left" vertical="top" wrapText="1"/>
    </xf>
    <xf numFmtId="43" fontId="20" fillId="6" borderId="0" xfId="1" applyFont="1" applyFill="1" applyAlignment="1" applyProtection="1">
      <alignment horizontal="right" vertical="center"/>
      <protection locked="0"/>
    </xf>
    <xf numFmtId="2" fontId="10" fillId="9" borderId="19" xfId="1" applyNumberFormat="1" applyFont="1" applyFill="1" applyBorder="1" applyAlignment="1">
      <alignment horizontal="center"/>
    </xf>
    <xf numFmtId="0" fontId="16" fillId="5" borderId="0" xfId="3" applyFont="1" applyFill="1" applyAlignment="1">
      <alignment vertical="center"/>
    </xf>
    <xf numFmtId="0" fontId="20" fillId="6" borderId="0" xfId="21" applyFont="1" applyFill="1" applyAlignment="1">
      <alignment vertical="center"/>
    </xf>
    <xf numFmtId="0" fontId="108" fillId="0" borderId="0" xfId="3" applyFont="1" applyAlignment="1">
      <alignment horizontal="left" vertical="center" wrapText="1"/>
    </xf>
    <xf numFmtId="43" fontId="10" fillId="6" borderId="11" xfId="1" applyFont="1" applyFill="1" applyBorder="1" applyAlignment="1">
      <alignment horizontal="center"/>
    </xf>
    <xf numFmtId="43" fontId="0" fillId="6" borderId="0" xfId="1" applyFont="1" applyFill="1" applyAlignment="1" applyProtection="1">
      <alignment vertical="center"/>
      <protection hidden="1"/>
    </xf>
    <xf numFmtId="43" fontId="10" fillId="9" borderId="0" xfId="1" applyFont="1" applyFill="1" applyBorder="1" applyAlignment="1">
      <alignment horizontal="left" vertical="center"/>
    </xf>
    <xf numFmtId="0" fontId="16" fillId="38" borderId="0" xfId="0" applyFont="1" applyFill="1"/>
    <xf numFmtId="0" fontId="10" fillId="6" borderId="0" xfId="0" applyFont="1" applyFill="1" applyAlignment="1">
      <alignment horizontal="left"/>
    </xf>
    <xf numFmtId="0" fontId="14" fillId="10" borderId="0" xfId="3" applyFont="1" applyFill="1"/>
    <xf numFmtId="0" fontId="12" fillId="10" borderId="0" xfId="3" applyFont="1" applyFill="1"/>
    <xf numFmtId="0" fontId="14" fillId="12" borderId="0" xfId="0" applyFont="1" applyFill="1" applyAlignment="1">
      <alignment horizontal="right"/>
    </xf>
    <xf numFmtId="0" fontId="14" fillId="12" borderId="8" xfId="0" applyFont="1" applyFill="1" applyBorder="1" applyAlignment="1">
      <alignment horizontal="center" vertical="center"/>
    </xf>
    <xf numFmtId="0" fontId="6" fillId="5" borderId="0" xfId="0" applyFont="1" applyFill="1" applyProtection="1">
      <protection locked="0"/>
    </xf>
    <xf numFmtId="0" fontId="14" fillId="6" borderId="8" xfId="21" applyFont="1" applyFill="1" applyBorder="1" applyAlignment="1">
      <alignment vertical="center"/>
    </xf>
    <xf numFmtId="0" fontId="14" fillId="6" borderId="8" xfId="21" applyFont="1" applyFill="1" applyBorder="1" applyAlignment="1">
      <alignment horizontal="center" vertical="center"/>
    </xf>
    <xf numFmtId="0" fontId="0" fillId="6" borderId="0" xfId="0" applyFill="1" applyAlignment="1">
      <alignment horizontal="left"/>
    </xf>
    <xf numFmtId="0" fontId="14" fillId="6" borderId="4" xfId="21" applyFont="1" applyFill="1" applyBorder="1" applyAlignment="1">
      <alignment horizontal="center" vertical="center"/>
    </xf>
    <xf numFmtId="0" fontId="14" fillId="6" borderId="22" xfId="21" applyFont="1" applyFill="1" applyBorder="1" applyAlignment="1">
      <alignment vertical="center"/>
    </xf>
    <xf numFmtId="0" fontId="14" fillId="12" borderId="8" xfId="0" applyFont="1" applyFill="1" applyBorder="1" applyAlignment="1">
      <alignment horizontal="left" vertical="center"/>
    </xf>
    <xf numFmtId="0" fontId="145" fillId="6" borderId="0" xfId="3" applyFont="1" applyFill="1" applyAlignment="1">
      <alignment horizontal="right"/>
    </xf>
    <xf numFmtId="0" fontId="14" fillId="6" borderId="8" xfId="3" applyFont="1" applyFill="1" applyBorder="1" applyAlignment="1">
      <alignment horizontal="center" vertical="center"/>
    </xf>
    <xf numFmtId="189" fontId="20" fillId="6" borderId="0" xfId="6" applyNumberFormat="1" applyFont="1" applyFill="1" applyBorder="1" applyAlignment="1">
      <alignment horizontal="right" vertical="center"/>
    </xf>
    <xf numFmtId="171" fontId="20" fillId="6" borderId="0" xfId="2" applyNumberFormat="1" applyFont="1" applyFill="1" applyAlignment="1">
      <alignment horizontal="center" vertical="center"/>
    </xf>
    <xf numFmtId="189" fontId="20" fillId="6" borderId="0" xfId="6" applyNumberFormat="1" applyFont="1" applyFill="1" applyBorder="1" applyAlignment="1">
      <alignment horizontal="center" vertical="center"/>
    </xf>
    <xf numFmtId="4" fontId="20" fillId="6" borderId="0" xfId="6" applyNumberFormat="1" applyFont="1" applyFill="1" applyBorder="1" applyAlignment="1">
      <alignment horizontal="center"/>
    </xf>
    <xf numFmtId="0" fontId="23" fillId="6" borderId="4" xfId="3" applyFont="1" applyFill="1" applyBorder="1" applyAlignment="1">
      <alignment vertical="center"/>
    </xf>
    <xf numFmtId="4" fontId="23" fillId="6" borderId="4" xfId="6" applyNumberFormat="1" applyFont="1" applyFill="1" applyBorder="1" applyAlignment="1">
      <alignment horizontal="right" vertical="center"/>
    </xf>
    <xf numFmtId="9" fontId="20" fillId="6" borderId="4" xfId="2" applyFont="1" applyFill="1" applyBorder="1" applyAlignment="1">
      <alignment horizontal="center" vertical="center"/>
    </xf>
    <xf numFmtId="4" fontId="23" fillId="6" borderId="4" xfId="6" applyNumberFormat="1" applyFont="1" applyFill="1" applyBorder="1" applyAlignment="1">
      <alignment horizontal="center"/>
    </xf>
    <xf numFmtId="3" fontId="23" fillId="6" borderId="4" xfId="6" applyNumberFormat="1" applyFont="1" applyFill="1" applyBorder="1" applyAlignment="1">
      <alignment horizontal="center"/>
    </xf>
    <xf numFmtId="0" fontId="14" fillId="12" borderId="8" xfId="0" applyFont="1" applyFill="1" applyBorder="1" applyAlignment="1" applyProtection="1">
      <alignment horizontal="right" vertical="center"/>
      <protection locked="0"/>
    </xf>
    <xf numFmtId="0" fontId="0" fillId="12" borderId="11" xfId="0" applyFill="1" applyBorder="1" applyAlignment="1">
      <alignment horizontal="left" vertical="center"/>
    </xf>
    <xf numFmtId="4" fontId="0" fillId="6" borderId="0" xfId="0" applyNumberFormat="1" applyFill="1"/>
    <xf numFmtId="4" fontId="0" fillId="6" borderId="3" xfId="0" applyNumberFormat="1" applyFill="1" applyBorder="1"/>
    <xf numFmtId="43" fontId="0" fillId="6" borderId="3" xfId="0" applyNumberFormat="1" applyFill="1" applyBorder="1"/>
    <xf numFmtId="0" fontId="22" fillId="5" borderId="0" xfId="0" applyFont="1" applyFill="1"/>
    <xf numFmtId="0" fontId="88" fillId="5" borderId="0" xfId="0" applyFont="1" applyFill="1" applyProtection="1">
      <protection locked="0"/>
    </xf>
    <xf numFmtId="0" fontId="23" fillId="12" borderId="8" xfId="0" applyFont="1" applyFill="1" applyBorder="1" applyAlignment="1">
      <alignment horizontal="left" vertical="center"/>
    </xf>
    <xf numFmtId="0" fontId="23" fillId="12" borderId="8" xfId="0" applyFont="1" applyFill="1" applyBorder="1" applyAlignment="1" applyProtection="1">
      <alignment horizontal="left" vertical="center"/>
      <protection locked="0"/>
    </xf>
    <xf numFmtId="0" fontId="23" fillId="12" borderId="8" xfId="0" applyFont="1" applyFill="1" applyBorder="1" applyAlignment="1" applyProtection="1">
      <alignment horizontal="center" vertical="center"/>
      <protection locked="0"/>
    </xf>
    <xf numFmtId="0" fontId="14" fillId="6" borderId="0" xfId="0" applyFont="1" applyFill="1" applyAlignment="1" applyProtection="1">
      <alignment horizontal="center"/>
      <protection locked="0"/>
    </xf>
    <xf numFmtId="49" fontId="23" fillId="6" borderId="20" xfId="0" applyNumberFormat="1" applyFont="1" applyFill="1" applyBorder="1" applyAlignment="1" applyProtection="1">
      <alignment horizontal="left" vertical="center"/>
      <protection locked="0"/>
    </xf>
    <xf numFmtId="49" fontId="23" fillId="6" borderId="20" xfId="0" applyNumberFormat="1" applyFont="1" applyFill="1" applyBorder="1" applyAlignment="1" applyProtection="1">
      <alignment horizontal="right" vertical="center"/>
      <protection locked="0"/>
    </xf>
    <xf numFmtId="173" fontId="0" fillId="6" borderId="4" xfId="4" applyNumberFormat="1" applyFont="1" applyFill="1" applyBorder="1" applyAlignment="1">
      <alignment horizontal="right" vertical="center"/>
    </xf>
    <xf numFmtId="173" fontId="0" fillId="6" borderId="0" xfId="4" applyNumberFormat="1" applyFont="1" applyFill="1" applyBorder="1" applyAlignment="1">
      <alignment horizontal="right" vertical="center"/>
    </xf>
    <xf numFmtId="49" fontId="23" fillId="6" borderId="21" xfId="0" applyNumberFormat="1" applyFont="1" applyFill="1" applyBorder="1" applyAlignment="1" applyProtection="1">
      <alignment horizontal="right" vertical="center"/>
      <protection locked="0"/>
    </xf>
    <xf numFmtId="0" fontId="3" fillId="6" borderId="0" xfId="3" applyFont="1" applyFill="1"/>
    <xf numFmtId="0" fontId="3" fillId="6" borderId="0" xfId="3" applyFont="1" applyFill="1" applyAlignment="1">
      <alignment horizontal="center"/>
    </xf>
    <xf numFmtId="0" fontId="10" fillId="6" borderId="9" xfId="0" applyFont="1" applyFill="1" applyBorder="1" applyAlignment="1">
      <alignment horizontal="left" vertical="center"/>
    </xf>
    <xf numFmtId="0" fontId="10" fillId="6" borderId="0" xfId="0" applyFont="1" applyFill="1" applyAlignment="1">
      <alignment horizontal="left" vertical="center"/>
    </xf>
    <xf numFmtId="0" fontId="10" fillId="6" borderId="4" xfId="0" applyFont="1" applyFill="1" applyBorder="1" applyAlignment="1">
      <alignment horizontal="left" vertical="center"/>
    </xf>
    <xf numFmtId="165" fontId="0" fillId="9" borderId="0" xfId="0" applyNumberFormat="1" applyFill="1"/>
    <xf numFmtId="0" fontId="0" fillId="2" borderId="0" xfId="3" applyFont="1" applyFill="1" applyAlignment="1">
      <alignment vertical="center"/>
    </xf>
    <xf numFmtId="190" fontId="0" fillId="0" borderId="0" xfId="0" applyNumberFormat="1"/>
    <xf numFmtId="0" fontId="14" fillId="33" borderId="8" xfId="0" applyFont="1" applyFill="1" applyBorder="1" applyAlignment="1">
      <alignment horizontal="left" vertical="center"/>
    </xf>
    <xf numFmtId="0" fontId="14" fillId="33" borderId="8" xfId="0" applyFont="1" applyFill="1" applyBorder="1" applyAlignment="1" applyProtection="1">
      <alignment horizontal="right" vertical="center"/>
      <protection locked="0"/>
    </xf>
    <xf numFmtId="3" fontId="0" fillId="2" borderId="0" xfId="0" applyNumberFormat="1" applyFill="1" applyAlignment="1">
      <alignment horizontal="right"/>
    </xf>
    <xf numFmtId="3" fontId="0" fillId="2" borderId="4" xfId="0" applyNumberFormat="1" applyFill="1" applyBorder="1" applyAlignment="1">
      <alignment horizontal="right"/>
    </xf>
    <xf numFmtId="0" fontId="3" fillId="33" borderId="8" xfId="0" applyFont="1" applyFill="1" applyBorder="1" applyAlignment="1">
      <alignment horizontal="left" vertical="center"/>
    </xf>
    <xf numFmtId="0" fontId="3" fillId="33" borderId="8" xfId="0" applyFont="1" applyFill="1" applyBorder="1" applyAlignment="1" applyProtection="1">
      <alignment horizontal="center" vertical="center"/>
      <protection locked="0"/>
    </xf>
    <xf numFmtId="3" fontId="0" fillId="2" borderId="0" xfId="0" applyNumberFormat="1" applyFill="1"/>
    <xf numFmtId="3" fontId="0" fillId="2" borderId="4" xfId="0" applyNumberFormat="1" applyFill="1" applyBorder="1"/>
    <xf numFmtId="3" fontId="0" fillId="2" borderId="3" xfId="0" applyNumberFormat="1" applyFill="1" applyBorder="1"/>
    <xf numFmtId="0" fontId="22" fillId="0" borderId="0" xfId="21" applyFont="1"/>
    <xf numFmtId="0" fontId="0" fillId="4" borderId="3" xfId="0" applyFill="1" applyBorder="1"/>
    <xf numFmtId="11" fontId="20" fillId="2" borderId="0" xfId="0" applyNumberFormat="1" applyFont="1" applyFill="1" applyAlignment="1">
      <alignment horizontal="right" vertical="center"/>
    </xf>
    <xf numFmtId="0" fontId="0" fillId="2" borderId="0" xfId="0" quotePrefix="1" applyFill="1"/>
    <xf numFmtId="49" fontId="0" fillId="2" borderId="0" xfId="0" applyNumberFormat="1" applyFill="1"/>
    <xf numFmtId="43" fontId="14" fillId="2" borderId="0" xfId="1" applyFont="1" applyFill="1" applyAlignment="1">
      <alignment horizontal="right"/>
    </xf>
    <xf numFmtId="43" fontId="14" fillId="2" borderId="0" xfId="1" applyFont="1" applyFill="1"/>
    <xf numFmtId="43" fontId="3" fillId="9" borderId="3" xfId="1" applyFont="1" applyFill="1" applyBorder="1" applyAlignment="1">
      <alignment horizontal="center"/>
    </xf>
    <xf numFmtId="43" fontId="12" fillId="9" borderId="0" xfId="1" applyFont="1" applyFill="1" applyBorder="1" applyAlignment="1">
      <alignment horizontal="center" vertical="center"/>
    </xf>
    <xf numFmtId="43" fontId="1" fillId="9" borderId="0" xfId="1" applyFont="1" applyFill="1" applyAlignment="1">
      <alignment horizontal="center"/>
    </xf>
    <xf numFmtId="168" fontId="23" fillId="6" borderId="8" xfId="0" applyNumberFormat="1" applyFont="1" applyFill="1" applyBorder="1" applyAlignment="1">
      <alignment horizontal="right" vertical="center"/>
    </xf>
    <xf numFmtId="168" fontId="23" fillId="6" borderId="8" xfId="0" applyNumberFormat="1" applyFont="1" applyFill="1" applyBorder="1" applyAlignment="1">
      <alignment horizontal="left" vertical="center"/>
    </xf>
    <xf numFmtId="9" fontId="0" fillId="0" borderId="0" xfId="2" applyFont="1"/>
    <xf numFmtId="43" fontId="20" fillId="0" borderId="9" xfId="1" applyFont="1" applyBorder="1"/>
    <xf numFmtId="0" fontId="92" fillId="2" borderId="33" xfId="0" applyFont="1" applyFill="1" applyBorder="1"/>
    <xf numFmtId="0" fontId="93" fillId="2" borderId="33" xfId="0" applyFont="1" applyFill="1" applyBorder="1"/>
    <xf numFmtId="0" fontId="0" fillId="2" borderId="49" xfId="0" applyFill="1" applyBorder="1" applyAlignment="1" applyProtection="1">
      <alignment wrapText="1"/>
      <protection hidden="1"/>
    </xf>
    <xf numFmtId="0" fontId="0" fillId="2" borderId="0" xfId="0" applyFill="1" applyAlignment="1" applyProtection="1">
      <alignment vertical="top" wrapText="1"/>
      <protection hidden="1"/>
    </xf>
    <xf numFmtId="0" fontId="3" fillId="6" borderId="51" xfId="0" applyFont="1" applyFill="1" applyBorder="1" applyProtection="1">
      <protection hidden="1"/>
    </xf>
    <xf numFmtId="0" fontId="2" fillId="2" borderId="0" xfId="0" applyFont="1" applyFill="1" applyAlignment="1" applyProtection="1">
      <alignment horizontal="left" vertical="top" wrapText="1"/>
      <protection hidden="1"/>
    </xf>
    <xf numFmtId="0" fontId="22" fillId="2" borderId="0" xfId="0" applyFont="1" applyFill="1" applyAlignment="1" applyProtection="1">
      <alignment vertical="top" wrapText="1"/>
      <protection hidden="1"/>
    </xf>
    <xf numFmtId="0" fontId="96" fillId="2" borderId="0" xfId="0" applyFont="1" applyFill="1" applyAlignment="1" applyProtection="1">
      <alignment vertical="top" wrapText="1"/>
      <protection hidden="1"/>
    </xf>
    <xf numFmtId="0" fontId="0" fillId="2" borderId="0" xfId="0" applyFill="1" applyAlignment="1" applyProtection="1">
      <alignment horizontal="right"/>
      <protection hidden="1"/>
    </xf>
    <xf numFmtId="0" fontId="125" fillId="25" borderId="63" xfId="0" applyFont="1" applyFill="1" applyBorder="1" applyProtection="1">
      <protection hidden="1"/>
    </xf>
    <xf numFmtId="0" fontId="3" fillId="2" borderId="68" xfId="0" applyFont="1" applyFill="1" applyBorder="1" applyAlignment="1" applyProtection="1">
      <alignment vertical="center"/>
      <protection hidden="1"/>
    </xf>
    <xf numFmtId="0" fontId="36" fillId="2" borderId="69" xfId="0" applyFont="1" applyFill="1" applyBorder="1" applyAlignment="1" applyProtection="1">
      <alignment vertical="center"/>
      <protection hidden="1"/>
    </xf>
    <xf numFmtId="0" fontId="3" fillId="2" borderId="70" xfId="0" applyFont="1" applyFill="1" applyBorder="1" applyAlignment="1" applyProtection="1">
      <alignment vertical="center"/>
      <protection hidden="1"/>
    </xf>
    <xf numFmtId="0" fontId="36" fillId="2" borderId="70" xfId="0" applyFont="1" applyFill="1" applyBorder="1" applyAlignment="1" applyProtection="1">
      <alignment vertical="center"/>
      <protection hidden="1"/>
    </xf>
    <xf numFmtId="0" fontId="0" fillId="2" borderId="71" xfId="0" applyFill="1" applyBorder="1" applyAlignment="1" applyProtection="1">
      <alignment horizontal="center" vertical="center" wrapText="1"/>
      <protection hidden="1"/>
    </xf>
    <xf numFmtId="0" fontId="36" fillId="2" borderId="70" xfId="0" applyFont="1" applyFill="1" applyBorder="1" applyAlignment="1" applyProtection="1">
      <alignment horizontal="left" vertical="center"/>
      <protection hidden="1"/>
    </xf>
    <xf numFmtId="0" fontId="0" fillId="2" borderId="70" xfId="0" applyFill="1" applyBorder="1" applyAlignment="1" applyProtection="1">
      <alignment horizontal="left" vertical="center"/>
      <protection hidden="1"/>
    </xf>
    <xf numFmtId="0" fontId="0" fillId="2" borderId="70" xfId="0" applyFill="1" applyBorder="1" applyAlignment="1" applyProtection="1">
      <alignment horizontal="center" vertical="center"/>
      <protection hidden="1"/>
    </xf>
    <xf numFmtId="0" fontId="3" fillId="2" borderId="71" xfId="0" applyFont="1" applyFill="1" applyBorder="1" applyAlignment="1" applyProtection="1">
      <alignment vertical="center"/>
      <protection hidden="1"/>
    </xf>
    <xf numFmtId="0" fontId="36" fillId="2" borderId="71" xfId="0" applyFont="1" applyFill="1" applyBorder="1" applyAlignment="1" applyProtection="1">
      <alignment vertical="center"/>
      <protection hidden="1"/>
    </xf>
    <xf numFmtId="0" fontId="0" fillId="2" borderId="71" xfId="0" applyFill="1" applyBorder="1" applyAlignment="1" applyProtection="1">
      <alignment vertical="center"/>
      <protection hidden="1"/>
    </xf>
    <xf numFmtId="0" fontId="3" fillId="2" borderId="71" xfId="0" applyFont="1" applyFill="1" applyBorder="1" applyProtection="1">
      <protection hidden="1"/>
    </xf>
    <xf numFmtId="0" fontId="36" fillId="2" borderId="71" xfId="0" applyFont="1" applyFill="1" applyBorder="1" applyProtection="1">
      <protection hidden="1"/>
    </xf>
    <xf numFmtId="0" fontId="0" fillId="2" borderId="71" xfId="0" applyFill="1" applyBorder="1" applyProtection="1">
      <protection hidden="1"/>
    </xf>
    <xf numFmtId="0" fontId="10" fillId="2" borderId="73" xfId="0" applyFont="1" applyFill="1" applyBorder="1" applyAlignment="1" applyProtection="1">
      <alignment horizontal="left" vertical="center"/>
      <protection hidden="1"/>
    </xf>
    <xf numFmtId="0" fontId="10" fillId="2" borderId="71" xfId="0" applyFont="1" applyFill="1" applyBorder="1" applyProtection="1">
      <protection hidden="1"/>
    </xf>
    <xf numFmtId="0" fontId="36" fillId="2" borderId="72" xfId="0" applyFont="1" applyFill="1" applyBorder="1" applyProtection="1">
      <protection hidden="1"/>
    </xf>
    <xf numFmtId="0" fontId="13" fillId="2" borderId="0" xfId="0" applyFont="1" applyFill="1" applyProtection="1">
      <protection hidden="1"/>
    </xf>
    <xf numFmtId="43" fontId="14" fillId="9" borderId="3" xfId="1" applyFont="1" applyFill="1" applyBorder="1" applyAlignment="1">
      <alignment horizontal="center"/>
    </xf>
    <xf numFmtId="43" fontId="0" fillId="9" borderId="4" xfId="1" applyFont="1" applyFill="1" applyBorder="1" applyAlignment="1">
      <alignment vertical="center"/>
    </xf>
    <xf numFmtId="43" fontId="3" fillId="9" borderId="3" xfId="1" applyFont="1" applyFill="1" applyBorder="1" applyAlignment="1">
      <alignment vertical="center"/>
    </xf>
    <xf numFmtId="0" fontId="21" fillId="0" borderId="0" xfId="3" applyFont="1"/>
    <xf numFmtId="0" fontId="3" fillId="6" borderId="64" xfId="0" applyFont="1" applyFill="1" applyBorder="1" applyAlignment="1" applyProtection="1">
      <alignment horizontal="center"/>
      <protection locked="0"/>
    </xf>
    <xf numFmtId="0" fontId="3" fillId="6" borderId="64" xfId="0" applyFont="1" applyFill="1" applyBorder="1" applyAlignment="1" applyProtection="1">
      <alignment horizontal="center"/>
      <protection locked="0" hidden="1"/>
    </xf>
    <xf numFmtId="0" fontId="3" fillId="6" borderId="50" xfId="0" applyFont="1" applyFill="1" applyBorder="1" applyAlignment="1" applyProtection="1">
      <alignment horizontal="center"/>
      <protection locked="0"/>
    </xf>
    <xf numFmtId="0" fontId="16" fillId="6" borderId="0" xfId="0" applyFont="1" applyFill="1" applyProtection="1">
      <protection hidden="1"/>
    </xf>
    <xf numFmtId="172" fontId="10" fillId="4" borderId="0" xfId="4" applyFont="1" applyFill="1" applyBorder="1" applyAlignment="1">
      <alignment vertical="center"/>
    </xf>
    <xf numFmtId="0" fontId="38" fillId="16" borderId="0" xfId="0" applyFont="1" applyFill="1" applyAlignment="1">
      <alignment horizontal="left" vertical="center" indent="1"/>
    </xf>
    <xf numFmtId="0" fontId="38" fillId="16" borderId="0" xfId="0" applyFont="1" applyFill="1" applyAlignment="1">
      <alignment vertical="center"/>
    </xf>
    <xf numFmtId="0" fontId="0" fillId="16" borderId="0" xfId="0" applyFill="1"/>
    <xf numFmtId="0" fontId="38" fillId="3" borderId="0" xfId="0" applyFont="1" applyFill="1" applyAlignment="1">
      <alignment horizontal="left" vertical="center" indent="1"/>
    </xf>
    <xf numFmtId="0" fontId="0" fillId="14" borderId="0" xfId="0" applyFill="1"/>
    <xf numFmtId="0" fontId="6" fillId="28" borderId="52" xfId="0" applyFont="1" applyFill="1" applyBorder="1" applyAlignment="1" applyProtection="1">
      <alignment horizontal="center" vertical="center"/>
      <protection locked="0"/>
    </xf>
    <xf numFmtId="0" fontId="12" fillId="29" borderId="0" xfId="0" applyFont="1" applyFill="1" applyAlignment="1">
      <alignment horizontal="left" vertical="center"/>
    </xf>
    <xf numFmtId="0" fontId="12" fillId="29" borderId="0" xfId="0" applyFont="1" applyFill="1" applyAlignment="1">
      <alignment horizontal="left"/>
    </xf>
    <xf numFmtId="0" fontId="0" fillId="0" borderId="0" xfId="0" applyAlignment="1">
      <alignment wrapText="1"/>
    </xf>
    <xf numFmtId="0" fontId="3" fillId="27" borderId="32" xfId="0" applyFont="1" applyFill="1" applyBorder="1" applyAlignment="1">
      <alignment vertical="center" wrapText="1"/>
    </xf>
    <xf numFmtId="0" fontId="16" fillId="27" borderId="32" xfId="0" applyFont="1" applyFill="1" applyBorder="1" applyAlignment="1">
      <alignment horizontal="center" vertical="center" wrapText="1"/>
    </xf>
    <xf numFmtId="0" fontId="3" fillId="2" borderId="0" xfId="0" applyFont="1" applyFill="1" applyAlignment="1">
      <alignment vertical="center" wrapText="1"/>
    </xf>
    <xf numFmtId="0" fontId="0" fillId="0" borderId="0" xfId="0" applyAlignment="1">
      <alignment horizontal="center" wrapText="1"/>
    </xf>
    <xf numFmtId="0" fontId="0" fillId="2" borderId="0" xfId="0" applyFill="1" applyAlignment="1">
      <alignment vertical="center" wrapText="1"/>
    </xf>
    <xf numFmtId="0" fontId="3" fillId="27" borderId="32" xfId="0" applyFont="1" applyFill="1" applyBorder="1" applyAlignment="1">
      <alignment horizontal="center" vertical="center" wrapText="1"/>
    </xf>
    <xf numFmtId="49" fontId="3" fillId="2" borderId="35" xfId="0" applyNumberFormat="1" applyFont="1" applyFill="1" applyBorder="1" applyAlignment="1">
      <alignment vertical="center" wrapText="1"/>
    </xf>
    <xf numFmtId="0" fontId="0" fillId="2" borderId="0" xfId="0" applyFill="1" applyAlignment="1">
      <alignment wrapText="1"/>
    </xf>
    <xf numFmtId="0" fontId="3" fillId="0" borderId="0" xfId="0" applyFont="1" applyAlignment="1">
      <alignment vertical="center" wrapText="1"/>
    </xf>
    <xf numFmtId="0" fontId="127" fillId="0" borderId="0" xfId="0" applyFont="1" applyAlignment="1">
      <alignment horizontal="center" wrapText="1"/>
    </xf>
    <xf numFmtId="0" fontId="127" fillId="0" borderId="34" xfId="0" applyFont="1" applyBorder="1" applyAlignment="1">
      <alignment horizontal="left" vertical="top" wrapText="1"/>
    </xf>
    <xf numFmtId="0" fontId="3" fillId="2" borderId="0" xfId="0" applyFont="1" applyFill="1" applyAlignment="1">
      <alignment horizontal="center" vertical="center" wrapText="1"/>
    </xf>
    <xf numFmtId="0" fontId="89" fillId="2" borderId="0" xfId="0" applyFont="1" applyFill="1" applyAlignment="1">
      <alignment horizontal="left" vertical="center" wrapText="1"/>
    </xf>
    <xf numFmtId="49" fontId="3" fillId="2" borderId="34" xfId="0" applyNumberFormat="1" applyFont="1" applyFill="1" applyBorder="1" applyAlignment="1">
      <alignment vertical="center" wrapText="1"/>
    </xf>
    <xf numFmtId="0" fontId="3" fillId="0" borderId="0" xfId="0" applyFont="1" applyAlignment="1">
      <alignment horizontal="center" vertical="center" wrapText="1"/>
    </xf>
    <xf numFmtId="0" fontId="0" fillId="0" borderId="34" xfId="0" applyBorder="1" applyAlignment="1">
      <alignment vertical="top" wrapText="1"/>
    </xf>
    <xf numFmtId="49" fontId="65" fillId="2" borderId="0" xfId="0" applyNumberFormat="1" applyFont="1" applyFill="1" applyAlignment="1">
      <alignment horizontal="left" vertical="center" wrapText="1"/>
    </xf>
    <xf numFmtId="49" fontId="73" fillId="2" borderId="0" xfId="0" applyNumberFormat="1" applyFont="1" applyFill="1" applyAlignment="1">
      <alignment vertical="center" wrapText="1"/>
    </xf>
    <xf numFmtId="49" fontId="73" fillId="2" borderId="0" xfId="0" applyNumberFormat="1" applyFont="1" applyFill="1" applyAlignment="1">
      <alignment horizontal="left" vertical="center" wrapText="1"/>
    </xf>
    <xf numFmtId="0" fontId="3" fillId="2" borderId="0" xfId="0" applyFont="1" applyFill="1" applyAlignment="1">
      <alignment wrapText="1"/>
    </xf>
    <xf numFmtId="0" fontId="0" fillId="30" borderId="0" xfId="0" applyFill="1" applyProtection="1">
      <protection hidden="1"/>
    </xf>
    <xf numFmtId="0" fontId="0" fillId="0" borderId="0" xfId="0" applyAlignment="1" applyProtection="1">
      <alignment horizontal="center"/>
      <protection hidden="1"/>
    </xf>
    <xf numFmtId="0" fontId="90" fillId="0" borderId="32" xfId="0" applyFont="1" applyBorder="1" applyProtection="1">
      <protection hidden="1"/>
    </xf>
    <xf numFmtId="0" fontId="18" fillId="0" borderId="32" xfId="0" applyFont="1" applyBorder="1" applyProtection="1">
      <protection hidden="1"/>
    </xf>
    <xf numFmtId="0" fontId="0" fillId="0" borderId="32" xfId="0" applyBorder="1" applyProtection="1">
      <protection hidden="1"/>
    </xf>
    <xf numFmtId="0" fontId="114" fillId="0" borderId="0" xfId="0" applyFont="1" applyProtection="1">
      <protection hidden="1"/>
    </xf>
    <xf numFmtId="0" fontId="118" fillId="0" borderId="0" xfId="0" applyFont="1" applyAlignment="1" applyProtection="1">
      <alignment horizontal="right"/>
      <protection hidden="1"/>
    </xf>
    <xf numFmtId="0" fontId="117" fillId="0" borderId="45" xfId="0" applyFont="1" applyBorder="1" applyAlignment="1" applyProtection="1">
      <alignment horizontal="center"/>
      <protection hidden="1"/>
    </xf>
    <xf numFmtId="0" fontId="117" fillId="0" borderId="45" xfId="0" applyFont="1" applyBorder="1" applyProtection="1">
      <protection hidden="1"/>
    </xf>
    <xf numFmtId="43" fontId="84" fillId="0" borderId="0" xfId="1" applyFont="1" applyProtection="1">
      <protection hidden="1"/>
    </xf>
    <xf numFmtId="43" fontId="84" fillId="0" borderId="0" xfId="1" applyFont="1" applyFill="1" applyProtection="1">
      <protection hidden="1"/>
    </xf>
    <xf numFmtId="2" fontId="115" fillId="2" borderId="0" xfId="0" applyNumberFormat="1" applyFont="1" applyFill="1" applyProtection="1">
      <protection hidden="1"/>
    </xf>
    <xf numFmtId="43" fontId="115" fillId="0" borderId="0" xfId="1" applyFont="1" applyProtection="1">
      <protection hidden="1"/>
    </xf>
    <xf numFmtId="43" fontId="121" fillId="0" borderId="0" xfId="1" applyFont="1" applyProtection="1">
      <protection hidden="1"/>
    </xf>
    <xf numFmtId="0" fontId="116" fillId="0" borderId="0" xfId="0" applyFont="1" applyAlignment="1" applyProtection="1">
      <alignment horizontal="right"/>
      <protection hidden="1"/>
    </xf>
    <xf numFmtId="0" fontId="0" fillId="0" borderId="0" xfId="0" applyAlignment="1" applyProtection="1">
      <alignment vertical="top" wrapText="1"/>
      <protection hidden="1"/>
    </xf>
    <xf numFmtId="0" fontId="117" fillId="35" borderId="46" xfId="0" applyFont="1" applyFill="1" applyBorder="1" applyAlignment="1" applyProtection="1">
      <alignment horizontal="right"/>
      <protection hidden="1"/>
    </xf>
    <xf numFmtId="43" fontId="0" fillId="2" borderId="0" xfId="1" applyFont="1" applyFill="1" applyProtection="1">
      <protection hidden="1"/>
    </xf>
    <xf numFmtId="43" fontId="115" fillId="2" borderId="0" xfId="1" applyFont="1" applyFill="1" applyProtection="1">
      <protection hidden="1"/>
    </xf>
    <xf numFmtId="0" fontId="117" fillId="35" borderId="46" xfId="0" applyFont="1" applyFill="1" applyBorder="1" applyAlignment="1" applyProtection="1">
      <alignment horizontal="right" vertical="top" wrapText="1"/>
      <protection hidden="1"/>
    </xf>
    <xf numFmtId="2" fontId="115" fillId="0" borderId="0" xfId="0" applyNumberFormat="1" applyFont="1" applyProtection="1">
      <protection hidden="1"/>
    </xf>
    <xf numFmtId="0" fontId="117" fillId="35" borderId="46" xfId="0" applyFont="1" applyFill="1" applyBorder="1" applyAlignment="1" applyProtection="1">
      <alignment vertical="top" wrapText="1"/>
      <protection hidden="1"/>
    </xf>
    <xf numFmtId="0" fontId="117" fillId="0" borderId="47" xfId="0" applyFont="1" applyBorder="1" applyProtection="1">
      <protection hidden="1"/>
    </xf>
    <xf numFmtId="166" fontId="115" fillId="2" borderId="0" xfId="1" applyNumberFormat="1" applyFont="1" applyFill="1" applyProtection="1">
      <protection hidden="1"/>
    </xf>
    <xf numFmtId="0" fontId="118" fillId="0" borderId="0" xfId="0" applyFont="1" applyAlignment="1" applyProtection="1">
      <alignment horizontal="left"/>
      <protection hidden="1"/>
    </xf>
    <xf numFmtId="166" fontId="115" fillId="0" borderId="0" xfId="1" applyNumberFormat="1" applyFont="1" applyProtection="1">
      <protection hidden="1"/>
    </xf>
    <xf numFmtId="0" fontId="0" fillId="0" borderId="0" xfId="0" applyAlignment="1" applyProtection="1">
      <alignment horizontal="left"/>
      <protection hidden="1"/>
    </xf>
    <xf numFmtId="167" fontId="115" fillId="0" borderId="0" xfId="1" applyNumberFormat="1" applyFont="1" applyProtection="1">
      <protection hidden="1"/>
    </xf>
    <xf numFmtId="185" fontId="115" fillId="0" borderId="0" xfId="1" applyNumberFormat="1" applyFont="1" applyProtection="1">
      <protection hidden="1"/>
    </xf>
    <xf numFmtId="0" fontId="117" fillId="35" borderId="46" xfId="0" applyFont="1" applyFill="1" applyBorder="1" applyAlignment="1" applyProtection="1">
      <alignment horizontal="right" wrapText="1"/>
      <protection hidden="1"/>
    </xf>
    <xf numFmtId="0" fontId="117" fillId="35" borderId="46" xfId="0" applyFont="1" applyFill="1" applyBorder="1" applyAlignment="1" applyProtection="1">
      <alignment wrapText="1"/>
      <protection hidden="1"/>
    </xf>
    <xf numFmtId="49" fontId="117" fillId="35" borderId="0" xfId="0" applyNumberFormat="1" applyFont="1" applyFill="1" applyAlignment="1" applyProtection="1">
      <alignment vertical="center" wrapText="1"/>
      <protection hidden="1"/>
    </xf>
    <xf numFmtId="0" fontId="117" fillId="35" borderId="0" xfId="0" applyFont="1" applyFill="1" applyAlignment="1" applyProtection="1">
      <alignment wrapText="1"/>
      <protection hidden="1"/>
    </xf>
    <xf numFmtId="43" fontId="2" fillId="0" borderId="0" xfId="1" applyFont="1" applyProtection="1">
      <protection hidden="1"/>
    </xf>
    <xf numFmtId="0" fontId="117" fillId="0" borderId="46" xfId="0" applyFont="1" applyBorder="1" applyAlignment="1" applyProtection="1">
      <alignment horizontal="right"/>
      <protection hidden="1"/>
    </xf>
    <xf numFmtId="43" fontId="60" fillId="2" borderId="0" xfId="1" applyFont="1" applyFill="1" applyProtection="1">
      <protection hidden="1"/>
    </xf>
    <xf numFmtId="43" fontId="115" fillId="0" borderId="0" xfId="1" applyFont="1" applyFill="1" applyProtection="1">
      <protection hidden="1"/>
    </xf>
    <xf numFmtId="0" fontId="0" fillId="0" borderId="0" xfId="0" quotePrefix="1" applyProtection="1">
      <protection hidden="1"/>
    </xf>
    <xf numFmtId="0" fontId="3" fillId="5" borderId="0" xfId="0" applyFont="1" applyFill="1" applyAlignment="1" applyProtection="1">
      <alignment vertical="center"/>
      <protection hidden="1"/>
    </xf>
    <xf numFmtId="0" fontId="79" fillId="5" borderId="0" xfId="3" applyFont="1" applyFill="1" applyProtection="1">
      <protection hidden="1"/>
    </xf>
    <xf numFmtId="0" fontId="79" fillId="5" borderId="0" xfId="3" applyFont="1" applyFill="1" applyAlignment="1" applyProtection="1">
      <alignment horizontal="right"/>
      <protection hidden="1"/>
    </xf>
    <xf numFmtId="0" fontId="88" fillId="5" borderId="0" xfId="3" applyFont="1" applyFill="1" applyAlignment="1" applyProtection="1">
      <alignment horizontal="left"/>
      <protection hidden="1"/>
    </xf>
    <xf numFmtId="0" fontId="14" fillId="6" borderId="4" xfId="0" applyFont="1" applyFill="1" applyBorder="1" applyAlignment="1" applyProtection="1">
      <alignment horizontal="right" vertical="center"/>
      <protection hidden="1"/>
    </xf>
    <xf numFmtId="0" fontId="14" fillId="6" borderId="22" xfId="0" applyFont="1" applyFill="1" applyBorder="1" applyAlignment="1" applyProtection="1">
      <alignment horizontal="right" vertical="center"/>
      <protection hidden="1"/>
    </xf>
    <xf numFmtId="0" fontId="14" fillId="6" borderId="0" xfId="0" applyFont="1" applyFill="1" applyAlignment="1" applyProtection="1">
      <alignment horizontal="right"/>
      <protection hidden="1"/>
    </xf>
    <xf numFmtId="0" fontId="51" fillId="6" borderId="0" xfId="0" applyFont="1" applyFill="1" applyProtection="1">
      <protection hidden="1"/>
    </xf>
    <xf numFmtId="0" fontId="12" fillId="6" borderId="0" xfId="3" applyFont="1" applyFill="1" applyProtection="1">
      <protection hidden="1"/>
    </xf>
    <xf numFmtId="0" fontId="14" fillId="6" borderId="0" xfId="3" applyFont="1" applyFill="1" applyAlignment="1" applyProtection="1">
      <alignment horizontal="right"/>
      <protection hidden="1"/>
    </xf>
    <xf numFmtId="0" fontId="12" fillId="6" borderId="0" xfId="0" applyFont="1" applyFill="1" applyAlignment="1" applyProtection="1">
      <alignment vertical="center"/>
      <protection hidden="1"/>
    </xf>
    <xf numFmtId="10" fontId="19" fillId="6" borderId="0" xfId="2" applyNumberFormat="1" applyFont="1" applyFill="1" applyBorder="1" applyAlignment="1" applyProtection="1">
      <alignment horizontal="right" vertical="center"/>
      <protection hidden="1"/>
    </xf>
    <xf numFmtId="0" fontId="12" fillId="6" borderId="4" xfId="0" applyFont="1" applyFill="1" applyBorder="1" applyAlignment="1" applyProtection="1">
      <alignment vertical="center"/>
      <protection hidden="1"/>
    </xf>
    <xf numFmtId="9" fontId="12" fillId="6" borderId="0" xfId="2" applyFont="1" applyFill="1" applyBorder="1" applyAlignment="1" applyProtection="1">
      <alignment vertical="center"/>
      <protection hidden="1"/>
    </xf>
    <xf numFmtId="43" fontId="8" fillId="6" borderId="0" xfId="1" applyFont="1" applyFill="1" applyBorder="1" applyProtection="1">
      <protection hidden="1"/>
    </xf>
    <xf numFmtId="0" fontId="69" fillId="6" borderId="21" xfId="0" applyFont="1" applyFill="1" applyBorder="1" applyAlignment="1" applyProtection="1">
      <alignment horizontal="left" vertical="center"/>
      <protection hidden="1"/>
    </xf>
    <xf numFmtId="0" fontId="69" fillId="6" borderId="21" xfId="0" applyFont="1" applyFill="1" applyBorder="1" applyAlignment="1" applyProtection="1">
      <alignment horizontal="center" vertical="center"/>
      <protection hidden="1"/>
    </xf>
    <xf numFmtId="166" fontId="20" fillId="6" borderId="11" xfId="1" applyNumberFormat="1" applyFont="1" applyFill="1" applyBorder="1" applyProtection="1">
      <protection hidden="1"/>
    </xf>
    <xf numFmtId="166" fontId="20" fillId="6" borderId="0" xfId="1" applyNumberFormat="1" applyFont="1" applyFill="1" applyBorder="1" applyProtection="1">
      <protection hidden="1"/>
    </xf>
    <xf numFmtId="166" fontId="20" fillId="6" borderId="4" xfId="1" applyNumberFormat="1" applyFont="1" applyFill="1" applyBorder="1" applyProtection="1">
      <protection hidden="1"/>
    </xf>
    <xf numFmtId="0" fontId="6" fillId="5" borderId="0" xfId="3" quotePrefix="1" applyFont="1" applyFill="1" applyAlignment="1" applyProtection="1">
      <alignment vertical="center"/>
      <protection hidden="1"/>
    </xf>
    <xf numFmtId="43" fontId="8" fillId="7" borderId="0" xfId="1" applyFont="1" applyFill="1" applyBorder="1" applyProtection="1">
      <protection hidden="1"/>
    </xf>
    <xf numFmtId="0" fontId="65" fillId="6" borderId="0" xfId="0" applyFont="1" applyFill="1" applyAlignment="1" applyProtection="1">
      <alignment horizontal="left" vertical="center"/>
      <protection hidden="1"/>
    </xf>
    <xf numFmtId="0" fontId="65" fillId="6" borderId="4" xfId="0" applyFont="1" applyFill="1" applyBorder="1" applyAlignment="1" applyProtection="1">
      <alignment horizontal="left" vertical="center"/>
      <protection hidden="1"/>
    </xf>
    <xf numFmtId="0" fontId="69" fillId="6" borderId="9" xfId="0" applyFont="1" applyFill="1" applyBorder="1" applyAlignment="1" applyProtection="1">
      <alignment horizontal="left" vertical="center"/>
      <protection hidden="1"/>
    </xf>
    <xf numFmtId="0" fontId="69" fillId="6" borderId="22" xfId="0" applyFont="1" applyFill="1" applyBorder="1" applyAlignment="1" applyProtection="1">
      <alignment horizontal="left" vertical="center"/>
      <protection hidden="1"/>
    </xf>
    <xf numFmtId="0" fontId="0" fillId="6" borderId="11" xfId="0" applyFill="1" applyBorder="1" applyAlignment="1" applyProtection="1">
      <alignment horizontal="center"/>
      <protection hidden="1"/>
    </xf>
    <xf numFmtId="0" fontId="0" fillId="6" borderId="0" xfId="0" applyFill="1" applyAlignment="1" applyProtection="1">
      <alignment horizontal="center"/>
      <protection hidden="1"/>
    </xf>
    <xf numFmtId="0" fontId="0" fillId="6" borderId="4" xfId="0" applyFill="1" applyBorder="1" applyAlignment="1" applyProtection="1">
      <alignment horizontal="center"/>
      <protection hidden="1"/>
    </xf>
    <xf numFmtId="0" fontId="12" fillId="31" borderId="38" xfId="0" applyFont="1" applyFill="1" applyBorder="1" applyAlignment="1" applyProtection="1">
      <alignment vertical="center"/>
      <protection hidden="1"/>
    </xf>
    <xf numFmtId="0" fontId="12" fillId="31" borderId="0" xfId="0" applyFont="1" applyFill="1" applyAlignment="1" applyProtection="1">
      <alignment vertical="center"/>
      <protection hidden="1"/>
    </xf>
    <xf numFmtId="0" fontId="0" fillId="31" borderId="0" xfId="0" applyFill="1" applyProtection="1">
      <protection hidden="1"/>
    </xf>
    <xf numFmtId="0" fontId="14" fillId="6" borderId="0" xfId="0" applyFont="1" applyFill="1" applyAlignment="1" applyProtection="1">
      <alignment horizontal="right" vertical="center"/>
      <protection hidden="1"/>
    </xf>
    <xf numFmtId="1" fontId="19" fillId="6" borderId="0" xfId="4" applyNumberFormat="1" applyFont="1" applyFill="1" applyBorder="1" applyProtection="1">
      <protection hidden="1"/>
    </xf>
    <xf numFmtId="0" fontId="12" fillId="31" borderId="9" xfId="0" applyFont="1" applyFill="1" applyBorder="1" applyAlignment="1" applyProtection="1">
      <alignment vertical="center"/>
      <protection hidden="1"/>
    </xf>
    <xf numFmtId="0" fontId="2" fillId="31" borderId="4" xfId="0" applyFont="1" applyFill="1" applyBorder="1" applyProtection="1">
      <protection hidden="1"/>
    </xf>
    <xf numFmtId="0" fontId="2" fillId="31" borderId="0" xfId="0" applyFont="1" applyFill="1" applyProtection="1">
      <protection hidden="1"/>
    </xf>
    <xf numFmtId="0" fontId="12" fillId="6" borderId="0" xfId="0" applyFont="1" applyFill="1" applyAlignment="1" applyProtection="1">
      <alignment horizontal="left" vertical="center"/>
      <protection hidden="1"/>
    </xf>
    <xf numFmtId="0" fontId="12" fillId="6" borderId="4" xfId="0" applyFont="1" applyFill="1" applyBorder="1" applyAlignment="1" applyProtection="1">
      <alignment horizontal="left" vertical="center"/>
      <protection hidden="1"/>
    </xf>
    <xf numFmtId="0" fontId="14" fillId="6" borderId="0" xfId="0" applyFont="1" applyFill="1" applyAlignment="1" applyProtection="1">
      <alignment horizontal="left" vertical="center"/>
      <protection hidden="1"/>
    </xf>
    <xf numFmtId="0" fontId="0" fillId="31" borderId="0" xfId="0" applyFill="1" applyAlignment="1" applyProtection="1">
      <alignment horizontal="left"/>
      <protection hidden="1"/>
    </xf>
    <xf numFmtId="0" fontId="0" fillId="31" borderId="38" xfId="0" applyFill="1" applyBorder="1" applyProtection="1">
      <protection hidden="1"/>
    </xf>
    <xf numFmtId="1" fontId="8" fillId="31" borderId="4" xfId="0" applyNumberFormat="1" applyFont="1" applyFill="1" applyBorder="1" applyProtection="1">
      <protection hidden="1"/>
    </xf>
    <xf numFmtId="0" fontId="6" fillId="5" borderId="0" xfId="3" applyFont="1" applyFill="1" applyAlignment="1" applyProtection="1">
      <alignment vertical="center"/>
      <protection hidden="1"/>
    </xf>
    <xf numFmtId="43" fontId="8" fillId="7" borderId="0" xfId="1" applyFont="1" applyFill="1" applyProtection="1">
      <protection hidden="1"/>
    </xf>
    <xf numFmtId="0" fontId="16" fillId="5" borderId="0" xfId="11" applyFont="1" applyFill="1" applyProtection="1">
      <protection hidden="1"/>
    </xf>
    <xf numFmtId="0" fontId="3" fillId="5" borderId="0" xfId="0" applyFont="1" applyFill="1" applyProtection="1">
      <protection hidden="1"/>
    </xf>
    <xf numFmtId="0" fontId="9" fillId="5" borderId="0" xfId="0" applyFont="1" applyFill="1" applyProtection="1">
      <protection hidden="1"/>
    </xf>
    <xf numFmtId="0" fontId="27" fillId="6" borderId="0" xfId="0" applyFont="1" applyFill="1" applyProtection="1">
      <protection hidden="1"/>
    </xf>
    <xf numFmtId="0" fontId="2" fillId="6" borderId="4" xfId="0" applyFont="1" applyFill="1" applyBorder="1" applyProtection="1">
      <protection hidden="1"/>
    </xf>
    <xf numFmtId="0" fontId="0" fillId="7" borderId="0" xfId="0" applyFill="1" applyProtection="1">
      <protection hidden="1"/>
    </xf>
    <xf numFmtId="1" fontId="12" fillId="6" borderId="0" xfId="1" applyNumberFormat="1" applyFont="1" applyFill="1" applyBorder="1" applyAlignment="1" applyProtection="1">
      <alignment horizontal="center" vertical="center"/>
      <protection hidden="1"/>
    </xf>
    <xf numFmtId="1" fontId="15" fillId="6" borderId="0" xfId="1" applyNumberFormat="1" applyFont="1" applyFill="1" applyBorder="1" applyAlignment="1" applyProtection="1">
      <alignment horizontal="center" vertical="center"/>
      <protection hidden="1"/>
    </xf>
    <xf numFmtId="0" fontId="10" fillId="6" borderId="0" xfId="0" applyFont="1" applyFill="1" applyProtection="1">
      <protection hidden="1"/>
    </xf>
    <xf numFmtId="0" fontId="16" fillId="6" borderId="10" xfId="0" applyFont="1" applyFill="1" applyBorder="1" applyAlignment="1" applyProtection="1">
      <alignment vertical="center"/>
      <protection hidden="1"/>
    </xf>
    <xf numFmtId="172" fontId="14" fillId="6" borderId="0" xfId="4" applyFont="1" applyFill="1" applyBorder="1" applyAlignment="1" applyProtection="1">
      <alignment vertical="center"/>
      <protection hidden="1"/>
    </xf>
    <xf numFmtId="0" fontId="16" fillId="6" borderId="3" xfId="0" applyFont="1" applyFill="1" applyBorder="1" applyProtection="1">
      <protection hidden="1"/>
    </xf>
    <xf numFmtId="0" fontId="16" fillId="6" borderId="9" xfId="0" applyFont="1" applyFill="1" applyBorder="1" applyAlignment="1" applyProtection="1">
      <alignment horizontal="center" vertical="center"/>
      <protection hidden="1"/>
    </xf>
    <xf numFmtId="0" fontId="16" fillId="6" borderId="9" xfId="0" applyFont="1" applyFill="1" applyBorder="1" applyAlignment="1" applyProtection="1">
      <alignment horizontal="center"/>
      <protection hidden="1"/>
    </xf>
    <xf numFmtId="0" fontId="10" fillId="6" borderId="0" xfId="0" applyFont="1" applyFill="1" applyAlignment="1" applyProtection="1">
      <alignment vertical="center"/>
      <protection hidden="1"/>
    </xf>
    <xf numFmtId="11" fontId="10" fillId="6" borderId="9" xfId="4" applyNumberFormat="1" applyFont="1" applyFill="1" applyBorder="1" applyAlignment="1" applyProtection="1">
      <alignment horizontal="center" vertical="center"/>
      <protection hidden="1"/>
    </xf>
    <xf numFmtId="0" fontId="0" fillId="6" borderId="9" xfId="0" applyFill="1" applyBorder="1" applyAlignment="1" applyProtection="1">
      <alignment horizontal="left" vertical="center"/>
      <protection hidden="1"/>
    </xf>
    <xf numFmtId="11" fontId="10" fillId="6" borderId="0" xfId="4" applyNumberFormat="1" applyFont="1" applyFill="1" applyBorder="1" applyAlignment="1" applyProtection="1">
      <alignment horizontal="center" vertical="center"/>
      <protection hidden="1"/>
    </xf>
    <xf numFmtId="0" fontId="0" fillId="6" borderId="0" xfId="0" applyFill="1" applyAlignment="1" applyProtection="1">
      <alignment horizontal="left" vertical="center"/>
      <protection hidden="1"/>
    </xf>
    <xf numFmtId="0" fontId="16" fillId="6" borderId="4" xfId="0" applyFont="1" applyFill="1" applyBorder="1" applyAlignment="1" applyProtection="1">
      <alignment vertical="center"/>
      <protection hidden="1"/>
    </xf>
    <xf numFmtId="11" fontId="10" fillId="6" borderId="4" xfId="4" applyNumberFormat="1" applyFont="1" applyFill="1" applyBorder="1" applyAlignment="1" applyProtection="1">
      <alignment horizontal="center" vertical="center"/>
      <protection hidden="1"/>
    </xf>
    <xf numFmtId="0" fontId="0" fillId="6" borderId="4" xfId="0" applyFill="1" applyBorder="1" applyAlignment="1" applyProtection="1">
      <alignment horizontal="left" vertical="center"/>
      <protection hidden="1"/>
    </xf>
    <xf numFmtId="0" fontId="10" fillId="6" borderId="0" xfId="0" applyFont="1" applyFill="1" applyAlignment="1" applyProtection="1">
      <alignment horizontal="center" vertical="center"/>
      <protection hidden="1"/>
    </xf>
    <xf numFmtId="0" fontId="16" fillId="6" borderId="3" xfId="0" applyFont="1" applyFill="1" applyBorder="1" applyAlignment="1" applyProtection="1">
      <alignment horizontal="center"/>
      <protection hidden="1"/>
    </xf>
    <xf numFmtId="43" fontId="16" fillId="6" borderId="0" xfId="1" applyFont="1" applyFill="1" applyBorder="1" applyAlignment="1" applyProtection="1">
      <alignment horizontal="center" vertical="center"/>
      <protection hidden="1"/>
    </xf>
    <xf numFmtId="43" fontId="16" fillId="6" borderId="9" xfId="1" applyFont="1" applyFill="1" applyBorder="1" applyAlignment="1" applyProtection="1">
      <alignment horizontal="center" vertical="center"/>
      <protection hidden="1"/>
    </xf>
    <xf numFmtId="43" fontId="16" fillId="6" borderId="4" xfId="1" applyFont="1" applyFill="1" applyBorder="1" applyAlignment="1" applyProtection="1">
      <alignment horizontal="center" vertical="center"/>
      <protection hidden="1"/>
    </xf>
    <xf numFmtId="0" fontId="2" fillId="6" borderId="0" xfId="0" applyFont="1" applyFill="1" applyAlignment="1" applyProtection="1">
      <alignment vertical="center"/>
      <protection hidden="1"/>
    </xf>
    <xf numFmtId="43" fontId="2" fillId="6" borderId="0" xfId="1" applyFont="1" applyFill="1" applyBorder="1" applyAlignment="1" applyProtection="1">
      <alignment horizontal="center" vertical="center"/>
      <protection hidden="1"/>
    </xf>
    <xf numFmtId="11" fontId="2" fillId="6" borderId="0" xfId="4" applyNumberFormat="1" applyFont="1" applyFill="1" applyBorder="1" applyAlignment="1" applyProtection="1">
      <alignment vertical="center"/>
      <protection hidden="1"/>
    </xf>
    <xf numFmtId="0" fontId="3" fillId="6" borderId="10" xfId="0" applyFont="1" applyFill="1" applyBorder="1" applyAlignment="1" applyProtection="1">
      <alignment vertical="center"/>
      <protection hidden="1"/>
    </xf>
    <xf numFmtId="0" fontId="3" fillId="6" borderId="9" xfId="0" applyFont="1" applyFill="1" applyBorder="1" applyAlignment="1" applyProtection="1">
      <alignment horizontal="center"/>
      <protection hidden="1"/>
    </xf>
    <xf numFmtId="0" fontId="3" fillId="6" borderId="3" xfId="0" applyFont="1" applyFill="1" applyBorder="1" applyAlignment="1" applyProtection="1">
      <alignment horizontal="center"/>
      <protection hidden="1"/>
    </xf>
    <xf numFmtId="0" fontId="0" fillId="6" borderId="9" xfId="0" applyFill="1" applyBorder="1" applyAlignment="1" applyProtection="1">
      <alignment vertical="center"/>
      <protection hidden="1"/>
    </xf>
    <xf numFmtId="11" fontId="0" fillId="6" borderId="9" xfId="4" applyNumberFormat="1" applyFont="1" applyFill="1" applyBorder="1" applyAlignment="1" applyProtection="1">
      <alignment horizontal="center" vertical="center"/>
      <protection hidden="1"/>
    </xf>
    <xf numFmtId="11" fontId="0" fillId="6" borderId="0" xfId="4" applyNumberFormat="1" applyFont="1" applyFill="1" applyBorder="1" applyAlignment="1" applyProtection="1">
      <alignment horizontal="center" vertical="center"/>
      <protection hidden="1"/>
    </xf>
    <xf numFmtId="0" fontId="10" fillId="6" borderId="10" xfId="0" applyFont="1" applyFill="1" applyBorder="1" applyAlignment="1" applyProtection="1">
      <alignment vertical="center"/>
      <protection hidden="1"/>
    </xf>
    <xf numFmtId="11" fontId="10" fillId="6" borderId="4" xfId="1" applyNumberFormat="1" applyFont="1" applyFill="1" applyBorder="1" applyAlignment="1" applyProtection="1">
      <alignment horizontal="center" vertical="center"/>
      <protection hidden="1"/>
    </xf>
    <xf numFmtId="11" fontId="0" fillId="6" borderId="4" xfId="4" applyNumberFormat="1" applyFont="1" applyFill="1" applyBorder="1" applyAlignment="1" applyProtection="1">
      <alignment horizontal="center" vertical="center"/>
      <protection hidden="1"/>
    </xf>
    <xf numFmtId="0" fontId="22" fillId="5" borderId="0" xfId="11" applyFont="1" applyFill="1" applyProtection="1">
      <protection hidden="1"/>
    </xf>
    <xf numFmtId="0" fontId="3" fillId="6" borderId="0" xfId="0" applyFont="1" applyFill="1" applyAlignment="1" applyProtection="1">
      <alignment horizontal="center"/>
      <protection hidden="1"/>
    </xf>
    <xf numFmtId="43" fontId="0" fillId="6" borderId="0" xfId="1" applyFont="1" applyFill="1" applyBorder="1" applyAlignment="1" applyProtection="1">
      <alignment horizontal="center"/>
      <protection hidden="1"/>
    </xf>
    <xf numFmtId="43" fontId="2" fillId="6" borderId="0" xfId="1" applyFont="1" applyFill="1" applyProtection="1">
      <protection hidden="1"/>
    </xf>
    <xf numFmtId="43" fontId="2" fillId="6" borderId="4" xfId="1" applyFont="1" applyFill="1" applyBorder="1" applyProtection="1">
      <protection hidden="1"/>
    </xf>
    <xf numFmtId="43" fontId="0" fillId="6" borderId="3" xfId="1" applyFont="1" applyFill="1" applyBorder="1" applyAlignment="1" applyProtection="1">
      <alignment horizontal="center"/>
      <protection hidden="1"/>
    </xf>
    <xf numFmtId="0" fontId="0" fillId="6" borderId="3" xfId="0" applyFill="1" applyBorder="1" applyAlignment="1" applyProtection="1">
      <alignment horizontal="left"/>
      <protection hidden="1"/>
    </xf>
    <xf numFmtId="0" fontId="3" fillId="6" borderId="0" xfId="0" quotePrefix="1" applyFont="1" applyFill="1" applyAlignment="1" applyProtection="1">
      <alignment horizontal="left"/>
      <protection hidden="1"/>
    </xf>
    <xf numFmtId="0" fontId="3" fillId="6" borderId="0" xfId="0" quotePrefix="1" applyFont="1" applyFill="1" applyAlignment="1" applyProtection="1">
      <alignment horizontal="right"/>
      <protection hidden="1"/>
    </xf>
    <xf numFmtId="0" fontId="3" fillId="6" borderId="9" xfId="0" applyFont="1" applyFill="1" applyBorder="1" applyProtection="1">
      <protection hidden="1"/>
    </xf>
    <xf numFmtId="0" fontId="0" fillId="6" borderId="3" xfId="0" applyFill="1" applyBorder="1" applyAlignment="1" applyProtection="1">
      <alignment horizontal="center"/>
      <protection hidden="1"/>
    </xf>
    <xf numFmtId="167" fontId="0" fillId="6" borderId="0" xfId="1" applyNumberFormat="1" applyFont="1" applyFill="1" applyProtection="1">
      <protection hidden="1"/>
    </xf>
    <xf numFmtId="167" fontId="0" fillId="6" borderId="4" xfId="1" applyNumberFormat="1" applyFont="1" applyFill="1" applyBorder="1" applyProtection="1">
      <protection hidden="1"/>
    </xf>
    <xf numFmtId="0" fontId="16" fillId="6" borderId="0" xfId="11" applyFont="1" applyFill="1" applyProtection="1">
      <protection hidden="1"/>
    </xf>
    <xf numFmtId="0" fontId="63" fillId="20" borderId="0" xfId="0" applyFont="1" applyFill="1" applyProtection="1">
      <protection hidden="1"/>
    </xf>
    <xf numFmtId="0" fontId="61" fillId="20" borderId="0" xfId="0" applyFont="1" applyFill="1" applyProtection="1">
      <protection hidden="1"/>
    </xf>
    <xf numFmtId="0" fontId="61" fillId="20" borderId="0" xfId="0" applyFont="1" applyFill="1" applyAlignment="1" applyProtection="1">
      <alignment horizontal="right"/>
      <protection hidden="1"/>
    </xf>
    <xf numFmtId="0" fontId="64" fillId="22" borderId="0" xfId="0" applyFont="1" applyFill="1" applyProtection="1">
      <protection hidden="1"/>
    </xf>
    <xf numFmtId="0" fontId="27" fillId="20" borderId="0" xfId="0" applyFont="1" applyFill="1" applyProtection="1">
      <protection hidden="1"/>
    </xf>
    <xf numFmtId="0" fontId="69" fillId="20" borderId="0" xfId="0" applyFont="1" applyFill="1" applyProtection="1">
      <protection hidden="1"/>
    </xf>
    <xf numFmtId="0" fontId="0" fillId="6" borderId="7" xfId="0" applyFill="1" applyBorder="1" applyProtection="1">
      <protection hidden="1"/>
    </xf>
    <xf numFmtId="0" fontId="73" fillId="20" borderId="0" xfId="0" applyFont="1" applyFill="1" applyProtection="1">
      <protection hidden="1"/>
    </xf>
    <xf numFmtId="0" fontId="20" fillId="6" borderId="7" xfId="3" applyFont="1" applyFill="1" applyBorder="1" applyProtection="1">
      <protection hidden="1"/>
    </xf>
    <xf numFmtId="0" fontId="20" fillId="6" borderId="0" xfId="3" applyFont="1" applyFill="1" applyProtection="1">
      <protection hidden="1"/>
    </xf>
    <xf numFmtId="0" fontId="49" fillId="6" borderId="7" xfId="0" applyFont="1" applyFill="1" applyBorder="1" applyProtection="1">
      <protection hidden="1"/>
    </xf>
    <xf numFmtId="11" fontId="2" fillId="6" borderId="0" xfId="0" applyNumberFormat="1" applyFont="1" applyFill="1" applyProtection="1">
      <protection hidden="1"/>
    </xf>
    <xf numFmtId="11" fontId="2" fillId="6" borderId="4" xfId="0" applyNumberFormat="1" applyFont="1" applyFill="1" applyBorder="1" applyProtection="1">
      <protection hidden="1"/>
    </xf>
    <xf numFmtId="165" fontId="0" fillId="6" borderId="0" xfId="0" applyNumberFormat="1" applyFill="1" applyProtection="1">
      <protection hidden="1"/>
    </xf>
    <xf numFmtId="165" fontId="0" fillId="6" borderId="4" xfId="0" applyNumberFormat="1" applyFill="1" applyBorder="1" applyProtection="1">
      <protection hidden="1"/>
    </xf>
    <xf numFmtId="49" fontId="0" fillId="6" borderId="0" xfId="0" applyNumberFormat="1" applyFill="1" applyProtection="1">
      <protection hidden="1"/>
    </xf>
    <xf numFmtId="49" fontId="0" fillId="6" borderId="4" xfId="0" applyNumberFormat="1" applyFill="1" applyBorder="1" applyProtection="1">
      <protection hidden="1"/>
    </xf>
    <xf numFmtId="0" fontId="46" fillId="2" borderId="0" xfId="0" applyFont="1" applyFill="1" applyAlignment="1" applyProtection="1">
      <alignment vertical="center"/>
      <protection hidden="1"/>
    </xf>
    <xf numFmtId="0" fontId="2" fillId="2" borderId="0" xfId="0" applyFont="1" applyFill="1" applyAlignment="1" applyProtection="1">
      <alignment vertical="center"/>
      <protection hidden="1"/>
    </xf>
    <xf numFmtId="11" fontId="0" fillId="0" borderId="0" xfId="0" applyNumberFormat="1" applyProtection="1">
      <protection hidden="1"/>
    </xf>
    <xf numFmtId="43" fontId="1" fillId="6" borderId="0" xfId="1" applyFont="1" applyFill="1" applyProtection="1">
      <protection hidden="1"/>
    </xf>
    <xf numFmtId="43" fontId="1" fillId="6" borderId="4" xfId="1" applyFont="1" applyFill="1" applyBorder="1" applyProtection="1">
      <protection hidden="1"/>
    </xf>
    <xf numFmtId="0" fontId="28" fillId="5" borderId="0" xfId="0" applyFont="1" applyFill="1" applyProtection="1">
      <protection hidden="1"/>
    </xf>
    <xf numFmtId="0" fontId="12" fillId="29" borderId="0" xfId="0" applyFont="1" applyFill="1" applyAlignment="1" applyProtection="1">
      <alignment horizontal="left" vertical="center"/>
      <protection hidden="1"/>
    </xf>
    <xf numFmtId="0" fontId="12" fillId="29" borderId="0" xfId="0" applyFont="1" applyFill="1" applyAlignment="1" applyProtection="1">
      <alignment horizontal="left" vertical="center" wrapText="1"/>
      <protection hidden="1"/>
    </xf>
    <xf numFmtId="0" fontId="57" fillId="29" borderId="0" xfId="0" applyFont="1" applyFill="1" applyAlignment="1" applyProtection="1">
      <alignment horizontal="left" vertical="center" wrapText="1"/>
      <protection hidden="1"/>
    </xf>
    <xf numFmtId="0" fontId="12" fillId="0" borderId="0" xfId="0" applyFont="1" applyAlignment="1" applyProtection="1">
      <alignment horizontal="left"/>
      <protection hidden="1"/>
    </xf>
    <xf numFmtId="0" fontId="85" fillId="5" borderId="79" xfId="0" applyFont="1" applyFill="1" applyBorder="1" applyAlignment="1" applyProtection="1">
      <alignment horizontal="center" vertical="center"/>
      <protection hidden="1"/>
    </xf>
    <xf numFmtId="0" fontId="85" fillId="5" borderId="79" xfId="0" applyFont="1" applyFill="1" applyBorder="1" applyAlignment="1" applyProtection="1">
      <alignment horizontal="center" vertical="center" wrapText="1"/>
      <protection hidden="1"/>
    </xf>
    <xf numFmtId="0" fontId="86" fillId="5" borderId="79" xfId="0" applyFont="1" applyFill="1" applyBorder="1" applyAlignment="1" applyProtection="1">
      <alignment horizontal="center" vertical="center" wrapText="1"/>
      <protection hidden="1"/>
    </xf>
    <xf numFmtId="0" fontId="12" fillId="2" borderId="0" xfId="0" applyFont="1" applyFill="1" applyProtection="1">
      <protection hidden="1"/>
    </xf>
    <xf numFmtId="0" fontId="22" fillId="3" borderId="1" xfId="3" applyFont="1" applyFill="1" applyBorder="1" applyAlignment="1" applyProtection="1">
      <alignment horizontal="left" vertical="center" indent="1"/>
      <protection hidden="1"/>
    </xf>
    <xf numFmtId="0" fontId="10" fillId="3" borderId="2" xfId="0" applyFont="1" applyFill="1" applyBorder="1" applyProtection="1">
      <protection hidden="1"/>
    </xf>
    <xf numFmtId="0" fontId="10" fillId="4" borderId="0" xfId="0" applyFont="1" applyFill="1" applyProtection="1">
      <protection hidden="1"/>
    </xf>
    <xf numFmtId="0" fontId="16" fillId="4" borderId="9" xfId="0" applyFont="1" applyFill="1" applyBorder="1" applyProtection="1">
      <protection hidden="1"/>
    </xf>
    <xf numFmtId="0" fontId="16" fillId="4" borderId="9" xfId="0" applyFont="1" applyFill="1" applyBorder="1" applyAlignment="1" applyProtection="1">
      <alignment horizontal="right" vertical="center"/>
      <protection hidden="1"/>
    </xf>
    <xf numFmtId="0" fontId="16" fillId="4" borderId="0" xfId="0" applyFont="1" applyFill="1" applyAlignment="1" applyProtection="1">
      <alignment horizontal="right" vertical="center"/>
      <protection hidden="1"/>
    </xf>
    <xf numFmtId="0" fontId="16" fillId="4" borderId="9" xfId="0" applyFont="1" applyFill="1" applyBorder="1" applyAlignment="1" applyProtection="1">
      <alignment horizontal="left" vertical="center"/>
      <protection hidden="1"/>
    </xf>
    <xf numFmtId="0" fontId="16" fillId="4" borderId="4" xfId="0" applyFont="1" applyFill="1" applyBorder="1" applyAlignment="1" applyProtection="1">
      <alignment horizontal="left" vertical="center"/>
      <protection hidden="1"/>
    </xf>
    <xf numFmtId="0" fontId="6" fillId="3" borderId="0" xfId="3" applyFont="1" applyFill="1" applyAlignment="1" applyProtection="1">
      <alignment horizontal="left" vertical="center" indent="1"/>
      <protection hidden="1"/>
    </xf>
    <xf numFmtId="0" fontId="0" fillId="3" borderId="0" xfId="0" applyFill="1" applyAlignment="1" applyProtection="1">
      <alignment vertical="center"/>
      <protection hidden="1"/>
    </xf>
    <xf numFmtId="0" fontId="6" fillId="4" borderId="0" xfId="3" applyFont="1" applyFill="1" applyAlignment="1" applyProtection="1">
      <alignment horizontal="left" vertical="center" indent="1"/>
      <protection hidden="1"/>
    </xf>
    <xf numFmtId="0" fontId="0" fillId="4" borderId="0" xfId="0" applyFill="1" applyAlignment="1" applyProtection="1">
      <alignment vertical="center"/>
      <protection hidden="1"/>
    </xf>
    <xf numFmtId="0" fontId="10" fillId="32" borderId="0" xfId="0" applyFont="1" applyFill="1" applyProtection="1">
      <protection hidden="1"/>
    </xf>
    <xf numFmtId="0" fontId="3" fillId="3" borderId="0" xfId="3" applyFont="1" applyFill="1" applyProtection="1">
      <protection hidden="1"/>
    </xf>
    <xf numFmtId="0" fontId="13" fillId="3" borderId="0" xfId="3" applyFont="1" applyFill="1" applyProtection="1">
      <protection hidden="1"/>
    </xf>
    <xf numFmtId="0" fontId="13" fillId="3" borderId="0" xfId="3" applyFont="1" applyFill="1" applyAlignment="1" applyProtection="1">
      <alignment horizontal="right"/>
      <protection hidden="1"/>
    </xf>
    <xf numFmtId="0" fontId="6" fillId="3" borderId="0" xfId="3" applyFont="1" applyFill="1" applyAlignment="1" applyProtection="1">
      <alignment horizontal="left"/>
      <protection hidden="1"/>
    </xf>
    <xf numFmtId="0" fontId="41" fillId="32" borderId="0" xfId="0" quotePrefix="1" applyFont="1" applyFill="1" applyAlignment="1" applyProtection="1">
      <alignment horizontal="left" vertical="top" wrapText="1"/>
      <protection hidden="1"/>
    </xf>
    <xf numFmtId="0" fontId="3" fillId="4" borderId="0" xfId="3" applyFont="1" applyFill="1" applyProtection="1">
      <protection hidden="1"/>
    </xf>
    <xf numFmtId="0" fontId="13" fillId="4" borderId="0" xfId="3" applyFont="1" applyFill="1" applyProtection="1">
      <protection hidden="1"/>
    </xf>
    <xf numFmtId="0" fontId="13" fillId="4" borderId="0" xfId="3" applyFont="1" applyFill="1" applyAlignment="1" applyProtection="1">
      <alignment horizontal="right"/>
      <protection hidden="1"/>
    </xf>
    <xf numFmtId="0" fontId="6" fillId="4" borderId="0" xfId="3" applyFont="1" applyFill="1" applyAlignment="1" applyProtection="1">
      <alignment horizontal="left"/>
      <protection hidden="1"/>
    </xf>
    <xf numFmtId="0" fontId="14" fillId="4" borderId="0" xfId="3" applyFont="1" applyFill="1" applyAlignment="1" applyProtection="1">
      <alignment vertical="center"/>
      <protection hidden="1"/>
    </xf>
    <xf numFmtId="0" fontId="26" fillId="4" borderId="0" xfId="3" applyFont="1" applyFill="1" applyAlignment="1" applyProtection="1">
      <alignment horizontal="right" vertical="center"/>
      <protection hidden="1"/>
    </xf>
    <xf numFmtId="0" fontId="5" fillId="4" borderId="0" xfId="3" applyFill="1" applyAlignment="1" applyProtection="1">
      <alignment vertical="center"/>
      <protection hidden="1"/>
    </xf>
    <xf numFmtId="174" fontId="5" fillId="4" borderId="0" xfId="4" applyNumberFormat="1" applyFont="1" applyFill="1" applyBorder="1" applyAlignment="1" applyProtection="1">
      <alignment horizontal="right" vertical="center"/>
      <protection hidden="1"/>
    </xf>
    <xf numFmtId="0" fontId="23" fillId="32" borderId="0" xfId="0" applyFont="1" applyFill="1" applyProtection="1">
      <protection hidden="1"/>
    </xf>
    <xf numFmtId="0" fontId="23" fillId="32" borderId="0" xfId="0" applyFont="1" applyFill="1" applyAlignment="1" applyProtection="1">
      <alignment horizontal="right"/>
      <protection hidden="1"/>
    </xf>
    <xf numFmtId="0" fontId="23" fillId="4" borderId="8" xfId="0" applyFont="1" applyFill="1" applyBorder="1" applyAlignment="1" applyProtection="1">
      <alignment horizontal="left" vertical="center"/>
      <protection hidden="1"/>
    </xf>
    <xf numFmtId="0" fontId="23" fillId="4" borderId="8" xfId="0" applyFont="1" applyFill="1" applyBorder="1" applyAlignment="1" applyProtection="1">
      <alignment horizontal="center" vertical="center"/>
      <protection hidden="1"/>
    </xf>
    <xf numFmtId="0" fontId="20" fillId="4" borderId="0" xfId="3" applyFont="1" applyFill="1" applyAlignment="1" applyProtection="1">
      <alignment vertical="center"/>
      <protection hidden="1"/>
    </xf>
    <xf numFmtId="43" fontId="20" fillId="4" borderId="0" xfId="1" applyFont="1" applyFill="1" applyBorder="1" applyAlignment="1" applyProtection="1">
      <alignment horizontal="right" vertical="center"/>
      <protection hidden="1"/>
    </xf>
    <xf numFmtId="43" fontId="20" fillId="4" borderId="0" xfId="1" applyFont="1" applyFill="1" applyAlignment="1" applyProtection="1">
      <alignment vertical="center"/>
      <protection hidden="1"/>
    </xf>
    <xf numFmtId="43" fontId="20" fillId="32" borderId="0" xfId="1" applyFont="1" applyFill="1" applyProtection="1">
      <protection hidden="1"/>
    </xf>
    <xf numFmtId="0" fontId="20" fillId="32" borderId="0" xfId="0" applyFont="1" applyFill="1" applyProtection="1">
      <protection hidden="1"/>
    </xf>
    <xf numFmtId="166" fontId="20" fillId="4" borderId="0" xfId="1" applyNumberFormat="1" applyFont="1" applyFill="1" applyBorder="1" applyAlignment="1" applyProtection="1">
      <alignment horizontal="right" vertical="center"/>
      <protection hidden="1"/>
    </xf>
    <xf numFmtId="166" fontId="20" fillId="4" borderId="0" xfId="1" applyNumberFormat="1" applyFont="1" applyFill="1" applyAlignment="1" applyProtection="1">
      <alignment vertical="center"/>
      <protection hidden="1"/>
    </xf>
    <xf numFmtId="166" fontId="20" fillId="32" borderId="0" xfId="1" applyNumberFormat="1" applyFont="1" applyFill="1" applyProtection="1">
      <protection hidden="1"/>
    </xf>
    <xf numFmtId="0" fontId="20" fillId="4" borderId="0" xfId="0" applyFont="1" applyFill="1" applyProtection="1">
      <protection hidden="1"/>
    </xf>
    <xf numFmtId="0" fontId="20" fillId="4" borderId="4" xfId="3" applyFont="1" applyFill="1" applyBorder="1" applyAlignment="1" applyProtection="1">
      <alignment vertical="center"/>
      <protection hidden="1"/>
    </xf>
    <xf numFmtId="0" fontId="23" fillId="4" borderId="3" xfId="3" applyFont="1" applyFill="1" applyBorder="1" applyAlignment="1" applyProtection="1">
      <alignment horizontal="right" vertical="center"/>
      <protection hidden="1"/>
    </xf>
    <xf numFmtId="166" fontId="16" fillId="4" borderId="3" xfId="1" applyNumberFormat="1" applyFont="1" applyFill="1" applyBorder="1" applyProtection="1">
      <protection hidden="1"/>
    </xf>
    <xf numFmtId="0" fontId="23" fillId="4" borderId="0" xfId="3" applyFont="1" applyFill="1" applyAlignment="1" applyProtection="1">
      <alignment horizontal="right" vertical="center"/>
      <protection hidden="1"/>
    </xf>
    <xf numFmtId="174" fontId="20" fillId="4" borderId="0" xfId="4" applyNumberFormat="1" applyFont="1" applyFill="1" applyBorder="1" applyAlignment="1" applyProtection="1">
      <alignment horizontal="right" vertical="center"/>
      <protection hidden="1"/>
    </xf>
    <xf numFmtId="0" fontId="23" fillId="4" borderId="0" xfId="0" applyFont="1" applyFill="1" applyProtection="1">
      <protection hidden="1"/>
    </xf>
    <xf numFmtId="0" fontId="0" fillId="4" borderId="0" xfId="0" applyFill="1" applyProtection="1">
      <protection hidden="1"/>
    </xf>
    <xf numFmtId="0" fontId="23" fillId="4" borderId="0" xfId="3" applyFont="1" applyFill="1" applyAlignment="1" applyProtection="1">
      <alignment vertical="center"/>
      <protection hidden="1"/>
    </xf>
    <xf numFmtId="43" fontId="20" fillId="4" borderId="0" xfId="1" applyFont="1" applyFill="1" applyAlignment="1" applyProtection="1">
      <alignment horizontal="center" vertical="center"/>
      <protection hidden="1"/>
    </xf>
    <xf numFmtId="43" fontId="10" fillId="4" borderId="0" xfId="1" applyFont="1" applyFill="1" applyBorder="1" applyProtection="1">
      <protection hidden="1"/>
    </xf>
    <xf numFmtId="43" fontId="20" fillId="4" borderId="0" xfId="1" applyFont="1" applyFill="1" applyBorder="1" applyAlignment="1" applyProtection="1">
      <alignment vertical="center"/>
      <protection hidden="1"/>
    </xf>
    <xf numFmtId="43" fontId="20" fillId="4" borderId="0" xfId="1" applyFont="1" applyFill="1" applyBorder="1" applyProtection="1">
      <protection hidden="1"/>
    </xf>
    <xf numFmtId="0" fontId="15" fillId="4" borderId="0" xfId="0" applyFont="1" applyFill="1" applyProtection="1">
      <protection hidden="1"/>
    </xf>
    <xf numFmtId="43" fontId="20" fillId="4" borderId="4" xfId="1" applyFont="1" applyFill="1" applyBorder="1" applyAlignment="1" applyProtection="1">
      <alignment horizontal="right" vertical="center"/>
      <protection hidden="1"/>
    </xf>
    <xf numFmtId="43" fontId="20" fillId="4" borderId="4" xfId="1" applyFont="1" applyFill="1" applyBorder="1" applyAlignment="1" applyProtection="1">
      <alignment vertical="center"/>
      <protection hidden="1"/>
    </xf>
    <xf numFmtId="43" fontId="20" fillId="32" borderId="4" xfId="1" applyFont="1" applyFill="1" applyBorder="1" applyProtection="1">
      <protection hidden="1"/>
    </xf>
    <xf numFmtId="0" fontId="23" fillId="4" borderId="4" xfId="3" applyFont="1" applyFill="1" applyBorder="1" applyAlignment="1" applyProtection="1">
      <alignment vertical="center"/>
      <protection hidden="1"/>
    </xf>
    <xf numFmtId="43" fontId="20" fillId="4" borderId="0" xfId="1" applyFont="1" applyFill="1" applyAlignment="1" applyProtection="1">
      <alignment horizontal="right" vertical="center"/>
      <protection hidden="1"/>
    </xf>
    <xf numFmtId="166" fontId="10" fillId="4" borderId="3" xfId="1" applyNumberFormat="1" applyFont="1" applyFill="1" applyBorder="1" applyProtection="1">
      <protection hidden="1"/>
    </xf>
    <xf numFmtId="166" fontId="10" fillId="4" borderId="0" xfId="1" applyNumberFormat="1" applyFont="1" applyFill="1" applyBorder="1" applyProtection="1">
      <protection hidden="1"/>
    </xf>
    <xf numFmtId="166" fontId="16" fillId="4" borderId="0" xfId="1" applyNumberFormat="1" applyFont="1" applyFill="1" applyBorder="1" applyProtection="1">
      <protection hidden="1"/>
    </xf>
    <xf numFmtId="0" fontId="10" fillId="0" borderId="0" xfId="0" applyFont="1" applyProtection="1">
      <protection hidden="1"/>
    </xf>
    <xf numFmtId="0" fontId="6" fillId="5" borderId="0" xfId="3" applyFont="1" applyFill="1" applyAlignment="1" applyProtection="1">
      <alignment horizontal="left" vertical="center" indent="1"/>
      <protection hidden="1"/>
    </xf>
    <xf numFmtId="0" fontId="22" fillId="5" borderId="0" xfId="3" applyFont="1" applyFill="1" applyAlignment="1" applyProtection="1">
      <alignment horizontal="left" vertical="center" indent="1"/>
      <protection hidden="1"/>
    </xf>
    <xf numFmtId="0" fontId="10" fillId="5" borderId="0" xfId="0" applyFont="1" applyFill="1" applyAlignment="1" applyProtection="1">
      <alignment vertical="center"/>
      <protection hidden="1"/>
    </xf>
    <xf numFmtId="0" fontId="6" fillId="6" borderId="0" xfId="3" applyFont="1" applyFill="1" applyAlignment="1" applyProtection="1">
      <alignment horizontal="left" vertical="center" indent="1"/>
      <protection hidden="1"/>
    </xf>
    <xf numFmtId="0" fontId="22" fillId="6" borderId="0" xfId="3" applyFont="1" applyFill="1" applyAlignment="1" applyProtection="1">
      <alignment horizontal="left" vertical="center" indent="1"/>
      <protection hidden="1"/>
    </xf>
    <xf numFmtId="0" fontId="16" fillId="5" borderId="0" xfId="3" applyFont="1" applyFill="1" applyProtection="1">
      <protection hidden="1"/>
    </xf>
    <xf numFmtId="0" fontId="49" fillId="5" borderId="0" xfId="3" applyFont="1" applyFill="1" applyProtection="1">
      <protection hidden="1"/>
    </xf>
    <xf numFmtId="0" fontId="49" fillId="5" borderId="0" xfId="3" applyFont="1" applyFill="1" applyAlignment="1" applyProtection="1">
      <alignment horizontal="right"/>
      <protection hidden="1"/>
    </xf>
    <xf numFmtId="0" fontId="22" fillId="5" borderId="0" xfId="3" applyFont="1" applyFill="1" applyAlignment="1" applyProtection="1">
      <alignment horizontal="left"/>
      <protection hidden="1"/>
    </xf>
    <xf numFmtId="0" fontId="10" fillId="6" borderId="0" xfId="27" applyFont="1" applyFill="1" applyAlignment="1" applyProtection="1">
      <alignment horizontal="right"/>
      <protection hidden="1"/>
    </xf>
    <xf numFmtId="0" fontId="23" fillId="6" borderId="8" xfId="3" applyFont="1" applyFill="1" applyBorder="1" applyAlignment="1" applyProtection="1">
      <alignment vertical="center"/>
      <protection hidden="1"/>
    </xf>
    <xf numFmtId="0" fontId="23" fillId="6" borderId="8" xfId="0" applyFont="1" applyFill="1" applyBorder="1" applyAlignment="1" applyProtection="1">
      <alignment horizontal="right" vertical="center"/>
      <protection hidden="1"/>
    </xf>
    <xf numFmtId="0" fontId="10" fillId="6" borderId="10" xfId="0" applyFont="1" applyFill="1" applyBorder="1" applyAlignment="1" applyProtection="1">
      <alignment horizontal="center" vertical="center"/>
      <protection hidden="1"/>
    </xf>
    <xf numFmtId="202" fontId="0" fillId="6" borderId="0" xfId="0" applyNumberFormat="1" applyFill="1" applyProtection="1">
      <protection hidden="1"/>
    </xf>
    <xf numFmtId="0" fontId="14" fillId="6" borderId="8" xfId="3" applyFont="1" applyFill="1" applyBorder="1" applyAlignment="1" applyProtection="1">
      <alignment vertical="center"/>
      <protection hidden="1"/>
    </xf>
    <xf numFmtId="49" fontId="0" fillId="6" borderId="4" xfId="1" applyNumberFormat="1" applyFont="1" applyFill="1" applyBorder="1" applyAlignment="1" applyProtection="1">
      <alignment horizontal="left" vertical="center"/>
      <protection hidden="1"/>
    </xf>
    <xf numFmtId="0" fontId="0" fillId="6" borderId="30" xfId="0" applyFill="1" applyBorder="1" applyProtection="1">
      <protection hidden="1"/>
    </xf>
    <xf numFmtId="9" fontId="36" fillId="6" borderId="0" xfId="2" applyFont="1" applyFill="1" applyBorder="1" applyProtection="1">
      <protection hidden="1"/>
    </xf>
    <xf numFmtId="0" fontId="36" fillId="6" borderId="4" xfId="0" applyFont="1" applyFill="1" applyBorder="1" applyProtection="1">
      <protection hidden="1"/>
    </xf>
    <xf numFmtId="9" fontId="36" fillId="6" borderId="4" xfId="2" applyFont="1" applyFill="1" applyBorder="1" applyProtection="1">
      <protection hidden="1"/>
    </xf>
    <xf numFmtId="0" fontId="23" fillId="6" borderId="8" xfId="0" applyFont="1" applyFill="1" applyBorder="1" applyAlignment="1" applyProtection="1">
      <alignment horizontal="left" vertical="center"/>
      <protection hidden="1"/>
    </xf>
    <xf numFmtId="0" fontId="46" fillId="6" borderId="8" xfId="0" applyFont="1" applyFill="1" applyBorder="1" applyAlignment="1" applyProtection="1">
      <alignment horizontal="right" vertical="center"/>
      <protection hidden="1"/>
    </xf>
    <xf numFmtId="0" fontId="23" fillId="6" borderId="8" xfId="0" applyFont="1" applyFill="1" applyBorder="1" applyAlignment="1" applyProtection="1">
      <alignment horizontal="center" vertical="center"/>
      <protection hidden="1"/>
    </xf>
    <xf numFmtId="0" fontId="20" fillId="6" borderId="0" xfId="3" applyFont="1" applyFill="1" applyAlignment="1" applyProtection="1">
      <alignment horizontal="right" vertical="center"/>
      <protection hidden="1"/>
    </xf>
    <xf numFmtId="0" fontId="140" fillId="0" borderId="0" xfId="0" applyFont="1" applyProtection="1">
      <protection hidden="1"/>
    </xf>
    <xf numFmtId="0" fontId="10" fillId="6" borderId="4" xfId="0" applyFont="1" applyFill="1" applyBorder="1" applyProtection="1">
      <protection hidden="1"/>
    </xf>
    <xf numFmtId="0" fontId="20" fillId="6" borderId="4" xfId="3" applyFont="1" applyFill="1" applyBorder="1" applyAlignment="1" applyProtection="1">
      <alignment horizontal="right" vertical="center"/>
      <protection hidden="1"/>
    </xf>
    <xf numFmtId="172" fontId="45" fillId="6" borderId="0" xfId="4" applyFont="1" applyFill="1" applyBorder="1" applyAlignment="1" applyProtection="1">
      <alignment vertical="center"/>
      <protection hidden="1"/>
    </xf>
    <xf numFmtId="0" fontId="3" fillId="6" borderId="0" xfId="0" applyFont="1" applyFill="1" applyAlignment="1" applyProtection="1">
      <alignment horizontal="right" vertical="center"/>
      <protection hidden="1"/>
    </xf>
    <xf numFmtId="172" fontId="0" fillId="6" borderId="0" xfId="4" applyFont="1" applyFill="1" applyBorder="1" applyAlignment="1" applyProtection="1">
      <alignment vertical="center"/>
      <protection hidden="1"/>
    </xf>
    <xf numFmtId="0" fontId="14" fillId="6" borderId="8" xfId="0" applyFont="1" applyFill="1" applyBorder="1" applyAlignment="1" applyProtection="1">
      <alignment horizontal="left" vertical="center"/>
      <protection hidden="1"/>
    </xf>
    <xf numFmtId="0" fontId="14" fillId="6" borderId="8" xfId="0" applyFont="1" applyFill="1" applyBorder="1" applyAlignment="1" applyProtection="1">
      <alignment horizontal="center" vertical="center"/>
      <protection hidden="1"/>
    </xf>
    <xf numFmtId="176" fontId="2" fillId="6" borderId="0" xfId="6" applyFont="1" applyFill="1" applyBorder="1" applyAlignment="1" applyProtection="1">
      <alignment horizontal="right" vertical="center"/>
      <protection hidden="1"/>
    </xf>
    <xf numFmtId="166" fontId="20" fillId="6" borderId="0" xfId="1" applyNumberFormat="1" applyFont="1" applyFill="1" applyBorder="1" applyAlignment="1" applyProtection="1">
      <alignment horizontal="center" vertical="center"/>
      <protection hidden="1"/>
    </xf>
    <xf numFmtId="172" fontId="0" fillId="6" borderId="0" xfId="4" applyFont="1" applyFill="1" applyBorder="1" applyAlignment="1" applyProtection="1">
      <alignment horizontal="right" vertical="center"/>
      <protection hidden="1"/>
    </xf>
    <xf numFmtId="179" fontId="0" fillId="6" borderId="75" xfId="4" applyNumberFormat="1" applyFont="1" applyFill="1" applyBorder="1" applyAlignment="1" applyProtection="1">
      <alignment horizontal="center" vertical="center"/>
      <protection hidden="1"/>
    </xf>
    <xf numFmtId="0" fontId="1" fillId="6" borderId="11" xfId="3" applyFont="1" applyFill="1" applyBorder="1" applyAlignment="1" applyProtection="1">
      <alignment vertical="center"/>
      <protection hidden="1"/>
    </xf>
    <xf numFmtId="172" fontId="14" fillId="6" borderId="0" xfId="4" applyFont="1" applyFill="1" applyBorder="1" applyAlignment="1" applyProtection="1">
      <alignment horizontal="right" vertical="center"/>
      <protection hidden="1"/>
    </xf>
    <xf numFmtId="172" fontId="46" fillId="6" borderId="0" xfId="4" applyFont="1" applyFill="1" applyBorder="1" applyAlignment="1" applyProtection="1">
      <alignment horizontal="left" vertical="center"/>
      <protection hidden="1"/>
    </xf>
    <xf numFmtId="11" fontId="0" fillId="6" borderId="0" xfId="1" applyNumberFormat="1" applyFont="1" applyFill="1" applyBorder="1" applyAlignment="1" applyProtection="1">
      <alignment vertical="center"/>
      <protection hidden="1"/>
    </xf>
    <xf numFmtId="43" fontId="20" fillId="6" borderId="0" xfId="1" applyFont="1" applyFill="1" applyBorder="1" applyAlignment="1" applyProtection="1">
      <alignment horizontal="center" vertical="center"/>
      <protection hidden="1"/>
    </xf>
    <xf numFmtId="0" fontId="21" fillId="3" borderId="0" xfId="0" applyFont="1" applyFill="1" applyProtection="1">
      <protection hidden="1"/>
    </xf>
    <xf numFmtId="0" fontId="10" fillId="3" borderId="0" xfId="0" applyFont="1" applyFill="1" applyProtection="1">
      <protection hidden="1"/>
    </xf>
    <xf numFmtId="0" fontId="16" fillId="3" borderId="0" xfId="0" applyFont="1" applyFill="1" applyProtection="1">
      <protection hidden="1"/>
    </xf>
    <xf numFmtId="0" fontId="2" fillId="4" borderId="0" xfId="0" applyFont="1" applyFill="1" applyProtection="1">
      <protection hidden="1"/>
    </xf>
    <xf numFmtId="0" fontId="14" fillId="4" borderId="0" xfId="0" applyFont="1" applyFill="1" applyAlignment="1" applyProtection="1">
      <alignment horizontal="left" vertical="center"/>
      <protection hidden="1"/>
    </xf>
    <xf numFmtId="0" fontId="23" fillId="4" borderId="0" xfId="0" applyFont="1" applyFill="1" applyAlignment="1" applyProtection="1">
      <alignment horizontal="right"/>
      <protection hidden="1"/>
    </xf>
    <xf numFmtId="0" fontId="63" fillId="32" borderId="24" xfId="0" applyFont="1" applyFill="1" applyBorder="1" applyAlignment="1" applyProtection="1">
      <alignment vertical="center"/>
      <protection hidden="1"/>
    </xf>
    <xf numFmtId="166" fontId="20" fillId="4" borderId="0" xfId="1" applyNumberFormat="1" applyFont="1" applyFill="1" applyBorder="1" applyAlignment="1" applyProtection="1">
      <alignment horizontal="center" vertical="center"/>
      <protection hidden="1"/>
    </xf>
    <xf numFmtId="0" fontId="14" fillId="4" borderId="3" xfId="0" applyFont="1" applyFill="1" applyBorder="1" applyAlignment="1" applyProtection="1">
      <alignment horizontal="left" vertical="center"/>
      <protection hidden="1"/>
    </xf>
    <xf numFmtId="3" fontId="14" fillId="4" borderId="3" xfId="0" applyNumberFormat="1" applyFont="1" applyFill="1" applyBorder="1" applyAlignment="1" applyProtection="1">
      <alignment horizontal="center" vertical="center"/>
      <protection hidden="1"/>
    </xf>
    <xf numFmtId="3" fontId="12" fillId="4" borderId="0" xfId="0" applyNumberFormat="1" applyFont="1" applyFill="1" applyAlignment="1" applyProtection="1">
      <alignment horizontal="center" vertical="center"/>
      <protection hidden="1"/>
    </xf>
    <xf numFmtId="3" fontId="14" fillId="4" borderId="0" xfId="0" applyNumberFormat="1" applyFont="1" applyFill="1" applyAlignment="1" applyProtection="1">
      <alignment horizontal="center" vertical="center"/>
      <protection hidden="1"/>
    </xf>
    <xf numFmtId="0" fontId="21" fillId="8" borderId="0" xfId="0" applyFont="1" applyFill="1" applyProtection="1">
      <protection hidden="1"/>
    </xf>
    <xf numFmtId="0" fontId="2" fillId="8" borderId="0" xfId="0" applyFont="1" applyFill="1" applyProtection="1">
      <protection hidden="1"/>
    </xf>
    <xf numFmtId="0" fontId="10" fillId="9" borderId="0" xfId="0" applyFont="1" applyFill="1" applyProtection="1">
      <protection hidden="1"/>
    </xf>
    <xf numFmtId="0" fontId="16" fillId="8" borderId="0" xfId="0" applyFont="1" applyFill="1" applyProtection="1">
      <protection hidden="1"/>
    </xf>
    <xf numFmtId="0" fontId="16" fillId="9" borderId="0" xfId="0" applyFont="1" applyFill="1" applyProtection="1">
      <protection hidden="1"/>
    </xf>
    <xf numFmtId="0" fontId="16" fillId="9" borderId="0" xfId="0" applyFont="1" applyFill="1" applyAlignment="1" applyProtection="1">
      <alignment horizontal="left"/>
      <protection hidden="1"/>
    </xf>
    <xf numFmtId="0" fontId="16" fillId="9" borderId="0" xfId="0" applyFont="1" applyFill="1" applyAlignment="1" applyProtection="1">
      <alignment horizontal="right"/>
      <protection hidden="1"/>
    </xf>
    <xf numFmtId="0" fontId="3" fillId="9" borderId="8" xfId="0" applyFont="1" applyFill="1" applyBorder="1" applyAlignment="1" applyProtection="1">
      <alignment horizontal="left" vertical="center"/>
      <protection hidden="1"/>
    </xf>
    <xf numFmtId="0" fontId="23" fillId="9" borderId="8" xfId="0" applyFont="1" applyFill="1" applyBorder="1" applyAlignment="1" applyProtection="1">
      <alignment horizontal="center" vertical="center"/>
      <protection hidden="1"/>
    </xf>
    <xf numFmtId="0" fontId="3" fillId="9" borderId="0" xfId="0" applyFont="1" applyFill="1" applyAlignment="1" applyProtection="1">
      <alignment horizontal="left" vertical="center"/>
      <protection hidden="1"/>
    </xf>
    <xf numFmtId="43" fontId="23" fillId="9" borderId="0" xfId="1" applyFont="1" applyFill="1" applyBorder="1" applyAlignment="1" applyProtection="1">
      <alignment horizontal="center" vertical="center"/>
      <protection hidden="1"/>
    </xf>
    <xf numFmtId="0" fontId="144" fillId="9" borderId="0" xfId="0" applyFont="1" applyFill="1" applyAlignment="1" applyProtection="1">
      <alignment horizontal="center"/>
      <protection hidden="1"/>
    </xf>
    <xf numFmtId="43" fontId="144" fillId="9" borderId="0" xfId="1" applyFont="1" applyFill="1" applyAlignment="1" applyProtection="1">
      <alignment horizontal="center"/>
      <protection hidden="1"/>
    </xf>
    <xf numFmtId="0" fontId="3" fillId="9" borderId="4" xfId="0" applyFont="1" applyFill="1" applyBorder="1" applyAlignment="1" applyProtection="1">
      <alignment horizontal="right"/>
      <protection hidden="1"/>
    </xf>
    <xf numFmtId="43" fontId="16" fillId="9" borderId="4" xfId="1" applyFont="1" applyFill="1" applyBorder="1" applyAlignment="1" applyProtection="1">
      <alignment horizontal="center"/>
      <protection hidden="1"/>
    </xf>
    <xf numFmtId="43" fontId="23" fillId="9" borderId="4" xfId="1" applyFont="1" applyFill="1" applyBorder="1" applyAlignment="1" applyProtection="1">
      <alignment horizontal="center" vertical="center"/>
      <protection hidden="1"/>
    </xf>
    <xf numFmtId="0" fontId="3" fillId="9" borderId="3" xfId="0" applyFont="1" applyFill="1" applyBorder="1" applyAlignment="1" applyProtection="1">
      <alignment horizontal="right"/>
      <protection hidden="1"/>
    </xf>
    <xf numFmtId="43" fontId="16" fillId="9" borderId="3" xfId="1" applyFont="1" applyFill="1" applyBorder="1" applyAlignment="1" applyProtection="1">
      <alignment horizontal="center"/>
      <protection hidden="1"/>
    </xf>
    <xf numFmtId="0" fontId="23" fillId="9" borderId="0" xfId="0" applyFont="1" applyFill="1" applyAlignment="1" applyProtection="1">
      <alignment horizontal="center" vertical="center"/>
      <protection hidden="1"/>
    </xf>
    <xf numFmtId="43" fontId="10" fillId="9" borderId="0" xfId="1" applyFont="1" applyFill="1" applyProtection="1">
      <protection hidden="1"/>
    </xf>
    <xf numFmtId="43" fontId="20" fillId="9" borderId="0" xfId="1" applyFont="1" applyFill="1" applyBorder="1" applyAlignment="1" applyProtection="1">
      <alignment horizontal="center" vertical="center"/>
      <protection hidden="1"/>
    </xf>
    <xf numFmtId="43" fontId="16" fillId="9" borderId="4" xfId="1" applyFont="1" applyFill="1" applyBorder="1" applyProtection="1">
      <protection hidden="1"/>
    </xf>
    <xf numFmtId="0" fontId="3" fillId="9" borderId="0" xfId="0" applyFont="1" applyFill="1" applyAlignment="1" applyProtection="1">
      <alignment horizontal="right"/>
      <protection hidden="1"/>
    </xf>
    <xf numFmtId="43" fontId="16" fillId="9" borderId="0" xfId="1" applyFont="1" applyFill="1" applyBorder="1" applyAlignment="1" applyProtection="1">
      <alignment horizontal="center"/>
      <protection hidden="1"/>
    </xf>
    <xf numFmtId="0" fontId="21" fillId="10" borderId="0" xfId="0" applyFont="1" applyFill="1" applyProtection="1">
      <protection hidden="1"/>
    </xf>
    <xf numFmtId="0" fontId="10" fillId="10" borderId="0" xfId="0" applyFont="1" applyFill="1" applyProtection="1">
      <protection hidden="1"/>
    </xf>
    <xf numFmtId="0" fontId="10" fillId="11" borderId="0" xfId="0" applyFont="1" applyFill="1" applyProtection="1">
      <protection hidden="1"/>
    </xf>
    <xf numFmtId="0" fontId="16" fillId="11" borderId="0" xfId="0" applyFont="1" applyFill="1" applyProtection="1">
      <protection hidden="1"/>
    </xf>
    <xf numFmtId="0" fontId="23" fillId="11" borderId="12" xfId="0" applyFont="1" applyFill="1" applyBorder="1" applyAlignment="1" applyProtection="1">
      <alignment horizontal="center" vertical="center"/>
      <protection hidden="1"/>
    </xf>
    <xf numFmtId="0" fontId="23" fillId="11" borderId="0" xfId="0" applyFont="1" applyFill="1" applyAlignment="1" applyProtection="1">
      <alignment horizontal="center" vertical="center"/>
      <protection hidden="1"/>
    </xf>
    <xf numFmtId="0" fontId="10" fillId="11" borderId="11" xfId="0" applyFont="1" applyFill="1" applyBorder="1" applyAlignment="1" applyProtection="1">
      <alignment horizontal="center"/>
      <protection hidden="1"/>
    </xf>
    <xf numFmtId="0" fontId="10" fillId="11" borderId="0" xfId="0" applyFont="1" applyFill="1" applyAlignment="1" applyProtection="1">
      <alignment horizontal="center"/>
      <protection hidden="1"/>
    </xf>
    <xf numFmtId="0" fontId="2" fillId="11" borderId="0" xfId="0" applyFont="1" applyFill="1" applyProtection="1">
      <protection hidden="1"/>
    </xf>
    <xf numFmtId="0" fontId="45" fillId="0" borderId="0" xfId="0" applyFont="1" applyProtection="1">
      <protection hidden="1"/>
    </xf>
    <xf numFmtId="0" fontId="16" fillId="0" borderId="0" xfId="0" applyFont="1" applyAlignment="1" applyProtection="1">
      <alignment horizontal="right"/>
      <protection hidden="1"/>
    </xf>
    <xf numFmtId="0" fontId="3" fillId="2" borderId="3" xfId="0" applyFont="1" applyFill="1" applyBorder="1" applyProtection="1">
      <protection hidden="1"/>
    </xf>
    <xf numFmtId="0" fontId="3" fillId="2" borderId="3" xfId="0" applyFont="1" applyFill="1" applyBorder="1" applyAlignment="1" applyProtection="1">
      <alignment horizontal="left" vertical="center"/>
      <protection hidden="1"/>
    </xf>
    <xf numFmtId="0" fontId="0" fillId="2" borderId="3" xfId="0" applyFill="1" applyBorder="1" applyProtection="1">
      <protection hidden="1"/>
    </xf>
    <xf numFmtId="11" fontId="10" fillId="2" borderId="3" xfId="0" applyNumberFormat="1" applyFont="1" applyFill="1" applyBorder="1" applyProtection="1">
      <protection hidden="1"/>
    </xf>
    <xf numFmtId="0" fontId="0" fillId="0" borderId="0" xfId="0" applyAlignment="1" applyProtection="1">
      <alignment horizontal="left" vertical="center"/>
      <protection hidden="1"/>
    </xf>
    <xf numFmtId="11" fontId="10" fillId="0" borderId="0" xfId="0" applyNumberFormat="1" applyFont="1" applyProtection="1">
      <protection hidden="1"/>
    </xf>
    <xf numFmtId="0" fontId="0" fillId="0" borderId="4" xfId="0" applyBorder="1" applyAlignment="1" applyProtection="1">
      <alignment horizontal="left" vertical="center"/>
      <protection hidden="1"/>
    </xf>
    <xf numFmtId="0" fontId="0" fillId="0" borderId="4" xfId="0" applyBorder="1" applyProtection="1">
      <protection hidden="1"/>
    </xf>
    <xf numFmtId="11" fontId="10" fillId="0" borderId="4" xfId="0" applyNumberFormat="1" applyFont="1" applyBorder="1" applyProtection="1">
      <protection hidden="1"/>
    </xf>
    <xf numFmtId="3" fontId="10" fillId="0" borderId="0" xfId="0" applyNumberFormat="1" applyFont="1" applyProtection="1">
      <protection hidden="1"/>
    </xf>
    <xf numFmtId="0" fontId="0" fillId="0" borderId="0" xfId="0" applyAlignment="1" applyProtection="1">
      <alignment horizontal="left" vertical="center" indent="3"/>
      <protection hidden="1"/>
    </xf>
    <xf numFmtId="173" fontId="10" fillId="0" borderId="0" xfId="0" applyNumberFormat="1" applyFont="1" applyProtection="1">
      <protection hidden="1"/>
    </xf>
    <xf numFmtId="0" fontId="3" fillId="0" borderId="0" xfId="0" applyFont="1" applyAlignment="1" applyProtection="1">
      <alignment horizontal="right"/>
      <protection hidden="1"/>
    </xf>
    <xf numFmtId="0" fontId="0" fillId="0" borderId="0" xfId="0" applyAlignment="1" applyProtection="1">
      <alignment horizontal="right"/>
      <protection hidden="1"/>
    </xf>
    <xf numFmtId="0" fontId="26" fillId="0" borderId="0" xfId="0" applyFont="1" applyAlignment="1" applyProtection="1">
      <alignment horizontal="left" vertical="center" wrapText="1"/>
      <protection hidden="1"/>
    </xf>
    <xf numFmtId="0" fontId="16" fillId="0" borderId="0" xfId="0" applyFont="1" applyAlignment="1" applyProtection="1">
      <alignment horizontal="right" vertical="center"/>
      <protection hidden="1"/>
    </xf>
    <xf numFmtId="1" fontId="10" fillId="0" borderId="0" xfId="0" applyNumberFormat="1" applyFont="1" applyProtection="1">
      <protection hidden="1"/>
    </xf>
    <xf numFmtId="0" fontId="45" fillId="2" borderId="3" xfId="0" applyFont="1" applyFill="1" applyBorder="1" applyProtection="1">
      <protection hidden="1"/>
    </xf>
    <xf numFmtId="173" fontId="16" fillId="2" borderId="3" xfId="0" applyNumberFormat="1" applyFont="1" applyFill="1" applyBorder="1" applyProtection="1">
      <protection hidden="1"/>
    </xf>
    <xf numFmtId="0" fontId="26" fillId="0" borderId="0" xfId="0" applyFont="1" applyProtection="1">
      <protection hidden="1"/>
    </xf>
    <xf numFmtId="173" fontId="16" fillId="0" borderId="0" xfId="0" applyNumberFormat="1" applyFont="1" applyProtection="1">
      <protection hidden="1"/>
    </xf>
    <xf numFmtId="204" fontId="0" fillId="0" borderId="0" xfId="0" applyNumberFormat="1" applyProtection="1">
      <protection hidden="1"/>
    </xf>
    <xf numFmtId="205" fontId="0" fillId="0" borderId="0" xfId="0" applyNumberFormat="1" applyProtection="1">
      <protection hidden="1"/>
    </xf>
    <xf numFmtId="0" fontId="3" fillId="0" borderId="3" xfId="0" applyFont="1" applyBorder="1" applyAlignment="1" applyProtection="1">
      <alignment horizontal="right"/>
      <protection hidden="1"/>
    </xf>
    <xf numFmtId="0" fontId="14" fillId="0" borderId="3" xfId="0" applyFont="1" applyBorder="1" applyProtection="1">
      <protection hidden="1"/>
    </xf>
    <xf numFmtId="166" fontId="16" fillId="0" borderId="3" xfId="1" applyNumberFormat="1" applyFont="1" applyBorder="1" applyProtection="1">
      <protection hidden="1"/>
    </xf>
    <xf numFmtId="166" fontId="3" fillId="0" borderId="3" xfId="1" applyNumberFormat="1" applyFont="1" applyBorder="1" applyProtection="1">
      <protection hidden="1"/>
    </xf>
    <xf numFmtId="0" fontId="26" fillId="2" borderId="0" xfId="0" applyFont="1" applyFill="1" applyAlignment="1" applyProtection="1">
      <alignment horizontal="left" vertical="center" wrapText="1"/>
      <protection hidden="1"/>
    </xf>
    <xf numFmtId="173" fontId="10" fillId="2" borderId="0" xfId="0" applyNumberFormat="1" applyFont="1" applyFill="1" applyProtection="1">
      <protection hidden="1"/>
    </xf>
    <xf numFmtId="166" fontId="0" fillId="0" borderId="0" xfId="1" applyNumberFormat="1" applyFont="1" applyAlignment="1" applyProtection="1">
      <alignment horizontal="right"/>
      <protection hidden="1"/>
    </xf>
    <xf numFmtId="0" fontId="0" fillId="0" borderId="0" xfId="0" applyAlignment="1" applyProtection="1">
      <alignment horizontal="left" indent="3"/>
      <protection hidden="1"/>
    </xf>
    <xf numFmtId="0" fontId="3" fillId="0" borderId="0" xfId="0" applyFont="1" applyAlignment="1" applyProtection="1">
      <alignment horizontal="left" indent="3"/>
      <protection hidden="1"/>
    </xf>
    <xf numFmtId="11" fontId="0" fillId="0" borderId="0" xfId="0" applyNumberFormat="1" applyAlignment="1" applyProtection="1">
      <alignment horizontal="right"/>
      <protection hidden="1"/>
    </xf>
    <xf numFmtId="166" fontId="16" fillId="2" borderId="3" xfId="1" applyNumberFormat="1" applyFont="1" applyFill="1" applyBorder="1" applyProtection="1">
      <protection hidden="1"/>
    </xf>
    <xf numFmtId="43" fontId="0" fillId="0" borderId="0" xfId="1" applyFont="1" applyAlignment="1" applyProtection="1">
      <alignment horizontal="right"/>
      <protection hidden="1"/>
    </xf>
    <xf numFmtId="0" fontId="0" fillId="0" borderId="0" xfId="0" applyAlignment="1" applyProtection="1">
      <alignment vertical="center"/>
      <protection hidden="1"/>
    </xf>
    <xf numFmtId="0" fontId="36" fillId="0" borderId="0" xfId="0" applyFont="1" applyProtection="1">
      <protection hidden="1"/>
    </xf>
    <xf numFmtId="43" fontId="36" fillId="0" borderId="0" xfId="1" applyFont="1" applyAlignment="1" applyProtection="1">
      <alignment horizontal="right"/>
      <protection hidden="1"/>
    </xf>
    <xf numFmtId="165" fontId="36" fillId="0" borderId="0" xfId="1" applyNumberFormat="1" applyFont="1" applyAlignment="1" applyProtection="1">
      <alignment horizontal="right"/>
      <protection hidden="1"/>
    </xf>
    <xf numFmtId="0" fontId="26" fillId="2" borderId="0" xfId="0" applyFont="1" applyFill="1" applyProtection="1">
      <protection hidden="1"/>
    </xf>
    <xf numFmtId="0" fontId="16" fillId="0" borderId="0" xfId="0" applyFont="1" applyProtection="1">
      <protection hidden="1"/>
    </xf>
    <xf numFmtId="0" fontId="16" fillId="2" borderId="9" xfId="0" applyFont="1" applyFill="1" applyBorder="1" applyProtection="1">
      <protection hidden="1"/>
    </xf>
    <xf numFmtId="0" fontId="10" fillId="2" borderId="9" xfId="0" applyFont="1" applyFill="1" applyBorder="1" applyAlignment="1" applyProtection="1">
      <alignment vertical="center"/>
      <protection hidden="1"/>
    </xf>
    <xf numFmtId="0" fontId="10" fillId="2" borderId="9" xfId="0" applyFont="1" applyFill="1" applyBorder="1" applyProtection="1">
      <protection hidden="1"/>
    </xf>
    <xf numFmtId="0" fontId="10" fillId="2" borderId="0" xfId="0" applyFont="1" applyFill="1" applyAlignment="1" applyProtection="1">
      <alignment vertical="center"/>
      <protection hidden="1"/>
    </xf>
    <xf numFmtId="0" fontId="10" fillId="2" borderId="0" xfId="0" applyFont="1" applyFill="1" applyAlignment="1" applyProtection="1">
      <alignment horizontal="right"/>
      <protection hidden="1"/>
    </xf>
    <xf numFmtId="0" fontId="139" fillId="0" borderId="0" xfId="0" applyFont="1" applyProtection="1">
      <protection hidden="1"/>
    </xf>
    <xf numFmtId="166" fontId="0" fillId="0" borderId="0" xfId="0" applyNumberFormat="1" applyAlignment="1" applyProtection="1">
      <alignment horizontal="right"/>
      <protection hidden="1"/>
    </xf>
    <xf numFmtId="173" fontId="0" fillId="0" borderId="0" xfId="0" applyNumberFormat="1" applyAlignment="1" applyProtection="1">
      <alignment horizontal="right"/>
      <protection hidden="1"/>
    </xf>
    <xf numFmtId="166" fontId="0" fillId="0" borderId="0" xfId="1" applyNumberFormat="1" applyFont="1" applyAlignment="1" applyProtection="1">
      <alignment vertical="center"/>
      <protection hidden="1"/>
    </xf>
    <xf numFmtId="165" fontId="0" fillId="0" borderId="0" xfId="0" applyNumberFormat="1" applyAlignment="1" applyProtection="1">
      <alignment vertical="center"/>
      <protection hidden="1"/>
    </xf>
    <xf numFmtId="166" fontId="10" fillId="2" borderId="9" xfId="1" applyNumberFormat="1" applyFont="1" applyFill="1" applyBorder="1" applyProtection="1">
      <protection hidden="1"/>
    </xf>
    <xf numFmtId="166" fontId="10" fillId="2" borderId="0" xfId="1" applyNumberFormat="1" applyFont="1" applyFill="1" applyBorder="1" applyProtection="1">
      <protection hidden="1"/>
    </xf>
    <xf numFmtId="166" fontId="10" fillId="2" borderId="0" xfId="1" applyNumberFormat="1" applyFont="1" applyFill="1" applyBorder="1" applyAlignment="1" applyProtection="1">
      <alignment horizontal="right"/>
      <protection hidden="1"/>
    </xf>
    <xf numFmtId="0" fontId="3" fillId="0" borderId="3" xfId="0" applyFont="1" applyBorder="1" applyAlignment="1" applyProtection="1">
      <alignment vertical="center"/>
      <protection hidden="1"/>
    </xf>
    <xf numFmtId="166" fontId="3" fillId="0" borderId="3" xfId="0" applyNumberFormat="1" applyFont="1" applyBorder="1" applyAlignment="1" applyProtection="1">
      <alignment vertical="center"/>
      <protection hidden="1"/>
    </xf>
    <xf numFmtId="166" fontId="3" fillId="0" borderId="0" xfId="0" applyNumberFormat="1" applyFont="1" applyAlignment="1" applyProtection="1">
      <alignment vertical="center"/>
      <protection hidden="1"/>
    </xf>
    <xf numFmtId="166" fontId="3" fillId="2" borderId="3" xfId="1" applyNumberFormat="1" applyFont="1" applyFill="1" applyBorder="1" applyProtection="1">
      <protection hidden="1"/>
    </xf>
    <xf numFmtId="166" fontId="0" fillId="2" borderId="3" xfId="1" applyNumberFormat="1" applyFont="1" applyFill="1" applyBorder="1" applyProtection="1">
      <protection hidden="1"/>
    </xf>
    <xf numFmtId="166" fontId="10" fillId="2" borderId="3" xfId="1" applyNumberFormat="1" applyFont="1" applyFill="1" applyBorder="1" applyProtection="1">
      <protection hidden="1"/>
    </xf>
    <xf numFmtId="166" fontId="10" fillId="0" borderId="3" xfId="1" applyNumberFormat="1" applyFont="1" applyBorder="1" applyProtection="1">
      <protection hidden="1"/>
    </xf>
    <xf numFmtId="0" fontId="14" fillId="6" borderId="25" xfId="0" applyFont="1" applyFill="1" applyBorder="1" applyAlignment="1">
      <alignment horizontal="left" vertical="center"/>
    </xf>
    <xf numFmtId="0" fontId="148" fillId="37" borderId="4" xfId="0" applyFont="1" applyFill="1" applyBorder="1"/>
    <xf numFmtId="43" fontId="16" fillId="6" borderId="0" xfId="1" applyFont="1" applyFill="1" applyBorder="1" applyAlignment="1" applyProtection="1">
      <alignment horizontal="right"/>
      <protection hidden="1"/>
    </xf>
    <xf numFmtId="0" fontId="148" fillId="37" borderId="0" xfId="0" applyFont="1" applyFill="1"/>
    <xf numFmtId="0" fontId="149" fillId="37" borderId="0" xfId="0" applyFont="1" applyFill="1"/>
    <xf numFmtId="0" fontId="14" fillId="11" borderId="4" xfId="3" applyFont="1" applyFill="1" applyBorder="1" applyAlignment="1">
      <alignment vertical="center"/>
    </xf>
    <xf numFmtId="43" fontId="149" fillId="37" borderId="0" xfId="1" applyFont="1" applyFill="1" applyBorder="1" applyAlignment="1">
      <alignment horizontal="center"/>
    </xf>
    <xf numFmtId="43" fontId="149" fillId="37" borderId="0" xfId="1" applyFont="1" applyFill="1" applyBorder="1"/>
    <xf numFmtId="43" fontId="149" fillId="20" borderId="0" xfId="1" applyFont="1" applyFill="1" applyBorder="1"/>
    <xf numFmtId="43" fontId="0" fillId="6" borderId="0" xfId="1" applyFont="1" applyFill="1" applyBorder="1"/>
    <xf numFmtId="43" fontId="149" fillId="20" borderId="4" xfId="1" applyFont="1" applyFill="1" applyBorder="1"/>
    <xf numFmtId="0" fontId="64" fillId="6" borderId="0" xfId="0" applyFont="1" applyFill="1" applyAlignment="1" applyProtection="1">
      <alignment horizontal="left" vertical="center"/>
      <protection hidden="1"/>
    </xf>
    <xf numFmtId="0" fontId="3" fillId="6" borderId="4" xfId="0" applyFont="1" applyFill="1" applyBorder="1" applyAlignment="1">
      <alignment horizontal="center" wrapText="1"/>
    </xf>
    <xf numFmtId="0" fontId="3" fillId="6" borderId="4" xfId="0" applyFont="1" applyFill="1" applyBorder="1"/>
    <xf numFmtId="166" fontId="0" fillId="6" borderId="0" xfId="1" applyNumberFormat="1" applyFont="1" applyFill="1"/>
    <xf numFmtId="166" fontId="0" fillId="6" borderId="4" xfId="1" applyNumberFormat="1" applyFont="1" applyFill="1" applyBorder="1"/>
    <xf numFmtId="172" fontId="20" fillId="6" borderId="11" xfId="4" applyFont="1" applyFill="1" applyBorder="1" applyProtection="1">
      <protection locked="0"/>
    </xf>
    <xf numFmtId="178" fontId="20" fillId="6" borderId="0" xfId="4" applyNumberFormat="1" applyFont="1" applyFill="1" applyBorder="1" applyProtection="1">
      <protection locked="0"/>
    </xf>
    <xf numFmtId="179" fontId="20" fillId="6" borderId="0" xfId="4" applyNumberFormat="1" applyFont="1" applyFill="1" applyBorder="1" applyProtection="1">
      <protection locked="0"/>
    </xf>
    <xf numFmtId="189" fontId="32" fillId="2" borderId="0" xfId="21" applyNumberFormat="1" applyFont="1" applyFill="1" applyAlignment="1">
      <alignment horizontal="right" vertical="center"/>
    </xf>
    <xf numFmtId="189" fontId="0" fillId="2" borderId="0" xfId="4" applyNumberFormat="1" applyFont="1" applyFill="1" applyBorder="1" applyAlignment="1">
      <alignment vertical="center"/>
    </xf>
    <xf numFmtId="198" fontId="0" fillId="6" borderId="0" xfId="1" applyNumberFormat="1" applyFont="1" applyFill="1" applyBorder="1" applyAlignment="1">
      <alignment horizontal="right" vertical="center"/>
    </xf>
    <xf numFmtId="198" fontId="0" fillId="6" borderId="4" xfId="1" applyNumberFormat="1" applyFont="1" applyFill="1" applyBorder="1" applyAlignment="1">
      <alignment horizontal="right" vertical="center"/>
    </xf>
    <xf numFmtId="43" fontId="0" fillId="6" borderId="4" xfId="1" applyFont="1" applyFill="1" applyBorder="1"/>
    <xf numFmtId="0" fontId="14" fillId="6" borderId="3" xfId="0" applyFont="1" applyFill="1" applyBorder="1" applyAlignment="1">
      <alignment horizontal="right" vertical="center"/>
    </xf>
    <xf numFmtId="0" fontId="16" fillId="6" borderId="3" xfId="0" applyFont="1" applyFill="1" applyBorder="1"/>
    <xf numFmtId="43" fontId="16" fillId="6" borderId="3" xfId="1" applyFont="1" applyFill="1" applyBorder="1"/>
    <xf numFmtId="43" fontId="10" fillId="11" borderId="11" xfId="1" applyFont="1" applyFill="1" applyBorder="1" applyAlignment="1">
      <alignment horizontal="center"/>
    </xf>
    <xf numFmtId="43" fontId="10" fillId="11" borderId="0" xfId="1" applyFont="1" applyFill="1" applyAlignment="1">
      <alignment horizontal="center"/>
    </xf>
    <xf numFmtId="43" fontId="10" fillId="11" borderId="4" xfId="1" applyFont="1" applyFill="1" applyBorder="1" applyAlignment="1">
      <alignment horizontal="center"/>
    </xf>
    <xf numFmtId="172" fontId="0" fillId="11" borderId="9" xfId="4" applyFont="1" applyFill="1" applyBorder="1" applyAlignment="1">
      <alignment vertical="center"/>
    </xf>
    <xf numFmtId="166" fontId="23" fillId="20" borderId="3" xfId="1" applyNumberFormat="1" applyFont="1" applyFill="1" applyBorder="1" applyAlignment="1">
      <alignment horizontal="right" vertical="center"/>
    </xf>
    <xf numFmtId="166" fontId="23" fillId="6" borderId="3" xfId="1" applyNumberFormat="1" applyFont="1" applyFill="1" applyBorder="1" applyAlignment="1">
      <alignment horizontal="right" vertical="center"/>
    </xf>
    <xf numFmtId="166" fontId="23" fillId="6" borderId="3" xfId="1" applyNumberFormat="1" applyFont="1" applyFill="1" applyBorder="1" applyAlignment="1" applyProtection="1">
      <alignment horizontal="right" vertical="center"/>
    </xf>
    <xf numFmtId="0" fontId="12" fillId="11" borderId="4" xfId="0" applyFont="1" applyFill="1" applyBorder="1" applyAlignment="1">
      <alignment horizontal="center"/>
    </xf>
    <xf numFmtId="2" fontId="20" fillId="2" borderId="0" xfId="0" applyNumberFormat="1" applyFont="1" applyFill="1"/>
    <xf numFmtId="11" fontId="10" fillId="2" borderId="0" xfId="1" applyNumberFormat="1" applyFont="1" applyFill="1"/>
    <xf numFmtId="43" fontId="10" fillId="2" borderId="4" xfId="1" applyFont="1" applyFill="1" applyBorder="1"/>
    <xf numFmtId="0" fontId="0" fillId="6" borderId="0" xfId="0" applyFill="1" applyAlignment="1">
      <alignment wrapText="1"/>
    </xf>
    <xf numFmtId="0" fontId="0" fillId="6" borderId="0" xfId="0" applyFill="1" applyAlignment="1">
      <alignment vertical="center" wrapText="1"/>
    </xf>
    <xf numFmtId="10" fontId="0" fillId="6" borderId="0" xfId="2" applyNumberFormat="1" applyFont="1" applyFill="1" applyAlignment="1">
      <alignment wrapText="1"/>
    </xf>
    <xf numFmtId="0" fontId="0" fillId="6" borderId="4" xfId="0" applyFill="1" applyBorder="1" applyAlignment="1">
      <alignment wrapText="1"/>
    </xf>
    <xf numFmtId="0" fontId="0" fillId="6" borderId="4" xfId="0" applyFill="1" applyBorder="1" applyAlignment="1">
      <alignment vertical="center" wrapText="1"/>
    </xf>
    <xf numFmtId="10" fontId="0" fillId="6" borderId="4" xfId="2" applyNumberFormat="1" applyFont="1" applyFill="1" applyBorder="1" applyAlignment="1">
      <alignment wrapText="1"/>
    </xf>
    <xf numFmtId="0" fontId="29" fillId="9" borderId="0" xfId="0" applyFont="1" applyFill="1"/>
    <xf numFmtId="0" fontId="29" fillId="9" borderId="0" xfId="3" applyFont="1" applyFill="1"/>
    <xf numFmtId="11" fontId="12" fillId="2" borderId="0" xfId="3" applyNumberFormat="1" applyFont="1" applyFill="1"/>
    <xf numFmtId="3" fontId="2" fillId="6" borderId="0" xfId="0" applyNumberFormat="1" applyFont="1" applyFill="1" applyAlignment="1">
      <alignment horizontal="center" vertical="center"/>
    </xf>
    <xf numFmtId="1" fontId="19" fillId="6" borderId="0" xfId="4" applyNumberFormat="1" applyFont="1" applyFill="1" applyAlignment="1" applyProtection="1">
      <alignment vertical="center"/>
      <protection locked="0"/>
    </xf>
    <xf numFmtId="2" fontId="12" fillId="6" borderId="0" xfId="6" applyNumberFormat="1" applyFont="1" applyFill="1" applyAlignment="1" applyProtection="1">
      <alignment horizontal="left" vertical="center"/>
      <protection locked="0"/>
    </xf>
    <xf numFmtId="2" fontId="12" fillId="6" borderId="0" xfId="6" applyNumberFormat="1" applyFont="1" applyFill="1" applyAlignment="1" applyProtection="1">
      <alignment horizontal="center" vertical="center"/>
      <protection locked="0"/>
    </xf>
    <xf numFmtId="2" fontId="14" fillId="6" borderId="0" xfId="6" applyNumberFormat="1" applyFont="1" applyFill="1" applyAlignment="1" applyProtection="1">
      <alignment horizontal="center" vertical="center"/>
      <protection locked="0"/>
    </xf>
    <xf numFmtId="1" fontId="19" fillId="6" borderId="0" xfId="4" applyNumberFormat="1" applyFont="1" applyFill="1" applyProtection="1">
      <protection locked="0"/>
    </xf>
    <xf numFmtId="1" fontId="19" fillId="6" borderId="0" xfId="4" applyNumberFormat="1" applyFont="1" applyFill="1" applyAlignment="1" applyProtection="1">
      <alignment horizontal="right" vertical="center"/>
      <protection locked="0"/>
    </xf>
    <xf numFmtId="1" fontId="53" fillId="6" borderId="0" xfId="4" applyNumberFormat="1" applyFont="1" applyFill="1" applyAlignment="1" applyProtection="1">
      <alignment horizontal="right" vertical="center"/>
      <protection locked="0"/>
    </xf>
    <xf numFmtId="0" fontId="2" fillId="2" borderId="0" xfId="7" applyNumberFormat="1" applyFont="1" applyFill="1"/>
    <xf numFmtId="2" fontId="20" fillId="6" borderId="11" xfId="6" applyNumberFormat="1" applyFont="1" applyFill="1" applyBorder="1" applyAlignment="1" applyProtection="1">
      <alignment horizontal="right" vertical="center"/>
      <protection locked="0"/>
    </xf>
    <xf numFmtId="178" fontId="20" fillId="6" borderId="11" xfId="4" applyNumberFormat="1" applyFont="1" applyFill="1" applyBorder="1" applyAlignment="1" applyProtection="1">
      <alignment vertical="center"/>
      <protection locked="0"/>
    </xf>
    <xf numFmtId="0" fontId="14" fillId="6" borderId="9" xfId="0" applyFont="1" applyFill="1" applyBorder="1" applyAlignment="1">
      <alignment horizontal="right" vertical="center"/>
    </xf>
    <xf numFmtId="2" fontId="15" fillId="6" borderId="0" xfId="6" applyNumberFormat="1" applyFont="1" applyFill="1" applyBorder="1" applyAlignment="1" applyProtection="1">
      <alignment horizontal="center" vertical="center"/>
      <protection locked="0"/>
    </xf>
    <xf numFmtId="2" fontId="15" fillId="6" borderId="4" xfId="6" applyNumberFormat="1" applyFont="1" applyFill="1" applyBorder="1" applyAlignment="1" applyProtection="1">
      <alignment horizontal="center" vertical="center"/>
      <protection locked="0"/>
    </xf>
    <xf numFmtId="2" fontId="20" fillId="6" borderId="0" xfId="6" applyNumberFormat="1" applyFont="1" applyFill="1" applyBorder="1" applyAlignment="1" applyProtection="1">
      <alignment horizontal="right" vertical="center"/>
      <protection locked="0"/>
    </xf>
    <xf numFmtId="2" fontId="20" fillId="6" borderId="4" xfId="6" applyNumberFormat="1" applyFont="1" applyFill="1" applyBorder="1" applyAlignment="1" applyProtection="1">
      <alignment horizontal="right" vertical="center"/>
      <protection locked="0"/>
    </xf>
    <xf numFmtId="43" fontId="20" fillId="6" borderId="11" xfId="1" applyFont="1" applyFill="1" applyBorder="1" applyAlignment="1" applyProtection="1">
      <alignment horizontal="right" vertical="center"/>
      <protection locked="0"/>
    </xf>
    <xf numFmtId="43" fontId="20" fillId="6" borderId="11" xfId="1" applyFont="1" applyFill="1" applyBorder="1" applyAlignment="1" applyProtection="1">
      <alignment vertical="center"/>
      <protection locked="0"/>
    </xf>
    <xf numFmtId="43" fontId="20" fillId="6" borderId="0" xfId="1" applyFont="1" applyFill="1" applyBorder="1" applyAlignment="1" applyProtection="1">
      <alignment horizontal="right" vertical="center"/>
      <protection locked="0"/>
    </xf>
    <xf numFmtId="43" fontId="20" fillId="6" borderId="0" xfId="1" applyFont="1" applyFill="1" applyBorder="1" applyAlignment="1" applyProtection="1">
      <alignment vertical="center"/>
      <protection locked="0"/>
    </xf>
    <xf numFmtId="43" fontId="20" fillId="6" borderId="4" xfId="1" applyFont="1" applyFill="1" applyBorder="1" applyAlignment="1" applyProtection="1">
      <alignment horizontal="right" vertical="center"/>
      <protection locked="0"/>
    </xf>
    <xf numFmtId="11" fontId="20" fillId="6" borderId="19" xfId="1" applyNumberFormat="1" applyFont="1" applyFill="1" applyBorder="1" applyAlignment="1" applyProtection="1">
      <alignment horizontal="right" vertical="center" wrapText="1"/>
      <protection locked="0"/>
    </xf>
    <xf numFmtId="0" fontId="20" fillId="6" borderId="4" xfId="3" applyFont="1" applyFill="1" applyBorder="1" applyProtection="1">
      <protection locked="0"/>
    </xf>
    <xf numFmtId="0" fontId="23" fillId="6" borderId="4" xfId="0" applyFont="1" applyFill="1" applyBorder="1" applyAlignment="1">
      <alignment horizontal="right" vertical="center"/>
    </xf>
    <xf numFmtId="0" fontId="23" fillId="6" borderId="22" xfId="0" applyFont="1" applyFill="1" applyBorder="1" applyAlignment="1" applyProtection="1">
      <alignment horizontal="right" vertical="center"/>
      <protection locked="0"/>
    </xf>
    <xf numFmtId="11" fontId="20" fillId="6" borderId="0" xfId="6" applyNumberFormat="1" applyFont="1" applyFill="1" applyBorder="1" applyAlignment="1" applyProtection="1">
      <alignment horizontal="right" vertical="center"/>
      <protection locked="0"/>
    </xf>
    <xf numFmtId="11" fontId="20" fillId="6" borderId="11" xfId="6" applyNumberFormat="1" applyFont="1" applyFill="1" applyBorder="1" applyAlignment="1" applyProtection="1">
      <alignment horizontal="right" vertical="center"/>
      <protection locked="0"/>
    </xf>
    <xf numFmtId="11" fontId="20" fillId="6" borderId="4" xfId="6" applyNumberFormat="1" applyFont="1" applyFill="1" applyBorder="1" applyAlignment="1" applyProtection="1">
      <alignment horizontal="right" vertical="center"/>
      <protection locked="0"/>
    </xf>
    <xf numFmtId="0" fontId="23" fillId="6" borderId="0" xfId="0" applyFont="1" applyFill="1" applyAlignment="1" applyProtection="1">
      <alignment horizontal="right" vertical="center"/>
      <protection locked="0"/>
    </xf>
    <xf numFmtId="11" fontId="20" fillId="6" borderId="0" xfId="6" applyNumberFormat="1" applyFont="1" applyFill="1" applyAlignment="1" applyProtection="1">
      <alignment horizontal="right" vertical="center"/>
      <protection locked="0"/>
    </xf>
    <xf numFmtId="0" fontId="22" fillId="7" borderId="0" xfId="3" applyFont="1" applyFill="1" applyProtection="1">
      <protection locked="0"/>
    </xf>
    <xf numFmtId="168" fontId="20" fillId="6" borderId="4" xfId="3" applyNumberFormat="1" applyFont="1" applyFill="1" applyBorder="1" applyAlignment="1" applyProtection="1">
      <alignment horizontal="right"/>
      <protection locked="0"/>
    </xf>
    <xf numFmtId="2" fontId="20" fillId="6" borderId="4" xfId="3" applyNumberFormat="1" applyFont="1" applyFill="1" applyBorder="1" applyAlignment="1" applyProtection="1">
      <alignment horizontal="right"/>
      <protection locked="0"/>
    </xf>
    <xf numFmtId="2" fontId="20" fillId="6" borderId="0" xfId="3" applyNumberFormat="1" applyFont="1" applyFill="1" applyAlignment="1" applyProtection="1">
      <alignment horizontal="right"/>
      <protection locked="0"/>
    </xf>
    <xf numFmtId="2" fontId="20" fillId="6" borderId="4" xfId="4" applyNumberFormat="1" applyFont="1" applyFill="1" applyBorder="1" applyAlignment="1" applyProtection="1">
      <alignment horizontal="right"/>
      <protection locked="0"/>
    </xf>
    <xf numFmtId="2" fontId="20" fillId="6" borderId="0" xfId="4" applyNumberFormat="1" applyFont="1" applyFill="1" applyBorder="1" applyAlignment="1" applyProtection="1">
      <alignment vertical="center"/>
      <protection locked="0"/>
    </xf>
    <xf numFmtId="2" fontId="20" fillId="6" borderId="4" xfId="4" applyNumberFormat="1" applyFont="1" applyFill="1" applyBorder="1" applyAlignment="1" applyProtection="1">
      <alignment vertical="center"/>
      <protection locked="0"/>
    </xf>
    <xf numFmtId="178" fontId="20" fillId="6" borderId="4" xfId="4" applyNumberFormat="1" applyFont="1" applyFill="1" applyBorder="1" applyAlignment="1" applyProtection="1">
      <alignment horizontal="right"/>
      <protection locked="0"/>
    </xf>
    <xf numFmtId="178" fontId="20" fillId="6" borderId="0" xfId="4" applyNumberFormat="1" applyFont="1" applyFill="1" applyBorder="1" applyAlignment="1" applyProtection="1">
      <alignment horizontal="right"/>
      <protection locked="0"/>
    </xf>
    <xf numFmtId="0" fontId="16" fillId="7" borderId="0" xfId="3" quotePrefix="1" applyFont="1" applyFill="1" applyAlignment="1" applyProtection="1">
      <alignment vertical="center"/>
      <protection locked="0"/>
    </xf>
    <xf numFmtId="2" fontId="20" fillId="6" borderId="0" xfId="6" applyNumberFormat="1" applyFont="1" applyFill="1" applyAlignment="1" applyProtection="1">
      <alignment horizontal="right" vertical="center"/>
      <protection locked="0"/>
    </xf>
    <xf numFmtId="179" fontId="10" fillId="6" borderId="75" xfId="4" applyNumberFormat="1" applyFont="1" applyFill="1" applyBorder="1" applyAlignment="1" applyProtection="1">
      <alignment horizontal="center" vertical="center"/>
      <protection hidden="1"/>
    </xf>
    <xf numFmtId="179" fontId="10" fillId="6" borderId="76" xfId="4" applyNumberFormat="1" applyFont="1" applyFill="1" applyBorder="1" applyAlignment="1" applyProtection="1">
      <alignment horizontal="center" vertical="center"/>
      <protection hidden="1"/>
    </xf>
    <xf numFmtId="173" fontId="0" fillId="6" borderId="4" xfId="4" applyNumberFormat="1" applyFont="1" applyFill="1" applyBorder="1"/>
    <xf numFmtId="179" fontId="20" fillId="6" borderId="4" xfId="4" applyNumberFormat="1" applyFont="1" applyFill="1" applyBorder="1" applyProtection="1">
      <protection locked="0"/>
    </xf>
    <xf numFmtId="0" fontId="98" fillId="6" borderId="8" xfId="21" applyFont="1" applyFill="1" applyBorder="1" applyAlignment="1">
      <alignment horizontal="center" vertical="center"/>
    </xf>
    <xf numFmtId="0" fontId="13" fillId="6" borderId="0" xfId="0" applyFont="1" applyFill="1" applyAlignment="1" applyProtection="1">
      <alignment horizontal="center"/>
      <protection locked="0"/>
    </xf>
    <xf numFmtId="0" fontId="0" fillId="6" borderId="0" xfId="0" applyFill="1" applyAlignment="1">
      <alignment horizontal="center" vertical="center" wrapText="1"/>
    </xf>
    <xf numFmtId="10" fontId="0" fillId="6" borderId="0" xfId="2" applyNumberFormat="1" applyFont="1" applyFill="1" applyAlignment="1">
      <alignment horizontal="center" vertical="center" wrapText="1"/>
    </xf>
    <xf numFmtId="2" fontId="0" fillId="6" borderId="0" xfId="0" applyNumberFormat="1" applyFill="1" applyAlignment="1">
      <alignment horizontal="center" vertical="center" wrapText="1"/>
    </xf>
    <xf numFmtId="0" fontId="0" fillId="6" borderId="4" xfId="0" applyFill="1" applyBorder="1" applyAlignment="1">
      <alignment horizontal="center" vertical="center" wrapText="1"/>
    </xf>
    <xf numFmtId="10" fontId="0" fillId="6" borderId="4" xfId="2" applyNumberFormat="1" applyFont="1" applyFill="1" applyBorder="1" applyAlignment="1">
      <alignment horizontal="center" vertical="center" wrapText="1"/>
    </xf>
    <xf numFmtId="2" fontId="0" fillId="6" borderId="4" xfId="0" applyNumberFormat="1" applyFill="1" applyBorder="1" applyAlignment="1">
      <alignment horizontal="center" vertical="center" wrapText="1"/>
    </xf>
    <xf numFmtId="0" fontId="0" fillId="6" borderId="0" xfId="0" applyFill="1" applyAlignment="1">
      <alignment horizontal="right" vertical="center" wrapText="1"/>
    </xf>
    <xf numFmtId="0" fontId="0" fillId="6" borderId="4" xfId="0" applyFill="1" applyBorder="1" applyAlignment="1">
      <alignment horizontal="right" vertical="center" wrapText="1"/>
    </xf>
    <xf numFmtId="2" fontId="20" fillId="6" borderId="0" xfId="4" applyNumberFormat="1" applyFont="1" applyFill="1" applyBorder="1" applyAlignment="1" applyProtection="1">
      <alignment horizontal="right"/>
      <protection locked="0"/>
    </xf>
    <xf numFmtId="2" fontId="20" fillId="6" borderId="11" xfId="4" applyNumberFormat="1" applyFont="1" applyFill="1" applyBorder="1" applyAlignment="1" applyProtection="1">
      <alignment horizontal="right"/>
      <protection locked="0"/>
    </xf>
    <xf numFmtId="0" fontId="10" fillId="4" borderId="9" xfId="0" applyFont="1" applyFill="1" applyBorder="1" applyAlignment="1">
      <alignment vertical="center"/>
    </xf>
    <xf numFmtId="0" fontId="10" fillId="4" borderId="0" xfId="0" applyFont="1" applyFill="1" applyAlignment="1">
      <alignment vertical="center"/>
    </xf>
    <xf numFmtId="2" fontId="20" fillId="6" borderId="3" xfId="6" applyNumberFormat="1" applyFont="1" applyFill="1" applyBorder="1" applyAlignment="1" applyProtection="1">
      <alignment horizontal="right" vertical="center"/>
      <protection locked="0"/>
    </xf>
    <xf numFmtId="0" fontId="3" fillId="7" borderId="0" xfId="3" applyFont="1" applyFill="1" applyAlignment="1" applyProtection="1">
      <alignment vertical="center"/>
      <protection locked="0"/>
    </xf>
    <xf numFmtId="0" fontId="16" fillId="7" borderId="0" xfId="3" applyFont="1" applyFill="1" applyAlignment="1" applyProtection="1">
      <alignment vertical="center"/>
      <protection locked="0"/>
    </xf>
    <xf numFmtId="43" fontId="46" fillId="6" borderId="0" xfId="1" applyFont="1" applyFill="1" applyBorder="1" applyAlignment="1" applyProtection="1">
      <alignment vertical="center"/>
      <protection locked="0"/>
    </xf>
    <xf numFmtId="9" fontId="46" fillId="6" borderId="4" xfId="2" applyFont="1" applyFill="1" applyBorder="1" applyAlignment="1" applyProtection="1">
      <alignment vertical="center"/>
      <protection locked="0"/>
    </xf>
    <xf numFmtId="43" fontId="12" fillId="6" borderId="11" xfId="1" applyFont="1" applyFill="1" applyBorder="1" applyAlignment="1" applyProtection="1">
      <alignment horizontal="right" vertical="center"/>
      <protection locked="0"/>
    </xf>
    <xf numFmtId="43" fontId="12" fillId="6" borderId="0" xfId="1" applyFont="1" applyFill="1" applyAlignment="1" applyProtection="1">
      <alignment horizontal="right" vertical="center"/>
      <protection locked="0"/>
    </xf>
    <xf numFmtId="43" fontId="12" fillId="6" borderId="0" xfId="1" applyFont="1" applyFill="1" applyAlignment="1">
      <alignment horizontal="right" vertical="center"/>
    </xf>
    <xf numFmtId="43" fontId="12" fillId="6" borderId="4" xfId="1" applyFont="1" applyFill="1" applyBorder="1" applyAlignment="1" applyProtection="1">
      <alignment horizontal="right" vertical="center"/>
      <protection locked="0"/>
    </xf>
    <xf numFmtId="43" fontId="12" fillId="6" borderId="4" xfId="1" applyFont="1" applyFill="1" applyBorder="1" applyAlignment="1">
      <alignment horizontal="right" vertical="center"/>
    </xf>
    <xf numFmtId="0" fontId="20" fillId="6" borderId="0" xfId="6" applyNumberFormat="1" applyFont="1" applyFill="1" applyBorder="1" applyAlignment="1" applyProtection="1">
      <alignment horizontal="right" vertical="center"/>
      <protection locked="0"/>
    </xf>
    <xf numFmtId="0" fontId="20" fillId="6" borderId="4" xfId="6" applyNumberFormat="1" applyFont="1" applyFill="1" applyBorder="1" applyAlignment="1" applyProtection="1">
      <alignment horizontal="right" vertical="center"/>
      <protection locked="0"/>
    </xf>
    <xf numFmtId="9" fontId="10" fillId="6" borderId="0" xfId="2" applyFont="1" applyFill="1" applyAlignment="1">
      <alignment horizontal="center" vertical="center"/>
    </xf>
    <xf numFmtId="11" fontId="0" fillId="6" borderId="0" xfId="1" applyNumberFormat="1" applyFont="1" applyFill="1" applyAlignment="1" applyProtection="1">
      <alignment vertical="center"/>
      <protection hidden="1"/>
    </xf>
    <xf numFmtId="166" fontId="20" fillId="6" borderId="0" xfId="1" applyNumberFormat="1" applyFont="1" applyFill="1" applyAlignment="1" applyProtection="1">
      <alignment horizontal="center" vertical="center"/>
      <protection hidden="1"/>
    </xf>
    <xf numFmtId="0" fontId="150" fillId="23" borderId="0" xfId="0" applyFont="1" applyFill="1"/>
    <xf numFmtId="166" fontId="0" fillId="6" borderId="0" xfId="1" applyNumberFormat="1" applyFont="1" applyFill="1" applyAlignment="1" applyProtection="1">
      <alignment vertical="center"/>
      <protection hidden="1"/>
    </xf>
    <xf numFmtId="166" fontId="0" fillId="6" borderId="4" xfId="1" applyNumberFormat="1" applyFont="1" applyFill="1" applyBorder="1" applyAlignment="1" applyProtection="1">
      <alignment vertical="center"/>
      <protection hidden="1"/>
    </xf>
    <xf numFmtId="43" fontId="20" fillId="6" borderId="0" xfId="1" applyFont="1" applyFill="1" applyAlignment="1" applyProtection="1">
      <alignment horizontal="center" vertical="center"/>
      <protection hidden="1"/>
    </xf>
    <xf numFmtId="0" fontId="151" fillId="39" borderId="4" xfId="0" applyFont="1" applyFill="1" applyBorder="1"/>
    <xf numFmtId="0" fontId="151" fillId="20" borderId="0" xfId="0" applyFont="1" applyFill="1"/>
    <xf numFmtId="0" fontId="0" fillId="6" borderId="0" xfId="0" quotePrefix="1" applyFill="1" applyProtection="1">
      <protection hidden="1"/>
    </xf>
    <xf numFmtId="11" fontId="0" fillId="6" borderId="0" xfId="1" applyNumberFormat="1" applyFont="1" applyFill="1" applyProtection="1">
      <protection hidden="1"/>
    </xf>
    <xf numFmtId="0" fontId="3" fillId="5" borderId="0" xfId="0" applyFont="1" applyFill="1"/>
    <xf numFmtId="0" fontId="64" fillId="23" borderId="0" xfId="0" applyFont="1" applyFill="1"/>
    <xf numFmtId="0" fontId="3" fillId="5" borderId="0" xfId="3" applyFont="1" applyFill="1"/>
    <xf numFmtId="0" fontId="14" fillId="5" borderId="0" xfId="3" applyFont="1" applyFill="1" applyProtection="1">
      <protection locked="0"/>
    </xf>
    <xf numFmtId="0" fontId="152" fillId="0" borderId="0" xfId="0" applyFont="1"/>
    <xf numFmtId="0" fontId="10" fillId="6" borderId="11" xfId="3" applyFont="1" applyFill="1" applyBorder="1" applyAlignment="1">
      <alignment vertical="center"/>
    </xf>
    <xf numFmtId="10" fontId="20" fillId="6" borderId="11" xfId="1" applyNumberFormat="1" applyFont="1" applyFill="1" applyBorder="1" applyAlignment="1">
      <alignment vertical="center"/>
    </xf>
    <xf numFmtId="10" fontId="20" fillId="6" borderId="0" xfId="1" applyNumberFormat="1" applyFont="1" applyFill="1" applyBorder="1" applyAlignment="1">
      <alignment vertical="center"/>
    </xf>
    <xf numFmtId="10" fontId="20" fillId="6" borderId="4" xfId="1" applyNumberFormat="1" applyFont="1" applyFill="1" applyBorder="1" applyAlignment="1">
      <alignment vertical="center"/>
    </xf>
    <xf numFmtId="173" fontId="23" fillId="6" borderId="0" xfId="1" applyNumberFormat="1" applyFont="1" applyFill="1" applyBorder="1" applyAlignment="1">
      <alignment horizontal="right" vertical="center"/>
    </xf>
    <xf numFmtId="0" fontId="127" fillId="0" borderId="78" xfId="0" applyFont="1" applyBorder="1" applyAlignment="1" applyProtection="1">
      <alignment horizontal="left" vertical="center" wrapText="1"/>
      <protection hidden="1"/>
    </xf>
    <xf numFmtId="185" fontId="20" fillId="6" borderId="11" xfId="1" applyNumberFormat="1" applyFont="1" applyFill="1" applyBorder="1" applyAlignment="1" applyProtection="1">
      <alignment horizontal="right" vertical="center"/>
      <protection locked="0"/>
    </xf>
    <xf numFmtId="43" fontId="23" fillId="6" borderId="3" xfId="0" applyNumberFormat="1" applyFont="1" applyFill="1" applyBorder="1" applyAlignment="1">
      <alignment vertical="center"/>
    </xf>
    <xf numFmtId="206" fontId="0" fillId="2" borderId="0" xfId="0" applyNumberFormat="1" applyFill="1"/>
    <xf numFmtId="172" fontId="0" fillId="11" borderId="3" xfId="4" applyFont="1" applyFill="1" applyBorder="1" applyAlignment="1">
      <alignment vertical="center"/>
    </xf>
    <xf numFmtId="0" fontId="14" fillId="11" borderId="3" xfId="3" applyFont="1" applyFill="1" applyBorder="1" applyAlignment="1">
      <alignment horizontal="left" vertical="center"/>
    </xf>
    <xf numFmtId="43" fontId="20" fillId="6" borderId="3" xfId="1" applyFont="1" applyFill="1" applyBorder="1" applyAlignment="1" applyProtection="1">
      <alignment horizontal="right" vertical="center"/>
      <protection locked="0"/>
    </xf>
    <xf numFmtId="178" fontId="0" fillId="11" borderId="9" xfId="4" applyNumberFormat="1" applyFont="1" applyFill="1" applyBorder="1" applyAlignment="1">
      <alignment vertical="center"/>
    </xf>
    <xf numFmtId="178" fontId="0" fillId="11" borderId="0" xfId="4" applyNumberFormat="1" applyFont="1" applyFill="1" applyBorder="1" applyAlignment="1">
      <alignment vertical="center"/>
    </xf>
    <xf numFmtId="178" fontId="0" fillId="11" borderId="4" xfId="4" applyNumberFormat="1" applyFont="1" applyFill="1" applyBorder="1" applyAlignment="1">
      <alignment vertical="center"/>
    </xf>
    <xf numFmtId="11" fontId="0" fillId="11" borderId="0" xfId="1" applyNumberFormat="1" applyFont="1" applyFill="1" applyBorder="1" applyAlignment="1">
      <alignment vertical="center"/>
    </xf>
    <xf numFmtId="11" fontId="0" fillId="11" borderId="4" xfId="1" applyNumberFormat="1" applyFont="1" applyFill="1" applyBorder="1" applyAlignment="1">
      <alignment vertical="center"/>
    </xf>
    <xf numFmtId="2" fontId="0" fillId="11" borderId="9" xfId="1" applyNumberFormat="1" applyFont="1" applyFill="1" applyBorder="1" applyAlignment="1">
      <alignment vertical="center"/>
    </xf>
    <xf numFmtId="2" fontId="0" fillId="11" borderId="0" xfId="1" applyNumberFormat="1" applyFont="1" applyFill="1" applyBorder="1" applyAlignment="1">
      <alignment vertical="center"/>
    </xf>
    <xf numFmtId="2" fontId="0" fillId="11" borderId="4" xfId="1" applyNumberFormat="1" applyFont="1" applyFill="1" applyBorder="1" applyAlignment="1">
      <alignment vertical="center"/>
    </xf>
    <xf numFmtId="43" fontId="0" fillId="11" borderId="0" xfId="1" applyFont="1" applyFill="1" applyBorder="1" applyAlignment="1">
      <alignment vertical="center"/>
    </xf>
    <xf numFmtId="2" fontId="0" fillId="0" borderId="0" xfId="1" applyNumberFormat="1" applyFont="1" applyAlignment="1" applyProtection="1">
      <alignment horizontal="right"/>
      <protection hidden="1"/>
    </xf>
    <xf numFmtId="2" fontId="10" fillId="0" borderId="0" xfId="1" applyNumberFormat="1" applyFont="1" applyProtection="1">
      <protection hidden="1"/>
    </xf>
    <xf numFmtId="0" fontId="150" fillId="22" borderId="4" xfId="0" applyFont="1" applyFill="1" applyBorder="1"/>
    <xf numFmtId="0" fontId="12" fillId="7" borderId="4" xfId="3" applyFont="1" applyFill="1" applyBorder="1"/>
    <xf numFmtId="166" fontId="0" fillId="6" borderId="0" xfId="1" applyNumberFormat="1" applyFont="1" applyFill="1" applyBorder="1" applyAlignment="1" applyProtection="1">
      <alignment vertical="center"/>
      <protection hidden="1"/>
    </xf>
    <xf numFmtId="166" fontId="0" fillId="7" borderId="4" xfId="1" applyNumberFormat="1" applyFont="1" applyFill="1" applyBorder="1" applyAlignment="1" applyProtection="1">
      <alignment vertical="center"/>
      <protection hidden="1"/>
    </xf>
    <xf numFmtId="0" fontId="151" fillId="20" borderId="4" xfId="0" applyFont="1" applyFill="1" applyBorder="1"/>
    <xf numFmtId="2" fontId="0" fillId="6" borderId="0" xfId="0" applyNumberFormat="1" applyFill="1"/>
    <xf numFmtId="2" fontId="0" fillId="6" borderId="4" xfId="0" applyNumberFormat="1" applyFill="1" applyBorder="1"/>
    <xf numFmtId="0" fontId="0" fillId="6" borderId="9" xfId="0" applyFill="1" applyBorder="1"/>
    <xf numFmtId="2" fontId="0" fillId="6" borderId="9" xfId="0" applyNumberFormat="1" applyFill="1" applyBorder="1"/>
    <xf numFmtId="0" fontId="6" fillId="5" borderId="0" xfId="0" applyFont="1" applyFill="1" applyAlignment="1">
      <alignment wrapText="1"/>
    </xf>
    <xf numFmtId="0" fontId="3" fillId="6" borderId="0" xfId="0" applyFont="1" applyFill="1" applyAlignment="1">
      <alignment wrapText="1"/>
    </xf>
    <xf numFmtId="0" fontId="111" fillId="6" borderId="9" xfId="0" applyFont="1" applyFill="1" applyBorder="1" applyAlignment="1">
      <alignment wrapText="1"/>
    </xf>
    <xf numFmtId="184" fontId="0" fillId="6" borderId="9" xfId="0" applyNumberFormat="1" applyFill="1" applyBorder="1"/>
    <xf numFmtId="184" fontId="0" fillId="6" borderId="0" xfId="0" applyNumberFormat="1" applyFill="1"/>
    <xf numFmtId="0" fontId="111" fillId="6" borderId="0" xfId="0" applyFont="1" applyFill="1" applyAlignment="1">
      <alignment wrapText="1"/>
    </xf>
    <xf numFmtId="184" fontId="0" fillId="6" borderId="4" xfId="0" applyNumberFormat="1" applyFill="1" applyBorder="1"/>
    <xf numFmtId="184" fontId="0" fillId="5" borderId="0" xfId="0" applyNumberFormat="1" applyFill="1"/>
    <xf numFmtId="0" fontId="12" fillId="6" borderId="0" xfId="0" applyFont="1" applyFill="1" applyAlignment="1">
      <alignment horizontal="left" vertical="center"/>
    </xf>
    <xf numFmtId="197" fontId="41" fillId="6" borderId="0" xfId="4" applyNumberFormat="1" applyFont="1" applyFill="1" applyAlignment="1">
      <alignment vertical="center"/>
    </xf>
    <xf numFmtId="0" fontId="26" fillId="7" borderId="4" xfId="0" applyFont="1" applyFill="1" applyBorder="1" applyAlignment="1">
      <alignment vertical="center"/>
    </xf>
    <xf numFmtId="173" fontId="98" fillId="7" borderId="4" xfId="4" applyNumberFormat="1" applyFont="1" applyFill="1" applyBorder="1" applyAlignment="1">
      <alignment vertical="center"/>
    </xf>
    <xf numFmtId="1" fontId="98" fillId="6" borderId="0" xfId="0" applyNumberFormat="1" applyFont="1" applyFill="1" applyAlignment="1">
      <alignment horizontal="right" vertical="center"/>
    </xf>
    <xf numFmtId="1" fontId="26" fillId="6" borderId="0" xfId="0" applyNumberFormat="1" applyFont="1" applyFill="1" applyAlignment="1">
      <alignment horizontal="right" vertical="center"/>
    </xf>
    <xf numFmtId="173" fontId="81" fillId="6" borderId="0" xfId="4" applyNumberFormat="1" applyFont="1" applyFill="1" applyAlignment="1">
      <alignment vertical="center"/>
    </xf>
    <xf numFmtId="166" fontId="41" fillId="6" borderId="0" xfId="1" applyNumberFormat="1" applyFont="1" applyFill="1" applyAlignment="1">
      <alignment vertical="center"/>
    </xf>
    <xf numFmtId="166" fontId="98" fillId="7" borderId="4" xfId="1" applyNumberFormat="1" applyFont="1" applyFill="1" applyBorder="1" applyAlignment="1">
      <alignment vertical="center"/>
    </xf>
    <xf numFmtId="173" fontId="41" fillId="6" borderId="0" xfId="4" applyNumberFormat="1" applyFont="1" applyFill="1" applyAlignment="1">
      <alignment vertical="center"/>
    </xf>
    <xf numFmtId="0" fontId="127" fillId="0" borderId="78" xfId="0" applyFont="1" applyBorder="1" applyAlignment="1" applyProtection="1">
      <alignment horizontal="left" vertical="center"/>
      <protection hidden="1"/>
    </xf>
    <xf numFmtId="0" fontId="127" fillId="0" borderId="0" xfId="0" applyFont="1" applyAlignment="1" applyProtection="1">
      <alignment horizontal="left"/>
      <protection hidden="1"/>
    </xf>
    <xf numFmtId="0" fontId="128" fillId="0" borderId="78" xfId="0" applyFont="1" applyBorder="1" applyAlignment="1" applyProtection="1">
      <alignment horizontal="left" vertical="center"/>
      <protection hidden="1"/>
    </xf>
    <xf numFmtId="0" fontId="128" fillId="0" borderId="78" xfId="0" applyFont="1" applyBorder="1" applyAlignment="1" applyProtection="1">
      <alignment horizontal="left" vertical="center" wrapText="1"/>
      <protection hidden="1"/>
    </xf>
    <xf numFmtId="0" fontId="134" fillId="0" borderId="0" xfId="0" applyFont="1" applyAlignment="1" applyProtection="1">
      <alignment horizontal="left"/>
      <protection hidden="1"/>
    </xf>
    <xf numFmtId="0" fontId="134" fillId="0" borderId="22" xfId="0" applyFont="1" applyBorder="1" applyAlignment="1" applyProtection="1">
      <alignment horizontal="left" vertical="center"/>
      <protection hidden="1"/>
    </xf>
    <xf numFmtId="0" fontId="134" fillId="0" borderId="30" xfId="0" applyFont="1" applyBorder="1" applyAlignment="1" applyProtection="1">
      <alignment horizontal="left" vertical="center"/>
      <protection hidden="1"/>
    </xf>
    <xf numFmtId="0" fontId="134" fillId="0" borderId="30" xfId="0" applyFont="1" applyBorder="1" applyAlignment="1" applyProtection="1">
      <alignment horizontal="left" vertical="center" wrapText="1"/>
      <protection hidden="1"/>
    </xf>
    <xf numFmtId="0" fontId="154" fillId="0" borderId="30" xfId="0" applyFont="1" applyBorder="1" applyAlignment="1" applyProtection="1">
      <alignment horizontal="left" vertical="center" wrapText="1"/>
      <protection hidden="1"/>
    </xf>
    <xf numFmtId="0" fontId="127" fillId="2" borderId="0" xfId="0" applyFont="1" applyFill="1" applyAlignment="1" applyProtection="1">
      <alignment horizontal="left"/>
      <protection hidden="1"/>
    </xf>
    <xf numFmtId="0" fontId="128" fillId="2" borderId="78" xfId="0" applyFont="1" applyFill="1" applyBorder="1" applyAlignment="1" applyProtection="1">
      <alignment horizontal="left" vertical="center"/>
      <protection hidden="1"/>
    </xf>
    <xf numFmtId="0" fontId="128" fillId="2" borderId="78" xfId="0" applyFont="1" applyFill="1" applyBorder="1" applyAlignment="1" applyProtection="1">
      <alignment horizontal="left" vertical="center" wrapText="1"/>
      <protection hidden="1"/>
    </xf>
    <xf numFmtId="0" fontId="12" fillId="0" borderId="0" xfId="0" applyFont="1" applyAlignment="1" applyProtection="1">
      <alignment horizontal="left" vertical="center"/>
      <protection hidden="1"/>
    </xf>
    <xf numFmtId="0" fontId="12" fillId="0" borderId="0" xfId="0" applyFont="1" applyAlignment="1" applyProtection="1">
      <alignment horizontal="left" vertical="center" wrapText="1"/>
      <protection hidden="1"/>
    </xf>
    <xf numFmtId="0" fontId="57" fillId="0" borderId="0" xfId="0" applyFont="1" applyAlignment="1" applyProtection="1">
      <alignment horizontal="left" vertical="center" wrapText="1"/>
      <protection hidden="1"/>
    </xf>
    <xf numFmtId="186" fontId="41" fillId="6" borderId="0" xfId="4" applyNumberFormat="1" applyFont="1" applyFill="1" applyAlignment="1">
      <alignment vertical="center"/>
    </xf>
    <xf numFmtId="0" fontId="98" fillId="6" borderId="4" xfId="0" applyFont="1" applyFill="1" applyBorder="1" applyAlignment="1">
      <alignment horizontal="center"/>
    </xf>
    <xf numFmtId="0" fontId="98" fillId="6" borderId="0" xfId="0" applyFont="1" applyFill="1"/>
    <xf numFmtId="0" fontId="41" fillId="6" borderId="0" xfId="0" applyFont="1" applyFill="1"/>
    <xf numFmtId="0" fontId="98" fillId="6" borderId="0" xfId="0" applyFont="1" applyFill="1" applyAlignment="1">
      <alignment horizontal="right"/>
    </xf>
    <xf numFmtId="166" fontId="41" fillId="6" borderId="0" xfId="4" applyNumberFormat="1" applyFont="1" applyFill="1" applyAlignment="1">
      <alignment vertical="center"/>
    </xf>
    <xf numFmtId="166" fontId="98" fillId="7" borderId="4" xfId="4" applyNumberFormat="1" applyFont="1" applyFill="1" applyBorder="1" applyAlignment="1">
      <alignment vertical="center"/>
    </xf>
    <xf numFmtId="0" fontId="57" fillId="0" borderId="3" xfId="0" applyFont="1" applyBorder="1"/>
    <xf numFmtId="172" fontId="12" fillId="0" borderId="0" xfId="4" applyFont="1" applyBorder="1"/>
    <xf numFmtId="0" fontId="1" fillId="0" borderId="0" xfId="0" applyFont="1"/>
    <xf numFmtId="0" fontId="1" fillId="0" borderId="4" xfId="0" applyFont="1" applyBorder="1"/>
    <xf numFmtId="0" fontId="14" fillId="0" borderId="3" xfId="0" applyFont="1" applyBorder="1" applyAlignment="1">
      <alignment horizontal="center"/>
    </xf>
    <xf numFmtId="172" fontId="12" fillId="0" borderId="9" xfId="4" applyFont="1" applyBorder="1"/>
    <xf numFmtId="0" fontId="27" fillId="0" borderId="0" xfId="0" applyFont="1" applyProtection="1">
      <protection hidden="1"/>
    </xf>
    <xf numFmtId="0" fontId="10" fillId="2" borderId="4" xfId="0" applyFont="1" applyFill="1" applyBorder="1" applyAlignment="1">
      <alignment vertical="center"/>
    </xf>
    <xf numFmtId="172" fontId="20" fillId="0" borderId="0" xfId="4" applyFont="1"/>
    <xf numFmtId="172" fontId="23" fillId="0" borderId="0" xfId="4" applyFont="1" applyAlignment="1">
      <alignment horizontal="right"/>
    </xf>
    <xf numFmtId="178" fontId="23" fillId="0" borderId="0" xfId="4" applyNumberFormat="1" applyFont="1" applyAlignment="1">
      <alignment horizontal="right"/>
    </xf>
    <xf numFmtId="178" fontId="10" fillId="0" borderId="0" xfId="0" applyNumberFormat="1" applyFont="1"/>
    <xf numFmtId="178" fontId="20" fillId="0" borderId="0" xfId="4" applyNumberFormat="1" applyFont="1"/>
    <xf numFmtId="178" fontId="10" fillId="0" borderId="3" xfId="0" applyNumberFormat="1" applyFont="1" applyBorder="1" applyAlignment="1">
      <alignment horizontal="right"/>
    </xf>
    <xf numFmtId="174" fontId="20" fillId="0" borderId="3" xfId="4" applyNumberFormat="1" applyFont="1" applyBorder="1"/>
    <xf numFmtId="0" fontId="10" fillId="2" borderId="0" xfId="0" applyFont="1" applyFill="1" applyAlignment="1">
      <alignment horizontal="right"/>
    </xf>
    <xf numFmtId="174" fontId="23" fillId="0" borderId="0" xfId="4" applyNumberFormat="1" applyFont="1"/>
    <xf numFmtId="197" fontId="20" fillId="0" borderId="9" xfId="4" applyNumberFormat="1" applyFont="1" applyBorder="1"/>
    <xf numFmtId="197" fontId="20" fillId="0" borderId="0" xfId="4" applyNumberFormat="1" applyFont="1"/>
    <xf numFmtId="197" fontId="20" fillId="0" borderId="3" xfId="4" applyNumberFormat="1" applyFont="1" applyBorder="1"/>
    <xf numFmtId="186" fontId="20" fillId="0" borderId="0" xfId="4" applyNumberFormat="1" applyFont="1"/>
    <xf numFmtId="0" fontId="129" fillId="2" borderId="0" xfId="0" applyFont="1" applyFill="1" applyAlignment="1" applyProtection="1">
      <alignment horizontal="center" vertical="center"/>
      <protection hidden="1"/>
    </xf>
    <xf numFmtId="0" fontId="129" fillId="2" borderId="0" xfId="0" applyFont="1" applyFill="1" applyAlignment="1" applyProtection="1">
      <alignment horizontal="center" vertical="center" wrapText="1"/>
      <protection hidden="1"/>
    </xf>
    <xf numFmtId="0" fontId="0" fillId="2" borderId="0" xfId="0" applyFill="1" applyAlignment="1" applyProtection="1">
      <alignment horizontal="left" vertical="center" wrapText="1"/>
      <protection hidden="1"/>
    </xf>
    <xf numFmtId="174" fontId="0" fillId="6" borderId="0" xfId="0" applyNumberFormat="1" applyFill="1"/>
    <xf numFmtId="0" fontId="0" fillId="6" borderId="9" xfId="0" applyFill="1" applyBorder="1" applyAlignment="1">
      <alignment wrapText="1"/>
    </xf>
    <xf numFmtId="168" fontId="0" fillId="6" borderId="9" xfId="0" applyNumberFormat="1" applyFill="1" applyBorder="1"/>
    <xf numFmtId="0" fontId="0" fillId="6" borderId="80" xfId="0" applyFill="1" applyBorder="1" applyAlignment="1">
      <alignment wrapText="1"/>
    </xf>
    <xf numFmtId="0" fontId="0" fillId="6" borderId="80" xfId="0" applyFill="1" applyBorder="1"/>
    <xf numFmtId="0" fontId="14" fillId="7" borderId="0" xfId="3" applyFont="1" applyFill="1"/>
    <xf numFmtId="0" fontId="14" fillId="6" borderId="80" xfId="3" applyFont="1" applyFill="1" applyBorder="1" applyAlignment="1">
      <alignment horizontal="center" vertical="center"/>
    </xf>
    <xf numFmtId="0" fontId="14" fillId="6" borderId="80" xfId="0" applyFont="1" applyFill="1" applyBorder="1" applyAlignment="1">
      <alignment horizontal="right" vertical="center"/>
    </xf>
    <xf numFmtId="166" fontId="12" fillId="6" borderId="0" xfId="1" applyNumberFormat="1" applyFont="1" applyFill="1" applyAlignment="1">
      <alignment horizontal="center" vertical="center"/>
    </xf>
    <xf numFmtId="0" fontId="15" fillId="6" borderId="0" xfId="0" applyFont="1" applyFill="1" applyAlignment="1">
      <alignment horizontal="center" vertical="center"/>
    </xf>
    <xf numFmtId="0" fontId="14" fillId="7" borderId="0" xfId="3" applyFont="1" applyFill="1" applyAlignment="1">
      <alignment horizontal="left" vertical="center"/>
    </xf>
    <xf numFmtId="0" fontId="12" fillId="7" borderId="0" xfId="0" applyFont="1" applyFill="1" applyAlignment="1">
      <alignment horizontal="center" vertical="center"/>
    </xf>
    <xf numFmtId="0" fontId="15" fillId="7" borderId="0" xfId="0" applyFont="1" applyFill="1" applyAlignment="1">
      <alignment horizontal="center" vertical="center"/>
    </xf>
    <xf numFmtId="0" fontId="12" fillId="7" borderId="0" xfId="0" applyFont="1" applyFill="1"/>
    <xf numFmtId="0" fontId="14" fillId="6" borderId="80" xfId="0" applyFont="1" applyFill="1" applyBorder="1" applyAlignment="1">
      <alignment vertical="center"/>
    </xf>
    <xf numFmtId="43" fontId="23" fillId="6" borderId="11" xfId="1" applyFont="1" applyFill="1" applyBorder="1" applyAlignment="1" applyProtection="1">
      <alignment horizontal="right" vertical="center"/>
    </xf>
    <xf numFmtId="43" fontId="23" fillId="6" borderId="0" xfId="1" applyFont="1" applyFill="1" applyBorder="1" applyAlignment="1" applyProtection="1">
      <alignment horizontal="right" vertical="center"/>
    </xf>
    <xf numFmtId="43" fontId="23" fillId="6" borderId="4" xfId="1" applyFont="1" applyFill="1" applyBorder="1" applyAlignment="1" applyProtection="1">
      <alignment horizontal="right" vertical="center"/>
    </xf>
    <xf numFmtId="43" fontId="23" fillId="6" borderId="11" xfId="1" applyFont="1" applyFill="1" applyBorder="1" applyAlignment="1" applyProtection="1">
      <alignment horizontal="right" vertical="center"/>
      <protection locked="0"/>
    </xf>
    <xf numFmtId="43" fontId="23" fillId="6" borderId="0" xfId="1" applyFont="1" applyFill="1" applyAlignment="1" applyProtection="1">
      <alignment horizontal="right" vertical="center"/>
      <protection locked="0"/>
    </xf>
    <xf numFmtId="43" fontId="23" fillId="6" borderId="4" xfId="1" applyFont="1" applyFill="1" applyBorder="1" applyAlignment="1" applyProtection="1">
      <alignment horizontal="right" vertical="center"/>
      <protection locked="0"/>
    </xf>
    <xf numFmtId="43" fontId="23" fillId="6" borderId="0" xfId="1" applyFont="1" applyFill="1" applyAlignment="1" applyProtection="1">
      <alignment horizontal="right" vertical="center"/>
    </xf>
    <xf numFmtId="43" fontId="23" fillId="6" borderId="22" xfId="1" applyFont="1" applyFill="1" applyBorder="1" applyAlignment="1" applyProtection="1">
      <alignment horizontal="right" vertical="center"/>
      <protection locked="0"/>
    </xf>
    <xf numFmtId="9" fontId="20" fillId="6" borderId="22" xfId="2" applyFont="1" applyFill="1" applyBorder="1" applyAlignment="1" applyProtection="1">
      <alignment vertical="center"/>
      <protection locked="0"/>
    </xf>
    <xf numFmtId="43" fontId="23" fillId="6" borderId="0" xfId="1" applyFont="1" applyFill="1" applyBorder="1" applyAlignment="1" applyProtection="1">
      <alignment vertical="center"/>
      <protection locked="0"/>
    </xf>
    <xf numFmtId="43" fontId="20" fillId="6" borderId="4" xfId="1" applyFont="1" applyFill="1" applyBorder="1" applyAlignment="1" applyProtection="1">
      <alignment vertical="center"/>
      <protection locked="0"/>
    </xf>
    <xf numFmtId="176" fontId="20" fillId="6" borderId="11" xfId="6" applyFont="1" applyFill="1" applyBorder="1" applyAlignment="1" applyProtection="1">
      <alignment horizontal="right" vertical="center"/>
      <protection locked="0"/>
    </xf>
    <xf numFmtId="176" fontId="20" fillId="6" borderId="4" xfId="6" applyFont="1" applyFill="1" applyBorder="1" applyAlignment="1" applyProtection="1">
      <alignment horizontal="right" vertical="center"/>
      <protection locked="0"/>
    </xf>
    <xf numFmtId="9" fontId="20" fillId="20" borderId="0" xfId="2" applyFont="1" applyFill="1" applyBorder="1" applyAlignment="1" applyProtection="1">
      <alignment horizontal="right" vertical="center"/>
      <protection locked="0"/>
    </xf>
    <xf numFmtId="9" fontId="20" fillId="20" borderId="25" xfId="2" applyFont="1" applyFill="1" applyBorder="1" applyAlignment="1" applyProtection="1">
      <alignment horizontal="right" vertical="center"/>
      <protection locked="0"/>
    </xf>
    <xf numFmtId="9" fontId="20" fillId="20" borderId="4" xfId="2" applyFont="1" applyFill="1" applyBorder="1" applyAlignment="1" applyProtection="1">
      <alignment horizontal="right" vertical="center"/>
      <protection locked="0"/>
    </xf>
    <xf numFmtId="1" fontId="23" fillId="20" borderId="0" xfId="1" applyNumberFormat="1" applyFont="1" applyFill="1" applyBorder="1" applyAlignment="1" applyProtection="1">
      <alignment horizontal="right" vertical="center"/>
    </xf>
    <xf numFmtId="1" fontId="23" fillId="20" borderId="4" xfId="1" applyNumberFormat="1" applyFont="1" applyFill="1" applyBorder="1" applyAlignment="1">
      <alignment horizontal="right" vertical="center"/>
    </xf>
    <xf numFmtId="0" fontId="11" fillId="20" borderId="0" xfId="0" applyFont="1" applyFill="1"/>
    <xf numFmtId="0" fontId="16" fillId="20" borderId="21" xfId="0" applyFont="1" applyFill="1" applyBorder="1" applyAlignment="1">
      <alignment horizontal="right"/>
    </xf>
    <xf numFmtId="0" fontId="10" fillId="20" borderId="0" xfId="0" applyFont="1" applyFill="1" applyAlignment="1">
      <alignment horizontal="right"/>
    </xf>
    <xf numFmtId="43" fontId="23" fillId="20" borderId="0" xfId="1" applyFont="1" applyFill="1" applyBorder="1" applyAlignment="1" applyProtection="1">
      <alignment horizontal="right" vertical="center"/>
    </xf>
    <xf numFmtId="9" fontId="20" fillId="6" borderId="0" xfId="2" applyFont="1" applyFill="1" applyBorder="1" applyAlignment="1" applyProtection="1">
      <alignment horizontal="right" vertical="center"/>
      <protection locked="0"/>
    </xf>
    <xf numFmtId="9" fontId="20" fillId="6" borderId="4" xfId="2" applyFont="1" applyFill="1" applyBorder="1" applyAlignment="1" applyProtection="1">
      <alignment horizontal="right" vertical="center"/>
      <protection locked="0"/>
    </xf>
    <xf numFmtId="0" fontId="10" fillId="4" borderId="57" xfId="0" applyFont="1" applyFill="1" applyBorder="1" applyAlignment="1">
      <alignment vertical="center"/>
    </xf>
    <xf numFmtId="0" fontId="10" fillId="4" borderId="58" xfId="0" applyFont="1" applyFill="1" applyBorder="1" applyAlignment="1">
      <alignment vertical="center"/>
    </xf>
    <xf numFmtId="0" fontId="10" fillId="4" borderId="4" xfId="0" applyFont="1" applyFill="1" applyBorder="1" applyAlignment="1">
      <alignment vertical="center"/>
    </xf>
    <xf numFmtId="9" fontId="10" fillId="12" borderId="0" xfId="2" applyFont="1" applyFill="1" applyBorder="1" applyAlignment="1" applyProtection="1">
      <alignment horizontal="center" vertical="center"/>
      <protection locked="0"/>
    </xf>
    <xf numFmtId="9" fontId="10" fillId="12" borderId="4" xfId="2" applyFont="1" applyFill="1" applyBorder="1" applyAlignment="1" applyProtection="1">
      <alignment horizontal="center" vertical="center"/>
      <protection locked="0"/>
    </xf>
    <xf numFmtId="0" fontId="10" fillId="6" borderId="0" xfId="0" applyFont="1" applyFill="1" applyAlignment="1" applyProtection="1">
      <alignment horizontal="center"/>
      <protection locked="0"/>
    </xf>
    <xf numFmtId="0" fontId="10" fillId="12" borderId="0" xfId="0" applyFont="1" applyFill="1" applyAlignment="1">
      <alignment horizontal="center"/>
    </xf>
    <xf numFmtId="0" fontId="23" fillId="12" borderId="0" xfId="0" applyFont="1" applyFill="1" applyAlignment="1">
      <alignment horizontal="right"/>
    </xf>
    <xf numFmtId="0" fontId="10" fillId="6" borderId="0" xfId="0" applyFont="1" applyFill="1" applyAlignment="1">
      <alignment horizontal="center"/>
    </xf>
    <xf numFmtId="0" fontId="22" fillId="5" borderId="0" xfId="5" applyFont="1" applyFill="1"/>
    <xf numFmtId="0" fontId="10" fillId="12" borderId="0" xfId="0" applyFont="1" applyFill="1"/>
    <xf numFmtId="0" fontId="10" fillId="6" borderId="0" xfId="0" applyFont="1" applyFill="1" applyProtection="1">
      <protection locked="0"/>
    </xf>
    <xf numFmtId="10" fontId="10" fillId="12" borderId="19" xfId="2" applyNumberFormat="1" applyFont="1" applyFill="1" applyBorder="1" applyAlignment="1" applyProtection="1">
      <alignment horizontal="center" vertical="center"/>
      <protection locked="0"/>
    </xf>
    <xf numFmtId="174" fontId="10" fillId="6" borderId="0" xfId="21" applyNumberFormat="1" applyFont="1" applyFill="1" applyAlignment="1">
      <alignment horizontal="center" vertical="center"/>
    </xf>
    <xf numFmtId="0" fontId="10" fillId="6" borderId="0" xfId="21" applyFont="1" applyFill="1" applyAlignment="1">
      <alignment horizontal="center" vertical="center"/>
    </xf>
    <xf numFmtId="0" fontId="10" fillId="6" borderId="4" xfId="21" applyFont="1" applyFill="1" applyBorder="1" applyAlignment="1">
      <alignment horizontal="center" vertical="center"/>
    </xf>
    <xf numFmtId="0" fontId="16" fillId="2" borderId="8" xfId="21" applyFont="1" applyFill="1" applyBorder="1" applyAlignment="1">
      <alignment horizontal="right" vertical="center"/>
    </xf>
    <xf numFmtId="189" fontId="10" fillId="2" borderId="11" xfId="21" applyNumberFormat="1" applyFont="1" applyFill="1" applyBorder="1" applyAlignment="1">
      <alignment horizontal="right" vertical="center"/>
    </xf>
    <xf numFmtId="189" fontId="10" fillId="2" borderId="22" xfId="21" applyNumberFormat="1" applyFont="1" applyFill="1" applyBorder="1" applyAlignment="1">
      <alignment horizontal="right" vertical="center"/>
    </xf>
    <xf numFmtId="189" fontId="10" fillId="2" borderId="0" xfId="21" applyNumberFormat="1" applyFont="1" applyFill="1" applyAlignment="1">
      <alignment horizontal="right" vertical="center"/>
    </xf>
    <xf numFmtId="189" fontId="10" fillId="2" borderId="4" xfId="21" applyNumberFormat="1" applyFont="1" applyFill="1" applyBorder="1" applyAlignment="1">
      <alignment horizontal="right" vertical="center"/>
    </xf>
    <xf numFmtId="0" fontId="10" fillId="2" borderId="0" xfId="3" applyFont="1" applyFill="1" applyAlignment="1">
      <alignment vertical="center"/>
    </xf>
    <xf numFmtId="2" fontId="10" fillId="2" borderId="9" xfId="1" applyNumberFormat="1" applyFont="1" applyFill="1" applyBorder="1" applyProtection="1">
      <protection hidden="1"/>
    </xf>
    <xf numFmtId="2" fontId="10" fillId="2" borderId="0" xfId="0" applyNumberFormat="1" applyFont="1" applyFill="1" applyProtection="1">
      <protection hidden="1"/>
    </xf>
    <xf numFmtId="2" fontId="10" fillId="2" borderId="0" xfId="0" applyNumberFormat="1" applyFont="1" applyFill="1" applyAlignment="1" applyProtection="1">
      <alignment horizontal="right"/>
      <protection hidden="1"/>
    </xf>
    <xf numFmtId="185" fontId="0" fillId="0" borderId="0" xfId="0" applyNumberFormat="1"/>
    <xf numFmtId="4" fontId="10" fillId="2" borderId="3" xfId="0" applyNumberFormat="1" applyFont="1" applyFill="1" applyBorder="1" applyProtection="1">
      <protection hidden="1"/>
    </xf>
    <xf numFmtId="43" fontId="0" fillId="0" borderId="0" xfId="0" applyNumberFormat="1" applyProtection="1">
      <protection hidden="1"/>
    </xf>
    <xf numFmtId="3" fontId="0" fillId="0" borderId="0" xfId="0" applyNumberFormat="1" applyProtection="1">
      <protection hidden="1"/>
    </xf>
    <xf numFmtId="49" fontId="10" fillId="2" borderId="53" xfId="11" applyNumberFormat="1" applyFont="1" applyFill="1" applyBorder="1" applyAlignment="1" applyProtection="1">
      <alignment vertical="center"/>
      <protection hidden="1"/>
    </xf>
    <xf numFmtId="0" fontId="3" fillId="27" borderId="32" xfId="0" applyFont="1" applyFill="1" applyBorder="1" applyAlignment="1" applyProtection="1">
      <alignment horizontal="center" vertical="center"/>
      <protection hidden="1"/>
    </xf>
    <xf numFmtId="49" fontId="10" fillId="2" borderId="53" xfId="11" applyNumberFormat="1" applyFont="1" applyFill="1" applyBorder="1" applyAlignment="1" applyProtection="1">
      <alignment horizontal="center" vertical="center"/>
      <protection hidden="1"/>
    </xf>
    <xf numFmtId="0" fontId="89" fillId="2" borderId="0" xfId="0" applyFont="1" applyFill="1" applyAlignment="1" applyProtection="1">
      <alignment horizontal="center" vertical="center"/>
      <protection hidden="1"/>
    </xf>
    <xf numFmtId="49" fontId="65" fillId="2" borderId="0" xfId="0" applyNumberFormat="1" applyFont="1" applyFill="1" applyAlignment="1" applyProtection="1">
      <alignment horizontal="center" vertical="center"/>
      <protection hidden="1"/>
    </xf>
    <xf numFmtId="49" fontId="73" fillId="2" borderId="0" xfId="0" applyNumberFormat="1" applyFont="1" applyFill="1" applyAlignment="1" applyProtection="1">
      <alignment horizontal="center" vertical="center"/>
      <protection hidden="1"/>
    </xf>
    <xf numFmtId="0" fontId="3" fillId="2" borderId="0" xfId="0" applyFont="1" applyFill="1" applyAlignment="1" applyProtection="1">
      <alignment horizontal="center"/>
      <protection hidden="1"/>
    </xf>
    <xf numFmtId="0" fontId="155" fillId="2" borderId="0" xfId="0" applyFont="1" applyFill="1" applyProtection="1">
      <protection hidden="1"/>
    </xf>
    <xf numFmtId="0" fontId="155" fillId="0" borderId="0" xfId="0" applyFont="1" applyProtection="1">
      <protection hidden="1"/>
    </xf>
    <xf numFmtId="49" fontId="156" fillId="2" borderId="53" xfId="11" applyNumberFormat="1" applyFont="1" applyFill="1" applyBorder="1" applyAlignment="1" applyProtection="1">
      <alignment horizontal="left" vertical="center"/>
      <protection hidden="1"/>
    </xf>
    <xf numFmtId="49" fontId="157" fillId="4" borderId="0" xfId="0" applyNumberFormat="1" applyFont="1" applyFill="1" applyProtection="1">
      <protection hidden="1"/>
    </xf>
    <xf numFmtId="3" fontId="35" fillId="6" borderId="0" xfId="4" applyNumberFormat="1" applyFont="1" applyFill="1" applyAlignment="1">
      <alignment horizontal="right" vertical="center"/>
    </xf>
    <xf numFmtId="166" fontId="12" fillId="2" borderId="0" xfId="1" applyNumberFormat="1" applyFont="1" applyFill="1" applyBorder="1" applyAlignment="1">
      <alignment vertical="center"/>
    </xf>
    <xf numFmtId="43" fontId="10" fillId="2" borderId="0" xfId="1" applyFont="1" applyFill="1" applyBorder="1" applyAlignment="1">
      <alignment horizontal="center"/>
    </xf>
    <xf numFmtId="0" fontId="12" fillId="2" borderId="11" xfId="1" applyNumberFormat="1" applyFont="1" applyFill="1" applyBorder="1" applyAlignment="1">
      <alignment vertical="center"/>
    </xf>
    <xf numFmtId="165" fontId="0" fillId="0" borderId="0" xfId="0" applyNumberFormat="1" applyProtection="1">
      <protection hidden="1"/>
    </xf>
    <xf numFmtId="0" fontId="127" fillId="0" borderId="93" xfId="0" applyFont="1" applyBorder="1" applyAlignment="1" applyProtection="1">
      <alignment horizontal="left" vertical="center"/>
      <protection hidden="1"/>
    </xf>
    <xf numFmtId="0" fontId="127" fillId="0" borderId="95" xfId="0" applyFont="1" applyBorder="1" applyAlignment="1" applyProtection="1">
      <alignment horizontal="left" vertical="center"/>
      <protection hidden="1"/>
    </xf>
    <xf numFmtId="0" fontId="128" fillId="0" borderId="96" xfId="0" applyFont="1" applyBorder="1" applyAlignment="1" applyProtection="1">
      <alignment horizontal="left" vertical="center" wrapText="1"/>
      <protection hidden="1"/>
    </xf>
    <xf numFmtId="0" fontId="128" fillId="0" borderId="93" xfId="0" applyFont="1" applyBorder="1" applyAlignment="1" applyProtection="1">
      <alignment horizontal="left" vertical="center"/>
      <protection hidden="1"/>
    </xf>
    <xf numFmtId="0" fontId="128" fillId="0" borderId="93" xfId="0" applyFont="1" applyBorder="1" applyAlignment="1" applyProtection="1">
      <alignment horizontal="left" vertical="center" wrapText="1"/>
      <protection hidden="1"/>
    </xf>
    <xf numFmtId="0" fontId="153" fillId="2" borderId="96" xfId="0" applyFont="1" applyFill="1" applyBorder="1" applyAlignment="1" applyProtection="1">
      <alignment horizontal="left" vertical="center" wrapText="1"/>
      <protection hidden="1"/>
    </xf>
    <xf numFmtId="0" fontId="153" fillId="2" borderId="94" xfId="0" applyFont="1" applyFill="1" applyBorder="1" applyAlignment="1" applyProtection="1">
      <alignment horizontal="left" vertical="center" wrapText="1"/>
      <protection hidden="1"/>
    </xf>
    <xf numFmtId="0" fontId="127" fillId="0" borderId="100" xfId="0" applyFont="1" applyBorder="1" applyAlignment="1" applyProtection="1">
      <alignment horizontal="left" vertical="center" wrapText="1"/>
      <protection hidden="1"/>
    </xf>
    <xf numFmtId="0" fontId="128" fillId="0" borderId="94" xfId="0" applyFont="1" applyBorder="1" applyAlignment="1" applyProtection="1">
      <alignment horizontal="left" vertical="center" wrapText="1"/>
      <protection hidden="1"/>
    </xf>
    <xf numFmtId="0" fontId="159" fillId="6" borderId="0" xfId="0" applyFont="1" applyFill="1"/>
    <xf numFmtId="4" fontId="23" fillId="6" borderId="0" xfId="0" applyNumberFormat="1" applyFont="1" applyFill="1" applyAlignment="1">
      <alignment horizontal="right" vertical="center"/>
    </xf>
    <xf numFmtId="4" fontId="0" fillId="0" borderId="0" xfId="0" applyNumberFormat="1" applyProtection="1">
      <protection hidden="1"/>
    </xf>
    <xf numFmtId="0" fontId="3" fillId="27" borderId="32" xfId="0" applyFont="1" applyFill="1" applyBorder="1" applyAlignment="1" applyProtection="1">
      <alignment horizontal="center" vertical="center" wrapText="1"/>
      <protection hidden="1"/>
    </xf>
    <xf numFmtId="49" fontId="158" fillId="2" borderId="102" xfId="30" applyNumberFormat="1" applyFill="1" applyAlignment="1" applyProtection="1">
      <alignment horizontal="center" vertical="center" wrapText="1"/>
      <protection hidden="1"/>
    </xf>
    <xf numFmtId="165" fontId="0" fillId="6" borderId="0" xfId="0" applyNumberFormat="1" applyFill="1"/>
    <xf numFmtId="41" fontId="0" fillId="0" borderId="0" xfId="0" applyNumberFormat="1"/>
    <xf numFmtId="207" fontId="0" fillId="0" borderId="0" xfId="0" applyNumberFormat="1"/>
    <xf numFmtId="0" fontId="1" fillId="6" borderId="0" xfId="3" applyFont="1" applyFill="1" applyAlignment="1">
      <alignment vertical="center" wrapText="1"/>
    </xf>
    <xf numFmtId="2" fontId="10" fillId="6" borderId="11" xfId="0" applyNumberFormat="1" applyFont="1" applyFill="1" applyBorder="1" applyAlignment="1">
      <alignment horizontal="center" vertical="center"/>
    </xf>
    <xf numFmtId="184" fontId="0" fillId="0" borderId="0" xfId="0" applyNumberFormat="1"/>
    <xf numFmtId="171" fontId="0" fillId="0" borderId="0" xfId="2" applyNumberFormat="1" applyFont="1"/>
    <xf numFmtId="10" fontId="0" fillId="0" borderId="0" xfId="2" applyNumberFormat="1" applyFont="1"/>
    <xf numFmtId="0" fontId="89" fillId="2" borderId="106" xfId="0" applyFont="1" applyFill="1" applyBorder="1" applyAlignment="1" applyProtection="1">
      <alignment horizontal="left" vertical="center"/>
      <protection hidden="1"/>
    </xf>
    <xf numFmtId="43" fontId="160" fillId="6" borderId="19" xfId="1" applyFont="1" applyFill="1" applyBorder="1" applyAlignment="1" applyProtection="1">
      <alignment horizontal="right" vertical="center"/>
    </xf>
    <xf numFmtId="9" fontId="161" fillId="6" borderId="19" xfId="2" applyFont="1" applyFill="1" applyBorder="1" applyAlignment="1" applyProtection="1">
      <alignment vertical="center"/>
      <protection locked="0"/>
    </xf>
    <xf numFmtId="9" fontId="162" fillId="6" borderId="11" xfId="2" applyFont="1" applyFill="1" applyBorder="1" applyAlignment="1" applyProtection="1">
      <alignment vertical="center"/>
      <protection locked="0"/>
    </xf>
    <xf numFmtId="9" fontId="162" fillId="6" borderId="0" xfId="2" applyFont="1" applyFill="1" applyAlignment="1" applyProtection="1">
      <alignment vertical="center"/>
      <protection locked="0"/>
    </xf>
    <xf numFmtId="43" fontId="59" fillId="6" borderId="114" xfId="1" applyFont="1" applyFill="1" applyBorder="1" applyAlignment="1" applyProtection="1">
      <alignment horizontal="right" vertical="center"/>
      <protection locked="0"/>
    </xf>
    <xf numFmtId="11" fontId="15" fillId="6" borderId="19" xfId="6" applyNumberFormat="1" applyFont="1" applyFill="1" applyBorder="1" applyAlignment="1" applyProtection="1">
      <alignment horizontal="right" vertical="center"/>
      <protection locked="0"/>
    </xf>
    <xf numFmtId="11" fontId="15" fillId="6" borderId="19" xfId="3" applyNumberFormat="1" applyFont="1" applyFill="1" applyBorder="1" applyAlignment="1" applyProtection="1">
      <alignment horizontal="right"/>
      <protection locked="0"/>
    </xf>
    <xf numFmtId="11" fontId="15" fillId="6" borderId="11" xfId="6" applyNumberFormat="1" applyFont="1" applyFill="1" applyBorder="1" applyAlignment="1" applyProtection="1">
      <alignment horizontal="right" vertical="center"/>
      <protection locked="0"/>
    </xf>
    <xf numFmtId="11" fontId="15" fillId="6" borderId="0" xfId="6" applyNumberFormat="1" applyFont="1" applyFill="1" applyBorder="1" applyAlignment="1" applyProtection="1">
      <alignment horizontal="right" vertical="center"/>
      <protection locked="0"/>
    </xf>
    <xf numFmtId="11" fontId="15" fillId="6" borderId="4" xfId="6" applyNumberFormat="1" applyFont="1" applyFill="1" applyBorder="1" applyAlignment="1" applyProtection="1">
      <alignment horizontal="right" vertical="center"/>
      <protection locked="0"/>
    </xf>
    <xf numFmtId="166" fontId="15" fillId="6" borderId="11" xfId="6" applyNumberFormat="1" applyFont="1" applyFill="1" applyBorder="1" applyAlignment="1" applyProtection="1">
      <alignment horizontal="right" vertical="center"/>
      <protection locked="0"/>
    </xf>
    <xf numFmtId="176" fontId="2" fillId="6" borderId="0" xfId="6" applyFont="1" applyFill="1" applyBorder="1" applyAlignment="1" applyProtection="1">
      <alignment horizontal="right" vertical="center"/>
      <protection locked="0"/>
    </xf>
    <xf numFmtId="176" fontId="2" fillId="6" borderId="4" xfId="6" applyFont="1" applyFill="1" applyBorder="1" applyAlignment="1" applyProtection="1">
      <alignment horizontal="right" vertical="center"/>
      <protection locked="0"/>
    </xf>
    <xf numFmtId="0" fontId="0" fillId="0" borderId="3" xfId="0" applyBorder="1" applyAlignment="1">
      <alignment horizontal="center"/>
    </xf>
    <xf numFmtId="0" fontId="163" fillId="0" borderId="32" xfId="0" applyFont="1" applyBorder="1" applyProtection="1">
      <protection hidden="1"/>
    </xf>
    <xf numFmtId="0" fontId="155" fillId="2" borderId="0" xfId="0" applyFont="1" applyFill="1" applyAlignment="1" applyProtection="1">
      <alignment vertical="center"/>
      <protection hidden="1"/>
    </xf>
    <xf numFmtId="0" fontId="164" fillId="0" borderId="32" xfId="0" applyFont="1" applyBorder="1" applyProtection="1">
      <protection hidden="1"/>
    </xf>
    <xf numFmtId="43" fontId="12" fillId="6" borderId="0" xfId="1" applyFont="1" applyFill="1" applyProtection="1">
      <protection locked="0"/>
    </xf>
    <xf numFmtId="1" fontId="15" fillId="6" borderId="4" xfId="4" applyNumberFormat="1" applyFont="1" applyFill="1" applyBorder="1" applyAlignment="1" applyProtection="1">
      <alignment horizontal="right" vertical="center"/>
      <protection locked="0"/>
    </xf>
    <xf numFmtId="1" fontId="15" fillId="6" borderId="0" xfId="6" applyNumberFormat="1" applyFont="1" applyFill="1" applyBorder="1" applyAlignment="1" applyProtection="1">
      <alignment horizontal="right" vertical="center"/>
      <protection locked="0"/>
    </xf>
    <xf numFmtId="1" fontId="15" fillId="6" borderId="4" xfId="6" applyNumberFormat="1" applyFont="1" applyFill="1" applyBorder="1" applyAlignment="1" applyProtection="1">
      <alignment horizontal="right" vertical="center"/>
      <protection locked="0"/>
    </xf>
    <xf numFmtId="11" fontId="15" fillId="6" borderId="0" xfId="4" applyNumberFormat="1" applyFont="1" applyFill="1" applyBorder="1" applyAlignment="1" applyProtection="1">
      <alignment vertical="center"/>
      <protection locked="0"/>
    </xf>
    <xf numFmtId="11" fontId="15" fillId="6" borderId="4" xfId="4" applyNumberFormat="1" applyFont="1" applyFill="1" applyBorder="1" applyAlignment="1" applyProtection="1">
      <alignment vertical="center"/>
      <protection locked="0"/>
    </xf>
    <xf numFmtId="11" fontId="15" fillId="6" borderId="11" xfId="4" applyNumberFormat="1" applyFont="1" applyFill="1" applyBorder="1" applyAlignment="1" applyProtection="1">
      <alignment vertical="center"/>
      <protection locked="0"/>
    </xf>
    <xf numFmtId="11" fontId="15" fillId="6" borderId="19" xfId="4" applyNumberFormat="1" applyFont="1" applyFill="1" applyBorder="1" applyAlignment="1" applyProtection="1">
      <alignment vertical="center"/>
      <protection locked="0"/>
    </xf>
    <xf numFmtId="43" fontId="12" fillId="6" borderId="4" xfId="1" applyFont="1" applyFill="1" applyBorder="1" applyProtection="1">
      <protection locked="0"/>
    </xf>
    <xf numFmtId="178" fontId="15" fillId="6" borderId="0" xfId="4" applyNumberFormat="1" applyFont="1" applyFill="1" applyAlignment="1" applyProtection="1">
      <alignment vertical="center"/>
      <protection locked="0"/>
    </xf>
    <xf numFmtId="178" fontId="15" fillId="6" borderId="4" xfId="4" applyNumberFormat="1" applyFont="1" applyFill="1" applyBorder="1" applyAlignment="1" applyProtection="1">
      <alignment vertical="center"/>
      <protection locked="0"/>
    </xf>
    <xf numFmtId="0" fontId="20" fillId="6" borderId="11" xfId="0" applyFont="1" applyFill="1" applyBorder="1" applyAlignment="1">
      <alignment vertical="center"/>
    </xf>
    <xf numFmtId="2" fontId="15" fillId="6" borderId="11" xfId="4" applyNumberFormat="1" applyFont="1" applyFill="1" applyBorder="1" applyAlignment="1" applyProtection="1">
      <alignment horizontal="right" vertical="center"/>
      <protection locked="0"/>
    </xf>
    <xf numFmtId="2" fontId="2" fillId="6" borderId="11" xfId="4" applyNumberFormat="1" applyFont="1" applyFill="1" applyBorder="1" applyAlignment="1" applyProtection="1">
      <alignment horizontal="right" vertical="center"/>
      <protection locked="0"/>
    </xf>
    <xf numFmtId="2" fontId="2" fillId="6" borderId="0" xfId="6" applyNumberFormat="1" applyFont="1" applyFill="1" applyBorder="1" applyAlignment="1" applyProtection="1">
      <alignment horizontal="right" vertical="center"/>
      <protection locked="0"/>
    </xf>
    <xf numFmtId="174" fontId="15" fillId="6" borderId="0" xfId="3" applyNumberFormat="1" applyFont="1" applyFill="1" applyAlignment="1" applyProtection="1">
      <alignment horizontal="right" vertical="center"/>
      <protection locked="0"/>
    </xf>
    <xf numFmtId="178" fontId="15" fillId="6" borderId="19" xfId="4" applyNumberFormat="1" applyFont="1" applyFill="1" applyBorder="1" applyAlignment="1" applyProtection="1">
      <alignment vertical="center"/>
      <protection locked="0"/>
    </xf>
    <xf numFmtId="176" fontId="15" fillId="6" borderId="11" xfId="6" applyFont="1" applyFill="1" applyBorder="1" applyAlignment="1" applyProtection="1">
      <alignment horizontal="right" vertical="center"/>
      <protection locked="0"/>
    </xf>
    <xf numFmtId="176" fontId="15" fillId="6" borderId="4" xfId="6" applyFont="1" applyFill="1" applyBorder="1" applyAlignment="1" applyProtection="1">
      <alignment horizontal="right" vertical="center"/>
      <protection locked="0"/>
    </xf>
    <xf numFmtId="1" fontId="15" fillId="6" borderId="0" xfId="4" applyNumberFormat="1" applyFont="1" applyFill="1" applyBorder="1" applyAlignment="1" applyProtection="1">
      <alignment vertical="center"/>
      <protection locked="0"/>
    </xf>
    <xf numFmtId="1" fontId="15" fillId="6" borderId="0" xfId="4" applyNumberFormat="1" applyFont="1" applyFill="1" applyAlignment="1" applyProtection="1">
      <alignment vertical="center"/>
      <protection locked="0"/>
    </xf>
    <xf numFmtId="1" fontId="15" fillId="6" borderId="0" xfId="4" applyNumberFormat="1" applyFont="1" applyFill="1" applyBorder="1" applyProtection="1">
      <protection locked="0"/>
    </xf>
    <xf numFmtId="1" fontId="15" fillId="6" borderId="0" xfId="0" applyNumberFormat="1" applyFont="1" applyFill="1" applyAlignment="1" applyProtection="1">
      <alignment horizontal="right" vertical="center"/>
      <protection locked="0"/>
    </xf>
    <xf numFmtId="1" fontId="15" fillId="6" borderId="0" xfId="4" applyNumberFormat="1" applyFont="1" applyFill="1" applyBorder="1" applyAlignment="1" applyProtection="1">
      <alignment horizontal="right" vertical="center"/>
      <protection locked="0"/>
    </xf>
    <xf numFmtId="1" fontId="15" fillId="6" borderId="4" xfId="4" applyNumberFormat="1" applyFont="1" applyFill="1" applyBorder="1" applyProtection="1">
      <protection locked="0"/>
    </xf>
    <xf numFmtId="1" fontId="15" fillId="6" borderId="4" xfId="4" applyNumberFormat="1" applyFont="1" applyFill="1" applyBorder="1" applyAlignment="1" applyProtection="1">
      <alignment vertical="center"/>
      <protection locked="0"/>
    </xf>
    <xf numFmtId="1" fontId="15" fillId="6" borderId="19" xfId="4" applyNumberFormat="1" applyFont="1" applyFill="1" applyBorder="1" applyAlignment="1" applyProtection="1">
      <alignment vertical="center"/>
      <protection locked="0"/>
    </xf>
    <xf numFmtId="1" fontId="15" fillId="6" borderId="19" xfId="4" applyNumberFormat="1" applyFont="1" applyFill="1" applyBorder="1" applyProtection="1">
      <protection locked="0"/>
    </xf>
    <xf numFmtId="0" fontId="14" fillId="6" borderId="4" xfId="3" applyFont="1" applyFill="1" applyBorder="1" applyAlignment="1">
      <alignment horizontal="center" vertical="center"/>
    </xf>
    <xf numFmtId="166" fontId="12" fillId="6" borderId="4" xfId="1" applyNumberFormat="1" applyFont="1" applyFill="1" applyBorder="1" applyAlignment="1">
      <alignment horizontal="center" vertical="center"/>
    </xf>
    <xf numFmtId="0" fontId="14" fillId="6" borderId="83" xfId="0" applyFont="1" applyFill="1" applyBorder="1" applyAlignment="1">
      <alignment vertical="center"/>
    </xf>
    <xf numFmtId="43" fontId="12" fillId="6" borderId="83" xfId="1" applyFont="1" applyFill="1" applyBorder="1" applyAlignment="1">
      <alignment horizontal="center" vertical="center"/>
    </xf>
    <xf numFmtId="43" fontId="12" fillId="6" borderId="0" xfId="1" applyFont="1" applyFill="1" applyBorder="1" applyAlignment="1">
      <alignment horizontal="center" vertical="center"/>
    </xf>
    <xf numFmtId="43" fontId="12" fillId="6" borderId="0" xfId="0" applyNumberFormat="1" applyFont="1" applyFill="1" applyAlignment="1">
      <alignment horizontal="center" vertical="center"/>
    </xf>
    <xf numFmtId="43" fontId="12" fillId="6" borderId="4" xfId="1" applyFont="1" applyFill="1" applyBorder="1" applyAlignment="1">
      <alignment horizontal="center" vertical="center"/>
    </xf>
    <xf numFmtId="43" fontId="12" fillId="6" borderId="4" xfId="0" applyNumberFormat="1" applyFont="1" applyFill="1" applyBorder="1" applyAlignment="1">
      <alignment horizontal="center" vertical="center"/>
    </xf>
    <xf numFmtId="0" fontId="149" fillId="20" borderId="0" xfId="0" applyFont="1" applyFill="1"/>
    <xf numFmtId="174" fontId="149" fillId="20" borderId="0" xfId="0" applyNumberFormat="1" applyFont="1" applyFill="1"/>
    <xf numFmtId="0" fontId="149" fillId="20" borderId="4" xfId="0" applyFont="1" applyFill="1" applyBorder="1"/>
    <xf numFmtId="174" fontId="149" fillId="20" borderId="4" xfId="0" applyNumberFormat="1" applyFont="1" applyFill="1" applyBorder="1"/>
    <xf numFmtId="43" fontId="149" fillId="37" borderId="0" xfId="1" applyFont="1" applyFill="1" applyAlignment="1">
      <alignment horizontal="center"/>
    </xf>
    <xf numFmtId="43" fontId="149" fillId="37" borderId="4" xfId="1" applyFont="1" applyFill="1" applyBorder="1" applyAlignment="1">
      <alignment horizontal="center"/>
    </xf>
    <xf numFmtId="0" fontId="0" fillId="4" borderId="0" xfId="0" applyFill="1" applyAlignment="1">
      <alignment vertical="center" wrapText="1"/>
    </xf>
    <xf numFmtId="0" fontId="23" fillId="0" borderId="3" xfId="0" applyFont="1" applyBorder="1" applyAlignment="1">
      <alignment horizontal="left" wrapText="1"/>
    </xf>
    <xf numFmtId="0" fontId="98" fillId="6" borderId="0" xfId="25" applyFont="1" applyFill="1" applyAlignment="1">
      <alignment vertical="center"/>
    </xf>
    <xf numFmtId="0" fontId="98" fillId="6" borderId="0" xfId="25" applyFont="1" applyFill="1" applyAlignment="1">
      <alignment horizontal="center" vertical="center"/>
    </xf>
    <xf numFmtId="166" fontId="98" fillId="2" borderId="0" xfId="1" applyNumberFormat="1" applyFont="1" applyFill="1"/>
    <xf numFmtId="166" fontId="5" fillId="0" borderId="0" xfId="1" applyNumberFormat="1" applyFont="1"/>
    <xf numFmtId="0" fontId="26" fillId="6" borderId="21" xfId="25" applyFont="1" applyFill="1" applyBorder="1" applyAlignment="1">
      <alignment vertical="center"/>
    </xf>
    <xf numFmtId="0" fontId="16" fillId="6" borderId="21" xfId="11" applyFont="1" applyFill="1" applyBorder="1" applyAlignment="1">
      <alignment horizontal="right" vertical="center"/>
    </xf>
    <xf numFmtId="0" fontId="84" fillId="2" borderId="0" xfId="3" applyFont="1" applyFill="1"/>
    <xf numFmtId="166" fontId="5" fillId="2" borderId="0" xfId="1" applyNumberFormat="1" applyFont="1" applyFill="1"/>
    <xf numFmtId="166" fontId="20" fillId="2" borderId="0" xfId="1" applyNumberFormat="1" applyFont="1" applyFill="1" applyBorder="1" applyAlignment="1">
      <alignment horizontal="right"/>
    </xf>
    <xf numFmtId="166" fontId="41" fillId="2" borderId="0" xfId="1" applyNumberFormat="1" applyFont="1" applyFill="1" applyAlignment="1">
      <alignment horizontal="right"/>
    </xf>
    <xf numFmtId="166" fontId="41" fillId="2" borderId="0" xfId="1" applyNumberFormat="1" applyFont="1" applyFill="1" applyBorder="1" applyAlignment="1">
      <alignment horizontal="right"/>
    </xf>
    <xf numFmtId="0" fontId="22" fillId="2" borderId="3" xfId="3" applyFont="1" applyFill="1" applyBorder="1"/>
    <xf numFmtId="166" fontId="23" fillId="2" borderId="3" xfId="1" applyNumberFormat="1" applyFont="1" applyFill="1" applyBorder="1" applyAlignment="1">
      <alignment horizontal="right"/>
    </xf>
    <xf numFmtId="0" fontId="109" fillId="2" borderId="0" xfId="3" applyFont="1" applyFill="1"/>
    <xf numFmtId="0" fontId="16" fillId="2" borderId="3" xfId="24" applyFont="1" applyFill="1" applyBorder="1"/>
    <xf numFmtId="0" fontId="16" fillId="2" borderId="0" xfId="24" applyFont="1" applyFill="1"/>
    <xf numFmtId="0" fontId="108" fillId="2" borderId="0" xfId="3" applyFont="1" applyFill="1"/>
    <xf numFmtId="0" fontId="23" fillId="6" borderId="0" xfId="0" applyFont="1" applyFill="1" applyAlignment="1">
      <alignment horizontal="left" vertical="center"/>
    </xf>
    <xf numFmtId="0" fontId="23" fillId="20" borderId="115" xfId="0" applyFont="1" applyFill="1" applyBorder="1" applyAlignment="1">
      <alignment horizontal="center" vertical="center"/>
    </xf>
    <xf numFmtId="9" fontId="20" fillId="6" borderId="0" xfId="2" applyFont="1" applyFill="1" applyAlignment="1">
      <alignment horizontal="center" vertical="center"/>
    </xf>
    <xf numFmtId="166" fontId="0" fillId="11" borderId="9" xfId="1" applyNumberFormat="1" applyFont="1" applyFill="1" applyBorder="1" applyAlignment="1">
      <alignment vertical="center"/>
    </xf>
    <xf numFmtId="166" fontId="0" fillId="11" borderId="0" xfId="1" applyNumberFormat="1" applyFont="1" applyFill="1" applyAlignment="1">
      <alignment vertical="center"/>
    </xf>
    <xf numFmtId="166" fontId="0" fillId="11" borderId="4" xfId="1" applyNumberFormat="1" applyFont="1" applyFill="1" applyBorder="1" applyAlignment="1">
      <alignment vertical="center"/>
    </xf>
    <xf numFmtId="43" fontId="3" fillId="0" borderId="0" xfId="1" applyFont="1" applyAlignment="1">
      <alignment horizontal="right"/>
    </xf>
    <xf numFmtId="0" fontId="23" fillId="20" borderId="24" xfId="0" applyFont="1" applyFill="1" applyBorder="1" applyAlignment="1">
      <alignment horizontal="center" vertical="center"/>
    </xf>
    <xf numFmtId="166" fontId="0" fillId="6" borderId="0" xfId="1" applyNumberFormat="1" applyFont="1" applyFill="1" applyBorder="1"/>
    <xf numFmtId="166" fontId="10" fillId="6" borderId="4" xfId="1" applyNumberFormat="1" applyFont="1" applyFill="1" applyBorder="1"/>
    <xf numFmtId="166" fontId="16" fillId="6" borderId="3" xfId="1" applyNumberFormat="1" applyFont="1" applyFill="1" applyBorder="1"/>
    <xf numFmtId="9" fontId="14" fillId="6" borderId="0" xfId="2" applyFont="1" applyFill="1" applyAlignment="1">
      <alignment horizontal="left" vertical="center"/>
    </xf>
    <xf numFmtId="9" fontId="23" fillId="6" borderId="4" xfId="2" applyFont="1" applyFill="1" applyBorder="1" applyAlignment="1">
      <alignment horizontal="left" vertical="center"/>
    </xf>
    <xf numFmtId="166" fontId="63" fillId="20" borderId="24" xfId="0" applyNumberFormat="1" applyFont="1" applyFill="1" applyBorder="1" applyAlignment="1">
      <alignment vertical="center"/>
    </xf>
    <xf numFmtId="166" fontId="0" fillId="6" borderId="0" xfId="0" applyNumberFormat="1" applyFill="1"/>
    <xf numFmtId="166" fontId="0" fillId="6" borderId="4" xfId="0" applyNumberFormat="1" applyFill="1" applyBorder="1"/>
    <xf numFmtId="166" fontId="23" fillId="20" borderId="25" xfId="1" applyNumberFormat="1" applyFont="1" applyFill="1" applyBorder="1" applyProtection="1">
      <protection locked="0"/>
    </xf>
    <xf numFmtId="166" fontId="23" fillId="20" borderId="0" xfId="1" applyNumberFormat="1" applyFont="1" applyFill="1" applyProtection="1">
      <protection locked="0"/>
    </xf>
    <xf numFmtId="9" fontId="20" fillId="20" borderId="0" xfId="2" applyFont="1" applyFill="1" applyBorder="1" applyProtection="1">
      <protection locked="0"/>
    </xf>
    <xf numFmtId="9" fontId="20" fillId="20" borderId="0" xfId="2" applyFont="1" applyFill="1" applyProtection="1">
      <protection locked="0"/>
    </xf>
    <xf numFmtId="9" fontId="20" fillId="20" borderId="4" xfId="2" applyFont="1" applyFill="1" applyBorder="1" applyProtection="1">
      <protection locked="0"/>
    </xf>
    <xf numFmtId="0" fontId="23" fillId="20" borderId="0" xfId="0" applyFont="1" applyFill="1" applyProtection="1">
      <protection locked="0"/>
    </xf>
    <xf numFmtId="9" fontId="23" fillId="20" borderId="0" xfId="2" applyFont="1" applyFill="1" applyBorder="1" applyProtection="1">
      <protection locked="0"/>
    </xf>
    <xf numFmtId="0" fontId="22" fillId="23" borderId="0" xfId="0" applyFont="1" applyFill="1"/>
    <xf numFmtId="166" fontId="20" fillId="20" borderId="0" xfId="1" applyNumberFormat="1" applyFont="1" applyFill="1" applyBorder="1" applyProtection="1">
      <protection locked="0"/>
    </xf>
    <xf numFmtId="43" fontId="20" fillId="6" borderId="0" xfId="1" applyFont="1" applyFill="1" applyAlignment="1" applyProtection="1">
      <alignment vertical="center"/>
      <protection locked="0"/>
    </xf>
    <xf numFmtId="0" fontId="20" fillId="6" borderId="0" xfId="0" applyFont="1" applyFill="1" applyProtection="1">
      <protection locked="0"/>
    </xf>
    <xf numFmtId="0" fontId="20" fillId="5" borderId="0" xfId="3" applyFont="1" applyFill="1" applyProtection="1">
      <protection locked="0"/>
    </xf>
    <xf numFmtId="0" fontId="20" fillId="5" borderId="0" xfId="3" applyFont="1" applyFill="1" applyAlignment="1" applyProtection="1">
      <alignment horizontal="right"/>
      <protection locked="0"/>
    </xf>
    <xf numFmtId="0" fontId="23" fillId="5" borderId="0" xfId="3" applyFont="1" applyFill="1" applyAlignment="1" applyProtection="1">
      <alignment horizontal="left"/>
      <protection locked="0"/>
    </xf>
    <xf numFmtId="167" fontId="20" fillId="6" borderId="4" xfId="1" applyNumberFormat="1" applyFont="1" applyFill="1" applyBorder="1" applyAlignment="1">
      <alignment horizontal="right" vertical="center"/>
    </xf>
    <xf numFmtId="43" fontId="0" fillId="4" borderId="0" xfId="1" applyFont="1" applyFill="1" applyProtection="1">
      <protection hidden="1"/>
    </xf>
    <xf numFmtId="43" fontId="0" fillId="0" borderId="0" xfId="1" applyFont="1" applyProtection="1">
      <protection hidden="1"/>
    </xf>
    <xf numFmtId="166" fontId="0" fillId="0" borderId="0" xfId="0" applyNumberFormat="1" applyProtection="1">
      <protection hidden="1"/>
    </xf>
    <xf numFmtId="0" fontId="10" fillId="11" borderId="31" xfId="0" applyFont="1" applyFill="1" applyBorder="1" applyProtection="1">
      <protection hidden="1"/>
    </xf>
    <xf numFmtId="0" fontId="10" fillId="11" borderId="116" xfId="0" applyFont="1" applyFill="1" applyBorder="1" applyProtection="1">
      <protection hidden="1"/>
    </xf>
    <xf numFmtId="0" fontId="10" fillId="11" borderId="116" xfId="0" applyFont="1" applyFill="1" applyBorder="1" applyAlignment="1" applyProtection="1">
      <alignment horizontal="center"/>
      <protection hidden="1"/>
    </xf>
    <xf numFmtId="0" fontId="3" fillId="6" borderId="3" xfId="0" applyFont="1" applyFill="1" applyBorder="1" applyAlignment="1" applyProtection="1">
      <alignment vertical="center"/>
      <protection hidden="1"/>
    </xf>
    <xf numFmtId="0" fontId="16" fillId="2" borderId="117" xfId="0" applyFont="1" applyFill="1" applyBorder="1" applyAlignment="1" applyProtection="1">
      <alignment vertical="center"/>
      <protection hidden="1"/>
    </xf>
    <xf numFmtId="0" fontId="16" fillId="2" borderId="117" xfId="0" applyFont="1" applyFill="1" applyBorder="1" applyProtection="1">
      <protection hidden="1"/>
    </xf>
    <xf numFmtId="2" fontId="16" fillId="2" borderId="117" xfId="0" applyNumberFormat="1" applyFont="1" applyFill="1" applyBorder="1" applyProtection="1">
      <protection hidden="1"/>
    </xf>
    <xf numFmtId="185" fontId="0" fillId="0" borderId="0" xfId="1" applyNumberFormat="1" applyFont="1" applyProtection="1">
      <protection hidden="1"/>
    </xf>
    <xf numFmtId="43" fontId="20" fillId="4" borderId="0" xfId="1" applyFont="1" applyFill="1" applyBorder="1" applyAlignment="1" applyProtection="1">
      <alignment horizontal="center" vertical="center"/>
      <protection hidden="1"/>
    </xf>
    <xf numFmtId="43" fontId="14" fillId="4" borderId="3" xfId="1" applyFont="1" applyFill="1" applyBorder="1" applyAlignment="1" applyProtection="1">
      <alignment horizontal="center" vertical="center"/>
      <protection hidden="1"/>
    </xf>
    <xf numFmtId="0" fontId="55" fillId="29" borderId="0" xfId="11" applyFill="1" applyAlignment="1" applyProtection="1">
      <alignment horizontal="left" vertical="center"/>
      <protection hidden="1"/>
    </xf>
    <xf numFmtId="166" fontId="2" fillId="0" borderId="0" xfId="0" applyNumberFormat="1" applyFont="1"/>
    <xf numFmtId="0" fontId="128" fillId="2" borderId="96" xfId="0" applyFont="1" applyFill="1" applyBorder="1" applyAlignment="1" applyProtection="1">
      <alignment horizontal="left" vertical="center" wrapText="1"/>
      <protection hidden="1"/>
    </xf>
    <xf numFmtId="0" fontId="128" fillId="2" borderId="98" xfId="0" applyFont="1" applyFill="1" applyBorder="1" applyAlignment="1" applyProtection="1">
      <alignment horizontal="left" vertical="center"/>
      <protection hidden="1"/>
    </xf>
    <xf numFmtId="0" fontId="128" fillId="2" borderId="98" xfId="0" applyFont="1" applyFill="1" applyBorder="1" applyAlignment="1" applyProtection="1">
      <alignment horizontal="left" vertical="center" wrapText="1"/>
      <protection hidden="1"/>
    </xf>
    <xf numFmtId="0" fontId="128" fillId="2" borderId="99" xfId="0" applyFont="1" applyFill="1" applyBorder="1" applyAlignment="1" applyProtection="1">
      <alignment horizontal="left" vertical="center" wrapText="1"/>
      <protection hidden="1"/>
    </xf>
    <xf numFmtId="0" fontId="128" fillId="2" borderId="93" xfId="0" applyFont="1" applyFill="1" applyBorder="1" applyAlignment="1" applyProtection="1">
      <alignment horizontal="left" vertical="center"/>
      <protection hidden="1"/>
    </xf>
    <xf numFmtId="0" fontId="128" fillId="2" borderId="93" xfId="0" applyFont="1" applyFill="1" applyBorder="1" applyAlignment="1" applyProtection="1">
      <alignment horizontal="left" vertical="center" wrapText="1"/>
      <protection hidden="1"/>
    </xf>
    <xf numFmtId="0" fontId="128" fillId="2" borderId="112" xfId="0" applyFont="1" applyFill="1" applyBorder="1" applyAlignment="1" applyProtection="1">
      <alignment horizontal="left" vertical="center" wrapText="1"/>
      <protection hidden="1"/>
    </xf>
    <xf numFmtId="0" fontId="153" fillId="2" borderId="99" xfId="0" applyFont="1" applyFill="1" applyBorder="1" applyAlignment="1" applyProtection="1">
      <alignment horizontal="left" vertical="center" wrapText="1"/>
      <protection hidden="1"/>
    </xf>
    <xf numFmtId="0" fontId="128" fillId="2" borderId="112" xfId="0" applyFont="1" applyFill="1" applyBorder="1" applyAlignment="1" applyProtection="1">
      <alignment horizontal="left" vertical="center"/>
      <protection hidden="1"/>
    </xf>
    <xf numFmtId="0" fontId="153" fillId="2" borderId="110" xfId="0" applyFont="1" applyFill="1" applyBorder="1" applyAlignment="1" applyProtection="1">
      <alignment horizontal="left" vertical="center" wrapText="1"/>
      <protection hidden="1"/>
    </xf>
    <xf numFmtId="0" fontId="128" fillId="2" borderId="95" xfId="0" applyFont="1" applyFill="1" applyBorder="1" applyAlignment="1" applyProtection="1">
      <alignment horizontal="left" vertical="center"/>
      <protection hidden="1"/>
    </xf>
    <xf numFmtId="0" fontId="165" fillId="2" borderId="96" xfId="0" applyFont="1" applyFill="1" applyBorder="1" applyAlignment="1" applyProtection="1">
      <alignment horizontal="left" vertical="center" wrapText="1"/>
      <protection hidden="1"/>
    </xf>
    <xf numFmtId="0" fontId="128" fillId="2" borderId="97" xfId="0" applyFont="1" applyFill="1" applyBorder="1" applyAlignment="1" applyProtection="1">
      <alignment horizontal="left" vertical="center"/>
      <protection hidden="1"/>
    </xf>
    <xf numFmtId="0" fontId="128" fillId="2" borderId="92" xfId="0" applyFont="1" applyFill="1" applyBorder="1" applyAlignment="1" applyProtection="1">
      <alignment horizontal="left" vertical="center"/>
      <protection hidden="1"/>
    </xf>
    <xf numFmtId="0" fontId="128" fillId="2" borderId="0" xfId="0" applyFont="1" applyFill="1" applyAlignment="1" applyProtection="1">
      <alignment horizontal="left" wrapText="1"/>
      <protection hidden="1"/>
    </xf>
    <xf numFmtId="0" fontId="153" fillId="2" borderId="96" xfId="0" applyFont="1" applyFill="1" applyBorder="1" applyAlignment="1" applyProtection="1">
      <alignment horizontal="center" vertical="center" wrapText="1"/>
      <protection hidden="1"/>
    </xf>
    <xf numFmtId="0" fontId="128" fillId="2" borderId="108" xfId="0" applyFont="1" applyFill="1" applyBorder="1" applyAlignment="1" applyProtection="1">
      <alignment horizontal="left" vertical="center"/>
      <protection hidden="1"/>
    </xf>
    <xf numFmtId="0" fontId="128" fillId="2" borderId="109" xfId="0" applyFont="1" applyFill="1" applyBorder="1" applyAlignment="1" applyProtection="1">
      <alignment horizontal="left" vertical="center"/>
      <protection hidden="1"/>
    </xf>
    <xf numFmtId="0" fontId="128" fillId="2" borderId="109" xfId="0" applyFont="1" applyFill="1" applyBorder="1" applyAlignment="1" applyProtection="1">
      <alignment horizontal="left" vertical="center" wrapText="1"/>
      <protection hidden="1"/>
    </xf>
    <xf numFmtId="0" fontId="128" fillId="2" borderId="0" xfId="0" applyFont="1" applyFill="1" applyAlignment="1" applyProtection="1">
      <alignment horizontal="left" vertical="center"/>
      <protection hidden="1"/>
    </xf>
    <xf numFmtId="0" fontId="128" fillId="2" borderId="0" xfId="0" applyFont="1" applyFill="1" applyAlignment="1" applyProtection="1">
      <alignment horizontal="left" vertical="center" wrapText="1"/>
      <protection hidden="1"/>
    </xf>
    <xf numFmtId="0" fontId="153" fillId="2" borderId="0" xfId="0" applyFont="1" applyFill="1" applyAlignment="1" applyProtection="1">
      <alignment horizontal="left" vertical="center" wrapText="1"/>
      <protection hidden="1"/>
    </xf>
    <xf numFmtId="0" fontId="128" fillId="2" borderId="111" xfId="0" applyFont="1" applyFill="1" applyBorder="1" applyAlignment="1" applyProtection="1">
      <alignment horizontal="left" vertical="center"/>
      <protection hidden="1"/>
    </xf>
    <xf numFmtId="0" fontId="153" fillId="2" borderId="113" xfId="0" applyFont="1" applyFill="1" applyBorder="1" applyAlignment="1" applyProtection="1">
      <alignment horizontal="left" vertical="center" wrapText="1"/>
      <protection hidden="1"/>
    </xf>
    <xf numFmtId="0" fontId="128" fillId="2" borderId="78" xfId="0" applyFont="1" applyFill="1" applyBorder="1" applyAlignment="1" applyProtection="1">
      <alignment horizontal="center" vertical="center" wrapText="1"/>
      <protection hidden="1"/>
    </xf>
    <xf numFmtId="0" fontId="165" fillId="2" borderId="99" xfId="0" applyFont="1" applyFill="1" applyBorder="1" applyAlignment="1" applyProtection="1">
      <alignment horizontal="left" vertical="center" wrapText="1"/>
      <protection hidden="1"/>
    </xf>
    <xf numFmtId="0" fontId="20" fillId="2" borderId="0" xfId="0" applyFont="1" applyFill="1" applyAlignment="1" applyProtection="1">
      <alignment horizontal="left" vertical="center" wrapText="1"/>
      <protection hidden="1"/>
    </xf>
    <xf numFmtId="0" fontId="84" fillId="2" borderId="0" xfId="0" applyFont="1" applyFill="1" applyAlignment="1" applyProtection="1">
      <alignment horizontal="left" vertical="center" wrapText="1"/>
      <protection hidden="1"/>
    </xf>
    <xf numFmtId="168" fontId="0" fillId="2" borderId="0" xfId="0" applyNumberFormat="1" applyFill="1" applyProtection="1">
      <protection hidden="1"/>
    </xf>
    <xf numFmtId="0" fontId="91" fillId="2" borderId="33" xfId="0" applyFont="1" applyFill="1" applyBorder="1"/>
    <xf numFmtId="0" fontId="167" fillId="2" borderId="0" xfId="11" applyFont="1" applyFill="1" applyProtection="1">
      <protection hidden="1"/>
    </xf>
    <xf numFmtId="0" fontId="36" fillId="2" borderId="0" xfId="0" applyFont="1" applyFill="1" applyAlignment="1" applyProtection="1">
      <alignment horizontal="right"/>
      <protection hidden="1"/>
    </xf>
    <xf numFmtId="0" fontId="0" fillId="2" borderId="72" xfId="0" applyFill="1" applyBorder="1" applyProtection="1">
      <protection hidden="1"/>
    </xf>
    <xf numFmtId="0" fontId="128" fillId="0" borderId="113" xfId="0" applyFont="1" applyBorder="1" applyAlignment="1" applyProtection="1">
      <alignment horizontal="left" vertical="center" wrapText="1"/>
      <protection hidden="1"/>
    </xf>
    <xf numFmtId="2" fontId="155" fillId="2" borderId="0" xfId="0" applyNumberFormat="1" applyFont="1" applyFill="1" applyProtection="1">
      <protection hidden="1"/>
    </xf>
    <xf numFmtId="43" fontId="10" fillId="6" borderId="0" xfId="1" applyFont="1" applyFill="1" applyProtection="1">
      <protection hidden="1"/>
    </xf>
    <xf numFmtId="43" fontId="10" fillId="6" borderId="4" xfId="1" applyFont="1" applyFill="1" applyBorder="1" applyProtection="1">
      <protection hidden="1"/>
    </xf>
    <xf numFmtId="0" fontId="153" fillId="2" borderId="78" xfId="0" applyFont="1" applyFill="1" applyBorder="1" applyAlignment="1" applyProtection="1">
      <alignment horizontal="left" vertical="center" wrapText="1"/>
      <protection hidden="1"/>
    </xf>
    <xf numFmtId="0" fontId="16" fillId="6" borderId="0" xfId="11" applyFont="1" applyFill="1"/>
    <xf numFmtId="0" fontId="26" fillId="6" borderId="8" xfId="24" applyFont="1" applyFill="1" applyBorder="1" applyAlignment="1">
      <alignment horizontal="center" vertical="center" wrapText="1"/>
    </xf>
    <xf numFmtId="0" fontId="98" fillId="6" borderId="8" xfId="24" applyFont="1" applyFill="1" applyBorder="1" applyAlignment="1">
      <alignment horizontal="center" vertical="center"/>
    </xf>
    <xf numFmtId="0" fontId="0" fillId="6" borderId="19" xfId="0" applyFill="1" applyBorder="1"/>
    <xf numFmtId="9" fontId="41" fillId="6" borderId="19" xfId="24" applyNumberFormat="1" applyFont="1" applyFill="1" applyBorder="1" applyAlignment="1">
      <alignment vertical="center"/>
    </xf>
    <xf numFmtId="0" fontId="128" fillId="0" borderId="112" xfId="0" applyFont="1" applyBorder="1" applyAlignment="1" applyProtection="1">
      <alignment horizontal="left" vertical="center" wrapText="1"/>
      <protection hidden="1"/>
    </xf>
    <xf numFmtId="0" fontId="128" fillId="2" borderId="119" xfId="0" applyFont="1" applyFill="1" applyBorder="1" applyAlignment="1" applyProtection="1">
      <alignment horizontal="left" vertical="center"/>
      <protection hidden="1"/>
    </xf>
    <xf numFmtId="0" fontId="128" fillId="2" borderId="119" xfId="0" applyFont="1" applyFill="1" applyBorder="1" applyAlignment="1" applyProtection="1">
      <alignment horizontal="left" vertical="center" wrapText="1"/>
      <protection hidden="1"/>
    </xf>
    <xf numFmtId="0" fontId="128" fillId="2" borderId="120" xfId="0" applyFont="1" applyFill="1" applyBorder="1" applyAlignment="1" applyProtection="1">
      <alignment horizontal="left" vertical="center"/>
      <protection hidden="1"/>
    </xf>
    <xf numFmtId="0" fontId="153" fillId="2" borderId="118" xfId="0" applyFont="1" applyFill="1" applyBorder="1" applyAlignment="1" applyProtection="1">
      <alignment horizontal="left" vertical="center" wrapText="1"/>
      <protection hidden="1"/>
    </xf>
    <xf numFmtId="0" fontId="128" fillId="2" borderId="95" xfId="0" applyFont="1" applyFill="1" applyBorder="1" applyAlignment="1" applyProtection="1">
      <alignment horizontal="left" vertical="center" wrapText="1"/>
      <protection hidden="1"/>
    </xf>
    <xf numFmtId="0" fontId="128" fillId="0" borderId="121" xfId="0" applyFont="1" applyBorder="1" applyAlignment="1" applyProtection="1">
      <alignment horizontal="left" vertical="center" wrapText="1"/>
      <protection hidden="1"/>
    </xf>
    <xf numFmtId="0" fontId="128" fillId="2" borderId="122" xfId="0" applyFont="1" applyFill="1" applyBorder="1" applyAlignment="1" applyProtection="1">
      <alignment horizontal="left" vertical="center" wrapText="1"/>
      <protection hidden="1"/>
    </xf>
    <xf numFmtId="0" fontId="128" fillId="2" borderId="123" xfId="0" applyFont="1" applyFill="1" applyBorder="1" applyAlignment="1" applyProtection="1">
      <alignment horizontal="left" vertical="center"/>
      <protection hidden="1"/>
    </xf>
    <xf numFmtId="0" fontId="128" fillId="2" borderId="124" xfId="0" applyFont="1" applyFill="1" applyBorder="1" applyAlignment="1" applyProtection="1">
      <alignment horizontal="left" vertical="center"/>
      <protection hidden="1"/>
    </xf>
    <xf numFmtId="0" fontId="127" fillId="0" borderId="108" xfId="0" applyFont="1" applyBorder="1" applyAlignment="1" applyProtection="1">
      <alignment horizontal="left" vertical="center"/>
      <protection hidden="1"/>
    </xf>
    <xf numFmtId="0" fontId="127" fillId="0" borderId="109" xfId="0" applyFont="1" applyBorder="1" applyAlignment="1" applyProtection="1">
      <alignment horizontal="left" vertical="center"/>
      <protection hidden="1"/>
    </xf>
    <xf numFmtId="0" fontId="128" fillId="0" borderId="125" xfId="0" applyFont="1" applyBorder="1" applyAlignment="1" applyProtection="1">
      <alignment horizontal="left" vertical="center"/>
      <protection hidden="1"/>
    </xf>
    <xf numFmtId="0" fontId="127" fillId="0" borderId="126" xfId="0" applyFont="1" applyBorder="1" applyAlignment="1" applyProtection="1">
      <alignment horizontal="left" vertical="center"/>
      <protection hidden="1"/>
    </xf>
    <xf numFmtId="0" fontId="127" fillId="0" borderId="127" xfId="0" applyFont="1" applyBorder="1" applyAlignment="1" applyProtection="1">
      <alignment horizontal="left" vertical="center" wrapText="1"/>
      <protection hidden="1"/>
    </xf>
    <xf numFmtId="0" fontId="128" fillId="0" borderId="128" xfId="0" applyFont="1" applyBorder="1" applyAlignment="1" applyProtection="1">
      <alignment horizontal="left" vertical="center"/>
      <protection hidden="1"/>
    </xf>
    <xf numFmtId="0" fontId="128" fillId="2" borderId="129" xfId="0" applyFont="1" applyFill="1" applyBorder="1" applyAlignment="1" applyProtection="1">
      <alignment horizontal="left" vertical="center"/>
      <protection hidden="1"/>
    </xf>
    <xf numFmtId="0" fontId="128" fillId="2" borderId="130" xfId="0" applyFont="1" applyFill="1" applyBorder="1" applyAlignment="1" applyProtection="1">
      <alignment horizontal="left" vertical="center"/>
      <protection hidden="1"/>
    </xf>
    <xf numFmtId="4" fontId="23" fillId="9" borderId="3" xfId="1" applyNumberFormat="1" applyFont="1" applyFill="1" applyBorder="1" applyAlignment="1">
      <alignment horizontal="center"/>
    </xf>
    <xf numFmtId="0" fontId="3" fillId="6" borderId="10" xfId="0" applyFont="1" applyFill="1" applyBorder="1" applyAlignment="1" applyProtection="1">
      <alignment horizontal="center" vertical="center"/>
      <protection hidden="1"/>
    </xf>
    <xf numFmtId="0" fontId="3" fillId="6" borderId="0" xfId="0" applyFont="1" applyFill="1" applyAlignment="1" applyProtection="1">
      <alignment horizontal="left" vertical="center"/>
      <protection hidden="1"/>
    </xf>
    <xf numFmtId="0" fontId="3" fillId="6" borderId="0" xfId="0" applyFont="1" applyFill="1" applyAlignment="1" applyProtection="1">
      <alignment horizontal="center" vertical="center"/>
      <protection hidden="1"/>
    </xf>
    <xf numFmtId="0" fontId="61" fillId="31" borderId="0" xfId="0" applyFont="1" applyFill="1" applyAlignment="1">
      <alignment vertical="center"/>
    </xf>
    <xf numFmtId="0" fontId="61" fillId="31" borderId="91" xfId="0" applyFont="1" applyFill="1" applyBorder="1" applyAlignment="1">
      <alignment vertical="center"/>
    </xf>
    <xf numFmtId="0" fontId="61" fillId="31" borderId="4" xfId="0" applyFont="1" applyFill="1" applyBorder="1" applyAlignment="1">
      <alignment vertical="center"/>
    </xf>
    <xf numFmtId="0" fontId="64" fillId="20" borderId="21" xfId="0" applyFont="1" applyFill="1" applyBorder="1" applyAlignment="1" applyProtection="1">
      <alignment horizontal="center" vertical="center"/>
      <protection hidden="1"/>
    </xf>
    <xf numFmtId="0" fontId="64" fillId="20" borderId="24" xfId="0" applyFont="1" applyFill="1" applyBorder="1" applyAlignment="1" applyProtection="1">
      <alignment vertical="center"/>
      <protection hidden="1"/>
    </xf>
    <xf numFmtId="0" fontId="61" fillId="20" borderId="25" xfId="0" applyFont="1" applyFill="1" applyBorder="1" applyAlignment="1" applyProtection="1">
      <alignment vertical="center"/>
      <protection hidden="1"/>
    </xf>
    <xf numFmtId="0" fontId="61" fillId="20" borderId="0" xfId="0" applyFont="1" applyFill="1" applyAlignment="1" applyProtection="1">
      <alignment vertical="center"/>
      <protection hidden="1"/>
    </xf>
    <xf numFmtId="0" fontId="10" fillId="20" borderId="4" xfId="0" applyFont="1" applyFill="1" applyBorder="1" applyAlignment="1" applyProtection="1">
      <alignment vertical="center"/>
      <protection hidden="1"/>
    </xf>
    <xf numFmtId="0" fontId="170" fillId="20" borderId="0" xfId="0" applyFont="1" applyFill="1" applyAlignment="1" applyProtection="1">
      <alignment vertical="center"/>
      <protection hidden="1"/>
    </xf>
    <xf numFmtId="0" fontId="10" fillId="20" borderId="0" xfId="0" applyFont="1" applyFill="1" applyProtection="1">
      <protection hidden="1"/>
    </xf>
    <xf numFmtId="0" fontId="64" fillId="20" borderId="0" xfId="0" applyFont="1" applyFill="1" applyProtection="1">
      <protection hidden="1"/>
    </xf>
    <xf numFmtId="0" fontId="3" fillId="7" borderId="0" xfId="0" applyFont="1" applyFill="1" applyAlignment="1" applyProtection="1">
      <alignment horizontal="right"/>
      <protection hidden="1"/>
    </xf>
    <xf numFmtId="0" fontId="61" fillId="20" borderId="40" xfId="0" applyFont="1" applyFill="1" applyBorder="1" applyAlignment="1" applyProtection="1">
      <alignment vertical="center"/>
      <protection hidden="1"/>
    </xf>
    <xf numFmtId="0" fontId="64" fillId="20" borderId="40" xfId="0" applyFont="1" applyFill="1" applyBorder="1" applyAlignment="1" applyProtection="1">
      <alignment vertical="center"/>
      <protection hidden="1"/>
    </xf>
    <xf numFmtId="2" fontId="27" fillId="20" borderId="22" xfId="1" applyNumberFormat="1" applyFont="1" applyFill="1" applyBorder="1" applyAlignment="1" applyProtection="1">
      <alignment horizontal="right" vertical="center"/>
      <protection hidden="1"/>
    </xf>
    <xf numFmtId="0" fontId="16" fillId="6" borderId="0" xfId="3" applyFont="1" applyFill="1" applyAlignment="1" applyProtection="1">
      <alignment vertical="center"/>
      <protection hidden="1"/>
    </xf>
    <xf numFmtId="0" fontId="10" fillId="6" borderId="0" xfId="3" applyFont="1" applyFill="1" applyProtection="1">
      <protection hidden="1"/>
    </xf>
    <xf numFmtId="0" fontId="16" fillId="6" borderId="8" xfId="0" applyFont="1" applyFill="1" applyBorder="1" applyAlignment="1" applyProtection="1">
      <alignment vertical="center"/>
      <protection hidden="1"/>
    </xf>
    <xf numFmtId="0" fontId="16" fillId="6" borderId="12" xfId="0" applyFont="1" applyFill="1" applyBorder="1" applyAlignment="1" applyProtection="1">
      <alignment vertical="center"/>
      <protection hidden="1"/>
    </xf>
    <xf numFmtId="0" fontId="16" fillId="6" borderId="12" xfId="0" applyFont="1" applyFill="1" applyBorder="1" applyAlignment="1" applyProtection="1">
      <alignment horizontal="right" vertical="center"/>
      <protection hidden="1"/>
    </xf>
    <xf numFmtId="0" fontId="10" fillId="6" borderId="30" xfId="3" applyFont="1" applyFill="1" applyBorder="1" applyAlignment="1" applyProtection="1">
      <alignment vertical="center"/>
      <protection hidden="1"/>
    </xf>
    <xf numFmtId="0" fontId="10" fillId="6" borderId="30" xfId="0" applyFont="1" applyFill="1" applyBorder="1" applyAlignment="1" applyProtection="1">
      <alignment vertical="center"/>
      <protection hidden="1"/>
    </xf>
    <xf numFmtId="2" fontId="2" fillId="6" borderId="30" xfId="2" applyNumberFormat="1" applyFont="1" applyFill="1" applyBorder="1" applyAlignment="1" applyProtection="1">
      <alignment vertical="center"/>
      <protection hidden="1"/>
    </xf>
    <xf numFmtId="0" fontId="10" fillId="6" borderId="0" xfId="3" applyFont="1" applyFill="1" applyAlignment="1" applyProtection="1">
      <alignment vertical="center"/>
      <protection hidden="1"/>
    </xf>
    <xf numFmtId="2" fontId="171" fillId="6" borderId="0" xfId="2" applyNumberFormat="1" applyFont="1" applyFill="1" applyAlignment="1" applyProtection="1">
      <alignment vertical="center"/>
      <protection hidden="1"/>
    </xf>
    <xf numFmtId="182" fontId="10" fillId="6" borderId="0" xfId="2" applyNumberFormat="1" applyFont="1" applyFill="1" applyAlignment="1" applyProtection="1">
      <alignment vertical="center"/>
      <protection hidden="1"/>
    </xf>
    <xf numFmtId="11" fontId="10" fillId="6" borderId="30" xfId="3" applyNumberFormat="1" applyFont="1" applyFill="1" applyBorder="1" applyAlignment="1" applyProtection="1">
      <alignment vertical="center"/>
      <protection hidden="1"/>
    </xf>
    <xf numFmtId="0" fontId="16" fillId="6" borderId="12" xfId="0" applyFont="1" applyFill="1" applyBorder="1" applyAlignment="1" applyProtection="1">
      <alignment horizontal="center" vertical="center"/>
      <protection hidden="1"/>
    </xf>
    <xf numFmtId="0" fontId="16" fillId="6" borderId="8" xfId="21" applyFont="1" applyFill="1" applyBorder="1" applyAlignment="1" applyProtection="1">
      <alignment vertical="center"/>
      <protection hidden="1"/>
    </xf>
    <xf numFmtId="0" fontId="10" fillId="6" borderId="10" xfId="0" applyFont="1" applyFill="1" applyBorder="1" applyAlignment="1" applyProtection="1">
      <alignment vertical="center" wrapText="1"/>
      <protection hidden="1"/>
    </xf>
    <xf numFmtId="9" fontId="0" fillId="6" borderId="0" xfId="2" applyFont="1" applyFill="1" applyBorder="1" applyAlignment="1" applyProtection="1">
      <alignment horizontal="center" vertical="center"/>
      <protection hidden="1"/>
    </xf>
    <xf numFmtId="0" fontId="64" fillId="20" borderId="24" xfId="0" applyFont="1" applyFill="1" applyBorder="1" applyAlignment="1" applyProtection="1">
      <alignment horizontal="left" vertical="center"/>
      <protection hidden="1"/>
    </xf>
    <xf numFmtId="0" fontId="64" fillId="20" borderId="24" xfId="0" applyFont="1" applyFill="1" applyBorder="1" applyAlignment="1" applyProtection="1">
      <alignment horizontal="right" vertical="center"/>
      <protection hidden="1"/>
    </xf>
    <xf numFmtId="1" fontId="0" fillId="6" borderId="0" xfId="1" applyNumberFormat="1" applyFont="1" applyFill="1" applyBorder="1" applyAlignment="1" applyProtection="1">
      <alignment horizontal="center" vertical="center"/>
      <protection hidden="1"/>
    </xf>
    <xf numFmtId="2" fontId="10" fillId="6" borderId="0" xfId="1" applyNumberFormat="1" applyFont="1" applyFill="1" applyBorder="1" applyAlignment="1" applyProtection="1">
      <alignment horizontal="center" vertical="center"/>
      <protection hidden="1"/>
    </xf>
    <xf numFmtId="1" fontId="0" fillId="6" borderId="4" xfId="1" applyNumberFormat="1" applyFont="1" applyFill="1" applyBorder="1" applyAlignment="1" applyProtection="1">
      <alignment horizontal="center" vertical="center"/>
      <protection hidden="1"/>
    </xf>
    <xf numFmtId="2" fontId="10" fillId="6" borderId="4" xfId="1" applyNumberFormat="1" applyFont="1" applyFill="1" applyBorder="1" applyAlignment="1" applyProtection="1">
      <alignment horizontal="center" vertical="center"/>
      <protection hidden="1"/>
    </xf>
    <xf numFmtId="0" fontId="146" fillId="2" borderId="0" xfId="0" applyFont="1" applyFill="1" applyProtection="1">
      <protection hidden="1"/>
    </xf>
    <xf numFmtId="0" fontId="0" fillId="6" borderId="39" xfId="0" applyFill="1" applyBorder="1"/>
    <xf numFmtId="0" fontId="0" fillId="41" borderId="39" xfId="0" applyFill="1" applyBorder="1"/>
    <xf numFmtId="0" fontId="0" fillId="4" borderId="39" xfId="0" applyFill="1" applyBorder="1"/>
    <xf numFmtId="166" fontId="3" fillId="42" borderId="39" xfId="1" applyNumberFormat="1" applyFont="1" applyFill="1" applyBorder="1"/>
    <xf numFmtId="4" fontId="3" fillId="42" borderId="39" xfId="0" applyNumberFormat="1" applyFont="1" applyFill="1" applyBorder="1"/>
    <xf numFmtId="0" fontId="21" fillId="0" borderId="0" xfId="0" applyFont="1" applyProtection="1">
      <protection hidden="1"/>
    </xf>
    <xf numFmtId="0" fontId="13" fillId="44" borderId="0" xfId="0" applyFont="1" applyFill="1" applyProtection="1">
      <protection hidden="1"/>
    </xf>
    <xf numFmtId="0" fontId="13" fillId="38" borderId="0" xfId="0" applyFont="1" applyFill="1" applyProtection="1">
      <protection hidden="1"/>
    </xf>
    <xf numFmtId="0" fontId="13" fillId="45" borderId="0" xfId="0" applyFont="1" applyFill="1" applyProtection="1">
      <protection hidden="1"/>
    </xf>
    <xf numFmtId="0" fontId="13" fillId="29" borderId="0" xfId="0" applyFont="1" applyFill="1" applyProtection="1">
      <protection hidden="1"/>
    </xf>
    <xf numFmtId="0" fontId="0" fillId="42" borderId="39" xfId="0" applyFill="1" applyBorder="1"/>
    <xf numFmtId="0" fontId="0" fillId="6" borderId="137" xfId="0" applyFill="1" applyBorder="1"/>
    <xf numFmtId="0" fontId="0" fillId="6" borderId="138" xfId="0" applyFill="1" applyBorder="1"/>
    <xf numFmtId="0" fontId="0" fillId="6" borderId="139" xfId="0" applyFill="1" applyBorder="1"/>
    <xf numFmtId="0" fontId="0" fillId="6" borderId="140" xfId="0" applyFill="1" applyBorder="1"/>
    <xf numFmtId="0" fontId="0" fillId="6" borderId="141" xfId="0" applyFill="1" applyBorder="1"/>
    <xf numFmtId="0" fontId="0" fillId="4" borderId="134" xfId="0" applyFill="1" applyBorder="1"/>
    <xf numFmtId="0" fontId="0" fillId="41" borderId="137" xfId="0" applyFill="1" applyBorder="1"/>
    <xf numFmtId="0" fontId="0" fillId="41" borderId="138" xfId="0" applyFill="1" applyBorder="1"/>
    <xf numFmtId="0" fontId="0" fillId="41" borderId="139" xfId="0" applyFill="1" applyBorder="1"/>
    <xf numFmtId="0" fontId="0" fillId="41" borderId="140" xfId="0" applyFill="1" applyBorder="1"/>
    <xf numFmtId="0" fontId="0" fillId="41" borderId="141" xfId="0" applyFill="1" applyBorder="1"/>
    <xf numFmtId="0" fontId="0" fillId="4" borderId="76" xfId="0" applyFill="1" applyBorder="1"/>
    <xf numFmtId="0" fontId="0" fillId="4" borderId="105" xfId="0" applyFill="1" applyBorder="1"/>
    <xf numFmtId="0" fontId="3" fillId="42" borderId="139" xfId="0" applyFont="1" applyFill="1" applyBorder="1" applyAlignment="1">
      <alignment horizontal="center"/>
    </xf>
    <xf numFmtId="0" fontId="3" fillId="42" borderId="140" xfId="0" applyFont="1" applyFill="1" applyBorder="1" applyAlignment="1">
      <alignment horizontal="center"/>
    </xf>
    <xf numFmtId="0" fontId="3" fillId="42" borderId="141" xfId="0" applyFont="1" applyFill="1" applyBorder="1" applyAlignment="1">
      <alignment horizontal="center"/>
    </xf>
    <xf numFmtId="0" fontId="0" fillId="4" borderId="143" xfId="0" applyFill="1" applyBorder="1"/>
    <xf numFmtId="0" fontId="0" fillId="4" borderId="136" xfId="0" applyFill="1" applyBorder="1"/>
    <xf numFmtId="4" fontId="3" fillId="42" borderId="137" xfId="0" applyNumberFormat="1" applyFont="1" applyFill="1" applyBorder="1"/>
    <xf numFmtId="4" fontId="3" fillId="42" borderId="138" xfId="0" applyNumberFormat="1" applyFont="1" applyFill="1" applyBorder="1"/>
    <xf numFmtId="4" fontId="3" fillId="42" borderId="139" xfId="0" applyNumberFormat="1" applyFont="1" applyFill="1" applyBorder="1"/>
    <xf numFmtId="4" fontId="3" fillId="42" borderId="140" xfId="0" applyNumberFormat="1" applyFont="1" applyFill="1" applyBorder="1"/>
    <xf numFmtId="4" fontId="3" fillId="42" borderId="141" xfId="0" applyNumberFormat="1" applyFont="1" applyFill="1" applyBorder="1"/>
    <xf numFmtId="0" fontId="135" fillId="0" borderId="0" xfId="0" applyFont="1" applyProtection="1">
      <protection hidden="1"/>
    </xf>
    <xf numFmtId="0" fontId="173" fillId="0" borderId="0" xfId="0" applyFont="1" applyProtection="1">
      <protection hidden="1"/>
    </xf>
    <xf numFmtId="0" fontId="3" fillId="6" borderId="154" xfId="0" applyFont="1" applyFill="1" applyBorder="1" applyAlignment="1">
      <alignment horizontal="center"/>
    </xf>
    <xf numFmtId="0" fontId="3" fillId="6" borderId="103" xfId="0" applyFont="1" applyFill="1" applyBorder="1" applyAlignment="1">
      <alignment horizontal="center"/>
    </xf>
    <xf numFmtId="0" fontId="3" fillId="6" borderId="155" xfId="0" applyFont="1" applyFill="1" applyBorder="1" applyAlignment="1">
      <alignment horizontal="center"/>
    </xf>
    <xf numFmtId="0" fontId="3" fillId="41" borderId="151" xfId="0" applyFont="1" applyFill="1" applyBorder="1" applyAlignment="1">
      <alignment horizontal="center"/>
    </xf>
    <xf numFmtId="0" fontId="3" fillId="41" borderId="103" xfId="0" applyFont="1" applyFill="1" applyBorder="1" applyAlignment="1">
      <alignment horizontal="center"/>
    </xf>
    <xf numFmtId="0" fontId="3" fillId="41" borderId="155" xfId="0" applyFont="1" applyFill="1" applyBorder="1" applyAlignment="1">
      <alignment horizontal="center"/>
    </xf>
    <xf numFmtId="0" fontId="3" fillId="4" borderId="151" xfId="0" applyFont="1" applyFill="1" applyBorder="1" applyAlignment="1">
      <alignment horizontal="center"/>
    </xf>
    <xf numFmtId="0" fontId="3" fillId="4" borderId="103" xfId="0" applyFont="1" applyFill="1" applyBorder="1" applyAlignment="1">
      <alignment horizontal="center"/>
    </xf>
    <xf numFmtId="0" fontId="3" fillId="4" borderId="155" xfId="0" applyFont="1" applyFill="1" applyBorder="1" applyAlignment="1">
      <alignment horizontal="center"/>
    </xf>
    <xf numFmtId="0" fontId="3" fillId="42" borderId="151" xfId="0" applyFont="1" applyFill="1" applyBorder="1" applyAlignment="1">
      <alignment horizontal="center"/>
    </xf>
    <xf numFmtId="0" fontId="3" fillId="42" borderId="103" xfId="0" applyFont="1" applyFill="1" applyBorder="1" applyAlignment="1">
      <alignment horizontal="center"/>
    </xf>
    <xf numFmtId="0" fontId="0" fillId="6" borderId="156" xfId="0" applyFill="1" applyBorder="1"/>
    <xf numFmtId="0" fontId="0" fillId="6" borderId="146" xfId="0" applyFill="1" applyBorder="1"/>
    <xf numFmtId="0" fontId="0" fillId="6" borderId="157" xfId="0" applyFill="1" applyBorder="1"/>
    <xf numFmtId="0" fontId="0" fillId="41" borderId="156" xfId="0" applyFill="1" applyBorder="1"/>
    <xf numFmtId="0" fontId="0" fillId="41" borderId="146" xfId="0" applyFill="1" applyBorder="1"/>
    <xf numFmtId="0" fontId="0" fillId="41" borderId="157" xfId="0" applyFill="1" applyBorder="1"/>
    <xf numFmtId="0" fontId="0" fillId="4" borderId="158" xfId="0" applyFill="1" applyBorder="1"/>
    <xf numFmtId="0" fontId="0" fillId="4" borderId="146" xfId="0" applyFill="1" applyBorder="1"/>
    <xf numFmtId="0" fontId="0" fillId="4" borderId="145" xfId="0" applyFill="1" applyBorder="1"/>
    <xf numFmtId="4" fontId="3" fillId="42" borderId="156" xfId="0" applyNumberFormat="1" applyFont="1" applyFill="1" applyBorder="1"/>
    <xf numFmtId="4" fontId="3" fillId="42" borderId="146" xfId="0" applyNumberFormat="1" applyFont="1" applyFill="1" applyBorder="1"/>
    <xf numFmtId="4" fontId="3" fillId="42" borderId="157" xfId="0" applyNumberFormat="1" applyFont="1" applyFill="1" applyBorder="1"/>
    <xf numFmtId="166" fontId="3" fillId="42" borderId="146" xfId="1" applyNumberFormat="1" applyFont="1" applyFill="1" applyBorder="1"/>
    <xf numFmtId="0" fontId="0" fillId="42" borderId="146" xfId="0" applyFill="1" applyBorder="1"/>
    <xf numFmtId="0" fontId="0" fillId="42" borderId="157" xfId="0" applyFill="1" applyBorder="1"/>
    <xf numFmtId="0" fontId="0" fillId="6" borderId="148" xfId="0" applyFill="1" applyBorder="1"/>
    <xf numFmtId="0" fontId="0" fillId="6" borderId="132" xfId="0" applyFill="1" applyBorder="1"/>
    <xf numFmtId="0" fontId="0" fillId="6" borderId="149" xfId="0" applyFill="1" applyBorder="1"/>
    <xf numFmtId="0" fontId="0" fillId="41" borderId="148" xfId="0" applyFill="1" applyBorder="1"/>
    <xf numFmtId="0" fontId="0" fillId="41" borderId="132" xfId="0" applyFill="1" applyBorder="1"/>
    <xf numFmtId="0" fontId="0" fillId="41" borderId="149" xfId="0" applyFill="1" applyBorder="1"/>
    <xf numFmtId="0" fontId="0" fillId="4" borderId="144" xfId="0" applyFill="1" applyBorder="1"/>
    <xf numFmtId="0" fontId="0" fillId="4" borderId="132" xfId="0" applyFill="1" applyBorder="1"/>
    <xf numFmtId="0" fontId="0" fillId="4" borderId="131" xfId="0" applyFill="1" applyBorder="1"/>
    <xf numFmtId="4" fontId="3" fillId="42" borderId="148" xfId="0" applyNumberFormat="1" applyFont="1" applyFill="1" applyBorder="1"/>
    <xf numFmtId="4" fontId="3" fillId="42" borderId="132" xfId="0" applyNumberFormat="1" applyFont="1" applyFill="1" applyBorder="1"/>
    <xf numFmtId="4" fontId="3" fillId="42" borderId="149" xfId="0" applyNumberFormat="1" applyFont="1" applyFill="1" applyBorder="1"/>
    <xf numFmtId="166" fontId="3" fillId="42" borderId="132" xfId="1" applyNumberFormat="1" applyFont="1" applyFill="1" applyBorder="1"/>
    <xf numFmtId="0" fontId="0" fillId="42" borderId="132" xfId="0" applyFill="1" applyBorder="1"/>
    <xf numFmtId="0" fontId="0" fillId="42" borderId="149" xfId="0" applyFill="1" applyBorder="1"/>
    <xf numFmtId="0" fontId="0" fillId="42" borderId="138" xfId="0" applyFill="1" applyBorder="1"/>
    <xf numFmtId="0" fontId="0" fillId="4" borderId="150" xfId="0" applyFill="1" applyBorder="1"/>
    <xf numFmtId="0" fontId="0" fillId="4" borderId="140" xfId="0" applyFill="1" applyBorder="1"/>
    <xf numFmtId="0" fontId="0" fillId="4" borderId="147" xfId="0" applyFill="1" applyBorder="1"/>
    <xf numFmtId="166" fontId="3" fillId="42" borderId="140" xfId="1" applyNumberFormat="1" applyFont="1" applyFill="1" applyBorder="1"/>
    <xf numFmtId="0" fontId="0" fillId="42" borderId="140" xfId="0" applyFill="1" applyBorder="1"/>
    <xf numFmtId="0" fontId="0" fillId="42" borderId="141" xfId="0" applyFill="1" applyBorder="1"/>
    <xf numFmtId="0" fontId="0" fillId="6" borderId="160" xfId="0" applyFill="1" applyBorder="1"/>
    <xf numFmtId="0" fontId="0" fillId="6" borderId="161" xfId="0" applyFill="1" applyBorder="1"/>
    <xf numFmtId="0" fontId="0" fillId="6" borderId="162" xfId="0" applyFill="1" applyBorder="1"/>
    <xf numFmtId="0" fontId="0" fillId="41" borderId="160" xfId="0" applyFill="1" applyBorder="1"/>
    <xf numFmtId="0" fontId="0" fillId="41" borderId="161" xfId="0" applyFill="1" applyBorder="1"/>
    <xf numFmtId="0" fontId="0" fillId="41" borderId="162" xfId="0" applyFill="1" applyBorder="1"/>
    <xf numFmtId="166" fontId="3" fillId="0" borderId="0" xfId="1" applyNumberFormat="1" applyFont="1" applyFill="1" applyBorder="1"/>
    <xf numFmtId="0" fontId="3" fillId="42" borderId="148" xfId="0" applyFont="1" applyFill="1" applyBorder="1"/>
    <xf numFmtId="0" fontId="3" fillId="42" borderId="139" xfId="0" applyFont="1" applyFill="1" applyBorder="1"/>
    <xf numFmtId="0" fontId="0" fillId="42" borderId="158" xfId="0" applyFill="1" applyBorder="1"/>
    <xf numFmtId="0" fontId="0" fillId="42" borderId="144" xfId="0" applyFill="1" applyBorder="1"/>
    <xf numFmtId="0" fontId="0" fillId="42" borderId="134" xfId="0" applyFill="1" applyBorder="1"/>
    <xf numFmtId="0" fontId="0" fillId="42" borderId="150" xfId="0" applyFill="1" applyBorder="1"/>
    <xf numFmtId="0" fontId="3" fillId="42" borderId="156" xfId="0" applyFont="1" applyFill="1" applyBorder="1"/>
    <xf numFmtId="166" fontId="3" fillId="42" borderId="157" xfId="1" applyNumberFormat="1" applyFont="1" applyFill="1" applyBorder="1"/>
    <xf numFmtId="166" fontId="3" fillId="42" borderId="149" xfId="1" applyNumberFormat="1" applyFont="1" applyFill="1" applyBorder="1"/>
    <xf numFmtId="0" fontId="3" fillId="42" borderId="137" xfId="0" applyFont="1" applyFill="1" applyBorder="1"/>
    <xf numFmtId="166" fontId="3" fillId="42" borderId="138" xfId="1" applyNumberFormat="1" applyFont="1" applyFill="1" applyBorder="1"/>
    <xf numFmtId="166" fontId="3" fillId="42" borderId="141" xfId="1" applyNumberFormat="1" applyFont="1" applyFill="1" applyBorder="1"/>
    <xf numFmtId="0" fontId="0" fillId="42" borderId="164" xfId="0" applyFill="1" applyBorder="1"/>
    <xf numFmtId="0" fontId="0" fillId="42" borderId="161" xfId="0" applyFill="1" applyBorder="1"/>
    <xf numFmtId="0" fontId="0" fillId="42" borderId="162" xfId="0" applyFill="1" applyBorder="1"/>
    <xf numFmtId="0" fontId="3" fillId="42" borderId="155" xfId="0" applyFont="1" applyFill="1" applyBorder="1" applyAlignment="1">
      <alignment horizontal="center"/>
    </xf>
    <xf numFmtId="0" fontId="3" fillId="42" borderId="150" xfId="0" applyFont="1" applyFill="1" applyBorder="1" applyAlignment="1">
      <alignment horizontal="center"/>
    </xf>
    <xf numFmtId="0" fontId="3" fillId="42" borderId="160" xfId="0" applyFont="1" applyFill="1" applyBorder="1"/>
    <xf numFmtId="166" fontId="3" fillId="42" borderId="161" xfId="1" applyNumberFormat="1" applyFont="1" applyFill="1" applyBorder="1"/>
    <xf numFmtId="166" fontId="3" fillId="42" borderId="162" xfId="1" applyNumberFormat="1" applyFont="1" applyFill="1" applyBorder="1"/>
    <xf numFmtId="0" fontId="6" fillId="0" borderId="0" xfId="0" applyFont="1" applyProtection="1">
      <protection hidden="1"/>
    </xf>
    <xf numFmtId="0" fontId="6" fillId="2" borderId="0" xfId="0" applyFont="1" applyFill="1" applyProtection="1">
      <protection hidden="1"/>
    </xf>
    <xf numFmtId="49" fontId="175" fillId="2" borderId="53" xfId="11" applyNumberFormat="1" applyFont="1" applyFill="1" applyBorder="1" applyAlignment="1" applyProtection="1">
      <alignment vertical="center"/>
      <protection hidden="1"/>
    </xf>
    <xf numFmtId="0" fontId="127" fillId="2" borderId="34" xfId="0" applyFont="1" applyFill="1" applyBorder="1" applyAlignment="1">
      <alignment horizontal="left" vertical="top" wrapText="1"/>
    </xf>
    <xf numFmtId="49" fontId="16" fillId="2" borderId="35" xfId="0" applyNumberFormat="1" applyFont="1" applyFill="1" applyBorder="1" applyAlignment="1">
      <alignment vertical="center" wrapText="1"/>
    </xf>
    <xf numFmtId="9" fontId="0" fillId="2" borderId="0" xfId="2" applyFont="1" applyFill="1"/>
    <xf numFmtId="9" fontId="0" fillId="2" borderId="0" xfId="0" applyNumberFormat="1" applyFill="1"/>
    <xf numFmtId="0" fontId="0" fillId="4" borderId="75" xfId="0" applyFill="1" applyBorder="1"/>
    <xf numFmtId="0" fontId="0" fillId="4" borderId="104" xfId="0" applyFill="1" applyBorder="1"/>
    <xf numFmtId="0" fontId="0" fillId="4" borderId="165" xfId="0" applyFill="1" applyBorder="1"/>
    <xf numFmtId="4" fontId="3" fillId="42" borderId="160" xfId="0" applyNumberFormat="1" applyFont="1" applyFill="1" applyBorder="1"/>
    <xf numFmtId="4" fontId="3" fillId="42" borderId="161" xfId="0" applyNumberFormat="1" applyFont="1" applyFill="1" applyBorder="1"/>
    <xf numFmtId="4" fontId="3" fillId="42" borderId="162" xfId="0" applyNumberFormat="1" applyFont="1" applyFill="1" applyBorder="1"/>
    <xf numFmtId="0" fontId="3" fillId="42" borderId="0" xfId="0" applyFont="1" applyFill="1"/>
    <xf numFmtId="166" fontId="3" fillId="42" borderId="0" xfId="1" applyNumberFormat="1" applyFont="1" applyFill="1" applyBorder="1"/>
    <xf numFmtId="0" fontId="0" fillId="42" borderId="0" xfId="0" applyFill="1"/>
    <xf numFmtId="0" fontId="127" fillId="29" borderId="0" xfId="0" applyFont="1" applyFill="1" applyAlignment="1" applyProtection="1">
      <alignment horizontal="left" vertical="center"/>
      <protection hidden="1"/>
    </xf>
    <xf numFmtId="0" fontId="117" fillId="2" borderId="0" xfId="0" applyFont="1" applyFill="1" applyAlignment="1" applyProtection="1">
      <alignment horizontal="left" vertical="center"/>
      <protection hidden="1"/>
    </xf>
    <xf numFmtId="0" fontId="176" fillId="0" borderId="0" xfId="0" applyFont="1" applyProtection="1">
      <protection hidden="1"/>
    </xf>
    <xf numFmtId="209" fontId="0" fillId="0" borderId="0" xfId="1" applyNumberFormat="1" applyFont="1" applyProtection="1">
      <protection hidden="1"/>
    </xf>
    <xf numFmtId="4" fontId="0" fillId="4" borderId="0" xfId="0" applyNumberFormat="1" applyFill="1"/>
    <xf numFmtId="4" fontId="0" fillId="4" borderId="4" xfId="0" applyNumberFormat="1" applyFill="1" applyBorder="1"/>
    <xf numFmtId="176" fontId="10" fillId="6" borderId="11" xfId="6" applyFont="1" applyFill="1" applyBorder="1" applyAlignment="1">
      <alignment vertical="center"/>
    </xf>
    <xf numFmtId="176" fontId="10" fillId="6" borderId="0" xfId="6" applyFont="1" applyFill="1" applyAlignment="1">
      <alignment vertical="center"/>
    </xf>
    <xf numFmtId="176" fontId="10" fillId="6" borderId="4" xfId="6" applyFont="1" applyFill="1" applyBorder="1" applyAlignment="1">
      <alignment vertical="center"/>
    </xf>
    <xf numFmtId="176" fontId="10" fillId="6" borderId="0" xfId="6" applyFont="1" applyFill="1" applyBorder="1" applyAlignment="1">
      <alignment vertical="center"/>
    </xf>
    <xf numFmtId="9" fontId="10" fillId="6" borderId="19" xfId="2" applyFont="1" applyFill="1" applyBorder="1" applyAlignment="1">
      <alignment vertical="center"/>
    </xf>
    <xf numFmtId="43" fontId="10" fillId="6" borderId="19" xfId="1" applyFont="1" applyFill="1" applyBorder="1" applyAlignment="1">
      <alignment vertical="center"/>
    </xf>
    <xf numFmtId="166" fontId="10" fillId="6" borderId="0" xfId="1" applyNumberFormat="1" applyFont="1" applyFill="1"/>
    <xf numFmtId="2" fontId="2" fillId="6" borderId="0" xfId="0" applyNumberFormat="1" applyFont="1" applyFill="1" applyAlignment="1">
      <alignment horizontal="center" vertical="center"/>
    </xf>
    <xf numFmtId="2" fontId="2" fillId="6" borderId="0" xfId="2" applyNumberFormat="1" applyFont="1" applyFill="1" applyAlignment="1">
      <alignment horizontal="center" vertical="center"/>
    </xf>
    <xf numFmtId="9" fontId="13" fillId="6" borderId="11" xfId="2" applyFont="1" applyFill="1" applyBorder="1"/>
    <xf numFmtId="9" fontId="13" fillId="6" borderId="4" xfId="2" applyFont="1" applyFill="1" applyBorder="1" applyAlignment="1">
      <alignment wrapText="1"/>
    </xf>
    <xf numFmtId="0" fontId="13" fillId="6" borderId="11" xfId="0" applyFont="1" applyFill="1" applyBorder="1"/>
    <xf numFmtId="0" fontId="13" fillId="6" borderId="4" xfId="0" applyFont="1" applyFill="1" applyBorder="1" applyAlignment="1">
      <alignment wrapText="1"/>
    </xf>
    <xf numFmtId="11" fontId="0" fillId="6" borderId="0" xfId="4" applyNumberFormat="1" applyFont="1" applyFill="1" applyAlignment="1">
      <alignment horizontal="right" vertical="center"/>
    </xf>
    <xf numFmtId="11" fontId="16" fillId="6" borderId="0" xfId="2" applyNumberFormat="1" applyFont="1" applyFill="1" applyBorder="1" applyAlignment="1">
      <alignment horizontal="right" vertical="center"/>
    </xf>
    <xf numFmtId="11" fontId="23" fillId="6" borderId="8" xfId="0" applyNumberFormat="1" applyFont="1" applyFill="1" applyBorder="1" applyAlignment="1">
      <alignment horizontal="center" vertical="center" wrapText="1"/>
    </xf>
    <xf numFmtId="11" fontId="10" fillId="6" borderId="0" xfId="0" applyNumberFormat="1" applyFont="1" applyFill="1" applyAlignment="1">
      <alignment horizontal="center" vertical="center"/>
    </xf>
    <xf numFmtId="11" fontId="10" fillId="6" borderId="4" xfId="0" applyNumberFormat="1" applyFont="1" applyFill="1" applyBorder="1" applyAlignment="1">
      <alignment horizontal="center" vertical="center"/>
    </xf>
    <xf numFmtId="11" fontId="10" fillId="6" borderId="0" xfId="2" applyNumberFormat="1" applyFont="1" applyFill="1" applyBorder="1" applyAlignment="1">
      <alignment horizontal="center" vertical="center"/>
    </xf>
    <xf numFmtId="11" fontId="16" fillId="6" borderId="0" xfId="2" applyNumberFormat="1" applyFont="1" applyFill="1" applyAlignment="1">
      <alignment horizontal="right" vertical="center"/>
    </xf>
    <xf numFmtId="11" fontId="10" fillId="6" borderId="11" xfId="0" applyNumberFormat="1" applyFont="1" applyFill="1" applyBorder="1" applyAlignment="1">
      <alignment horizontal="center" vertical="center"/>
    </xf>
    <xf numFmtId="11" fontId="23" fillId="6" borderId="8" xfId="2" applyNumberFormat="1" applyFont="1" applyFill="1" applyBorder="1" applyAlignment="1">
      <alignment horizontal="center" vertical="center" wrapText="1"/>
    </xf>
    <xf numFmtId="11" fontId="10" fillId="6" borderId="0" xfId="2" applyNumberFormat="1" applyFont="1" applyFill="1" applyAlignment="1">
      <alignment horizontal="center" vertical="center"/>
    </xf>
    <xf numFmtId="11" fontId="10" fillId="6" borderId="4" xfId="2" applyNumberFormat="1" applyFont="1" applyFill="1" applyBorder="1" applyAlignment="1">
      <alignment horizontal="center" vertical="center"/>
    </xf>
    <xf numFmtId="9" fontId="12" fillId="6" borderId="0" xfId="2" applyFont="1" applyFill="1" applyAlignment="1">
      <alignment horizontal="center" vertical="center"/>
    </xf>
    <xf numFmtId="9" fontId="23" fillId="6" borderId="0" xfId="2" applyFont="1" applyFill="1" applyAlignment="1">
      <alignment horizontal="left" vertical="center"/>
    </xf>
    <xf numFmtId="9" fontId="0" fillId="6" borderId="4" xfId="2" applyFont="1" applyFill="1" applyBorder="1" applyAlignment="1">
      <alignment horizontal="center"/>
    </xf>
    <xf numFmtId="0" fontId="20" fillId="11" borderId="11" xfId="0" applyFont="1" applyFill="1" applyBorder="1" applyAlignment="1">
      <alignment horizontal="left"/>
    </xf>
    <xf numFmtId="166" fontId="20" fillId="11" borderId="11" xfId="1" applyNumberFormat="1" applyFont="1" applyFill="1" applyBorder="1" applyAlignment="1">
      <alignment horizontal="center"/>
    </xf>
    <xf numFmtId="0" fontId="20" fillId="11" borderId="0" xfId="0" applyFont="1" applyFill="1" applyAlignment="1">
      <alignment horizontal="left"/>
    </xf>
    <xf numFmtId="166" fontId="20" fillId="11" borderId="0" xfId="1" applyNumberFormat="1" applyFont="1" applyFill="1" applyAlignment="1">
      <alignment horizontal="center"/>
    </xf>
    <xf numFmtId="0" fontId="20" fillId="11" borderId="4" xfId="0" applyFont="1" applyFill="1" applyBorder="1" applyAlignment="1">
      <alignment horizontal="left"/>
    </xf>
    <xf numFmtId="166" fontId="20" fillId="11" borderId="4" xfId="1" applyNumberFormat="1" applyFont="1" applyFill="1" applyBorder="1" applyAlignment="1">
      <alignment horizontal="center"/>
    </xf>
    <xf numFmtId="0" fontId="20" fillId="11" borderId="0" xfId="0" applyFont="1" applyFill="1"/>
    <xf numFmtId="0" fontId="23" fillId="11" borderId="0" xfId="0" applyFont="1" applyFill="1"/>
    <xf numFmtId="0" fontId="23" fillId="11" borderId="0" xfId="0" applyFont="1" applyFill="1" applyAlignment="1">
      <alignment horizontal="right"/>
    </xf>
    <xf numFmtId="0" fontId="20" fillId="11" borderId="0" xfId="0" applyFont="1" applyFill="1" applyAlignment="1">
      <alignment horizontal="center"/>
    </xf>
    <xf numFmtId="0" fontId="15" fillId="11" borderId="0" xfId="0" applyFont="1" applyFill="1"/>
    <xf numFmtId="43" fontId="20" fillId="4" borderId="0" xfId="1" applyFont="1" applyFill="1" applyBorder="1" applyAlignment="1">
      <alignment horizontal="right" vertical="center"/>
    </xf>
    <xf numFmtId="11" fontId="115" fillId="0" borderId="0" xfId="1" applyNumberFormat="1" applyFont="1" applyProtection="1">
      <protection hidden="1"/>
    </xf>
    <xf numFmtId="9" fontId="12" fillId="6" borderId="11" xfId="6" applyNumberFormat="1" applyFont="1" applyFill="1" applyBorder="1" applyProtection="1">
      <protection locked="0"/>
    </xf>
    <xf numFmtId="9" fontId="15" fillId="6" borderId="11" xfId="6" applyNumberFormat="1" applyFont="1" applyFill="1" applyBorder="1" applyProtection="1">
      <protection locked="0"/>
    </xf>
    <xf numFmtId="9" fontId="12" fillId="6" borderId="0" xfId="6" applyNumberFormat="1" applyFont="1" applyFill="1" applyProtection="1">
      <protection locked="0"/>
    </xf>
    <xf numFmtId="9" fontId="15" fillId="6" borderId="0" xfId="6" applyNumberFormat="1" applyFont="1" applyFill="1" applyProtection="1">
      <protection locked="0"/>
    </xf>
    <xf numFmtId="9" fontId="12" fillId="6" borderId="0" xfId="6" applyNumberFormat="1" applyFont="1" applyFill="1" applyBorder="1" applyProtection="1">
      <protection locked="0"/>
    </xf>
    <xf numFmtId="9" fontId="15" fillId="6" borderId="0" xfId="6" applyNumberFormat="1" applyFont="1" applyFill="1" applyBorder="1" applyProtection="1">
      <protection locked="0"/>
    </xf>
    <xf numFmtId="9" fontId="12" fillId="6" borderId="4" xfId="6" applyNumberFormat="1" applyFont="1" applyFill="1" applyBorder="1" applyProtection="1">
      <protection locked="0"/>
    </xf>
    <xf numFmtId="9" fontId="15" fillId="6" borderId="4" xfId="6" applyNumberFormat="1" applyFont="1" applyFill="1" applyBorder="1" applyProtection="1">
      <protection locked="0"/>
    </xf>
    <xf numFmtId="0" fontId="23" fillId="6" borderId="9" xfId="0" applyFont="1" applyFill="1" applyBorder="1" applyAlignment="1" applyProtection="1">
      <alignment horizontal="right" vertical="center"/>
      <protection locked="0"/>
    </xf>
    <xf numFmtId="0" fontId="23" fillId="6" borderId="4" xfId="3" applyFont="1" applyFill="1" applyBorder="1" applyAlignment="1" applyProtection="1">
      <alignment horizontal="right"/>
      <protection locked="0"/>
    </xf>
    <xf numFmtId="0" fontId="20" fillId="6" borderId="0" xfId="0" applyFont="1" applyFill="1" applyAlignment="1" applyProtection="1">
      <alignment vertical="center"/>
      <protection locked="0"/>
    </xf>
    <xf numFmtId="168" fontId="15" fillId="6" borderId="11" xfId="0" applyNumberFormat="1" applyFont="1" applyFill="1" applyBorder="1" applyAlignment="1" applyProtection="1">
      <alignment vertical="center"/>
      <protection locked="0"/>
    </xf>
    <xf numFmtId="168" fontId="15" fillId="6" borderId="0" xfId="0" applyNumberFormat="1" applyFont="1" applyFill="1" applyAlignment="1" applyProtection="1">
      <alignment vertical="center"/>
      <protection locked="0"/>
    </xf>
    <xf numFmtId="168" fontId="15" fillId="6" borderId="4" xfId="0" applyNumberFormat="1" applyFont="1" applyFill="1" applyBorder="1" applyAlignment="1" applyProtection="1">
      <alignment vertical="center"/>
      <protection locked="0"/>
    </xf>
    <xf numFmtId="166" fontId="16" fillId="12" borderId="19" xfId="1" applyNumberFormat="1" applyFont="1" applyFill="1" applyBorder="1" applyAlignment="1" applyProtection="1">
      <alignment horizontal="right"/>
      <protection locked="0"/>
    </xf>
    <xf numFmtId="11" fontId="20" fillId="6" borderId="0" xfId="4" applyNumberFormat="1" applyFont="1" applyFill="1" applyAlignment="1" applyProtection="1">
      <alignment vertical="center"/>
      <protection locked="0"/>
    </xf>
    <xf numFmtId="11" fontId="20" fillId="6" borderId="4" xfId="4" applyNumberFormat="1" applyFont="1" applyFill="1" applyBorder="1" applyAlignment="1" applyProtection="1">
      <alignment vertical="center"/>
      <protection locked="0"/>
    </xf>
    <xf numFmtId="11" fontId="20" fillId="6" borderId="19" xfId="1" applyNumberFormat="1" applyFont="1" applyFill="1" applyBorder="1" applyAlignment="1" applyProtection="1">
      <alignment vertical="center"/>
      <protection locked="0"/>
    </xf>
    <xf numFmtId="11" fontId="20" fillId="6" borderId="19" xfId="1" applyNumberFormat="1" applyFont="1" applyFill="1" applyBorder="1" applyProtection="1">
      <protection locked="0"/>
    </xf>
    <xf numFmtId="0" fontId="177" fillId="0" borderId="0" xfId="0" applyFont="1"/>
    <xf numFmtId="0" fontId="128" fillId="2" borderId="34" xfId="0" applyFont="1" applyFill="1" applyBorder="1" applyAlignment="1">
      <alignment horizontal="left" vertical="top" wrapText="1"/>
    </xf>
    <xf numFmtId="0" fontId="91" fillId="0" borderId="170" xfId="0" applyFont="1" applyBorder="1"/>
    <xf numFmtId="0" fontId="0" fillId="2" borderId="170" xfId="0" applyFill="1" applyBorder="1"/>
    <xf numFmtId="11" fontId="10" fillId="4" borderId="0" xfId="1" applyNumberFormat="1" applyFont="1" applyFill="1" applyAlignment="1">
      <alignment horizontal="center"/>
    </xf>
    <xf numFmtId="43" fontId="10" fillId="4" borderId="0" xfId="1" applyFont="1" applyFill="1" applyAlignment="1">
      <alignment horizontal="right"/>
    </xf>
    <xf numFmtId="43" fontId="10" fillId="4" borderId="22" xfId="1" applyFont="1" applyFill="1" applyBorder="1" applyAlignment="1">
      <alignment horizontal="right"/>
    </xf>
    <xf numFmtId="43" fontId="72" fillId="4" borderId="0" xfId="1" applyFont="1" applyFill="1" applyAlignment="1">
      <alignment horizontal="right"/>
    </xf>
    <xf numFmtId="43" fontId="10" fillId="4" borderId="3" xfId="1" applyFont="1" applyFill="1" applyBorder="1" applyAlignment="1">
      <alignment horizontal="right"/>
    </xf>
    <xf numFmtId="0" fontId="128" fillId="0" borderId="34" xfId="0" applyFont="1" applyBorder="1" applyAlignment="1">
      <alignment horizontal="left" vertical="top" wrapText="1"/>
    </xf>
    <xf numFmtId="0" fontId="6" fillId="2" borderId="0" xfId="0" applyFont="1" applyFill="1" applyAlignment="1" applyProtection="1">
      <alignment vertical="center"/>
      <protection hidden="1"/>
    </xf>
    <xf numFmtId="0" fontId="13" fillId="0" borderId="0" xfId="0" applyFont="1" applyAlignment="1" applyProtection="1">
      <alignment horizontal="center"/>
      <protection hidden="1"/>
    </xf>
    <xf numFmtId="0" fontId="13" fillId="0" borderId="0" xfId="0" applyFont="1" applyProtection="1">
      <protection hidden="1"/>
    </xf>
    <xf numFmtId="0" fontId="6" fillId="2" borderId="48" xfId="0" applyFont="1" applyFill="1" applyBorder="1" applyAlignment="1">
      <alignment horizontal="center" vertical="center"/>
    </xf>
    <xf numFmtId="166" fontId="179" fillId="2" borderId="106" xfId="1" applyNumberFormat="1" applyFont="1" applyFill="1" applyBorder="1" applyAlignment="1" applyProtection="1">
      <alignment horizontal="center" vertical="center" wrapText="1"/>
      <protection hidden="1"/>
    </xf>
    <xf numFmtId="0" fontId="6" fillId="2" borderId="8" xfId="0" applyFont="1" applyFill="1" applyBorder="1" applyAlignment="1">
      <alignment horizontal="right" vertical="center"/>
    </xf>
    <xf numFmtId="0" fontId="6" fillId="2" borderId="8" xfId="0" applyFont="1" applyFill="1" applyBorder="1" applyAlignment="1">
      <alignment horizontal="center" vertical="center"/>
    </xf>
    <xf numFmtId="0" fontId="180" fillId="2" borderId="106" xfId="0" applyFont="1" applyFill="1" applyBorder="1" applyAlignment="1" applyProtection="1">
      <alignment horizontal="left" vertical="center"/>
      <protection hidden="1"/>
    </xf>
    <xf numFmtId="3" fontId="181" fillId="2" borderId="106" xfId="30" applyNumberFormat="1" applyFont="1" applyFill="1" applyBorder="1" applyAlignment="1" applyProtection="1">
      <alignment horizontal="center" vertical="center" wrapText="1"/>
      <protection hidden="1"/>
    </xf>
    <xf numFmtId="49" fontId="181" fillId="2" borderId="106" xfId="30" applyNumberFormat="1" applyFont="1" applyFill="1" applyBorder="1" applyAlignment="1" applyProtection="1">
      <alignment horizontal="center" vertical="center" wrapText="1"/>
      <protection hidden="1"/>
    </xf>
    <xf numFmtId="0" fontId="180" fillId="2" borderId="107" xfId="0" applyFont="1" applyFill="1" applyBorder="1" applyAlignment="1" applyProtection="1">
      <alignment horizontal="left" vertical="center"/>
      <protection hidden="1"/>
    </xf>
    <xf numFmtId="3" fontId="181" fillId="2" borderId="107" xfId="30" applyNumberFormat="1" applyFont="1" applyFill="1" applyBorder="1" applyAlignment="1" applyProtection="1">
      <alignment horizontal="center" vertical="center" wrapText="1"/>
      <protection hidden="1"/>
    </xf>
    <xf numFmtId="1" fontId="181" fillId="2" borderId="107" xfId="30" applyNumberFormat="1" applyFont="1" applyFill="1" applyBorder="1" applyAlignment="1" applyProtection="1">
      <alignment horizontal="center" vertical="center" wrapText="1"/>
      <protection hidden="1"/>
    </xf>
    <xf numFmtId="49" fontId="181" fillId="2" borderId="107" xfId="30" applyNumberFormat="1" applyFont="1" applyFill="1" applyBorder="1" applyAlignment="1" applyProtection="1">
      <alignment horizontal="center" vertical="center" wrapText="1"/>
      <protection hidden="1"/>
    </xf>
    <xf numFmtId="0" fontId="13" fillId="0" borderId="0" xfId="0" applyFont="1"/>
    <xf numFmtId="0" fontId="6" fillId="24" borderId="82" xfId="0" applyFont="1" applyFill="1" applyBorder="1" applyAlignment="1">
      <alignment horizontal="center" vertical="center"/>
    </xf>
    <xf numFmtId="0" fontId="6" fillId="24" borderId="83" xfId="0" applyFont="1" applyFill="1" applyBorder="1" applyAlignment="1">
      <alignment horizontal="center" vertical="center"/>
    </xf>
    <xf numFmtId="0" fontId="6" fillId="24" borderId="151" xfId="0" applyFont="1" applyFill="1" applyBorder="1" applyAlignment="1">
      <alignment horizontal="center" vertical="center"/>
    </xf>
    <xf numFmtId="0" fontId="6" fillId="24" borderId="103" xfId="0" applyFont="1" applyFill="1" applyBorder="1" applyAlignment="1">
      <alignment horizontal="center" vertical="center"/>
    </xf>
    <xf numFmtId="0" fontId="6" fillId="24" borderId="152" xfId="0" applyFont="1" applyFill="1" applyBorder="1" applyAlignment="1">
      <alignment horizontal="center" vertical="center"/>
    </xf>
    <xf numFmtId="0" fontId="22" fillId="47" borderId="153" xfId="0" applyFont="1" applyFill="1" applyBorder="1" applyAlignment="1">
      <alignment horizontal="center" vertical="center"/>
    </xf>
    <xf numFmtId="0" fontId="6" fillId="24" borderId="84" xfId="0" applyFont="1" applyFill="1" applyBorder="1" applyAlignment="1">
      <alignment horizontal="center" vertical="center"/>
    </xf>
    <xf numFmtId="0" fontId="6" fillId="11" borderId="151" xfId="0" applyFont="1" applyFill="1" applyBorder="1" applyAlignment="1">
      <alignment horizontal="center"/>
    </xf>
    <xf numFmtId="0" fontId="6" fillId="11" borderId="103" xfId="0" applyFont="1" applyFill="1" applyBorder="1" applyAlignment="1">
      <alignment horizontal="center"/>
    </xf>
    <xf numFmtId="0" fontId="6" fillId="11" borderId="152" xfId="0" applyFont="1" applyFill="1" applyBorder="1" applyAlignment="1">
      <alignment horizontal="center"/>
    </xf>
    <xf numFmtId="0" fontId="49" fillId="0" borderId="133" xfId="0" applyFont="1" applyBorder="1"/>
    <xf numFmtId="0" fontId="13" fillId="0" borderId="81" xfId="0" applyFont="1" applyBorder="1"/>
    <xf numFmtId="2" fontId="13" fillId="48" borderId="156" xfId="0" applyNumberFormat="1" applyFont="1" applyFill="1" applyBorder="1"/>
    <xf numFmtId="2" fontId="13" fillId="48" borderId="146" xfId="0" applyNumberFormat="1" applyFont="1" applyFill="1" applyBorder="1"/>
    <xf numFmtId="2" fontId="13" fillId="48" borderId="157" xfId="0" applyNumberFormat="1" applyFont="1" applyFill="1" applyBorder="1"/>
    <xf numFmtId="2" fontId="13" fillId="0" borderId="156" xfId="0" applyNumberFormat="1" applyFont="1" applyBorder="1"/>
    <xf numFmtId="2" fontId="13" fillId="0" borderId="146" xfId="0" applyNumberFormat="1" applyFont="1" applyBorder="1"/>
    <xf numFmtId="2" fontId="13" fillId="0" borderId="157" xfId="0" applyNumberFormat="1" applyFont="1" applyBorder="1"/>
    <xf numFmtId="0" fontId="13" fillId="11" borderId="156" xfId="0" applyFont="1" applyFill="1" applyBorder="1"/>
    <xf numFmtId="0" fontId="13" fillId="11" borderId="146" xfId="0" applyFont="1" applyFill="1" applyBorder="1"/>
    <xf numFmtId="0" fontId="13" fillId="11" borderId="145" xfId="0" applyFont="1" applyFill="1" applyBorder="1"/>
    <xf numFmtId="0" fontId="13" fillId="0" borderId="86" xfId="0" applyFont="1" applyBorder="1"/>
    <xf numFmtId="2" fontId="13" fillId="48" borderId="148" xfId="0" applyNumberFormat="1" applyFont="1" applyFill="1" applyBorder="1"/>
    <xf numFmtId="2" fontId="13" fillId="48" borderId="132" xfId="0" applyNumberFormat="1" applyFont="1" applyFill="1" applyBorder="1"/>
    <xf numFmtId="2" fontId="13" fillId="48" borderId="149" xfId="0" applyNumberFormat="1" applyFont="1" applyFill="1" applyBorder="1"/>
    <xf numFmtId="2" fontId="13" fillId="0" borderId="148" xfId="0" applyNumberFormat="1" applyFont="1" applyBorder="1"/>
    <xf numFmtId="2" fontId="13" fillId="0" borderId="132" xfId="0" applyNumberFormat="1" applyFont="1" applyBorder="1"/>
    <xf numFmtId="2" fontId="13" fillId="0" borderId="149" xfId="0" applyNumberFormat="1" applyFont="1" applyBorder="1"/>
    <xf numFmtId="0" fontId="13" fillId="11" borderId="148" xfId="0" applyFont="1" applyFill="1" applyBorder="1"/>
    <xf numFmtId="0" fontId="13" fillId="11" borderId="132" xfId="0" applyFont="1" applyFill="1" applyBorder="1"/>
    <xf numFmtId="0" fontId="13" fillId="11" borderId="131" xfId="0" applyFont="1" applyFill="1" applyBorder="1"/>
    <xf numFmtId="0" fontId="13" fillId="0" borderId="88" xfId="0" applyFont="1" applyBorder="1"/>
    <xf numFmtId="2" fontId="13" fillId="48" borderId="137" xfId="0" applyNumberFormat="1" applyFont="1" applyFill="1" applyBorder="1"/>
    <xf numFmtId="2" fontId="13" fillId="48" borderId="39" xfId="0" applyNumberFormat="1" applyFont="1" applyFill="1" applyBorder="1"/>
    <xf numFmtId="2" fontId="13" fillId="48" borderId="138" xfId="0" applyNumberFormat="1" applyFont="1" applyFill="1" applyBorder="1"/>
    <xf numFmtId="2" fontId="13" fillId="0" borderId="137" xfId="0" applyNumberFormat="1" applyFont="1" applyBorder="1"/>
    <xf numFmtId="2" fontId="13" fillId="0" borderId="39" xfId="0" applyNumberFormat="1" applyFont="1" applyBorder="1"/>
    <xf numFmtId="2" fontId="13" fillId="0" borderId="138" xfId="0" applyNumberFormat="1" applyFont="1" applyBorder="1"/>
    <xf numFmtId="0" fontId="13" fillId="11" borderId="137" xfId="0" applyFont="1" applyFill="1" applyBorder="1"/>
    <xf numFmtId="0" fontId="13" fillId="11" borderId="39" xfId="0" applyFont="1" applyFill="1" applyBorder="1"/>
    <xf numFmtId="0" fontId="13" fillId="11" borderId="136" xfId="0" applyFont="1" applyFill="1" applyBorder="1"/>
    <xf numFmtId="0" fontId="13" fillId="0" borderId="142" xfId="0" applyFont="1" applyBorder="1"/>
    <xf numFmtId="2" fontId="13" fillId="48" borderId="139" xfId="0" applyNumberFormat="1" applyFont="1" applyFill="1" applyBorder="1"/>
    <xf numFmtId="2" fontId="13" fillId="48" borderId="140" xfId="0" applyNumberFormat="1" applyFont="1" applyFill="1" applyBorder="1"/>
    <xf numFmtId="2" fontId="13" fillId="48" borderId="141" xfId="0" applyNumberFormat="1" applyFont="1" applyFill="1" applyBorder="1"/>
    <xf numFmtId="2" fontId="13" fillId="0" borderId="139" xfId="0" applyNumberFormat="1" applyFont="1" applyBorder="1"/>
    <xf numFmtId="2" fontId="13" fillId="0" borderId="140" xfId="0" applyNumberFormat="1" applyFont="1" applyBorder="1"/>
    <xf numFmtId="2" fontId="13" fillId="0" borderId="141" xfId="0" applyNumberFormat="1" applyFont="1" applyBorder="1"/>
    <xf numFmtId="0" fontId="13" fillId="11" borderId="139" xfId="0" applyFont="1" applyFill="1" applyBorder="1"/>
    <xf numFmtId="0" fontId="13" fillId="11" borderId="140" xfId="0" applyFont="1" applyFill="1" applyBorder="1"/>
    <xf numFmtId="0" fontId="13" fillId="11" borderId="147" xfId="0" applyFont="1" applyFill="1" applyBorder="1"/>
    <xf numFmtId="0" fontId="49" fillId="0" borderId="85" xfId="0" applyFont="1" applyBorder="1"/>
    <xf numFmtId="0" fontId="49" fillId="0" borderId="87" xfId="0" applyFont="1" applyBorder="1"/>
    <xf numFmtId="0" fontId="49" fillId="0" borderId="135" xfId="0" applyFont="1" applyBorder="1"/>
    <xf numFmtId="0" fontId="49" fillId="0" borderId="88" xfId="0" applyFont="1" applyBorder="1"/>
    <xf numFmtId="0" fontId="49" fillId="0" borderId="142" xfId="0" applyFont="1" applyBorder="1"/>
    <xf numFmtId="0" fontId="49" fillId="0" borderId="86" xfId="0" applyFont="1" applyBorder="1"/>
    <xf numFmtId="0" fontId="49" fillId="0" borderId="85" xfId="0" applyFont="1" applyBorder="1" applyAlignment="1">
      <alignment vertical="center"/>
    </xf>
    <xf numFmtId="0" fontId="49" fillId="0" borderId="86" xfId="0" applyFont="1" applyBorder="1" applyAlignment="1">
      <alignment wrapText="1"/>
    </xf>
    <xf numFmtId="0" fontId="49" fillId="0" borderId="0" xfId="0" applyFont="1"/>
    <xf numFmtId="2" fontId="13" fillId="48" borderId="160" xfId="0" applyNumberFormat="1" applyFont="1" applyFill="1" applyBorder="1"/>
    <xf numFmtId="2" fontId="13" fillId="48" borderId="161" xfId="0" applyNumberFormat="1" applyFont="1" applyFill="1" applyBorder="1"/>
    <xf numFmtId="2" fontId="13" fillId="48" borderId="162" xfId="0" applyNumberFormat="1" applyFont="1" applyFill="1" applyBorder="1"/>
    <xf numFmtId="2" fontId="13" fillId="0" borderId="160" xfId="0" applyNumberFormat="1" applyFont="1" applyBorder="1"/>
    <xf numFmtId="2" fontId="13" fillId="0" borderId="161" xfId="0" applyNumberFormat="1" applyFont="1" applyBorder="1"/>
    <xf numFmtId="2" fontId="13" fillId="0" borderId="164" xfId="0" applyNumberFormat="1" applyFont="1" applyBorder="1"/>
    <xf numFmtId="2" fontId="13" fillId="0" borderId="162" xfId="0" applyNumberFormat="1" applyFont="1" applyBorder="1"/>
    <xf numFmtId="0" fontId="13" fillId="11" borderId="160" xfId="0" applyFont="1" applyFill="1" applyBorder="1"/>
    <xf numFmtId="0" fontId="13" fillId="11" borderId="161" xfId="0" applyFont="1" applyFill="1" applyBorder="1"/>
    <xf numFmtId="0" fontId="13" fillId="11" borderId="163" xfId="0" applyFont="1" applyFill="1" applyBorder="1"/>
    <xf numFmtId="0" fontId="13" fillId="0" borderId="83" xfId="0" applyFont="1" applyBorder="1"/>
    <xf numFmtId="0" fontId="13" fillId="0" borderId="84" xfId="0" applyFont="1" applyBorder="1"/>
    <xf numFmtId="0" fontId="6" fillId="0" borderId="160" xfId="0" applyFont="1" applyBorder="1" applyAlignment="1">
      <alignment horizontal="center" vertical="center"/>
    </xf>
    <xf numFmtId="0" fontId="13" fillId="0" borderId="161" xfId="0" applyFont="1" applyBorder="1"/>
    <xf numFmtId="0" fontId="13" fillId="0" borderId="162" xfId="0" applyFont="1" applyBorder="1"/>
    <xf numFmtId="0" fontId="6" fillId="43" borderId="162" xfId="0" applyFont="1" applyFill="1" applyBorder="1" applyAlignment="1">
      <alignment horizontal="center" vertical="center"/>
    </xf>
    <xf numFmtId="0" fontId="13" fillId="2" borderId="156" xfId="0" applyFont="1" applyFill="1" applyBorder="1" applyAlignment="1" applyProtection="1">
      <alignment horizontal="center" vertical="center" wrapText="1"/>
      <protection hidden="1"/>
    </xf>
    <xf numFmtId="0" fontId="13" fillId="2" borderId="157" xfId="0" applyFont="1" applyFill="1" applyBorder="1" applyAlignment="1" applyProtection="1">
      <alignment horizontal="center" vertical="center" wrapText="1"/>
      <protection hidden="1"/>
    </xf>
    <xf numFmtId="0" fontId="183" fillId="0" borderId="101" xfId="0" applyFont="1" applyBorder="1" applyAlignment="1">
      <alignment horizontal="left" wrapText="1" indent="1"/>
    </xf>
    <xf numFmtId="0" fontId="184" fillId="0" borderId="101" xfId="0" applyFont="1" applyBorder="1" applyAlignment="1">
      <alignment vertical="top" wrapText="1" indent="1"/>
    </xf>
    <xf numFmtId="0" fontId="6" fillId="27" borderId="0" xfId="0" applyFont="1" applyFill="1" applyAlignment="1" applyProtection="1">
      <alignment horizontal="center" vertical="center" wrapText="1"/>
      <protection hidden="1"/>
    </xf>
    <xf numFmtId="9" fontId="13" fillId="0" borderId="0" xfId="0" applyNumberFormat="1" applyFont="1" applyProtection="1">
      <protection hidden="1"/>
    </xf>
    <xf numFmtId="3" fontId="13" fillId="0" borderId="0" xfId="0" applyNumberFormat="1" applyFont="1" applyProtection="1">
      <protection hidden="1"/>
    </xf>
    <xf numFmtId="4" fontId="13" fillId="0" borderId="0" xfId="0" applyNumberFormat="1" applyFont="1" applyProtection="1">
      <protection hidden="1"/>
    </xf>
    <xf numFmtId="4" fontId="49" fillId="0" borderId="0" xfId="0" applyNumberFormat="1" applyFont="1" applyProtection="1">
      <protection hidden="1"/>
    </xf>
    <xf numFmtId="0" fontId="185" fillId="0" borderId="0" xfId="0" applyFont="1" applyAlignment="1">
      <alignment vertical="top" wrapText="1" indent="1"/>
    </xf>
    <xf numFmtId="0" fontId="184" fillId="0" borderId="0" xfId="0" applyFont="1" applyAlignment="1">
      <alignment vertical="top" wrapText="1" indent="1"/>
    </xf>
    <xf numFmtId="0" fontId="13" fillId="0" borderId="3" xfId="0" applyFont="1" applyBorder="1" applyProtection="1">
      <protection hidden="1"/>
    </xf>
    <xf numFmtId="4" fontId="13" fillId="0" borderId="3" xfId="0" applyNumberFormat="1" applyFont="1" applyBorder="1" applyProtection="1">
      <protection hidden="1"/>
    </xf>
    <xf numFmtId="0" fontId="13" fillId="2" borderId="132" xfId="0" applyFont="1" applyFill="1" applyBorder="1" applyAlignment="1" applyProtection="1">
      <alignment vertical="center" wrapText="1"/>
      <protection hidden="1"/>
    </xf>
    <xf numFmtId="0" fontId="13" fillId="2" borderId="39" xfId="0" applyFont="1" applyFill="1" applyBorder="1" applyAlignment="1" applyProtection="1">
      <alignment vertical="center" wrapText="1"/>
      <protection hidden="1"/>
    </xf>
    <xf numFmtId="0" fontId="13" fillId="0" borderId="140" xfId="0" applyFont="1" applyBorder="1" applyAlignment="1">
      <alignment vertical="center" wrapText="1"/>
    </xf>
    <xf numFmtId="0" fontId="13" fillId="2" borderId="140" xfId="0" applyFont="1" applyFill="1" applyBorder="1" applyAlignment="1" applyProtection="1">
      <alignment vertical="center" wrapText="1"/>
      <protection hidden="1"/>
    </xf>
    <xf numFmtId="0" fontId="13" fillId="2" borderId="146" xfId="0" applyFont="1" applyFill="1" applyBorder="1" applyAlignment="1" applyProtection="1">
      <alignment horizontal="left" vertical="center" wrapText="1"/>
      <protection hidden="1"/>
    </xf>
    <xf numFmtId="0" fontId="13" fillId="2" borderId="146" xfId="0" applyFont="1" applyFill="1" applyBorder="1" applyAlignment="1" applyProtection="1">
      <alignment vertical="center" wrapText="1"/>
      <protection hidden="1"/>
    </xf>
    <xf numFmtId="0" fontId="13" fillId="2" borderId="0" xfId="0" applyFont="1" applyFill="1" applyAlignment="1" applyProtection="1">
      <alignment vertical="center"/>
      <protection hidden="1"/>
    </xf>
    <xf numFmtId="0" fontId="6" fillId="27" borderId="0" xfId="0" applyFont="1" applyFill="1" applyAlignment="1" applyProtection="1">
      <alignment horizontal="center" vertical="center"/>
      <protection hidden="1"/>
    </xf>
    <xf numFmtId="0" fontId="6" fillId="0" borderId="3" xfId="0" applyFont="1" applyBorder="1" applyAlignment="1" applyProtection="1">
      <alignment horizontal="right" vertical="center"/>
      <protection hidden="1"/>
    </xf>
    <xf numFmtId="4" fontId="6" fillId="0" borderId="3" xfId="0" applyNumberFormat="1" applyFont="1" applyBorder="1" applyAlignment="1" applyProtection="1">
      <alignment horizontal="right" vertical="center"/>
      <protection hidden="1"/>
    </xf>
    <xf numFmtId="0" fontId="49" fillId="0" borderId="0" xfId="0" applyFont="1" applyProtection="1">
      <protection hidden="1"/>
    </xf>
    <xf numFmtId="2" fontId="49" fillId="0" borderId="0" xfId="0" applyNumberFormat="1" applyFont="1" applyProtection="1">
      <protection hidden="1"/>
    </xf>
    <xf numFmtId="4" fontId="22" fillId="0" borderId="3" xfId="0" applyNumberFormat="1" applyFont="1" applyBorder="1" applyAlignment="1" applyProtection="1">
      <alignment horizontal="right" vertical="center"/>
      <protection hidden="1"/>
    </xf>
    <xf numFmtId="9" fontId="49" fillId="0" borderId="0" xfId="0" applyNumberFormat="1" applyFont="1" applyProtection="1">
      <protection hidden="1"/>
    </xf>
    <xf numFmtId="171" fontId="10" fillId="12" borderId="0" xfId="2" applyNumberFormat="1" applyFont="1" applyFill="1" applyBorder="1" applyAlignment="1" applyProtection="1">
      <alignment horizontal="center" vertical="center"/>
      <protection locked="0"/>
    </xf>
    <xf numFmtId="9" fontId="10" fillId="12" borderId="0" xfId="2" applyFont="1" applyFill="1" applyAlignment="1" applyProtection="1">
      <alignment horizontal="center" vertical="center"/>
      <protection locked="0"/>
    </xf>
    <xf numFmtId="9" fontId="10" fillId="49" borderId="0" xfId="0" applyNumberFormat="1" applyFont="1" applyFill="1" applyAlignment="1">
      <alignment horizontal="center" vertical="center"/>
    </xf>
    <xf numFmtId="9" fontId="10" fillId="49" borderId="4" xfId="0" applyNumberFormat="1" applyFont="1" applyFill="1" applyBorder="1" applyAlignment="1">
      <alignment horizontal="center" vertical="center"/>
    </xf>
    <xf numFmtId="0" fontId="98" fillId="12" borderId="0" xfId="0" applyFont="1" applyFill="1" applyAlignment="1">
      <alignment horizontal="right"/>
    </xf>
    <xf numFmtId="0" fontId="34" fillId="12" borderId="8" xfId="0" applyFont="1" applyFill="1" applyBorder="1" applyAlignment="1" applyProtection="1">
      <alignment horizontal="center" vertical="center"/>
      <protection locked="0"/>
    </xf>
    <xf numFmtId="171" fontId="10" fillId="12" borderId="0" xfId="2" applyNumberFormat="1" applyFont="1" applyFill="1" applyAlignment="1" applyProtection="1">
      <alignment horizontal="center" vertical="center"/>
      <protection locked="0"/>
    </xf>
    <xf numFmtId="0" fontId="30" fillId="12" borderId="8" xfId="0" applyFont="1" applyFill="1" applyBorder="1" applyAlignment="1">
      <alignment horizontal="left" vertical="center"/>
    </xf>
    <xf numFmtId="3" fontId="10" fillId="12" borderId="19" xfId="2" applyNumberFormat="1" applyFont="1" applyFill="1" applyBorder="1" applyAlignment="1" applyProtection="1">
      <alignment horizontal="center" vertical="center"/>
      <protection locked="0"/>
    </xf>
    <xf numFmtId="0" fontId="23" fillId="6" borderId="8" xfId="3" applyFont="1" applyFill="1" applyBorder="1" applyAlignment="1">
      <alignment horizontal="center" vertical="center" wrapText="1"/>
    </xf>
    <xf numFmtId="184" fontId="20" fillId="6" borderId="11" xfId="22" applyNumberFormat="1" applyFont="1" applyFill="1" applyBorder="1" applyAlignment="1">
      <alignment horizontal="center" vertical="center"/>
    </xf>
    <xf numFmtId="9" fontId="20" fillId="6" borderId="11" xfId="2" applyFont="1" applyFill="1" applyBorder="1" applyAlignment="1">
      <alignment horizontal="center" vertical="center"/>
    </xf>
    <xf numFmtId="184" fontId="20" fillId="6" borderId="4" xfId="22" applyNumberFormat="1" applyFont="1" applyFill="1" applyBorder="1" applyAlignment="1">
      <alignment horizontal="center" vertical="center"/>
    </xf>
    <xf numFmtId="3" fontId="41" fillId="6" borderId="11" xfId="4" applyNumberFormat="1" applyFont="1" applyFill="1" applyBorder="1" applyAlignment="1">
      <alignment vertical="center"/>
    </xf>
    <xf numFmtId="3" fontId="41" fillId="6" borderId="0" xfId="4" applyNumberFormat="1" applyFont="1" applyFill="1" applyAlignment="1">
      <alignment horizontal="right" vertical="center"/>
    </xf>
    <xf numFmtId="3" fontId="41" fillId="6" borderId="4" xfId="4" applyNumberFormat="1" applyFont="1" applyFill="1" applyBorder="1" applyAlignment="1">
      <alignment horizontal="right" vertical="center"/>
    </xf>
    <xf numFmtId="174" fontId="23" fillId="6" borderId="0" xfId="4" applyNumberFormat="1" applyFont="1" applyFill="1" applyAlignment="1">
      <alignment horizontal="right" vertical="center"/>
    </xf>
    <xf numFmtId="0" fontId="26" fillId="6" borderId="8" xfId="21" applyFont="1" applyFill="1" applyBorder="1" applyAlignment="1">
      <alignment horizontal="right" vertical="center"/>
    </xf>
    <xf numFmtId="174" fontId="41" fillId="6" borderId="0" xfId="4" applyNumberFormat="1" applyFont="1" applyFill="1" applyAlignment="1">
      <alignment horizontal="right" vertical="center"/>
    </xf>
    <xf numFmtId="174" fontId="41" fillId="6" borderId="4" xfId="4" applyNumberFormat="1" applyFont="1" applyFill="1" applyBorder="1" applyAlignment="1">
      <alignment horizontal="right" vertical="center"/>
    </xf>
    <xf numFmtId="174" fontId="41" fillId="6" borderId="0" xfId="4" applyNumberFormat="1" applyFont="1" applyFill="1" applyAlignment="1">
      <alignment horizontal="left" vertical="center"/>
    </xf>
    <xf numFmtId="174" fontId="81" fillId="6" borderId="0" xfId="4" applyNumberFormat="1" applyFont="1" applyFill="1" applyAlignment="1">
      <alignment horizontal="right" vertical="center"/>
    </xf>
    <xf numFmtId="174" fontId="23" fillId="6" borderId="3" xfId="4" applyNumberFormat="1" applyFont="1" applyFill="1" applyBorder="1" applyAlignment="1">
      <alignment horizontal="left" vertical="center"/>
    </xf>
    <xf numFmtId="174" fontId="23" fillId="6" borderId="3" xfId="4" applyNumberFormat="1" applyFont="1" applyFill="1" applyBorder="1" applyAlignment="1">
      <alignment horizontal="center" vertical="center" wrapText="1"/>
    </xf>
    <xf numFmtId="174" fontId="23" fillId="6" borderId="3" xfId="4" applyNumberFormat="1" applyFont="1" applyFill="1" applyBorder="1" applyAlignment="1">
      <alignment horizontal="center" vertical="center"/>
    </xf>
    <xf numFmtId="168" fontId="41" fillId="6" borderId="0" xfId="4" applyNumberFormat="1" applyFont="1" applyFill="1" applyAlignment="1">
      <alignment horizontal="center" vertical="center"/>
    </xf>
    <xf numFmtId="174" fontId="41" fillId="6" borderId="0" xfId="4" applyNumberFormat="1" applyFont="1" applyFill="1" applyAlignment="1">
      <alignment horizontal="center" vertical="center"/>
    </xf>
    <xf numFmtId="168" fontId="41" fillId="6" borderId="3" xfId="4" applyNumberFormat="1" applyFont="1" applyFill="1" applyBorder="1" applyAlignment="1">
      <alignment horizontal="center" vertical="center"/>
    </xf>
    <xf numFmtId="0" fontId="20" fillId="6" borderId="3" xfId="21" applyFont="1" applyFill="1" applyBorder="1" applyAlignment="1">
      <alignment vertical="center"/>
    </xf>
    <xf numFmtId="4" fontId="41" fillId="6" borderId="11" xfId="21" applyNumberFormat="1" applyFont="1" applyFill="1" applyBorder="1" applyAlignment="1">
      <alignment horizontal="right" vertical="center"/>
    </xf>
    <xf numFmtId="174" fontId="41" fillId="6" borderId="11" xfId="4" applyNumberFormat="1" applyFont="1" applyFill="1" applyBorder="1" applyAlignment="1">
      <alignment horizontal="right" vertical="center"/>
    </xf>
    <xf numFmtId="4" fontId="41" fillId="6" borderId="4" xfId="21" applyNumberFormat="1" applyFont="1" applyFill="1" applyBorder="1" applyAlignment="1">
      <alignment horizontal="right" vertical="center"/>
    </xf>
    <xf numFmtId="174" fontId="41" fillId="6" borderId="10" xfId="4" applyNumberFormat="1" applyFont="1" applyFill="1" applyBorder="1" applyAlignment="1">
      <alignment horizontal="right" vertical="center"/>
    </xf>
    <xf numFmtId="0" fontId="109" fillId="6" borderId="0" xfId="3" applyFont="1" applyFill="1"/>
    <xf numFmtId="166" fontId="20" fillId="6" borderId="0" xfId="1" applyNumberFormat="1" applyFont="1" applyFill="1" applyAlignment="1">
      <alignment horizontal="right"/>
    </xf>
    <xf numFmtId="0" fontId="16" fillId="6" borderId="3" xfId="24" applyFont="1" applyFill="1" applyBorder="1"/>
    <xf numFmtId="166" fontId="20" fillId="6" borderId="3" xfId="1" applyNumberFormat="1" applyFont="1" applyFill="1" applyBorder="1" applyAlignment="1">
      <alignment horizontal="right"/>
    </xf>
    <xf numFmtId="166" fontId="0" fillId="12" borderId="0" xfId="1" applyNumberFormat="1" applyFont="1" applyFill="1"/>
    <xf numFmtId="166" fontId="10" fillId="12" borderId="0" xfId="1" applyNumberFormat="1" applyFont="1" applyFill="1" applyAlignment="1" applyProtection="1">
      <alignment horizontal="center" vertical="center"/>
      <protection locked="0"/>
    </xf>
    <xf numFmtId="166" fontId="10" fillId="12" borderId="4" xfId="1" applyNumberFormat="1" applyFont="1" applyFill="1" applyBorder="1" applyAlignment="1" applyProtection="1">
      <alignment horizontal="center" vertical="center"/>
      <protection locked="0"/>
    </xf>
    <xf numFmtId="0" fontId="98" fillId="6" borderId="0" xfId="3" applyFont="1" applyFill="1"/>
    <xf numFmtId="0" fontId="41" fillId="6" borderId="0" xfId="3" applyFont="1" applyFill="1"/>
    <xf numFmtId="1" fontId="98" fillId="6" borderId="0" xfId="3" applyNumberFormat="1" applyFont="1" applyFill="1"/>
    <xf numFmtId="1" fontId="98" fillId="6" borderId="0" xfId="3" applyNumberFormat="1" applyFont="1" applyFill="1" applyAlignment="1">
      <alignment horizontal="right"/>
    </xf>
    <xf numFmtId="0" fontId="138" fillId="12" borderId="8" xfId="0" applyFont="1" applyFill="1" applyBorder="1" applyAlignment="1" applyProtection="1">
      <alignment horizontal="right" vertical="center"/>
      <protection locked="0"/>
    </xf>
    <xf numFmtId="166" fontId="84" fillId="6" borderId="0" xfId="1" applyNumberFormat="1" applyFont="1" applyFill="1" applyAlignment="1">
      <alignment horizontal="right"/>
    </xf>
    <xf numFmtId="166" fontId="84" fillId="6" borderId="0" xfId="1" applyNumberFormat="1" applyFont="1" applyFill="1" applyBorder="1" applyAlignment="1">
      <alignment horizontal="right"/>
    </xf>
    <xf numFmtId="3" fontId="5" fillId="6" borderId="0" xfId="0" applyNumberFormat="1" applyFont="1" applyFill="1" applyAlignment="1">
      <alignment vertical="center"/>
    </xf>
    <xf numFmtId="9" fontId="12" fillId="6" borderId="0" xfId="2" applyFont="1" applyFill="1" applyAlignment="1">
      <alignment vertical="center"/>
    </xf>
    <xf numFmtId="3" fontId="26" fillId="6" borderId="4" xfId="0" applyNumberFormat="1" applyFont="1" applyFill="1" applyBorder="1" applyAlignment="1">
      <alignment vertical="center"/>
    </xf>
    <xf numFmtId="9" fontId="26" fillId="6" borderId="4" xfId="2" applyFont="1" applyFill="1" applyBorder="1" applyAlignment="1">
      <alignment vertical="center"/>
    </xf>
    <xf numFmtId="173" fontId="106" fillId="6" borderId="0" xfId="4" applyNumberFormat="1" applyFont="1" applyFill="1" applyAlignment="1">
      <alignment horizontal="right" vertical="center" wrapText="1"/>
    </xf>
    <xf numFmtId="0" fontId="98" fillId="6" borderId="48" xfId="24" applyFont="1" applyFill="1" applyBorder="1" applyAlignment="1">
      <alignment horizontal="center" vertical="center"/>
    </xf>
    <xf numFmtId="1" fontId="41" fillId="6" borderId="0" xfId="0" applyNumberFormat="1" applyFont="1" applyFill="1"/>
    <xf numFmtId="0" fontId="26" fillId="6" borderId="48" xfId="25" applyFont="1" applyFill="1" applyBorder="1" applyAlignment="1">
      <alignment vertical="center"/>
    </xf>
    <xf numFmtId="0" fontId="57" fillId="6" borderId="0" xfId="25" applyFont="1" applyFill="1" applyAlignment="1">
      <alignment vertical="center"/>
    </xf>
    <xf numFmtId="3" fontId="20" fillId="6" borderId="0" xfId="2" applyNumberFormat="1" applyFont="1" applyFill="1" applyBorder="1" applyAlignment="1">
      <alignment vertical="center"/>
    </xf>
    <xf numFmtId="3" fontId="20" fillId="6" borderId="0" xfId="24" applyNumberFormat="1" applyFont="1" applyFill="1" applyAlignment="1">
      <alignment vertical="center"/>
    </xf>
    <xf numFmtId="0" fontId="84" fillId="6" borderId="0" xfId="0" applyFont="1" applyFill="1" applyAlignment="1">
      <alignment horizontal="left"/>
    </xf>
    <xf numFmtId="3" fontId="20" fillId="6" borderId="4" xfId="2" applyNumberFormat="1" applyFont="1" applyFill="1" applyBorder="1" applyAlignment="1">
      <alignment vertical="center"/>
    </xf>
    <xf numFmtId="0" fontId="98" fillId="6" borderId="3" xfId="24" applyFont="1" applyFill="1" applyBorder="1" applyAlignment="1">
      <alignment horizontal="left" vertical="center"/>
    </xf>
    <xf numFmtId="3" fontId="23" fillId="6" borderId="4" xfId="2" applyNumberFormat="1" applyFont="1" applyFill="1" applyBorder="1" applyAlignment="1">
      <alignment vertical="center"/>
    </xf>
    <xf numFmtId="3" fontId="23" fillId="6" borderId="0" xfId="2" applyNumberFormat="1" applyFont="1" applyFill="1" applyBorder="1" applyAlignment="1">
      <alignment vertical="center"/>
    </xf>
    <xf numFmtId="3" fontId="23" fillId="6" borderId="0" xfId="2" applyNumberFormat="1" applyFont="1" applyFill="1" applyBorder="1" applyAlignment="1">
      <alignment horizontal="right" vertical="center"/>
    </xf>
    <xf numFmtId="9" fontId="20" fillId="6" borderId="0" xfId="2" applyFont="1" applyFill="1" applyBorder="1" applyAlignment="1">
      <alignment vertical="center"/>
    </xf>
    <xf numFmtId="9" fontId="23" fillId="6" borderId="3" xfId="2" applyFont="1" applyFill="1" applyBorder="1" applyAlignment="1">
      <alignment vertical="center"/>
    </xf>
    <xf numFmtId="0" fontId="98" fillId="6" borderId="8" xfId="25" applyFont="1" applyFill="1" applyBorder="1" applyAlignment="1">
      <alignment horizontal="center" vertical="center"/>
    </xf>
    <xf numFmtId="2" fontId="41" fillId="6" borderId="0" xfId="1" applyNumberFormat="1" applyFont="1" applyFill="1" applyAlignment="1">
      <alignment horizontal="center"/>
    </xf>
    <xf numFmtId="0" fontId="84" fillId="6" borderId="4" xfId="0" applyFont="1" applyFill="1" applyBorder="1" applyAlignment="1">
      <alignment horizontal="left"/>
    </xf>
    <xf numFmtId="0" fontId="41" fillId="6" borderId="4" xfId="0" applyFont="1" applyFill="1" applyBorder="1" applyAlignment="1">
      <alignment horizontal="left"/>
    </xf>
    <xf numFmtId="2" fontId="41" fillId="6" borderId="4" xfId="1" applyNumberFormat="1" applyFont="1" applyFill="1" applyBorder="1" applyAlignment="1">
      <alignment horizontal="center"/>
    </xf>
    <xf numFmtId="176" fontId="41" fillId="6" borderId="19" xfId="6" applyFont="1" applyFill="1" applyBorder="1" applyAlignment="1">
      <alignment horizontal="center" vertical="center"/>
    </xf>
    <xf numFmtId="43" fontId="20" fillId="9" borderId="0" xfId="1" applyFont="1" applyFill="1" applyAlignment="1">
      <alignment horizontal="left" vertical="center" wrapText="1"/>
    </xf>
    <xf numFmtId="43" fontId="20" fillId="9" borderId="4" xfId="1" applyFont="1" applyFill="1" applyBorder="1" applyAlignment="1">
      <alignment horizontal="left" vertical="center" wrapText="1"/>
    </xf>
    <xf numFmtId="43" fontId="41" fillId="9" borderId="0" xfId="1" applyFont="1" applyFill="1" applyAlignment="1">
      <alignment horizontal="center" vertical="center"/>
    </xf>
    <xf numFmtId="166" fontId="20" fillId="2" borderId="0" xfId="1" applyNumberFormat="1" applyFont="1" applyFill="1" applyAlignment="1">
      <alignment horizontal="right"/>
    </xf>
    <xf numFmtId="43" fontId="20" fillId="2" borderId="0" xfId="1" applyFont="1" applyFill="1" applyAlignment="1">
      <alignment horizontal="right"/>
    </xf>
    <xf numFmtId="166" fontId="20" fillId="2" borderId="3" xfId="1" applyNumberFormat="1" applyFont="1" applyFill="1" applyBorder="1" applyAlignment="1">
      <alignment horizontal="right"/>
    </xf>
    <xf numFmtId="0" fontId="41" fillId="2" borderId="0" xfId="3" applyFont="1" applyFill="1"/>
    <xf numFmtId="1" fontId="98" fillId="2" borderId="0" xfId="3" applyNumberFormat="1" applyFont="1" applyFill="1"/>
    <xf numFmtId="0" fontId="20" fillId="2" borderId="0" xfId="3" applyFont="1" applyFill="1"/>
    <xf numFmtId="166" fontId="41" fillId="4" borderId="3" xfId="1" applyNumberFormat="1" applyFont="1" applyFill="1" applyBorder="1"/>
    <xf numFmtId="43" fontId="41" fillId="4" borderId="0" xfId="1" applyFont="1" applyFill="1" applyBorder="1"/>
    <xf numFmtId="2" fontId="41" fillId="4" borderId="0" xfId="3" applyNumberFormat="1" applyFont="1" applyFill="1"/>
    <xf numFmtId="0" fontId="98" fillId="15" borderId="0" xfId="0" applyFont="1" applyFill="1" applyAlignment="1">
      <alignment horizontal="right"/>
    </xf>
    <xf numFmtId="43" fontId="12" fillId="4" borderId="0" xfId="1" applyFont="1" applyFill="1" applyAlignment="1">
      <alignment vertical="center"/>
    </xf>
    <xf numFmtId="43" fontId="12" fillId="32" borderId="0" xfId="1" applyFont="1" applyFill="1"/>
    <xf numFmtId="208" fontId="10" fillId="6" borderId="0" xfId="6" applyNumberFormat="1" applyFont="1" applyFill="1" applyAlignment="1" applyProtection="1">
      <alignment horizontal="right" vertical="center"/>
      <protection hidden="1"/>
    </xf>
    <xf numFmtId="208" fontId="10" fillId="6" borderId="4" xfId="6" applyNumberFormat="1" applyFont="1" applyFill="1" applyBorder="1" applyAlignment="1" applyProtection="1">
      <alignment horizontal="right" vertical="center"/>
      <protection hidden="1"/>
    </xf>
    <xf numFmtId="3" fontId="0" fillId="6" borderId="0" xfId="0" applyNumberFormat="1" applyFill="1" applyAlignment="1">
      <alignment vertical="center"/>
    </xf>
    <xf numFmtId="3" fontId="0" fillId="6" borderId="4" xfId="0" applyNumberFormat="1" applyFill="1" applyBorder="1" applyAlignment="1">
      <alignment vertical="center"/>
    </xf>
    <xf numFmtId="3" fontId="0" fillId="6" borderId="30" xfId="0" applyNumberFormat="1" applyFill="1" applyBorder="1" applyProtection="1">
      <protection hidden="1"/>
    </xf>
    <xf numFmtId="43" fontId="10" fillId="6" borderId="0" xfId="1" applyFont="1" applyFill="1" applyAlignment="1" applyProtection="1">
      <alignment vertical="center"/>
      <protection hidden="1"/>
    </xf>
    <xf numFmtId="43" fontId="10" fillId="6" borderId="4" xfId="1" applyFont="1" applyFill="1" applyBorder="1" applyAlignment="1" applyProtection="1">
      <alignment vertical="center"/>
      <protection hidden="1"/>
    </xf>
    <xf numFmtId="0" fontId="10" fillId="6" borderId="0" xfId="0" applyFont="1" applyFill="1" applyAlignment="1" applyProtection="1">
      <alignment horizontal="center"/>
      <protection hidden="1"/>
    </xf>
    <xf numFmtId="0" fontId="10" fillId="6" borderId="4" xfId="0" applyFont="1" applyFill="1" applyBorder="1" applyAlignment="1" applyProtection="1">
      <alignment horizontal="center"/>
      <protection hidden="1"/>
    </xf>
    <xf numFmtId="4" fontId="10" fillId="6" borderId="0" xfId="4" applyNumberFormat="1" applyFont="1" applyFill="1" applyAlignment="1" applyProtection="1">
      <alignment vertical="center"/>
      <protection hidden="1"/>
    </xf>
    <xf numFmtId="179" fontId="10" fillId="6" borderId="0" xfId="4" applyNumberFormat="1" applyFont="1" applyFill="1" applyAlignment="1" applyProtection="1">
      <alignment vertical="center"/>
      <protection hidden="1"/>
    </xf>
    <xf numFmtId="9" fontId="10" fillId="6" borderId="0" xfId="2" applyFont="1" applyFill="1" applyAlignment="1" applyProtection="1">
      <alignment vertical="center"/>
      <protection hidden="1"/>
    </xf>
    <xf numFmtId="179" fontId="10" fillId="6" borderId="4" xfId="4" applyNumberFormat="1" applyFont="1" applyFill="1" applyBorder="1" applyAlignment="1" applyProtection="1">
      <alignment vertical="center"/>
      <protection hidden="1"/>
    </xf>
    <xf numFmtId="9" fontId="10" fillId="6" borderId="4" xfId="2" applyFont="1" applyFill="1" applyBorder="1" applyAlignment="1" applyProtection="1">
      <alignment vertical="center"/>
      <protection hidden="1"/>
    </xf>
    <xf numFmtId="11" fontId="0" fillId="6" borderId="11" xfId="4" applyNumberFormat="1" applyFont="1" applyFill="1" applyBorder="1" applyAlignment="1" applyProtection="1">
      <alignment vertical="center"/>
      <protection hidden="1"/>
    </xf>
    <xf numFmtId="179" fontId="0" fillId="6" borderId="11" xfId="4" applyNumberFormat="1" applyFont="1" applyFill="1" applyBorder="1" applyAlignment="1" applyProtection="1">
      <alignment horizontal="center" vertical="center"/>
      <protection hidden="1"/>
    </xf>
    <xf numFmtId="9" fontId="0" fillId="6" borderId="77" xfId="2" applyFont="1" applyFill="1" applyBorder="1" applyAlignment="1" applyProtection="1">
      <alignment horizontal="center"/>
      <protection hidden="1"/>
    </xf>
    <xf numFmtId="11" fontId="0" fillId="6" borderId="0" xfId="4" applyNumberFormat="1" applyFont="1" applyFill="1" applyAlignment="1" applyProtection="1">
      <alignment vertical="center"/>
      <protection hidden="1"/>
    </xf>
    <xf numFmtId="179" fontId="0" fillId="6" borderId="0" xfId="4" applyNumberFormat="1" applyFont="1" applyFill="1" applyBorder="1" applyAlignment="1" applyProtection="1">
      <alignment horizontal="center" vertical="center"/>
      <protection hidden="1"/>
    </xf>
    <xf numFmtId="11" fontId="0" fillId="6" borderId="4" xfId="4" applyNumberFormat="1" applyFont="1" applyFill="1" applyBorder="1" applyAlignment="1" applyProtection="1">
      <alignment vertical="center"/>
      <protection hidden="1"/>
    </xf>
    <xf numFmtId="179" fontId="0" fillId="6" borderId="4" xfId="4" applyNumberFormat="1" applyFont="1" applyFill="1" applyBorder="1" applyAlignment="1" applyProtection="1">
      <alignment horizontal="center" vertical="center"/>
      <protection hidden="1"/>
    </xf>
    <xf numFmtId="0" fontId="14" fillId="6" borderId="12" xfId="0" applyFont="1" applyFill="1" applyBorder="1" applyAlignment="1" applyProtection="1">
      <alignment horizontal="right" vertical="center"/>
      <protection hidden="1"/>
    </xf>
    <xf numFmtId="43" fontId="0" fillId="6" borderId="11" xfId="1" applyFont="1" applyFill="1" applyBorder="1" applyAlignment="1" applyProtection="1">
      <alignment vertical="center"/>
      <protection hidden="1"/>
    </xf>
    <xf numFmtId="11" fontId="0" fillId="6" borderId="11" xfId="1" applyNumberFormat="1" applyFont="1" applyFill="1" applyBorder="1" applyAlignment="1" applyProtection="1">
      <alignment vertical="center"/>
      <protection hidden="1"/>
    </xf>
    <xf numFmtId="43" fontId="3" fillId="6" borderId="3" xfId="1" applyFont="1" applyFill="1" applyBorder="1" applyAlignment="1" applyProtection="1">
      <alignment vertical="center"/>
      <protection hidden="1"/>
    </xf>
    <xf numFmtId="11" fontId="3" fillId="6" borderId="3" xfId="1" applyNumberFormat="1" applyFont="1" applyFill="1" applyBorder="1" applyAlignment="1" applyProtection="1">
      <alignment vertical="center"/>
      <protection hidden="1"/>
    </xf>
    <xf numFmtId="9" fontId="10" fillId="6" borderId="165" xfId="2" applyFont="1" applyFill="1" applyBorder="1" applyAlignment="1" applyProtection="1">
      <alignment horizontal="center" vertical="center"/>
      <protection hidden="1"/>
    </xf>
    <xf numFmtId="9" fontId="10" fillId="6" borderId="143" xfId="2" applyFont="1" applyFill="1" applyBorder="1" applyAlignment="1" applyProtection="1">
      <alignment horizontal="center" vertical="center"/>
      <protection hidden="1"/>
    </xf>
    <xf numFmtId="0" fontId="3" fillId="6" borderId="0" xfId="3" quotePrefix="1" applyFont="1" applyFill="1" applyAlignment="1">
      <alignment vertical="center"/>
    </xf>
    <xf numFmtId="3" fontId="12" fillId="6" borderId="0" xfId="0" applyNumberFormat="1" applyFont="1" applyFill="1"/>
    <xf numFmtId="43" fontId="15" fillId="6" borderId="0" xfId="1" applyFont="1" applyFill="1" applyBorder="1" applyAlignment="1" applyProtection="1">
      <alignment horizontal="right" vertical="center"/>
      <protection locked="0"/>
    </xf>
    <xf numFmtId="43" fontId="15" fillId="6" borderId="4" xfId="1" applyFont="1" applyFill="1" applyBorder="1" applyAlignment="1" applyProtection="1">
      <alignment horizontal="right" vertical="center"/>
      <protection locked="0"/>
    </xf>
    <xf numFmtId="9" fontId="15" fillId="6" borderId="0" xfId="2" applyFont="1" applyFill="1" applyBorder="1" applyAlignment="1" applyProtection="1">
      <alignment horizontal="right" vertical="center"/>
      <protection locked="0"/>
    </xf>
    <xf numFmtId="166" fontId="15" fillId="6" borderId="0" xfId="1" applyNumberFormat="1" applyFont="1" applyFill="1" applyAlignment="1" applyProtection="1">
      <alignment vertical="center"/>
      <protection locked="0"/>
    </xf>
    <xf numFmtId="166" fontId="15" fillId="6" borderId="0" xfId="1" applyNumberFormat="1" applyFont="1" applyFill="1" applyBorder="1" applyAlignment="1" applyProtection="1">
      <alignment horizontal="right" vertical="center"/>
      <protection locked="0"/>
    </xf>
    <xf numFmtId="166" fontId="15" fillId="6" borderId="4" xfId="1" applyNumberFormat="1" applyFont="1" applyFill="1" applyBorder="1" applyAlignment="1" applyProtection="1">
      <alignment vertical="center"/>
      <protection locked="0"/>
    </xf>
    <xf numFmtId="1" fontId="20" fillId="6" borderId="11" xfId="2" applyNumberFormat="1" applyFont="1" applyFill="1" applyBorder="1" applyAlignment="1" applyProtection="1">
      <alignment vertical="center"/>
      <protection locked="0"/>
    </xf>
    <xf numFmtId="1" fontId="20" fillId="6" borderId="0" xfId="2" applyNumberFormat="1" applyFont="1" applyFill="1" applyBorder="1" applyAlignment="1" applyProtection="1">
      <alignment vertical="center"/>
      <protection locked="0"/>
    </xf>
    <xf numFmtId="1" fontId="20" fillId="6" borderId="0" xfId="0" applyNumberFormat="1" applyFont="1" applyFill="1" applyAlignment="1" applyProtection="1">
      <alignment horizontal="right" vertical="center"/>
      <protection locked="0"/>
    </xf>
    <xf numFmtId="1" fontId="20" fillId="6" borderId="4" xfId="2" applyNumberFormat="1" applyFont="1" applyFill="1" applyBorder="1" applyAlignment="1" applyProtection="1">
      <alignment vertical="center"/>
      <protection locked="0"/>
    </xf>
    <xf numFmtId="1" fontId="20" fillId="6" borderId="4" xfId="0" applyNumberFormat="1" applyFont="1" applyFill="1" applyBorder="1" applyAlignment="1" applyProtection="1">
      <alignment horizontal="right" vertical="center"/>
      <protection locked="0"/>
    </xf>
    <xf numFmtId="2" fontId="20" fillId="6" borderId="0" xfId="0" applyNumberFormat="1" applyFont="1" applyFill="1" applyAlignment="1" applyProtection="1">
      <alignment horizontal="right" vertical="center"/>
      <protection locked="0"/>
    </xf>
    <xf numFmtId="0" fontId="22" fillId="5" borderId="0" xfId="3" quotePrefix="1" applyFont="1" applyFill="1" applyAlignment="1" applyProtection="1">
      <alignment vertical="center"/>
      <protection locked="0"/>
    </xf>
    <xf numFmtId="3" fontId="20" fillId="6" borderId="11" xfId="0" applyNumberFormat="1" applyFont="1" applyFill="1" applyBorder="1" applyAlignment="1" applyProtection="1">
      <alignment horizontal="right" vertical="center"/>
      <protection locked="0"/>
    </xf>
    <xf numFmtId="3" fontId="20" fillId="6" borderId="0" xfId="0" applyNumberFormat="1" applyFont="1" applyFill="1" applyAlignment="1" applyProtection="1">
      <alignment horizontal="right" vertical="center"/>
      <protection locked="0"/>
    </xf>
    <xf numFmtId="3" fontId="20" fillId="6" borderId="4" xfId="0" applyNumberFormat="1" applyFont="1" applyFill="1" applyBorder="1" applyAlignment="1" applyProtection="1">
      <alignment horizontal="right" vertical="center"/>
      <protection locked="0"/>
    </xf>
    <xf numFmtId="2" fontId="23" fillId="6" borderId="0" xfId="0" applyNumberFormat="1" applyFont="1" applyFill="1" applyAlignment="1" applyProtection="1">
      <alignment horizontal="right" vertical="center"/>
      <protection locked="0"/>
    </xf>
    <xf numFmtId="43" fontId="15" fillId="6" borderId="0" xfId="1" applyFont="1" applyFill="1" applyAlignment="1" applyProtection="1">
      <alignment vertical="center"/>
    </xf>
    <xf numFmtId="43" fontId="15" fillId="6" borderId="4" xfId="1" applyFont="1" applyFill="1" applyBorder="1" applyAlignment="1" applyProtection="1">
      <alignment vertical="center"/>
    </xf>
    <xf numFmtId="9" fontId="15" fillId="6" borderId="0" xfId="2" applyFont="1" applyFill="1" applyAlignment="1" applyProtection="1">
      <alignment vertical="center"/>
    </xf>
    <xf numFmtId="9" fontId="15" fillId="6" borderId="4" xfId="2" applyFont="1" applyFill="1" applyBorder="1" applyAlignment="1" applyProtection="1">
      <alignment vertical="center"/>
    </xf>
    <xf numFmtId="0" fontId="46" fillId="6" borderId="0" xfId="3" applyFont="1" applyFill="1" applyAlignment="1">
      <alignment horizontal="left"/>
    </xf>
    <xf numFmtId="2" fontId="46" fillId="6" borderId="3" xfId="1" applyNumberFormat="1" applyFont="1" applyFill="1" applyBorder="1" applyAlignment="1" applyProtection="1">
      <alignment vertical="center"/>
      <protection locked="0"/>
    </xf>
    <xf numFmtId="4" fontId="20" fillId="6" borderId="4" xfId="0" applyNumberFormat="1" applyFont="1" applyFill="1" applyBorder="1" applyAlignment="1">
      <alignment horizontal="right" vertical="center"/>
    </xf>
    <xf numFmtId="2" fontId="2" fillId="11" borderId="11" xfId="1" applyNumberFormat="1" applyFont="1" applyFill="1" applyBorder="1" applyAlignment="1">
      <alignment horizontal="center"/>
    </xf>
    <xf numFmtId="2" fontId="2" fillId="11" borderId="0" xfId="1" applyNumberFormat="1" applyFont="1" applyFill="1" applyBorder="1" applyAlignment="1">
      <alignment horizontal="center"/>
    </xf>
    <xf numFmtId="2" fontId="2" fillId="11" borderId="4" xfId="1" applyNumberFormat="1" applyFont="1" applyFill="1" applyBorder="1" applyAlignment="1">
      <alignment horizontal="center"/>
    </xf>
    <xf numFmtId="2" fontId="13" fillId="0" borderId="0" xfId="0" applyNumberFormat="1" applyFont="1" applyProtection="1">
      <protection hidden="1"/>
    </xf>
    <xf numFmtId="0" fontId="186" fillId="2" borderId="0" xfId="0" applyFont="1" applyFill="1" applyAlignment="1">
      <alignment horizontal="left" vertical="center" wrapText="1"/>
    </xf>
    <xf numFmtId="0" fontId="14" fillId="6" borderId="114" xfId="0" applyFont="1" applyFill="1" applyBorder="1" applyAlignment="1">
      <alignment horizontal="left" vertical="center"/>
    </xf>
    <xf numFmtId="3" fontId="12" fillId="6" borderId="114" xfId="0" applyNumberFormat="1" applyFont="1" applyFill="1" applyBorder="1"/>
    <xf numFmtId="166" fontId="20" fillId="6" borderId="0" xfId="1" applyNumberFormat="1" applyFont="1" applyFill="1" applyBorder="1" applyAlignment="1">
      <alignment horizontal="center" vertical="center"/>
    </xf>
    <xf numFmtId="166" fontId="20" fillId="4" borderId="0" xfId="1" applyNumberFormat="1" applyFont="1" applyFill="1" applyBorder="1" applyAlignment="1">
      <alignment horizontal="right" vertical="center"/>
    </xf>
    <xf numFmtId="166" fontId="20" fillId="4" borderId="22" xfId="1" applyNumberFormat="1" applyFont="1" applyFill="1" applyBorder="1" applyAlignment="1">
      <alignment horizontal="right" vertical="center"/>
    </xf>
    <xf numFmtId="166" fontId="20" fillId="4" borderId="30" xfId="1" applyNumberFormat="1" applyFont="1" applyFill="1" applyBorder="1" applyAlignment="1">
      <alignment horizontal="right" vertical="center"/>
    </xf>
    <xf numFmtId="0" fontId="117" fillId="2" borderId="46" xfId="0" applyFont="1" applyFill="1" applyBorder="1" applyAlignment="1" applyProtection="1">
      <alignment horizontal="right"/>
      <protection hidden="1"/>
    </xf>
    <xf numFmtId="3" fontId="20" fillId="6" borderId="0" xfId="0" applyNumberFormat="1" applyFont="1" applyFill="1"/>
    <xf numFmtId="9" fontId="2" fillId="2" borderId="0" xfId="0" applyNumberFormat="1" applyFont="1" applyFill="1"/>
    <xf numFmtId="0" fontId="134" fillId="2" borderId="34" xfId="0" applyFont="1" applyFill="1" applyBorder="1" applyAlignment="1">
      <alignment horizontal="left" vertical="top" wrapText="1"/>
    </xf>
    <xf numFmtId="9" fontId="1" fillId="6" borderId="11" xfId="2" applyFont="1" applyFill="1" applyBorder="1"/>
    <xf numFmtId="9" fontId="1" fillId="6" borderId="4" xfId="2" applyFont="1" applyFill="1" applyBorder="1"/>
    <xf numFmtId="0" fontId="1" fillId="6" borderId="0" xfId="0" applyFont="1" applyFill="1"/>
    <xf numFmtId="0" fontId="3" fillId="6" borderId="8" xfId="0" applyFont="1" applyFill="1" applyBorder="1" applyAlignment="1">
      <alignment horizontal="center" vertical="center"/>
    </xf>
    <xf numFmtId="10" fontId="1" fillId="6" borderId="4" xfId="2" applyNumberFormat="1" applyFont="1" applyFill="1" applyBorder="1"/>
    <xf numFmtId="173" fontId="1" fillId="6" borderId="0" xfId="1" applyNumberFormat="1" applyFont="1" applyFill="1" applyAlignment="1">
      <alignment vertical="center"/>
    </xf>
    <xf numFmtId="173" fontId="1" fillId="6" borderId="0" xfId="1" applyNumberFormat="1" applyFont="1" applyFill="1" applyBorder="1" applyAlignment="1">
      <alignment vertical="center"/>
    </xf>
    <xf numFmtId="0" fontId="16" fillId="9" borderId="3" xfId="0" applyFont="1" applyFill="1" applyBorder="1" applyAlignment="1">
      <alignment horizontal="left"/>
    </xf>
    <xf numFmtId="0" fontId="90" fillId="2" borderId="32" xfId="0" applyFont="1" applyFill="1" applyBorder="1" applyProtection="1">
      <protection hidden="1"/>
    </xf>
    <xf numFmtId="0" fontId="18" fillId="2" borderId="32" xfId="0" applyFont="1" applyFill="1" applyBorder="1" applyProtection="1">
      <protection hidden="1"/>
    </xf>
    <xf numFmtId="0" fontId="0" fillId="2" borderId="32" xfId="0" applyFill="1" applyBorder="1" applyProtection="1">
      <protection hidden="1"/>
    </xf>
    <xf numFmtId="0" fontId="116" fillId="2" borderId="0" xfId="0" applyFont="1" applyFill="1" applyAlignment="1" applyProtection="1">
      <alignment horizontal="center"/>
      <protection hidden="1"/>
    </xf>
    <xf numFmtId="0" fontId="117" fillId="2" borderId="45" xfId="0" applyFont="1" applyFill="1" applyBorder="1" applyAlignment="1" applyProtection="1">
      <alignment horizontal="center"/>
      <protection hidden="1"/>
    </xf>
    <xf numFmtId="0" fontId="117" fillId="2" borderId="46" xfId="0" applyFont="1" applyFill="1" applyBorder="1" applyAlignment="1" applyProtection="1">
      <alignment horizontal="center"/>
      <protection hidden="1"/>
    </xf>
    <xf numFmtId="0" fontId="114" fillId="2" borderId="0" xfId="0" applyFont="1" applyFill="1" applyAlignment="1" applyProtection="1">
      <alignment horizontal="center"/>
      <protection hidden="1"/>
    </xf>
    <xf numFmtId="0" fontId="117" fillId="2" borderId="0" xfId="0" applyFont="1" applyFill="1" applyAlignment="1" applyProtection="1">
      <alignment horizontal="center"/>
      <protection hidden="1"/>
    </xf>
    <xf numFmtId="2" fontId="0" fillId="2" borderId="0" xfId="0" applyNumberFormat="1" applyFill="1" applyProtection="1">
      <protection hidden="1"/>
    </xf>
    <xf numFmtId="0" fontId="1" fillId="2" borderId="0" xfId="29" applyFill="1" applyProtection="1">
      <protection hidden="1"/>
    </xf>
    <xf numFmtId="2" fontId="1" fillId="2" borderId="0" xfId="29" applyNumberFormat="1" applyFill="1" applyProtection="1">
      <protection hidden="1"/>
    </xf>
    <xf numFmtId="2" fontId="0" fillId="2" borderId="0" xfId="0" applyNumberFormat="1" applyFill="1" applyAlignment="1" applyProtection="1">
      <alignment horizontal="center"/>
      <protection hidden="1"/>
    </xf>
    <xf numFmtId="9" fontId="1" fillId="0" borderId="0" xfId="2"/>
    <xf numFmtId="9" fontId="31" fillId="0" borderId="0" xfId="2" applyFont="1" applyAlignment="1">
      <alignment horizontal="center"/>
    </xf>
    <xf numFmtId="9" fontId="1" fillId="6" borderId="0" xfId="2" applyFill="1"/>
    <xf numFmtId="43" fontId="1" fillId="0" borderId="0" xfId="1"/>
    <xf numFmtId="165" fontId="1" fillId="0" borderId="0" xfId="5" applyNumberFormat="1"/>
    <xf numFmtId="0" fontId="10" fillId="2" borderId="0" xfId="0" applyFont="1" applyFill="1" applyAlignment="1">
      <alignment horizontal="center" wrapText="1"/>
    </xf>
    <xf numFmtId="11" fontId="20" fillId="6" borderId="0" xfId="0" applyNumberFormat="1" applyFont="1" applyFill="1" applyAlignment="1" applyProtection="1">
      <alignment vertical="center"/>
      <protection hidden="1"/>
    </xf>
    <xf numFmtId="11" fontId="10" fillId="6" borderId="0" xfId="0" applyNumberFormat="1" applyFont="1" applyFill="1" applyProtection="1">
      <protection hidden="1"/>
    </xf>
    <xf numFmtId="188" fontId="10" fillId="6" borderId="0" xfId="0" applyNumberFormat="1" applyFont="1" applyFill="1" applyAlignment="1" applyProtection="1">
      <alignment vertical="center"/>
      <protection hidden="1"/>
    </xf>
    <xf numFmtId="188" fontId="20" fillId="6" borderId="0" xfId="0" applyNumberFormat="1" applyFont="1" applyFill="1" applyAlignment="1" applyProtection="1">
      <alignment vertical="center"/>
      <protection hidden="1"/>
    </xf>
    <xf numFmtId="188" fontId="10" fillId="6" borderId="4" xfId="0" applyNumberFormat="1" applyFont="1" applyFill="1" applyBorder="1" applyAlignment="1" applyProtection="1">
      <alignment vertical="center"/>
      <protection hidden="1"/>
    </xf>
    <xf numFmtId="167" fontId="10" fillId="6" borderId="0" xfId="1" applyNumberFormat="1" applyFont="1" applyFill="1" applyAlignment="1" applyProtection="1">
      <alignment horizontal="right"/>
      <protection hidden="1"/>
    </xf>
    <xf numFmtId="11" fontId="10" fillId="6" borderId="0" xfId="0" applyNumberFormat="1" applyFont="1" applyFill="1" applyAlignment="1" applyProtection="1">
      <alignment horizontal="right"/>
      <protection hidden="1"/>
    </xf>
    <xf numFmtId="167" fontId="10" fillId="6" borderId="0" xfId="0" applyNumberFormat="1" applyFont="1" applyFill="1" applyAlignment="1" applyProtection="1">
      <alignment horizontal="right"/>
      <protection hidden="1"/>
    </xf>
    <xf numFmtId="0" fontId="10" fillId="6" borderId="0" xfId="0" applyFont="1" applyFill="1" applyAlignment="1" applyProtection="1">
      <alignment horizontal="right"/>
      <protection hidden="1"/>
    </xf>
    <xf numFmtId="167" fontId="10" fillId="6" borderId="4" xfId="1" applyNumberFormat="1" applyFont="1" applyFill="1" applyBorder="1" applyAlignment="1" applyProtection="1">
      <alignment horizontal="right"/>
      <protection hidden="1"/>
    </xf>
    <xf numFmtId="11" fontId="10" fillId="6" borderId="4" xfId="0" applyNumberFormat="1" applyFont="1" applyFill="1" applyBorder="1" applyAlignment="1" applyProtection="1">
      <alignment horizontal="right"/>
      <protection hidden="1"/>
    </xf>
    <xf numFmtId="10" fontId="20" fillId="6" borderId="0" xfId="2" applyNumberFormat="1" applyFont="1" applyFill="1" applyBorder="1" applyAlignment="1" applyProtection="1">
      <alignment horizontal="right" vertical="center"/>
      <protection hidden="1"/>
    </xf>
    <xf numFmtId="10" fontId="20" fillId="6" borderId="4" xfId="2" applyNumberFormat="1" applyFont="1" applyFill="1" applyBorder="1" applyAlignment="1" applyProtection="1">
      <alignment horizontal="right" vertical="center"/>
      <protection hidden="1"/>
    </xf>
    <xf numFmtId="166" fontId="20" fillId="6" borderId="9" xfId="1" applyNumberFormat="1" applyFont="1" applyFill="1" applyBorder="1" applyAlignment="1" applyProtection="1">
      <alignment vertical="center"/>
      <protection hidden="1"/>
    </xf>
    <xf numFmtId="166" fontId="20" fillId="6" borderId="0" xfId="1" applyNumberFormat="1" applyFont="1" applyFill="1" applyBorder="1" applyAlignment="1" applyProtection="1">
      <alignment vertical="center"/>
      <protection hidden="1"/>
    </xf>
    <xf numFmtId="166" fontId="20" fillId="6" borderId="4" xfId="1" applyNumberFormat="1" applyFont="1" applyFill="1" applyBorder="1" applyAlignment="1" applyProtection="1">
      <alignment vertical="center"/>
      <protection hidden="1"/>
    </xf>
    <xf numFmtId="166" fontId="10" fillId="6" borderId="0" xfId="0" applyNumberFormat="1" applyFont="1" applyFill="1" applyAlignment="1" applyProtection="1">
      <alignment vertical="center"/>
      <protection hidden="1"/>
    </xf>
    <xf numFmtId="9" fontId="10" fillId="6" borderId="11" xfId="2" applyFont="1" applyFill="1" applyBorder="1" applyProtection="1">
      <protection hidden="1"/>
    </xf>
    <xf numFmtId="43" fontId="10" fillId="6" borderId="0" xfId="1" applyFont="1" applyFill="1" applyBorder="1" applyProtection="1">
      <protection hidden="1"/>
    </xf>
    <xf numFmtId="0" fontId="23" fillId="6" borderId="21" xfId="0" applyFont="1" applyFill="1" applyBorder="1" applyAlignment="1" applyProtection="1">
      <alignment horizontal="center" vertical="center"/>
      <protection hidden="1"/>
    </xf>
    <xf numFmtId="166" fontId="10" fillId="6" borderId="11" xfId="1" applyNumberFormat="1" applyFont="1" applyFill="1" applyBorder="1" applyProtection="1">
      <protection hidden="1"/>
    </xf>
    <xf numFmtId="11" fontId="10" fillId="6" borderId="11" xfId="1" applyNumberFormat="1" applyFont="1" applyFill="1" applyBorder="1" applyProtection="1">
      <protection hidden="1"/>
    </xf>
    <xf numFmtId="166" fontId="10" fillId="6" borderId="0" xfId="1" applyNumberFormat="1" applyFont="1" applyFill="1" applyBorder="1" applyProtection="1">
      <protection hidden="1"/>
    </xf>
    <xf numFmtId="11" fontId="10" fillId="6" borderId="0" xfId="1" applyNumberFormat="1" applyFont="1" applyFill="1" applyBorder="1" applyProtection="1">
      <protection hidden="1"/>
    </xf>
    <xf numFmtId="191" fontId="10" fillId="6" borderId="0" xfId="1" applyNumberFormat="1" applyFont="1" applyFill="1" applyAlignment="1" applyProtection="1">
      <alignment vertical="center"/>
      <protection hidden="1"/>
    </xf>
    <xf numFmtId="11" fontId="10" fillId="6" borderId="4" xfId="1" applyNumberFormat="1" applyFont="1" applyFill="1" applyBorder="1" applyProtection="1">
      <protection hidden="1"/>
    </xf>
    <xf numFmtId="166" fontId="10" fillId="6" borderId="4" xfId="1" applyNumberFormat="1" applyFont="1" applyFill="1" applyBorder="1" applyProtection="1">
      <protection hidden="1"/>
    </xf>
    <xf numFmtId="9" fontId="10" fillId="6" borderId="19" xfId="2" applyFont="1" applyFill="1" applyBorder="1" applyProtection="1">
      <protection hidden="1"/>
    </xf>
    <xf numFmtId="0" fontId="23" fillId="6" borderId="21" xfId="0" applyFont="1" applyFill="1" applyBorder="1" applyAlignment="1" applyProtection="1">
      <alignment horizontal="left" vertical="center"/>
      <protection hidden="1"/>
    </xf>
    <xf numFmtId="0" fontId="23" fillId="6" borderId="36" xfId="0" applyFont="1" applyFill="1" applyBorder="1" applyAlignment="1" applyProtection="1">
      <alignment horizontal="left" vertical="center"/>
      <protection hidden="1"/>
    </xf>
    <xf numFmtId="0" fontId="23" fillId="6" borderId="9" xfId="0" applyFont="1" applyFill="1" applyBorder="1" applyAlignment="1" applyProtection="1">
      <alignment horizontal="left" vertical="center"/>
      <protection hidden="1"/>
    </xf>
    <xf numFmtId="0" fontId="23" fillId="6" borderId="37" xfId="0" applyFont="1" applyFill="1" applyBorder="1" applyAlignment="1" applyProtection="1">
      <alignment horizontal="left" vertical="center"/>
      <protection hidden="1"/>
    </xf>
    <xf numFmtId="0" fontId="23" fillId="6" borderId="22" xfId="0" applyFont="1" applyFill="1" applyBorder="1" applyAlignment="1" applyProtection="1">
      <alignment horizontal="left" vertical="center"/>
      <protection hidden="1"/>
    </xf>
    <xf numFmtId="1" fontId="10" fillId="6" borderId="11" xfId="0" applyNumberFormat="1" applyFont="1" applyFill="1" applyBorder="1" applyProtection="1">
      <protection hidden="1"/>
    </xf>
    <xf numFmtId="1" fontId="10" fillId="6" borderId="0" xfId="0" applyNumberFormat="1" applyFont="1" applyFill="1" applyProtection="1">
      <protection hidden="1"/>
    </xf>
    <xf numFmtId="1" fontId="10" fillId="6" borderId="4" xfId="0" applyNumberFormat="1" applyFont="1" applyFill="1" applyBorder="1" applyProtection="1">
      <protection hidden="1"/>
    </xf>
    <xf numFmtId="0" fontId="10" fillId="31" borderId="38" xfId="0" applyFont="1" applyFill="1" applyBorder="1" applyProtection="1">
      <protection hidden="1"/>
    </xf>
    <xf numFmtId="0" fontId="10" fillId="31" borderId="0" xfId="0" applyFont="1" applyFill="1" applyProtection="1">
      <protection hidden="1"/>
    </xf>
    <xf numFmtId="0" fontId="23" fillId="6" borderId="4" xfId="0" applyFont="1" applyFill="1" applyBorder="1" applyAlignment="1" applyProtection="1">
      <alignment horizontal="right" vertical="center"/>
      <protection hidden="1"/>
    </xf>
    <xf numFmtId="0" fontId="23" fillId="6" borderId="0" xfId="0" applyFont="1" applyFill="1" applyAlignment="1" applyProtection="1">
      <alignment horizontal="right"/>
      <protection hidden="1"/>
    </xf>
    <xf numFmtId="0" fontId="23" fillId="6" borderId="0" xfId="0" applyFont="1" applyFill="1" applyAlignment="1" applyProtection="1">
      <alignment horizontal="right" vertical="center"/>
      <protection hidden="1"/>
    </xf>
    <xf numFmtId="0" fontId="10" fillId="31" borderId="9" xfId="0" applyFont="1" applyFill="1" applyBorder="1" applyProtection="1">
      <protection hidden="1"/>
    </xf>
    <xf numFmtId="1" fontId="10" fillId="31" borderId="4" xfId="0" applyNumberFormat="1" applyFont="1" applyFill="1" applyBorder="1" applyProtection="1">
      <protection hidden="1"/>
    </xf>
    <xf numFmtId="0" fontId="10" fillId="31" borderId="4" xfId="0" applyFont="1" applyFill="1" applyBorder="1" applyProtection="1">
      <protection hidden="1"/>
    </xf>
    <xf numFmtId="0" fontId="10" fillId="31" borderId="4" xfId="0" applyFont="1" applyFill="1" applyBorder="1" applyAlignment="1" applyProtection="1">
      <alignment horizontal="center"/>
      <protection hidden="1"/>
    </xf>
    <xf numFmtId="0" fontId="16" fillId="20" borderId="24" xfId="0" applyFont="1" applyFill="1" applyBorder="1" applyAlignment="1" applyProtection="1">
      <alignment vertical="center"/>
      <protection hidden="1"/>
    </xf>
    <xf numFmtId="0" fontId="16" fillId="20" borderId="21" xfId="0" applyFont="1" applyFill="1" applyBorder="1" applyAlignment="1">
      <alignment horizontal="center" vertical="center"/>
    </xf>
    <xf numFmtId="0" fontId="16" fillId="20" borderId="25" xfId="0" applyFont="1" applyFill="1" applyBorder="1" applyAlignment="1" applyProtection="1">
      <alignment vertical="center"/>
      <protection hidden="1"/>
    </xf>
    <xf numFmtId="1" fontId="16" fillId="20" borderId="0" xfId="1" applyNumberFormat="1" applyFont="1" applyFill="1" applyBorder="1" applyAlignment="1" applyProtection="1">
      <alignment horizontal="right" vertical="center"/>
    </xf>
    <xf numFmtId="0" fontId="16" fillId="20" borderId="0" xfId="0" applyFont="1" applyFill="1" applyAlignment="1" applyProtection="1">
      <alignment vertical="center"/>
      <protection hidden="1"/>
    </xf>
    <xf numFmtId="0" fontId="16" fillId="20" borderId="4" xfId="0" applyFont="1" applyFill="1" applyBorder="1" applyAlignment="1" applyProtection="1">
      <alignment vertical="center"/>
      <protection hidden="1"/>
    </xf>
    <xf numFmtId="1" fontId="16" fillId="20" borderId="4" xfId="1" applyNumberFormat="1" applyFont="1" applyFill="1" applyBorder="1" applyAlignment="1">
      <alignment horizontal="right" vertical="center"/>
    </xf>
    <xf numFmtId="43" fontId="16" fillId="20" borderId="0" xfId="1" applyFont="1" applyFill="1" applyBorder="1" applyAlignment="1" applyProtection="1">
      <alignment horizontal="right" vertical="center"/>
    </xf>
    <xf numFmtId="2" fontId="10" fillId="6" borderId="30" xfId="2" applyNumberFormat="1" applyFont="1" applyFill="1" applyBorder="1" applyAlignment="1" applyProtection="1">
      <alignment vertical="center"/>
      <protection hidden="1"/>
    </xf>
    <xf numFmtId="0" fontId="16" fillId="20" borderId="0" xfId="0" applyFont="1" applyFill="1" applyProtection="1">
      <protection hidden="1"/>
    </xf>
    <xf numFmtId="2" fontId="10" fillId="6" borderId="0" xfId="2" applyNumberFormat="1" applyFont="1" applyFill="1" applyAlignment="1" applyProtection="1">
      <alignment vertical="center"/>
      <protection hidden="1"/>
    </xf>
    <xf numFmtId="0" fontId="22" fillId="5" borderId="0" xfId="0" applyFont="1" applyFill="1" applyProtection="1">
      <protection hidden="1"/>
    </xf>
    <xf numFmtId="0" fontId="16" fillId="6" borderId="8" xfId="21" applyFont="1" applyFill="1" applyBorder="1" applyAlignment="1" applyProtection="1">
      <alignment horizontal="right" vertical="center"/>
      <protection hidden="1"/>
    </xf>
    <xf numFmtId="174" fontId="10" fillId="6" borderId="41" xfId="4" applyNumberFormat="1" applyFont="1" applyFill="1" applyBorder="1" applyAlignment="1" applyProtection="1">
      <alignment horizontal="center" vertical="center"/>
      <protection hidden="1"/>
    </xf>
    <xf numFmtId="2" fontId="10" fillId="6" borderId="41" xfId="4" applyNumberFormat="1" applyFont="1" applyFill="1" applyBorder="1" applyAlignment="1" applyProtection="1">
      <alignment horizontal="center" vertical="center"/>
      <protection hidden="1"/>
    </xf>
    <xf numFmtId="2" fontId="10" fillId="6" borderId="42" xfId="4" applyNumberFormat="1" applyFont="1" applyFill="1" applyBorder="1" applyAlignment="1" applyProtection="1">
      <alignment horizontal="center" vertical="center"/>
      <protection hidden="1"/>
    </xf>
    <xf numFmtId="172" fontId="10" fillId="12" borderId="0" xfId="4" applyFont="1" applyFill="1" applyBorder="1" applyAlignment="1" applyProtection="1">
      <alignment vertical="center"/>
      <protection locked="0"/>
    </xf>
    <xf numFmtId="172" fontId="10" fillId="12" borderId="4" xfId="4" applyFont="1" applyFill="1" applyBorder="1" applyAlignment="1" applyProtection="1">
      <alignment vertical="center"/>
      <protection locked="0"/>
    </xf>
    <xf numFmtId="178" fontId="10" fillId="6" borderId="0" xfId="4" applyNumberFormat="1" applyFont="1" applyFill="1" applyBorder="1" applyAlignment="1" applyProtection="1">
      <alignment vertical="center"/>
      <protection locked="0"/>
    </xf>
    <xf numFmtId="178" fontId="10" fillId="6" borderId="0" xfId="4" applyNumberFormat="1" applyFont="1" applyFill="1" applyBorder="1" applyAlignment="1" applyProtection="1">
      <alignment horizontal="right" vertical="center"/>
      <protection locked="0"/>
    </xf>
    <xf numFmtId="178" fontId="10" fillId="6" borderId="0" xfId="4" quotePrefix="1" applyNumberFormat="1" applyFont="1" applyFill="1" applyBorder="1" applyAlignment="1" applyProtection="1">
      <alignment horizontal="right" vertical="center"/>
      <protection locked="0"/>
    </xf>
    <xf numFmtId="178" fontId="10" fillId="6" borderId="10" xfId="4" applyNumberFormat="1" applyFont="1" applyFill="1" applyBorder="1" applyAlignment="1" applyProtection="1">
      <alignment horizontal="right" vertical="center"/>
      <protection locked="0"/>
    </xf>
    <xf numFmtId="0" fontId="10" fillId="6" borderId="0" xfId="5" applyFont="1" applyFill="1" applyProtection="1">
      <protection locked="0"/>
    </xf>
    <xf numFmtId="0" fontId="10" fillId="6" borderId="0" xfId="5" applyFont="1" applyFill="1" applyAlignment="1" applyProtection="1">
      <alignment horizontal="right"/>
      <protection locked="0"/>
    </xf>
    <xf numFmtId="0" fontId="20" fillId="6" borderId="0" xfId="0" applyFont="1" applyFill="1" applyAlignment="1" applyProtection="1">
      <alignment horizontal="right" vertical="center"/>
      <protection locked="0"/>
    </xf>
    <xf numFmtId="0" fontId="10" fillId="2" borderId="0" xfId="0" applyFont="1" applyFill="1" applyProtection="1">
      <protection locked="0"/>
    </xf>
    <xf numFmtId="0" fontId="10" fillId="5" borderId="0" xfId="0" applyFont="1" applyFill="1" applyAlignment="1" applyProtection="1">
      <alignment vertical="center"/>
      <protection locked="0"/>
    </xf>
    <xf numFmtId="0" fontId="120" fillId="5" borderId="0" xfId="0" applyFont="1" applyFill="1" applyProtection="1">
      <protection locked="0"/>
    </xf>
    <xf numFmtId="0" fontId="10" fillId="6" borderId="0" xfId="0" applyFont="1" applyFill="1" applyAlignment="1" applyProtection="1">
      <alignment horizontal="right"/>
      <protection locked="0"/>
    </xf>
    <xf numFmtId="0" fontId="98" fillId="6" borderId="0" xfId="0" applyFont="1" applyFill="1" applyAlignment="1" applyProtection="1">
      <alignment horizontal="right"/>
      <protection locked="0"/>
    </xf>
    <xf numFmtId="0" fontId="34" fillId="6" borderId="8" xfId="0" applyFont="1" applyFill="1" applyBorder="1" applyAlignment="1" applyProtection="1">
      <alignment vertical="center"/>
      <protection locked="0"/>
    </xf>
    <xf numFmtId="0" fontId="34" fillId="6" borderId="0" xfId="0" applyFont="1" applyFill="1" applyAlignment="1" applyProtection="1">
      <alignment horizontal="right" vertical="center"/>
      <protection locked="0"/>
    </xf>
    <xf numFmtId="9" fontId="98" fillId="6" borderId="19" xfId="0" applyNumberFormat="1" applyFont="1" applyFill="1" applyBorder="1" applyAlignment="1" applyProtection="1">
      <alignment vertical="center"/>
      <protection locked="0"/>
    </xf>
    <xf numFmtId="172" fontId="10" fillId="6" borderId="19" xfId="4" applyFont="1" applyFill="1" applyBorder="1" applyAlignment="1" applyProtection="1">
      <alignment vertical="center"/>
      <protection locked="0"/>
    </xf>
    <xf numFmtId="175" fontId="10" fillId="6" borderId="0" xfId="4" applyNumberFormat="1" applyFont="1" applyFill="1" applyBorder="1" applyAlignment="1" applyProtection="1">
      <alignment vertical="center"/>
      <protection locked="0"/>
    </xf>
    <xf numFmtId="11" fontId="10" fillId="6" borderId="0" xfId="4" applyNumberFormat="1" applyFont="1" applyFill="1" applyBorder="1" applyAlignment="1" applyProtection="1">
      <alignment vertical="center"/>
      <protection locked="0"/>
    </xf>
    <xf numFmtId="0" fontId="41" fillId="6" borderId="0" xfId="3" applyFont="1" applyFill="1" applyAlignment="1" applyProtection="1">
      <alignment vertical="center"/>
      <protection locked="0"/>
    </xf>
    <xf numFmtId="170" fontId="41" fillId="6" borderId="4" xfId="6" applyNumberFormat="1" applyFont="1" applyFill="1" applyBorder="1" applyAlignment="1" applyProtection="1">
      <alignment vertical="center"/>
      <protection locked="0"/>
    </xf>
    <xf numFmtId="3" fontId="20" fillId="6" borderId="0" xfId="4" applyNumberFormat="1" applyFont="1" applyFill="1" applyBorder="1" applyAlignment="1" applyProtection="1">
      <alignment vertical="center"/>
      <protection locked="0"/>
    </xf>
    <xf numFmtId="3" fontId="20" fillId="6" borderId="0" xfId="4" applyNumberFormat="1" applyFont="1" applyFill="1" applyBorder="1" applyAlignment="1" applyProtection="1">
      <alignment horizontal="right" vertical="center"/>
      <protection locked="0"/>
    </xf>
    <xf numFmtId="173" fontId="20" fillId="6" borderId="0" xfId="4" applyNumberFormat="1" applyFont="1" applyFill="1" applyBorder="1" applyAlignment="1" applyProtection="1">
      <alignment horizontal="right" vertical="center"/>
      <protection locked="0"/>
    </xf>
    <xf numFmtId="173" fontId="20" fillId="6" borderId="4" xfId="4" applyNumberFormat="1" applyFont="1" applyFill="1" applyBorder="1" applyAlignment="1" applyProtection="1">
      <alignment horizontal="right" vertical="center"/>
      <protection locked="0"/>
    </xf>
    <xf numFmtId="0" fontId="10" fillId="6" borderId="0" xfId="5" applyFont="1" applyFill="1" applyAlignment="1" applyProtection="1">
      <alignment vertical="center"/>
      <protection locked="0"/>
    </xf>
    <xf numFmtId="0" fontId="22" fillId="5" borderId="0" xfId="5" applyFont="1" applyFill="1" applyProtection="1">
      <protection locked="0"/>
    </xf>
    <xf numFmtId="0" fontId="23" fillId="6" borderId="0" xfId="5" applyFont="1" applyFill="1" applyAlignment="1" applyProtection="1">
      <alignment horizontal="right"/>
      <protection locked="0"/>
    </xf>
    <xf numFmtId="0" fontId="23" fillId="6" borderId="8" xfId="5" applyFont="1" applyFill="1" applyBorder="1" applyAlignment="1" applyProtection="1">
      <alignment horizontal="right" vertical="center"/>
      <protection locked="0"/>
    </xf>
    <xf numFmtId="173" fontId="20" fillId="6" borderId="4" xfId="4" applyNumberFormat="1" applyFont="1" applyFill="1" applyBorder="1" applyAlignment="1" applyProtection="1">
      <alignment vertical="center"/>
      <protection locked="0"/>
    </xf>
    <xf numFmtId="173" fontId="20" fillId="6" borderId="19" xfId="4" applyNumberFormat="1" applyFont="1" applyFill="1" applyBorder="1" applyAlignment="1" applyProtection="1">
      <alignment vertical="center"/>
      <protection locked="0"/>
    </xf>
    <xf numFmtId="176" fontId="23" fillId="6" borderId="0" xfId="6" applyFont="1" applyFill="1" applyBorder="1" applyAlignment="1" applyProtection="1">
      <alignment horizontal="right" vertical="center"/>
      <protection locked="0"/>
    </xf>
    <xf numFmtId="175" fontId="10" fillId="6" borderId="0" xfId="4" applyNumberFormat="1" applyFont="1" applyFill="1" applyBorder="1" applyAlignment="1" applyProtection="1">
      <alignment horizontal="right" vertical="center"/>
      <protection locked="0"/>
    </xf>
    <xf numFmtId="0" fontId="23" fillId="6" borderId="12" xfId="3" applyFont="1" applyFill="1" applyBorder="1" applyAlignment="1" applyProtection="1">
      <alignment horizontal="right" vertical="center"/>
      <protection locked="0"/>
    </xf>
    <xf numFmtId="192" fontId="20" fillId="6" borderId="11" xfId="4" applyNumberFormat="1" applyFont="1" applyFill="1" applyBorder="1" applyAlignment="1" applyProtection="1">
      <alignment horizontal="right" vertical="center"/>
      <protection locked="0"/>
    </xf>
    <xf numFmtId="192" fontId="20" fillId="6" borderId="0" xfId="4" applyNumberFormat="1" applyFont="1" applyFill="1" applyBorder="1" applyAlignment="1" applyProtection="1">
      <alignment horizontal="right" vertical="center"/>
      <protection locked="0"/>
    </xf>
    <xf numFmtId="193" fontId="20" fillId="6" borderId="0" xfId="4" applyNumberFormat="1" applyFont="1" applyFill="1" applyBorder="1" applyAlignment="1" applyProtection="1">
      <alignment vertical="center"/>
      <protection locked="0"/>
    </xf>
    <xf numFmtId="194" fontId="20" fillId="6" borderId="0" xfId="4" applyNumberFormat="1" applyFont="1" applyFill="1" applyBorder="1" applyAlignment="1" applyProtection="1">
      <alignment vertical="center"/>
      <protection locked="0"/>
    </xf>
    <xf numFmtId="176" fontId="20" fillId="6" borderId="0" xfId="6" applyFont="1" applyFill="1" applyAlignment="1" applyProtection="1">
      <alignment vertical="center"/>
      <protection locked="0"/>
    </xf>
    <xf numFmtId="196" fontId="20" fillId="6" borderId="0" xfId="6" applyNumberFormat="1" applyFont="1" applyFill="1" applyBorder="1" applyAlignment="1" applyProtection="1">
      <alignment vertical="center"/>
      <protection locked="0"/>
    </xf>
    <xf numFmtId="1" fontId="20" fillId="6" borderId="11" xfId="4" applyNumberFormat="1" applyFont="1" applyFill="1" applyBorder="1" applyAlignment="1" applyProtection="1">
      <alignment vertical="center"/>
      <protection locked="0"/>
    </xf>
    <xf numFmtId="1" fontId="20" fillId="6" borderId="4" xfId="4" applyNumberFormat="1" applyFont="1" applyFill="1" applyBorder="1" applyAlignment="1" applyProtection="1">
      <alignment vertical="center"/>
      <protection locked="0"/>
    </xf>
    <xf numFmtId="2" fontId="20" fillId="6" borderId="11" xfId="6" applyNumberFormat="1" applyFont="1" applyFill="1" applyBorder="1" applyAlignment="1" applyProtection="1">
      <alignment horizontal="center" vertical="center"/>
      <protection locked="0"/>
    </xf>
    <xf numFmtId="2" fontId="20" fillId="6" borderId="0" xfId="6" applyNumberFormat="1" applyFont="1" applyFill="1" applyBorder="1" applyAlignment="1" applyProtection="1">
      <alignment horizontal="center" vertical="center"/>
      <protection locked="0"/>
    </xf>
    <xf numFmtId="9" fontId="20" fillId="6" borderId="0" xfId="6" applyNumberFormat="1" applyFont="1" applyFill="1" applyBorder="1" applyAlignment="1">
      <alignment vertical="center"/>
    </xf>
    <xf numFmtId="9" fontId="20" fillId="6" borderId="4" xfId="6" applyNumberFormat="1" applyFont="1" applyFill="1" applyBorder="1" applyAlignment="1">
      <alignment vertical="center"/>
    </xf>
    <xf numFmtId="10" fontId="20" fillId="6" borderId="9" xfId="6" applyNumberFormat="1" applyFont="1" applyFill="1" applyBorder="1" applyAlignment="1">
      <alignment vertical="center"/>
    </xf>
    <xf numFmtId="9" fontId="20" fillId="6" borderId="9" xfId="6" applyNumberFormat="1" applyFont="1" applyFill="1" applyBorder="1" applyAlignment="1">
      <alignment vertical="center"/>
    </xf>
    <xf numFmtId="175" fontId="12" fillId="6" borderId="0" xfId="4" applyNumberFormat="1" applyFont="1" applyFill="1" applyBorder="1" applyAlignment="1">
      <alignment horizontal="right" vertical="center"/>
    </xf>
    <xf numFmtId="9" fontId="20" fillId="6" borderId="11" xfId="6" applyNumberFormat="1" applyFont="1" applyFill="1" applyBorder="1" applyAlignment="1">
      <alignment vertical="center"/>
    </xf>
    <xf numFmtId="10" fontId="20" fillId="6" borderId="0" xfId="6" applyNumberFormat="1" applyFont="1" applyFill="1" applyAlignment="1">
      <alignment vertical="center"/>
    </xf>
    <xf numFmtId="9" fontId="20" fillId="6" borderId="0" xfId="6" applyNumberFormat="1" applyFont="1" applyFill="1" applyAlignment="1">
      <alignment vertical="center"/>
    </xf>
    <xf numFmtId="175" fontId="12" fillId="6" borderId="0" xfId="4" applyNumberFormat="1" applyFont="1" applyFill="1" applyAlignment="1">
      <alignment horizontal="right" vertical="center"/>
    </xf>
    <xf numFmtId="10" fontId="20" fillId="6" borderId="0" xfId="6" applyNumberFormat="1" applyFont="1" applyFill="1" applyBorder="1" applyAlignment="1">
      <alignment vertical="center"/>
    </xf>
    <xf numFmtId="0" fontId="15" fillId="6" borderId="0" xfId="0" applyFont="1" applyFill="1"/>
    <xf numFmtId="10" fontId="15" fillId="6" borderId="0" xfId="6" applyNumberFormat="1" applyFont="1" applyFill="1" applyBorder="1" applyAlignment="1">
      <alignment vertical="center"/>
    </xf>
    <xf numFmtId="9" fontId="15" fillId="6" borderId="0" xfId="6" applyNumberFormat="1" applyFont="1" applyFill="1" applyBorder="1" applyAlignment="1">
      <alignment vertical="center"/>
    </xf>
    <xf numFmtId="175" fontId="12" fillId="5" borderId="0" xfId="4" applyNumberFormat="1" applyFont="1" applyFill="1" applyBorder="1" applyAlignment="1">
      <alignment horizontal="right" vertical="center"/>
    </xf>
    <xf numFmtId="43" fontId="187" fillId="6" borderId="11" xfId="1" applyFont="1" applyFill="1" applyBorder="1" applyAlignment="1" applyProtection="1">
      <alignment vertical="center"/>
      <protection hidden="1"/>
    </xf>
    <xf numFmtId="43" fontId="187" fillId="6" borderId="0" xfId="1" applyFont="1" applyFill="1" applyBorder="1" applyAlignment="1" applyProtection="1">
      <alignment vertical="center"/>
      <protection hidden="1"/>
    </xf>
    <xf numFmtId="9" fontId="187" fillId="6" borderId="4" xfId="2" applyFont="1" applyFill="1" applyBorder="1" applyAlignment="1" applyProtection="1">
      <alignment vertical="center"/>
      <protection hidden="1"/>
    </xf>
    <xf numFmtId="9" fontId="187" fillId="6" borderId="0" xfId="2" applyFont="1" applyFill="1" applyAlignment="1" applyProtection="1">
      <alignment vertical="center"/>
      <protection hidden="1"/>
    </xf>
    <xf numFmtId="166" fontId="15" fillId="20" borderId="0" xfId="1" applyNumberFormat="1" applyFont="1" applyFill="1" applyBorder="1" applyProtection="1">
      <protection locked="0"/>
    </xf>
    <xf numFmtId="0" fontId="3" fillId="6" borderId="63" xfId="0" applyFont="1" applyFill="1" applyBorder="1" applyAlignment="1" applyProtection="1">
      <alignment horizontal="left"/>
      <protection hidden="1"/>
    </xf>
    <xf numFmtId="0" fontId="36" fillId="2" borderId="0" xfId="0" applyFont="1" applyFill="1" applyAlignment="1" applyProtection="1">
      <alignment horizontal="left" vertical="top" wrapText="1"/>
      <protection hidden="1"/>
    </xf>
    <xf numFmtId="0" fontId="36" fillId="2" borderId="0" xfId="0" applyFont="1" applyFill="1" applyAlignment="1" applyProtection="1">
      <alignment horizontal="left" vertical="center" wrapText="1"/>
      <protection hidden="1"/>
    </xf>
    <xf numFmtId="0" fontId="91" fillId="6" borderId="66" xfId="0" applyFont="1" applyFill="1" applyBorder="1" applyAlignment="1" applyProtection="1">
      <alignment horizontal="center" vertical="center"/>
      <protection hidden="1"/>
    </xf>
    <xf numFmtId="0" fontId="91" fillId="6" borderId="67" xfId="0" applyFont="1" applyFill="1" applyBorder="1" applyAlignment="1" applyProtection="1">
      <alignment horizontal="center" vertical="center"/>
      <protection hidden="1"/>
    </xf>
    <xf numFmtId="0" fontId="129" fillId="2" borderId="54" xfId="0" applyFont="1" applyFill="1" applyBorder="1" applyAlignment="1" applyProtection="1">
      <alignment horizontal="center" vertical="center"/>
      <protection hidden="1"/>
    </xf>
    <xf numFmtId="0" fontId="129" fillId="2" borderId="55" xfId="0" applyFont="1" applyFill="1" applyBorder="1" applyAlignment="1" applyProtection="1">
      <alignment horizontal="center" vertical="center"/>
      <protection hidden="1"/>
    </xf>
    <xf numFmtId="0" fontId="129" fillId="2" borderId="56" xfId="0" applyFont="1" applyFill="1" applyBorder="1" applyAlignment="1" applyProtection="1">
      <alignment horizontal="center" vertical="center"/>
      <protection hidden="1"/>
    </xf>
    <xf numFmtId="0" fontId="129" fillId="2" borderId="54" xfId="0" applyFont="1" applyFill="1" applyBorder="1" applyAlignment="1" applyProtection="1">
      <alignment horizontal="center" vertical="center" wrapText="1"/>
      <protection hidden="1"/>
    </xf>
    <xf numFmtId="0" fontId="129" fillId="2" borderId="55" xfId="0" applyFont="1" applyFill="1" applyBorder="1" applyAlignment="1" applyProtection="1">
      <alignment horizontal="center" vertical="center" wrapText="1"/>
      <protection hidden="1"/>
    </xf>
    <xf numFmtId="0" fontId="129" fillId="2" borderId="56" xfId="0" applyFont="1" applyFill="1" applyBorder="1" applyAlignment="1" applyProtection="1">
      <alignment horizontal="center" vertical="center" wrapText="1"/>
      <protection hidden="1"/>
    </xf>
    <xf numFmtId="0" fontId="0" fillId="2" borderId="54" xfId="0" applyFill="1" applyBorder="1" applyAlignment="1" applyProtection="1">
      <alignment horizontal="left" vertical="center" wrapText="1"/>
      <protection hidden="1"/>
    </xf>
    <xf numFmtId="0" fontId="0" fillId="2" borderId="55" xfId="0" applyFill="1" applyBorder="1" applyAlignment="1" applyProtection="1">
      <alignment horizontal="left" vertical="center" wrapText="1"/>
      <protection hidden="1"/>
    </xf>
    <xf numFmtId="0" fontId="0" fillId="2" borderId="56" xfId="0" applyFill="1" applyBorder="1" applyAlignment="1" applyProtection="1">
      <alignment horizontal="left" vertical="center" wrapText="1"/>
      <protection hidden="1"/>
    </xf>
    <xf numFmtId="0" fontId="10" fillId="2" borderId="54" xfId="0" applyFont="1" applyFill="1" applyBorder="1" applyAlignment="1" applyProtection="1">
      <alignment horizontal="left" vertical="center" wrapText="1"/>
      <protection hidden="1"/>
    </xf>
    <xf numFmtId="0" fontId="10" fillId="2" borderId="55" xfId="0" applyFont="1" applyFill="1" applyBorder="1" applyAlignment="1" applyProtection="1">
      <alignment horizontal="left" vertical="center" wrapText="1"/>
      <protection hidden="1"/>
    </xf>
    <xf numFmtId="0" fontId="10" fillId="2" borderId="56" xfId="0" applyFont="1" applyFill="1" applyBorder="1" applyAlignment="1" applyProtection="1">
      <alignment horizontal="left" vertical="center" wrapText="1"/>
      <protection hidden="1"/>
    </xf>
    <xf numFmtId="0" fontId="129" fillId="2" borderId="74" xfId="0" applyFont="1" applyFill="1" applyBorder="1" applyAlignment="1" applyProtection="1">
      <alignment horizontal="center" vertical="center"/>
      <protection hidden="1"/>
    </xf>
    <xf numFmtId="0" fontId="129" fillId="2" borderId="0" xfId="0" applyFont="1" applyFill="1" applyAlignment="1" applyProtection="1">
      <alignment horizontal="center" vertical="center"/>
      <protection hidden="1"/>
    </xf>
    <xf numFmtId="0" fontId="49" fillId="0" borderId="159" xfId="0" applyFont="1" applyBorder="1" applyAlignment="1">
      <alignment horizontal="left" vertical="center"/>
    </xf>
    <xf numFmtId="0" fontId="49" fillId="0" borderId="89" xfId="0" applyFont="1" applyBorder="1" applyAlignment="1">
      <alignment horizontal="left" vertical="center"/>
    </xf>
    <xf numFmtId="0" fontId="49" fillId="0" borderId="90" xfId="0" applyFont="1" applyBorder="1" applyAlignment="1">
      <alignment horizontal="left" vertical="center"/>
    </xf>
    <xf numFmtId="0" fontId="3" fillId="42" borderId="148" xfId="0" applyFont="1" applyFill="1" applyBorder="1" applyAlignment="1">
      <alignment horizontal="center"/>
    </xf>
    <xf numFmtId="0" fontId="3" fillId="42" borderId="132" xfId="0" applyFont="1" applyFill="1" applyBorder="1" applyAlignment="1">
      <alignment horizontal="center"/>
    </xf>
    <xf numFmtId="0" fontId="3" fillId="42" borderId="149" xfId="0" applyFont="1" applyFill="1" applyBorder="1" applyAlignment="1">
      <alignment horizontal="center"/>
    </xf>
    <xf numFmtId="0" fontId="3" fillId="42" borderId="144" xfId="0" applyFont="1" applyFill="1" applyBorder="1" applyAlignment="1">
      <alignment horizontal="center"/>
    </xf>
    <xf numFmtId="0" fontId="6" fillId="24" borderId="148" xfId="0" applyFont="1" applyFill="1" applyBorder="1" applyAlignment="1">
      <alignment horizontal="center" vertical="center"/>
    </xf>
    <xf numFmtId="0" fontId="6" fillId="24" borderId="132" xfId="0" applyFont="1" applyFill="1" applyBorder="1" applyAlignment="1">
      <alignment horizontal="center" vertical="center"/>
    </xf>
    <xf numFmtId="0" fontId="6" fillId="24" borderId="149" xfId="0" applyFont="1" applyFill="1" applyBorder="1" applyAlignment="1">
      <alignment horizontal="center" vertical="center"/>
    </xf>
    <xf numFmtId="0" fontId="6" fillId="11" borderId="148" xfId="0" applyFont="1" applyFill="1" applyBorder="1" applyAlignment="1">
      <alignment horizontal="center"/>
    </xf>
    <xf numFmtId="0" fontId="6" fillId="11" borderId="132" xfId="0" applyFont="1" applyFill="1" applyBorder="1" applyAlignment="1">
      <alignment horizontal="center"/>
    </xf>
    <xf numFmtId="0" fontId="6" fillId="11" borderId="149" xfId="0" applyFont="1" applyFill="1" applyBorder="1" applyAlignment="1">
      <alignment horizontal="center"/>
    </xf>
    <xf numFmtId="0" fontId="3" fillId="6" borderId="144" xfId="0" applyFont="1" applyFill="1" applyBorder="1" applyAlignment="1">
      <alignment horizontal="center"/>
    </xf>
    <xf numFmtId="0" fontId="3" fillId="6" borderId="132" xfId="0" applyFont="1" applyFill="1" applyBorder="1" applyAlignment="1">
      <alignment horizontal="center"/>
    </xf>
    <xf numFmtId="0" fontId="3" fillId="6" borderId="131" xfId="0" applyFont="1" applyFill="1" applyBorder="1" applyAlignment="1">
      <alignment horizontal="center"/>
    </xf>
    <xf numFmtId="0" fontId="3" fillId="41" borderId="148" xfId="0" applyFont="1" applyFill="1" applyBorder="1" applyAlignment="1">
      <alignment horizontal="center"/>
    </xf>
    <xf numFmtId="0" fontId="3" fillId="41" borderId="132" xfId="0" applyFont="1" applyFill="1" applyBorder="1" applyAlignment="1">
      <alignment horizontal="center"/>
    </xf>
    <xf numFmtId="0" fontId="3" fillId="41" borderId="131" xfId="0" applyFont="1" applyFill="1" applyBorder="1" applyAlignment="1">
      <alignment horizontal="center"/>
    </xf>
    <xf numFmtId="0" fontId="3" fillId="4" borderId="148" xfId="0" applyFont="1" applyFill="1" applyBorder="1" applyAlignment="1">
      <alignment horizontal="center"/>
    </xf>
    <xf numFmtId="0" fontId="3" fillId="4" borderId="132" xfId="0" applyFont="1" applyFill="1" applyBorder="1" applyAlignment="1">
      <alignment horizontal="center"/>
    </xf>
    <xf numFmtId="0" fontId="3" fillId="4" borderId="131" xfId="0" applyFont="1" applyFill="1" applyBorder="1" applyAlignment="1">
      <alignment horizontal="center"/>
    </xf>
    <xf numFmtId="0" fontId="3" fillId="42" borderId="131" xfId="0" applyFont="1" applyFill="1" applyBorder="1" applyAlignment="1">
      <alignment horizontal="center"/>
    </xf>
    <xf numFmtId="0" fontId="13" fillId="2" borderId="167" xfId="0" applyFont="1" applyFill="1" applyBorder="1" applyAlignment="1" applyProtection="1">
      <alignment horizontal="center" vertical="center" wrapText="1"/>
      <protection hidden="1"/>
    </xf>
    <xf numFmtId="0" fontId="13" fillId="2" borderId="169" xfId="0" applyFont="1" applyFill="1" applyBorder="1" applyAlignment="1" applyProtection="1">
      <alignment horizontal="center" vertical="center" wrapText="1"/>
      <protection hidden="1"/>
    </xf>
    <xf numFmtId="0" fontId="13" fillId="2" borderId="162" xfId="0" applyFont="1" applyFill="1" applyBorder="1" applyAlignment="1" applyProtection="1">
      <alignment horizontal="center" vertical="center" wrapText="1"/>
      <protection hidden="1"/>
    </xf>
    <xf numFmtId="0" fontId="13" fillId="2" borderId="153" xfId="0" applyFont="1" applyFill="1" applyBorder="1" applyAlignment="1" applyProtection="1">
      <alignment horizontal="left" vertical="center" wrapText="1"/>
      <protection hidden="1"/>
    </xf>
    <xf numFmtId="0" fontId="13" fillId="2" borderId="104" xfId="0" applyFont="1" applyFill="1" applyBorder="1" applyAlignment="1" applyProtection="1">
      <alignment horizontal="left" vertical="center" wrapText="1"/>
      <protection hidden="1"/>
    </xf>
    <xf numFmtId="0" fontId="13" fillId="2" borderId="161" xfId="0" applyFont="1" applyFill="1" applyBorder="1" applyAlignment="1" applyProtection="1">
      <alignment horizontal="left" vertical="center" wrapText="1"/>
      <protection hidden="1"/>
    </xf>
    <xf numFmtId="0" fontId="13" fillId="2" borderId="166" xfId="0" applyFont="1" applyFill="1" applyBorder="1" applyAlignment="1" applyProtection="1">
      <alignment horizontal="center" vertical="center" wrapText="1"/>
      <protection hidden="1"/>
    </xf>
    <xf numFmtId="0" fontId="13" fillId="2" borderId="168" xfId="0" applyFont="1" applyFill="1" applyBorder="1" applyAlignment="1" applyProtection="1">
      <alignment horizontal="center" vertical="center" wrapText="1"/>
      <protection hidden="1"/>
    </xf>
    <xf numFmtId="0" fontId="13" fillId="2" borderId="160" xfId="0" applyFont="1" applyFill="1" applyBorder="1" applyAlignment="1" applyProtection="1">
      <alignment horizontal="center" vertical="center" wrapText="1"/>
      <protection hidden="1"/>
    </xf>
    <xf numFmtId="0" fontId="6" fillId="27" borderId="32" xfId="0" applyFont="1" applyFill="1" applyBorder="1" applyAlignment="1" applyProtection="1">
      <alignment horizontal="left" vertical="center"/>
      <protection hidden="1"/>
    </xf>
    <xf numFmtId="0" fontId="118" fillId="2" borderId="0" xfId="0" applyFont="1" applyFill="1" applyAlignment="1" applyProtection="1">
      <alignment horizontal="center" vertical="center" textRotation="90"/>
      <protection hidden="1"/>
    </xf>
    <xf numFmtId="0" fontId="135" fillId="0" borderId="0" xfId="0" applyFont="1" applyAlignment="1" applyProtection="1">
      <alignment horizontal="center" vertical="center" textRotation="90"/>
      <protection hidden="1"/>
    </xf>
    <xf numFmtId="0" fontId="136" fillId="0" borderId="0" xfId="0" applyFont="1" applyAlignment="1" applyProtection="1">
      <alignment horizontal="center" vertical="center" textRotation="90"/>
      <protection hidden="1"/>
    </xf>
    <xf numFmtId="0" fontId="3" fillId="6" borderId="0" xfId="0" applyFont="1" applyFill="1" applyAlignment="1">
      <alignment horizontal="center"/>
    </xf>
    <xf numFmtId="0" fontId="3" fillId="6" borderId="0" xfId="0" applyFont="1" applyFill="1" applyAlignment="1">
      <alignment horizontal="center" vertical="center"/>
    </xf>
    <xf numFmtId="0" fontId="3" fillId="6" borderId="4" xfId="0" applyFont="1" applyFill="1" applyBorder="1" applyAlignment="1">
      <alignment horizontal="center" vertical="center"/>
    </xf>
    <xf numFmtId="0" fontId="3" fillId="6" borderId="0" xfId="0" applyFont="1" applyFill="1" applyAlignment="1">
      <alignment horizontal="center" wrapText="1"/>
    </xf>
    <xf numFmtId="0" fontId="3" fillId="6" borderId="4" xfId="0" applyFont="1" applyFill="1" applyBorder="1" applyAlignment="1">
      <alignment horizontal="center" wrapText="1"/>
    </xf>
    <xf numFmtId="0" fontId="10" fillId="4" borderId="9" xfId="0" applyFont="1" applyFill="1" applyBorder="1" applyAlignment="1" applyProtection="1">
      <alignment horizontal="left" vertical="center"/>
      <protection hidden="1"/>
    </xf>
    <xf numFmtId="0" fontId="10" fillId="4" borderId="4" xfId="0" applyFont="1" applyFill="1" applyBorder="1" applyAlignment="1" applyProtection="1">
      <alignment horizontal="left" vertical="center"/>
      <protection hidden="1"/>
    </xf>
    <xf numFmtId="0" fontId="10" fillId="4" borderId="9" xfId="0" applyFont="1" applyFill="1" applyBorder="1" applyAlignment="1" applyProtection="1">
      <alignment horizontal="center" vertical="center"/>
      <protection hidden="1"/>
    </xf>
    <xf numFmtId="0" fontId="10" fillId="4" borderId="4" xfId="0" applyFont="1" applyFill="1" applyBorder="1" applyAlignment="1" applyProtection="1">
      <alignment horizontal="center" vertical="center"/>
      <protection hidden="1"/>
    </xf>
    <xf numFmtId="0" fontId="0" fillId="4" borderId="9" xfId="0" applyFill="1" applyBorder="1" applyAlignment="1">
      <alignment horizontal="left" vertical="center"/>
    </xf>
    <xf numFmtId="0" fontId="0" fillId="4" borderId="4" xfId="0" applyFill="1" applyBorder="1" applyAlignment="1">
      <alignment horizontal="left" vertical="center"/>
    </xf>
    <xf numFmtId="0" fontId="0" fillId="4" borderId="9" xfId="0" applyFill="1" applyBorder="1" applyAlignment="1">
      <alignment horizontal="center" vertical="center"/>
    </xf>
    <xf numFmtId="0" fontId="0" fillId="4" borderId="4" xfId="0" applyFill="1" applyBorder="1" applyAlignment="1">
      <alignment horizontal="center" vertical="center"/>
    </xf>
    <xf numFmtId="0" fontId="3" fillId="4" borderId="0" xfId="0" applyFont="1" applyFill="1" applyAlignment="1">
      <alignment horizontal="left" vertical="center"/>
    </xf>
    <xf numFmtId="0" fontId="3" fillId="4" borderId="9" xfId="0" applyFont="1" applyFill="1" applyBorder="1" applyAlignment="1">
      <alignment horizontal="left" vertical="center"/>
    </xf>
    <xf numFmtId="0" fontId="16" fillId="4" borderId="0" xfId="0" applyFont="1" applyFill="1" applyAlignment="1">
      <alignment horizontal="center" vertical="center"/>
    </xf>
    <xf numFmtId="0" fontId="16" fillId="4" borderId="4" xfId="0" applyFont="1" applyFill="1" applyBorder="1" applyAlignment="1">
      <alignment horizontal="center" vertical="center"/>
    </xf>
    <xf numFmtId="1" fontId="3" fillId="4" borderId="0" xfId="0" applyNumberFormat="1" applyFont="1" applyFill="1" applyAlignment="1">
      <alignment horizontal="center" vertical="center"/>
    </xf>
    <xf numFmtId="1" fontId="3" fillId="4" borderId="9" xfId="0" applyNumberFormat="1" applyFont="1" applyFill="1" applyBorder="1" applyAlignment="1">
      <alignment horizontal="center" vertical="center"/>
    </xf>
    <xf numFmtId="0" fontId="16" fillId="4" borderId="0" xfId="0" applyFont="1" applyFill="1" applyAlignment="1">
      <alignment horizontal="left" vertical="center"/>
    </xf>
    <xf numFmtId="0" fontId="16" fillId="4" borderId="4" xfId="0" applyFont="1" applyFill="1" applyBorder="1" applyAlignment="1">
      <alignment horizontal="left" vertical="center"/>
    </xf>
    <xf numFmtId="0" fontId="61" fillId="20" borderId="23" xfId="0" applyFont="1" applyFill="1" applyBorder="1" applyAlignment="1"/>
    <xf numFmtId="0" fontId="61" fillId="20" borderId="0" xfId="0" applyFont="1" applyFill="1" applyAlignment="1"/>
    <xf numFmtId="0" fontId="3" fillId="4" borderId="9"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4" xfId="0" applyFont="1" applyFill="1" applyBorder="1" applyAlignment="1">
      <alignment horizontal="left" vertical="center"/>
    </xf>
    <xf numFmtId="0" fontId="3" fillId="4" borderId="0" xfId="0" applyFont="1" applyFill="1" applyAlignment="1">
      <alignment horizontal="center" vertical="center"/>
    </xf>
    <xf numFmtId="0" fontId="3" fillId="4" borderId="58" xfId="0" applyFont="1" applyFill="1" applyBorder="1" applyAlignment="1">
      <alignment horizontal="center" vertical="center"/>
    </xf>
    <xf numFmtId="0" fontId="3" fillId="4" borderId="58" xfId="0" applyFont="1" applyFill="1" applyBorder="1" applyAlignment="1">
      <alignment horizontal="left" vertical="center"/>
    </xf>
    <xf numFmtId="0" fontId="3" fillId="4" borderId="57" xfId="0" applyFont="1" applyFill="1" applyBorder="1" applyAlignment="1">
      <alignment horizontal="left" vertical="center"/>
    </xf>
    <xf numFmtId="0" fontId="3" fillId="4" borderId="57"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22" xfId="0" applyFont="1" applyFill="1" applyBorder="1" applyAlignment="1">
      <alignment horizontal="center" vertical="center"/>
    </xf>
    <xf numFmtId="0" fontId="3" fillId="4" borderId="22" xfId="0" applyFont="1" applyFill="1" applyBorder="1" applyAlignment="1">
      <alignment horizontal="left" vertical="center"/>
    </xf>
    <xf numFmtId="0" fontId="26" fillId="0" borderId="0" xfId="0" applyFont="1" applyAlignment="1">
      <alignment horizontal="left" vertical="center" wrapText="1"/>
    </xf>
    <xf numFmtId="0" fontId="98" fillId="0" borderId="0" xfId="0" applyFont="1" applyAlignment="1">
      <alignment horizontal="left" vertical="center" wrapText="1"/>
    </xf>
    <xf numFmtId="1" fontId="16" fillId="4" borderId="9" xfId="0" applyNumberFormat="1" applyFont="1" applyFill="1" applyBorder="1" applyAlignment="1">
      <alignment horizontal="center" vertical="center"/>
    </xf>
    <xf numFmtId="1" fontId="16" fillId="4" borderId="4" xfId="0" applyNumberFormat="1" applyFont="1" applyFill="1" applyBorder="1" applyAlignment="1">
      <alignment horizontal="center" vertical="center"/>
    </xf>
    <xf numFmtId="0" fontId="16" fillId="4" borderId="57" xfId="0" applyFont="1" applyFill="1" applyBorder="1" applyAlignment="1">
      <alignment horizontal="left" vertical="center"/>
    </xf>
    <xf numFmtId="0" fontId="16" fillId="4" borderId="58" xfId="0" applyFont="1" applyFill="1" applyBorder="1" applyAlignment="1">
      <alignment horizontal="left" vertical="center"/>
    </xf>
    <xf numFmtId="0" fontId="16" fillId="4" borderId="9" xfId="0" applyFont="1" applyFill="1" applyBorder="1" applyAlignment="1">
      <alignment horizontal="left" vertical="center"/>
    </xf>
    <xf numFmtId="0" fontId="16" fillId="4" borderId="57" xfId="0" applyFont="1" applyFill="1" applyBorder="1" applyAlignment="1">
      <alignment horizontal="center" vertical="center"/>
    </xf>
    <xf numFmtId="0" fontId="16" fillId="4" borderId="58" xfId="0" applyFont="1" applyFill="1" applyBorder="1" applyAlignment="1">
      <alignment horizontal="center" vertical="center"/>
    </xf>
  </cellXfs>
  <cellStyles count="37">
    <cellStyle name="=C:\WINNT\SYSTEM32\COMMAND.COM 2" xfId="16" xr:uid="{0AFE3F40-3AB2-4A75-9410-7C2D3803469D}"/>
    <cellStyle name="20% - Énfasis5" xfId="29" builtinId="46"/>
    <cellStyle name="Hipervínculo" xfId="11" builtinId="8"/>
    <cellStyle name="Hipervínculo 4" xfId="20" xr:uid="{B097A665-215A-4DCA-8F24-809A1BFD978F}"/>
    <cellStyle name="Millares" xfId="1" builtinId="3"/>
    <cellStyle name="Millares [0] 2" xfId="31" xr:uid="{3003335E-2CEA-4102-91C0-454A9A5ECAEB}"/>
    <cellStyle name="Millares 2" xfId="4" xr:uid="{7B4DD388-BF04-4077-9441-E759D6C922F5}"/>
    <cellStyle name="Millares 2 2" xfId="17" xr:uid="{CC29F4DA-997A-4927-9248-77F038586FBE}"/>
    <cellStyle name="Millares 2 3" xfId="15" xr:uid="{DB487BF0-9D1C-4991-844A-8BEF4C576612}"/>
    <cellStyle name="Millares 3" xfId="14" xr:uid="{1ECB536E-D6F5-4DE3-A524-F84EDD7768E6}"/>
    <cellStyle name="Millares 4" xfId="32" xr:uid="{BD4924BC-FAA0-4890-BE50-8D7DFF302B89}"/>
    <cellStyle name="Millares 5" xfId="33" xr:uid="{B2113EA9-9CB3-4D2F-BDB3-26EEC506764F}"/>
    <cellStyle name="Millares 6" xfId="34" xr:uid="{071F993D-B074-4178-BE66-4B2DF07B8D03}"/>
    <cellStyle name="Millares 7" xfId="35" xr:uid="{44B78EAB-431F-4346-B5E4-47180FC0BDDF}"/>
    <cellStyle name="Millares 8" xfId="13" xr:uid="{E222ECB7-D53A-4FF3-84BF-FA3A47E0E862}"/>
    <cellStyle name="Millares 9" xfId="36" xr:uid="{3204D0B6-6D65-407E-AE7B-831E5668EBF6}"/>
    <cellStyle name="Moneda 2" xfId="18" xr:uid="{11F55744-E3D8-4785-9971-61AE59363700}"/>
    <cellStyle name="Normal" xfId="0" builtinId="0"/>
    <cellStyle name="Normal 10 2 2 2 2 2 2 3 2 2 2 2" xfId="25" xr:uid="{5A911099-DCEA-4E04-ABC3-0B8EF56CC10A}"/>
    <cellStyle name="Normal 10 2 3 2 2 2 2 2 2 3 2 2" xfId="9" xr:uid="{2A43D2FE-7874-47DB-A1CC-BAD1CA0A7E19}"/>
    <cellStyle name="Normal 10 2 4 2 2 2 4 2 2 2" xfId="21" xr:uid="{2C8BAD35-FAE1-4DD9-83F1-83B7366F42D7}"/>
    <cellStyle name="Normal 2" xfId="12" xr:uid="{C110B10F-DC15-44E3-837D-92E57762A765}"/>
    <cellStyle name="Normal 2 3" xfId="3" xr:uid="{6A9A2911-ACA8-43B6-A42F-680D41478F0F}"/>
    <cellStyle name="Normal 3" xfId="19" xr:uid="{7EA1EC1C-23BA-424B-AFD5-295ABE6738C7}"/>
    <cellStyle name="Normal 3 3" xfId="10" xr:uid="{66C37816-BECB-485C-9925-818015C21EAC}"/>
    <cellStyle name="Normal 9 2 4 2 2 3 2 2 2 2" xfId="24" xr:uid="{1C46BCB8-04DB-4BDA-9DE2-ABF9A0EE00DE}"/>
    <cellStyle name="Normal 9 2 5 3 2 3 2 2" xfId="5" xr:uid="{AF1573DE-0D48-45FE-A97B-2EBEB5B9DBD4}"/>
    <cellStyle name="Normal 9 2 6 2" xfId="27" xr:uid="{D5A1DAAA-C5A4-4A92-9392-2B29CA179A8C}"/>
    <cellStyle name="Normal 9 2 7" xfId="28" xr:uid="{96F34114-A28C-4EBD-AE7A-CBD0FE297309}"/>
    <cellStyle name="ofwhich" xfId="7" xr:uid="{9C7DCE26-E230-4A44-AE4C-56598696CF4B}"/>
    <cellStyle name="Porcentaje" xfId="2" builtinId="5"/>
    <cellStyle name="Porcentaje 2" xfId="6" xr:uid="{BC285B02-75DE-4E0D-A82F-C7B5FD5D1197}"/>
    <cellStyle name="Porcentaje 4 2 2 2 2 3 2 2 2 2" xfId="26" xr:uid="{A58034F8-2166-4DC1-8A85-0F2B21C06555}"/>
    <cellStyle name="Porcentaje 4 2 3 3 2 3 2 2" xfId="8" xr:uid="{5D3AB21D-A544-4BA0-B9B4-8DCC0D47D78A}"/>
    <cellStyle name="Porcentaje 5 2 3 2 2 2 2 2" xfId="23" xr:uid="{9E1FD03D-59E9-4879-A554-7F88CC6F9097}"/>
    <cellStyle name="Porcentaje 5 2 4 2 2 2 4 2 2 2" xfId="22" xr:uid="{CA944E2D-8935-4282-9C00-200D00854D9A}"/>
    <cellStyle name="Salida" xfId="30" builtinId="21"/>
  </cellStyles>
  <dxfs count="226">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0000"/>
      </font>
      <fill>
        <patternFill patternType="solid">
          <fgColor rgb="FFFFA3A5"/>
          <bgColor rgb="FFFF9999"/>
        </patternFill>
      </fill>
    </dxf>
    <dxf>
      <fill>
        <gradientFill degree="90">
          <stop position="0">
            <color rgb="FFFF7C80"/>
          </stop>
          <stop position="1">
            <color rgb="FFFF7C80"/>
          </stop>
        </gradientFill>
      </fill>
    </dxf>
    <dxf>
      <fill>
        <gradientFill degree="90">
          <stop position="0">
            <color theme="7"/>
          </stop>
          <stop position="1">
            <color theme="7"/>
          </stop>
        </gradientFill>
      </fill>
    </dxf>
    <dxf>
      <fill>
        <gradientFill degree="90">
          <stop position="0">
            <color theme="5"/>
          </stop>
          <stop position="1">
            <color theme="5"/>
          </stop>
        </gradientFill>
      </fill>
    </dxf>
    <dxf>
      <fill>
        <patternFill patternType="darkTrellis">
          <fgColor theme="9"/>
          <bgColor theme="9"/>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s>
  <tableStyles count="0" defaultTableStyle="TableStyleMedium2" defaultPivotStyle="PivotStyleLight16"/>
  <colors>
    <mruColors>
      <color rgb="FF548235"/>
      <color rgb="FFA9D18E"/>
      <color rgb="FFCFBDE9"/>
      <color rgb="FFA17FD3"/>
      <color rgb="FFDDFFFF"/>
      <color rgb="FF66FFFF"/>
      <color rgb="FFFF99CC"/>
      <color rgb="FFFF7C80"/>
      <color rgb="FFCC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1.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RESULTADOS_Generales!$S$8</c:f>
              <c:strCache>
                <c:ptCount val="1"/>
                <c:pt idx="0">
                  <c:v>Energía - CFyB</c:v>
                </c:pt>
              </c:strCache>
            </c:strRef>
          </c:tx>
          <c:spPr>
            <a:solidFill>
              <a:srgbClr val="FF616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RESULTADOS_Generales!$T$8:$AA$8</c:f>
              <c:numCache>
                <c:formatCode>_(* #,##0.00_);_(* \(#,##0.00\);_(* "-"??_);_(@_)</c:formatCode>
                <c:ptCount val="8"/>
                <c:pt idx="0">
                  <c:v>0.14478428565923476</c:v>
                </c:pt>
                <c:pt idx="1">
                  <c:v>2.2816225737112439</c:v>
                </c:pt>
                <c:pt idx="2">
                  <c:v>2.2145823265529443</c:v>
                </c:pt>
                <c:pt idx="3">
                  <c:v>2.2138800261927347</c:v>
                </c:pt>
                <c:pt idx="4">
                  <c:v>2.2132189965759483</c:v>
                </c:pt>
                <c:pt idx="5">
                  <c:v>2.2125996783881838</c:v>
                </c:pt>
                <c:pt idx="6">
                  <c:v>2.2119803602004189</c:v>
                </c:pt>
                <c:pt idx="7">
                  <c:v>2.2113610420126539</c:v>
                </c:pt>
              </c:numCache>
            </c:numRef>
          </c:val>
          <c:extLst xmlns:c15="http://schemas.microsoft.com/office/drawing/2012/chart">
            <c:ext xmlns:c16="http://schemas.microsoft.com/office/drawing/2014/chart" uri="{C3380CC4-5D6E-409C-BE32-E72D297353CC}">
              <c16:uniqueId val="{00000000-A58D-439A-9870-0DDF780B1C03}"/>
            </c:ext>
          </c:extLst>
        </c:ser>
        <c:ser>
          <c:idx val="1"/>
          <c:order val="1"/>
          <c:tx>
            <c:strRef>
              <c:f>RESULTADOS_Generales!$S$9</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RESULTADOS_Generales!$T$9:$AA$9</c:f>
              <c:numCache>
                <c:formatCode>_(* #,##0.00_);_(* \(#,##0.00\);_(* "-"??_);_(@_)</c:formatCode>
                <c:ptCount val="8"/>
                <c:pt idx="0">
                  <c:v>1.4380242287862461</c:v>
                </c:pt>
                <c:pt idx="1">
                  <c:v>1.4032329333213156</c:v>
                </c:pt>
                <c:pt idx="2">
                  <c:v>1.5381359892828692</c:v>
                </c:pt>
                <c:pt idx="3">
                  <c:v>1.5381359892828692</c:v>
                </c:pt>
                <c:pt idx="4">
                  <c:v>1.5381359892828692</c:v>
                </c:pt>
                <c:pt idx="5">
                  <c:v>1.5381359892828692</c:v>
                </c:pt>
                <c:pt idx="6">
                  <c:v>1.5381359892828692</c:v>
                </c:pt>
                <c:pt idx="7">
                  <c:v>1.5381359892828692</c:v>
                </c:pt>
              </c:numCache>
            </c:numRef>
          </c:val>
          <c:extLst>
            <c:ext xmlns:c16="http://schemas.microsoft.com/office/drawing/2014/chart" uri="{C3380CC4-5D6E-409C-BE32-E72D297353CC}">
              <c16:uniqueId val="{00000001-A58D-439A-9870-0DDF780B1C03}"/>
            </c:ext>
          </c:extLst>
        </c:ser>
        <c:ser>
          <c:idx val="2"/>
          <c:order val="2"/>
          <c:tx>
            <c:strRef>
              <c:f>RESULTADOS_Generales!$S$10</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RESULTADOS_Generales!$T$10:$AA$10</c:f>
              <c:numCache>
                <c:formatCode>_(* #,##0.00_);_(* \(#,##0.00\);_(* "-"??_);_(@_)</c:formatCode>
                <c:ptCount val="8"/>
                <c:pt idx="0">
                  <c:v>2.5992378836903876</c:v>
                </c:pt>
                <c:pt idx="1">
                  <c:v>2.694601638586041</c:v>
                </c:pt>
                <c:pt idx="2">
                  <c:v>3.3044685496297288</c:v>
                </c:pt>
                <c:pt idx="3">
                  <c:v>3.9464474319281937</c:v>
                </c:pt>
                <c:pt idx="4">
                  <c:v>5.233462441999154</c:v>
                </c:pt>
                <c:pt idx="5">
                  <c:v>5.2794594386444738</c:v>
                </c:pt>
                <c:pt idx="6">
                  <c:v>5.3254564352897935</c:v>
                </c:pt>
                <c:pt idx="7">
                  <c:v>5.3714534319351133</c:v>
                </c:pt>
              </c:numCache>
            </c:numRef>
          </c:val>
          <c:extLst>
            <c:ext xmlns:c16="http://schemas.microsoft.com/office/drawing/2014/chart" uri="{C3380CC4-5D6E-409C-BE32-E72D297353CC}">
              <c16:uniqueId val="{00000003-A58D-439A-9870-0DDF780B1C03}"/>
            </c:ext>
          </c:extLst>
        </c:ser>
        <c:ser>
          <c:idx val="3"/>
          <c:order val="3"/>
          <c:tx>
            <c:strRef>
              <c:f>RESULTADOS_Generales!$S$11</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RESULTADOS_Generales!$T$11:$AA$11</c:f>
              <c:numCache>
                <c:formatCode>_(* #,##0.00_);_(* \(#,##0.00\);_(* "-"??_);_(@_)</c:formatCode>
                <c:ptCount val="8"/>
                <c:pt idx="0">
                  <c:v>1.1879924342242936</c:v>
                </c:pt>
                <c:pt idx="1">
                  <c:v>1.2508171093650038</c:v>
                </c:pt>
                <c:pt idx="2">
                  <c:v>1.4129079407845748</c:v>
                </c:pt>
                <c:pt idx="3">
                  <c:v>1.5840299152393731</c:v>
                </c:pt>
                <c:pt idx="4">
                  <c:v>1.5976169271292755</c:v>
                </c:pt>
                <c:pt idx="5">
                  <c:v>1.6115667053579781</c:v>
                </c:pt>
                <c:pt idx="6">
                  <c:v>1.6258939750181256</c:v>
                </c:pt>
                <c:pt idx="7">
                  <c:v>1.6406142690772478</c:v>
                </c:pt>
              </c:numCache>
            </c:numRef>
          </c:val>
          <c:extLst>
            <c:ext xmlns:c16="http://schemas.microsoft.com/office/drawing/2014/chart" uri="{C3380CC4-5D6E-409C-BE32-E72D297353CC}">
              <c16:uniqueId val="{00000004-A58D-439A-9870-0DDF780B1C03}"/>
            </c:ext>
          </c:extLst>
        </c:ser>
        <c:ser>
          <c:idx val="4"/>
          <c:order val="4"/>
          <c:tx>
            <c:strRef>
              <c:f>RESULTADOS_Generales!$S$12</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RESULTADOS_Generales!$T$12:$AA$12</c:f>
              <c:numCache>
                <c:formatCode>_(* #,##0.00_);_(* \(#,##0.00\);_(* "-"??_);_(@_)</c:formatCode>
                <c:ptCount val="8"/>
                <c:pt idx="0">
                  <c:v>1.2125354756618891</c:v>
                </c:pt>
                <c:pt idx="1">
                  <c:v>1.1922689358143213</c:v>
                </c:pt>
                <c:pt idx="2">
                  <c:v>1.2143051957208066</c:v>
                </c:pt>
                <c:pt idx="3">
                  <c:v>1.2196673194890406</c:v>
                </c:pt>
                <c:pt idx="4">
                  <c:v>1.2575401777262452</c:v>
                </c:pt>
                <c:pt idx="5">
                  <c:v>1.2989015688304137</c:v>
                </c:pt>
                <c:pt idx="6">
                  <c:v>1.3469992600385783</c:v>
                </c:pt>
                <c:pt idx="7">
                  <c:v>1.4018756639997982</c:v>
                </c:pt>
              </c:numCache>
            </c:numRef>
          </c:val>
          <c:extLst>
            <c:ext xmlns:c16="http://schemas.microsoft.com/office/drawing/2014/chart" uri="{C3380CC4-5D6E-409C-BE32-E72D297353CC}">
              <c16:uniqueId val="{00000005-A58D-439A-9870-0DDF780B1C03}"/>
            </c:ext>
          </c:extLst>
        </c:ser>
        <c:ser>
          <c:idx val="5"/>
          <c:order val="5"/>
          <c:tx>
            <c:strRef>
              <c:f>RESULTADOS_Generales!$S$13</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RESULTADOS_Generales!$T$13:$AA$13</c:f>
              <c:numCache>
                <c:formatCode>_(* #,##0.00_);_(* \(#,##0.00\);_(* "-"??_);_(@_)</c:formatCode>
                <c:ptCount val="8"/>
                <c:pt idx="0">
                  <c:v>2.3732955822091188</c:v>
                </c:pt>
                <c:pt idx="1">
                  <c:v>2.7196445360457822</c:v>
                </c:pt>
                <c:pt idx="2">
                  <c:v>3.1974460274268761</c:v>
                </c:pt>
                <c:pt idx="3">
                  <c:v>3.4380266976545752</c:v>
                </c:pt>
                <c:pt idx="4">
                  <c:v>3.7002747693265801</c:v>
                </c:pt>
                <c:pt idx="5">
                  <c:v>4.0477575773126055</c:v>
                </c:pt>
                <c:pt idx="6">
                  <c:v>4.4898957222653939</c:v>
                </c:pt>
                <c:pt idx="7">
                  <c:v>5.1213773021192575</c:v>
                </c:pt>
              </c:numCache>
            </c:numRef>
          </c:val>
          <c:extLst>
            <c:ext xmlns:c16="http://schemas.microsoft.com/office/drawing/2014/chart" uri="{C3380CC4-5D6E-409C-BE32-E72D297353CC}">
              <c16:uniqueId val="{00000006-A58D-439A-9870-0DDF780B1C03}"/>
            </c:ext>
          </c:extLst>
        </c:ser>
        <c:ser>
          <c:idx val="6"/>
          <c:order val="6"/>
          <c:tx>
            <c:strRef>
              <c:f>RESULTADOS_Generales!$S$14</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RESULTADOS_Generales!$T$14:$AA$14</c:f>
              <c:numCache>
                <c:formatCode>_(* #,##0.00_);_(* \(#,##0.00\);_(* "-"??_);_(@_)</c:formatCode>
                <c:ptCount val="8"/>
                <c:pt idx="0">
                  <c:v>0.28587648466833271</c:v>
                </c:pt>
                <c:pt idx="1">
                  <c:v>0.28549563656319871</c:v>
                </c:pt>
                <c:pt idx="2">
                  <c:v>0.28549563656319871</c:v>
                </c:pt>
                <c:pt idx="3">
                  <c:v>0.28549563656319871</c:v>
                </c:pt>
                <c:pt idx="4">
                  <c:v>0.28549563656319871</c:v>
                </c:pt>
                <c:pt idx="5">
                  <c:v>0.28549563656319871</c:v>
                </c:pt>
                <c:pt idx="6">
                  <c:v>0.28549563656319871</c:v>
                </c:pt>
                <c:pt idx="7">
                  <c:v>0.28549563656319871</c:v>
                </c:pt>
              </c:numCache>
            </c:numRef>
          </c:val>
          <c:extLst>
            <c:ext xmlns:c16="http://schemas.microsoft.com/office/drawing/2014/chart" uri="{C3380CC4-5D6E-409C-BE32-E72D297353CC}">
              <c16:uniqueId val="{00000007-A58D-439A-9870-0DDF780B1C03}"/>
            </c:ext>
          </c:extLst>
        </c:ser>
        <c:ser>
          <c:idx val="7"/>
          <c:order val="7"/>
          <c:tx>
            <c:strRef>
              <c:f>RESULTADOS_Generales!$S$15</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RESULTADOS_Generales!$T$15:$AA$15</c:f>
              <c:numCache>
                <c:formatCode>_(* #,##0.00_);_(* \(#,##0.00\);_(* "-"??_);_(@_)</c:formatCode>
                <c:ptCount val="8"/>
                <c:pt idx="0">
                  <c:v>2.0831765858036109</c:v>
                </c:pt>
                <c:pt idx="1">
                  <c:v>2.1745271557896104</c:v>
                </c:pt>
                <c:pt idx="2">
                  <c:v>2.3645633270172324</c:v>
                </c:pt>
                <c:pt idx="3">
                  <c:v>2.5655538564555336</c:v>
                </c:pt>
                <c:pt idx="4">
                  <c:v>2.7665443858938348</c:v>
                </c:pt>
                <c:pt idx="5">
                  <c:v>2.9675349153321355</c:v>
                </c:pt>
                <c:pt idx="6">
                  <c:v>3.1685254447704372</c:v>
                </c:pt>
                <c:pt idx="7">
                  <c:v>3.3695159742087388</c:v>
                </c:pt>
              </c:numCache>
            </c:numRef>
          </c:val>
          <c:extLst>
            <c:ext xmlns:c16="http://schemas.microsoft.com/office/drawing/2014/chart" uri="{C3380CC4-5D6E-409C-BE32-E72D297353CC}">
              <c16:uniqueId val="{00000008-A58D-439A-9870-0DDF780B1C03}"/>
            </c:ext>
          </c:extLst>
        </c:ser>
        <c:ser>
          <c:idx val="8"/>
          <c:order val="8"/>
          <c:tx>
            <c:strRef>
              <c:f>RESULTADOS_Generales!$S$16</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RESULTADOS_Generales!$T$16:$AA$16</c:f>
              <c:numCache>
                <c:formatCode>_(* #,##0.00_);_(* \(#,##0.00\);_(* "-"??_);_(@_)</c:formatCode>
                <c:ptCount val="8"/>
                <c:pt idx="0">
                  <c:v>-3.7133202090368661E-2</c:v>
                </c:pt>
                <c:pt idx="1">
                  <c:v>-5.765623555727345E-2</c:v>
                </c:pt>
                <c:pt idx="2">
                  <c:v>-6.6903556572080816E-2</c:v>
                </c:pt>
                <c:pt idx="3">
                  <c:v>-9.648904640994202E-2</c:v>
                </c:pt>
                <c:pt idx="4">
                  <c:v>-0.11569401729008479</c:v>
                </c:pt>
                <c:pt idx="5">
                  <c:v>-0.13637638202172259</c:v>
                </c:pt>
                <c:pt idx="6">
                  <c:v>-0.15705874675336029</c:v>
                </c:pt>
                <c:pt idx="7">
                  <c:v>-0.17774111148499813</c:v>
                </c:pt>
              </c:numCache>
            </c:numRef>
          </c:val>
          <c:extLst>
            <c:ext xmlns:c16="http://schemas.microsoft.com/office/drawing/2014/chart" uri="{C3380CC4-5D6E-409C-BE32-E72D297353CC}">
              <c16:uniqueId val="{00000009-A58D-439A-9870-0DDF780B1C03}"/>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RESULTADOS_Generales!$S$25</c:f>
              <c:strCache>
                <c:ptCount val="1"/>
                <c:pt idx="0">
                  <c:v>Energía - CFyB</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RESULTADOS_Generales!$T$25:$AA$25</c:f>
              <c:numCache>
                <c:formatCode>_(* #,##0.00_);_(* \(#,##0.00\);_(* "-"??_);_(@_)</c:formatCode>
                <c:ptCount val="8"/>
                <c:pt idx="0">
                  <c:v>14.580387082335244</c:v>
                </c:pt>
                <c:pt idx="1">
                  <c:v>13.96738920817052</c:v>
                </c:pt>
                <c:pt idx="2">
                  <c:v>6.7427182779014014</c:v>
                </c:pt>
                <c:pt idx="3">
                  <c:v>6.6582778954031872</c:v>
                </c:pt>
                <c:pt idx="4">
                  <c:v>6.5868459050625487</c:v>
                </c:pt>
                <c:pt idx="5">
                  <c:v>6.5290502231286451</c:v>
                </c:pt>
                <c:pt idx="6">
                  <c:v>6.4712545411947406</c:v>
                </c:pt>
                <c:pt idx="7">
                  <c:v>6.4134588592608353</c:v>
                </c:pt>
              </c:numCache>
            </c:numRef>
          </c:val>
          <c:extLst xmlns:c15="http://schemas.microsoft.com/office/drawing/2012/chart">
            <c:ext xmlns:c16="http://schemas.microsoft.com/office/drawing/2014/chart" uri="{C3380CC4-5D6E-409C-BE32-E72D297353CC}">
              <c16:uniqueId val="{00000000-E6DC-46E0-8C7D-D82F96F195ED}"/>
            </c:ext>
          </c:extLst>
        </c:ser>
        <c:ser>
          <c:idx val="1"/>
          <c:order val="1"/>
          <c:tx>
            <c:strRef>
              <c:f>RESULTADOS_Generales!$S$26</c:f>
              <c:strCache>
                <c:ptCount val="1"/>
                <c:pt idx="0">
                  <c:v>Energía - EyA</c:v>
                </c:pt>
              </c:strCache>
            </c:strRef>
          </c:tx>
          <c:spPr>
            <a:solidFill>
              <a:srgbClr val="C00000"/>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2-388F-4143-83CF-240BB471CF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RESULTADOS_Generales!$T$26:$AA$26</c:f>
              <c:numCache>
                <c:formatCode>_(* #,##0.00_);_(* \(#,##0.00\);_(* "-"??_);_(@_)</c:formatCode>
                <c:ptCount val="8"/>
                <c:pt idx="0">
                  <c:v>9.1863651880649488</c:v>
                </c:pt>
                <c:pt idx="1">
                  <c:v>9.137760081249791</c:v>
                </c:pt>
                <c:pt idx="2">
                  <c:v>12.491512451495723</c:v>
                </c:pt>
                <c:pt idx="3">
                  <c:v>12.928958412832149</c:v>
                </c:pt>
                <c:pt idx="4">
                  <c:v>14.18053991332248</c:v>
                </c:pt>
                <c:pt idx="5">
                  <c:v>15.371365030293862</c:v>
                </c:pt>
                <c:pt idx="6">
                  <c:v>16.64724908419177</c:v>
                </c:pt>
                <c:pt idx="7">
                  <c:v>17.983889521608631</c:v>
                </c:pt>
              </c:numCache>
            </c:numRef>
          </c:val>
          <c:extLst>
            <c:ext xmlns:c16="http://schemas.microsoft.com/office/drawing/2014/chart" uri="{C3380CC4-5D6E-409C-BE32-E72D297353CC}">
              <c16:uniqueId val="{00000002-E6DC-46E0-8C7D-D82F96F195ED}"/>
            </c:ext>
          </c:extLst>
        </c:ser>
        <c:ser>
          <c:idx val="2"/>
          <c:order val="2"/>
          <c:tx>
            <c:strRef>
              <c:f>RESULTADOS_Generales!$S$27</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RESULTADOS_Generales!$T$27:$AA$27</c:f>
              <c:numCache>
                <c:formatCode>_(* #,##0.00_);_(* \(#,##0.00\);_(* "-"??_);_(@_)</c:formatCode>
                <c:ptCount val="8"/>
                <c:pt idx="0">
                  <c:v>0.22322274026251038</c:v>
                </c:pt>
                <c:pt idx="1">
                  <c:v>0.22322274026251038</c:v>
                </c:pt>
                <c:pt idx="2">
                  <c:v>0.22322274026251038</c:v>
                </c:pt>
                <c:pt idx="3">
                  <c:v>0.22322274026251038</c:v>
                </c:pt>
                <c:pt idx="4">
                  <c:v>0.22322274026251038</c:v>
                </c:pt>
                <c:pt idx="5">
                  <c:v>0.22322274026251038</c:v>
                </c:pt>
                <c:pt idx="6">
                  <c:v>0.22322274026251038</c:v>
                </c:pt>
                <c:pt idx="7">
                  <c:v>0.22322274026251038</c:v>
                </c:pt>
              </c:numCache>
            </c:numRef>
          </c:val>
          <c:extLst>
            <c:ext xmlns:c16="http://schemas.microsoft.com/office/drawing/2014/chart" uri="{C3380CC4-5D6E-409C-BE32-E72D297353CC}">
              <c16:uniqueId val="{00000004-E6DC-46E0-8C7D-D82F96F195ED}"/>
            </c:ext>
          </c:extLst>
        </c:ser>
        <c:ser>
          <c:idx val="3"/>
          <c:order val="3"/>
          <c:tx>
            <c:strRef>
              <c:f>RESULTADOS_Generales!$S$28</c:f>
              <c:strCache>
                <c:ptCount val="1"/>
                <c:pt idx="0">
                  <c:v>Residuos</c:v>
                </c:pt>
              </c:strCache>
            </c:strRef>
          </c:tx>
          <c:spPr>
            <a:solidFill>
              <a:srgbClr val="EB701D"/>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1-388F-4143-83CF-240BB471CF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RESULTADOS_Generales!$T$28:$AA$28</c:f>
              <c:numCache>
                <c:formatCode>_(* #,##0.00_);_(* \(#,##0.00\);_(* "-"??_);_(@_)</c:formatCode>
                <c:ptCount val="8"/>
                <c:pt idx="0">
                  <c:v>8.2983241269553848E-12</c:v>
                </c:pt>
                <c:pt idx="1">
                  <c:v>9.009188814620217E-12</c:v>
                </c:pt>
                <c:pt idx="2">
                  <c:v>1.0843255572503704E-11</c:v>
                </c:pt>
                <c:pt idx="3">
                  <c:v>1.2779510215300475E-11</c:v>
                </c:pt>
                <c:pt idx="4">
                  <c:v>1.2933248009276829E-11</c:v>
                </c:pt>
                <c:pt idx="5">
                  <c:v>1.309109052451993E-11</c:v>
                </c:pt>
                <c:pt idx="6">
                  <c:v>1.3253204376270684E-11</c:v>
                </c:pt>
                <c:pt idx="7">
                  <c:v>1.341976532091919E-11</c:v>
                </c:pt>
              </c:numCache>
            </c:numRef>
          </c:val>
          <c:extLst>
            <c:ext xmlns:c16="http://schemas.microsoft.com/office/drawing/2014/chart" uri="{C3380CC4-5D6E-409C-BE32-E72D297353CC}">
              <c16:uniqueId val="{00000005-E6DC-46E0-8C7D-D82F96F195ED}"/>
            </c:ext>
          </c:extLst>
        </c:ser>
        <c:ser>
          <c:idx val="4"/>
          <c:order val="4"/>
          <c:tx>
            <c:strRef>
              <c:f>RESULTADOS_Generales!$S$29</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RESULTADOS_Generales!$T$29:$AA$29</c:f>
              <c:numCache>
                <c:formatCode>_(* #,##0.00_);_(* \(#,##0.00\);_(* "-"??_);_(@_)</c:formatCode>
                <c:ptCount val="8"/>
                <c:pt idx="0">
                  <c:v>0</c:v>
                </c:pt>
                <c:pt idx="1">
                  <c:v>4.619112157401981E-6</c:v>
                </c:pt>
                <c:pt idx="2">
                  <c:v>2.0272917560842541E-5</c:v>
                </c:pt>
                <c:pt idx="3">
                  <c:v>4.1380482384673446E-5</c:v>
                </c:pt>
                <c:pt idx="4">
                  <c:v>6.7733993310052588E-5</c:v>
                </c:pt>
                <c:pt idx="5">
                  <c:v>1.0075764518072839E-4</c:v>
                </c:pt>
                <c:pt idx="6">
                  <c:v>1.3956277798552673E-4</c:v>
                </c:pt>
                <c:pt idx="7">
                  <c:v>1.8297733039349229E-2</c:v>
                </c:pt>
              </c:numCache>
            </c:numRef>
          </c:val>
          <c:extLst>
            <c:ext xmlns:c16="http://schemas.microsoft.com/office/drawing/2014/chart" uri="{C3380CC4-5D6E-409C-BE32-E72D297353CC}">
              <c16:uniqueId val="{00000006-E6DC-46E0-8C7D-D82F96F195ED}"/>
            </c:ext>
          </c:extLst>
        </c:ser>
        <c:ser>
          <c:idx val="5"/>
          <c:order val="5"/>
          <c:tx>
            <c:strRef>
              <c:f>RESULTADOS_Generales!$S$30</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RESULTADOS_Generales!$T$30:$AA$30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E6DC-46E0-8C7D-D82F96F195ED}"/>
            </c:ext>
          </c:extLst>
        </c:ser>
        <c:ser>
          <c:idx val="6"/>
          <c:order val="6"/>
          <c:tx>
            <c:strRef>
              <c:f>RESULTADOS_Generales!$S$31</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RESULTADOS_Generales!$T$31:$AA$31</c:f>
              <c:numCache>
                <c:formatCode>_(* #,##0.00_);_(* \(#,##0.00\);_(* "-"??_);_(@_)</c:formatCode>
                <c:ptCount val="8"/>
                <c:pt idx="0">
                  <c:v>0.46444490631670859</c:v>
                </c:pt>
                <c:pt idx="1">
                  <c:v>0.46387377706626448</c:v>
                </c:pt>
                <c:pt idx="2">
                  <c:v>0.46366236768120134</c:v>
                </c:pt>
                <c:pt idx="3">
                  <c:v>0.46345123002734379</c:v>
                </c:pt>
                <c:pt idx="4">
                  <c:v>0.4632403637554271</c:v>
                </c:pt>
                <c:pt idx="5">
                  <c:v>0.46302976851663546</c:v>
                </c:pt>
                <c:pt idx="6">
                  <c:v>0.46281944396260133</c:v>
                </c:pt>
                <c:pt idx="7">
                  <c:v>0.46260938974540505</c:v>
                </c:pt>
              </c:numCache>
            </c:numRef>
          </c:val>
          <c:extLst>
            <c:ext xmlns:c16="http://schemas.microsoft.com/office/drawing/2014/chart" uri="{C3380CC4-5D6E-409C-BE32-E72D297353CC}">
              <c16:uniqueId val="{0000000A-E6DC-46E0-8C7D-D82F96F195ED}"/>
            </c:ext>
          </c:extLst>
        </c:ser>
        <c:ser>
          <c:idx val="7"/>
          <c:order val="7"/>
          <c:tx>
            <c:strRef>
              <c:f>RESULTADOS_Generales!$S$32</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RESULTADOS_Generales!$T$32:$AA$32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C-E6DC-46E0-8C7D-D82F96F195ED}"/>
            </c:ext>
          </c:extLst>
        </c:ser>
        <c:ser>
          <c:idx val="8"/>
          <c:order val="8"/>
          <c:tx>
            <c:strRef>
              <c:f>RESULTADOS_Generales!$S$33</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RESULTADOS_Generales!$T$33:$AA$33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D-E6DC-46E0-8C7D-D82F96F195ED}"/>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RESULTADOS_Generales!$S$42</c:f>
              <c:strCache>
                <c:ptCount val="1"/>
                <c:pt idx="0">
                  <c:v>Energía - CFyB</c:v>
                </c:pt>
              </c:strCache>
            </c:strRef>
          </c:tx>
          <c:spPr>
            <a:solidFill>
              <a:srgbClr val="FF5D5D"/>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3-9B04-46CD-BBCA-538EEC234E9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RESULTADOS_Generales!$T$42:$AA$42</c:f>
              <c:numCache>
                <c:formatCode>_(* #,##0.00_);_(* \(#,##0.00\);_(*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F685-4E31-8ACB-DA54EA716B54}"/>
            </c:ext>
          </c:extLst>
        </c:ser>
        <c:ser>
          <c:idx val="1"/>
          <c:order val="1"/>
          <c:tx>
            <c:strRef>
              <c:f>RESULTADOS_Generales!$S$43</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RESULTADOS_Generales!$T$43:$AA$43</c:f>
              <c:numCache>
                <c:formatCode>_(* #,##0.00_);_(* \(#,##0.00\);_(* "-"??_);_(@_)</c:formatCode>
                <c:ptCount val="8"/>
                <c:pt idx="0">
                  <c:v>0</c:v>
                </c:pt>
              </c:numCache>
            </c:numRef>
          </c:val>
          <c:extLst>
            <c:ext xmlns:c16="http://schemas.microsoft.com/office/drawing/2014/chart" uri="{C3380CC4-5D6E-409C-BE32-E72D297353CC}">
              <c16:uniqueId val="{00000002-F685-4E31-8ACB-DA54EA716B54}"/>
            </c:ext>
          </c:extLst>
        </c:ser>
        <c:ser>
          <c:idx val="2"/>
          <c:order val="2"/>
          <c:tx>
            <c:strRef>
              <c:f>RESULTADOS_Generales!$S$44</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RESULTADOS_Generales!$T$44:$AA$44</c:f>
              <c:numCache>
                <c:formatCode>_(* #,##0.00_);_(* \(#,##0.00\);_(* "-"??_);_(@_)</c:formatCode>
                <c:ptCount val="8"/>
                <c:pt idx="0">
                  <c:v>4.3898193816959576</c:v>
                </c:pt>
                <c:pt idx="1">
                  <c:v>4.3898193816959576</c:v>
                </c:pt>
                <c:pt idx="2">
                  <c:v>5.1921200423391767</c:v>
                </c:pt>
                <c:pt idx="3">
                  <c:v>5.9573625739307543</c:v>
                </c:pt>
                <c:pt idx="4">
                  <c:v>5.9573625739307543</c:v>
                </c:pt>
                <c:pt idx="5">
                  <c:v>5.9573625739307543</c:v>
                </c:pt>
                <c:pt idx="6">
                  <c:v>5.9573625739307543</c:v>
                </c:pt>
                <c:pt idx="7">
                  <c:v>5.9573625739307543</c:v>
                </c:pt>
              </c:numCache>
            </c:numRef>
          </c:val>
          <c:extLst>
            <c:ext xmlns:c16="http://schemas.microsoft.com/office/drawing/2014/chart" uri="{C3380CC4-5D6E-409C-BE32-E72D297353CC}">
              <c16:uniqueId val="{00000004-F685-4E31-8ACB-DA54EA716B54}"/>
            </c:ext>
          </c:extLst>
        </c:ser>
        <c:ser>
          <c:idx val="3"/>
          <c:order val="3"/>
          <c:tx>
            <c:strRef>
              <c:f>RESULTADOS_Generales!$S$45</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RESULTADOS_Generales!$T$45:$AA$45</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F685-4E31-8ACB-DA54EA716B54}"/>
            </c:ext>
          </c:extLst>
        </c:ser>
        <c:ser>
          <c:idx val="4"/>
          <c:order val="4"/>
          <c:tx>
            <c:strRef>
              <c:f>RESULTADOS_Generales!$S$46</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RESULTADOS_Generales!$T$46:$AA$46</c:f>
              <c:numCache>
                <c:formatCode>_(* #,##0.00_);_(* \(#,##0.00\);_(* "-"??_);_(@_)</c:formatCode>
                <c:ptCount val="8"/>
                <c:pt idx="0">
                  <c:v>6.9213449976176342</c:v>
                </c:pt>
                <c:pt idx="1">
                  <c:v>7.478791850061361</c:v>
                </c:pt>
                <c:pt idx="2">
                  <c:v>8.5873760979351932</c:v>
                </c:pt>
                <c:pt idx="3">
                  <c:v>9.5729201758975826</c:v>
                </c:pt>
                <c:pt idx="4">
                  <c:v>10.565608973535227</c:v>
                </c:pt>
                <c:pt idx="5">
                  <c:v>11.594504550252744</c:v>
                </c:pt>
                <c:pt idx="6">
                  <c:v>12.610609179062434</c:v>
                </c:pt>
                <c:pt idx="7">
                  <c:v>13.648168135250076</c:v>
                </c:pt>
              </c:numCache>
            </c:numRef>
          </c:val>
          <c:extLst>
            <c:ext xmlns:c16="http://schemas.microsoft.com/office/drawing/2014/chart" uri="{C3380CC4-5D6E-409C-BE32-E72D297353CC}">
              <c16:uniqueId val="{00000006-F685-4E31-8ACB-DA54EA716B54}"/>
            </c:ext>
          </c:extLst>
        </c:ser>
        <c:ser>
          <c:idx val="5"/>
          <c:order val="5"/>
          <c:tx>
            <c:strRef>
              <c:f>RESULTADOS_Generales!$S$47</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RESULTADOS_Generales!$T$47:$AA$47</c:f>
              <c:numCache>
                <c:formatCode>_(* #,##0.00_);_(* \(#,##0.00\);_(* "-"??_);_(@_)</c:formatCode>
                <c:ptCount val="8"/>
                <c:pt idx="0">
                  <c:v>8.9465150085657701</c:v>
                </c:pt>
                <c:pt idx="1">
                  <c:v>10.250524128539629</c:v>
                </c:pt>
                <c:pt idx="2">
                  <c:v>12.064425914367755</c:v>
                </c:pt>
                <c:pt idx="3">
                  <c:v>13.003412926471871</c:v>
                </c:pt>
                <c:pt idx="4">
                  <c:v>14.137808005694403</c:v>
                </c:pt>
                <c:pt idx="5">
                  <c:v>15.67369786815792</c:v>
                </c:pt>
                <c:pt idx="6">
                  <c:v>17.560225094163517</c:v>
                </c:pt>
                <c:pt idx="7">
                  <c:v>20.141239706045319</c:v>
                </c:pt>
              </c:numCache>
            </c:numRef>
          </c:val>
          <c:extLst>
            <c:ext xmlns:c16="http://schemas.microsoft.com/office/drawing/2014/chart" uri="{C3380CC4-5D6E-409C-BE32-E72D297353CC}">
              <c16:uniqueId val="{00000008-F685-4E31-8ACB-DA54EA716B54}"/>
            </c:ext>
          </c:extLst>
        </c:ser>
        <c:ser>
          <c:idx val="6"/>
          <c:order val="6"/>
          <c:tx>
            <c:strRef>
              <c:f>RESULTADOS_Generales!$S$48</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RESULTADOS_Generales!$T$48:$AA$48</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F685-4E31-8ACB-DA54EA716B54}"/>
            </c:ext>
          </c:extLst>
        </c:ser>
        <c:ser>
          <c:idx val="7"/>
          <c:order val="7"/>
          <c:tx>
            <c:strRef>
              <c:f>RESULTADOS_Generales!$S$49</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RESULTADOS_Generales!$T$49:$AA$49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C-F685-4E31-8ACB-DA54EA716B54}"/>
            </c:ext>
          </c:extLst>
        </c:ser>
        <c:ser>
          <c:idx val="8"/>
          <c:order val="8"/>
          <c:tx>
            <c:strRef>
              <c:f>RESULTADOS_Generales!$S$50</c:f>
              <c:strCache>
                <c:ptCount val="1"/>
                <c:pt idx="0">
                  <c:v>Bosques</c:v>
                </c:pt>
              </c:strCache>
            </c:strRef>
          </c:tx>
          <c:spPr>
            <a:solidFill>
              <a:schemeClr val="accent6">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RESULTADOS_Generales!$T$50:$AA$50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D-F685-4E31-8ACB-DA54EA716B54}"/>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combustibles por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RESULTADOS_Generales!$S$63</c:f>
              <c:strCache>
                <c:ptCount val="1"/>
                <c:pt idx="0">
                  <c:v>Energía - CFyB</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RESULTADOS_Generales!$T$63:$AA$63</c:f>
              <c:numCache>
                <c:formatCode>_(* #,##0.00_);_(* \(#,##0.00\);_(*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4E72-45BB-ACD7-19C8DB128235}"/>
            </c:ext>
          </c:extLst>
        </c:ser>
        <c:ser>
          <c:idx val="1"/>
          <c:order val="1"/>
          <c:tx>
            <c:strRef>
              <c:f>RESULTADOS_Generales!$S$64</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RESULTADOS_Generales!$T$64:$AA$64</c:f>
              <c:numCache>
                <c:formatCode>_(* #,##0.00_);_(* \(#,##0.00\);_(* "-"??_);_(@_)</c:formatCode>
                <c:ptCount val="8"/>
                <c:pt idx="0">
                  <c:v>2.1872298066821307</c:v>
                </c:pt>
                <c:pt idx="1">
                  <c:v>2.1386246998669725</c:v>
                </c:pt>
                <c:pt idx="2">
                  <c:v>2.4910117242768712</c:v>
                </c:pt>
                <c:pt idx="3">
                  <c:v>2.4910117242768712</c:v>
                </c:pt>
                <c:pt idx="4">
                  <c:v>2.4910117242768712</c:v>
                </c:pt>
                <c:pt idx="5">
                  <c:v>2.4910117242768712</c:v>
                </c:pt>
                <c:pt idx="6">
                  <c:v>2.4910117242768712</c:v>
                </c:pt>
                <c:pt idx="7">
                  <c:v>2.4910117242768712</c:v>
                </c:pt>
              </c:numCache>
            </c:numRef>
          </c:val>
          <c:extLst>
            <c:ext xmlns:c16="http://schemas.microsoft.com/office/drawing/2014/chart" uri="{C3380CC4-5D6E-409C-BE32-E72D297353CC}">
              <c16:uniqueId val="{00000001-4E72-45BB-ACD7-19C8DB128235}"/>
            </c:ext>
          </c:extLst>
        </c:ser>
        <c:ser>
          <c:idx val="2"/>
          <c:order val="2"/>
          <c:tx>
            <c:strRef>
              <c:f>RESULTADOS_Generales!$S$65</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RESULTADOS_Generales!$T$65:$AA$65</c:f>
              <c:numCache>
                <c:formatCode>_(* #,##0.00_);_(* \(#,##0.00\);_(* "-"??_);_(@_)</c:formatCode>
                <c:ptCount val="8"/>
                <c:pt idx="0">
                  <c:v>4.3898193816959576</c:v>
                </c:pt>
                <c:pt idx="1">
                  <c:v>4.3898193816959576</c:v>
                </c:pt>
                <c:pt idx="2">
                  <c:v>5.1921200423391767</c:v>
                </c:pt>
                <c:pt idx="3">
                  <c:v>5.9573625739307543</c:v>
                </c:pt>
                <c:pt idx="4">
                  <c:v>5.9573625739307543</c:v>
                </c:pt>
                <c:pt idx="5">
                  <c:v>5.9573625739307543</c:v>
                </c:pt>
                <c:pt idx="6">
                  <c:v>5.9573625739307543</c:v>
                </c:pt>
                <c:pt idx="7">
                  <c:v>5.9573625739307543</c:v>
                </c:pt>
              </c:numCache>
            </c:numRef>
          </c:val>
          <c:extLst>
            <c:ext xmlns:c16="http://schemas.microsoft.com/office/drawing/2014/chart" uri="{C3380CC4-5D6E-409C-BE32-E72D297353CC}">
              <c16:uniqueId val="{00000002-4E72-45BB-ACD7-19C8DB128235}"/>
            </c:ext>
          </c:extLst>
        </c:ser>
        <c:ser>
          <c:idx val="3"/>
          <c:order val="3"/>
          <c:tx>
            <c:strRef>
              <c:f>RESULTADOS_Generales!$S$66</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RESULTADOS_Generales!$T$66:$AA$66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4E72-45BB-ACD7-19C8DB128235}"/>
            </c:ext>
          </c:extLst>
        </c:ser>
        <c:ser>
          <c:idx val="4"/>
          <c:order val="4"/>
          <c:tx>
            <c:strRef>
              <c:f>RESULTADOS_Generales!$S$67</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RESULTADOS_Generales!$T$67:$AA$67</c:f>
              <c:numCache>
                <c:formatCode>_(* #,##0.00_);_(* \(#,##0.00\);_(* "-"??_);_(@_)</c:formatCode>
                <c:ptCount val="8"/>
                <c:pt idx="0">
                  <c:v>4.4256682329624013</c:v>
                </c:pt>
                <c:pt idx="1">
                  <c:v>4.5091073484732824</c:v>
                </c:pt>
                <c:pt idx="2">
                  <c:v>4.833851482283503</c:v>
                </c:pt>
                <c:pt idx="3">
                  <c:v>5.0803814741164466</c:v>
                </c:pt>
                <c:pt idx="4">
                  <c:v>5.3963935352112227</c:v>
                </c:pt>
                <c:pt idx="5">
                  <c:v>5.7188577747877751</c:v>
                </c:pt>
                <c:pt idx="6">
                  <c:v>6.0619799329141451</c:v>
                </c:pt>
                <c:pt idx="7">
                  <c:v>6.4271815500374201</c:v>
                </c:pt>
              </c:numCache>
            </c:numRef>
          </c:val>
          <c:extLst>
            <c:ext xmlns:c16="http://schemas.microsoft.com/office/drawing/2014/chart" uri="{C3380CC4-5D6E-409C-BE32-E72D297353CC}">
              <c16:uniqueId val="{00000004-4E72-45BB-ACD7-19C8DB128235}"/>
            </c:ext>
          </c:extLst>
        </c:ser>
        <c:ser>
          <c:idx val="5"/>
          <c:order val="5"/>
          <c:tx>
            <c:strRef>
              <c:f>RESULTADOS_Generales!$S$68</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RESULTADOS_Generales!$T$68:$AA$68</c:f>
              <c:numCache>
                <c:formatCode>_(* #,##0.00_);_(* \(#,##0.00\);_(* "-"??_);_(@_)</c:formatCode>
                <c:ptCount val="8"/>
                <c:pt idx="0">
                  <c:v>8.9365146281915191</c:v>
                </c:pt>
                <c:pt idx="1">
                  <c:v>10.24052205753247</c:v>
                </c:pt>
                <c:pt idx="2">
                  <c:v>12.054414634361033</c:v>
                </c:pt>
                <c:pt idx="3">
                  <c:v>12.993354195072191</c:v>
                </c:pt>
                <c:pt idx="4">
                  <c:v>14.087710800767089</c:v>
                </c:pt>
                <c:pt idx="5">
                  <c:v>15.573577855123489</c:v>
                </c:pt>
                <c:pt idx="6">
                  <c:v>17.410093822206388</c:v>
                </c:pt>
                <c:pt idx="7">
                  <c:v>19.941101551821895</c:v>
                </c:pt>
              </c:numCache>
            </c:numRef>
          </c:val>
          <c:extLst>
            <c:ext xmlns:c16="http://schemas.microsoft.com/office/drawing/2014/chart" uri="{C3380CC4-5D6E-409C-BE32-E72D297353CC}">
              <c16:uniqueId val="{00000005-4E72-45BB-ACD7-19C8DB128235}"/>
            </c:ext>
          </c:extLst>
        </c:ser>
        <c:ser>
          <c:idx val="6"/>
          <c:order val="6"/>
          <c:tx>
            <c:strRef>
              <c:f>RESULTADOS_Generales!$S$69</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RESULTADOS_Generales!$T$69:$AA$69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4E72-45BB-ACD7-19C8DB128235}"/>
            </c:ext>
          </c:extLst>
        </c:ser>
        <c:ser>
          <c:idx val="7"/>
          <c:order val="7"/>
          <c:tx>
            <c:strRef>
              <c:f>RESULTADOS_Generales!$S$70</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RESULTADOS_Generales!$T$70:$AA$70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4E72-45BB-ACD7-19C8DB128235}"/>
            </c:ext>
          </c:extLst>
        </c:ser>
        <c:ser>
          <c:idx val="8"/>
          <c:order val="8"/>
          <c:tx>
            <c:strRef>
              <c:f>RESULTADOS_Generales!$S$71</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RESULTADOS_Generales!$T$71:$AA$71</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4E72-45BB-ACD7-19C8DB128235}"/>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min val="0"/>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de electricidad por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RESULTADOS_Generales!$S$101</c:f>
              <c:strCache>
                <c:ptCount val="1"/>
                <c:pt idx="0">
                  <c:v>Energía - CFyB</c:v>
                </c:pt>
              </c:strCache>
            </c:strRef>
          </c:tx>
          <c:spPr>
            <a:solidFill>
              <a:srgbClr val="FF616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RESULTADOS_Generales!$T$101:$AA$101</c:f>
              <c:numCache>
                <c:formatCode>_(* #,##0.00_);_(* \(#,##0.00\);_(*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AF57-4075-9FDD-E06F37C6019B}"/>
            </c:ext>
          </c:extLst>
        </c:ser>
        <c:ser>
          <c:idx val="1"/>
          <c:order val="1"/>
          <c:tx>
            <c:strRef>
              <c:f>RESULTADOS_Generales!$S$102</c:f>
              <c:strCache>
                <c:ptCount val="1"/>
                <c:pt idx="0">
                  <c:v>Energía - EyA</c:v>
                </c:pt>
              </c:strCache>
            </c:strRef>
          </c:tx>
          <c:spPr>
            <a:solidFill>
              <a:schemeClr val="accent2"/>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RESULTADOS_Generales!$T$102:$AA$102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AF57-4075-9FDD-E06F37C6019B}"/>
            </c:ext>
          </c:extLst>
        </c:ser>
        <c:ser>
          <c:idx val="2"/>
          <c:order val="2"/>
          <c:tx>
            <c:strRef>
              <c:f>RESULTADOS_Generales!$S$103</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RESULTADOS_Generales!$T$103:$AA$103</c:f>
              <c:numCache>
                <c:formatCode>_(* #,##0.00_);_(* \(#,##0.00\);_(* "-"??_);_(@_)</c:formatCode>
                <c:ptCount val="8"/>
                <c:pt idx="0">
                  <c:v>1.1105359253796188</c:v>
                </c:pt>
                <c:pt idx="1">
                  <c:v>1.1105359253796188</c:v>
                </c:pt>
                <c:pt idx="2">
                  <c:v>1.2779400846760602</c:v>
                </c:pt>
                <c:pt idx="3">
                  <c:v>1.4472075486028639</c:v>
                </c:pt>
                <c:pt idx="4">
                  <c:v>1.4472075486028639</c:v>
                </c:pt>
                <c:pt idx="5">
                  <c:v>1.4472075486028639</c:v>
                </c:pt>
                <c:pt idx="6">
                  <c:v>1.4472075486028639</c:v>
                </c:pt>
                <c:pt idx="7">
                  <c:v>1.4472075486028639</c:v>
                </c:pt>
              </c:numCache>
            </c:numRef>
          </c:val>
          <c:extLst>
            <c:ext xmlns:c16="http://schemas.microsoft.com/office/drawing/2014/chart" uri="{C3380CC4-5D6E-409C-BE32-E72D297353CC}">
              <c16:uniqueId val="{00000002-AF57-4075-9FDD-E06F37C6019B}"/>
            </c:ext>
          </c:extLst>
        </c:ser>
        <c:ser>
          <c:idx val="3"/>
          <c:order val="3"/>
          <c:tx>
            <c:strRef>
              <c:f>RESULTADOS_Generales!$S$104</c:f>
              <c:strCache>
                <c:ptCount val="1"/>
                <c:pt idx="0">
                  <c:v>Residuos</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RESULTADOS_Generales!$T$104:$AA$104</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AF57-4075-9FDD-E06F37C6019B}"/>
            </c:ext>
          </c:extLst>
        </c:ser>
        <c:ser>
          <c:idx val="4"/>
          <c:order val="4"/>
          <c:tx>
            <c:strRef>
              <c:f>RESULTADOS_Generales!$S$105</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RESULTADOS_Generales!$T$105:$AA$105</c:f>
              <c:numCache>
                <c:formatCode>_(* #,##0.00_);_(* \(#,##0.00\);_(* "-"??_);_(@_)</c:formatCode>
                <c:ptCount val="8"/>
                <c:pt idx="0">
                  <c:v>2.4956767646552338</c:v>
                </c:pt>
                <c:pt idx="1">
                  <c:v>2.9696845015880791</c:v>
                </c:pt>
                <c:pt idx="2">
                  <c:v>3.7535246156516902</c:v>
                </c:pt>
                <c:pt idx="3">
                  <c:v>4.492538701781136</c:v>
                </c:pt>
                <c:pt idx="4">
                  <c:v>5.1692154383240059</c:v>
                </c:pt>
                <c:pt idx="5">
                  <c:v>5.8756467754649666</c:v>
                </c:pt>
                <c:pt idx="6">
                  <c:v>6.5486292461482893</c:v>
                </c:pt>
                <c:pt idx="7">
                  <c:v>7.2209865852126551</c:v>
                </c:pt>
              </c:numCache>
            </c:numRef>
          </c:val>
          <c:extLst>
            <c:ext xmlns:c16="http://schemas.microsoft.com/office/drawing/2014/chart" uri="{C3380CC4-5D6E-409C-BE32-E72D297353CC}">
              <c16:uniqueId val="{00000004-AF57-4075-9FDD-E06F37C6019B}"/>
            </c:ext>
          </c:extLst>
        </c:ser>
        <c:ser>
          <c:idx val="5"/>
          <c:order val="5"/>
          <c:tx>
            <c:strRef>
              <c:f>RESULTADOS_Generales!$S$106</c:f>
              <c:strCache>
                <c:ptCount val="1"/>
                <c:pt idx="0">
                  <c:v>Transporte</c:v>
                </c:pt>
              </c:strCache>
            </c:strRef>
          </c:tx>
          <c:spPr>
            <a:solidFill>
              <a:schemeClr val="accent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RESULTADOS_Generales!$T$106:$AA$106</c:f>
              <c:numCache>
                <c:formatCode>_(* #,##0.00_);_(* \(#,##0.00\);_(* "-"??_);_(@_)</c:formatCode>
                <c:ptCount val="8"/>
                <c:pt idx="0">
                  <c:v>1.0000380374251177E-2</c:v>
                </c:pt>
                <c:pt idx="1">
                  <c:v>1.0002071007158175E-2</c:v>
                </c:pt>
                <c:pt idx="2">
                  <c:v>1.0011280006724257E-2</c:v>
                </c:pt>
                <c:pt idx="3">
                  <c:v>1.0058731399680707E-2</c:v>
                </c:pt>
                <c:pt idx="4">
                  <c:v>5.009720492731462E-2</c:v>
                </c:pt>
                <c:pt idx="5">
                  <c:v>0.10012001303443238</c:v>
                </c:pt>
                <c:pt idx="6">
                  <c:v>0.15013127195712794</c:v>
                </c:pt>
                <c:pt idx="7">
                  <c:v>0.20013815422342404</c:v>
                </c:pt>
              </c:numCache>
            </c:numRef>
          </c:val>
          <c:extLst>
            <c:ext xmlns:c16="http://schemas.microsoft.com/office/drawing/2014/chart" uri="{C3380CC4-5D6E-409C-BE32-E72D297353CC}">
              <c16:uniqueId val="{00000005-AF57-4075-9FDD-E06F37C6019B}"/>
            </c:ext>
          </c:extLst>
        </c:ser>
        <c:ser>
          <c:idx val="6"/>
          <c:order val="6"/>
          <c:tx>
            <c:strRef>
              <c:f>RESULTADOS_Generales!$S$107</c:f>
              <c:strCache>
                <c:ptCount val="1"/>
                <c:pt idx="0">
                  <c:v>Agricultura</c:v>
                </c:pt>
              </c:strCache>
            </c:strRef>
          </c:tx>
          <c:spPr>
            <a:solidFill>
              <a:schemeClr val="accent1">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RESULTADOS_Generales!$T$107:$AA$107</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AF57-4075-9FDD-E06F37C6019B}"/>
            </c:ext>
          </c:extLst>
        </c:ser>
        <c:ser>
          <c:idx val="7"/>
          <c:order val="7"/>
          <c:tx>
            <c:strRef>
              <c:f>RESULTADOS_Generales!$S$108</c:f>
              <c:strCache>
                <c:ptCount val="1"/>
                <c:pt idx="0">
                  <c:v>Ganadería</c:v>
                </c:pt>
              </c:strCache>
            </c:strRef>
          </c:tx>
          <c:spPr>
            <a:solidFill>
              <a:schemeClr val="accent2">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RESULTADOS_Generales!$T$108:$AA$108</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AF57-4075-9FDD-E06F37C6019B}"/>
            </c:ext>
          </c:extLst>
        </c:ser>
        <c:ser>
          <c:idx val="8"/>
          <c:order val="8"/>
          <c:tx>
            <c:strRef>
              <c:f>RESULTADOS_Generales!$S$109</c:f>
              <c:strCache>
                <c:ptCount val="1"/>
                <c:pt idx="0">
                  <c:v>Bosques</c:v>
                </c:pt>
              </c:strCache>
            </c:strRef>
          </c:tx>
          <c:spPr>
            <a:solidFill>
              <a:schemeClr val="accent3">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RESULTADOS_Generales!$T$109:$AA$109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AF57-4075-9FDD-E06F37C6019B}"/>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793502848036062"/>
          <c:y val="0.15318025928538417"/>
          <c:w val="9.483143232458105E-2"/>
          <c:h val="0.730271686420272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por tipo de combustible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RESULTADOS_Generales!$S$80</c:f>
              <c:strCache>
                <c:ptCount val="1"/>
                <c:pt idx="0">
                  <c:v>Gasolina</c:v>
                </c:pt>
              </c:strCache>
            </c:strRef>
          </c:tx>
          <c:spPr>
            <a:solidFill>
              <a:srgbClr val="C4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RESULTADOS_Generales!$T$80:$AA$80</c:f>
              <c:numCache>
                <c:formatCode>_(* #,##0.00_);_(* \(#,##0.00\);_(* "-"??_);_(@_)</c:formatCode>
                <c:ptCount val="8"/>
                <c:pt idx="0">
                  <c:v>2.6225431191338644</c:v>
                </c:pt>
                <c:pt idx="1">
                  <c:v>2.9528218662635184</c:v>
                </c:pt>
                <c:pt idx="2">
                  <c:v>3.5010189793479931</c:v>
                </c:pt>
                <c:pt idx="3">
                  <c:v>3.6530080530282238</c:v>
                </c:pt>
                <c:pt idx="4">
                  <c:v>4.0088994116742738</c:v>
                </c:pt>
                <c:pt idx="5">
                  <c:v>4.5033174136832272</c:v>
                </c:pt>
                <c:pt idx="6">
                  <c:v>4.9899315954262793</c:v>
                </c:pt>
                <c:pt idx="7">
                  <c:v>5.6412998236205114</c:v>
                </c:pt>
              </c:numCache>
            </c:numRef>
          </c:val>
          <c:extLst xmlns:c15="http://schemas.microsoft.com/office/drawing/2012/chart">
            <c:ext xmlns:c16="http://schemas.microsoft.com/office/drawing/2014/chart" uri="{C3380CC4-5D6E-409C-BE32-E72D297353CC}">
              <c16:uniqueId val="{00000000-AFD0-4FD3-869B-8940DF581C0D}"/>
            </c:ext>
          </c:extLst>
        </c:ser>
        <c:ser>
          <c:idx val="1"/>
          <c:order val="1"/>
          <c:tx>
            <c:strRef>
              <c:f>RESULTADOS_Generales!$S$81</c:f>
              <c:strCache>
                <c:ptCount val="1"/>
                <c:pt idx="0">
                  <c:v>Diesel</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RESULTADOS_Generales!$T$81:$AA$81</c:f>
              <c:numCache>
                <c:formatCode>_(* #,##0.00_);_(* \(#,##0.00\);_(* "-"??_);_(@_)</c:formatCode>
                <c:ptCount val="8"/>
                <c:pt idx="0">
                  <c:v>6.0092794153740812</c:v>
                </c:pt>
                <c:pt idx="1">
                  <c:v>6.9292255119668074</c:v>
                </c:pt>
                <c:pt idx="2">
                  <c:v>8.0834490769478222</c:v>
                </c:pt>
                <c:pt idx="3">
                  <c:v>8.6674435388223117</c:v>
                </c:pt>
                <c:pt idx="4">
                  <c:v>8.9042394961703231</c:v>
                </c:pt>
                <c:pt idx="5">
                  <c:v>9.0757915132843472</c:v>
                </c:pt>
                <c:pt idx="6">
                  <c:v>9.5955210025138218</c:v>
                </c:pt>
                <c:pt idx="7">
                  <c:v>10.702759463693939</c:v>
                </c:pt>
              </c:numCache>
            </c:numRef>
          </c:val>
          <c:extLst>
            <c:ext xmlns:c16="http://schemas.microsoft.com/office/drawing/2014/chart" uri="{C3380CC4-5D6E-409C-BE32-E72D297353CC}">
              <c16:uniqueId val="{00000001-AFD0-4FD3-869B-8940DF581C0D}"/>
            </c:ext>
          </c:extLst>
        </c:ser>
        <c:ser>
          <c:idx val="2"/>
          <c:order val="2"/>
          <c:tx>
            <c:strRef>
              <c:f>RESULTADOS_Generales!$S$82</c:f>
              <c:strCache>
                <c:ptCount val="1"/>
                <c:pt idx="0">
                  <c:v>Gas GNC</c:v>
                </c:pt>
              </c:strCache>
            </c:strRef>
          </c:tx>
          <c:spPr>
            <a:solidFill>
              <a:schemeClr val="accent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RESULTADOS_Generales!$T$82:$AA$82</c:f>
              <c:numCache>
                <c:formatCode>_(* #,##0.00_);_(* \(#,##0.00\);_(* "-"??_);_(@_)</c:formatCode>
                <c:ptCount val="8"/>
                <c:pt idx="0">
                  <c:v>1.8278911920769077E-2</c:v>
                </c:pt>
                <c:pt idx="1">
                  <c:v>2.8819575592122393E-2</c:v>
                </c:pt>
                <c:pt idx="2">
                  <c:v>3.8582091261483001E-2</c:v>
                </c:pt>
                <c:pt idx="3">
                  <c:v>4.9177038129335958E-2</c:v>
                </c:pt>
                <c:pt idx="4">
                  <c:v>6.1227721257428154E-2</c:v>
                </c:pt>
                <c:pt idx="5">
                  <c:v>7.5445969323531911E-2</c:v>
                </c:pt>
                <c:pt idx="6">
                  <c:v>9.275634017577794E-2</c:v>
                </c:pt>
                <c:pt idx="7">
                  <c:v>0.11397725683167556</c:v>
                </c:pt>
              </c:numCache>
            </c:numRef>
          </c:val>
          <c:extLst>
            <c:ext xmlns:c16="http://schemas.microsoft.com/office/drawing/2014/chart" uri="{C3380CC4-5D6E-409C-BE32-E72D297353CC}">
              <c16:uniqueId val="{00000002-AFD0-4FD3-869B-8940DF581C0D}"/>
            </c:ext>
          </c:extLst>
        </c:ser>
        <c:ser>
          <c:idx val="3"/>
          <c:order val="3"/>
          <c:tx>
            <c:strRef>
              <c:f>RESULTADOS_Generales!$S$83</c:f>
              <c:strCache>
                <c:ptCount val="1"/>
                <c:pt idx="0">
                  <c:v>Gas GNL</c:v>
                </c:pt>
              </c:strCache>
            </c:strRef>
          </c:tx>
          <c:spPr>
            <a:solidFill>
              <a:schemeClr val="accent6">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RESULTADOS_Generales!$T$83:$AA$83</c:f>
              <c:numCache>
                <c:formatCode>_(* #,##0.00_);_(* \(#,##0.00\);_(* "-"??_);_(@_)</c:formatCode>
                <c:ptCount val="8"/>
                <c:pt idx="0">
                  <c:v>3.0521237403633927</c:v>
                </c:pt>
                <c:pt idx="1">
                  <c:v>3.3008457446525163</c:v>
                </c:pt>
                <c:pt idx="2">
                  <c:v>4.046245397741016</c:v>
                </c:pt>
                <c:pt idx="3">
                  <c:v>4.8439953113974017</c:v>
                </c:pt>
                <c:pt idx="4">
                  <c:v>5.6684105027735114</c:v>
                </c:pt>
                <c:pt idx="5">
                  <c:v>6.8020713395398769</c:v>
                </c:pt>
                <c:pt idx="6">
                  <c:v>7.9449807116924855</c:v>
                </c:pt>
                <c:pt idx="7">
                  <c:v>9.0301380956377404</c:v>
                </c:pt>
              </c:numCache>
            </c:numRef>
          </c:val>
          <c:extLst>
            <c:ext xmlns:c16="http://schemas.microsoft.com/office/drawing/2014/chart" uri="{C3380CC4-5D6E-409C-BE32-E72D297353CC}">
              <c16:uniqueId val="{00000003-AFD0-4FD3-869B-8940DF581C0D}"/>
            </c:ext>
          </c:extLst>
        </c:ser>
        <c:ser>
          <c:idx val="4"/>
          <c:order val="4"/>
          <c:tx>
            <c:strRef>
              <c:f>RESULTADOS_Generales!$S$84</c:f>
              <c:strCache>
                <c:ptCount val="1"/>
                <c:pt idx="0">
                  <c:v>GLP</c:v>
                </c:pt>
              </c:strCache>
            </c:strRef>
          </c:tx>
          <c:spPr>
            <a:solidFill>
              <a:schemeClr val="accent6">
                <a:lumMod val="40000"/>
                <a:lumOff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RESULTADOS_Generales!$T$84:$AA$84</c:f>
              <c:numCache>
                <c:formatCode>_(* #,##0.00_);_(* \(#,##0.00\);_(* "-"??_);_(@_)</c:formatCode>
                <c:ptCount val="8"/>
                <c:pt idx="0">
                  <c:v>0.73438321436995968</c:v>
                </c:pt>
                <c:pt idx="1">
                  <c:v>0.8182622546794367</c:v>
                </c:pt>
                <c:pt idx="2">
                  <c:v>0.9750579977028393</c:v>
                </c:pt>
                <c:pt idx="3">
                  <c:v>1.1099293219945403</c:v>
                </c:pt>
                <c:pt idx="4">
                  <c:v>1.2415200535235433</c:v>
                </c:pt>
                <c:pt idx="5">
                  <c:v>1.370562274681751</c:v>
                </c:pt>
                <c:pt idx="6">
                  <c:v>1.5010041524310302</c:v>
                </c:pt>
                <c:pt idx="7">
                  <c:v>1.6336844509032122</c:v>
                </c:pt>
              </c:numCache>
            </c:numRef>
          </c:val>
          <c:extLst>
            <c:ext xmlns:c16="http://schemas.microsoft.com/office/drawing/2014/chart" uri="{C3380CC4-5D6E-409C-BE32-E72D297353CC}">
              <c16:uniqueId val="{00000004-AFD0-4FD3-869B-8940DF581C0D}"/>
            </c:ext>
          </c:extLst>
        </c:ser>
        <c:ser>
          <c:idx val="5"/>
          <c:order val="5"/>
          <c:tx>
            <c:strRef>
              <c:f>RESULTADOS_Generales!$S$85</c:f>
              <c:strCache>
                <c:ptCount val="1"/>
                <c:pt idx="0">
                  <c:v>Fuel oil</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RESULTADOS_Generales!$T$85:$AA$85</c:f>
              <c:numCache>
                <c:formatCode>_(* #,##0.00_);_(* \(#,##0.00\);_(* "-"??_);_(@_)</c:formatCode>
                <c:ptCount val="8"/>
                <c:pt idx="0">
                  <c:v>8.7096330318135774E-3</c:v>
                </c:pt>
                <c:pt idx="1">
                  <c:v>8.7333717714261141E-3</c:v>
                </c:pt>
                <c:pt idx="2">
                  <c:v>1.0171880306271301E-2</c:v>
                </c:pt>
                <c:pt idx="3">
                  <c:v>1.1624896768223952E-2</c:v>
                </c:pt>
                <c:pt idx="4">
                  <c:v>1.1648241365430819E-2</c:v>
                </c:pt>
                <c:pt idx="5">
                  <c:v>1.1672251801939874E-2</c:v>
                </c:pt>
                <c:pt idx="6">
                  <c:v>1.1696867566396787E-2</c:v>
                </c:pt>
                <c:pt idx="7">
                  <c:v>1.1722275577417935E-2</c:v>
                </c:pt>
              </c:numCache>
            </c:numRef>
          </c:val>
          <c:extLst>
            <c:ext xmlns:c16="http://schemas.microsoft.com/office/drawing/2014/chart" uri="{C3380CC4-5D6E-409C-BE32-E72D297353CC}">
              <c16:uniqueId val="{00000005-AFD0-4FD3-869B-8940DF581C0D}"/>
            </c:ext>
          </c:extLst>
        </c:ser>
        <c:ser>
          <c:idx val="6"/>
          <c:order val="6"/>
          <c:tx>
            <c:strRef>
              <c:f>RESULTADOS_Generales!$S$86</c:f>
              <c:strCache>
                <c:ptCount val="1"/>
                <c:pt idx="0">
                  <c:v>Crudo</c:v>
                </c:pt>
              </c:strCache>
            </c:strRef>
          </c:tx>
          <c:spPr>
            <a:solidFill>
              <a:srgbClr val="FA927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RESULTADOS_Generales!$T$86:$AA$86</c:f>
              <c:numCache>
                <c:formatCode>_(* #,##0.00_);_(* \(#,##0.00\);_(* "-"??_);_(@_)</c:formatCode>
                <c:ptCount val="8"/>
                <c:pt idx="0">
                  <c:v>1.704176706326959E-2</c:v>
                </c:pt>
                <c:pt idx="1">
                  <c:v>1.9474987873554547E-2</c:v>
                </c:pt>
                <c:pt idx="2">
                  <c:v>2.3084155554568254E-2</c:v>
                </c:pt>
                <c:pt idx="3">
                  <c:v>2.6074321285522273E-2</c:v>
                </c:pt>
                <c:pt idx="4">
                  <c:v>2.8467142499226161E-2</c:v>
                </c:pt>
                <c:pt idx="5">
                  <c:v>3.0928212241404174E-2</c:v>
                </c:pt>
                <c:pt idx="6">
                  <c:v>3.3451328098237698E-2</c:v>
                </c:pt>
                <c:pt idx="7">
                  <c:v>3.6055649227905481E-2</c:v>
                </c:pt>
              </c:numCache>
            </c:numRef>
          </c:val>
          <c:extLst>
            <c:ext xmlns:c16="http://schemas.microsoft.com/office/drawing/2014/chart" uri="{C3380CC4-5D6E-409C-BE32-E72D297353CC}">
              <c16:uniqueId val="{00000006-AFD0-4FD3-869B-8940DF581C0D}"/>
            </c:ext>
          </c:extLst>
        </c:ser>
        <c:ser>
          <c:idx val="7"/>
          <c:order val="7"/>
          <c:tx>
            <c:strRef>
              <c:f>RESULTADOS_Generales!$S$87</c:f>
              <c:strCache>
                <c:ptCount val="1"/>
                <c:pt idx="0">
                  <c:v>Hidrógeno</c:v>
                </c:pt>
              </c:strCache>
            </c:strRef>
          </c:tx>
          <c:spPr>
            <a:solidFill>
              <a:schemeClr val="accent5">
                <a:lumMod val="20000"/>
                <a:lumOff val="8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RESULTADOS_Generales!$T$87:$AA$87</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AFD0-4FD3-869B-8940DF581C0D}"/>
            </c:ext>
          </c:extLst>
        </c:ser>
        <c:ser>
          <c:idx val="8"/>
          <c:order val="8"/>
          <c:tx>
            <c:strRef>
              <c:f>RESULTADOS_Generales!$S$88</c:f>
              <c:strCache>
                <c:ptCount val="1"/>
                <c:pt idx="0">
                  <c:v>Queroseno</c:v>
                </c:pt>
              </c:strCache>
            </c:strRef>
          </c:tx>
          <c:spPr>
            <a:solidFill>
              <a:schemeClr val="accent1">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RESULTADOS_Generales!$T$88:$AA$88</c:f>
              <c:numCache>
                <c:formatCode>_(* #,##0.00_);_(* \(#,##0.00\);_(* "-"??_);_(@_)</c:formatCode>
                <c:ptCount val="8"/>
                <c:pt idx="0">
                  <c:v>0.27851756205995926</c:v>
                </c:pt>
                <c:pt idx="1">
                  <c:v>0.30802864807501062</c:v>
                </c:pt>
                <c:pt idx="2">
                  <c:v>0.35085730800092541</c:v>
                </c:pt>
                <c:pt idx="3">
                  <c:v>0.38127757580306709</c:v>
                </c:pt>
                <c:pt idx="4">
                  <c:v>0.40577624399858325</c:v>
                </c:pt>
                <c:pt idx="5">
                  <c:v>0.43062850129351238</c:v>
                </c:pt>
                <c:pt idx="6">
                  <c:v>0.45577660356383776</c:v>
                </c:pt>
                <c:pt idx="7">
                  <c:v>0.48152829710771922</c:v>
                </c:pt>
              </c:numCache>
            </c:numRef>
          </c:val>
          <c:extLst>
            <c:ext xmlns:c16="http://schemas.microsoft.com/office/drawing/2014/chart" uri="{C3380CC4-5D6E-409C-BE32-E72D297353CC}">
              <c16:uniqueId val="{00000008-AFD0-4FD3-869B-8940DF581C0D}"/>
            </c:ext>
          </c:extLst>
        </c:ser>
        <c:ser>
          <c:idx val="9"/>
          <c:order val="9"/>
          <c:tx>
            <c:strRef>
              <c:f>RESULTADOS_Generales!$S$89</c:f>
              <c:strCache>
                <c:ptCount val="1"/>
                <c:pt idx="0">
                  <c:v>Leña</c:v>
                </c:pt>
              </c:strCache>
            </c:strRef>
          </c:tx>
          <c:spPr>
            <a:solidFill>
              <a:schemeClr val="accent4">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RESULTADOS_Generales!$T$89:$AA$89</c:f>
              <c:numCache>
                <c:formatCode>_(* #,##0.00_);_(* \(#,##0.00\);_(* "-"??_);_(@_)</c:formatCode>
                <c:ptCount val="8"/>
                <c:pt idx="0">
                  <c:v>2.0367124325148964</c:v>
                </c:pt>
                <c:pt idx="1">
                  <c:v>1.7988243798094452</c:v>
                </c:pt>
                <c:pt idx="2">
                  <c:v>1.5120221241859759</c:v>
                </c:pt>
                <c:pt idx="3">
                  <c:v>1.2190834756767515</c:v>
                </c:pt>
                <c:pt idx="4">
                  <c:v>1.0417933864327316</c:v>
                </c:pt>
                <c:pt idx="5">
                  <c:v>0.87989601777841264</c:v>
                </c:pt>
                <c:pt idx="6">
                  <c:v>0.73483301736940576</c:v>
                </c:pt>
                <c:pt idx="7">
                  <c:v>0.60499565297593494</c:v>
                </c:pt>
              </c:numCache>
            </c:numRef>
          </c:val>
          <c:extLst>
            <c:ext xmlns:c16="http://schemas.microsoft.com/office/drawing/2014/chart" uri="{C3380CC4-5D6E-409C-BE32-E72D297353CC}">
              <c16:uniqueId val="{0000000A-AFD0-4FD3-869B-8940DF581C0D}"/>
            </c:ext>
          </c:extLst>
        </c:ser>
        <c:ser>
          <c:idx val="10"/>
          <c:order val="10"/>
          <c:tx>
            <c:strRef>
              <c:f>RESULTADOS_Generales!$S$90</c:f>
              <c:strCache>
                <c:ptCount val="1"/>
                <c:pt idx="0">
                  <c:v>Bagazo</c:v>
                </c:pt>
              </c:strCache>
            </c:strRef>
          </c:tx>
          <c:spPr>
            <a:solidFill>
              <a:schemeClr val="accent4">
                <a:lumMod val="40000"/>
                <a:lumOff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RESULTADOS_Generales!$T$90:$AA$90</c:f>
              <c:numCache>
                <c:formatCode>_(* #,##0.00_);_(* \(#,##0.00\);_(* "-"??_);_(@_)</c:formatCode>
                <c:ptCount val="8"/>
                <c:pt idx="0">
                  <c:v>0.74246093042497097</c:v>
                </c:pt>
                <c:pt idx="1">
                  <c:v>0.74303205967541519</c:v>
                </c:pt>
                <c:pt idx="2">
                  <c:v>0.94684018031369432</c:v>
                </c:pt>
                <c:pt idx="3">
                  <c:v>1.1492919459223421</c:v>
                </c:pt>
                <c:pt idx="4">
                  <c:v>1.149502812194259</c:v>
                </c:pt>
                <c:pt idx="5">
                  <c:v>1.1497134074330506</c:v>
                </c:pt>
                <c:pt idx="6">
                  <c:v>1.1499237319870845</c:v>
                </c:pt>
                <c:pt idx="7">
                  <c:v>1.1501337862042809</c:v>
                </c:pt>
              </c:numCache>
            </c:numRef>
          </c:val>
          <c:extLst>
            <c:ext xmlns:c16="http://schemas.microsoft.com/office/drawing/2014/chart" uri="{C3380CC4-5D6E-409C-BE32-E72D297353CC}">
              <c16:uniqueId val="{00000001-1820-4E40-A41C-553D58812ECF}"/>
            </c:ext>
          </c:extLst>
        </c:ser>
        <c:ser>
          <c:idx val="11"/>
          <c:order val="11"/>
          <c:tx>
            <c:strRef>
              <c:f>RESULTADOS_Generales!$S$91</c:f>
              <c:strCache>
                <c:ptCount val="1"/>
                <c:pt idx="0">
                  <c:v>Carbon mineral</c:v>
                </c:pt>
              </c:strCache>
            </c:strRef>
          </c:tx>
          <c:spPr>
            <a:solidFill>
              <a:schemeClr val="accent4">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RESULTADOS_Generales!$T$91:$AA$91</c:f>
              <c:numCache>
                <c:formatCode>_(* #,##0.00_);_(* \(#,##0.00\);_(* "-"??_);_(@_)</c:formatCode>
                <c:ptCount val="8"/>
                <c:pt idx="0">
                  <c:v>2.9678592853414019</c:v>
                </c:pt>
                <c:pt idx="1">
                  <c:v>2.9678592853414019</c:v>
                </c:pt>
                <c:pt idx="2">
                  <c:v>3.5323114638621034</c:v>
                </c:pt>
                <c:pt idx="3">
                  <c:v>4.060843403949713</c:v>
                </c:pt>
                <c:pt idx="4">
                  <c:v>4.060843403949713</c:v>
                </c:pt>
                <c:pt idx="5">
                  <c:v>4.060843403949713</c:v>
                </c:pt>
                <c:pt idx="6">
                  <c:v>4.060843403949713</c:v>
                </c:pt>
                <c:pt idx="7">
                  <c:v>4.060843403949713</c:v>
                </c:pt>
              </c:numCache>
            </c:numRef>
          </c:val>
          <c:extLst>
            <c:ext xmlns:c16="http://schemas.microsoft.com/office/drawing/2014/chart" uri="{C3380CC4-5D6E-409C-BE32-E72D297353CC}">
              <c16:uniqueId val="{00000002-1820-4E40-A41C-553D58812ECF}"/>
            </c:ext>
          </c:extLst>
        </c:ser>
        <c:ser>
          <c:idx val="12"/>
          <c:order val="12"/>
          <c:tx>
            <c:strRef>
              <c:f>RESULTADOS_Generales!$S$92</c:f>
              <c:strCache>
                <c:ptCount val="1"/>
                <c:pt idx="0">
                  <c:v>Carbón de leña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RESULTADOS_Generales!$T$92:$AA$92</c:f>
              <c:numCache>
                <c:formatCode>_(* #,##0.00_);_(* \(#,##0.00\);_(* "-"??_);_(@_)</c:formatCode>
                <c:ptCount val="8"/>
                <c:pt idx="0">
                  <c:v>3.2745827768498084E-4</c:v>
                </c:pt>
                <c:pt idx="1">
                  <c:v>3.2745827768498084E-4</c:v>
                </c:pt>
                <c:pt idx="2">
                  <c:v>3.7927419924242028E-4</c:v>
                </c:pt>
                <c:pt idx="3">
                  <c:v>4.3230434632727204E-4</c:v>
                </c:pt>
                <c:pt idx="4">
                  <c:v>4.3230434632727204E-4</c:v>
                </c:pt>
                <c:pt idx="5">
                  <c:v>4.3230434632727204E-4</c:v>
                </c:pt>
                <c:pt idx="6">
                  <c:v>4.3230434632727204E-4</c:v>
                </c:pt>
                <c:pt idx="7">
                  <c:v>4.3230434632727204E-4</c:v>
                </c:pt>
              </c:numCache>
            </c:numRef>
          </c:val>
          <c:extLst>
            <c:ext xmlns:c16="http://schemas.microsoft.com/office/drawing/2014/chart" uri="{C3380CC4-5D6E-409C-BE32-E72D297353CC}">
              <c16:uniqueId val="{00000003-1820-4E40-A41C-553D58812ECF}"/>
            </c:ext>
          </c:extLst>
        </c:ser>
        <c:ser>
          <c:idx val="13"/>
          <c:order val="13"/>
          <c:tx>
            <c:strRef>
              <c:f>RESULTADOS_Generales!$S$93</c:f>
              <c:strCache>
                <c:ptCount val="1"/>
                <c:pt idx="0">
                  <c:v>Coque</c:v>
                </c:pt>
              </c:strCache>
            </c:strRef>
          </c:tx>
          <c:spPr>
            <a:solidFill>
              <a:schemeClr val="accent2">
                <a:lumMod val="80000"/>
                <a:lumOff val="2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RESULTADOS_Generales!$T$93:$AA$93</c:f>
              <c:numCache>
                <c:formatCode>_(* #,##0.00_);_(* \(#,##0.00\);_(* "-"??_);_(@_)</c:formatCode>
                <c:ptCount val="8"/>
                <c:pt idx="0">
                  <c:v>6.2257033987857587E-3</c:v>
                </c:pt>
                <c:pt idx="1">
                  <c:v>6.2257033987857587E-3</c:v>
                </c:pt>
                <c:pt idx="2">
                  <c:v>7.206409873470189E-3</c:v>
                </c:pt>
                <c:pt idx="3">
                  <c:v>8.2090019179727608E-3</c:v>
                </c:pt>
                <c:pt idx="4">
                  <c:v>8.2090019179727608E-3</c:v>
                </c:pt>
                <c:pt idx="5">
                  <c:v>8.2090019179727608E-3</c:v>
                </c:pt>
                <c:pt idx="6">
                  <c:v>8.2090019179727608E-3</c:v>
                </c:pt>
                <c:pt idx="7">
                  <c:v>8.2090019179727608E-3</c:v>
                </c:pt>
              </c:numCache>
            </c:numRef>
          </c:val>
          <c:extLst>
            <c:ext xmlns:c16="http://schemas.microsoft.com/office/drawing/2014/chart" uri="{C3380CC4-5D6E-409C-BE32-E72D297353CC}">
              <c16:uniqueId val="{00000004-1820-4E40-A41C-553D58812ECF}"/>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7521438806576313"/>
          <c:y val="7.14506403202122E-2"/>
          <c:w val="9.2742203258355457E-2"/>
          <c:h val="0.855069042568825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a:t>
            </a:r>
            <a:r>
              <a:rPr lang="es-ES" b="1" i="1" baseline="0">
                <a:solidFill>
                  <a:schemeClr val="tx1">
                    <a:lumMod val="65000"/>
                    <a:lumOff val="35000"/>
                  </a:schemeClr>
                </a:solidFill>
              </a:rPr>
              <a:t> fósiles</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RESULTADOS_ENERGÍA!$T$9</c:f>
              <c:strCache>
                <c:ptCount val="1"/>
                <c:pt idx="0">
                  <c:v>Crudo </c:v>
                </c:pt>
              </c:strCache>
            </c:strRef>
          </c:tx>
          <c:spPr>
            <a:solidFill>
              <a:schemeClr val="accent2"/>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RESULTADOS_ENERGÍA!$U$9:$AB$9</c:f>
              <c:numCache>
                <c:formatCode>_(* #,##0.00_);_(* \(#,##0.00\);_(* "-"??_);_(@_)</c:formatCode>
                <c:ptCount val="8"/>
                <c:pt idx="0">
                  <c:v>3.9100447200000003E-3</c:v>
                </c:pt>
                <c:pt idx="1">
                  <c:v>3.9100447200000003E-3</c:v>
                </c:pt>
                <c:pt idx="2">
                  <c:v>3.9100447200000003E-3</c:v>
                </c:pt>
                <c:pt idx="3">
                  <c:v>3.9100447200000003E-3</c:v>
                </c:pt>
                <c:pt idx="4">
                  <c:v>3.9100447200000003E-3</c:v>
                </c:pt>
                <c:pt idx="5">
                  <c:v>3.9100447200000003E-3</c:v>
                </c:pt>
                <c:pt idx="6">
                  <c:v>3.9100447200000003E-3</c:v>
                </c:pt>
                <c:pt idx="7">
                  <c:v>3.9100447200000003E-3</c:v>
                </c:pt>
              </c:numCache>
            </c:numRef>
          </c:val>
          <c:extLst>
            <c:ext xmlns:c16="http://schemas.microsoft.com/office/drawing/2014/chart" uri="{C3380CC4-5D6E-409C-BE32-E72D297353CC}">
              <c16:uniqueId val="{00000000-6994-4774-8708-2FB30B15071A}"/>
            </c:ext>
          </c:extLst>
        </c:ser>
        <c:ser>
          <c:idx val="1"/>
          <c:order val="1"/>
          <c:tx>
            <c:strRef>
              <c:f>RESULTADOS_ENERGÍA!$T$10</c:f>
              <c:strCache>
                <c:ptCount val="1"/>
                <c:pt idx="0">
                  <c:v>Gas natural </c:v>
                </c:pt>
              </c:strCache>
            </c:strRef>
          </c:tx>
          <c:spPr>
            <a:solidFill>
              <a:schemeClr val="accent6"/>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RESULTADOS_ENERGÍA!$U$10:$AB$10</c:f>
              <c:numCache>
                <c:formatCode>_(* #,##0.00_);_(* \(#,##0.00\);_(* "-"??_);_(@_)</c:formatCode>
                <c:ptCount val="8"/>
                <c:pt idx="0">
                  <c:v>5.9581291783689138E-3</c:v>
                </c:pt>
                <c:pt idx="1">
                  <c:v>2.1482536465574777</c:v>
                </c:pt>
                <c:pt idx="2">
                  <c:v>2.1482086434145575</c:v>
                </c:pt>
                <c:pt idx="3">
                  <c:v>2.1481671530914235</c:v>
                </c:pt>
                <c:pt idx="4">
                  <c:v>2.1481657941840626</c:v>
                </c:pt>
                <c:pt idx="5">
                  <c:v>2.1482072860333736</c:v>
                </c:pt>
                <c:pt idx="6">
                  <c:v>2.1482487778826842</c:v>
                </c:pt>
                <c:pt idx="7">
                  <c:v>2.1482902697319948</c:v>
                </c:pt>
              </c:numCache>
            </c:numRef>
          </c:val>
          <c:extLst>
            <c:ext xmlns:c16="http://schemas.microsoft.com/office/drawing/2014/chart" uri="{C3380CC4-5D6E-409C-BE32-E72D297353CC}">
              <c16:uniqueId val="{00000001-6994-4774-8708-2FB30B15071A}"/>
            </c:ext>
          </c:extLst>
        </c:ser>
        <c:ser>
          <c:idx val="2"/>
          <c:order val="2"/>
          <c:tx>
            <c:strRef>
              <c:f>RESULTADOS_ENERGÍA!$T$11</c:f>
              <c:strCache>
                <c:ptCount val="1"/>
                <c:pt idx="0">
                  <c:v>Carbón</c:v>
                </c:pt>
              </c:strCache>
            </c:strRef>
          </c:tx>
          <c:spPr>
            <a:solidFill>
              <a:schemeClr val="accent3"/>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RESULTADOS_ENERGÍA!$U$11:$AB$11</c:f>
              <c:numCache>
                <c:formatCode>_(* #,##0.00_);_(* \(#,##0.00\);_(* "-"??_);_(@_)</c:formatCode>
                <c:ptCount val="8"/>
                <c:pt idx="0">
                  <c:v>0.13491611176086585</c:v>
                </c:pt>
                <c:pt idx="1">
                  <c:v>0.12945888243376608</c:v>
                </c:pt>
                <c:pt idx="2">
                  <c:v>6.2463638418386563E-2</c:v>
                </c:pt>
                <c:pt idx="3">
                  <c:v>6.180282838131107E-2</c:v>
                </c:pt>
                <c:pt idx="4">
                  <c:v>6.1143157671885703E-2</c:v>
                </c:pt>
                <c:pt idx="5">
                  <c:v>6.048234763481021E-2</c:v>
                </c:pt>
                <c:pt idx="6">
                  <c:v>5.9821537597734703E-2</c:v>
                </c:pt>
                <c:pt idx="7">
                  <c:v>5.916072756065921E-2</c:v>
                </c:pt>
              </c:numCache>
            </c:numRef>
          </c:val>
          <c:extLst>
            <c:ext xmlns:c16="http://schemas.microsoft.com/office/drawing/2014/chart" uri="{C3380CC4-5D6E-409C-BE32-E72D297353CC}">
              <c16:uniqueId val="{00000002-6994-4774-8708-2FB30B15071A}"/>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414524067688682"/>
          <c:y val="0.43970096155042232"/>
          <c:w val="7.6623973008678889E-2"/>
          <c:h val="0.199942157704220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a:t>
            </a:r>
            <a:r>
              <a:rPr lang="es-ES" b="1" i="1" baseline="0">
                <a:solidFill>
                  <a:schemeClr val="tx1">
                    <a:lumMod val="65000"/>
                    <a:lumOff val="35000"/>
                  </a:schemeClr>
                </a:solidFill>
              </a:rPr>
              <a:t> energética</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RESULTADOS_ENERGÍA!$T$29</c:f>
              <c:strCache>
                <c:ptCount val="1"/>
                <c:pt idx="0">
                  <c:v>Crudo </c:v>
                </c:pt>
              </c:strCache>
            </c:strRef>
          </c:tx>
          <c:spPr>
            <a:solidFill>
              <a:schemeClr val="accent2"/>
            </a:solidFill>
            <a:ln w="25400">
              <a:noFill/>
            </a:ln>
            <a:effectLst/>
          </c:spPr>
          <c:cat>
            <c:numRef>
              <c:f>RESULTADOS_ENERGÍA!$U$28:$AB$28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RESULTADOS_ENERGÍA!$U$29:$AB$29</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FF35-4407-B4F3-75215A8E1FE7}"/>
            </c:ext>
          </c:extLst>
        </c:ser>
        <c:ser>
          <c:idx val="1"/>
          <c:order val="1"/>
          <c:tx>
            <c:strRef>
              <c:f>RESULTADOS_ENERGÍA!$T$30</c:f>
              <c:strCache>
                <c:ptCount val="1"/>
                <c:pt idx="0">
                  <c:v>Gas natural </c:v>
                </c:pt>
              </c:strCache>
            </c:strRef>
          </c:tx>
          <c:spPr>
            <a:solidFill>
              <a:schemeClr val="accent6"/>
            </a:solidFill>
            <a:ln w="25400">
              <a:noFill/>
            </a:ln>
            <a:effectLst/>
          </c:spPr>
          <c:cat>
            <c:numRef>
              <c:f>RESULTADOS_ENERGÍA!$U$28:$AB$28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RESULTADOS_ENERGÍA!$U$30:$AB$30</c:f>
              <c:numCache>
                <c:formatCode>0.00</c:formatCode>
                <c:ptCount val="8"/>
                <c:pt idx="0">
                  <c:v>6.0327002400000024E-2</c:v>
                </c:pt>
                <c:pt idx="1">
                  <c:v>3.4651848000000006E-2</c:v>
                </c:pt>
                <c:pt idx="2">
                  <c:v>2.0201813345207154E-2</c:v>
                </c:pt>
                <c:pt idx="3">
                  <c:v>6.8797080826077869E-3</c:v>
                </c:pt>
                <c:pt idx="4">
                  <c:v>6.4433772582134898E-3</c:v>
                </c:pt>
                <c:pt idx="5">
                  <c:v>1.9765972559923812E-2</c:v>
                </c:pt>
                <c:pt idx="6">
                  <c:v>3.3088567861634131E-2</c:v>
                </c:pt>
                <c:pt idx="7">
                  <c:v>4.6411163163344454E-2</c:v>
                </c:pt>
              </c:numCache>
            </c:numRef>
          </c:val>
          <c:extLst>
            <c:ext xmlns:c16="http://schemas.microsoft.com/office/drawing/2014/chart" uri="{C3380CC4-5D6E-409C-BE32-E72D297353CC}">
              <c16:uniqueId val="{00000001-FF35-4407-B4F3-75215A8E1FE7}"/>
            </c:ext>
          </c:extLst>
        </c:ser>
        <c:ser>
          <c:idx val="2"/>
          <c:order val="2"/>
          <c:tx>
            <c:strRef>
              <c:f>RESULTADOS_ENERGÍA!$T$31</c:f>
              <c:strCache>
                <c:ptCount val="1"/>
                <c:pt idx="0">
                  <c:v>Carbón</c:v>
                </c:pt>
              </c:strCache>
            </c:strRef>
          </c:tx>
          <c:spPr>
            <a:solidFill>
              <a:schemeClr val="accent3"/>
            </a:solidFill>
            <a:ln w="25400">
              <a:noFill/>
            </a:ln>
            <a:effectLst/>
          </c:spPr>
          <c:val>
            <c:numRef>
              <c:f>RESULTADOS_ENERGÍA!$U$31:$AB$31</c:f>
              <c:numCache>
                <c:formatCode>0.00</c:formatCode>
                <c:ptCount val="8"/>
                <c:pt idx="0">
                  <c:v>14.520060079935245</c:v>
                </c:pt>
                <c:pt idx="1">
                  <c:v>13.93273736017052</c:v>
                </c:pt>
                <c:pt idx="2">
                  <c:v>6.7225164645561941</c:v>
                </c:pt>
                <c:pt idx="3">
                  <c:v>6.651398187320579</c:v>
                </c:pt>
                <c:pt idx="4">
                  <c:v>6.5804025278043357</c:v>
                </c:pt>
                <c:pt idx="5">
                  <c:v>6.5092842505687214</c:v>
                </c:pt>
                <c:pt idx="6">
                  <c:v>6.4381659733331063</c:v>
                </c:pt>
                <c:pt idx="7">
                  <c:v>6.3670476960974911</c:v>
                </c:pt>
              </c:numCache>
            </c:numRef>
          </c:val>
          <c:extLst>
            <c:ext xmlns:c16="http://schemas.microsoft.com/office/drawing/2014/chart" uri="{C3380CC4-5D6E-409C-BE32-E72D297353CC}">
              <c16:uniqueId val="{00000000-99EC-4A69-A801-19721B7C440F}"/>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958005249343828"/>
          <c:y val="0.4072418924811293"/>
          <c:w val="8.4275186755501719E-2"/>
          <c:h val="0.212454523083678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a:t>
            </a:r>
            <a:r>
              <a:rPr lang="es-ES" b="1" i="1" baseline="0">
                <a:solidFill>
                  <a:schemeClr val="tx1">
                    <a:lumMod val="65000"/>
                    <a:lumOff val="35000"/>
                  </a:schemeClr>
                </a:solidFill>
              </a:rPr>
              <a:t> energética</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RESULTADOS_ENERGÍA!$T$50</c:f>
              <c:strCache>
                <c:ptCount val="1"/>
                <c:pt idx="0">
                  <c:v>Gas natural </c:v>
                </c:pt>
              </c:strCache>
            </c:strRef>
          </c:tx>
          <c:spPr>
            <a:solidFill>
              <a:schemeClr val="accent6">
                <a:lumMod val="75000"/>
              </a:schemeClr>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RESULTADOS_ENERGÍA!$U$50:$AB$50</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1EDD-4ED6-AA3A-490649050628}"/>
            </c:ext>
          </c:extLst>
        </c:ser>
        <c:ser>
          <c:idx val="1"/>
          <c:order val="1"/>
          <c:tx>
            <c:strRef>
              <c:f>RESULTADOS_ENERGÍA!$T$51</c:f>
              <c:strCache>
                <c:ptCount val="1"/>
                <c:pt idx="0">
                  <c:v>Petróleo</c:v>
                </c:pt>
              </c:strCache>
            </c:strRef>
          </c:tx>
          <c:spPr>
            <a:solidFill>
              <a:schemeClr val="tx1">
                <a:lumMod val="95000"/>
                <a:lumOff val="5000"/>
              </a:schemeClr>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RESULTADOS_ENERGÍA!$U$51:$AB$51</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1EDD-4ED6-AA3A-490649050628}"/>
            </c:ext>
          </c:extLst>
        </c:ser>
        <c:ser>
          <c:idx val="2"/>
          <c:order val="2"/>
          <c:tx>
            <c:strRef>
              <c:f>RESULTADOS_ENERGÍA!$T$52</c:f>
              <c:strCache>
                <c:ptCount val="1"/>
                <c:pt idx="0">
                  <c:v>Diésel</c:v>
                </c:pt>
              </c:strCache>
            </c:strRef>
          </c:tx>
          <c:spPr>
            <a:solidFill>
              <a:schemeClr val="bg1">
                <a:lumMod val="50000"/>
              </a:schemeClr>
            </a:solidFill>
            <a:ln w="25400">
              <a:noFill/>
            </a:ln>
            <a:effectLst/>
          </c:spPr>
          <c:val>
            <c:numRef>
              <c:f>RESULTADOS_ENERGÍA!$U$52:$AB$52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E383-4C75-91F6-A482C0AA628D}"/>
            </c:ext>
          </c:extLst>
        </c:ser>
        <c:ser>
          <c:idx val="3"/>
          <c:order val="3"/>
          <c:tx>
            <c:strRef>
              <c:f>RESULTADOS_ENERGÍA!$T$53</c:f>
              <c:strCache>
                <c:ptCount val="1"/>
                <c:pt idx="0">
                  <c:v>Fuel oíl</c:v>
                </c:pt>
              </c:strCache>
            </c:strRef>
          </c:tx>
          <c:spPr>
            <a:solidFill>
              <a:schemeClr val="accent2">
                <a:lumMod val="75000"/>
              </a:schemeClr>
            </a:solidFill>
            <a:ln w="25400">
              <a:noFill/>
            </a:ln>
            <a:effectLst/>
          </c:spPr>
          <c:val>
            <c:numRef>
              <c:f>RESULTADOS_ENERGÍA!$U$53:$AB$53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E383-4C75-91F6-A482C0AA628D}"/>
            </c:ext>
          </c:extLst>
        </c:ser>
        <c:ser>
          <c:idx val="4"/>
          <c:order val="4"/>
          <c:tx>
            <c:strRef>
              <c:f>RESULTADOS_ENERGÍA!$T$54</c:f>
              <c:strCache>
                <c:ptCount val="1"/>
                <c:pt idx="0">
                  <c:v>GLP</c:v>
                </c:pt>
              </c:strCache>
            </c:strRef>
          </c:tx>
          <c:spPr>
            <a:solidFill>
              <a:srgbClr val="7030A0"/>
            </a:solidFill>
            <a:ln w="25400">
              <a:noFill/>
            </a:ln>
            <a:effectLst/>
          </c:spPr>
          <c:val>
            <c:numRef>
              <c:f>RESULTADOS_ENERGÍA!$U$54:$AB$54</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E383-4C75-91F6-A482C0AA628D}"/>
            </c:ext>
          </c:extLst>
        </c:ser>
        <c:ser>
          <c:idx val="5"/>
          <c:order val="5"/>
          <c:tx>
            <c:strRef>
              <c:f>RESULTADOS_ENERGÍA!$T$55</c:f>
              <c:strCache>
                <c:ptCount val="1"/>
                <c:pt idx="0">
                  <c:v>Gasolina para motones</c:v>
                </c:pt>
              </c:strCache>
            </c:strRef>
          </c:tx>
          <c:spPr>
            <a:solidFill>
              <a:schemeClr val="accent4"/>
            </a:solidFill>
            <a:ln w="25400">
              <a:noFill/>
            </a:ln>
            <a:effectLst/>
          </c:spPr>
          <c:val>
            <c:numRef>
              <c:f>RESULTADOS_ENERGÍA!$U$55:$AB$55</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E383-4C75-91F6-A482C0AA628D}"/>
            </c:ext>
          </c:extLst>
        </c:ser>
        <c:ser>
          <c:idx val="6"/>
          <c:order val="6"/>
          <c:tx>
            <c:strRef>
              <c:f>RESULTADOS_ENERGÍA!$T$56</c:f>
              <c:strCache>
                <c:ptCount val="1"/>
                <c:pt idx="0">
                  <c:v>Queroseno</c:v>
                </c:pt>
              </c:strCache>
            </c:strRef>
          </c:tx>
          <c:spPr>
            <a:solidFill>
              <a:schemeClr val="accent5"/>
            </a:solidFill>
            <a:ln w="25400">
              <a:noFill/>
            </a:ln>
            <a:effectLst/>
          </c:spPr>
          <c:val>
            <c:numRef>
              <c:f>RESULTADOS_ENERGÍA!$U$56:$AB$56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E383-4C75-91F6-A482C0AA628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14211890403131938"/>
          <c:h val="0.5357900262467191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Requerimientos</a:t>
            </a:r>
            <a:r>
              <a:rPr lang="es-ES" b="1" i="1" baseline="0">
                <a:solidFill>
                  <a:schemeClr val="tx1">
                    <a:lumMod val="65000"/>
                    <a:lumOff val="35000"/>
                  </a:schemeClr>
                </a:solidFill>
              </a:rPr>
              <a:t> energéticos</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RESULTADOS_ENERGÍA!$T$73</c:f>
              <c:strCache>
                <c:ptCount val="1"/>
                <c:pt idx="0">
                  <c:v>Crudo</c:v>
                </c:pt>
              </c:strCache>
            </c:strRef>
          </c:tx>
          <c:spPr>
            <a:solidFill>
              <a:schemeClr val="accent1"/>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RESULTADOS_ENERGÍA!$U$74:$AB$74</c:f>
              <c:numCache>
                <c:formatCode>_-* #,##0_-;\-* #,##0_-;_-* "-"??_-;_-@_-</c:formatCode>
                <c:ptCount val="8"/>
                <c:pt idx="0">
                  <c:v>3.0100756498841617</c:v>
                </c:pt>
                <c:pt idx="1">
                  <c:v>3.2950134722446389</c:v>
                </c:pt>
                <c:pt idx="2">
                  <c:v>4.0646256756572914</c:v>
                </c:pt>
                <c:pt idx="3">
                  <c:v>4.886292641444129</c:v>
                </c:pt>
                <c:pt idx="4">
                  <c:v>5.7231948467727278</c:v>
                </c:pt>
                <c:pt idx="5">
                  <c:v>6.857751336303485</c:v>
                </c:pt>
                <c:pt idx="6">
                  <c:v>8.0046484840066299</c:v>
                </c:pt>
                <c:pt idx="7">
                  <c:v>9.0977041893060715</c:v>
                </c:pt>
              </c:numCache>
            </c:numRef>
          </c:val>
          <c:extLst>
            <c:ext xmlns:c16="http://schemas.microsoft.com/office/drawing/2014/chart" uri="{C3380CC4-5D6E-409C-BE32-E72D297353CC}">
              <c16:uniqueId val="{0000000B-9820-417C-9F60-B0C93AEBB687}"/>
            </c:ext>
          </c:extLst>
        </c:ser>
        <c:ser>
          <c:idx val="1"/>
          <c:order val="1"/>
          <c:tx>
            <c:strRef>
              <c:f>RESULTADOS_ENERGÍA!$T$74</c:f>
              <c:strCache>
                <c:ptCount val="1"/>
                <c:pt idx="0">
                  <c:v>Gas</c:v>
                </c:pt>
              </c:strCache>
            </c:strRef>
          </c:tx>
          <c:spPr>
            <a:solidFill>
              <a:schemeClr val="accent2"/>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RESULTADOS_ENERGÍA!$U$75:$AB$75</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C-9820-417C-9F60-B0C93AEBB687}"/>
            </c:ext>
          </c:extLst>
        </c:ser>
        <c:ser>
          <c:idx val="2"/>
          <c:order val="2"/>
          <c:tx>
            <c:strRef>
              <c:f>RESULTADOS_ENERGÍA!$T$75</c:f>
              <c:strCache>
                <c:ptCount val="1"/>
                <c:pt idx="0">
                  <c:v>Carbón </c:v>
                </c:pt>
              </c:strCache>
            </c:strRef>
          </c:tx>
          <c:spPr>
            <a:solidFill>
              <a:schemeClr val="accent3"/>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RESULTADOS_ENERGÍA!$U$76:$AB$76</c:f>
              <c:numCache>
                <c:formatCode>_-* #,##0_-;\-* #,##0_-;_-* "-"??_-;_-@_-</c:formatCode>
                <c:ptCount val="8"/>
              </c:numCache>
            </c:numRef>
          </c:val>
          <c:extLst>
            <c:ext xmlns:c16="http://schemas.microsoft.com/office/drawing/2014/chart" uri="{C3380CC4-5D6E-409C-BE32-E72D297353CC}">
              <c16:uniqueId val="{0000000D-9820-417C-9F60-B0C93AEBB687}"/>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2932140128505407"/>
          <c:y val="0.45681131525226015"/>
          <c:w val="8.0756799281758718E-2"/>
          <c:h val="0.200921259842519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Excedentes energéticos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RESULTADOS_ENERGÍA!$T$93</c:f>
              <c:strCache>
                <c:ptCount val="1"/>
                <c:pt idx="0">
                  <c:v>Crudo </c:v>
                </c:pt>
              </c:strCache>
            </c:strRef>
          </c:tx>
          <c:spPr>
            <a:solidFill>
              <a:schemeClr val="accent1"/>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RESULTADOS_ENERGÍA!$U$93:$AB$93</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5510-4F9E-803A-6A096BD25EC9}"/>
            </c:ext>
          </c:extLst>
        </c:ser>
        <c:ser>
          <c:idx val="1"/>
          <c:order val="1"/>
          <c:tx>
            <c:strRef>
              <c:f>RESULTADOS_ENERGÍA!$T$94</c:f>
              <c:strCache>
                <c:ptCount val="1"/>
                <c:pt idx="0">
                  <c:v>Gas</c:v>
                </c:pt>
              </c:strCache>
            </c:strRef>
          </c:tx>
          <c:spPr>
            <a:solidFill>
              <a:schemeClr val="accent2"/>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RESULTADOS_ENERGÍA!$U$94:$AB$94</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5510-4F9E-803A-6A096BD25EC9}"/>
            </c:ext>
          </c:extLst>
        </c:ser>
        <c:ser>
          <c:idx val="2"/>
          <c:order val="2"/>
          <c:tx>
            <c:strRef>
              <c:f>RESULTADOS_ENERGÍA!$T$95</c:f>
              <c:strCache>
                <c:ptCount val="1"/>
                <c:pt idx="0">
                  <c:v>Carbón</c:v>
                </c:pt>
              </c:strCache>
            </c:strRef>
          </c:tx>
          <c:spPr>
            <a:solidFill>
              <a:schemeClr val="accent3"/>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RESULTADOS_ENERGÍA!$U$95:$AB$95</c:f>
              <c:numCache>
                <c:formatCode>_-* #,##0_-;\-* #,##0_-;_-* "-"??_-;_-@_-</c:formatCode>
                <c:ptCount val="8"/>
                <c:pt idx="0">
                  <c:v>11.552200794593844</c:v>
                </c:pt>
                <c:pt idx="1">
                  <c:v>10.964878074829119</c:v>
                </c:pt>
                <c:pt idx="2">
                  <c:v>3.1902050006940907</c:v>
                </c:pt>
                <c:pt idx="3">
                  <c:v>2.590554783370866</c:v>
                </c:pt>
                <c:pt idx="4">
                  <c:v>2.5195591238546227</c:v>
                </c:pt>
                <c:pt idx="5">
                  <c:v>2.4484408466190084</c:v>
                </c:pt>
                <c:pt idx="6">
                  <c:v>2.3773225693833933</c:v>
                </c:pt>
                <c:pt idx="7">
                  <c:v>2.3062042921477781</c:v>
                </c:pt>
              </c:numCache>
            </c:numRef>
          </c:val>
          <c:extLst>
            <c:ext xmlns:c16="http://schemas.microsoft.com/office/drawing/2014/chart" uri="{C3380CC4-5D6E-409C-BE32-E72D297353CC}">
              <c16:uniqueId val="{00000002-5510-4F9E-803A-6A096BD25EC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97631542691099"/>
          <c:y val="0.42123067949839604"/>
          <c:w val="5.4315411557890665E-2"/>
          <c:h val="0.18750131233595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 fósiles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RESULTADOS_ELECTRICIDAD!$T$10</c:f>
              <c:strCache>
                <c:ptCount val="1"/>
                <c:pt idx="0">
                  <c:v>Termoeléctrica (gas natural)</c:v>
                </c:pt>
              </c:strCache>
            </c:strRef>
          </c:tx>
          <c:spPr>
            <a:solidFill>
              <a:srgbClr val="FF5D5D"/>
            </a:solidFill>
            <a:ln w="25400">
              <a:noFill/>
            </a:ln>
            <a:effectLst/>
          </c:spPr>
          <c:cat>
            <c:numRef>
              <c:f>RESULTADOS_ELECTRICIDAD!$U$9:$AB$9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RESULTADOS_ELECTRICIDAD!$U$10:$AB$10</c:f>
              <c:numCache>
                <c:formatCode>_-* #,##0.0_-;\-* #,##0.0_-;_-* "-"??_-;_-@_-</c:formatCode>
                <c:ptCount val="8"/>
                <c:pt idx="0">
                  <c:v>0.26980611192310738</c:v>
                </c:pt>
                <c:pt idx="1">
                  <c:v>0.26980611192310738</c:v>
                </c:pt>
                <c:pt idx="2">
                  <c:v>0.4047091678846611</c:v>
                </c:pt>
                <c:pt idx="3">
                  <c:v>0.4047091678846611</c:v>
                </c:pt>
                <c:pt idx="4">
                  <c:v>0.4047091678846611</c:v>
                </c:pt>
                <c:pt idx="5">
                  <c:v>0.4047091678846611</c:v>
                </c:pt>
                <c:pt idx="6">
                  <c:v>0.4047091678846611</c:v>
                </c:pt>
                <c:pt idx="7">
                  <c:v>0.4047091678846611</c:v>
                </c:pt>
              </c:numCache>
            </c:numRef>
          </c:val>
          <c:extLst>
            <c:ext xmlns:c16="http://schemas.microsoft.com/office/drawing/2014/chart" uri="{C3380CC4-5D6E-409C-BE32-E72D297353CC}">
              <c16:uniqueId val="{00000000-C675-4E26-B870-0090C0CE916E}"/>
            </c:ext>
          </c:extLst>
        </c:ser>
        <c:ser>
          <c:idx val="1"/>
          <c:order val="1"/>
          <c:tx>
            <c:strRef>
              <c:f>RESULTADOS_ELECTRICIDAD!$T$11</c:f>
              <c:strCache>
                <c:ptCount val="1"/>
                <c:pt idx="0">
                  <c:v>Termoeléctrica (carbón)</c:v>
                </c:pt>
              </c:strCache>
            </c:strRef>
          </c:tx>
          <c:spPr>
            <a:solidFill>
              <a:schemeClr val="accent6"/>
            </a:solidFill>
            <a:ln w="25400">
              <a:noFill/>
            </a:ln>
            <a:effectLst/>
          </c:spPr>
          <c:cat>
            <c:numRef>
              <c:f>RESULTADOS_ELECTRICIDAD!$U$9:$AB$9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RESULTADOS_ELECTRICIDAD!$U$11:$AB$11</c:f>
              <c:numCache>
                <c:formatCode>_-* #,##0.0_-;\-* #,##0.0_-;_-* "-"??_-;_-@_-</c:formatCode>
                <c:ptCount val="8"/>
                <c:pt idx="0">
                  <c:v>1.1334268213982082</c:v>
                </c:pt>
                <c:pt idx="1">
                  <c:v>1.1334268213982082</c:v>
                </c:pt>
                <c:pt idx="2">
                  <c:v>1.1334268213982082</c:v>
                </c:pt>
                <c:pt idx="3">
                  <c:v>1.1334268213982082</c:v>
                </c:pt>
                <c:pt idx="4">
                  <c:v>1.1334268213982082</c:v>
                </c:pt>
                <c:pt idx="5">
                  <c:v>1.1334268213982082</c:v>
                </c:pt>
                <c:pt idx="6">
                  <c:v>1.1334268213982082</c:v>
                </c:pt>
                <c:pt idx="7">
                  <c:v>1.1334268213982082</c:v>
                </c:pt>
              </c:numCache>
            </c:numRef>
          </c:val>
          <c:extLst>
            <c:ext xmlns:c16="http://schemas.microsoft.com/office/drawing/2014/chart" uri="{C3380CC4-5D6E-409C-BE32-E72D297353CC}">
              <c16:uniqueId val="{00000002-C675-4E26-B870-0090C0CE916E}"/>
            </c:ext>
          </c:extLst>
        </c:ser>
        <c:ser>
          <c:idx val="2"/>
          <c:order val="2"/>
          <c:tx>
            <c:strRef>
              <c:f>RESULTADOS_ELECTRICIDAD!$T$12</c:f>
              <c:strCache>
                <c:ptCount val="1"/>
                <c:pt idx="0">
                  <c:v>Diésel</c:v>
                </c:pt>
              </c:strCache>
            </c:strRef>
          </c:tx>
          <c:spPr>
            <a:solidFill>
              <a:schemeClr val="accent3"/>
            </a:solidFill>
            <a:ln w="25400">
              <a:noFill/>
            </a:ln>
            <a:effectLst/>
          </c:spPr>
          <c:val>
            <c:numRef>
              <c:f>RESULTADOS_ELECTRICIDAD!$U$12:$AB$12</c:f>
              <c:numCache>
                <c:formatCode>_-* #,##0.0_-;\-* #,##0.0_-;_-* "-"??_-;_-@_-</c:formatCode>
                <c:ptCount val="8"/>
                <c:pt idx="0">
                  <c:v>3.4791295464930524E-2</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2936-4E2B-A4D9-1290C75D28ED}"/>
            </c:ext>
          </c:extLst>
        </c:ser>
        <c:ser>
          <c:idx val="3"/>
          <c:order val="3"/>
          <c:tx>
            <c:strRef>
              <c:f>RESULTADOS_ELECTRICIDAD!$T$13</c:f>
              <c:strCache>
                <c:ptCount val="1"/>
                <c:pt idx="0">
                  <c:v>Fuel oíl </c:v>
                </c:pt>
              </c:strCache>
            </c:strRef>
          </c:tx>
          <c:spPr>
            <a:solidFill>
              <a:schemeClr val="accent4"/>
            </a:solidFill>
            <a:ln w="25400">
              <a:noFill/>
            </a:ln>
            <a:effectLst/>
          </c:spPr>
          <c:val>
            <c:numRef>
              <c:f>RESULTADOS_ELECTRICIDAD!$U$13:$AB$13</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2936-4E2B-A4D9-1290C75D28ED}"/>
            </c:ext>
          </c:extLst>
        </c:ser>
        <c:ser>
          <c:idx val="4"/>
          <c:order val="4"/>
          <c:tx>
            <c:strRef>
              <c:f>RESULTADOS_ELECTRICIDAD!$T$14</c:f>
              <c:strCache>
                <c:ptCount val="1"/>
                <c:pt idx="0">
                  <c:v>Petróleo</c:v>
                </c:pt>
              </c:strCache>
            </c:strRef>
          </c:tx>
          <c:spPr>
            <a:solidFill>
              <a:schemeClr val="accent5"/>
            </a:solidFill>
            <a:ln w="25400">
              <a:noFill/>
            </a:ln>
            <a:effectLst/>
          </c:spPr>
          <c:val>
            <c:numRef>
              <c:f>RESULTADOS_ELECTRICIDAD!$U$14:$AB$14</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2936-4E2B-A4D9-1290C75D28ED}"/>
            </c:ext>
          </c:extLst>
        </c:ser>
        <c:ser>
          <c:idx val="5"/>
          <c:order val="5"/>
          <c:tx>
            <c:strRef>
              <c:f>RESULTADOS_ELECTRICIDAD!$T$15</c:f>
              <c:strCache>
                <c:ptCount val="1"/>
                <c:pt idx="0">
                  <c:v>GLP</c:v>
                </c:pt>
              </c:strCache>
            </c:strRef>
          </c:tx>
          <c:spPr>
            <a:solidFill>
              <a:schemeClr val="accent6"/>
            </a:solidFill>
            <a:ln w="25400">
              <a:noFill/>
            </a:ln>
            <a:effectLst/>
          </c:spPr>
          <c:val>
            <c:numRef>
              <c:f>RESULTADOS_ELECTRICIDAD!$U$15:$AB$15</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2936-4E2B-A4D9-1290C75D28ED}"/>
            </c:ext>
          </c:extLst>
        </c:ser>
        <c:ser>
          <c:idx val="6"/>
          <c:order val="6"/>
          <c:tx>
            <c:strRef>
              <c:f>RESULTADOS_ELECTRICIDAD!$T$16</c:f>
              <c:strCache>
                <c:ptCount val="1"/>
                <c:pt idx="0">
                  <c:v>Termoeléctrica (gas natural) + CCUS</c:v>
                </c:pt>
              </c:strCache>
            </c:strRef>
          </c:tx>
          <c:spPr>
            <a:solidFill>
              <a:schemeClr val="accent1">
                <a:lumMod val="60000"/>
              </a:schemeClr>
            </a:solidFill>
            <a:ln w="25400">
              <a:noFill/>
            </a:ln>
            <a:effectLst/>
          </c:spPr>
          <c:val>
            <c:numRef>
              <c:f>RESULTADOS_ELECTRICIDAD!$U$16:$AB$16</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2936-4E2B-A4D9-1290C75D28ED}"/>
            </c:ext>
          </c:extLst>
        </c:ser>
        <c:ser>
          <c:idx val="7"/>
          <c:order val="7"/>
          <c:tx>
            <c:strRef>
              <c:f>RESULTADOS_ELECTRICIDAD!$T$17</c:f>
              <c:strCache>
                <c:ptCount val="1"/>
                <c:pt idx="0">
                  <c:v>Termoeléctrica (carbón) + CCUS</c:v>
                </c:pt>
              </c:strCache>
            </c:strRef>
          </c:tx>
          <c:spPr>
            <a:solidFill>
              <a:schemeClr val="accent2">
                <a:lumMod val="60000"/>
              </a:schemeClr>
            </a:solidFill>
            <a:ln w="25400">
              <a:noFill/>
            </a:ln>
            <a:effectLst/>
          </c:spPr>
          <c:val>
            <c:numRef>
              <c:f>RESULTADOS_ELECTRICIDAD!$U$17:$AB$17</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2936-4E2B-A4D9-1290C75D28ED}"/>
            </c:ext>
          </c:extLst>
        </c:ser>
        <c:ser>
          <c:idx val="8"/>
          <c:order val="8"/>
          <c:tx>
            <c:strRef>
              <c:f>RESULTADOS_ELECTRICIDAD!$T$18</c:f>
              <c:strCache>
                <c:ptCount val="1"/>
                <c:pt idx="0">
                  <c:v>Autogeneración -Residuos</c:v>
                </c:pt>
              </c:strCache>
            </c:strRef>
          </c:tx>
          <c:spPr>
            <a:solidFill>
              <a:schemeClr val="accent2"/>
            </a:solidFill>
            <a:ln w="25400">
              <a:noFill/>
            </a:ln>
            <a:effectLst/>
          </c:spPr>
          <c:val>
            <c:numRef>
              <c:f>RESULTADOS_ELECTRICIDAD!$U$18:$AB$18</c:f>
              <c:numCache>
                <c:formatCode>_-* #,##0.0_-;\-* #,##0.0_-;_-* "-"??_-;_-@_-</c:formatCode>
                <c:ptCount val="8"/>
                <c:pt idx="0">
                  <c:v>0.96513094558117296</c:v>
                </c:pt>
                <c:pt idx="1">
                  <c:v>0.97490228149409153</c:v>
                </c:pt>
                <c:pt idx="2">
                  <c:v>1.0001128211213559</c:v>
                </c:pt>
                <c:pt idx="3">
                  <c:v>1.0267280052147825</c:v>
                </c:pt>
                <c:pt idx="4">
                  <c:v>1.0288412394962443</c:v>
                </c:pt>
                <c:pt idx="5">
                  <c:v>1.0310108960631599</c:v>
                </c:pt>
                <c:pt idx="6">
                  <c:v>1.03323926515939</c:v>
                </c:pt>
                <c:pt idx="7">
                  <c:v>1.0355287626803318</c:v>
                </c:pt>
              </c:numCache>
            </c:numRef>
          </c:val>
          <c:extLst>
            <c:ext xmlns:c16="http://schemas.microsoft.com/office/drawing/2014/chart" uri="{C3380CC4-5D6E-409C-BE32-E72D297353CC}">
              <c16:uniqueId val="{00000006-2936-4E2B-A4D9-1290C75D28E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solidFill>
          <a:schemeClr val="bg1"/>
        </a:solidFill>
        <a:ln>
          <a:noFill/>
        </a:ln>
        <a:effectLst/>
      </c:spPr>
    </c:plotArea>
    <c:legend>
      <c:legendPos val="r"/>
      <c:layout>
        <c:manualLayout>
          <c:xMode val="edge"/>
          <c:yMode val="edge"/>
          <c:x val="0.73316975129661588"/>
          <c:y val="0.16051488294804545"/>
          <c:w val="0.19667272988947232"/>
          <c:h val="0.660419626270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baseline="0">
                <a:solidFill>
                  <a:schemeClr val="tx1">
                    <a:lumMod val="65000"/>
                    <a:lumOff val="35000"/>
                  </a:schemeClr>
                </a:solidFill>
              </a:rPr>
              <a:t>Generación de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1"/>
          <c:order val="0"/>
          <c:tx>
            <c:strRef>
              <c:f>RESULTADOS_ELECTRICIDAD!$T$30</c:f>
              <c:strCache>
                <c:ptCount val="1"/>
                <c:pt idx="0">
                  <c:v>Termoeléctrica (gas natural)</c:v>
                </c:pt>
              </c:strCache>
            </c:strRef>
          </c:tx>
          <c:spPr>
            <a:solidFill>
              <a:srgbClr val="FF6161"/>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RESULTADOS_ELECTRICIDAD!$U$30:$AB$30</c:f>
              <c:numCache>
                <c:formatCode>0.00</c:formatCode>
                <c:ptCount val="8"/>
                <c:pt idx="0">
                  <c:v>0.70477404881979766</c:v>
                </c:pt>
                <c:pt idx="1">
                  <c:v>0.70477404881979766</c:v>
                </c:pt>
                <c:pt idx="2">
                  <c:v>1.0571610732296965</c:v>
                </c:pt>
                <c:pt idx="3">
                  <c:v>1.0571610732296965</c:v>
                </c:pt>
                <c:pt idx="4">
                  <c:v>1.0571610732296965</c:v>
                </c:pt>
                <c:pt idx="5">
                  <c:v>1.0571610732296965</c:v>
                </c:pt>
                <c:pt idx="6">
                  <c:v>1.0571610732296965</c:v>
                </c:pt>
                <c:pt idx="7">
                  <c:v>1.0571610732296965</c:v>
                </c:pt>
              </c:numCache>
            </c:numRef>
          </c:val>
          <c:extLst>
            <c:ext xmlns:c16="http://schemas.microsoft.com/office/drawing/2014/chart" uri="{C3380CC4-5D6E-409C-BE32-E72D297353CC}">
              <c16:uniqueId val="{00000005-9E3F-4963-8C01-409D5A90CCEA}"/>
            </c:ext>
          </c:extLst>
        </c:ser>
        <c:ser>
          <c:idx val="2"/>
          <c:order val="1"/>
          <c:tx>
            <c:strRef>
              <c:f>RESULTADOS_ELECTRICIDAD!$T$31</c:f>
              <c:strCache>
                <c:ptCount val="1"/>
                <c:pt idx="0">
                  <c:v>Termoeléctrica (carbón)</c:v>
                </c:pt>
              </c:strCache>
            </c:strRef>
          </c:tx>
          <c:spPr>
            <a:solidFill>
              <a:schemeClr val="accent6"/>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RESULTADOS_ELECTRICIDAD!$U$31:$AB$31</c:f>
              <c:numCache>
                <c:formatCode>0.00</c:formatCode>
                <c:ptCount val="8"/>
                <c:pt idx="0">
                  <c:v>1.4338506510471747</c:v>
                </c:pt>
                <c:pt idx="1">
                  <c:v>1.4338506510471747</c:v>
                </c:pt>
                <c:pt idx="2">
                  <c:v>1.4338506510471747</c:v>
                </c:pt>
                <c:pt idx="3">
                  <c:v>1.4338506510471747</c:v>
                </c:pt>
                <c:pt idx="4">
                  <c:v>1.4338506510471747</c:v>
                </c:pt>
                <c:pt idx="5">
                  <c:v>1.4338506510471747</c:v>
                </c:pt>
                <c:pt idx="6">
                  <c:v>1.4338506510471747</c:v>
                </c:pt>
                <c:pt idx="7">
                  <c:v>1.4338506510471747</c:v>
                </c:pt>
              </c:numCache>
            </c:numRef>
          </c:val>
          <c:extLst>
            <c:ext xmlns:c16="http://schemas.microsoft.com/office/drawing/2014/chart" uri="{C3380CC4-5D6E-409C-BE32-E72D297353CC}">
              <c16:uniqueId val="{00000000-724E-467F-9D0C-03CABFA20C03}"/>
            </c:ext>
          </c:extLst>
        </c:ser>
        <c:ser>
          <c:idx val="3"/>
          <c:order val="2"/>
          <c:tx>
            <c:strRef>
              <c:f>RESULTADOS_ELECTRICIDAD!$T$32</c:f>
              <c:strCache>
                <c:ptCount val="1"/>
                <c:pt idx="0">
                  <c:v>Diésel</c:v>
                </c:pt>
              </c:strCache>
            </c:strRef>
          </c:tx>
          <c:spPr>
            <a:solidFill>
              <a:schemeClr val="accent4"/>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RESULTADOS_ELECTRICIDAD!$U$32:$AB$32</c:f>
              <c:numCache>
                <c:formatCode>0.00</c:formatCode>
                <c:ptCount val="8"/>
                <c:pt idx="0">
                  <c:v>4.8605106815158471E-2</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724E-467F-9D0C-03CABFA20C03}"/>
            </c:ext>
          </c:extLst>
        </c:ser>
        <c:ser>
          <c:idx val="4"/>
          <c:order val="3"/>
          <c:tx>
            <c:strRef>
              <c:f>RESULTADOS_ELECTRICIDAD!$T$33</c:f>
              <c:strCache>
                <c:ptCount val="1"/>
                <c:pt idx="0">
                  <c:v>Fuel oíl </c:v>
                </c:pt>
              </c:strCache>
            </c:strRef>
          </c:tx>
          <c:spPr>
            <a:solidFill>
              <a:schemeClr val="accent5"/>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RESULTADOS_ELECTRICIDAD!$U$33:$AB$33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724E-467F-9D0C-03CABFA20C03}"/>
            </c:ext>
          </c:extLst>
        </c:ser>
        <c:ser>
          <c:idx val="5"/>
          <c:order val="4"/>
          <c:tx>
            <c:strRef>
              <c:f>RESULTADOS_ELECTRICIDAD!$T$34</c:f>
              <c:strCache>
                <c:ptCount val="1"/>
                <c:pt idx="0">
                  <c:v>Petróleo</c:v>
                </c:pt>
              </c:strCache>
            </c:strRef>
          </c:tx>
          <c:spPr>
            <a:solidFill>
              <a:schemeClr val="accent6"/>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RESULTADOS_ELECTRICIDAD!$U$34:$AB$34</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724E-467F-9D0C-03CABFA20C03}"/>
            </c:ext>
          </c:extLst>
        </c:ser>
        <c:ser>
          <c:idx val="6"/>
          <c:order val="5"/>
          <c:tx>
            <c:strRef>
              <c:f>RESULTADOS_ELECTRICIDAD!$T$35</c:f>
              <c:strCache>
                <c:ptCount val="1"/>
                <c:pt idx="0">
                  <c:v>GLP</c:v>
                </c:pt>
              </c:strCache>
            </c:strRef>
          </c:tx>
          <c:spPr>
            <a:solidFill>
              <a:schemeClr val="accent1">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RESULTADOS_ELECTRICIDAD!$U$35:$AB$35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724E-467F-9D0C-03CABFA20C03}"/>
            </c:ext>
          </c:extLst>
        </c:ser>
        <c:ser>
          <c:idx val="7"/>
          <c:order val="6"/>
          <c:tx>
            <c:strRef>
              <c:f>RESULTADOS_ELECTRICIDAD!$T$36</c:f>
              <c:strCache>
                <c:ptCount val="1"/>
                <c:pt idx="0">
                  <c:v>Termoeléctrica (gas natural) + CCUS</c:v>
                </c:pt>
              </c:strCache>
            </c:strRef>
          </c:tx>
          <c:spPr>
            <a:solidFill>
              <a:schemeClr val="accent2">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RESULTADOS_ELECTRICIDAD!$U$36:$AB$36</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724E-467F-9D0C-03CABFA20C03}"/>
            </c:ext>
          </c:extLst>
        </c:ser>
        <c:ser>
          <c:idx val="8"/>
          <c:order val="7"/>
          <c:tx>
            <c:strRef>
              <c:f>RESULTADOS_ELECTRICIDAD!$T$37</c:f>
              <c:strCache>
                <c:ptCount val="1"/>
                <c:pt idx="0">
                  <c:v>Termoeléctrica (carbón) + CCUS</c:v>
                </c:pt>
              </c:strCache>
            </c:strRef>
          </c:tx>
          <c:spPr>
            <a:solidFill>
              <a:schemeClr val="accent3">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RESULTADOS_ELECTRICIDAD!$U$37:$AB$37</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724E-467F-9D0C-03CABFA20C03}"/>
            </c:ext>
          </c:extLst>
        </c:ser>
        <c:ser>
          <c:idx val="9"/>
          <c:order val="8"/>
          <c:tx>
            <c:strRef>
              <c:f>RESULTADOS_ELECTRICIDAD!$T$38</c:f>
              <c:strCache>
                <c:ptCount val="1"/>
                <c:pt idx="0">
                  <c:v>Autogeneración -Residuos</c:v>
                </c:pt>
              </c:strCache>
            </c:strRef>
          </c:tx>
          <c:spPr>
            <a:solidFill>
              <a:schemeClr val="accent4">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RESULTADOS_ELECTRICIDAD!$U$38:$AB$38</c:f>
              <c:numCache>
                <c:formatCode>0.00</c:formatCode>
                <c:ptCount val="8"/>
                <c:pt idx="0">
                  <c:v>0.11406631102344174</c:v>
                </c:pt>
                <c:pt idx="1">
                  <c:v>0.12383764693636037</c:v>
                </c:pt>
                <c:pt idx="2">
                  <c:v>0.14904818656362481</c:v>
                </c:pt>
                <c:pt idx="3">
                  <c:v>0.17566337065705123</c:v>
                </c:pt>
                <c:pt idx="4">
                  <c:v>0.17777660493851313</c:v>
                </c:pt>
                <c:pt idx="5">
                  <c:v>0.17994626150542858</c:v>
                </c:pt>
                <c:pt idx="6">
                  <c:v>0.18217463060165887</c:v>
                </c:pt>
                <c:pt idx="7">
                  <c:v>0.18446412812260057</c:v>
                </c:pt>
              </c:numCache>
            </c:numRef>
          </c:val>
          <c:extLst>
            <c:ext xmlns:c16="http://schemas.microsoft.com/office/drawing/2014/chart" uri="{C3380CC4-5D6E-409C-BE32-E72D297353CC}">
              <c16:uniqueId val="{00000007-724E-467F-9D0C-03CABFA20C03}"/>
            </c:ext>
          </c:extLst>
        </c:ser>
        <c:ser>
          <c:idx val="10"/>
          <c:order val="9"/>
          <c:tx>
            <c:strRef>
              <c:f>RESULTADOS_ELECTRICIDAD!$T$39</c:f>
              <c:strCache>
                <c:ptCount val="1"/>
                <c:pt idx="0">
                  <c:v>Grandes centrales hidroeléctricas</c:v>
                </c:pt>
              </c:strCache>
            </c:strRef>
          </c:tx>
          <c:spPr>
            <a:solidFill>
              <a:schemeClr val="accent5">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RESULTADOS_ELECTRICIDAD!$U$39:$AB$39</c:f>
              <c:numCache>
                <c:formatCode>0.00</c:formatCode>
                <c:ptCount val="8"/>
                <c:pt idx="0">
                  <c:v>6.4158740996009165</c:v>
                </c:pt>
                <c:pt idx="1">
                  <c:v>6.4158740996009165</c:v>
                </c:pt>
                <c:pt idx="2">
                  <c:v>8.16565794494662</c:v>
                </c:pt>
                <c:pt idx="3">
                  <c:v>8.16565794494662</c:v>
                </c:pt>
                <c:pt idx="4">
                  <c:v>8.16565794494662</c:v>
                </c:pt>
                <c:pt idx="5">
                  <c:v>8.16565794494662</c:v>
                </c:pt>
                <c:pt idx="6">
                  <c:v>8.16565794494662</c:v>
                </c:pt>
                <c:pt idx="7">
                  <c:v>8.748919226728523</c:v>
                </c:pt>
              </c:numCache>
            </c:numRef>
          </c:val>
          <c:extLst>
            <c:ext xmlns:c16="http://schemas.microsoft.com/office/drawing/2014/chart" uri="{C3380CC4-5D6E-409C-BE32-E72D297353CC}">
              <c16:uniqueId val="{00000008-724E-467F-9D0C-03CABFA20C03}"/>
            </c:ext>
          </c:extLst>
        </c:ser>
        <c:ser>
          <c:idx val="11"/>
          <c:order val="10"/>
          <c:tx>
            <c:strRef>
              <c:f>RESULTADOS_ELECTRICIDAD!$T$40</c:f>
              <c:strCache>
                <c:ptCount val="1"/>
                <c:pt idx="0">
                  <c:v>Pequeñas centrales hidroeléctricas</c:v>
                </c:pt>
              </c:strCache>
            </c:strRef>
          </c:tx>
          <c:spPr>
            <a:solidFill>
              <a:schemeClr val="accent6">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RESULTADOS_ELECTRICIDAD!$U$40:$AB$40</c:f>
              <c:numCache>
                <c:formatCode>0.00</c:formatCode>
                <c:ptCount val="8"/>
                <c:pt idx="0">
                  <c:v>0.58326128178190151</c:v>
                </c:pt>
                <c:pt idx="1">
                  <c:v>0.58326128178190151</c:v>
                </c:pt>
                <c:pt idx="2">
                  <c:v>0.58326128178190151</c:v>
                </c:pt>
                <c:pt idx="3">
                  <c:v>0.58326128178190151</c:v>
                </c:pt>
                <c:pt idx="4">
                  <c:v>0.58326128178190151</c:v>
                </c:pt>
                <c:pt idx="5">
                  <c:v>0.58326128178190151</c:v>
                </c:pt>
                <c:pt idx="6">
                  <c:v>0.58326128178190151</c:v>
                </c:pt>
                <c:pt idx="7">
                  <c:v>0.58326128178190151</c:v>
                </c:pt>
              </c:numCache>
            </c:numRef>
          </c:val>
          <c:extLst>
            <c:ext xmlns:c16="http://schemas.microsoft.com/office/drawing/2014/chart" uri="{C3380CC4-5D6E-409C-BE32-E72D297353CC}">
              <c16:uniqueId val="{00000009-724E-467F-9D0C-03CABFA20C03}"/>
            </c:ext>
          </c:extLst>
        </c:ser>
        <c:ser>
          <c:idx val="12"/>
          <c:order val="11"/>
          <c:tx>
            <c:strRef>
              <c:f>RESULTADOS_ELECTRICIDAD!$T$41</c:f>
              <c:strCache>
                <c:ptCount val="1"/>
                <c:pt idx="0">
                  <c:v>Solar Térmica</c:v>
                </c:pt>
              </c:strCache>
            </c:strRef>
          </c:tx>
          <c:spPr>
            <a:solidFill>
              <a:schemeClr val="accent1">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RESULTADOS_ELECTRICIDAD!$U$41:$AB$41</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724E-467F-9D0C-03CABFA20C03}"/>
            </c:ext>
          </c:extLst>
        </c:ser>
        <c:ser>
          <c:idx val="13"/>
          <c:order val="12"/>
          <c:tx>
            <c:strRef>
              <c:f>RESULTADOS_ELECTRICIDAD!$T$42</c:f>
              <c:strCache>
                <c:ptCount val="1"/>
                <c:pt idx="0">
                  <c:v>Solar Fotovoltaica</c:v>
                </c:pt>
              </c:strCache>
            </c:strRef>
          </c:tx>
          <c:spPr>
            <a:solidFill>
              <a:schemeClr val="accent2">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RESULTADOS_ELECTRICIDAD!$U$42:$AB$42</c:f>
              <c:numCache>
                <c:formatCode>0.00</c:formatCode>
                <c:ptCount val="8"/>
                <c:pt idx="0">
                  <c:v>0</c:v>
                </c:pt>
                <c:pt idx="1">
                  <c:v>0</c:v>
                </c:pt>
                <c:pt idx="2">
                  <c:v>0.37668957781747808</c:v>
                </c:pt>
                <c:pt idx="3">
                  <c:v>0.37668957781747808</c:v>
                </c:pt>
                <c:pt idx="4">
                  <c:v>0.75337915563495617</c:v>
                </c:pt>
                <c:pt idx="5">
                  <c:v>1.5067583112699123</c:v>
                </c:pt>
                <c:pt idx="6">
                  <c:v>2.6368270447223465</c:v>
                </c:pt>
                <c:pt idx="7">
                  <c:v>3.3902062003573024</c:v>
                </c:pt>
              </c:numCache>
            </c:numRef>
          </c:val>
          <c:extLst>
            <c:ext xmlns:c16="http://schemas.microsoft.com/office/drawing/2014/chart" uri="{C3380CC4-5D6E-409C-BE32-E72D297353CC}">
              <c16:uniqueId val="{0000000B-724E-467F-9D0C-03CABFA20C03}"/>
            </c:ext>
          </c:extLst>
        </c:ser>
        <c:ser>
          <c:idx val="14"/>
          <c:order val="13"/>
          <c:tx>
            <c:strRef>
              <c:f>RESULTADOS_ELECTRICIDAD!$T$43</c:f>
              <c:strCache>
                <c:ptCount val="1"/>
                <c:pt idx="0">
                  <c:v>Eólica costa adentro (Parque Jepirachi)</c:v>
                </c:pt>
              </c:strCache>
            </c:strRef>
          </c:tx>
          <c:spPr>
            <a:solidFill>
              <a:schemeClr val="accent3">
                <a:lumMod val="80000"/>
                <a:lumOff val="20000"/>
              </a:schemeClr>
            </a:solidFill>
            <a:ln w="25400">
              <a:noFill/>
            </a:ln>
            <a:effectLst/>
          </c:spPr>
          <c:val>
            <c:numRef>
              <c:f>RESULTADOS_ELECTRICIDAD!$U$43:$AB$43</c:f>
              <c:numCache>
                <c:formatCode>0.00</c:formatCode>
                <c:ptCount val="8"/>
                <c:pt idx="0">
                  <c:v>0</c:v>
                </c:pt>
                <c:pt idx="1">
                  <c:v>0</c:v>
                </c:pt>
                <c:pt idx="2">
                  <c:v>0.87489192267285232</c:v>
                </c:pt>
                <c:pt idx="3">
                  <c:v>1.3123378840092783</c:v>
                </c:pt>
                <c:pt idx="4">
                  <c:v>2.1872298066821307</c:v>
                </c:pt>
                <c:pt idx="5">
                  <c:v>2.6246757680185566</c:v>
                </c:pt>
                <c:pt idx="6">
                  <c:v>2.6246757680185566</c:v>
                </c:pt>
                <c:pt idx="7">
                  <c:v>2.6246757680185566</c:v>
                </c:pt>
              </c:numCache>
            </c:numRef>
          </c:val>
          <c:extLst>
            <c:ext xmlns:c16="http://schemas.microsoft.com/office/drawing/2014/chart" uri="{C3380CC4-5D6E-409C-BE32-E72D297353CC}">
              <c16:uniqueId val="{00000000-23F2-49EA-BD18-CFEF4E94B1C4}"/>
            </c:ext>
          </c:extLst>
        </c:ser>
        <c:ser>
          <c:idx val="15"/>
          <c:order val="14"/>
          <c:tx>
            <c:strRef>
              <c:f>RESULTADOS_ELECTRICIDAD!$T$44</c:f>
              <c:strCache>
                <c:ptCount val="1"/>
                <c:pt idx="0">
                  <c:v>Eólica costa adentro (resto del país)</c:v>
                </c:pt>
              </c:strCache>
            </c:strRef>
          </c:tx>
          <c:spPr>
            <a:solidFill>
              <a:schemeClr val="accent4">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RESULTADOS_ELECTRICIDAD!$U$44:$AB$44</c:f>
              <c:numCache>
                <c:formatCode>0.00</c:formatCode>
                <c:ptCount val="8"/>
                <c:pt idx="0">
                  <c:v>0</c:v>
                </c:pt>
                <c:pt idx="1">
                  <c:v>0</c:v>
                </c:pt>
                <c:pt idx="2">
                  <c:v>0</c:v>
                </c:pt>
                <c:pt idx="3">
                  <c:v>0</c:v>
                </c:pt>
                <c:pt idx="4">
                  <c:v>0</c:v>
                </c:pt>
                <c:pt idx="5">
                  <c:v>0</c:v>
                </c:pt>
                <c:pt idx="6">
                  <c:v>0.14581532044547538</c:v>
                </c:pt>
                <c:pt idx="7">
                  <c:v>0.14581532044547538</c:v>
                </c:pt>
              </c:numCache>
            </c:numRef>
          </c:val>
          <c:extLst>
            <c:ext xmlns:c16="http://schemas.microsoft.com/office/drawing/2014/chart" uri="{C3380CC4-5D6E-409C-BE32-E72D297353CC}">
              <c16:uniqueId val="{0000000D-724E-467F-9D0C-03CABFA20C03}"/>
            </c:ext>
          </c:extLst>
        </c:ser>
        <c:ser>
          <c:idx val="16"/>
          <c:order val="15"/>
          <c:tx>
            <c:strRef>
              <c:f>RESULTADOS_ELECTRICIDAD!$T$45</c:f>
              <c:strCache>
                <c:ptCount val="1"/>
                <c:pt idx="0">
                  <c:v>Eólica costa afuera</c:v>
                </c:pt>
              </c:strCache>
            </c:strRef>
          </c:tx>
          <c:spPr>
            <a:solidFill>
              <a:schemeClr val="accent5">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RESULTADOS_ELECTRICIDAD!$U$45:$AB$45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E-724E-467F-9D0C-03CABFA20C03}"/>
            </c:ext>
          </c:extLst>
        </c:ser>
        <c:ser>
          <c:idx val="17"/>
          <c:order val="16"/>
          <c:tx>
            <c:strRef>
              <c:f>RESULTADOS_ELECTRICIDAD!$T$46</c:f>
              <c:strCache>
                <c:ptCount val="1"/>
                <c:pt idx="0">
                  <c:v>Hidrógeno verde</c:v>
                </c:pt>
              </c:strCache>
            </c:strRef>
          </c:tx>
          <c:spPr>
            <a:solidFill>
              <a:schemeClr val="accent6">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RESULTADOS_ELECTRICIDAD!$U$46:$AB$46</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F-724E-467F-9D0C-03CABFA20C03}"/>
            </c:ext>
          </c:extLst>
        </c:ser>
        <c:ser>
          <c:idx val="18"/>
          <c:order val="17"/>
          <c:tx>
            <c:strRef>
              <c:f>RESULTADOS_ELECTRICIDAD!$T$47</c:f>
              <c:strCache>
                <c:ptCount val="1"/>
                <c:pt idx="0">
                  <c:v>Biomasa</c:v>
                </c:pt>
              </c:strCache>
            </c:strRef>
          </c:tx>
          <c:spPr>
            <a:solidFill>
              <a:schemeClr val="accent1">
                <a:lumMod val="8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RESULTADOS_ELECTRICIDAD!$U$47:$AB$47</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0-724E-467F-9D0C-03CABFA20C03}"/>
            </c:ext>
          </c:extLst>
        </c:ser>
        <c:ser>
          <c:idx val="19"/>
          <c:order val="18"/>
          <c:tx>
            <c:strRef>
              <c:f>RESULTADOS_ELECTRICIDAD!$T$48</c:f>
              <c:strCache>
                <c:ptCount val="1"/>
                <c:pt idx="0">
                  <c:v>Bagazo</c:v>
                </c:pt>
              </c:strCache>
            </c:strRef>
          </c:tx>
          <c:spPr>
            <a:solidFill>
              <a:schemeClr val="accent2">
                <a:lumMod val="8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RESULTADOS_ELECTRICIDAD!$U$48:$AB$48</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1-724E-467F-9D0C-03CABFA20C0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dispUnits>
          <c:builtInUnit val="hundreds"/>
        </c:dispUnits>
      </c:valAx>
      <c:spPr>
        <a:noFill/>
        <a:ln>
          <a:noFill/>
        </a:ln>
        <a:effectLst/>
      </c:spPr>
    </c:plotArea>
    <c:legend>
      <c:legendPos val="r"/>
      <c:layout>
        <c:manualLayout>
          <c:xMode val="edge"/>
          <c:yMode val="edge"/>
          <c:x val="0.76297053277526405"/>
          <c:y val="8.8950439630984063E-2"/>
          <c:w val="0.19070558140026636"/>
          <c:h val="0.806526302122779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Balance energético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RESULTADOS_ELECTRICIDAD!$T$54</c:f>
              <c:strCache>
                <c:ptCount val="1"/>
                <c:pt idx="0">
                  <c:v>Requerimientos energéticos</c:v>
                </c:pt>
              </c:strCache>
            </c:strRef>
          </c:tx>
          <c:spPr>
            <a:solidFill>
              <a:srgbClr val="FF5D5D"/>
            </a:solidFill>
            <a:ln w="25400">
              <a:noFill/>
            </a:ln>
            <a:effectLst/>
          </c:spPr>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RESULTADOS_ELECTRICIDAD!$U$54:$AB$54</c:f>
              <c:numCache>
                <c:formatCode>0.00</c:formatCode>
                <c:ptCount val="8"/>
                <c:pt idx="0">
                  <c:v>3.3829223109737141</c:v>
                </c:pt>
                <c:pt idx="1">
                  <c:v>2.9089128834079618</c:v>
                </c:pt>
                <c:pt idx="2">
                  <c:v>4.9590247468843769</c:v>
                </c:pt>
                <c:pt idx="3">
                  <c:v>4.4881417067715965</c:v>
                </c:pt>
                <c:pt idx="4">
                  <c:v>5.0230079971914243</c:v>
                </c:pt>
                <c:pt idx="5">
                  <c:v>5.4573789689147274</c:v>
                </c:pt>
                <c:pt idx="6">
                  <c:v>6.0102692932066191</c:v>
                </c:pt>
                <c:pt idx="7">
                  <c:v>6.6245455092928172</c:v>
                </c:pt>
              </c:numCache>
            </c:numRef>
          </c:val>
          <c:extLst>
            <c:ext xmlns:c16="http://schemas.microsoft.com/office/drawing/2014/chart" uri="{C3380CC4-5D6E-409C-BE32-E72D297353CC}">
              <c16:uniqueId val="{00000000-C1FB-4888-AC1E-3F5C9AC4A903}"/>
            </c:ext>
          </c:extLst>
        </c:ser>
        <c:ser>
          <c:idx val="1"/>
          <c:order val="1"/>
          <c:tx>
            <c:strRef>
              <c:f>RESULTADOS_ELECTRICIDAD!$T$55</c:f>
              <c:strCache>
                <c:ptCount val="1"/>
              </c:strCache>
            </c:strRef>
          </c:tx>
          <c:spPr>
            <a:solidFill>
              <a:schemeClr val="accent5"/>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RESULTADOS_ELECTRICIDAD!$U$55:$AB$55</c:f>
              <c:numCache>
                <c:formatCode>0.00</c:formatCode>
                <c:ptCount val="8"/>
              </c:numCache>
            </c:numRef>
          </c:val>
          <c:extLst>
            <c:ext xmlns:c16="http://schemas.microsoft.com/office/drawing/2014/chart" uri="{C3380CC4-5D6E-409C-BE32-E72D297353CC}">
              <c16:uniqueId val="{00000001-C1FB-4888-AC1E-3F5C9AC4A903}"/>
            </c:ext>
          </c:extLst>
        </c:ser>
        <c:ser>
          <c:idx val="2"/>
          <c:order val="2"/>
          <c:tx>
            <c:strRef>
              <c:f>RESULTADOS_ELECTRICIDAD!$T$56</c:f>
              <c:strCache>
                <c:ptCount val="1"/>
              </c:strCache>
            </c:strRef>
          </c:tx>
          <c:spPr>
            <a:solidFill>
              <a:schemeClr val="accent6"/>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RESULTADOS_ELECTRICIDAD!$U$56:$AB$56</c:f>
              <c:numCache>
                <c:formatCode>0.00</c:formatCode>
                <c:ptCount val="8"/>
              </c:numCache>
            </c:numRef>
          </c:val>
          <c:extLst>
            <c:ext xmlns:c16="http://schemas.microsoft.com/office/drawing/2014/chart" uri="{C3380CC4-5D6E-409C-BE32-E72D297353CC}">
              <c16:uniqueId val="{00000003-C1FB-4888-AC1E-3F5C9AC4A903}"/>
            </c:ext>
          </c:extLst>
        </c:ser>
        <c:ser>
          <c:idx val="3"/>
          <c:order val="3"/>
          <c:tx>
            <c:strRef>
              <c:f>RESULTADOS_ELECTRICIDAD!$T$57</c:f>
              <c:strCache>
                <c:ptCount val="1"/>
              </c:strCache>
            </c:strRef>
          </c:tx>
          <c:spPr>
            <a:solidFill>
              <a:schemeClr val="accent4"/>
            </a:solidFill>
            <a:ln w="25400">
              <a:noFill/>
            </a:ln>
            <a:effectLst/>
          </c:spPr>
          <c:dLbls>
            <c:dLbl>
              <c:idx val="0"/>
              <c:layout>
                <c:manualLayout>
                  <c:x val="4.6933015223573453E-3"/>
                  <c:y val="-4.413620362934182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s-E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C1FB-4888-AC1E-3F5C9AC4A90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RESULTADOS_ELECTRICIDAD!$U$57:$AB$57</c:f>
              <c:numCache>
                <c:formatCode>0.00</c:formatCode>
                <c:ptCount val="8"/>
              </c:numCache>
            </c:numRef>
          </c:val>
          <c:extLst>
            <c:ext xmlns:c16="http://schemas.microsoft.com/office/drawing/2014/chart" uri="{C3380CC4-5D6E-409C-BE32-E72D297353CC}">
              <c16:uniqueId val="{00000004-C1FB-4888-AC1E-3F5C9AC4A90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Balance energético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RESULTADOS_ELECTRICIDAD!$T$77</c:f>
              <c:strCache>
                <c:ptCount val="1"/>
                <c:pt idx="0">
                  <c:v>Excedentes energéticos</c:v>
                </c:pt>
              </c:strCache>
            </c:strRef>
          </c:tx>
          <c:spPr>
            <a:solidFill>
              <a:schemeClr val="accent6">
                <a:lumMod val="50000"/>
              </a:schemeClr>
            </a:solidFill>
            <a:ln w="25400">
              <a:noFill/>
            </a:ln>
            <a:effectLst/>
          </c:spPr>
          <c:cat>
            <c:numRef>
              <c:f>RESULTADOS_ELECTRICIDAD!$U$76:$AB$76</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RESULTADOS_ELECTRICIDAD!$U$77:$AB$77</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5C04-40C7-8B7D-4FCAEE9807B4}"/>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8"/>
          <c:order val="0"/>
          <c:tx>
            <c:strRef>
              <c:f>RESULTADOS_INDUSTRIA!$T$18</c:f>
              <c:strCache>
                <c:ptCount val="1"/>
                <c:pt idx="0">
                  <c:v>Emisiones SAO</c:v>
                </c:pt>
              </c:strCache>
            </c:strRef>
          </c:tx>
          <c:spPr>
            <a:solidFill>
              <a:srgbClr val="7B4BC1"/>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RESULTADOS_INDUSTRIA!$U$18:$AB$18</c:f>
              <c:numCache>
                <c:formatCode>_(* #,##0.00_);_(* \(#,##0.00\);_(* "-"??_);_(@_)</c:formatCode>
                <c:ptCount val="8"/>
                <c:pt idx="0">
                  <c:v>7.8987523506667309E-2</c:v>
                </c:pt>
                <c:pt idx="1">
                  <c:v>0.10202453218922972</c:v>
                </c:pt>
                <c:pt idx="2">
                  <c:v>0.16239709821170684</c:v>
                </c:pt>
                <c:pt idx="3">
                  <c:v>0.20839409485702687</c:v>
                </c:pt>
                <c:pt idx="4">
                  <c:v>0.25439109150234679</c:v>
                </c:pt>
                <c:pt idx="5">
                  <c:v>0.30038808814766682</c:v>
                </c:pt>
                <c:pt idx="6">
                  <c:v>0.34638508479298674</c:v>
                </c:pt>
                <c:pt idx="7">
                  <c:v>0.39238208143830666</c:v>
                </c:pt>
              </c:numCache>
            </c:numRef>
          </c:val>
          <c:extLst>
            <c:ext xmlns:c16="http://schemas.microsoft.com/office/drawing/2014/chart" uri="{C3380CC4-5D6E-409C-BE32-E72D297353CC}">
              <c16:uniqueId val="{0000000F-090A-4EAB-8C76-12AC4329A2AC}"/>
            </c:ext>
          </c:extLst>
        </c:ser>
        <c:ser>
          <c:idx val="7"/>
          <c:order val="1"/>
          <c:tx>
            <c:strRef>
              <c:f>RESULTADOS_INDUSTRIA!$T$17</c:f>
              <c:strCache>
                <c:ptCount val="1"/>
                <c:pt idx="0">
                  <c:v>Otros</c:v>
                </c:pt>
              </c:strCache>
            </c:strRef>
          </c:tx>
          <c:spPr>
            <a:solidFill>
              <a:srgbClr val="FA9276"/>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RESULTADOS_INDUSTRIA!$U$17:$AB$17</c:f>
              <c:numCache>
                <c:formatCode>_(* #,##0.00_);_(* \(#,##0.00\);_(* "-"??_);_(@_)</c:formatCode>
                <c:ptCount val="8"/>
                <c:pt idx="0">
                  <c:v>2.0626364161375092E-2</c:v>
                </c:pt>
                <c:pt idx="1">
                  <c:v>2.1680599103139284E-2</c:v>
                </c:pt>
                <c:pt idx="2">
                  <c:v>2.6683648671996869E-2</c:v>
                </c:pt>
                <c:pt idx="3">
                  <c:v>3.2303289234448244E-2</c:v>
                </c:pt>
                <c:pt idx="4">
                  <c:v>3.2303289234448244E-2</c:v>
                </c:pt>
                <c:pt idx="5">
                  <c:v>3.2303289234448244E-2</c:v>
                </c:pt>
                <c:pt idx="6">
                  <c:v>3.2303289234448244E-2</c:v>
                </c:pt>
                <c:pt idx="7">
                  <c:v>3.2303289234448244E-2</c:v>
                </c:pt>
              </c:numCache>
            </c:numRef>
          </c:val>
          <c:extLst>
            <c:ext xmlns:c16="http://schemas.microsoft.com/office/drawing/2014/chart" uri="{C3380CC4-5D6E-409C-BE32-E72D297353CC}">
              <c16:uniqueId val="{0000000E-090A-4EAB-8C76-12AC4329A2AC}"/>
            </c:ext>
          </c:extLst>
        </c:ser>
        <c:ser>
          <c:idx val="6"/>
          <c:order val="2"/>
          <c:tx>
            <c:strRef>
              <c:f>RESULTADOS_INDUSTRIA!$T$16</c:f>
              <c:strCache>
                <c:ptCount val="1"/>
                <c:pt idx="0">
                  <c:v>Ladrilleras</c:v>
                </c:pt>
              </c:strCache>
            </c:strRef>
          </c:tx>
          <c:spPr>
            <a:solidFill>
              <a:schemeClr val="accent2">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RESULTADOS_INDUSTRIA!$U$16:$AB$16</c:f>
              <c:numCache>
                <c:formatCode>_(* #,##0.00_);_(* \(#,##0.00\);_(* "-"??_);_(@_)</c:formatCode>
                <c:ptCount val="8"/>
                <c:pt idx="0">
                  <c:v>0.29928112590993755</c:v>
                </c:pt>
                <c:pt idx="1">
                  <c:v>0.29928112590993755</c:v>
                </c:pt>
                <c:pt idx="2">
                  <c:v>0.38391578718484454</c:v>
                </c:pt>
                <c:pt idx="3">
                  <c:v>0.45182564255519853</c:v>
                </c:pt>
                <c:pt idx="4">
                  <c:v>0.45182564255519853</c:v>
                </c:pt>
                <c:pt idx="5">
                  <c:v>0.45182564255519853</c:v>
                </c:pt>
                <c:pt idx="6">
                  <c:v>0.45182564255519853</c:v>
                </c:pt>
                <c:pt idx="7">
                  <c:v>0.45182564255519853</c:v>
                </c:pt>
              </c:numCache>
            </c:numRef>
          </c:val>
          <c:extLst>
            <c:ext xmlns:c16="http://schemas.microsoft.com/office/drawing/2014/chart" uri="{C3380CC4-5D6E-409C-BE32-E72D297353CC}">
              <c16:uniqueId val="{0000000D-090A-4EAB-8C76-12AC4329A2AC}"/>
            </c:ext>
          </c:extLst>
        </c:ser>
        <c:ser>
          <c:idx val="5"/>
          <c:order val="3"/>
          <c:tx>
            <c:strRef>
              <c:f>RESULTADOS_INDUSTRIA!$T$15</c:f>
              <c:strCache>
                <c:ptCount val="1"/>
                <c:pt idx="0">
                  <c:v>Textil</c:v>
                </c:pt>
              </c:strCache>
            </c:strRef>
          </c:tx>
          <c:spPr>
            <a:solidFill>
              <a:schemeClr val="accent6">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RESULTADOS_INDUSTRIA!$U$15:$AB$15</c:f>
              <c:numCache>
                <c:formatCode>_(* #,##0.00_);_(* \(#,##0.00\);_(* "-"??_);_(@_)</c:formatCode>
                <c:ptCount val="8"/>
                <c:pt idx="0">
                  <c:v>4.6711732520175256E-2</c:v>
                </c:pt>
                <c:pt idx="1">
                  <c:v>4.6711732520175256E-2</c:v>
                </c:pt>
                <c:pt idx="2">
                  <c:v>5.3875779917808939E-2</c:v>
                </c:pt>
                <c:pt idx="3">
                  <c:v>6.0861894105956438E-2</c:v>
                </c:pt>
                <c:pt idx="4">
                  <c:v>6.0861894105956438E-2</c:v>
                </c:pt>
                <c:pt idx="5">
                  <c:v>6.0861894105956438E-2</c:v>
                </c:pt>
                <c:pt idx="6">
                  <c:v>6.0861894105956438E-2</c:v>
                </c:pt>
                <c:pt idx="7">
                  <c:v>6.0861894105956438E-2</c:v>
                </c:pt>
              </c:numCache>
            </c:numRef>
          </c:val>
          <c:extLst>
            <c:ext xmlns:c16="http://schemas.microsoft.com/office/drawing/2014/chart" uri="{C3380CC4-5D6E-409C-BE32-E72D297353CC}">
              <c16:uniqueId val="{0000000C-090A-4EAB-8C76-12AC4329A2AC}"/>
            </c:ext>
          </c:extLst>
        </c:ser>
        <c:ser>
          <c:idx val="4"/>
          <c:order val="4"/>
          <c:tx>
            <c:strRef>
              <c:f>RESULTADOS_INDUSTRIA!$T$14</c:f>
              <c:strCache>
                <c:ptCount val="1"/>
                <c:pt idx="0">
                  <c:v>Alimentos y bebidas</c:v>
                </c:pt>
              </c:strCache>
            </c:strRef>
          </c:tx>
          <c:spPr>
            <a:solidFill>
              <a:schemeClr val="accent2">
                <a:lumMod val="60000"/>
                <a:lumOff val="40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RESULTADOS_INDUSTRIA!$U$14:$AB$14</c:f>
              <c:numCache>
                <c:formatCode>0.00</c:formatCode>
                <c:ptCount val="8"/>
                <c:pt idx="0" formatCode="_(* #,##0.00_);_(* \(#,##0.00\);_(* &quot;-&quot;??_);_(@_)">
                  <c:v>0.74929474570938903</c:v>
                </c:pt>
                <c:pt idx="1">
                  <c:v>0.74929474570938903</c:v>
                </c:pt>
                <c:pt idx="2">
                  <c:v>0.86737000309390955</c:v>
                </c:pt>
                <c:pt idx="3">
                  <c:v>0.98657267182697761</c:v>
                </c:pt>
                <c:pt idx="4">
                  <c:v>0.98657267182697761</c:v>
                </c:pt>
                <c:pt idx="5">
                  <c:v>0.98657267182697761</c:v>
                </c:pt>
                <c:pt idx="6">
                  <c:v>0.98657267182697761</c:v>
                </c:pt>
                <c:pt idx="7">
                  <c:v>0.98657267182697761</c:v>
                </c:pt>
              </c:numCache>
            </c:numRef>
          </c:val>
          <c:extLst>
            <c:ext xmlns:c16="http://schemas.microsoft.com/office/drawing/2014/chart" uri="{C3380CC4-5D6E-409C-BE32-E72D297353CC}">
              <c16:uniqueId val="{0000000B-090A-4EAB-8C76-12AC4329A2AC}"/>
            </c:ext>
          </c:extLst>
        </c:ser>
        <c:ser>
          <c:idx val="3"/>
          <c:order val="5"/>
          <c:tx>
            <c:strRef>
              <c:f>RESULTADOS_INDUSTRIA!$T$13</c:f>
              <c:strCache>
                <c:ptCount val="1"/>
                <c:pt idx="0">
                  <c:v>Químicos</c:v>
                </c:pt>
              </c:strCache>
            </c:strRef>
          </c:tx>
          <c:spPr>
            <a:solidFill>
              <a:srgbClr val="C00000"/>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RESULTADOS_INDUSTRIA!$U$13:$AB$13</c:f>
              <c:numCache>
                <c:formatCode>0.00</c:formatCode>
                <c:ptCount val="8"/>
                <c:pt idx="0" formatCode="_(* #,##0.00_);_(* \(#,##0.00\);_(* &quot;-&quot;??_);_(@_)">
                  <c:v>0.103682178046165</c:v>
                </c:pt>
                <c:pt idx="1">
                  <c:v>0.10445398362792072</c:v>
                </c:pt>
                <c:pt idx="2">
                  <c:v>0.11880124311067528</c:v>
                </c:pt>
                <c:pt idx="3">
                  <c:v>0.13377070034086194</c:v>
                </c:pt>
                <c:pt idx="4">
                  <c:v>0.13377070034086194</c:v>
                </c:pt>
                <c:pt idx="5">
                  <c:v>0.13377070034086194</c:v>
                </c:pt>
                <c:pt idx="6">
                  <c:v>0.13377070034086194</c:v>
                </c:pt>
                <c:pt idx="7">
                  <c:v>0.13377070034086194</c:v>
                </c:pt>
              </c:numCache>
            </c:numRef>
          </c:val>
          <c:extLst>
            <c:ext xmlns:c16="http://schemas.microsoft.com/office/drawing/2014/chart" uri="{C3380CC4-5D6E-409C-BE32-E72D297353CC}">
              <c16:uniqueId val="{0000000A-090A-4EAB-8C76-12AC4329A2AC}"/>
            </c:ext>
          </c:extLst>
        </c:ser>
        <c:ser>
          <c:idx val="2"/>
          <c:order val="6"/>
          <c:tx>
            <c:strRef>
              <c:f>RESULTADOS_INDUSTRIA!$T$12</c:f>
              <c:strCache>
                <c:ptCount val="1"/>
                <c:pt idx="0">
                  <c:v>Papel</c:v>
                </c:pt>
              </c:strCache>
            </c:strRef>
          </c:tx>
          <c:spPr>
            <a:solidFill>
              <a:schemeClr val="accent5"/>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RESULTADOS_INDUSTRIA!$U$12:$AB$12</c:f>
              <c:numCache>
                <c:formatCode>0.00</c:formatCode>
                <c:ptCount val="8"/>
                <c:pt idx="0" formatCode="_(* #,##0.00_);_(* \(#,##0.00\);_(* &quot;-&quot;??_);_(@_)">
                  <c:v>0.12907632565804764</c:v>
                </c:pt>
                <c:pt idx="1">
                  <c:v>0.12907632565804764</c:v>
                </c:pt>
                <c:pt idx="2">
                  <c:v>0.15163756220187111</c:v>
                </c:pt>
                <c:pt idx="3">
                  <c:v>0.1747793544221066</c:v>
                </c:pt>
                <c:pt idx="4">
                  <c:v>0.1747793544221066</c:v>
                </c:pt>
                <c:pt idx="5">
                  <c:v>0.1747793544221066</c:v>
                </c:pt>
                <c:pt idx="6">
                  <c:v>0.1747793544221066</c:v>
                </c:pt>
                <c:pt idx="7">
                  <c:v>0.1747793544221066</c:v>
                </c:pt>
              </c:numCache>
            </c:numRef>
          </c:val>
          <c:extLst>
            <c:ext xmlns:c16="http://schemas.microsoft.com/office/drawing/2014/chart" uri="{C3380CC4-5D6E-409C-BE32-E72D297353CC}">
              <c16:uniqueId val="{00000009-090A-4EAB-8C76-12AC4329A2AC}"/>
            </c:ext>
          </c:extLst>
        </c:ser>
        <c:ser>
          <c:idx val="1"/>
          <c:order val="7"/>
          <c:tx>
            <c:strRef>
              <c:f>RESULTADOS_INDUSTRIA!$T$11</c:f>
              <c:strCache>
                <c:ptCount val="1"/>
                <c:pt idx="0">
                  <c:v>Hierro y no ferrosos</c:v>
                </c:pt>
              </c:strCache>
            </c:strRef>
          </c:tx>
          <c:spPr>
            <a:solidFill>
              <a:schemeClr val="accent4">
                <a:lumMod val="40000"/>
                <a:lumOff val="60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RESULTADOS_INDUSTRIA!$U$11:$AB$11</c:f>
              <c:numCache>
                <c:formatCode>_(* #,##0.00_);_(* \(#,##0.00\);_(* "-"??_);_(@_)</c:formatCode>
                <c:ptCount val="8"/>
                <c:pt idx="0">
                  <c:v>0.36746979256062651</c:v>
                </c:pt>
                <c:pt idx="1">
                  <c:v>0.39081097742740806</c:v>
                </c:pt>
                <c:pt idx="2">
                  <c:v>0.47804145601245662</c:v>
                </c:pt>
                <c:pt idx="3">
                  <c:v>0.57716251435725996</c:v>
                </c:pt>
                <c:pt idx="4">
                  <c:v>1.8181805277828991</c:v>
                </c:pt>
                <c:pt idx="5">
                  <c:v>1.8181805277828991</c:v>
                </c:pt>
                <c:pt idx="6">
                  <c:v>1.8181805277828991</c:v>
                </c:pt>
                <c:pt idx="7">
                  <c:v>1.8181805277828991</c:v>
                </c:pt>
              </c:numCache>
            </c:numRef>
          </c:val>
          <c:extLst>
            <c:ext xmlns:c16="http://schemas.microsoft.com/office/drawing/2014/chart" uri="{C3380CC4-5D6E-409C-BE32-E72D297353CC}">
              <c16:uniqueId val="{00000008-090A-4EAB-8C76-12AC4329A2AC}"/>
            </c:ext>
          </c:extLst>
        </c:ser>
        <c:ser>
          <c:idx val="0"/>
          <c:order val="8"/>
          <c:tx>
            <c:strRef>
              <c:f>RESULTADOS_INDUSTRIA!$T$10</c:f>
              <c:strCache>
                <c:ptCount val="1"/>
                <c:pt idx="0">
                  <c:v>Cemento </c:v>
                </c:pt>
              </c:strCache>
            </c:strRef>
          </c:tx>
          <c:spPr>
            <a:solidFill>
              <a:schemeClr val="bg1">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RESULTADOS_INDUSTRIA!$U$10:$AB$10</c:f>
              <c:numCache>
                <c:formatCode>_(* #,##0.00_);_(* \(#,##0.00\);_(* "-"??_);_(@_)</c:formatCode>
                <c:ptCount val="8"/>
                <c:pt idx="0">
                  <c:v>0.80410809561800356</c:v>
                </c:pt>
                <c:pt idx="1">
                  <c:v>0.85126761644079341</c:v>
                </c:pt>
                <c:pt idx="2">
                  <c:v>1.0617459712244595</c:v>
                </c:pt>
                <c:pt idx="3">
                  <c:v>1.3207772702283573</c:v>
                </c:pt>
                <c:pt idx="4">
                  <c:v>1.3207772702283573</c:v>
                </c:pt>
                <c:pt idx="5">
                  <c:v>1.3207772702283573</c:v>
                </c:pt>
                <c:pt idx="6">
                  <c:v>1.3207772702283573</c:v>
                </c:pt>
                <c:pt idx="7">
                  <c:v>1.3207772702283573</c:v>
                </c:pt>
              </c:numCache>
            </c:numRef>
          </c:val>
          <c:extLst>
            <c:ext xmlns:c16="http://schemas.microsoft.com/office/drawing/2014/chart" uri="{C3380CC4-5D6E-409C-BE32-E72D297353CC}">
              <c16:uniqueId val="{00000003-3DA5-4D98-8853-BD9B02C5F163}"/>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693296256078157"/>
          <c:y val="0.18331358847683313"/>
          <c:w val="0.11926447908546738"/>
          <c:h val="0.6256033178623251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RESULTADOS_INDUSTRIA!$T$30</c:f>
              <c:strCache>
                <c:ptCount val="1"/>
                <c:pt idx="0">
                  <c:v>Cemento </c:v>
                </c:pt>
              </c:strCache>
            </c:strRef>
          </c:tx>
          <c:spPr>
            <a:solidFill>
              <a:schemeClr val="bg1">
                <a:lumMod val="50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RESULTADOS_INDUSTRIA!$U$30:$AB$30</c:f>
              <c:numCache>
                <c:formatCode>_(* #,##0.00_);_(* \(#,##0.00\);_(* "-"??_);_(@_)</c:formatCode>
                <c:ptCount val="8"/>
                <c:pt idx="0">
                  <c:v>1.4945606254440957</c:v>
                </c:pt>
                <c:pt idx="1">
                  <c:v>1.4945606254440957</c:v>
                </c:pt>
                <c:pt idx="2">
                  <c:v>1.7389323866816011</c:v>
                </c:pt>
                <c:pt idx="3">
                  <c:v>1.9899110645150535</c:v>
                </c:pt>
                <c:pt idx="4">
                  <c:v>1.9899110645150535</c:v>
                </c:pt>
                <c:pt idx="5">
                  <c:v>1.9899110645150535</c:v>
                </c:pt>
                <c:pt idx="6">
                  <c:v>1.9899110645150535</c:v>
                </c:pt>
                <c:pt idx="7">
                  <c:v>1.9899110645150535</c:v>
                </c:pt>
              </c:numCache>
            </c:numRef>
          </c:val>
          <c:extLst>
            <c:ext xmlns:c16="http://schemas.microsoft.com/office/drawing/2014/chart" uri="{C3380CC4-5D6E-409C-BE32-E72D297353CC}">
              <c16:uniqueId val="{00000000-0289-4101-A5C5-ABFFD8B85AFC}"/>
            </c:ext>
          </c:extLst>
        </c:ser>
        <c:ser>
          <c:idx val="1"/>
          <c:order val="1"/>
          <c:tx>
            <c:strRef>
              <c:f>RESULTADOS_INDUSTRIA!$T$31</c:f>
              <c:strCache>
                <c:ptCount val="1"/>
                <c:pt idx="0">
                  <c:v>Hierro y no ferrosos</c:v>
                </c:pt>
              </c:strCache>
            </c:strRef>
          </c:tx>
          <c:spPr>
            <a:solidFill>
              <a:srgbClr val="00B0F0"/>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RESULTADOS_INDUSTRIA!$U$31:$AB$31</c:f>
              <c:numCache>
                <c:formatCode>0.00</c:formatCode>
                <c:ptCount val="8"/>
                <c:pt idx="0">
                  <c:v>0.547574596020589</c:v>
                </c:pt>
                <c:pt idx="1">
                  <c:v>0.547574596020589</c:v>
                </c:pt>
                <c:pt idx="2">
                  <c:v>0.63175855038270867</c:v>
                </c:pt>
                <c:pt idx="3">
                  <c:v>0.71633432269545994</c:v>
                </c:pt>
                <c:pt idx="4">
                  <c:v>0.71633432269545994</c:v>
                </c:pt>
                <c:pt idx="5">
                  <c:v>0.71633432269545994</c:v>
                </c:pt>
                <c:pt idx="6">
                  <c:v>0.71633432269545994</c:v>
                </c:pt>
                <c:pt idx="7">
                  <c:v>0.71633432269545994</c:v>
                </c:pt>
              </c:numCache>
            </c:numRef>
          </c:val>
          <c:extLst>
            <c:ext xmlns:c16="http://schemas.microsoft.com/office/drawing/2014/chart" uri="{C3380CC4-5D6E-409C-BE32-E72D297353CC}">
              <c16:uniqueId val="{00000001-0289-4101-A5C5-ABFFD8B85AFC}"/>
            </c:ext>
          </c:extLst>
        </c:ser>
        <c:ser>
          <c:idx val="2"/>
          <c:order val="2"/>
          <c:tx>
            <c:strRef>
              <c:f>RESULTADOS_INDUSTRIA!$T$32</c:f>
              <c:strCache>
                <c:ptCount val="1"/>
                <c:pt idx="0">
                  <c:v>Papel</c:v>
                </c:pt>
              </c:strCache>
            </c:strRef>
          </c:tx>
          <c:spPr>
            <a:solidFill>
              <a:schemeClr val="accent4">
                <a:lumMod val="60000"/>
                <a:lumOff val="40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RESULTADOS_INDUSTRIA!$U$32:$AB$32</c:f>
              <c:numCache>
                <c:formatCode>0.00</c:formatCode>
                <c:ptCount val="8"/>
                <c:pt idx="0">
                  <c:v>0.57521893006349556</c:v>
                </c:pt>
                <c:pt idx="1">
                  <c:v>0.57521893006349556</c:v>
                </c:pt>
                <c:pt idx="2">
                  <c:v>0.67267248055894258</c:v>
                </c:pt>
                <c:pt idx="3">
                  <c:v>0.77263374874161572</c:v>
                </c:pt>
                <c:pt idx="4">
                  <c:v>0.77263374874161572</c:v>
                </c:pt>
                <c:pt idx="5">
                  <c:v>0.77263374874161572</c:v>
                </c:pt>
                <c:pt idx="6">
                  <c:v>0.77263374874161572</c:v>
                </c:pt>
                <c:pt idx="7">
                  <c:v>0.77263374874161572</c:v>
                </c:pt>
              </c:numCache>
            </c:numRef>
          </c:val>
          <c:extLst>
            <c:ext xmlns:c16="http://schemas.microsoft.com/office/drawing/2014/chart" uri="{C3380CC4-5D6E-409C-BE32-E72D297353CC}">
              <c16:uniqueId val="{00000002-0289-4101-A5C5-ABFFD8B85AFC}"/>
            </c:ext>
          </c:extLst>
        </c:ser>
        <c:ser>
          <c:idx val="3"/>
          <c:order val="3"/>
          <c:tx>
            <c:strRef>
              <c:f>RESULTADOS_INDUSTRIA!$T$33</c:f>
              <c:strCache>
                <c:ptCount val="1"/>
                <c:pt idx="0">
                  <c:v>Químicos</c:v>
                </c:pt>
              </c:strCache>
            </c:strRef>
          </c:tx>
          <c:spPr>
            <a:solidFill>
              <a:srgbClr val="A17FD3"/>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RESULTADOS_INDUSTRIA!$U$33:$AB$33</c:f>
              <c:numCache>
                <c:formatCode>0.00</c:formatCode>
                <c:ptCount val="8"/>
                <c:pt idx="0">
                  <c:v>0.56116476052312847</c:v>
                </c:pt>
                <c:pt idx="1">
                  <c:v>0.56116476052312847</c:v>
                </c:pt>
                <c:pt idx="2">
                  <c:v>0.64678189479005765</c:v>
                </c:pt>
                <c:pt idx="3">
                  <c:v>0.73355885287863931</c:v>
                </c:pt>
                <c:pt idx="4">
                  <c:v>0.73355885287863931</c:v>
                </c:pt>
                <c:pt idx="5">
                  <c:v>0.73355885287863931</c:v>
                </c:pt>
                <c:pt idx="6">
                  <c:v>0.73355885287863931</c:v>
                </c:pt>
                <c:pt idx="7">
                  <c:v>0.73355885287863931</c:v>
                </c:pt>
              </c:numCache>
            </c:numRef>
          </c:val>
          <c:extLst>
            <c:ext xmlns:c16="http://schemas.microsoft.com/office/drawing/2014/chart" uri="{C3380CC4-5D6E-409C-BE32-E72D297353CC}">
              <c16:uniqueId val="{00000003-0289-4101-A5C5-ABFFD8B85AFC}"/>
            </c:ext>
          </c:extLst>
        </c:ser>
        <c:ser>
          <c:idx val="4"/>
          <c:order val="4"/>
          <c:tx>
            <c:strRef>
              <c:f>RESULTADOS_INDUSTRIA!$T$34</c:f>
              <c:strCache>
                <c:ptCount val="1"/>
                <c:pt idx="0">
                  <c:v>Alimentos y bebidas</c:v>
                </c:pt>
              </c:strCache>
            </c:strRef>
          </c:tx>
          <c:spPr>
            <a:solidFill>
              <a:srgbClr val="FFCCFF"/>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RESULTADOS_INDUSTRIA!$U$34:$AB$34</c:f>
              <c:numCache>
                <c:formatCode>0.00</c:formatCode>
                <c:ptCount val="8"/>
                <c:pt idx="0">
                  <c:v>2.3620286504882539</c:v>
                </c:pt>
                <c:pt idx="1">
                  <c:v>2.3620286504882539</c:v>
                </c:pt>
                <c:pt idx="2">
                  <c:v>2.7325520283896263</c:v>
                </c:pt>
                <c:pt idx="3">
                  <c:v>3.1066132538502695</c:v>
                </c:pt>
                <c:pt idx="4">
                  <c:v>3.1066132538502695</c:v>
                </c:pt>
                <c:pt idx="5">
                  <c:v>3.1066132538502695</c:v>
                </c:pt>
                <c:pt idx="6">
                  <c:v>3.1066132538502695</c:v>
                </c:pt>
                <c:pt idx="7">
                  <c:v>3.1066132538502695</c:v>
                </c:pt>
              </c:numCache>
            </c:numRef>
          </c:val>
          <c:extLst>
            <c:ext xmlns:c16="http://schemas.microsoft.com/office/drawing/2014/chart" uri="{C3380CC4-5D6E-409C-BE32-E72D297353CC}">
              <c16:uniqueId val="{00000004-0289-4101-A5C5-ABFFD8B85AFC}"/>
            </c:ext>
          </c:extLst>
        </c:ser>
        <c:ser>
          <c:idx val="5"/>
          <c:order val="5"/>
          <c:tx>
            <c:strRef>
              <c:f>RESULTADOS_INDUSTRIA!$T$35</c:f>
              <c:strCache>
                <c:ptCount val="1"/>
                <c:pt idx="0">
                  <c:v>Textil</c:v>
                </c:pt>
              </c:strCache>
            </c:strRef>
          </c:tx>
          <c:spPr>
            <a:solidFill>
              <a:srgbClr val="FF7C80"/>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RESULTADOS_INDUSTRIA!$U$35:$AB$35</c:f>
              <c:numCache>
                <c:formatCode>0.00</c:formatCode>
                <c:ptCount val="8"/>
                <c:pt idx="0">
                  <c:v>0.25948427672007435</c:v>
                </c:pt>
                <c:pt idx="1">
                  <c:v>0.25948427672007435</c:v>
                </c:pt>
                <c:pt idx="2">
                  <c:v>0.29666220297161516</c:v>
                </c:pt>
                <c:pt idx="3">
                  <c:v>0.33291674229216472</c:v>
                </c:pt>
                <c:pt idx="4">
                  <c:v>0.33291674229216472</c:v>
                </c:pt>
                <c:pt idx="5">
                  <c:v>0.33291674229216472</c:v>
                </c:pt>
                <c:pt idx="6">
                  <c:v>0.33291674229216472</c:v>
                </c:pt>
                <c:pt idx="7">
                  <c:v>0.33291674229216472</c:v>
                </c:pt>
              </c:numCache>
            </c:numRef>
          </c:val>
          <c:extLst>
            <c:ext xmlns:c16="http://schemas.microsoft.com/office/drawing/2014/chart" uri="{C3380CC4-5D6E-409C-BE32-E72D297353CC}">
              <c16:uniqueId val="{00000005-0289-4101-A5C5-ABFFD8B85AFC}"/>
            </c:ext>
          </c:extLst>
        </c:ser>
        <c:ser>
          <c:idx val="6"/>
          <c:order val="6"/>
          <c:tx>
            <c:strRef>
              <c:f>RESULTADOS_INDUSTRIA!$T$36</c:f>
              <c:strCache>
                <c:ptCount val="1"/>
                <c:pt idx="0">
                  <c:v>Ladrilleras</c:v>
                </c:pt>
              </c:strCache>
            </c:strRef>
          </c:tx>
          <c:spPr>
            <a:solidFill>
              <a:schemeClr val="accent2">
                <a:lumMod val="75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RESULTADOS_INDUSTRIA!$U$36:$AB$36</c:f>
              <c:numCache>
                <c:formatCode>0.00</c:formatCode>
                <c:ptCount val="8"/>
                <c:pt idx="0">
                  <c:v>0.94779078838012809</c:v>
                </c:pt>
                <c:pt idx="1">
                  <c:v>0.94779078838012809</c:v>
                </c:pt>
                <c:pt idx="2">
                  <c:v>1.2156351028883881</c:v>
                </c:pt>
                <c:pt idx="3">
                  <c:v>1.4305502261491274</c:v>
                </c:pt>
                <c:pt idx="4">
                  <c:v>1.4305502261491274</c:v>
                </c:pt>
                <c:pt idx="5">
                  <c:v>1.4305502261491274</c:v>
                </c:pt>
                <c:pt idx="6">
                  <c:v>1.4305502261491274</c:v>
                </c:pt>
                <c:pt idx="7">
                  <c:v>1.4305502261491274</c:v>
                </c:pt>
              </c:numCache>
            </c:numRef>
          </c:val>
          <c:extLst>
            <c:ext xmlns:c16="http://schemas.microsoft.com/office/drawing/2014/chart" uri="{C3380CC4-5D6E-409C-BE32-E72D297353CC}">
              <c16:uniqueId val="{00000006-0289-4101-A5C5-ABFFD8B85AFC}"/>
            </c:ext>
          </c:extLst>
        </c:ser>
        <c:ser>
          <c:idx val="7"/>
          <c:order val="7"/>
          <c:tx>
            <c:strRef>
              <c:f>RESULTADOS_INDUSTRIA!$T$37</c:f>
              <c:strCache>
                <c:ptCount val="1"/>
                <c:pt idx="0">
                  <c:v>Otros</c:v>
                </c:pt>
              </c:strCache>
            </c:strRef>
          </c:tx>
          <c:spPr>
            <a:solidFill>
              <a:schemeClr val="accent4"/>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RESULTADOS_INDUSTRIA!$U$37:$AB$37</c:f>
              <c:numCache>
                <c:formatCode>0.00</c:formatCode>
                <c:ptCount val="8"/>
                <c:pt idx="0">
                  <c:v>2.2435549127588293E-2</c:v>
                </c:pt>
                <c:pt idx="1">
                  <c:v>2.2435549127588293E-2</c:v>
                </c:pt>
                <c:pt idx="2">
                  <c:v>2.595528184384922E-2</c:v>
                </c:pt>
                <c:pt idx="3">
                  <c:v>2.9467387904421279E-2</c:v>
                </c:pt>
                <c:pt idx="4">
                  <c:v>2.9467387904421279E-2</c:v>
                </c:pt>
                <c:pt idx="5">
                  <c:v>2.9467387904421279E-2</c:v>
                </c:pt>
                <c:pt idx="6">
                  <c:v>2.9467387904421279E-2</c:v>
                </c:pt>
                <c:pt idx="7">
                  <c:v>2.9467387904421279E-2</c:v>
                </c:pt>
              </c:numCache>
            </c:numRef>
          </c:val>
          <c:extLst>
            <c:ext xmlns:c16="http://schemas.microsoft.com/office/drawing/2014/chart" uri="{C3380CC4-5D6E-409C-BE32-E72D297353CC}">
              <c16:uniqueId val="{00000007-0289-4101-A5C5-ABFFD8B85AFC}"/>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69315961190215"/>
          <c:y val="0.19725456668893845"/>
          <c:w val="0.11917209210088722"/>
          <c:h val="0.562579576778615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RESULTADOS_INDUSTRIA!$T$50</c:f>
              <c:strCache>
                <c:ptCount val="1"/>
                <c:pt idx="0">
                  <c:v>Bagazo</c:v>
                </c:pt>
              </c:strCache>
            </c:strRef>
          </c:tx>
          <c:spPr>
            <a:solidFill>
              <a:schemeClr val="accent1"/>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RESULTADOS_INDUSTRIA!$U$50:$AB$50</c:f>
              <c:numCache>
                <c:formatCode>_(* #,##0.00_);_(* \(#,##0.00\);_(* "-"??_);_(@_)</c:formatCode>
                <c:ptCount val="8"/>
                <c:pt idx="0">
                  <c:v>0.74246093042497097</c:v>
                </c:pt>
                <c:pt idx="1">
                  <c:v>0.74303205967541519</c:v>
                </c:pt>
                <c:pt idx="2">
                  <c:v>0.94684018031369432</c:v>
                </c:pt>
                <c:pt idx="3">
                  <c:v>1.1492919459223421</c:v>
                </c:pt>
                <c:pt idx="4">
                  <c:v>1.149502812194259</c:v>
                </c:pt>
                <c:pt idx="5">
                  <c:v>1.1497134074330506</c:v>
                </c:pt>
                <c:pt idx="6">
                  <c:v>1.1499237319870845</c:v>
                </c:pt>
                <c:pt idx="7">
                  <c:v>1.1501337862042809</c:v>
                </c:pt>
              </c:numCache>
            </c:numRef>
          </c:val>
          <c:extLst>
            <c:ext xmlns:c16="http://schemas.microsoft.com/office/drawing/2014/chart" uri="{C3380CC4-5D6E-409C-BE32-E72D297353CC}">
              <c16:uniqueId val="{00000008-92C9-4DE0-A379-750CC50C4721}"/>
            </c:ext>
          </c:extLst>
        </c:ser>
        <c:ser>
          <c:idx val="1"/>
          <c:order val="1"/>
          <c:tx>
            <c:strRef>
              <c:f>RESULTADOS_INDUSTRIA!$T$51</c:f>
              <c:strCache>
                <c:ptCount val="1"/>
                <c:pt idx="0">
                  <c:v>Carbón mineral</c:v>
                </c:pt>
              </c:strCache>
            </c:strRef>
          </c:tx>
          <c:spPr>
            <a:solidFill>
              <a:schemeClr val="accent2"/>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RESULTADOS_INDUSTRIA!$U$51:$AB$51</c:f>
              <c:numCache>
                <c:formatCode>0.00</c:formatCode>
                <c:ptCount val="8"/>
                <c:pt idx="0">
                  <c:v>2.9678592853414019</c:v>
                </c:pt>
                <c:pt idx="1">
                  <c:v>2.9678592853414019</c:v>
                </c:pt>
                <c:pt idx="2">
                  <c:v>3.5323114638621034</c:v>
                </c:pt>
                <c:pt idx="3">
                  <c:v>4.060843403949713</c:v>
                </c:pt>
                <c:pt idx="4">
                  <c:v>4.060843403949713</c:v>
                </c:pt>
                <c:pt idx="5">
                  <c:v>4.060843403949713</c:v>
                </c:pt>
                <c:pt idx="6">
                  <c:v>4.060843403949713</c:v>
                </c:pt>
                <c:pt idx="7">
                  <c:v>4.060843403949713</c:v>
                </c:pt>
              </c:numCache>
            </c:numRef>
          </c:val>
          <c:extLst>
            <c:ext xmlns:c16="http://schemas.microsoft.com/office/drawing/2014/chart" uri="{C3380CC4-5D6E-409C-BE32-E72D297353CC}">
              <c16:uniqueId val="{00000009-92C9-4DE0-A379-750CC50C4721}"/>
            </c:ext>
          </c:extLst>
        </c:ser>
        <c:ser>
          <c:idx val="2"/>
          <c:order val="2"/>
          <c:tx>
            <c:strRef>
              <c:f>RESULTADOS_INDUSTRIA!$T$52</c:f>
              <c:strCache>
                <c:ptCount val="1"/>
                <c:pt idx="0">
                  <c:v>Gas natural</c:v>
                </c:pt>
              </c:strCache>
            </c:strRef>
          </c:tx>
          <c:spPr>
            <a:solidFill>
              <a:schemeClr val="accent3"/>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RESULTADOS_INDUSTRIA!$U$52:$AB$52</c:f>
              <c:numCache>
                <c:formatCode>0.00</c:formatCode>
                <c:ptCount val="8"/>
                <c:pt idx="0">
                  <c:v>1.3242476867703259</c:v>
                </c:pt>
                <c:pt idx="1">
                  <c:v>1.3242476867703259</c:v>
                </c:pt>
                <c:pt idx="2">
                  <c:v>1.5461771887129547</c:v>
                </c:pt>
                <c:pt idx="3">
                  <c:v>1.7667438739010923</c:v>
                </c:pt>
                <c:pt idx="4">
                  <c:v>1.7667438739010923</c:v>
                </c:pt>
                <c:pt idx="5">
                  <c:v>1.7667438739010923</c:v>
                </c:pt>
                <c:pt idx="6">
                  <c:v>1.7667438739010923</c:v>
                </c:pt>
                <c:pt idx="7">
                  <c:v>1.7667438739010923</c:v>
                </c:pt>
              </c:numCache>
            </c:numRef>
          </c:val>
          <c:extLst>
            <c:ext xmlns:c16="http://schemas.microsoft.com/office/drawing/2014/chart" uri="{C3380CC4-5D6E-409C-BE32-E72D297353CC}">
              <c16:uniqueId val="{0000000A-92C9-4DE0-A379-750CC50C4721}"/>
            </c:ext>
          </c:extLst>
        </c:ser>
        <c:ser>
          <c:idx val="3"/>
          <c:order val="3"/>
          <c:tx>
            <c:strRef>
              <c:f>RESULTADOS_INDUSTRIA!$T$53</c:f>
              <c:strCache>
                <c:ptCount val="1"/>
                <c:pt idx="0">
                  <c:v>Leña</c:v>
                </c:pt>
              </c:strCache>
            </c:strRef>
          </c:tx>
          <c:spPr>
            <a:solidFill>
              <a:schemeClr val="accent4"/>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RESULTADOS_INDUSTRIA!$U$53:$AB$53</c:f>
              <c:numCache>
                <c:formatCode>0.00</c:formatCode>
                <c:ptCount val="8"/>
                <c:pt idx="0">
                  <c:v>5.7425946232148384E-3</c:v>
                </c:pt>
                <c:pt idx="1">
                  <c:v>5.7425946232148384E-3</c:v>
                </c:pt>
                <c:pt idx="2">
                  <c:v>6.7557628006882668E-3</c:v>
                </c:pt>
                <c:pt idx="3">
                  <c:v>7.7485771141952275E-3</c:v>
                </c:pt>
                <c:pt idx="4">
                  <c:v>7.7485771141952275E-3</c:v>
                </c:pt>
                <c:pt idx="5">
                  <c:v>7.7485771141952275E-3</c:v>
                </c:pt>
                <c:pt idx="6">
                  <c:v>7.7485771141952275E-3</c:v>
                </c:pt>
                <c:pt idx="7">
                  <c:v>7.7485771141952275E-3</c:v>
                </c:pt>
              </c:numCache>
            </c:numRef>
          </c:val>
          <c:extLst>
            <c:ext xmlns:c16="http://schemas.microsoft.com/office/drawing/2014/chart" uri="{C3380CC4-5D6E-409C-BE32-E72D297353CC}">
              <c16:uniqueId val="{0000000B-92C9-4DE0-A379-750CC50C4721}"/>
            </c:ext>
          </c:extLst>
        </c:ser>
        <c:ser>
          <c:idx val="4"/>
          <c:order val="4"/>
          <c:tx>
            <c:strRef>
              <c:f>RESULTADOS_INDUSTRIA!$T$54</c:f>
              <c:strCache>
                <c:ptCount val="1"/>
                <c:pt idx="0">
                  <c:v>Petróleo</c:v>
                </c:pt>
              </c:strCache>
            </c:strRef>
          </c:tx>
          <c:spPr>
            <a:solidFill>
              <a:schemeClr val="accent5"/>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RESULTADOS_INDUSTRIA!$U$54:$AB$54</c:f>
              <c:numCache>
                <c:formatCode>0.00</c:formatCode>
                <c:ptCount val="8"/>
                <c:pt idx="0">
                  <c:v>1.8935426146883107E-3</c:v>
                </c:pt>
                <c:pt idx="1">
                  <c:v>1.8935426146883107E-3</c:v>
                </c:pt>
                <c:pt idx="2">
                  <c:v>2.1840648529522525E-3</c:v>
                </c:pt>
                <c:pt idx="3">
                  <c:v>2.4791418968138248E-3</c:v>
                </c:pt>
                <c:pt idx="4">
                  <c:v>2.4791418968138248E-3</c:v>
                </c:pt>
                <c:pt idx="5">
                  <c:v>2.4791418968138248E-3</c:v>
                </c:pt>
                <c:pt idx="6">
                  <c:v>2.4791418968138248E-3</c:v>
                </c:pt>
                <c:pt idx="7">
                  <c:v>2.4791418968138248E-3</c:v>
                </c:pt>
              </c:numCache>
            </c:numRef>
          </c:val>
          <c:extLst>
            <c:ext xmlns:c16="http://schemas.microsoft.com/office/drawing/2014/chart" uri="{C3380CC4-5D6E-409C-BE32-E72D297353CC}">
              <c16:uniqueId val="{0000000C-92C9-4DE0-A379-750CC50C4721}"/>
            </c:ext>
          </c:extLst>
        </c:ser>
        <c:ser>
          <c:idx val="5"/>
          <c:order val="5"/>
          <c:tx>
            <c:strRef>
              <c:f>RESULTADOS_INDUSTRIA!$T$54</c:f>
              <c:strCache>
                <c:ptCount val="1"/>
                <c:pt idx="0">
                  <c:v>Petróleo</c:v>
                </c:pt>
              </c:strCache>
            </c:strRef>
          </c:tx>
          <c:spPr>
            <a:solidFill>
              <a:schemeClr val="accent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RESULTADOS_INDUSTRIA!$U$54:$AB$54</c:f>
              <c:numCache>
                <c:formatCode>0.00</c:formatCode>
                <c:ptCount val="8"/>
                <c:pt idx="0">
                  <c:v>1.8935426146883107E-3</c:v>
                </c:pt>
                <c:pt idx="1">
                  <c:v>1.8935426146883107E-3</c:v>
                </c:pt>
                <c:pt idx="2">
                  <c:v>2.1840648529522525E-3</c:v>
                </c:pt>
                <c:pt idx="3">
                  <c:v>2.4791418968138248E-3</c:v>
                </c:pt>
                <c:pt idx="4">
                  <c:v>2.4791418968138248E-3</c:v>
                </c:pt>
                <c:pt idx="5">
                  <c:v>2.4791418968138248E-3</c:v>
                </c:pt>
                <c:pt idx="6">
                  <c:v>2.4791418968138248E-3</c:v>
                </c:pt>
                <c:pt idx="7">
                  <c:v>2.4791418968138248E-3</c:v>
                </c:pt>
              </c:numCache>
            </c:numRef>
          </c:val>
          <c:extLst>
            <c:ext xmlns:c16="http://schemas.microsoft.com/office/drawing/2014/chart" uri="{C3380CC4-5D6E-409C-BE32-E72D297353CC}">
              <c16:uniqueId val="{0000000D-92C9-4DE0-A379-750CC50C4721}"/>
            </c:ext>
          </c:extLst>
        </c:ser>
        <c:ser>
          <c:idx val="6"/>
          <c:order val="6"/>
          <c:tx>
            <c:strRef>
              <c:f>RESULTADOS_INDUSTRIA!$T$55</c:f>
              <c:strCache>
                <c:ptCount val="1"/>
                <c:pt idx="0">
                  <c:v>Residuos</c:v>
                </c:pt>
              </c:strCache>
            </c:strRef>
          </c:tx>
          <c:spPr>
            <a:solidFill>
              <a:srgbClr val="FF7C8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RESULTADOS_INDUSTRIA!$U$55:$AB$55</c:f>
              <c:numCache>
                <c:formatCode>0.00</c:formatCode>
                <c:ptCount val="8"/>
                <c:pt idx="0">
                  <c:v>6.6384558932856039E-2</c:v>
                </c:pt>
                <c:pt idx="1">
                  <c:v>6.6384558932856039E-2</c:v>
                </c:pt>
                <c:pt idx="2">
                  <c:v>8.3774779479416694E-2</c:v>
                </c:pt>
                <c:pt idx="3">
                  <c:v>9.8059826526205401E-2</c:v>
                </c:pt>
                <c:pt idx="4">
                  <c:v>9.8059826526205401E-2</c:v>
                </c:pt>
                <c:pt idx="5">
                  <c:v>9.8059826526205401E-2</c:v>
                </c:pt>
                <c:pt idx="6">
                  <c:v>9.8059826526205401E-2</c:v>
                </c:pt>
                <c:pt idx="7">
                  <c:v>9.8059826526205401E-2</c:v>
                </c:pt>
              </c:numCache>
            </c:numRef>
          </c:val>
          <c:extLst>
            <c:ext xmlns:c16="http://schemas.microsoft.com/office/drawing/2014/chart" uri="{C3380CC4-5D6E-409C-BE32-E72D297353CC}">
              <c16:uniqueId val="{0000000E-92C9-4DE0-A379-750CC50C4721}"/>
            </c:ext>
          </c:extLst>
        </c:ser>
        <c:ser>
          <c:idx val="7"/>
          <c:order val="7"/>
          <c:tx>
            <c:strRef>
              <c:f>RESULTADOS_INDUSTRIA!$T$56</c:f>
              <c:strCache>
                <c:ptCount val="1"/>
                <c:pt idx="0">
                  <c:v>Gasolina</c:v>
                </c:pt>
              </c:strCache>
            </c:strRef>
          </c:tx>
          <c:spPr>
            <a:solidFill>
              <a:srgbClr val="FA927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RESULTADOS_INDUSTRIA!$U$56:$AB$56</c:f>
              <c:numCache>
                <c:formatCode>0.00</c:formatCode>
                <c:ptCount val="8"/>
                <c:pt idx="0">
                  <c:v>3.4012841742838877E-3</c:v>
                </c:pt>
                <c:pt idx="1">
                  <c:v>3.4012841742838877E-3</c:v>
                </c:pt>
                <c:pt idx="2">
                  <c:v>3.9178469702047464E-3</c:v>
                </c:pt>
                <c:pt idx="3">
                  <c:v>4.4411586881671541E-3</c:v>
                </c:pt>
                <c:pt idx="4">
                  <c:v>4.4411586881671541E-3</c:v>
                </c:pt>
                <c:pt idx="5">
                  <c:v>4.4411586881671541E-3</c:v>
                </c:pt>
                <c:pt idx="6">
                  <c:v>4.4411586881671541E-3</c:v>
                </c:pt>
                <c:pt idx="7">
                  <c:v>4.4411586881671541E-3</c:v>
                </c:pt>
              </c:numCache>
            </c:numRef>
          </c:val>
          <c:extLst>
            <c:ext xmlns:c16="http://schemas.microsoft.com/office/drawing/2014/chart" uri="{C3380CC4-5D6E-409C-BE32-E72D297353CC}">
              <c16:uniqueId val="{0000000F-92C9-4DE0-A379-750CC50C4721}"/>
            </c:ext>
          </c:extLst>
        </c:ser>
        <c:ser>
          <c:idx val="8"/>
          <c:order val="8"/>
          <c:tx>
            <c:strRef>
              <c:f>RESULTADOS_INDUSTRIA!$T$57</c:f>
              <c:strCache>
                <c:ptCount val="1"/>
                <c:pt idx="0">
                  <c:v>Diésel</c:v>
                </c:pt>
              </c:strCache>
            </c:strRef>
          </c:tx>
          <c:spPr>
            <a:solidFill>
              <a:srgbClr val="7B4BC1"/>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RESULTADOS_INDUSTRIA!$U$57:$AB$57</c:f>
              <c:numCache>
                <c:formatCode>0.00</c:formatCode>
                <c:ptCount val="8"/>
                <c:pt idx="0">
                  <c:v>5.4154731240435613E-2</c:v>
                </c:pt>
                <c:pt idx="1">
                  <c:v>5.4154731240435613E-2</c:v>
                </c:pt>
                <c:pt idx="2">
                  <c:v>6.3164018343519965E-2</c:v>
                </c:pt>
                <c:pt idx="3">
                  <c:v>7.2327049878170735E-2</c:v>
                </c:pt>
                <c:pt idx="4">
                  <c:v>7.2327049878170735E-2</c:v>
                </c:pt>
                <c:pt idx="5">
                  <c:v>7.2327049878170735E-2</c:v>
                </c:pt>
                <c:pt idx="6">
                  <c:v>7.2327049878170735E-2</c:v>
                </c:pt>
                <c:pt idx="7">
                  <c:v>7.2327049878170735E-2</c:v>
                </c:pt>
              </c:numCache>
            </c:numRef>
          </c:val>
          <c:extLst>
            <c:ext xmlns:c16="http://schemas.microsoft.com/office/drawing/2014/chart" uri="{C3380CC4-5D6E-409C-BE32-E72D297353CC}">
              <c16:uniqueId val="{00000010-92C9-4DE0-A379-750CC50C4721}"/>
            </c:ext>
          </c:extLst>
        </c:ser>
        <c:ser>
          <c:idx val="9"/>
          <c:order val="9"/>
          <c:tx>
            <c:strRef>
              <c:f>RESULTADOS_INDUSTRIA!$T$58</c:f>
              <c:strCache>
                <c:ptCount val="1"/>
                <c:pt idx="0">
                  <c:v>Carbón de leña</c:v>
                </c:pt>
              </c:strCache>
            </c:strRef>
          </c:tx>
          <c:spPr>
            <a:solidFill>
              <a:srgbClr val="99330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RESULTADOS_INDUSTRIA!$U$58:$AB$58</c:f>
              <c:numCache>
                <c:formatCode>0.00</c:formatCode>
                <c:ptCount val="8"/>
                <c:pt idx="0">
                  <c:v>3.2745827768498084E-4</c:v>
                </c:pt>
                <c:pt idx="1">
                  <c:v>3.2745827768498084E-4</c:v>
                </c:pt>
                <c:pt idx="2">
                  <c:v>3.7927419924242028E-4</c:v>
                </c:pt>
                <c:pt idx="3">
                  <c:v>4.3230434632727204E-4</c:v>
                </c:pt>
                <c:pt idx="4">
                  <c:v>4.3230434632727204E-4</c:v>
                </c:pt>
                <c:pt idx="5">
                  <c:v>4.3230434632727204E-4</c:v>
                </c:pt>
                <c:pt idx="6">
                  <c:v>4.3230434632727204E-4</c:v>
                </c:pt>
                <c:pt idx="7">
                  <c:v>4.3230434632727204E-4</c:v>
                </c:pt>
              </c:numCache>
            </c:numRef>
          </c:val>
          <c:extLst>
            <c:ext xmlns:c16="http://schemas.microsoft.com/office/drawing/2014/chart" uri="{C3380CC4-5D6E-409C-BE32-E72D297353CC}">
              <c16:uniqueId val="{00000011-92C9-4DE0-A379-750CC50C4721}"/>
            </c:ext>
          </c:extLst>
        </c:ser>
        <c:ser>
          <c:idx val="10"/>
          <c:order val="10"/>
          <c:tx>
            <c:strRef>
              <c:f>RESULTADOS_INDUSTRIA!$T$59</c:f>
              <c:strCache>
                <c:ptCount val="1"/>
                <c:pt idx="0">
                  <c:v>Coque</c:v>
                </c:pt>
              </c:strCache>
            </c:strRef>
          </c:tx>
          <c:spPr>
            <a:solidFill>
              <a:schemeClr val="bg1">
                <a:lumMod val="5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RESULTADOS_INDUSTRIA!$U$59:$AB$59</c:f>
              <c:numCache>
                <c:formatCode>0.00</c:formatCode>
                <c:ptCount val="8"/>
                <c:pt idx="0">
                  <c:v>6.2257033987857587E-3</c:v>
                </c:pt>
                <c:pt idx="1">
                  <c:v>6.2257033987857587E-3</c:v>
                </c:pt>
                <c:pt idx="2">
                  <c:v>7.206409873470189E-3</c:v>
                </c:pt>
                <c:pt idx="3">
                  <c:v>8.2090019179727608E-3</c:v>
                </c:pt>
                <c:pt idx="4">
                  <c:v>8.2090019179727608E-3</c:v>
                </c:pt>
                <c:pt idx="5">
                  <c:v>8.2090019179727608E-3</c:v>
                </c:pt>
                <c:pt idx="6">
                  <c:v>8.2090019179727608E-3</c:v>
                </c:pt>
                <c:pt idx="7">
                  <c:v>8.2090019179727608E-3</c:v>
                </c:pt>
              </c:numCache>
            </c:numRef>
          </c:val>
          <c:extLst>
            <c:ext xmlns:c16="http://schemas.microsoft.com/office/drawing/2014/chart" uri="{C3380CC4-5D6E-409C-BE32-E72D297353CC}">
              <c16:uniqueId val="{00000012-92C9-4DE0-A379-750CC50C4721}"/>
            </c:ext>
          </c:extLst>
        </c:ser>
        <c:ser>
          <c:idx val="11"/>
          <c:order val="11"/>
          <c:tx>
            <c:strRef>
              <c:f>RESULTADOS_INDUSTRIA!$T$60</c:f>
              <c:strCache>
                <c:ptCount val="1"/>
                <c:pt idx="0">
                  <c:v>Fuel Oíl</c:v>
                </c:pt>
              </c:strCache>
            </c:strRef>
          </c:tx>
          <c:spPr>
            <a:solidFill>
              <a:schemeClr val="accent4">
                <a:lumMod val="60000"/>
                <a:lumOff val="4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RESULTADOS_INDUSTRIA!$U$60:$AB$60</c:f>
              <c:numCache>
                <c:formatCode>0.00</c:formatCode>
                <c:ptCount val="8"/>
                <c:pt idx="0">
                  <c:v>8.5618454762176627E-3</c:v>
                </c:pt>
                <c:pt idx="1">
                  <c:v>8.5618454762176627E-3</c:v>
                </c:pt>
                <c:pt idx="2">
                  <c:v>9.9679769823530964E-3</c:v>
                </c:pt>
                <c:pt idx="3">
                  <c:v>1.1394699896138992E-2</c:v>
                </c:pt>
                <c:pt idx="4">
                  <c:v>1.1394699896138992E-2</c:v>
                </c:pt>
                <c:pt idx="5">
                  <c:v>1.1394699896138992E-2</c:v>
                </c:pt>
                <c:pt idx="6">
                  <c:v>1.1394699896138992E-2</c:v>
                </c:pt>
                <c:pt idx="7">
                  <c:v>1.1394699896138992E-2</c:v>
                </c:pt>
              </c:numCache>
            </c:numRef>
          </c:val>
          <c:extLst>
            <c:ext xmlns:c16="http://schemas.microsoft.com/office/drawing/2014/chart" uri="{C3380CC4-5D6E-409C-BE32-E72D297353CC}">
              <c16:uniqueId val="{00000013-92C9-4DE0-A379-750CC50C4721}"/>
            </c:ext>
          </c:extLst>
        </c:ser>
        <c:ser>
          <c:idx val="12"/>
          <c:order val="12"/>
          <c:tx>
            <c:strRef>
              <c:f>RESULTADOS_INDUSTRIA!$T$61</c:f>
              <c:strCache>
                <c:ptCount val="1"/>
                <c:pt idx="0">
                  <c:v>GLP</c:v>
                </c:pt>
              </c:strCache>
            </c:strRef>
          </c:tx>
          <c:spPr>
            <a:solidFill>
              <a:schemeClr val="accent2"/>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RESULTADOS_INDUSTRIA!$U$61:$AB$61</c:f>
              <c:numCache>
                <c:formatCode>0.00</c:formatCode>
                <c:ptCount val="8"/>
                <c:pt idx="0">
                  <c:v>1.7322703076441241E-2</c:v>
                </c:pt>
                <c:pt idx="1">
                  <c:v>1.7322703076441241E-2</c:v>
                </c:pt>
                <c:pt idx="2">
                  <c:v>1.9960626015659177E-2</c:v>
                </c:pt>
                <c:pt idx="3">
                  <c:v>2.263483738254566E-2</c:v>
                </c:pt>
                <c:pt idx="4">
                  <c:v>2.263483738254566E-2</c:v>
                </c:pt>
                <c:pt idx="5">
                  <c:v>2.263483738254566E-2</c:v>
                </c:pt>
                <c:pt idx="6">
                  <c:v>2.263483738254566E-2</c:v>
                </c:pt>
                <c:pt idx="7">
                  <c:v>2.263483738254566E-2</c:v>
                </c:pt>
              </c:numCache>
            </c:numRef>
          </c:val>
          <c:extLst>
            <c:ext xmlns:c16="http://schemas.microsoft.com/office/drawing/2014/chart" uri="{C3380CC4-5D6E-409C-BE32-E72D297353CC}">
              <c16:uniqueId val="{00000014-92C9-4DE0-A379-750CC50C4721}"/>
            </c:ext>
          </c:extLst>
        </c:ser>
        <c:ser>
          <c:idx val="13"/>
          <c:order val="13"/>
          <c:tx>
            <c:strRef>
              <c:f>RESULTADOS_INDUSTRIA!$T$62</c:f>
              <c:strCache>
                <c:ptCount val="1"/>
                <c:pt idx="0">
                  <c:v>Queroseno</c:v>
                </c:pt>
              </c:strCache>
            </c:strRef>
          </c:tx>
          <c:spPr>
            <a:solidFill>
              <a:schemeClr val="accent2">
                <a:lumMod val="75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RESULTADOS_INDUSTRIA!$U$62:$AB$62</c:f>
              <c:numCache>
                <c:formatCode>0.00</c:formatCode>
                <c:ptCount val="8"/>
                <c:pt idx="0">
                  <c:v>8.2546702476781963E-5</c:v>
                </c:pt>
                <c:pt idx="1">
                  <c:v>8.2546702476781963E-5</c:v>
                </c:pt>
                <c:pt idx="2">
                  <c:v>9.5409726028145272E-5</c:v>
                </c:pt>
                <c:pt idx="3">
                  <c:v>1.0852495961757469E-4</c:v>
                </c:pt>
                <c:pt idx="4">
                  <c:v>1.0852495961757469E-4</c:v>
                </c:pt>
                <c:pt idx="5">
                  <c:v>1.0852495961757469E-4</c:v>
                </c:pt>
                <c:pt idx="6">
                  <c:v>1.0852495961757469E-4</c:v>
                </c:pt>
                <c:pt idx="7">
                  <c:v>1.0852495961757469E-4</c:v>
                </c:pt>
              </c:numCache>
            </c:numRef>
          </c:val>
          <c:extLst>
            <c:ext xmlns:c16="http://schemas.microsoft.com/office/drawing/2014/chart" uri="{C3380CC4-5D6E-409C-BE32-E72D297353CC}">
              <c16:uniqueId val="{00000015-92C9-4DE0-A379-750CC50C4721}"/>
            </c:ext>
          </c:extLst>
        </c:ser>
        <c:ser>
          <c:idx val="14"/>
          <c:order val="14"/>
          <c:tx>
            <c:strRef>
              <c:f>RESULTADOS_INDUSTRIA!$T$63</c:f>
              <c:strCache>
                <c:ptCount val="1"/>
                <c:pt idx="0">
                  <c:v>Electricidad SIN</c:v>
                </c:pt>
              </c:strCache>
            </c:strRef>
          </c:tx>
          <c:spPr>
            <a:solidFill>
              <a:srgbClr val="FF000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RESULTADOS_INDUSTRIA!$U$63:$AB$63</c:f>
              <c:numCache>
                <c:formatCode>0.00</c:formatCode>
                <c:ptCount val="8"/>
                <c:pt idx="0">
                  <c:v>1.1105359253796188</c:v>
                </c:pt>
                <c:pt idx="1">
                  <c:v>1.1105359253796188</c:v>
                </c:pt>
                <c:pt idx="2">
                  <c:v>1.2779400846760602</c:v>
                </c:pt>
                <c:pt idx="3">
                  <c:v>1.4472075486028639</c:v>
                </c:pt>
                <c:pt idx="4">
                  <c:v>1.4472075486028639</c:v>
                </c:pt>
                <c:pt idx="5">
                  <c:v>1.4472075486028639</c:v>
                </c:pt>
                <c:pt idx="6">
                  <c:v>1.4472075486028639</c:v>
                </c:pt>
                <c:pt idx="7">
                  <c:v>1.4472075486028639</c:v>
                </c:pt>
              </c:numCache>
            </c:numRef>
          </c:val>
          <c:extLst>
            <c:ext xmlns:c16="http://schemas.microsoft.com/office/drawing/2014/chart" uri="{C3380CC4-5D6E-409C-BE32-E72D297353CC}">
              <c16:uniqueId val="{00000016-92C9-4DE0-A379-750CC50C4721}"/>
            </c:ext>
          </c:extLst>
        </c:ser>
        <c:ser>
          <c:idx val="15"/>
          <c:order val="15"/>
          <c:tx>
            <c:strRef>
              <c:f>RESULTADOS_INDUSTRIA!$T$64</c:f>
              <c:strCache>
                <c:ptCount val="1"/>
                <c:pt idx="0">
                  <c:v>Hidrógeno verde</c:v>
                </c:pt>
              </c:strCache>
            </c:strRef>
          </c:tx>
          <c:spPr>
            <a:solidFill>
              <a:schemeClr val="accent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RESULTADOS_INDUSTRIA!$U$64:$AB$64</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7-92C9-4DE0-A379-750CC50C4721}"/>
            </c:ext>
          </c:extLst>
        </c:ser>
        <c:ser>
          <c:idx val="16"/>
          <c:order val="16"/>
          <c:tx>
            <c:strRef>
              <c:f>RESULTADOS_INDUSTRIA!$T$65</c:f>
              <c:strCache>
                <c:ptCount val="1"/>
                <c:pt idx="0">
                  <c:v>Hidrógeno azul </c:v>
                </c:pt>
              </c:strCache>
            </c:strRef>
          </c:tx>
          <c:spPr>
            <a:solidFill>
              <a:schemeClr val="accent5">
                <a:lumMod val="80000"/>
                <a:lumOff val="2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RESULTADOS_INDUSTRIA!$U$65:$AB$65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8-92C9-4DE0-A379-750CC50C4721}"/>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331648495435333"/>
          <c:y val="8.0587889815213462E-2"/>
          <c:w val="0.1026691570765801"/>
          <c:h val="0.773546918070596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gestión de los residuos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RESULTADOS_RESIDUOS!$T$10</c:f>
              <c:strCache>
                <c:ptCount val="1"/>
                <c:pt idx="0">
                  <c:v>Relleno sanitario controlados- Sin captación</c:v>
                </c:pt>
              </c:strCache>
            </c:strRef>
          </c:tx>
          <c:spPr>
            <a:solidFill>
              <a:srgbClr val="FFFF00"/>
            </a:solidFill>
            <a:ln w="25400">
              <a:noFill/>
            </a:ln>
            <a:effectLst/>
          </c:spPr>
          <c:cat>
            <c:numRef>
              <c:f>RESULTADOS_RESIDUOS!$U$9:$AB$9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RESULTADOS_RESIDUOS!$U$10:$AB$10</c:f>
              <c:numCache>
                <c:formatCode>_(* #,##0.00_);_(* \(#,##0.00\);_(* "-"??_);_(@_)</c:formatCode>
                <c:ptCount val="8"/>
                <c:pt idx="0">
                  <c:v>7.6016331906384571E-2</c:v>
                </c:pt>
                <c:pt idx="1">
                  <c:v>8.252816793632814E-2</c:v>
                </c:pt>
                <c:pt idx="2">
                  <c:v>9.9329033421066693E-2</c:v>
                </c:pt>
                <c:pt idx="3">
                  <c:v>0.11706598528391464</c:v>
                </c:pt>
                <c:pt idx="4">
                  <c:v>0.11847429170755747</c:v>
                </c:pt>
                <c:pt idx="5">
                  <c:v>0.1199201991997321</c:v>
                </c:pt>
                <c:pt idx="6">
                  <c:v>0.12140523402999112</c:v>
                </c:pt>
                <c:pt idx="7">
                  <c:v>0.12293100620487089</c:v>
                </c:pt>
              </c:numCache>
            </c:numRef>
          </c:val>
          <c:extLst xmlns:c15="http://schemas.microsoft.com/office/drawing/2012/chart">
            <c:ext xmlns:c16="http://schemas.microsoft.com/office/drawing/2014/chart" uri="{C3380CC4-5D6E-409C-BE32-E72D297353CC}">
              <c16:uniqueId val="{00000000-E9C1-4028-A03F-29ED25C62D40}"/>
            </c:ext>
          </c:extLst>
        </c:ser>
        <c:ser>
          <c:idx val="1"/>
          <c:order val="1"/>
          <c:tx>
            <c:strRef>
              <c:f>RESULTADOS_RESIDUOS!$T$11</c:f>
              <c:strCache>
                <c:ptCount val="1"/>
                <c:pt idx="0">
                  <c:v>Relleno sanitario controlados- Quema antorcha</c:v>
                </c:pt>
              </c:strCache>
            </c:strRef>
          </c:tx>
          <c:spPr>
            <a:solidFill>
              <a:schemeClr val="accent4">
                <a:lumMod val="60000"/>
                <a:lumOff val="40000"/>
              </a:schemeClr>
            </a:solidFill>
            <a:ln w="25400">
              <a:noFill/>
            </a:ln>
            <a:effectLst/>
          </c:spPr>
          <c:cat>
            <c:numRef>
              <c:f>RESULTADOS_RESIDUOS!$U$9:$AB$9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RESULTADOS_RESIDUOS!$U$11:$AB$11</c:f>
              <c:numCache>
                <c:formatCode>_(* #,##0.00_);_(* \(#,##0.00\);_(* "-"??_);_(@_)</c:formatCode>
                <c:ptCount val="8"/>
                <c:pt idx="0">
                  <c:v>0.64618063436813389</c:v>
                </c:pt>
                <c:pt idx="1">
                  <c:v>0.70153482249065746</c:v>
                </c:pt>
                <c:pt idx="2">
                  <c:v>0.8443514205110918</c:v>
                </c:pt>
                <c:pt idx="3">
                  <c:v>0.99512526764445375</c:v>
                </c:pt>
                <c:pt idx="4">
                  <c:v>1.0070966468914158</c:v>
                </c:pt>
                <c:pt idx="5">
                  <c:v>1.0193876559035533</c:v>
                </c:pt>
                <c:pt idx="6">
                  <c:v>1.032011268811597</c:v>
                </c:pt>
                <c:pt idx="7">
                  <c:v>1.044981171556697</c:v>
                </c:pt>
              </c:numCache>
            </c:numRef>
          </c:val>
          <c:extLst>
            <c:ext xmlns:c16="http://schemas.microsoft.com/office/drawing/2014/chart" uri="{C3380CC4-5D6E-409C-BE32-E72D297353CC}">
              <c16:uniqueId val="{00000001-E9C1-4028-A03F-29ED25C62D40}"/>
            </c:ext>
          </c:extLst>
        </c:ser>
        <c:ser>
          <c:idx val="2"/>
          <c:order val="2"/>
          <c:tx>
            <c:strRef>
              <c:f>RESULTADOS_RESIDUOS!$T$12</c:f>
              <c:strCache>
                <c:ptCount val="1"/>
                <c:pt idx="0">
                  <c:v>Celda de contingencia</c:v>
                </c:pt>
              </c:strCache>
            </c:strRef>
          </c:tx>
          <c:spPr>
            <a:solidFill>
              <a:schemeClr val="tx1">
                <a:lumMod val="50000"/>
                <a:lumOff val="50000"/>
              </a:schemeClr>
            </a:solidFill>
            <a:ln w="25400">
              <a:noFill/>
            </a:ln>
            <a:effectLst/>
          </c:spPr>
          <c:val>
            <c:numRef>
              <c:f>RESULTADOS_RESIDUOS!$U$12:$AB$12</c:f>
              <c:numCache>
                <c:formatCode>_(* #,##0.00_);_(* \(#,##0.00\);_(* "-"??_);_(@_)</c:formatCode>
                <c:ptCount val="8"/>
                <c:pt idx="0">
                  <c:v>1.1190873260564232E-2</c:v>
                </c:pt>
                <c:pt idx="1">
                  <c:v>1.2149524248807371E-2</c:v>
                </c:pt>
                <c:pt idx="2">
                  <c:v>1.4622892163205597E-2</c:v>
                </c:pt>
                <c:pt idx="3">
                  <c:v>1.7234067621793976E-2</c:v>
                </c:pt>
                <c:pt idx="4">
                  <c:v>1.7441393841091616E-2</c:v>
                </c:pt>
                <c:pt idx="5">
                  <c:v>1.7654255565482019E-2</c:v>
                </c:pt>
                <c:pt idx="6">
                  <c:v>1.7872877487326636E-2</c:v>
                </c:pt>
                <c:pt idx="7">
                  <c:v>1.8097496626469034E-2</c:v>
                </c:pt>
              </c:numCache>
            </c:numRef>
          </c:val>
          <c:extLst>
            <c:ext xmlns:c16="http://schemas.microsoft.com/office/drawing/2014/chart" uri="{C3380CC4-5D6E-409C-BE32-E72D297353CC}">
              <c16:uniqueId val="{00000000-CF37-4F0A-90D1-3D8BCFB1EFC6}"/>
            </c:ext>
          </c:extLst>
        </c:ser>
        <c:ser>
          <c:idx val="3"/>
          <c:order val="3"/>
          <c:tx>
            <c:strRef>
              <c:f>RESULTADOS_RESIDUOS!$T$13</c:f>
              <c:strCache>
                <c:ptCount val="1"/>
                <c:pt idx="0">
                  <c:v>Tratamiento Mecánico Biológico (TMB)-Compostaje</c:v>
                </c:pt>
              </c:strCache>
            </c:strRef>
          </c:tx>
          <c:spPr>
            <a:solidFill>
              <a:schemeClr val="accent2"/>
            </a:solidFill>
            <a:ln w="25400">
              <a:solidFill>
                <a:schemeClr val="accent2"/>
              </a:solidFill>
            </a:ln>
            <a:effectLst/>
          </c:spPr>
          <c:val>
            <c:numRef>
              <c:f>RESULTADOS_RESIDUOS!$U$13:$AB$13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CF37-4F0A-90D1-3D8BCFB1EFC6}"/>
            </c:ext>
          </c:extLst>
        </c:ser>
        <c:ser>
          <c:idx val="4"/>
          <c:order val="4"/>
          <c:tx>
            <c:strRef>
              <c:f>RESULTADOS_RESIDUOS!$T$14</c:f>
              <c:strCache>
                <c:ptCount val="1"/>
                <c:pt idx="0">
                  <c:v>Aguas Residuales Domesticas</c:v>
                </c:pt>
              </c:strCache>
            </c:strRef>
          </c:tx>
          <c:spPr>
            <a:solidFill>
              <a:schemeClr val="accent5"/>
            </a:solidFill>
            <a:ln w="25400">
              <a:noFill/>
            </a:ln>
            <a:effectLst/>
          </c:spPr>
          <c:val>
            <c:numRef>
              <c:f>RESULTADOS_RESIDUOS!$U$14:$AB$14</c:f>
              <c:numCache>
                <c:formatCode>_(* #,##0.00_);_(* \(#,##0.00\);_(* "-"??_);_(@_)</c:formatCode>
                <c:ptCount val="8"/>
                <c:pt idx="0">
                  <c:v>0.45460458936623116</c:v>
                </c:pt>
                <c:pt idx="1">
                  <c:v>0.45460458936623116</c:v>
                </c:pt>
                <c:pt idx="2">
                  <c:v>0.45460458936623116</c:v>
                </c:pt>
                <c:pt idx="3">
                  <c:v>0.45460458936623116</c:v>
                </c:pt>
                <c:pt idx="4">
                  <c:v>0.45460458936623116</c:v>
                </c:pt>
                <c:pt idx="5">
                  <c:v>0.45460458936623116</c:v>
                </c:pt>
                <c:pt idx="6">
                  <c:v>0.45460458936623116</c:v>
                </c:pt>
                <c:pt idx="7">
                  <c:v>0.45460458936623116</c:v>
                </c:pt>
              </c:numCache>
            </c:numRef>
          </c:val>
          <c:extLst>
            <c:ext xmlns:c16="http://schemas.microsoft.com/office/drawing/2014/chart" uri="{C3380CC4-5D6E-409C-BE32-E72D297353CC}">
              <c16:uniqueId val="{00000002-CF37-4F0A-90D1-3D8BCFB1EFC6}"/>
            </c:ext>
          </c:extLst>
        </c:ser>
        <c:ser>
          <c:idx val="5"/>
          <c:order val="5"/>
          <c:tx>
            <c:strRef>
              <c:f>RESULTADOS_RESIDUOS!$T$15</c:f>
              <c:strCache>
                <c:ptCount val="1"/>
                <c:pt idx="0">
                  <c:v>Aguas Residuales Industriales</c:v>
                </c:pt>
              </c:strCache>
            </c:strRef>
          </c:tx>
          <c:spPr>
            <a:solidFill>
              <a:schemeClr val="accent1"/>
            </a:solidFill>
            <a:ln w="25400">
              <a:noFill/>
            </a:ln>
            <a:effectLst/>
          </c:spPr>
          <c:val>
            <c:numRef>
              <c:f>RESULTADOS_RESIDUOS!$U$15:$AB$15</c:f>
              <c:numCache>
                <c:formatCode>_(* #,##0.00_);_(* \(#,##0.00\);_(* "-"??_);_(@_)</c:formatCode>
                <c:ptCount val="8"/>
                <c:pt idx="0">
                  <c:v>5.3229796653598738E-9</c:v>
                </c:pt>
                <c:pt idx="1">
                  <c:v>5.3229796653598738E-9</c:v>
                </c:pt>
                <c:pt idx="2">
                  <c:v>5.3229796653598738E-9</c:v>
                </c:pt>
                <c:pt idx="3">
                  <c:v>5.3229796653598738E-9</c:v>
                </c:pt>
                <c:pt idx="4">
                  <c:v>5.3229796653598738E-9</c:v>
                </c:pt>
                <c:pt idx="5">
                  <c:v>5.3229796653598738E-9</c:v>
                </c:pt>
                <c:pt idx="6">
                  <c:v>5.3229796653598738E-9</c:v>
                </c:pt>
                <c:pt idx="7">
                  <c:v>5.3229796653598738E-9</c:v>
                </c:pt>
              </c:numCache>
            </c:numRef>
          </c:val>
          <c:extLst>
            <c:ext xmlns:c16="http://schemas.microsoft.com/office/drawing/2014/chart" uri="{C3380CC4-5D6E-409C-BE32-E72D297353CC}">
              <c16:uniqueId val="{00000003-CF37-4F0A-90D1-3D8BCFB1EFC6}"/>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6295678880206019"/>
          <c:y val="0.32169910043251398"/>
          <c:w val="0.23704321860653121"/>
          <c:h val="0.416382891990558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RESULTADOS_RESIDUOS!$T$30</c:f>
              <c:strCache>
                <c:ptCount val="1"/>
                <c:pt idx="0">
                  <c:v>Reducción y mejora de la gestión de Residuos Sólidos </c:v>
                </c:pt>
              </c:strCache>
            </c:strRef>
          </c:tx>
          <c:spPr>
            <a:solidFill>
              <a:srgbClr val="F85B30"/>
            </a:solidFill>
            <a:ln w="25400">
              <a:noFill/>
            </a:ln>
            <a:effectLst/>
          </c:spPr>
          <c:cat>
            <c:numRef>
              <c:f>RESULTADOS_RESIDUOS!$U$29:$AB$29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RESULTADOS_RESIDUOS!$U$30:$AB$30</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DA80-444E-8F46-676E65FDAAAD}"/>
            </c:ext>
          </c:extLst>
        </c:ser>
        <c:ser>
          <c:idx val="1"/>
          <c:order val="1"/>
          <c:tx>
            <c:strRef>
              <c:f>RESULTADOS_RESIDUOS!$T$31</c:f>
              <c:strCache>
                <c:ptCount val="1"/>
                <c:pt idx="0">
                  <c:v>Aprovechamiento del biogás de las aguas residuales y aumento de su tratamiento</c:v>
                </c:pt>
              </c:strCache>
            </c:strRef>
          </c:tx>
          <c:spPr>
            <a:solidFill>
              <a:srgbClr val="FA9276"/>
            </a:solidFill>
            <a:ln w="25400">
              <a:noFill/>
            </a:ln>
            <a:effectLst/>
          </c:spPr>
          <c:cat>
            <c:numRef>
              <c:f>RESULTADOS_RESIDUOS!$U$29:$AB$29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RESULTADOS_RESIDUOS!$U$31:$AB$31</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DA80-444E-8F46-676E65FDAAA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max val="250"/>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7239237559656604"/>
          <c:y val="0.3075300261588414"/>
          <c:w val="0.22760758043058846"/>
          <c:h val="0.3148629191948444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RESULTADOS_RESIDUOS!$T$48</c:f>
              <c:strCache>
                <c:ptCount val="1"/>
                <c:pt idx="0">
                  <c:v>Reducción y mejora de la gestión de Residuos Sólidos </c:v>
                </c:pt>
              </c:strCache>
            </c:strRef>
          </c:tx>
          <c:spPr>
            <a:solidFill>
              <a:schemeClr val="accent6">
                <a:lumMod val="75000"/>
              </a:schemeClr>
            </a:solidFill>
            <a:ln w="25400">
              <a:noFill/>
            </a:ln>
            <a:effectLst/>
          </c:spPr>
          <c:cat>
            <c:numRef>
              <c:f>RESULTADOS_RESIDUOS!$U$47:$AB$47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RESULTADOS_RESIDUOS!$U$48:$AB$48</c:f>
              <c:numCache>
                <c:formatCode>0.00E+00</c:formatCode>
                <c:ptCount val="8"/>
                <c:pt idx="0">
                  <c:v>8.2983241269553848E-12</c:v>
                </c:pt>
                <c:pt idx="1">
                  <c:v>9.009188814620217E-12</c:v>
                </c:pt>
                <c:pt idx="2">
                  <c:v>1.0843255572503704E-11</c:v>
                </c:pt>
                <c:pt idx="3">
                  <c:v>1.2779510215300475E-11</c:v>
                </c:pt>
                <c:pt idx="4">
                  <c:v>1.2933248009276829E-11</c:v>
                </c:pt>
                <c:pt idx="5">
                  <c:v>1.309109052451993E-11</c:v>
                </c:pt>
                <c:pt idx="6">
                  <c:v>1.3253204376270684E-11</c:v>
                </c:pt>
                <c:pt idx="7">
                  <c:v>1.341976532091919E-11</c:v>
                </c:pt>
              </c:numCache>
            </c:numRef>
          </c:val>
          <c:extLst>
            <c:ext xmlns:c16="http://schemas.microsoft.com/office/drawing/2014/chart" uri="{C3380CC4-5D6E-409C-BE32-E72D297353CC}">
              <c16:uniqueId val="{00000000-FDDE-4A27-AD52-21F815DC4101}"/>
            </c:ext>
          </c:extLst>
        </c:ser>
        <c:ser>
          <c:idx val="1"/>
          <c:order val="1"/>
          <c:tx>
            <c:strRef>
              <c:f>RESULTADOS_RESIDUOS!$T$49</c:f>
              <c:strCache>
                <c:ptCount val="1"/>
                <c:pt idx="0">
                  <c:v>Aprovechamiento del biogás de las aguas residuales y aumento de su tratamiento</c:v>
                </c:pt>
              </c:strCache>
            </c:strRef>
          </c:tx>
          <c:spPr>
            <a:solidFill>
              <a:schemeClr val="accent1"/>
            </a:solidFill>
            <a:ln w="25400">
              <a:noFill/>
            </a:ln>
            <a:effectLst/>
          </c:spPr>
          <c:cat>
            <c:numRef>
              <c:f>RESULTADOS_RESIDUOS!$U$47:$AB$47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RESULTADOS_RESIDUOS!$U$49:$AB$49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FDDE-4A27-AD52-21F815DC4101}"/>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6995444137776803"/>
          <c:y val="0.29724836411260197"/>
          <c:w val="0.230045558622232"/>
          <c:h val="0.2124087220940699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a:t>
            </a:r>
            <a:r>
              <a:rPr lang="es-ES" sz="1400" b="1" i="1" u="none" strike="noStrike" baseline="0">
                <a:effectLst/>
              </a:rPr>
              <a:t>combustibles fósiles y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RESULTADOS_EDIFICACIONES!$T$13</c:f>
              <c:strCache>
                <c:ptCount val="1"/>
                <c:pt idx="0">
                  <c:v>Diseño y eficiencia energética para el acondicionamiento de espacios</c:v>
                </c:pt>
              </c:strCache>
            </c:strRef>
          </c:tx>
          <c:spPr>
            <a:solidFill>
              <a:srgbClr val="7B4BC1"/>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RESULTADOS_EDIFICACIONES!$U$13:$AB$13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B3C7-421B-9A37-152A6DC65C47}"/>
            </c:ext>
          </c:extLst>
        </c:ser>
        <c:ser>
          <c:idx val="1"/>
          <c:order val="1"/>
          <c:tx>
            <c:strRef>
              <c:f>RESULTADOS_EDIFICACIONES!$T$14</c:f>
              <c:strCache>
                <c:ptCount val="1"/>
                <c:pt idx="0">
                  <c:v>Eficiencia energética y equipos eficientes en viviendas + Uso y hábitos de consumo</c:v>
                </c:pt>
              </c:strCache>
            </c:strRef>
          </c:tx>
          <c:spPr>
            <a:solidFill>
              <a:srgbClr val="9A76D0"/>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RESULTADOS_EDIFICACIONES!$U$14:$AB$14</c:f>
              <c:numCache>
                <c:formatCode>0.00</c:formatCode>
                <c:ptCount val="8"/>
                <c:pt idx="0">
                  <c:v>0.39703227127313701</c:v>
                </c:pt>
                <c:pt idx="1">
                  <c:v>0.45136869748986996</c:v>
                </c:pt>
                <c:pt idx="2">
                  <c:v>0.56512750537259726</c:v>
                </c:pt>
                <c:pt idx="3">
                  <c:v>0.66811861088159064</c:v>
                </c:pt>
                <c:pt idx="4">
                  <c:v>0.75933359531681666</c:v>
                </c:pt>
                <c:pt idx="5">
                  <c:v>0.84822633322494245</c:v>
                </c:pt>
                <c:pt idx="6">
                  <c:v>0.93743463348905953</c:v>
                </c:pt>
                <c:pt idx="7">
                  <c:v>1.027481184335886</c:v>
                </c:pt>
              </c:numCache>
            </c:numRef>
          </c:val>
          <c:extLst>
            <c:ext xmlns:c16="http://schemas.microsoft.com/office/drawing/2014/chart" uri="{C3380CC4-5D6E-409C-BE32-E72D297353CC}">
              <c16:uniqueId val="{00000001-B3C7-421B-9A37-152A6DC65C47}"/>
            </c:ext>
          </c:extLst>
        </c:ser>
        <c:ser>
          <c:idx val="2"/>
          <c:order val="2"/>
          <c:tx>
            <c:strRef>
              <c:f>RESULTADOS_EDIFICACIONES!$T$15</c:f>
              <c:strCache>
                <c:ptCount val="1"/>
                <c:pt idx="0">
                  <c:v>Eficiencia energética para viviendas rurales</c:v>
                </c:pt>
              </c:strCache>
            </c:strRef>
          </c:tx>
          <c:spPr>
            <a:solidFill>
              <a:srgbClr val="BAA1DF"/>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RESULTADOS_EDIFICACIONES!$U$15:$AB$15</c:f>
              <c:numCache>
                <c:formatCode>0.00</c:formatCode>
                <c:ptCount val="8"/>
                <c:pt idx="0">
                  <c:v>0.76086894138916894</c:v>
                </c:pt>
                <c:pt idx="1">
                  <c:v>0.67749021245335772</c:v>
                </c:pt>
                <c:pt idx="2">
                  <c:v>0.57379848957236013</c:v>
                </c:pt>
                <c:pt idx="3">
                  <c:v>0.4664492805774032</c:v>
                </c:pt>
                <c:pt idx="4">
                  <c:v>0.40447709849763624</c:v>
                </c:pt>
                <c:pt idx="5">
                  <c:v>0.34806954762033221</c:v>
                </c:pt>
                <c:pt idx="6">
                  <c:v>0.29785895620218478</c:v>
                </c:pt>
                <c:pt idx="7">
                  <c:v>0.25329594838976677</c:v>
                </c:pt>
              </c:numCache>
            </c:numRef>
          </c:val>
          <c:extLst>
            <c:ext xmlns:c16="http://schemas.microsoft.com/office/drawing/2014/chart" uri="{C3380CC4-5D6E-409C-BE32-E72D297353CC}">
              <c16:uniqueId val="{00000002-B3C7-421B-9A37-152A6DC65C47}"/>
            </c:ext>
          </c:extLst>
        </c:ser>
        <c:ser>
          <c:idx val="3"/>
          <c:order val="3"/>
          <c:tx>
            <c:strRef>
              <c:f>RESULTADOS_EDIFICACIONES!$T$16</c:f>
              <c:strCache>
                <c:ptCount val="1"/>
                <c:pt idx="0">
                  <c:v>Acondicionamiento de espacios comercial y de servicios</c:v>
                </c:pt>
              </c:strCache>
            </c:strRef>
          </c:tx>
          <c:spPr>
            <a:solidFill>
              <a:srgbClr val="C0A9E1"/>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RESULTADOS_EDIFICACIONES!$U$16:$AB$16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B3C7-421B-9A37-152A6DC65C47}"/>
            </c:ext>
          </c:extLst>
        </c:ser>
        <c:ser>
          <c:idx val="4"/>
          <c:order val="4"/>
          <c:tx>
            <c:strRef>
              <c:f>RESULTADOS_EDIFICACIONES!$T$17</c:f>
              <c:strCache>
                <c:ptCount val="1"/>
                <c:pt idx="0">
                  <c:v>Usos térmicos y equipamiento comercial y de servicios</c:v>
                </c:pt>
              </c:strCache>
            </c:strRef>
          </c:tx>
          <c:spPr>
            <a:solidFill>
              <a:srgbClr val="DDD1EF"/>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RESULTADOS_EDIFICACIONES!$U$17:$AB$17</c:f>
              <c:numCache>
                <c:formatCode>0.00</c:formatCode>
                <c:ptCount val="8"/>
                <c:pt idx="0">
                  <c:v>5.4634262999583218E-2</c:v>
                </c:pt>
                <c:pt idx="1">
                  <c:v>6.3410025871093692E-2</c:v>
                </c:pt>
                <c:pt idx="2">
                  <c:v>7.5379200775849253E-2</c:v>
                </c:pt>
                <c:pt idx="3">
                  <c:v>8.5099428030046678E-2</c:v>
                </c:pt>
                <c:pt idx="4">
                  <c:v>9.3729483911792422E-2</c:v>
                </c:pt>
                <c:pt idx="5">
                  <c:v>0.10260568798513917</c:v>
                </c:pt>
                <c:pt idx="6">
                  <c:v>0.1117056703473341</c:v>
                </c:pt>
                <c:pt idx="7">
                  <c:v>0.12109853127414552</c:v>
                </c:pt>
              </c:numCache>
            </c:numRef>
          </c:val>
          <c:extLst>
            <c:ext xmlns:c16="http://schemas.microsoft.com/office/drawing/2014/chart" uri="{C3380CC4-5D6E-409C-BE32-E72D297353CC}">
              <c16:uniqueId val="{00000004-B3C7-421B-9A37-152A6DC65C47}"/>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4863332057490839"/>
          <c:h val="0.673364444042877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RESULTADOS_EDIFICACIONES!$T$33</c:f>
              <c:strCache>
                <c:ptCount val="1"/>
                <c:pt idx="0">
                  <c:v>Electricidad (entregado al usuario final)</c:v>
                </c:pt>
              </c:strCache>
            </c:strRef>
          </c:tx>
          <c:spPr>
            <a:solidFill>
              <a:srgbClr val="FF5D5D"/>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RESULTADOS_EDIFICACIONES!$U$33:$AB$33</c:f>
              <c:numCache>
                <c:formatCode>0.00</c:formatCode>
                <c:ptCount val="8"/>
                <c:pt idx="0">
                  <c:v>2.4956767646552338</c:v>
                </c:pt>
                <c:pt idx="1">
                  <c:v>2.9696845015880791</c:v>
                </c:pt>
                <c:pt idx="2">
                  <c:v>3.7535246156516902</c:v>
                </c:pt>
                <c:pt idx="3">
                  <c:v>4.492538701781136</c:v>
                </c:pt>
                <c:pt idx="4">
                  <c:v>5.1692154383240059</c:v>
                </c:pt>
                <c:pt idx="5">
                  <c:v>5.8756467754649666</c:v>
                </c:pt>
                <c:pt idx="6">
                  <c:v>6.5486292461482893</c:v>
                </c:pt>
                <c:pt idx="7">
                  <c:v>7.2209865852126551</c:v>
                </c:pt>
              </c:numCache>
            </c:numRef>
          </c:val>
          <c:extLst>
            <c:ext xmlns:c16="http://schemas.microsoft.com/office/drawing/2014/chart" uri="{C3380CC4-5D6E-409C-BE32-E72D297353CC}">
              <c16:uniqueId val="{00000000-C42F-4C13-843F-993901FEAE69}"/>
            </c:ext>
          </c:extLst>
        </c:ser>
        <c:ser>
          <c:idx val="1"/>
          <c:order val="1"/>
          <c:tx>
            <c:strRef>
              <c:f>RESULTADOS_EDIFICACIONES!$T$34</c:f>
              <c:strCache>
                <c:ptCount val="1"/>
                <c:pt idx="0">
                  <c:v>Gas Natural</c:v>
                </c:pt>
              </c:strCache>
            </c:strRef>
          </c:tx>
          <c:spPr>
            <a:solidFill>
              <a:schemeClr val="accent6">
                <a:lumMod val="60000"/>
                <a:lumOff val="4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RESULTADOS_EDIFICACIONES!$U$34:$AB$34</c:f>
              <c:numCache>
                <c:formatCode>0.00</c:formatCode>
                <c:ptCount val="8"/>
                <c:pt idx="0">
                  <c:v>1.569993122970027</c:v>
                </c:pt>
                <c:pt idx="1">
                  <c:v>1.7901505464116017</c:v>
                </c:pt>
                <c:pt idx="2">
                  <c:v>2.2249696656521118</c:v>
                </c:pt>
                <c:pt idx="3">
                  <c:v>2.6140824442370127</c:v>
                </c:pt>
                <c:pt idx="4">
                  <c:v>2.9587902420562533</c:v>
                </c:pt>
                <c:pt idx="5">
                  <c:v>3.2966210274366361</c:v>
                </c:pt>
                <c:pt idx="6">
                  <c:v>3.6364348007864296</c:v>
                </c:pt>
                <c:pt idx="7">
                  <c:v>3.9802869238034635</c:v>
                </c:pt>
              </c:numCache>
            </c:numRef>
          </c:val>
          <c:extLst>
            <c:ext xmlns:c16="http://schemas.microsoft.com/office/drawing/2014/chart" uri="{C3380CC4-5D6E-409C-BE32-E72D297353CC}">
              <c16:uniqueId val="{00000001-C42F-4C13-843F-993901FEAE69}"/>
            </c:ext>
          </c:extLst>
        </c:ser>
        <c:ser>
          <c:idx val="2"/>
          <c:order val="2"/>
          <c:tx>
            <c:strRef>
              <c:f>RESULTADOS_EDIFICACIONES!$T$35</c:f>
              <c:strCache>
                <c:ptCount val="1"/>
                <c:pt idx="0">
                  <c:v>GLP</c:v>
                </c:pt>
              </c:strCache>
            </c:strRef>
          </c:tx>
          <c:spPr>
            <a:solidFill>
              <a:schemeClr val="accent2"/>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RESULTADOS_EDIFICACIONES!$U$35:$AB$35</c:f>
              <c:numCache>
                <c:formatCode>0.00</c:formatCode>
                <c:ptCount val="8"/>
                <c:pt idx="0">
                  <c:v>0.71706051129351844</c:v>
                </c:pt>
                <c:pt idx="1">
                  <c:v>0.80093955160299546</c:v>
                </c:pt>
                <c:pt idx="2">
                  <c:v>0.95509737168718012</c:v>
                </c:pt>
                <c:pt idx="3">
                  <c:v>1.0872944846119945</c:v>
                </c:pt>
                <c:pt idx="4">
                  <c:v>1.2188852161409978</c:v>
                </c:pt>
                <c:pt idx="5">
                  <c:v>1.3479274372992054</c:v>
                </c:pt>
                <c:pt idx="6">
                  <c:v>1.4783693150484847</c:v>
                </c:pt>
                <c:pt idx="7">
                  <c:v>1.6110496135206667</c:v>
                </c:pt>
              </c:numCache>
            </c:numRef>
          </c:val>
          <c:extLst>
            <c:ext xmlns:c16="http://schemas.microsoft.com/office/drawing/2014/chart" uri="{C3380CC4-5D6E-409C-BE32-E72D297353CC}">
              <c16:uniqueId val="{00000002-C42F-4C13-843F-993901FEAE69}"/>
            </c:ext>
          </c:extLst>
        </c:ser>
        <c:ser>
          <c:idx val="3"/>
          <c:order val="3"/>
          <c:tx>
            <c:strRef>
              <c:f>RESULTADOS_EDIFICACIONES!$T$36</c:f>
              <c:strCache>
                <c:ptCount val="1"/>
                <c:pt idx="0">
                  <c:v>Petróleo </c:v>
                </c:pt>
              </c:strCache>
            </c:strRef>
          </c:tx>
          <c:spPr>
            <a:solidFill>
              <a:schemeClr val="bg2">
                <a:lumMod val="5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RESULTADOS_EDIFICACIONES!$U$36:$AB$36</c:f>
              <c:numCache>
                <c:formatCode>0.00</c:formatCode>
                <c:ptCount val="8"/>
                <c:pt idx="0">
                  <c:v>1.5148224448581278E-2</c:v>
                </c:pt>
                <c:pt idx="1">
                  <c:v>1.7581445258866235E-2</c:v>
                </c:pt>
                <c:pt idx="2">
                  <c:v>2.0900090701616001E-2</c:v>
                </c:pt>
                <c:pt idx="3">
                  <c:v>2.3595179388708448E-2</c:v>
                </c:pt>
                <c:pt idx="4">
                  <c:v>2.5988000602412336E-2</c:v>
                </c:pt>
                <c:pt idx="5">
                  <c:v>2.8449070344590349E-2</c:v>
                </c:pt>
                <c:pt idx="6">
                  <c:v>3.0972186201423873E-2</c:v>
                </c:pt>
                <c:pt idx="7">
                  <c:v>3.357650733109166E-2</c:v>
                </c:pt>
              </c:numCache>
            </c:numRef>
          </c:val>
          <c:extLst>
            <c:ext xmlns:c16="http://schemas.microsoft.com/office/drawing/2014/chart" uri="{C3380CC4-5D6E-409C-BE32-E72D297353CC}">
              <c16:uniqueId val="{00000003-C42F-4C13-843F-993901FEAE69}"/>
            </c:ext>
          </c:extLst>
        </c:ser>
        <c:ser>
          <c:idx val="4"/>
          <c:order val="4"/>
          <c:tx>
            <c:strRef>
              <c:f>RESULTADOS_EDIFICACIONES!$T$37</c:f>
              <c:strCache>
                <c:ptCount val="1"/>
                <c:pt idx="0">
                  <c:v>Queroseno</c:v>
                </c:pt>
              </c:strCache>
            </c:strRef>
          </c:tx>
          <c:spPr>
            <a:solidFill>
              <a:srgbClr val="FF0000"/>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RESULTADOS_EDIFICACIONES!$U$37:$AB$37</c:f>
              <c:numCache>
                <c:formatCode>0.00</c:formatCode>
                <c:ptCount val="8"/>
                <c:pt idx="0">
                  <c:v>1.5092804115232785E-2</c:v>
                </c:pt>
                <c:pt idx="1">
                  <c:v>1.751712289816304E-2</c:v>
                </c:pt>
                <c:pt idx="2">
                  <c:v>2.082362695514672E-2</c:v>
                </c:pt>
                <c:pt idx="3">
                  <c:v>2.3508855561676527E-2</c:v>
                </c:pt>
                <c:pt idx="4">
                  <c:v>2.5892922551427961E-2</c:v>
                </c:pt>
                <c:pt idx="5">
                  <c:v>2.8344988379915049E-2</c:v>
                </c:pt>
                <c:pt idx="6">
                  <c:v>3.0858873325077238E-2</c:v>
                </c:pt>
                <c:pt idx="7">
                  <c:v>3.3453666450612062E-2</c:v>
                </c:pt>
              </c:numCache>
            </c:numRef>
          </c:val>
          <c:extLst>
            <c:ext xmlns:c16="http://schemas.microsoft.com/office/drawing/2014/chart" uri="{C3380CC4-5D6E-409C-BE32-E72D297353CC}">
              <c16:uniqueId val="{00000004-C42F-4C13-843F-993901FEAE69}"/>
            </c:ext>
          </c:extLst>
        </c:ser>
        <c:ser>
          <c:idx val="5"/>
          <c:order val="5"/>
          <c:tx>
            <c:strRef>
              <c:f>RESULTADOS_EDIFICACIONES!$T$38</c:f>
              <c:strCache>
                <c:ptCount val="1"/>
                <c:pt idx="0">
                  <c:v>Diésel</c:v>
                </c:pt>
              </c:strCache>
            </c:strRef>
          </c:tx>
          <c:spPr>
            <a:solidFill>
              <a:srgbClr val="7B4BC1"/>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RESULTADOS_EDIFICACIONES!$U$38:$AB$38</c:f>
              <c:numCache>
                <c:formatCode>0.00</c:formatCode>
                <c:ptCount val="8"/>
                <c:pt idx="0">
                  <c:v>7.725594468776438E-2</c:v>
                </c:pt>
                <c:pt idx="1">
                  <c:v>8.9665370820217624E-2</c:v>
                </c:pt>
                <c:pt idx="2">
                  <c:v>0.10659046257824199</c:v>
                </c:pt>
                <c:pt idx="3">
                  <c:v>0.1203354148824128</c:v>
                </c:pt>
                <c:pt idx="4">
                  <c:v>0.13253880307230317</c:v>
                </c:pt>
                <c:pt idx="5">
                  <c:v>0.14509025875741058</c:v>
                </c:pt>
                <c:pt idx="6">
                  <c:v>0.15795814962726171</c:v>
                </c:pt>
                <c:pt idx="7">
                  <c:v>0.17124018738856736</c:v>
                </c:pt>
              </c:numCache>
            </c:numRef>
          </c:val>
          <c:extLst>
            <c:ext xmlns:c16="http://schemas.microsoft.com/office/drawing/2014/chart" uri="{C3380CC4-5D6E-409C-BE32-E72D297353CC}">
              <c16:uniqueId val="{00000005-C42F-4C13-843F-993901FEAE69}"/>
            </c:ext>
          </c:extLst>
        </c:ser>
        <c:ser>
          <c:idx val="6"/>
          <c:order val="6"/>
          <c:tx>
            <c:strRef>
              <c:f>RESULTADOS_EDIFICACIONES!$T$39</c:f>
              <c:strCache>
                <c:ptCount val="1"/>
                <c:pt idx="0">
                  <c:v>Fuel oíl </c:v>
                </c:pt>
              </c:strCache>
            </c:strRef>
          </c:tx>
          <c:spPr>
            <a:solidFill>
              <a:schemeClr val="accent4">
                <a:lumMod val="60000"/>
                <a:lumOff val="4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RESULTADOS_EDIFICACIONES!$U$39:$AB$39</c:f>
              <c:numCache>
                <c:formatCode>_(* #,##0.00_);_(* \(#,##0.00\);_(* "-"??_);_(@_)</c:formatCode>
                <c:ptCount val="8"/>
                <c:pt idx="0">
                  <c:v>1.4778755559591468E-4</c:v>
                </c:pt>
                <c:pt idx="1">
                  <c:v>1.715262952084507E-4</c:v>
                </c:pt>
                <c:pt idx="2">
                  <c:v>2.0390332391820529E-4</c:v>
                </c:pt>
                <c:pt idx="3">
                  <c:v>2.3019687208496032E-4</c:v>
                </c:pt>
                <c:pt idx="4">
                  <c:v>2.5354146929182787E-4</c:v>
                </c:pt>
                <c:pt idx="5">
                  <c:v>2.7755190580088153E-4</c:v>
                </c:pt>
                <c:pt idx="6">
                  <c:v>3.0216767025779436E-4</c:v>
                </c:pt>
                <c:pt idx="7">
                  <c:v>3.2757568127894323E-4</c:v>
                </c:pt>
              </c:numCache>
            </c:numRef>
          </c:val>
          <c:extLst>
            <c:ext xmlns:c16="http://schemas.microsoft.com/office/drawing/2014/chart" uri="{C3380CC4-5D6E-409C-BE32-E72D297353CC}">
              <c16:uniqueId val="{00000006-C42F-4C13-843F-993901FEAE69}"/>
            </c:ext>
          </c:extLst>
        </c:ser>
        <c:ser>
          <c:idx val="7"/>
          <c:order val="7"/>
          <c:tx>
            <c:strRef>
              <c:f>RESULTADOS_EDIFICACIONES!$T$40</c:f>
              <c:strCache>
                <c:ptCount val="1"/>
                <c:pt idx="0">
                  <c:v>Biomasa seca y residuos (leña)</c:v>
                </c:pt>
              </c:strCache>
            </c:strRef>
          </c:tx>
          <c:spPr>
            <a:solidFill>
              <a:schemeClr val="accent2">
                <a:lumMod val="6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RESULTADOS_EDIFICACIONES!$U$40:$AB$40</c:f>
              <c:numCache>
                <c:formatCode>0.00</c:formatCode>
                <c:ptCount val="8"/>
                <c:pt idx="0">
                  <c:v>2.0309698378916816</c:v>
                </c:pt>
                <c:pt idx="1">
                  <c:v>1.7930817851862304</c:v>
                </c:pt>
                <c:pt idx="2">
                  <c:v>1.5052663613852877</c:v>
                </c:pt>
                <c:pt idx="3">
                  <c:v>1.2113348985625563</c:v>
                </c:pt>
                <c:pt idx="4">
                  <c:v>1.0340448093185364</c:v>
                </c:pt>
                <c:pt idx="5">
                  <c:v>0.87214744066421745</c:v>
                </c:pt>
                <c:pt idx="6">
                  <c:v>0.72708444025521057</c:v>
                </c:pt>
                <c:pt idx="7">
                  <c:v>0.59724707586173975</c:v>
                </c:pt>
              </c:numCache>
            </c:numRef>
          </c:val>
          <c:extLst>
            <c:ext xmlns:c16="http://schemas.microsoft.com/office/drawing/2014/chart" uri="{C3380CC4-5D6E-409C-BE32-E72D297353CC}">
              <c16:uniqueId val="{00000007-C42F-4C13-843F-993901FEAE6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091869115691312"/>
          <c:y val="0.23477338052400357"/>
          <c:w val="0.21502207026383224"/>
          <c:h val="0.561955280297992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 eléctrica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RESULTADOS_EDIFICACIONES!$T$73</c:f>
              <c:strCache>
                <c:ptCount val="1"/>
                <c:pt idx="0">
                  <c:v>Edificaciones Residenciales Urbanas</c:v>
                </c:pt>
              </c:strCache>
            </c:strRef>
          </c:tx>
          <c:spPr>
            <a:solidFill>
              <a:schemeClr val="accent4"/>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RESULTADOS_EDIFICACIONES!$U$73:$AB$73</c:f>
              <c:numCache>
                <c:formatCode>0.00</c:formatCode>
                <c:ptCount val="8"/>
                <c:pt idx="0">
                  <c:v>0</c:v>
                </c:pt>
                <c:pt idx="1">
                  <c:v>4.619112157401981E-6</c:v>
                </c:pt>
                <c:pt idx="2">
                  <c:v>2.0272917560842541E-5</c:v>
                </c:pt>
                <c:pt idx="3">
                  <c:v>4.1380482384673446E-5</c:v>
                </c:pt>
                <c:pt idx="4">
                  <c:v>6.7733993310052588E-5</c:v>
                </c:pt>
                <c:pt idx="5">
                  <c:v>1.0075764518072839E-4</c:v>
                </c:pt>
                <c:pt idx="6">
                  <c:v>1.3956277798552673E-4</c:v>
                </c:pt>
                <c:pt idx="7">
                  <c:v>1.8297733039349229E-2</c:v>
                </c:pt>
              </c:numCache>
            </c:numRef>
          </c:val>
          <c:extLst>
            <c:ext xmlns:c16="http://schemas.microsoft.com/office/drawing/2014/chart" uri="{C3380CC4-5D6E-409C-BE32-E72D297353CC}">
              <c16:uniqueId val="{00000000-E48C-47C8-88A3-7B040C849257}"/>
            </c:ext>
          </c:extLst>
        </c:ser>
        <c:ser>
          <c:idx val="1"/>
          <c:order val="1"/>
          <c:tx>
            <c:strRef>
              <c:f>RESULTADOS_EDIFICACIONES!$T$74</c:f>
              <c:strCache>
                <c:ptCount val="1"/>
              </c:strCache>
            </c:strRef>
          </c:tx>
          <c:spPr>
            <a:solidFill>
              <a:schemeClr val="accent2"/>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RESULTADOS_EDIFICACIONES!$U$74:$AB$74</c:f>
              <c:numCache>
                <c:formatCode>General</c:formatCode>
                <c:ptCount val="8"/>
              </c:numCache>
            </c:numRef>
          </c:val>
          <c:extLst>
            <c:ext xmlns:c16="http://schemas.microsoft.com/office/drawing/2014/chart" uri="{C3380CC4-5D6E-409C-BE32-E72D297353CC}">
              <c16:uniqueId val="{00000001-B249-4E9A-A9EC-62C8983BA9D5}"/>
            </c:ext>
          </c:extLst>
        </c:ser>
        <c:ser>
          <c:idx val="2"/>
          <c:order val="2"/>
          <c:tx>
            <c:strRef>
              <c:f>RESULTADOS_EDIFICACIONES!$T$75</c:f>
              <c:strCache>
                <c:ptCount val="1"/>
              </c:strCache>
            </c:strRef>
          </c:tx>
          <c:spPr>
            <a:solidFill>
              <a:schemeClr val="accent3"/>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RESULTADOS_EDIFICACIONES!$U$75:$AB$75</c:f>
              <c:numCache>
                <c:formatCode>General</c:formatCode>
                <c:ptCount val="8"/>
              </c:numCache>
            </c:numRef>
          </c:val>
          <c:extLst>
            <c:ext xmlns:c16="http://schemas.microsoft.com/office/drawing/2014/chart" uri="{C3380CC4-5D6E-409C-BE32-E72D297353CC}">
              <c16:uniqueId val="{00000002-B249-4E9A-A9EC-62C8983BA9D5}"/>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RESULTADOS_EDIFICACIONES!$T$53</c:f>
              <c:strCache>
                <c:ptCount val="1"/>
                <c:pt idx="0">
                  <c:v>Edificaciones Residenciales Urbanas</c:v>
                </c:pt>
              </c:strCache>
            </c:strRef>
          </c:tx>
          <c:spPr>
            <a:solidFill>
              <a:schemeClr val="accent4">
                <a:lumMod val="60000"/>
                <a:lumOff val="40000"/>
              </a:schemeClr>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RESULTADOS_EDIFICACIONES!$U$53:$AB$53</c:f>
              <c:numCache>
                <c:formatCode>0.00</c:formatCode>
                <c:ptCount val="8"/>
                <c:pt idx="0">
                  <c:v>3.3837986350767664</c:v>
                </c:pt>
                <c:pt idx="1">
                  <c:v>3.9149027017185731</c:v>
                </c:pt>
                <c:pt idx="2">
                  <c:v>4.9371005331730666</c:v>
                </c:pt>
                <c:pt idx="3">
                  <c:v>5.8901009590660607</c:v>
                </c:pt>
                <c:pt idx="4">
                  <c:v>6.7602567994340745</c:v>
                </c:pt>
                <c:pt idx="5">
                  <c:v>7.6501522358046845</c:v>
                </c:pt>
                <c:pt idx="6">
                  <c:v>8.5138920484842728</c:v>
                </c:pt>
                <c:pt idx="7">
                  <c:v>9.3882113843262456</c:v>
                </c:pt>
              </c:numCache>
            </c:numRef>
          </c:val>
          <c:extLst>
            <c:ext xmlns:c16="http://schemas.microsoft.com/office/drawing/2014/chart" uri="{C3380CC4-5D6E-409C-BE32-E72D297353CC}">
              <c16:uniqueId val="{00000006-2366-46AB-AEF8-C069D7A51299}"/>
            </c:ext>
          </c:extLst>
        </c:ser>
        <c:ser>
          <c:idx val="1"/>
          <c:order val="1"/>
          <c:tx>
            <c:strRef>
              <c:f>RESULTADOS_EDIFICACIONES!$T$54</c:f>
              <c:strCache>
                <c:ptCount val="1"/>
                <c:pt idx="0">
                  <c:v>Edificaciones Residenciales Rurales</c:v>
                </c:pt>
              </c:strCache>
            </c:strRef>
          </c:tx>
          <c:spPr>
            <a:solidFill>
              <a:schemeClr val="accent2"/>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RESULTADOS_EDIFICACIONES!$U$54:$AB$54</c:f>
              <c:numCache>
                <c:formatCode>0.00</c:formatCode>
                <c:ptCount val="8"/>
                <c:pt idx="0">
                  <c:v>2.4031106123421777</c:v>
                </c:pt>
                <c:pt idx="1">
                  <c:v>2.2472318655358188</c:v>
                </c:pt>
                <c:pt idx="2">
                  <c:v>2.0850881624504911</c:v>
                </c:pt>
                <c:pt idx="3">
                  <c:v>1.9157992520983598</c:v>
                </c:pt>
                <c:pt idx="4">
                  <c:v>1.8591361631334222</c:v>
                </c:pt>
                <c:pt idx="5">
                  <c:v>1.8138291915322713</c:v>
                </c:pt>
                <c:pt idx="6">
                  <c:v>1.7772403227205573</c:v>
                </c:pt>
                <c:pt idx="7">
                  <c:v>1.745444874466505</c:v>
                </c:pt>
              </c:numCache>
            </c:numRef>
          </c:val>
          <c:extLst>
            <c:ext xmlns:c16="http://schemas.microsoft.com/office/drawing/2014/chart" uri="{C3380CC4-5D6E-409C-BE32-E72D297353CC}">
              <c16:uniqueId val="{00000008-2366-46AB-AEF8-C069D7A51299}"/>
            </c:ext>
          </c:extLst>
        </c:ser>
        <c:ser>
          <c:idx val="2"/>
          <c:order val="2"/>
          <c:tx>
            <c:strRef>
              <c:f>RESULTADOS_EDIFICACIONES!$T$55</c:f>
              <c:strCache>
                <c:ptCount val="1"/>
                <c:pt idx="0">
                  <c:v>Edificaciones Comerciales y de servicios</c:v>
                </c:pt>
              </c:strCache>
            </c:strRef>
          </c:tx>
          <c:spPr>
            <a:solidFill>
              <a:srgbClr val="FF5D5D"/>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RESULTADOS_EDIFICACIONES!$U$55:$AB$55</c:f>
              <c:numCache>
                <c:formatCode>0.00</c:formatCode>
                <c:ptCount val="8"/>
                <c:pt idx="0">
                  <c:v>1.1344357501986906</c:v>
                </c:pt>
                <c:pt idx="1">
                  <c:v>1.3166572828069698</c:v>
                </c:pt>
                <c:pt idx="2">
                  <c:v>1.5651874023116354</c:v>
                </c:pt>
                <c:pt idx="3">
                  <c:v>1.7670199647331617</c:v>
                </c:pt>
                <c:pt idx="4">
                  <c:v>1.9462160109677313</c:v>
                </c:pt>
                <c:pt idx="5">
                  <c:v>2.1305231229157879</c:v>
                </c:pt>
                <c:pt idx="6">
                  <c:v>2.3194768078576047</c:v>
                </c:pt>
                <c:pt idx="7">
                  <c:v>2.514511876457326</c:v>
                </c:pt>
              </c:numCache>
            </c:numRef>
          </c:val>
          <c:extLst>
            <c:ext xmlns:c16="http://schemas.microsoft.com/office/drawing/2014/chart" uri="{C3380CC4-5D6E-409C-BE32-E72D297353CC}">
              <c16:uniqueId val="{00000009-2366-46AB-AEF8-C069D7A5129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4848249548361201"/>
          <c:y val="0.42503842413781956"/>
          <c:w val="0.21676996687014674"/>
          <c:h val="0.2106455401178278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 fósiles</a:t>
            </a:r>
            <a:r>
              <a:rPr lang="es-ES" b="1" i="1" baseline="0">
                <a:solidFill>
                  <a:schemeClr val="tx1">
                    <a:lumMod val="65000"/>
                    <a:lumOff val="35000"/>
                  </a:schemeClr>
                </a:solidFill>
              </a:rPr>
              <a:t> y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RESULTADOS_TRANSPORTE!$T$10</c:f>
              <c:strCache>
                <c:ptCount val="1"/>
                <c:pt idx="0">
                  <c:v>Transporte de pasajeros</c:v>
                </c:pt>
              </c:strCache>
            </c:strRef>
          </c:tx>
          <c:spPr>
            <a:solidFill>
              <a:schemeClr val="accent5">
                <a:lumMod val="5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RESULTADOS_TRANSPORTE!$U$10:$AB$10</c:f>
              <c:numCache>
                <c:formatCode>0.00</c:formatCode>
                <c:ptCount val="8"/>
                <c:pt idx="0">
                  <c:v>1.1156087474801775</c:v>
                </c:pt>
                <c:pt idx="1">
                  <c:v>1.1861711771772978</c:v>
                </c:pt>
                <c:pt idx="2">
                  <c:v>1.2784777415336654</c:v>
                </c:pt>
                <c:pt idx="3">
                  <c:v>1.2064180299132823</c:v>
                </c:pt>
                <c:pt idx="4">
                  <c:v>1.1307432363943888</c:v>
                </c:pt>
                <c:pt idx="5">
                  <c:v>1.1019038379723285</c:v>
                </c:pt>
                <c:pt idx="6">
                  <c:v>1.0890765568629093</c:v>
                </c:pt>
                <c:pt idx="7">
                  <c:v>1.1054797425294152</c:v>
                </c:pt>
              </c:numCache>
            </c:numRef>
          </c:val>
          <c:extLst>
            <c:ext xmlns:c16="http://schemas.microsoft.com/office/drawing/2014/chart" uri="{C3380CC4-5D6E-409C-BE32-E72D297353CC}">
              <c16:uniqueId val="{00000000-607B-4E83-87F4-AF692A2D1B15}"/>
            </c:ext>
          </c:extLst>
        </c:ser>
        <c:ser>
          <c:idx val="1"/>
          <c:order val="1"/>
          <c:tx>
            <c:strRef>
              <c:f>RESULTADOS_TRANSPORTE!$T$11</c:f>
              <c:strCache>
                <c:ptCount val="1"/>
                <c:pt idx="0">
                  <c:v>Transporte de carga</c:v>
                </c:pt>
              </c:strCache>
            </c:strRef>
          </c:tx>
          <c:spPr>
            <a:solidFill>
              <a:schemeClr val="accent5"/>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RESULTADOS_TRANSPORTE!$U$11:$AB$11</c:f>
              <c:numCache>
                <c:formatCode>0.00</c:formatCode>
                <c:ptCount val="8"/>
                <c:pt idx="0">
                  <c:v>1.1870889839408183</c:v>
                </c:pt>
                <c:pt idx="1">
                  <c:v>1.4556165594872588</c:v>
                </c:pt>
                <c:pt idx="2">
                  <c:v>1.8305227613372232</c:v>
                </c:pt>
                <c:pt idx="3">
                  <c:v>2.1357345851112326</c:v>
                </c:pt>
                <c:pt idx="4">
                  <c:v>2.4677321864951658</c:v>
                </c:pt>
                <c:pt idx="5">
                  <c:v>2.8380527203569645</c:v>
                </c:pt>
                <c:pt idx="6">
                  <c:v>3.2869538791861426</c:v>
                </c:pt>
                <c:pt idx="7">
                  <c:v>3.8958280345984382</c:v>
                </c:pt>
              </c:numCache>
            </c:numRef>
          </c:val>
          <c:extLst>
            <c:ext xmlns:c16="http://schemas.microsoft.com/office/drawing/2014/chart" uri="{C3380CC4-5D6E-409C-BE32-E72D297353CC}">
              <c16:uniqueId val="{00000001-607B-4E83-87F4-AF692A2D1B15}"/>
            </c:ext>
          </c:extLst>
        </c:ser>
        <c:ser>
          <c:idx val="2"/>
          <c:order val="2"/>
          <c:tx>
            <c:strRef>
              <c:f>RESULTADOS_TRANSPORTE!$T$12</c:f>
              <c:strCache>
                <c:ptCount val="1"/>
                <c:pt idx="0">
                  <c:v>Transporte internacional - Aviación</c:v>
                </c:pt>
              </c:strCache>
            </c:strRef>
          </c:tx>
          <c:spPr>
            <a:solidFill>
              <a:schemeClr val="accent5">
                <a:lumMod val="60000"/>
                <a:lumOff val="4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RESULTADOS_TRANSPORTE!$U$12:$AB$12</c:f>
              <c:numCache>
                <c:formatCode>0.00</c:formatCode>
                <c:ptCount val="8"/>
                <c:pt idx="0">
                  <c:v>7.0597850788122876E-2</c:v>
                </c:pt>
                <c:pt idx="1">
                  <c:v>7.7856799381225569E-2</c:v>
                </c:pt>
                <c:pt idx="2">
                  <c:v>8.8445524555987212E-2</c:v>
                </c:pt>
                <c:pt idx="3">
                  <c:v>9.587408263006042E-2</c:v>
                </c:pt>
                <c:pt idx="4">
                  <c:v>0.10179934643702558</c:v>
                </c:pt>
                <c:pt idx="5">
                  <c:v>0.10780101898331276</c:v>
                </c:pt>
                <c:pt idx="6">
                  <c:v>0.11386528621634175</c:v>
                </c:pt>
                <c:pt idx="7">
                  <c:v>0.12006952499140411</c:v>
                </c:pt>
              </c:numCache>
            </c:numRef>
          </c:val>
          <c:extLst>
            <c:ext xmlns:c16="http://schemas.microsoft.com/office/drawing/2014/chart" uri="{C3380CC4-5D6E-409C-BE32-E72D297353CC}">
              <c16:uniqueId val="{00000002-607B-4E83-87F4-AF692A2D1B15}"/>
            </c:ext>
          </c:extLst>
        </c:ser>
        <c:ser>
          <c:idx val="3"/>
          <c:order val="3"/>
          <c:tx>
            <c:strRef>
              <c:f>RESULTADOS_TRANSPORTE!$T$13</c:f>
              <c:strCache>
                <c:ptCount val="1"/>
                <c:pt idx="0">
                  <c:v>Transporte internacional - Navegación</c:v>
                </c:pt>
              </c:strCache>
            </c:strRef>
          </c:tx>
          <c:spPr>
            <a:solidFill>
              <a:schemeClr val="accent5">
                <a:lumMod val="20000"/>
                <a:lumOff val="8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RESULTADOS_TRANSPORTE!$U$13:$AB$13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607B-4E83-87F4-AF692A2D1B15}"/>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 por modo de transporte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RESULTADOS_TRANSPORTE!$T$30</c:f>
              <c:strCache>
                <c:ptCount val="1"/>
                <c:pt idx="0">
                  <c:v>Transporte de pasajeros</c:v>
                </c:pt>
              </c:strCache>
            </c:strRef>
          </c:tx>
          <c:spPr>
            <a:solidFill>
              <a:schemeClr val="accent5">
                <a:lumMod val="5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RESULTADOS_TRANSPORTE!$U$30:$AB$30</c:f>
              <c:numCache>
                <c:formatCode>_(* #,##0.00_);_(* \(#,##0.00\);_(* "-"??_);_(@_)</c:formatCode>
                <c:ptCount val="8"/>
                <c:pt idx="0">
                  <c:v>4.2211985889697088</c:v>
                </c:pt>
                <c:pt idx="1">
                  <c:v>4.5034901499689566</c:v>
                </c:pt>
                <c:pt idx="2">
                  <c:v>4.8625341028035161</c:v>
                </c:pt>
                <c:pt idx="3">
                  <c:v>4.6074429525737486</c:v>
                </c:pt>
                <c:pt idx="4">
                  <c:v>4.3413901279366645</c:v>
                </c:pt>
                <c:pt idx="5">
                  <c:v>4.2503365941485027</c:v>
                </c:pt>
                <c:pt idx="6">
                  <c:v>4.2130148367934286</c:v>
                </c:pt>
                <c:pt idx="7">
                  <c:v>4.2865407615197793</c:v>
                </c:pt>
              </c:numCache>
            </c:numRef>
          </c:val>
          <c:extLst>
            <c:ext xmlns:c16="http://schemas.microsoft.com/office/drawing/2014/chart" uri="{C3380CC4-5D6E-409C-BE32-E72D297353CC}">
              <c16:uniqueId val="{00000000-303A-4D08-9176-289D13F9D930}"/>
            </c:ext>
          </c:extLst>
        </c:ser>
        <c:ser>
          <c:idx val="1"/>
          <c:order val="1"/>
          <c:tx>
            <c:strRef>
              <c:f>RESULTADOS_TRANSPORTE!$T$31</c:f>
              <c:strCache>
                <c:ptCount val="1"/>
                <c:pt idx="0">
                  <c:v>Transporte de carga</c:v>
                </c:pt>
              </c:strCache>
            </c:strRef>
          </c:tx>
          <c:spPr>
            <a:solidFill>
              <a:schemeClr val="accent5"/>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RESULTADOS_TRANSPORTE!$U$31:$AB$31</c:f>
              <c:numCache>
                <c:formatCode>_(* #,##0.00_);_(* \(#,##0.00\);_(* "-"??_);_(@_)</c:formatCode>
                <c:ptCount val="8"/>
                <c:pt idx="0">
                  <c:v>4.4620302218337331</c:v>
                </c:pt>
                <c:pt idx="1">
                  <c:v>5.4566764046475305</c:v>
                </c:pt>
                <c:pt idx="2">
                  <c:v>6.8720448600001243</c:v>
                </c:pt>
                <c:pt idx="3">
                  <c:v>8.0384191080031133</c:v>
                </c:pt>
                <c:pt idx="4">
                  <c:v>9.4167694527860863</c:v>
                </c:pt>
                <c:pt idx="5">
                  <c:v>11.021330332753115</c:v>
                </c:pt>
                <c:pt idx="6">
                  <c:v>12.922563360469601</c:v>
                </c:pt>
                <c:pt idx="7">
                  <c:v>15.406914084941201</c:v>
                </c:pt>
              </c:numCache>
            </c:numRef>
          </c:val>
          <c:extLst>
            <c:ext xmlns:c16="http://schemas.microsoft.com/office/drawing/2014/chart" uri="{C3380CC4-5D6E-409C-BE32-E72D297353CC}">
              <c16:uniqueId val="{00000001-303A-4D08-9176-289D13F9D930}"/>
            </c:ext>
          </c:extLst>
        </c:ser>
        <c:ser>
          <c:idx val="2"/>
          <c:order val="2"/>
          <c:tx>
            <c:strRef>
              <c:f>RESULTADOS_TRANSPORTE!$T$32</c:f>
              <c:strCache>
                <c:ptCount val="1"/>
                <c:pt idx="0">
                  <c:v>Transporte internacional - Aviación</c:v>
                </c:pt>
              </c:strCache>
            </c:strRef>
          </c:tx>
          <c:spPr>
            <a:solidFill>
              <a:schemeClr val="accent5">
                <a:lumMod val="60000"/>
                <a:lumOff val="4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RESULTADOS_TRANSPORTE!$U$32:$AB$32</c:f>
              <c:numCache>
                <c:formatCode>_(* #,##0.00_);_(* \(#,##0.00\);_(* "-"??_);_(@_)</c:formatCode>
                <c:ptCount val="8"/>
                <c:pt idx="0">
                  <c:v>0.26328619776232887</c:v>
                </c:pt>
                <c:pt idx="1">
                  <c:v>0.29035757392314177</c:v>
                </c:pt>
                <c:pt idx="2">
                  <c:v>0.3298469515641147</c:v>
                </c:pt>
                <c:pt idx="3">
                  <c:v>0.35755086589500845</c:v>
                </c:pt>
                <c:pt idx="4">
                  <c:v>0.37964842497165197</c:v>
                </c:pt>
                <c:pt idx="5">
                  <c:v>0.40203094125630268</c:v>
                </c:pt>
                <c:pt idx="6">
                  <c:v>0.42464689690048624</c:v>
                </c:pt>
                <c:pt idx="7">
                  <c:v>0.44778485958433889</c:v>
                </c:pt>
              </c:numCache>
            </c:numRef>
          </c:val>
          <c:extLst>
            <c:ext xmlns:c16="http://schemas.microsoft.com/office/drawing/2014/chart" uri="{C3380CC4-5D6E-409C-BE32-E72D297353CC}">
              <c16:uniqueId val="{00000002-303A-4D08-9176-289D13F9D930}"/>
            </c:ext>
          </c:extLst>
        </c:ser>
        <c:ser>
          <c:idx val="3"/>
          <c:order val="3"/>
          <c:tx>
            <c:strRef>
              <c:f>RESULTADOS_TRANSPORTE!$T$33</c:f>
              <c:strCache>
                <c:ptCount val="1"/>
                <c:pt idx="0">
                  <c:v>Transporte internacional - Navegación</c:v>
                </c:pt>
              </c:strCache>
            </c:strRef>
          </c:tx>
          <c:spPr>
            <a:solidFill>
              <a:schemeClr val="accent5">
                <a:lumMod val="20000"/>
                <a:lumOff val="8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RESULTADOS_TRANSPORTE!$U$33:$AB$33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303A-4D08-9176-289D13F9D930}"/>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r>
              <a:rPr lang="es-ES" b="1" i="1" baseline="0">
                <a:solidFill>
                  <a:schemeClr val="tx1">
                    <a:lumMod val="65000"/>
                    <a:lumOff val="35000"/>
                  </a:schemeClr>
                </a:solidFill>
              </a:rPr>
              <a:t> por tipo de combustible</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RESULTADOS_TRANSPORTE!$T$48</c:f>
              <c:strCache>
                <c:ptCount val="1"/>
                <c:pt idx="0">
                  <c:v>Gasolina</c:v>
                </c:pt>
              </c:strCache>
            </c:strRef>
          </c:tx>
          <c:spPr>
            <a:solidFill>
              <a:srgbClr val="C00000"/>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RESULTADOS_TRANSPORTE!$U$48:$AB$48</c:f>
              <c:numCache>
                <c:formatCode>_(* #,##0.00_);_(* \(#,##0.00\);_(* "-"??_);_(@_)</c:formatCode>
                <c:ptCount val="8"/>
                <c:pt idx="0">
                  <c:v>2.6191418349595805</c:v>
                </c:pt>
                <c:pt idx="1">
                  <c:v>2.9494205820892345</c:v>
                </c:pt>
                <c:pt idx="2">
                  <c:v>3.4971011323777885</c:v>
                </c:pt>
                <c:pt idx="3">
                  <c:v>3.6485668943400569</c:v>
                </c:pt>
                <c:pt idx="4">
                  <c:v>4.0044582529861064</c:v>
                </c:pt>
                <c:pt idx="5">
                  <c:v>4.4988762549950598</c:v>
                </c:pt>
                <c:pt idx="6">
                  <c:v>4.9854904367381119</c:v>
                </c:pt>
                <c:pt idx="7">
                  <c:v>5.636858664932344</c:v>
                </c:pt>
              </c:numCache>
            </c:numRef>
          </c:val>
          <c:extLst>
            <c:ext xmlns:c16="http://schemas.microsoft.com/office/drawing/2014/chart" uri="{C3380CC4-5D6E-409C-BE32-E72D297353CC}">
              <c16:uniqueId val="{00000000-7152-4DD1-A5A5-A41C9D8D198F}"/>
            </c:ext>
          </c:extLst>
        </c:ser>
        <c:ser>
          <c:idx val="1"/>
          <c:order val="1"/>
          <c:tx>
            <c:strRef>
              <c:f>RESULTADOS_TRANSPORTE!$T$49</c:f>
              <c:strCache>
                <c:ptCount val="1"/>
                <c:pt idx="0">
                  <c:v>Diesel</c:v>
                </c:pt>
              </c:strCache>
            </c:strRef>
          </c:tx>
          <c:spPr>
            <a:solidFill>
              <a:srgbClr val="FF5D5D"/>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RESULTADOS_TRANSPORTE!$U$49:$AB$49</c:f>
              <c:numCache>
                <c:formatCode>_(* #,##0.00_);_(* \(#,##0.00\);_(* "-"??_);_(@_)</c:formatCode>
                <c:ptCount val="8"/>
                <c:pt idx="0">
                  <c:v>5.8778687394458817</c:v>
                </c:pt>
                <c:pt idx="1">
                  <c:v>6.7854054099061543</c:v>
                </c:pt>
                <c:pt idx="2">
                  <c:v>7.913694596026061</c:v>
                </c:pt>
                <c:pt idx="3">
                  <c:v>8.4747810740617275</c:v>
                </c:pt>
                <c:pt idx="4">
                  <c:v>8.6993736432198503</c:v>
                </c:pt>
                <c:pt idx="5">
                  <c:v>8.8583742046487668</c:v>
                </c:pt>
                <c:pt idx="6">
                  <c:v>9.3652358030083889</c:v>
                </c:pt>
                <c:pt idx="7">
                  <c:v>10.4591922264272</c:v>
                </c:pt>
              </c:numCache>
            </c:numRef>
          </c:val>
          <c:extLst>
            <c:ext xmlns:c16="http://schemas.microsoft.com/office/drawing/2014/chart" uri="{C3380CC4-5D6E-409C-BE32-E72D297353CC}">
              <c16:uniqueId val="{00000001-7152-4DD1-A5A5-A41C9D8D198F}"/>
            </c:ext>
          </c:extLst>
        </c:ser>
        <c:ser>
          <c:idx val="2"/>
          <c:order val="2"/>
          <c:tx>
            <c:strRef>
              <c:f>RESULTADOS_TRANSPORTE!$T$50</c:f>
              <c:strCache>
                <c:ptCount val="1"/>
                <c:pt idx="0">
                  <c:v>Eléctrico</c:v>
                </c:pt>
              </c:strCache>
            </c:strRef>
          </c:tx>
          <c:spPr>
            <a:solidFill>
              <a:schemeClr val="accent3"/>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RESULTADOS_TRANSPORTE!$U$50:$AB$50</c:f>
              <c:numCache>
                <c:formatCode>_(* #,##0.00_);_(* \(#,##0.00\);_(* "-"??_);_(@_)</c:formatCode>
                <c:ptCount val="8"/>
                <c:pt idx="0">
                  <c:v>0.01</c:v>
                </c:pt>
                <c:pt idx="1">
                  <c:v>0.01</c:v>
                </c:pt>
                <c:pt idx="2">
                  <c:v>0.01</c:v>
                </c:pt>
                <c:pt idx="3">
                  <c:v>0.01</c:v>
                </c:pt>
                <c:pt idx="4">
                  <c:v>0.05</c:v>
                </c:pt>
                <c:pt idx="5">
                  <c:v>0.1</c:v>
                </c:pt>
                <c:pt idx="6">
                  <c:v>0.15</c:v>
                </c:pt>
                <c:pt idx="7">
                  <c:v>0.2</c:v>
                </c:pt>
              </c:numCache>
            </c:numRef>
          </c:val>
          <c:extLst>
            <c:ext xmlns:c16="http://schemas.microsoft.com/office/drawing/2014/chart" uri="{C3380CC4-5D6E-409C-BE32-E72D297353CC}">
              <c16:uniqueId val="{00000002-7152-4DD1-A5A5-A41C9D8D198F}"/>
            </c:ext>
          </c:extLst>
        </c:ser>
        <c:ser>
          <c:idx val="3"/>
          <c:order val="3"/>
          <c:tx>
            <c:strRef>
              <c:f>RESULTADOS_TRANSPORTE!$T$51</c:f>
              <c:strCache>
                <c:ptCount val="1"/>
                <c:pt idx="0">
                  <c:v>Gas Natural</c:v>
                </c:pt>
              </c:strCache>
            </c:strRef>
          </c:tx>
          <c:spPr>
            <a:solidFill>
              <a:schemeClr val="accent6"/>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RESULTADOS_TRANSPORTE!$U$51:$AB$51</c:f>
              <c:numCache>
                <c:formatCode>_(* #,##0.00_);_(* \(#,##0.00\);_(* "-"??_);_(@_)</c:formatCode>
                <c:ptCount val="8"/>
                <c:pt idx="0">
                  <c:v>0.17616184254380915</c:v>
                </c:pt>
                <c:pt idx="1">
                  <c:v>0.21526708706271147</c:v>
                </c:pt>
                <c:pt idx="2">
                  <c:v>0.31368063463743179</c:v>
                </c:pt>
                <c:pt idx="3">
                  <c:v>0.51234603138863222</c:v>
                </c:pt>
                <c:pt idx="4">
                  <c:v>1.0041041080735948</c:v>
                </c:pt>
                <c:pt idx="5">
                  <c:v>1.8141524075256803</c:v>
                </c:pt>
                <c:pt idx="6">
                  <c:v>2.6345583771807419</c:v>
                </c:pt>
                <c:pt idx="7">
                  <c:v>3.3970845547648603</c:v>
                </c:pt>
              </c:numCache>
            </c:numRef>
          </c:val>
          <c:extLst>
            <c:ext xmlns:c16="http://schemas.microsoft.com/office/drawing/2014/chart" uri="{C3380CC4-5D6E-409C-BE32-E72D297353CC}">
              <c16:uniqueId val="{00000003-7152-4DD1-A5A5-A41C9D8D198F}"/>
            </c:ext>
          </c:extLst>
        </c:ser>
        <c:ser>
          <c:idx val="4"/>
          <c:order val="4"/>
          <c:tx>
            <c:strRef>
              <c:f>RESULTADOS_TRANSPORTE!$T$52</c:f>
              <c:strCache>
                <c:ptCount val="1"/>
                <c:pt idx="0">
                  <c:v>GLP</c:v>
                </c:pt>
              </c:strCache>
            </c:strRef>
          </c:tx>
          <c:spPr>
            <a:solidFill>
              <a:schemeClr val="accent6">
                <a:lumMod val="40000"/>
                <a:lumOff val="60000"/>
              </a:schemeClr>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RESULTADOS_TRANSPORTE!$U$52:$AB$52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BC69-4472-BA20-12E6006A2349}"/>
            </c:ext>
          </c:extLst>
        </c:ser>
        <c:ser>
          <c:idx val="5"/>
          <c:order val="5"/>
          <c:tx>
            <c:strRef>
              <c:f>RESULTADOS_TRANSPORTE!$T$53</c:f>
              <c:strCache>
                <c:ptCount val="1"/>
                <c:pt idx="0">
                  <c:v>Queroseno Jet</c:v>
                </c:pt>
              </c:strCache>
            </c:strRef>
          </c:tx>
          <c:spPr>
            <a:solidFill>
              <a:schemeClr val="accent1"/>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2-D950-41E1-9D89-BADAD77FC9F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RESULTADOS_TRANSPORTE!$U$53:$AB$53</c:f>
              <c:numCache>
                <c:formatCode>_(* #,##0.00_);_(* \(#,##0.00\);_(* "-"??_);_(@_)</c:formatCode>
                <c:ptCount val="8"/>
                <c:pt idx="0">
                  <c:v>0.26334221124224971</c:v>
                </c:pt>
                <c:pt idx="1">
                  <c:v>0.29042897847437082</c:v>
                </c:pt>
                <c:pt idx="2">
                  <c:v>0.32993827131975051</c:v>
                </c:pt>
                <c:pt idx="3">
                  <c:v>0.35766019528177301</c:v>
                </c:pt>
                <c:pt idx="4">
                  <c:v>0.37977479648753776</c:v>
                </c:pt>
                <c:pt idx="5">
                  <c:v>0.40217498795397977</c:v>
                </c:pt>
                <c:pt idx="6">
                  <c:v>0.42480920527914301</c:v>
                </c:pt>
                <c:pt idx="7">
                  <c:v>0.44796610569748962</c:v>
                </c:pt>
              </c:numCache>
            </c:numRef>
          </c:val>
          <c:extLst>
            <c:ext xmlns:c16="http://schemas.microsoft.com/office/drawing/2014/chart" uri="{C3380CC4-5D6E-409C-BE32-E72D297353CC}">
              <c16:uniqueId val="{00000002-BC69-4472-BA20-12E6006A2349}"/>
            </c:ext>
          </c:extLst>
        </c:ser>
        <c:ser>
          <c:idx val="6"/>
          <c:order val="6"/>
          <c:tx>
            <c:strRef>
              <c:f>RESULTADOS_TRANSPORTE!$T$54</c:f>
              <c:strCache>
                <c:ptCount val="1"/>
                <c:pt idx="0">
                  <c:v>Vehículo de Hidrógeno</c:v>
                </c:pt>
              </c:strCache>
            </c:strRef>
          </c:tx>
          <c:spPr>
            <a:solidFill>
              <a:schemeClr val="accent1">
                <a:lumMod val="60000"/>
                <a:lumOff val="40000"/>
              </a:schemeClr>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1-D950-41E1-9D89-BADAD77FC9F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RESULTADOS_TRANSPORTE!$U$54:$AB$54</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BC69-4472-BA20-12E6006A234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12926357879717443"/>
          <c:h val="0.498909275764694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RESULTADOS_TRANSPORTE!$T$48:$U$48</c:f>
              <c:strCache>
                <c:ptCount val="2"/>
                <c:pt idx="0">
                  <c:v>Gasolina</c:v>
                </c:pt>
                <c:pt idx="1">
                  <c:v> 2,62 </c:v>
                </c:pt>
              </c:strCache>
            </c:strRef>
          </c:tx>
          <c:spPr>
            <a:solidFill>
              <a:schemeClr val="accent1"/>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RESULTADOS_TRANSPORTE!$V$48:$AB$48</c:f>
              <c:numCache>
                <c:formatCode>_(* #,##0.00_);_(* \(#,##0.00\);_(* "-"??_);_(@_)</c:formatCode>
                <c:ptCount val="7"/>
                <c:pt idx="0">
                  <c:v>2.9494205820892345</c:v>
                </c:pt>
                <c:pt idx="1">
                  <c:v>3.4971011323777885</c:v>
                </c:pt>
                <c:pt idx="2">
                  <c:v>3.6485668943400569</c:v>
                </c:pt>
                <c:pt idx="3">
                  <c:v>4.0044582529861064</c:v>
                </c:pt>
                <c:pt idx="4">
                  <c:v>4.4988762549950598</c:v>
                </c:pt>
                <c:pt idx="5">
                  <c:v>4.9854904367381119</c:v>
                </c:pt>
                <c:pt idx="6">
                  <c:v>5.636858664932344</c:v>
                </c:pt>
              </c:numCache>
            </c:numRef>
          </c:val>
          <c:extLst>
            <c:ext xmlns:c16="http://schemas.microsoft.com/office/drawing/2014/chart" uri="{C3380CC4-5D6E-409C-BE32-E72D297353CC}">
              <c16:uniqueId val="{00000000-241E-405B-AA6F-D31467E5D291}"/>
            </c:ext>
          </c:extLst>
        </c:ser>
        <c:ser>
          <c:idx val="1"/>
          <c:order val="1"/>
          <c:tx>
            <c:strRef>
              <c:f>RESULTADOS_TRANSPORTE!$T$49:$U$49</c:f>
              <c:strCache>
                <c:ptCount val="2"/>
                <c:pt idx="0">
                  <c:v>Diesel</c:v>
                </c:pt>
                <c:pt idx="1">
                  <c:v> 5,88 </c:v>
                </c:pt>
              </c:strCache>
            </c:strRef>
          </c:tx>
          <c:spPr>
            <a:solidFill>
              <a:schemeClr val="accent2"/>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RESULTADOS_TRANSPORTE!$V$49:$AB$49</c:f>
              <c:numCache>
                <c:formatCode>_(* #,##0.00_);_(* \(#,##0.00\);_(* "-"??_);_(@_)</c:formatCode>
                <c:ptCount val="7"/>
                <c:pt idx="0">
                  <c:v>6.7854054099061543</c:v>
                </c:pt>
                <c:pt idx="1">
                  <c:v>7.913694596026061</c:v>
                </c:pt>
                <c:pt idx="2">
                  <c:v>8.4747810740617275</c:v>
                </c:pt>
                <c:pt idx="3">
                  <c:v>8.6993736432198503</c:v>
                </c:pt>
                <c:pt idx="4">
                  <c:v>8.8583742046487668</c:v>
                </c:pt>
                <c:pt idx="5">
                  <c:v>9.3652358030083889</c:v>
                </c:pt>
                <c:pt idx="6">
                  <c:v>10.4591922264272</c:v>
                </c:pt>
              </c:numCache>
            </c:numRef>
          </c:val>
          <c:extLst>
            <c:ext xmlns:c16="http://schemas.microsoft.com/office/drawing/2014/chart" uri="{C3380CC4-5D6E-409C-BE32-E72D297353CC}">
              <c16:uniqueId val="{00000001-241E-405B-AA6F-D31467E5D291}"/>
            </c:ext>
          </c:extLst>
        </c:ser>
        <c:ser>
          <c:idx val="2"/>
          <c:order val="2"/>
          <c:tx>
            <c:strRef>
              <c:f>RESULTADOS_TRANSPORTE!$T$50:$U$50</c:f>
              <c:strCache>
                <c:ptCount val="2"/>
                <c:pt idx="0">
                  <c:v>Eléctrico</c:v>
                </c:pt>
                <c:pt idx="1">
                  <c:v> 0,01 </c:v>
                </c:pt>
              </c:strCache>
            </c:strRef>
          </c:tx>
          <c:spPr>
            <a:solidFill>
              <a:schemeClr val="accent3"/>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RESULTADOS_TRANSPORTE!$V$50:$AB$50</c:f>
              <c:numCache>
                <c:formatCode>_(* #,##0.00_);_(* \(#,##0.00\);_(* "-"??_);_(@_)</c:formatCode>
                <c:ptCount val="7"/>
                <c:pt idx="0">
                  <c:v>0.01</c:v>
                </c:pt>
                <c:pt idx="1">
                  <c:v>0.01</c:v>
                </c:pt>
                <c:pt idx="2">
                  <c:v>0.01</c:v>
                </c:pt>
                <c:pt idx="3">
                  <c:v>0.05</c:v>
                </c:pt>
                <c:pt idx="4">
                  <c:v>0.1</c:v>
                </c:pt>
                <c:pt idx="5">
                  <c:v>0.15</c:v>
                </c:pt>
                <c:pt idx="6">
                  <c:v>0.2</c:v>
                </c:pt>
              </c:numCache>
            </c:numRef>
          </c:val>
          <c:extLst>
            <c:ext xmlns:c16="http://schemas.microsoft.com/office/drawing/2014/chart" uri="{C3380CC4-5D6E-409C-BE32-E72D297353CC}">
              <c16:uniqueId val="{00000002-241E-405B-AA6F-D31467E5D291}"/>
            </c:ext>
          </c:extLst>
        </c:ser>
        <c:ser>
          <c:idx val="3"/>
          <c:order val="3"/>
          <c:tx>
            <c:strRef>
              <c:f>RESULTADOS_TRANSPORTE!$T$51:$U$51</c:f>
              <c:strCache>
                <c:ptCount val="2"/>
                <c:pt idx="0">
                  <c:v>Gas Natural</c:v>
                </c:pt>
                <c:pt idx="1">
                  <c:v> 0,18 </c:v>
                </c:pt>
              </c:strCache>
            </c:strRef>
          </c:tx>
          <c:spPr>
            <a:solidFill>
              <a:schemeClr val="accent4"/>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RESULTADOS_TRANSPORTE!$V$51:$AB$51</c:f>
              <c:numCache>
                <c:formatCode>_(* #,##0.00_);_(* \(#,##0.00\);_(* "-"??_);_(@_)</c:formatCode>
                <c:ptCount val="7"/>
                <c:pt idx="0">
                  <c:v>0.21526708706271147</c:v>
                </c:pt>
                <c:pt idx="1">
                  <c:v>0.31368063463743179</c:v>
                </c:pt>
                <c:pt idx="2">
                  <c:v>0.51234603138863222</c:v>
                </c:pt>
                <c:pt idx="3">
                  <c:v>1.0041041080735948</c:v>
                </c:pt>
                <c:pt idx="4">
                  <c:v>1.8141524075256803</c:v>
                </c:pt>
                <c:pt idx="5">
                  <c:v>2.6345583771807419</c:v>
                </c:pt>
                <c:pt idx="6">
                  <c:v>3.3970845547648603</c:v>
                </c:pt>
              </c:numCache>
            </c:numRef>
          </c:val>
          <c:extLst>
            <c:ext xmlns:c16="http://schemas.microsoft.com/office/drawing/2014/chart" uri="{C3380CC4-5D6E-409C-BE32-E72D297353CC}">
              <c16:uniqueId val="{00000003-241E-405B-AA6F-D31467E5D291}"/>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Mt CO2 e</a:t>
                </a:r>
              </a:p>
            </c:rich>
          </c:tx>
          <c:layout>
            <c:manualLayout>
              <c:xMode val="edge"/>
              <c:yMode val="edge"/>
              <c:x val="4.8692960370608175E-4"/>
              <c:y val="0.4070504017322482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generadas por mejores</a:t>
            </a:r>
            <a:r>
              <a:rPr lang="es-ES" b="1" i="1" baseline="0">
                <a:solidFill>
                  <a:schemeClr val="tx1">
                    <a:lumMod val="65000"/>
                    <a:lumOff val="35000"/>
                  </a:schemeClr>
                </a:solidFill>
              </a:rPr>
              <a:t> prácticas agrícolas y tierras para biocombustibles</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1"/>
          <c:order val="0"/>
          <c:tx>
            <c:strRef>
              <c:f>RESULTADOS_AGRICULTURA!$T$10</c:f>
              <c:strCache>
                <c:ptCount val="1"/>
                <c:pt idx="0">
                  <c:v>Cultivo de biocombustibles </c:v>
                </c:pt>
              </c:strCache>
            </c:strRef>
          </c:tx>
          <c:spPr>
            <a:solidFill>
              <a:srgbClr val="92D050"/>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RESULTADOS_AGRICULTURA!$U$10:$AB$10</c:f>
              <c:numCache>
                <c:formatCode>_(* #,##0.00_);_(* \(#,##0.00\);_(* "-"??_);_(@_)</c:formatCode>
                <c:ptCount val="8"/>
                <c:pt idx="0">
                  <c:v>0.29630333961804778</c:v>
                </c:pt>
                <c:pt idx="1">
                  <c:v>0.29592249151291378</c:v>
                </c:pt>
                <c:pt idx="2">
                  <c:v>0.29592249151291378</c:v>
                </c:pt>
                <c:pt idx="3">
                  <c:v>0.29592249151291378</c:v>
                </c:pt>
                <c:pt idx="4">
                  <c:v>0.29592249151291378</c:v>
                </c:pt>
                <c:pt idx="5">
                  <c:v>0.29592249151291378</c:v>
                </c:pt>
                <c:pt idx="6">
                  <c:v>0.29592249151291378</c:v>
                </c:pt>
                <c:pt idx="7">
                  <c:v>0.29592249151291378</c:v>
                </c:pt>
              </c:numCache>
            </c:numRef>
          </c:val>
          <c:extLst>
            <c:ext xmlns:c16="http://schemas.microsoft.com/office/drawing/2014/chart" uri="{C3380CC4-5D6E-409C-BE32-E72D297353CC}">
              <c16:uniqueId val="{00000001-CC8A-460D-8C16-7E6DA807B3D1}"/>
            </c:ext>
          </c:extLst>
        </c:ser>
        <c:ser>
          <c:idx val="2"/>
          <c:order val="1"/>
          <c:tx>
            <c:strRef>
              <c:f>RESULTADOS_AGRICULTURA!$T$11</c:f>
              <c:strCache>
                <c:ptCount val="1"/>
                <c:pt idx="0">
                  <c:v>Mejores prácticas </c:v>
                </c:pt>
              </c:strCache>
            </c:strRef>
          </c:tx>
          <c:spPr>
            <a:solidFill>
              <a:schemeClr val="accent6"/>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RESULTADOS_AGRICULTURA!$U$11:$AB$11</c:f>
              <c:numCache>
                <c:formatCode>_(* #,##0.00_);_(* \(#,##0.00\);_(* "-"??_);_(@_)</c:formatCode>
                <c:ptCount val="8"/>
                <c:pt idx="0">
                  <c:v>-9.8028785310310344E-3</c:v>
                </c:pt>
                <c:pt idx="1">
                  <c:v>-9.8028785310310344E-3</c:v>
                </c:pt>
                <c:pt idx="2">
                  <c:v>-9.8028785310310344E-3</c:v>
                </c:pt>
                <c:pt idx="3">
                  <c:v>-9.8028785310310344E-3</c:v>
                </c:pt>
                <c:pt idx="4">
                  <c:v>-9.8028785310310344E-3</c:v>
                </c:pt>
                <c:pt idx="5">
                  <c:v>-9.8028785310310344E-3</c:v>
                </c:pt>
                <c:pt idx="6">
                  <c:v>-9.8028785310310344E-3</c:v>
                </c:pt>
                <c:pt idx="7">
                  <c:v>-9.8028785310310344E-3</c:v>
                </c:pt>
              </c:numCache>
            </c:numRef>
          </c:val>
          <c:extLst>
            <c:ext xmlns:c16="http://schemas.microsoft.com/office/drawing/2014/chart" uri="{C3380CC4-5D6E-409C-BE32-E72D297353CC}">
              <c16:uniqueId val="{00000006-CC8A-460D-8C16-7E6DA807B3D1}"/>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6486781137202908"/>
          <c:y val="0.45741442712547037"/>
          <c:w val="0.14099344221851934"/>
          <c:h val="0.132710754349120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Potencial</a:t>
            </a:r>
            <a:r>
              <a:rPr lang="es-ES" b="1" i="1" baseline="0">
                <a:solidFill>
                  <a:schemeClr val="tx1">
                    <a:lumMod val="65000"/>
                    <a:lumOff val="35000"/>
                  </a:schemeClr>
                </a:solidFill>
              </a:rPr>
              <a:t> energético </a:t>
            </a:r>
            <a:r>
              <a:rPr lang="es-ES" sz="1400" b="1" i="1" u="none" strike="noStrike" baseline="0">
                <a:effectLst/>
              </a:rPr>
              <a:t>para el aprovechamiento de residuos agrícolas y de biocombustibles</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RESULTADOS_AGRICULTURA!$T$29</c:f>
              <c:strCache>
                <c:ptCount val="1"/>
                <c:pt idx="0">
                  <c:v>Cultivos</c:v>
                </c:pt>
              </c:strCache>
            </c:strRef>
          </c:tx>
          <c:spPr>
            <a:solidFill>
              <a:srgbClr val="639729"/>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RESULTADOS_AGRICULTURA!$U$29:$AB$29</c:f>
              <c:numCache>
                <c:formatCode>_(* #,##0.00_);_(* \(#,##0.00\);_(* "-"??_);_(@_)</c:formatCode>
                <c:ptCount val="8"/>
                <c:pt idx="0">
                  <c:v>0.46444490631670859</c:v>
                </c:pt>
                <c:pt idx="1">
                  <c:v>0.46387377706626448</c:v>
                </c:pt>
                <c:pt idx="2">
                  <c:v>0.46366236768120134</c:v>
                </c:pt>
                <c:pt idx="3">
                  <c:v>0.46345123002734379</c:v>
                </c:pt>
                <c:pt idx="4">
                  <c:v>0.4632403637554271</c:v>
                </c:pt>
                <c:pt idx="5">
                  <c:v>0.46302976851663546</c:v>
                </c:pt>
                <c:pt idx="6">
                  <c:v>0.46281944396260133</c:v>
                </c:pt>
                <c:pt idx="7">
                  <c:v>0.46260938974540505</c:v>
                </c:pt>
              </c:numCache>
            </c:numRef>
          </c:val>
          <c:extLst>
            <c:ext xmlns:c16="http://schemas.microsoft.com/office/drawing/2014/chart" uri="{C3380CC4-5D6E-409C-BE32-E72D297353CC}">
              <c16:uniqueId val="{00000000-231E-4EBA-BF13-80D1C04A3F43}"/>
            </c:ext>
          </c:extLst>
        </c:ser>
        <c:ser>
          <c:idx val="1"/>
          <c:order val="1"/>
          <c:tx>
            <c:strRef>
              <c:f>RESULTADOS_AGRICULTURA!$T$30</c:f>
              <c:strCache>
                <c:ptCount val="1"/>
                <c:pt idx="0">
                  <c:v>Biocombustibles</c:v>
                </c:pt>
              </c:strCache>
            </c:strRef>
          </c:tx>
          <c:spPr>
            <a:solidFill>
              <a:srgbClr val="92D050"/>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RESULTADOS_AGRICULTURA!$U$30:$AB$30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231E-4EBA-BF13-80D1C04A3F4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799562174823052"/>
          <c:y val="0.42035214760835043"/>
          <c:w val="0.13689000107917329"/>
          <c:h val="0.2909200124414362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Tierras</a:t>
            </a:r>
            <a:r>
              <a:rPr lang="es-ES" b="1" i="1" baseline="0">
                <a:solidFill>
                  <a:schemeClr val="tx1">
                    <a:lumMod val="65000"/>
                    <a:lumOff val="35000"/>
                  </a:schemeClr>
                </a:solidFill>
              </a:rPr>
              <a:t> dedicada a Biocombustibles </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RESULTADOS_AGRICULTURA!$T$52</c:f>
              <c:strCache>
                <c:ptCount val="1"/>
                <c:pt idx="0">
                  <c:v>Palma de Aceite</c:v>
                </c:pt>
              </c:strCache>
            </c:strRef>
          </c:tx>
          <c:spPr>
            <a:solidFill>
              <a:schemeClr val="accent6">
                <a:lumMod val="75000"/>
              </a:schemeClr>
            </a:solidFill>
            <a:ln w="25400">
              <a:noFill/>
            </a:ln>
            <a:effectLst/>
          </c:spPr>
          <c:cat>
            <c:numRef>
              <c:f>RESULTADOS_AGRICULTURA!$U$51:$AB$51</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RESULTADOS_AGRICULTURA!$U$52:$AB$52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0196-4A66-A4FB-B4599BFAD502}"/>
            </c:ext>
          </c:extLst>
        </c:ser>
        <c:ser>
          <c:idx val="1"/>
          <c:order val="1"/>
          <c:tx>
            <c:strRef>
              <c:f>RESULTADOS_AGRICULTURA!$T$53</c:f>
              <c:strCache>
                <c:ptCount val="1"/>
                <c:pt idx="0">
                  <c:v>Caña de Azúcar</c:v>
                </c:pt>
              </c:strCache>
            </c:strRef>
          </c:tx>
          <c:spPr>
            <a:solidFill>
              <a:srgbClr val="92D050"/>
            </a:solidFill>
            <a:ln w="25400">
              <a:noFill/>
            </a:ln>
            <a:effectLst/>
          </c:spPr>
          <c:cat>
            <c:numRef>
              <c:f>RESULTADOS_AGRICULTURA!$U$51:$AB$51</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RESULTADOS_AGRICULTURA!$U$53:$AB$53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0196-4A66-A4FB-B4599BFAD502}"/>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075680069188687"/>
          <c:y val="0.45481453492033508"/>
          <c:w val="9.9382743258586634E-2"/>
          <c:h val="0.14179104477611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a:t>
            </a:r>
            <a:r>
              <a:rPr lang="es-ES" b="1" i="1" baseline="0">
                <a:solidFill>
                  <a:schemeClr val="tx1">
                    <a:lumMod val="65000"/>
                    <a:lumOff val="35000"/>
                  </a:schemeClr>
                </a:solidFill>
              </a:rPr>
              <a:t> la implementación de prácticas sostenibles</a:t>
            </a:r>
            <a:endParaRPr lang="es-ES" b="1" i="1">
              <a:solidFill>
                <a:schemeClr val="tx1">
                  <a:lumMod val="65000"/>
                  <a:lumOff val="35000"/>
                </a:schemeClr>
              </a:solidFill>
            </a:endParaRPr>
          </a:p>
        </c:rich>
      </c:tx>
      <c:layout>
        <c:manualLayout>
          <c:xMode val="edge"/>
          <c:yMode val="edge"/>
          <c:x val="0.17420690116903748"/>
          <c:y val="4.729730358817083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RESULTADOS_GANADERIA!#REF!</c:f>
              <c:strCache>
                <c:ptCount val="1"/>
                <c:pt idx="0">
                  <c:v>#¡REF!</c:v>
                </c:pt>
              </c:strCache>
            </c:strRef>
          </c:tx>
          <c:spPr>
            <a:solidFill>
              <a:schemeClr val="accent1"/>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RESULTADOS_GANADERIA!#REF!</c:f>
              <c:numCache>
                <c:formatCode>General</c:formatCode>
                <c:ptCount val="1"/>
                <c:pt idx="0">
                  <c:v>1</c:v>
                </c:pt>
              </c:numCache>
            </c:numRef>
          </c:val>
          <c:extLst>
            <c:ext xmlns:c16="http://schemas.microsoft.com/office/drawing/2014/chart" uri="{C3380CC4-5D6E-409C-BE32-E72D297353CC}">
              <c16:uniqueId val="{00000000-2A75-4673-A5B6-CCC587647970}"/>
            </c:ext>
          </c:extLst>
        </c:ser>
        <c:ser>
          <c:idx val="1"/>
          <c:order val="1"/>
          <c:tx>
            <c:strRef>
              <c:f>RESULTADOS_GANADERIA!$T$10</c:f>
              <c:strCache>
                <c:ptCount val="1"/>
                <c:pt idx="0">
                  <c:v>Hato ganadero</c:v>
                </c:pt>
              </c:strCache>
            </c:strRef>
          </c:tx>
          <c:spPr>
            <a:solidFill>
              <a:schemeClr val="accent4">
                <a:lumMod val="60000"/>
                <a:lumOff val="40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RESULTADOS_GANADERIA!$U$10:$AB$10</c:f>
              <c:numCache>
                <c:formatCode>_(* #,##0.00_);_(* \(#,##0.00\);_(* "-"??_);_(@_)</c:formatCode>
                <c:ptCount val="8"/>
                <c:pt idx="0" formatCode="0.00">
                  <c:v>1.2857885016480002</c:v>
                </c:pt>
                <c:pt idx="1">
                  <c:v>1.341348190308</c:v>
                </c:pt>
                <c:pt idx="2">
                  <c:v>1.4569844758560002</c:v>
                </c:pt>
                <c:pt idx="3">
                  <c:v>1.5792673145760001</c:v>
                </c:pt>
                <c:pt idx="4">
                  <c:v>1.701550153296</c:v>
                </c:pt>
                <c:pt idx="5">
                  <c:v>1.8238329920159999</c:v>
                </c:pt>
                <c:pt idx="6">
                  <c:v>1.946115830736</c:v>
                </c:pt>
                <c:pt idx="7">
                  <c:v>2.0683986694560001</c:v>
                </c:pt>
              </c:numCache>
            </c:numRef>
          </c:val>
          <c:extLst>
            <c:ext xmlns:c16="http://schemas.microsoft.com/office/drawing/2014/chart" uri="{C3380CC4-5D6E-409C-BE32-E72D297353CC}">
              <c16:uniqueId val="{00000001-2A75-4673-A5B6-CCC587647970}"/>
            </c:ext>
          </c:extLst>
        </c:ser>
        <c:ser>
          <c:idx val="2"/>
          <c:order val="2"/>
          <c:tx>
            <c:strRef>
              <c:f>RESULTADOS_GANADERIA!$T$11</c:f>
              <c:strCache>
                <c:ptCount val="1"/>
                <c:pt idx="0">
                  <c:v>Prácticas sostenibles</c:v>
                </c:pt>
              </c:strCache>
            </c:strRef>
          </c:tx>
          <c:spPr>
            <a:solidFill>
              <a:schemeClr val="accent4"/>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RESULTADOS_GANADERIA!$U$11:$AB$11</c:f>
              <c:numCache>
                <c:formatCode>0.00</c:formatCode>
                <c:ptCount val="8"/>
                <c:pt idx="0">
                  <c:v>3.5965090450599008E-2</c:v>
                </c:pt>
                <c:pt idx="1">
                  <c:v>3.6183897238623905E-2</c:v>
                </c:pt>
                <c:pt idx="2">
                  <c:v>3.6730914208686141E-2</c:v>
                </c:pt>
                <c:pt idx="3">
                  <c:v>3.7277931178748377E-2</c:v>
                </c:pt>
                <c:pt idx="4">
                  <c:v>3.7824948148810614E-2</c:v>
                </c:pt>
                <c:pt idx="5">
                  <c:v>3.837196511887285E-2</c:v>
                </c:pt>
                <c:pt idx="6">
                  <c:v>3.8918982088935086E-2</c:v>
                </c:pt>
                <c:pt idx="7">
                  <c:v>3.9465999058997329E-2</c:v>
                </c:pt>
              </c:numCache>
            </c:numRef>
          </c:val>
          <c:extLst>
            <c:ext xmlns:c16="http://schemas.microsoft.com/office/drawing/2014/chart" uri="{C3380CC4-5D6E-409C-BE32-E72D297353CC}">
              <c16:uniqueId val="{00000003-2A75-4673-A5B6-CCC587647970}"/>
            </c:ext>
          </c:extLst>
        </c:ser>
        <c:ser>
          <c:idx val="3"/>
          <c:order val="3"/>
          <c:tx>
            <c:strRef>
              <c:f>RESULTADOS_GANADERIA!$T$12</c:f>
              <c:strCache>
                <c:ptCount val="1"/>
                <c:pt idx="0">
                  <c:v>Mejores prácticas pecuarias</c:v>
                </c:pt>
              </c:strCache>
            </c:strRef>
          </c:tx>
          <c:spPr>
            <a:solidFill>
              <a:schemeClr val="accent4">
                <a:lumMod val="75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RESULTADOS_GANADERIA!$U$12:$AB$12</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BAB5-4D21-B88D-B53354A2E162}"/>
            </c:ext>
          </c:extLst>
        </c:ser>
        <c:ser>
          <c:idx val="4"/>
          <c:order val="4"/>
          <c:tx>
            <c:strRef>
              <c:f>RESULTADOS_GANADERIA!$T$13</c:f>
              <c:strCache>
                <c:ptCount val="1"/>
                <c:pt idx="0">
                  <c:v>Manejo de estiércol </c:v>
                </c:pt>
              </c:strCache>
            </c:strRef>
          </c:tx>
          <c:spPr>
            <a:solidFill>
              <a:schemeClr val="accent4">
                <a:lumMod val="50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RESULTADOS_GANADERIA!$U$13:$AB$13</c:f>
              <c:numCache>
                <c:formatCode>0.00</c:formatCode>
                <c:ptCount val="8"/>
                <c:pt idx="0">
                  <c:v>0.8333531746062095</c:v>
                </c:pt>
                <c:pt idx="1">
                  <c:v>0.86936286272023422</c:v>
                </c:pt>
                <c:pt idx="2">
                  <c:v>0.9443097653699184</c:v>
                </c:pt>
                <c:pt idx="3">
                  <c:v>1.0235644730582818</c:v>
                </c:pt>
                <c:pt idx="4">
                  <c:v>1.1028191807466454</c:v>
                </c:pt>
                <c:pt idx="5">
                  <c:v>1.1820738884350088</c:v>
                </c:pt>
                <c:pt idx="6">
                  <c:v>1.2613285961233722</c:v>
                </c:pt>
                <c:pt idx="7">
                  <c:v>1.3405833038117358</c:v>
                </c:pt>
              </c:numCache>
            </c:numRef>
          </c:val>
          <c:extLst>
            <c:ext xmlns:c16="http://schemas.microsoft.com/office/drawing/2014/chart" uri="{C3380CC4-5D6E-409C-BE32-E72D297353CC}">
              <c16:uniqueId val="{00000001-BAB5-4D21-B88D-B53354A2E162}"/>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egendEntry>
        <c:idx val="4"/>
        <c:delete val="1"/>
      </c:legendEntry>
      <c:layout>
        <c:manualLayout>
          <c:xMode val="edge"/>
          <c:yMode val="edge"/>
          <c:x val="0.73312619720163663"/>
          <c:y val="0.33956267373767557"/>
          <c:w val="0.142472296628121"/>
          <c:h val="0.266049194782027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Producción de bioenergía</a:t>
            </a:r>
            <a:r>
              <a:rPr lang="es-ES" b="1" i="1" baseline="0">
                <a:solidFill>
                  <a:schemeClr val="tx1">
                    <a:lumMod val="65000"/>
                    <a:lumOff val="35000"/>
                  </a:schemeClr>
                </a:solidFill>
              </a:rPr>
              <a:t> a través </a:t>
            </a:r>
            <a:r>
              <a:rPr lang="es-ES" b="1" i="1">
                <a:solidFill>
                  <a:schemeClr val="tx1">
                    <a:lumMod val="65000"/>
                    <a:lumOff val="35000"/>
                  </a:schemeClr>
                </a:solidFill>
              </a:rPr>
              <a:t>del estiércol</a:t>
            </a:r>
          </a:p>
        </c:rich>
      </c:tx>
      <c:layout>
        <c:manualLayout>
          <c:xMode val="edge"/>
          <c:yMode val="edge"/>
          <c:x val="0.16141050252654598"/>
          <c:y val="2.4550637946071721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RESULTADOS_GANADERIA!$T$29</c:f>
              <c:strCache>
                <c:ptCount val="1"/>
                <c:pt idx="0">
                  <c:v>Hembras</c:v>
                </c:pt>
              </c:strCache>
            </c:strRef>
          </c:tx>
          <c:spPr>
            <a:solidFill>
              <a:schemeClr val="accent4"/>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RESULTADOS_GANADERIA!$U$29:$AB$29</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FA97-40CF-8834-A28BA68F59F2}"/>
            </c:ext>
          </c:extLst>
        </c:ser>
        <c:ser>
          <c:idx val="1"/>
          <c:order val="1"/>
          <c:tx>
            <c:strRef>
              <c:f>RESULTADOS_GANADERIA!$T$30</c:f>
              <c:strCache>
                <c:ptCount val="1"/>
                <c:pt idx="0">
                  <c:v>Machos </c:v>
                </c:pt>
              </c:strCache>
            </c:strRef>
          </c:tx>
          <c:spPr>
            <a:solidFill>
              <a:schemeClr val="accent4">
                <a:lumMod val="75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RESULTADOS_GANADERIA!$U$30:$AB$30</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BA54-4C7A-B81F-E954BDBB87AB}"/>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558531664705373"/>
          <c:y val="0.33646101587446819"/>
          <c:w val="0.10976576074169582"/>
          <c:h val="0.225901973038355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s-ES" b="1" i="1">
                <a:solidFill>
                  <a:schemeClr val="tx1">
                    <a:lumMod val="50000"/>
                    <a:lumOff val="50000"/>
                  </a:schemeClr>
                </a:solidFill>
              </a:rPr>
              <a:t>Emisiones</a:t>
            </a:r>
            <a:r>
              <a:rPr lang="es-ES" b="1" i="1" baseline="0">
                <a:solidFill>
                  <a:schemeClr val="tx1">
                    <a:lumMod val="50000"/>
                    <a:lumOff val="50000"/>
                  </a:schemeClr>
                </a:solidFill>
              </a:rPr>
              <a:t> y </a:t>
            </a:r>
            <a:r>
              <a:rPr lang="es-ES" b="1" i="1">
                <a:solidFill>
                  <a:schemeClr val="tx1">
                    <a:lumMod val="50000"/>
                    <a:lumOff val="50000"/>
                  </a:schemeClr>
                </a:solidFill>
              </a:rPr>
              <a:t>absorciones</a:t>
            </a:r>
            <a:r>
              <a:rPr lang="es-ES" b="1" i="1" baseline="0">
                <a:solidFill>
                  <a:schemeClr val="tx1">
                    <a:lumMod val="50000"/>
                    <a:lumOff val="50000"/>
                  </a:schemeClr>
                </a:solidFill>
              </a:rPr>
              <a:t> de carbono </a:t>
            </a:r>
            <a:r>
              <a:rPr lang="es-ES" b="1" i="1">
                <a:solidFill>
                  <a:schemeClr val="tx1">
                    <a:lumMod val="50000"/>
                    <a:lumOff val="50000"/>
                  </a:schemeClr>
                </a:solidFill>
              </a:rPr>
              <a:t>por prácticas forestales</a:t>
            </a: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1"/>
          <c:order val="0"/>
          <c:tx>
            <c:strRef>
              <c:f>RESULTADOS_BOSQUES!$T$10</c:f>
              <c:strCache>
                <c:ptCount val="1"/>
                <c:pt idx="0">
                  <c:v>Absorciones por plantaciones comerciales</c:v>
                </c:pt>
              </c:strCache>
            </c:strRef>
          </c:tx>
          <c:spPr>
            <a:solidFill>
              <a:schemeClr val="accent6">
                <a:lumMod val="75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RESULTADOS_BOSQUES!$U$10:$AB$10</c:f>
              <c:numCache>
                <c:formatCode>_(* #,##0.00_);_(* \(#,##0.00\);_(* "-"??_);_(@_)</c:formatCode>
                <c:ptCount val="8"/>
                <c:pt idx="0">
                  <c:v>-0.13332746401003859</c:v>
                </c:pt>
                <c:pt idx="1">
                  <c:v>-0.16320488533435534</c:v>
                </c:pt>
                <c:pt idx="2">
                  <c:v>-0.18216121952620817</c:v>
                </c:pt>
                <c:pt idx="3">
                  <c:v>-0.20091274628859196</c:v>
                </c:pt>
                <c:pt idx="4">
                  <c:v>-0.22515227256120157</c:v>
                </c:pt>
                <c:pt idx="5">
                  <c:v>-0.24861072644557705</c:v>
                </c:pt>
                <c:pt idx="6">
                  <c:v>-0.27206918032995248</c:v>
                </c:pt>
                <c:pt idx="7">
                  <c:v>-0.29552763421432798</c:v>
                </c:pt>
              </c:numCache>
            </c:numRef>
          </c:val>
          <c:extLst>
            <c:ext xmlns:c16="http://schemas.microsoft.com/office/drawing/2014/chart" uri="{C3380CC4-5D6E-409C-BE32-E72D297353CC}">
              <c16:uniqueId val="{00000006-DF88-4E6E-88EB-2A7E155DC343}"/>
            </c:ext>
          </c:extLst>
        </c:ser>
        <c:ser>
          <c:idx val="0"/>
          <c:order val="1"/>
          <c:tx>
            <c:strRef>
              <c:f>RESULTADOS_BOSQUES!$T$11</c:f>
              <c:strCache>
                <c:ptCount val="1"/>
                <c:pt idx="0">
                  <c:v>Emisiones por deforestación</c:v>
                </c:pt>
              </c:strCache>
            </c:strRef>
          </c:tx>
          <c:spPr>
            <a:solidFill>
              <a:schemeClr val="accent6">
                <a:lumMod val="50000"/>
              </a:schemeClr>
            </a:solidFill>
            <a:ln w="25400">
              <a:noFill/>
            </a:ln>
            <a:effectLst/>
          </c:spPr>
          <c:val>
            <c:numRef>
              <c:f>RESULTADOS_BOSQUES!$U$11:$AB$11</c:f>
              <c:numCache>
                <c:formatCode>0.00</c:formatCode>
                <c:ptCount val="8"/>
                <c:pt idx="0">
                  <c:v>9.6194261919669927E-2</c:v>
                </c:pt>
                <c:pt idx="1">
                  <c:v>0.10554864977708189</c:v>
                </c:pt>
                <c:pt idx="2">
                  <c:v>0.11525766295412736</c:v>
                </c:pt>
                <c:pt idx="3">
                  <c:v>0.10442369987864994</c:v>
                </c:pt>
                <c:pt idx="4">
                  <c:v>0.10945825527111679</c:v>
                </c:pt>
                <c:pt idx="5">
                  <c:v>0.11223434442385447</c:v>
                </c:pt>
                <c:pt idx="6">
                  <c:v>0.1150104335765922</c:v>
                </c:pt>
                <c:pt idx="7">
                  <c:v>0.11778652272932985</c:v>
                </c:pt>
              </c:numCache>
            </c:numRef>
          </c:val>
          <c:extLst>
            <c:ext xmlns:c16="http://schemas.microsoft.com/office/drawing/2014/chart" uri="{C3380CC4-5D6E-409C-BE32-E72D297353CC}">
              <c16:uniqueId val="{00000000-27E0-4FC1-9859-D899D27DE6A4}"/>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887955453957244"/>
          <c:y val="0.42217095244169228"/>
          <c:w val="0.22845749083610725"/>
          <c:h val="0.142545507361341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s-ES" b="1" i="1">
                <a:solidFill>
                  <a:schemeClr val="tx1">
                    <a:lumMod val="50000"/>
                    <a:lumOff val="50000"/>
                  </a:schemeClr>
                </a:solidFill>
              </a:rPr>
              <a:t>Superficie de deforestación</a:t>
            </a:r>
            <a:r>
              <a:rPr lang="es-ES" b="1" i="1" baseline="0">
                <a:solidFill>
                  <a:schemeClr val="tx1">
                    <a:lumMod val="50000"/>
                    <a:lumOff val="50000"/>
                  </a:schemeClr>
                </a:solidFill>
              </a:rPr>
              <a:t> y reforestación acumulada</a:t>
            </a:r>
            <a:endParaRPr lang="es-ES" b="1" i="1">
              <a:solidFill>
                <a:schemeClr val="tx1">
                  <a:lumMod val="50000"/>
                  <a:lumOff val="50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0"/>
          <c:order val="0"/>
          <c:tx>
            <c:strRef>
              <c:f>RESULTADOS_BOSQUES!$T$29</c:f>
              <c:strCache>
                <c:ptCount val="1"/>
                <c:pt idx="0">
                  <c:v>Superficie total deforestación acumulada</c:v>
                </c:pt>
              </c:strCache>
            </c:strRef>
          </c:tx>
          <c:spPr>
            <a:solidFill>
              <a:schemeClr val="accent6">
                <a:lumMod val="75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RESULTADOS_BOSQUES!$U$29:$AB$29</c:f>
              <c:numCache>
                <c:formatCode>_-* #,##0_-;\-* #,##0_-;_-* "-"??_-;_-@_-</c:formatCode>
                <c:ptCount val="8"/>
                <c:pt idx="0">
                  <c:v>-294.50528708223351</c:v>
                </c:pt>
                <c:pt idx="1">
                  <c:v>-323.14438287077701</c:v>
                </c:pt>
                <c:pt idx="2">
                  <c:v>-352.86918823784515</c:v>
                </c:pt>
                <c:pt idx="3">
                  <c:v>-319.70027210804261</c:v>
                </c:pt>
                <c:pt idx="4">
                  <c:v>-335.11390647251261</c:v>
                </c:pt>
                <c:pt idx="5">
                  <c:v>-343.61309256300547</c:v>
                </c:pt>
                <c:pt idx="6">
                  <c:v>-352.11227865349844</c:v>
                </c:pt>
                <c:pt idx="7">
                  <c:v>-360.61146474399123</c:v>
                </c:pt>
              </c:numCache>
            </c:numRef>
          </c:val>
          <c:extLst>
            <c:ext xmlns:c16="http://schemas.microsoft.com/office/drawing/2014/chart" uri="{C3380CC4-5D6E-409C-BE32-E72D297353CC}">
              <c16:uniqueId val="{00000000-E060-4E54-8DA8-1D5B77CA35CA}"/>
            </c:ext>
          </c:extLst>
        </c:ser>
        <c:ser>
          <c:idx val="1"/>
          <c:order val="1"/>
          <c:tx>
            <c:strRef>
              <c:f>RESULTADOS_BOSQUES!$T$30</c:f>
              <c:strCache>
                <c:ptCount val="1"/>
                <c:pt idx="0">
                  <c:v>Superficie reforestación comercial acumulada</c:v>
                </c:pt>
              </c:strCache>
            </c:strRef>
          </c:tx>
          <c:spPr>
            <a:solidFill>
              <a:schemeClr val="accent6">
                <a:lumMod val="50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RESULTADOS_BOSQUES!$U$30:$AB$30</c:f>
              <c:numCache>
                <c:formatCode>_-* #,##0_-;\-* #,##0_-;_-* "-"??_-;_-@_-</c:formatCode>
                <c:ptCount val="8"/>
                <c:pt idx="0">
                  <c:v>3873.4498279148088</c:v>
                </c:pt>
                <c:pt idx="1">
                  <c:v>4336.3677358769874</c:v>
                </c:pt>
                <c:pt idx="2">
                  <c:v>4833.9729530188915</c:v>
                </c:pt>
                <c:pt idx="3">
                  <c:v>5331.5781701607975</c:v>
                </c:pt>
                <c:pt idx="4">
                  <c:v>5974.8172454181276</c:v>
                </c:pt>
                <c:pt idx="5">
                  <c:v>6597.3291713464496</c:v>
                </c:pt>
                <c:pt idx="6">
                  <c:v>7219.8410972747724</c:v>
                </c:pt>
                <c:pt idx="7">
                  <c:v>7842.3530232030962</c:v>
                </c:pt>
              </c:numCache>
            </c:numRef>
          </c:val>
          <c:extLst>
            <c:ext xmlns:c16="http://schemas.microsoft.com/office/drawing/2014/chart" uri="{C3380CC4-5D6E-409C-BE32-E72D297353CC}">
              <c16:uniqueId val="{00000001-E060-4E54-8DA8-1D5B77CA35CA}"/>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2707933421099025"/>
          <c:y val="0.4194185437688478"/>
          <c:w val="0.2469540810757774"/>
          <c:h val="0.139655672536810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CONTROL!$D$20" max="4" min="1" noThreeD="1" page="10"/>
</file>

<file path=xl/ctrlProps/ctrlProp2.xml><?xml version="1.0" encoding="utf-8"?>
<formControlPr xmlns="http://schemas.microsoft.com/office/spreadsheetml/2009/9/main" objectType="Spin" dx="22" fmlaLink="CONTROL!$D$24" max="4" min="1" noThreeD="1" page="10"/>
</file>

<file path=xl/ctrlProps/ctrlProp3.xml><?xml version="1.0" encoding="utf-8"?>
<formControlPr xmlns="http://schemas.microsoft.com/office/spreadsheetml/2009/9/main" objectType="Spin" dx="22" fmlaLink="CONTROL!$D$28" max="4" min="1" noThreeD="1" page="10"/>
</file>

<file path=xl/ctrlProps/ctrlProp4.xml><?xml version="1.0" encoding="utf-8"?>
<formControlPr xmlns="http://schemas.microsoft.com/office/spreadsheetml/2009/9/main" objectType="Spin" dx="22" fmlaLink="CONTROL!$D$30" max="4" min="1" noThreeD="1" page="10"/>
</file>

<file path=xl/ctrlProps/ctrlProp5.xml><?xml version="1.0" encoding="utf-8"?>
<formControlPr xmlns="http://schemas.microsoft.com/office/spreadsheetml/2009/9/main" objectType="Spin" dx="22" fmlaLink="CONTROL!$D$31" max="4" min="1" noThreeD="1" page="10"/>
</file>

<file path=xl/ctrlProps/ctrlProp6.xml><?xml version="1.0" encoding="utf-8"?>
<formControlPr xmlns="http://schemas.microsoft.com/office/spreadsheetml/2009/9/main" objectType="Spin" dx="22" fmlaLink="CONTROL!$D$28" max="4" min="1" noThreeD="1" page="10"/>
</file>

<file path=xl/ctrlProps/ctrlProp7.xml><?xml version="1.0" encoding="utf-8"?>
<formControlPr xmlns="http://schemas.microsoft.com/office/spreadsheetml/2009/9/main" objectType="Spin" dx="22" fmlaLink="CONTROL!$D$30" max="4" min="1" noThreeD="1" page="10"/>
</file>

<file path=xl/ctrlProps/ctrlProp8.xml><?xml version="1.0" encoding="utf-8"?>
<formControlPr xmlns="http://schemas.microsoft.com/office/spreadsheetml/2009/9/main" objectType="Spin" dx="22" fmlaLink="CONTROL!$D$31" max="4" min="1" noThreeD="1" page="10"/>
</file>

<file path=xl/ctrlProps/ctrlProp9.xml><?xml version="1.0" encoding="utf-8"?>
<formControlPr xmlns="http://schemas.microsoft.com/office/spreadsheetml/2009/9/main" objectType="Spin" dx="22" fmlaLink="CONTROL!$D$28" max="4" min="1" noThreeD="1" page="10"/>
</file>

<file path=xl/ctrlProps/ctrlProp10.xml><?xml version="1.0" encoding="utf-8"?>
<formControlPr xmlns="http://schemas.microsoft.com/office/spreadsheetml/2009/9/main" objectType="Spin" dx="22" fmlaLink="CONTROL!$D$29" max="4" min="1" noThreeD="1" page="10"/>
</file>

<file path=xl/ctrlProps/ctrlProp11.xml><?xml version="1.0" encoding="utf-8"?>
<formControlPr xmlns="http://schemas.microsoft.com/office/spreadsheetml/2009/9/main" objectType="Spin" dx="22" fmlaLink="CONTROL!$D$36" max="4" min="1" noThreeD="1" page="10"/>
</file>

<file path=xl/ctrlProps/ctrlProp12.xml><?xml version="1.0" encoding="utf-8"?>
<formControlPr xmlns="http://schemas.microsoft.com/office/spreadsheetml/2009/9/main" objectType="Spin" dx="22" fmlaLink="CONTROL!$D$39" max="4" min="1" noThreeD="1" page="10"/>
</file>

<file path=xl/ctrlProps/ctrlProp13.xml><?xml version="1.0" encoding="utf-8"?>
<formControlPr xmlns="http://schemas.microsoft.com/office/spreadsheetml/2009/9/main" objectType="Spin" dx="22" fmlaLink="CONTROL!$D$40" max="4" min="1" noThreeD="1" page="10"/>
</file>

<file path=xl/ctrlProps/ctrlProp14.xml><?xml version="1.0" encoding="utf-8"?>
<formControlPr xmlns="http://schemas.microsoft.com/office/spreadsheetml/2009/9/main" objectType="Spin" dx="22" fmlaLink="CONTROL!$D$46" max="4" min="1" noThreeD="1" page="10"/>
</file>

<file path=xl/ctrlProps/ctrlProp15.xml><?xml version="1.0" encoding="utf-8"?>
<formControlPr xmlns="http://schemas.microsoft.com/office/spreadsheetml/2009/9/main" objectType="Spin" dx="22" fmlaLink="CONTROL!$D$48" max="4" min="1" noThreeD="1" page="10"/>
</file>

<file path=xl/ctrlProps/ctrlProp16.xml><?xml version="1.0" encoding="utf-8"?>
<formControlPr xmlns="http://schemas.microsoft.com/office/spreadsheetml/2009/9/main" objectType="Spin" dx="22" fmlaLink="CONTROL!$D$49" max="4" min="1" noThreeD="1" page="10"/>
</file>

<file path=xl/ctrlProps/ctrlProp17.xml><?xml version="1.0" encoding="utf-8"?>
<formControlPr xmlns="http://schemas.microsoft.com/office/spreadsheetml/2009/9/main" objectType="Spin" dx="22" fmlaLink="CONTROL!$D$50" max="4" min="1" noThreeD="1" page="10"/>
</file>

<file path=xl/ctrlProps/ctrlProp18.xml><?xml version="1.0" encoding="utf-8"?>
<formControlPr xmlns="http://schemas.microsoft.com/office/spreadsheetml/2009/9/main" objectType="Spin" dx="22" fmlaLink="CONTROL!$D$52" max="4" min="1" noThreeD="1" page="10"/>
</file>

<file path=xl/ctrlProps/ctrlProp19.xml><?xml version="1.0" encoding="utf-8"?>
<formControlPr xmlns="http://schemas.microsoft.com/office/spreadsheetml/2009/9/main" objectType="Spin" dx="22" fmlaLink="CONTROL!$D$56" max="4" min="1" noThreeD="1" page="10"/>
</file>

<file path=xl/ctrlProps/ctrlProp20.xml><?xml version="1.0" encoding="utf-8"?>
<formControlPr xmlns="http://schemas.microsoft.com/office/spreadsheetml/2009/9/main" objectType="Spin" dx="22" fmlaLink="CONTROL!$D$58" max="4" min="1" noThreeD="1" page="10"/>
</file>

<file path=xl/ctrlProps/ctrlProp21.xml><?xml version="1.0" encoding="utf-8"?>
<formControlPr xmlns="http://schemas.microsoft.com/office/spreadsheetml/2009/9/main" objectType="Spin" dx="22" fmlaLink="CONTROL!$D$63" max="4" min="1" noThreeD="1" page="10"/>
</file>

<file path=xl/ctrlProps/ctrlProp22.xml><?xml version="1.0" encoding="utf-8"?>
<formControlPr xmlns="http://schemas.microsoft.com/office/spreadsheetml/2009/9/main" objectType="Spin" dx="22" fmlaLink="CONTROL!$D$64" max="4" min="1" noThreeD="1" page="10"/>
</file>

<file path=xl/ctrlProps/ctrlProp23.xml><?xml version="1.0" encoding="utf-8"?>
<formControlPr xmlns="http://schemas.microsoft.com/office/spreadsheetml/2009/9/main" objectType="Spin" dx="22" fmlaLink="CONTROL!$D$67" max="4" min="1" noThreeD="1" page="10"/>
</file>

<file path=xl/ctrlProps/ctrlProp24.xml><?xml version="1.0" encoding="utf-8"?>
<formControlPr xmlns="http://schemas.microsoft.com/office/spreadsheetml/2009/9/main" objectType="Spin" dx="22" fmlaLink="CONTROL!$D$68" max="4" min="1" noThreeD="1" page="10"/>
</file>

<file path=xl/ctrlProps/ctrlProp25.xml><?xml version="1.0" encoding="utf-8"?>
<formControlPr xmlns="http://schemas.microsoft.com/office/spreadsheetml/2009/9/main" objectType="Spin" dx="22" fmlaLink="CONTROL!$D$71" max="4" min="1" noThreeD="1" page="10"/>
</file>

<file path=xl/ctrlProps/ctrlProp26.xml><?xml version="1.0" encoding="utf-8"?>
<formControlPr xmlns="http://schemas.microsoft.com/office/spreadsheetml/2009/9/main" objectType="Spin" dx="22" fmlaLink="CONTROL!$D$74" max="4" min="1" noThreeD="1" page="10"/>
</file>

<file path=xl/ctrlProps/ctrlProp27.xml><?xml version="1.0" encoding="utf-8"?>
<formControlPr xmlns="http://schemas.microsoft.com/office/spreadsheetml/2009/9/main" objectType="Spin" dx="22" fmlaLink="CONTROL!$D$78" max="4" min="1" noThreeD="1" page="10"/>
</file>

<file path=xl/ctrlProps/ctrlProp28.xml><?xml version="1.0" encoding="utf-8"?>
<formControlPr xmlns="http://schemas.microsoft.com/office/spreadsheetml/2009/9/main" objectType="Spin" dx="22" fmlaLink="CONTROL!$D$79" max="4" min="1" noThreeD="1" page="10"/>
</file>

<file path=xl/ctrlProps/ctrlProp29.xml><?xml version="1.0" encoding="utf-8"?>
<formControlPr xmlns="http://schemas.microsoft.com/office/spreadsheetml/2009/9/main" objectType="Spin" dx="22" fmlaLink="CONTROL!$D$80" max="4" min="1" noThreeD="1" page="10"/>
</file>

<file path=xl/ctrlProps/ctrlProp30.xml><?xml version="1.0" encoding="utf-8"?>
<formControlPr xmlns="http://schemas.microsoft.com/office/spreadsheetml/2009/9/main" objectType="Spin" dx="22" fmlaLink="CONTROL!$D$84" max="4" min="1" noThreeD="1" page="10"/>
</file>

<file path=xl/ctrlProps/ctrlProp31.xml><?xml version="1.0" encoding="utf-8"?>
<formControlPr xmlns="http://schemas.microsoft.com/office/spreadsheetml/2009/9/main" objectType="Spin" dx="22" fmlaLink="CONTROL!$D$85" max="4" min="1" noThreeD="1" page="10"/>
</file>

<file path=xl/ctrlProps/ctrlProp32.xml><?xml version="1.0" encoding="utf-8"?>
<formControlPr xmlns="http://schemas.microsoft.com/office/spreadsheetml/2009/9/main" objectType="Spin" dx="22" fmlaLink="CONTROL!$D$86" max="4" min="1" noThreeD="1" page="10"/>
</file>

<file path=xl/ctrlProps/ctrlProp33.xml><?xml version="1.0" encoding="utf-8"?>
<formControlPr xmlns="http://schemas.microsoft.com/office/spreadsheetml/2009/9/main" objectType="Spin" dx="22" fmlaLink="CONTROL!$D$90" max="4" min="1" noThreeD="1" page="10"/>
</file>

<file path=xl/ctrlProps/ctrlProp34.xml><?xml version="1.0" encoding="utf-8"?>
<formControlPr xmlns="http://schemas.microsoft.com/office/spreadsheetml/2009/9/main" objectType="Spin" dx="22" fmlaLink="CONTROL!$D$91" max="4" min="1" noThreeD="1" page="10"/>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hyperlink" Target="#INFORMACI&#211;N!A1"/><Relationship Id="rId1" Type="http://schemas.openxmlformats.org/officeDocument/2006/relationships/image" Target="../media/image1.jpe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9.png"/><Relationship Id="rId3" Type="http://schemas.openxmlformats.org/officeDocument/2006/relationships/image" Target="../media/image8.svg"/><Relationship Id="rId21" Type="http://schemas.openxmlformats.org/officeDocument/2006/relationships/image" Target="../media/image21.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image" Target="../media/image17.png"/><Relationship Id="rId20" Type="http://schemas.openxmlformats.org/officeDocument/2006/relationships/hyperlink" Target="#AJUST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image" Target="../media/image20.sv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32.png"/><Relationship Id="rId21" Type="http://schemas.openxmlformats.org/officeDocument/2006/relationships/hyperlink" Target="#CONTROL!A1"/><Relationship Id="rId34" Type="http://schemas.openxmlformats.org/officeDocument/2006/relationships/image" Target="../media/image36.png"/><Relationship Id="rId42" Type="http://schemas.openxmlformats.org/officeDocument/2006/relationships/image" Target="../media/image43.svg"/><Relationship Id="rId47" Type="http://schemas.openxmlformats.org/officeDocument/2006/relationships/image" Target="../media/image4.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hyperlink" Target="#INFORMACI&#211;N!B164"/><Relationship Id="rId84" Type="http://schemas.openxmlformats.org/officeDocument/2006/relationships/image" Target="../media/image80.png"/><Relationship Id="rId89" Type="http://schemas.openxmlformats.org/officeDocument/2006/relationships/image" Target="../media/image84.png"/><Relationship Id="rId97" Type="http://schemas.openxmlformats.org/officeDocument/2006/relationships/image" Target="../media/image91.png"/><Relationship Id="rId7" Type="http://schemas.openxmlformats.org/officeDocument/2006/relationships/image" Target="../media/image28.png"/><Relationship Id="rId71" Type="http://schemas.openxmlformats.org/officeDocument/2006/relationships/image" Target="../media/image71.png"/><Relationship Id="rId92" Type="http://schemas.openxmlformats.org/officeDocument/2006/relationships/image" Target="../media/image86.png"/><Relationship Id="rId2" Type="http://schemas.openxmlformats.org/officeDocument/2006/relationships/image" Target="../media/image23.svg"/><Relationship Id="rId16" Type="http://schemas.openxmlformats.org/officeDocument/2006/relationships/image" Target="../media/image11.png"/><Relationship Id="rId29" Type="http://schemas.openxmlformats.org/officeDocument/2006/relationships/image" Target="../media/image17.png"/><Relationship Id="rId11" Type="http://schemas.openxmlformats.org/officeDocument/2006/relationships/image" Target="../media/image8.svg"/><Relationship Id="rId24" Type="http://schemas.openxmlformats.org/officeDocument/2006/relationships/image" Target="../media/image30.png"/><Relationship Id="rId32" Type="http://schemas.openxmlformats.org/officeDocument/2006/relationships/image" Target="../media/image34.png"/><Relationship Id="rId37" Type="http://schemas.openxmlformats.org/officeDocument/2006/relationships/image" Target="../media/image38.png"/><Relationship Id="rId40" Type="http://schemas.openxmlformats.org/officeDocument/2006/relationships/image" Target="../media/image41.svg"/><Relationship Id="rId45" Type="http://schemas.openxmlformats.org/officeDocument/2006/relationships/image" Target="../media/image46.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svg"/><Relationship Id="rId74" Type="http://schemas.openxmlformats.org/officeDocument/2006/relationships/hyperlink" Target="#INFORMACI&#211;N!C55"/><Relationship Id="rId79" Type="http://schemas.openxmlformats.org/officeDocument/2006/relationships/image" Target="../media/image75.svg"/><Relationship Id="rId87" Type="http://schemas.openxmlformats.org/officeDocument/2006/relationships/image" Target="../media/image83.svg"/><Relationship Id="rId5" Type="http://schemas.openxmlformats.org/officeDocument/2006/relationships/image" Target="../media/image26.png"/><Relationship Id="rId61" Type="http://schemas.openxmlformats.org/officeDocument/2006/relationships/image" Target="../media/image61.svg"/><Relationship Id="rId82" Type="http://schemas.openxmlformats.org/officeDocument/2006/relationships/image" Target="../media/image78.png"/><Relationship Id="rId90" Type="http://schemas.openxmlformats.org/officeDocument/2006/relationships/image" Target="../media/image85.png"/><Relationship Id="rId95" Type="http://schemas.openxmlformats.org/officeDocument/2006/relationships/image" Target="../media/image89.svg"/><Relationship Id="rId19" Type="http://schemas.openxmlformats.org/officeDocument/2006/relationships/image" Target="../media/image13.png"/><Relationship Id="rId14" Type="http://schemas.openxmlformats.org/officeDocument/2006/relationships/image" Target="../media/image10.svg"/><Relationship Id="rId22" Type="http://schemas.openxmlformats.org/officeDocument/2006/relationships/image" Target="../media/image15.png"/><Relationship Id="rId27" Type="http://schemas.openxmlformats.org/officeDocument/2006/relationships/image" Target="../media/image33.svg"/><Relationship Id="rId30" Type="http://schemas.openxmlformats.org/officeDocument/2006/relationships/image" Target="../media/image18.svg"/><Relationship Id="rId35" Type="http://schemas.openxmlformats.org/officeDocument/2006/relationships/image" Target="../media/image37.svg"/><Relationship Id="rId43" Type="http://schemas.openxmlformats.org/officeDocument/2006/relationships/image" Target="../media/image44.png"/><Relationship Id="rId48" Type="http://schemas.openxmlformats.org/officeDocument/2006/relationships/image" Target="../media/image48.png"/><Relationship Id="rId56" Type="http://schemas.openxmlformats.org/officeDocument/2006/relationships/image" Target="../media/image56.svg"/><Relationship Id="rId64" Type="http://schemas.openxmlformats.org/officeDocument/2006/relationships/image" Target="../media/image64.svg"/><Relationship Id="rId69" Type="http://schemas.openxmlformats.org/officeDocument/2006/relationships/image" Target="../media/image69.png"/><Relationship Id="rId77" Type="http://schemas.openxmlformats.org/officeDocument/2006/relationships/hyperlink" Target="#RESULTADOS_COBENEFICIOS_GENERAL!A1"/><Relationship Id="rId8" Type="http://schemas.openxmlformats.org/officeDocument/2006/relationships/image" Target="../media/image29.svg"/><Relationship Id="rId51" Type="http://schemas.openxmlformats.org/officeDocument/2006/relationships/image" Target="../media/image51.svg"/><Relationship Id="rId72" Type="http://schemas.openxmlformats.org/officeDocument/2006/relationships/image" Target="../media/image72.png"/><Relationship Id="rId80" Type="http://schemas.openxmlformats.org/officeDocument/2006/relationships/image" Target="../media/image76.png"/><Relationship Id="rId85" Type="http://schemas.openxmlformats.org/officeDocument/2006/relationships/image" Target="../media/image81.svg"/><Relationship Id="rId93" Type="http://schemas.openxmlformats.org/officeDocument/2006/relationships/image" Target="../media/image87.svg"/><Relationship Id="rId3" Type="http://schemas.openxmlformats.org/officeDocument/2006/relationships/image" Target="../media/image24.png"/><Relationship Id="rId12" Type="http://schemas.openxmlformats.org/officeDocument/2006/relationships/hyperlink" Target="#INFORMACI&#211;N!A1"/><Relationship Id="rId17" Type="http://schemas.openxmlformats.org/officeDocument/2006/relationships/image" Target="../media/image12.svg"/><Relationship Id="rId25" Type="http://schemas.openxmlformats.org/officeDocument/2006/relationships/image" Target="../media/image31.svg"/><Relationship Id="rId33" Type="http://schemas.openxmlformats.org/officeDocument/2006/relationships/image" Target="../media/image35.svg"/><Relationship Id="rId38" Type="http://schemas.openxmlformats.org/officeDocument/2006/relationships/image" Target="../media/image39.svg"/><Relationship Id="rId46" Type="http://schemas.openxmlformats.org/officeDocument/2006/relationships/image" Target="../media/image47.svg"/><Relationship Id="rId59" Type="http://schemas.openxmlformats.org/officeDocument/2006/relationships/image" Target="../media/image59.svg"/><Relationship Id="rId67" Type="http://schemas.openxmlformats.org/officeDocument/2006/relationships/image" Target="../media/image67.svg"/><Relationship Id="rId20" Type="http://schemas.openxmlformats.org/officeDocument/2006/relationships/image" Target="../media/image14.svg"/><Relationship Id="rId41" Type="http://schemas.openxmlformats.org/officeDocument/2006/relationships/image" Target="../media/image42.png"/><Relationship Id="rId54" Type="http://schemas.openxmlformats.org/officeDocument/2006/relationships/image" Target="../media/image54.sv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hyperlink" Target="#INFORMACI&#211;N!B180"/><Relationship Id="rId83" Type="http://schemas.openxmlformats.org/officeDocument/2006/relationships/image" Target="../media/image79.svg"/><Relationship Id="rId88" Type="http://schemas.openxmlformats.org/officeDocument/2006/relationships/hyperlink" Target="https://witty-meadow-0cd2c7210.2.azurestaticapps.net/index" TargetMode="External"/><Relationship Id="rId91" Type="http://schemas.openxmlformats.org/officeDocument/2006/relationships/hyperlink" Target="#INFORMACI&#211;N!B136"/><Relationship Id="rId96" Type="http://schemas.openxmlformats.org/officeDocument/2006/relationships/image" Target="../media/image90.png"/><Relationship Id="rId1" Type="http://schemas.openxmlformats.org/officeDocument/2006/relationships/image" Target="../media/image22.png"/><Relationship Id="rId6" Type="http://schemas.openxmlformats.org/officeDocument/2006/relationships/image" Target="../media/image27.svg"/><Relationship Id="rId15" Type="http://schemas.openxmlformats.org/officeDocument/2006/relationships/hyperlink" Target="#RESULTADOS_Tipo!A1"/><Relationship Id="rId23" Type="http://schemas.openxmlformats.org/officeDocument/2006/relationships/image" Target="../media/image16.svg"/><Relationship Id="rId28" Type="http://schemas.openxmlformats.org/officeDocument/2006/relationships/hyperlink" Target="#AJUSTES!A1"/><Relationship Id="rId36" Type="http://schemas.openxmlformats.org/officeDocument/2006/relationships/hyperlink" Target="#EQUIVALENCIAS_IPCC!A1"/><Relationship Id="rId49" Type="http://schemas.openxmlformats.org/officeDocument/2006/relationships/image" Target="../media/image49.svg"/><Relationship Id="rId57" Type="http://schemas.openxmlformats.org/officeDocument/2006/relationships/image" Target="../media/image57.png"/><Relationship Id="rId10" Type="http://schemas.openxmlformats.org/officeDocument/2006/relationships/image" Target="../media/image7.png"/><Relationship Id="rId31" Type="http://schemas.openxmlformats.org/officeDocument/2006/relationships/hyperlink" Target="#GLOSARIO!A1"/><Relationship Id="rId44" Type="http://schemas.openxmlformats.org/officeDocument/2006/relationships/image" Target="../media/image45.sv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4.png"/><Relationship Id="rId81" Type="http://schemas.openxmlformats.org/officeDocument/2006/relationships/image" Target="../media/image77.svg"/><Relationship Id="rId86" Type="http://schemas.openxmlformats.org/officeDocument/2006/relationships/image" Target="../media/image82.png"/><Relationship Id="rId94" Type="http://schemas.openxmlformats.org/officeDocument/2006/relationships/image" Target="../media/image88.png"/><Relationship Id="rId4" Type="http://schemas.openxmlformats.org/officeDocument/2006/relationships/image" Target="../media/image25.svg"/><Relationship Id="rId9" Type="http://schemas.openxmlformats.org/officeDocument/2006/relationships/hyperlink" Target="#INICIO!A1"/><Relationship Id="rId13" Type="http://schemas.openxmlformats.org/officeDocument/2006/relationships/image" Target="../media/image9.png"/><Relationship Id="rId18" Type="http://schemas.openxmlformats.org/officeDocument/2006/relationships/hyperlink" Target="#ESCENARIOS!A1"/><Relationship Id="rId39"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image" Target="../media/image15.png"/><Relationship Id="rId3" Type="http://schemas.openxmlformats.org/officeDocument/2006/relationships/image" Target="../media/image93.svg"/><Relationship Id="rId21" Type="http://schemas.openxmlformats.org/officeDocument/2006/relationships/image" Target="../media/image17.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CONTROL!A1"/><Relationship Id="rId2" Type="http://schemas.openxmlformats.org/officeDocument/2006/relationships/image" Target="../media/image92.png"/><Relationship Id="rId16" Type="http://schemas.openxmlformats.org/officeDocument/2006/relationships/image" Target="../media/image14.svg"/><Relationship Id="rId20" Type="http://schemas.openxmlformats.org/officeDocument/2006/relationships/hyperlink" Target="#AJUSTES!A1"/><Relationship Id="rId1" Type="http://schemas.openxmlformats.org/officeDocument/2006/relationships/hyperlink" Target="#INFORMACI&#211;N!A1"/><Relationship Id="rId6" Type="http://schemas.openxmlformats.org/officeDocument/2006/relationships/hyperlink" Target="#INICIO!A1"/><Relationship Id="rId11" Type="http://schemas.openxmlformats.org/officeDocument/2006/relationships/hyperlink" Target="#RESULTADOS_Tipo!A1"/><Relationship Id="rId5" Type="http://schemas.openxmlformats.org/officeDocument/2006/relationships/image" Target="../media/image94.svg"/><Relationship Id="rId15" Type="http://schemas.openxmlformats.org/officeDocument/2006/relationships/image" Target="../media/image13.png"/><Relationship Id="rId10" Type="http://schemas.openxmlformats.org/officeDocument/2006/relationships/image" Target="../media/image10.svg"/><Relationship Id="rId19" Type="http://schemas.openxmlformats.org/officeDocument/2006/relationships/image" Target="../media/image16.svg"/><Relationship Id="rId4" Type="http://schemas.openxmlformats.org/officeDocument/2006/relationships/image" Target="../media/image38.png"/><Relationship Id="rId9" Type="http://schemas.openxmlformats.org/officeDocument/2006/relationships/image" Target="../media/image9.png"/><Relationship Id="rId14" Type="http://schemas.openxmlformats.org/officeDocument/2006/relationships/hyperlink" Target="#ESCENARIOS!A1"/><Relationship Id="rId22" Type="http://schemas.openxmlformats.org/officeDocument/2006/relationships/image" Target="../media/image18.svg"/></Relationships>
</file>

<file path=xl/drawings/_rels/drawing5.xml.rels><?xml version="1.0" encoding="UTF-8" standalone="yes"?>
<Relationships xmlns="http://schemas.openxmlformats.org/package/2006/relationships"><Relationship Id="rId8" Type="http://schemas.openxmlformats.org/officeDocument/2006/relationships/image" Target="../media/image102.svg"/><Relationship Id="rId13" Type="http://schemas.openxmlformats.org/officeDocument/2006/relationships/image" Target="../media/image107.png"/><Relationship Id="rId18" Type="http://schemas.openxmlformats.org/officeDocument/2006/relationships/image" Target="../media/image112.svg"/><Relationship Id="rId26" Type="http://schemas.openxmlformats.org/officeDocument/2006/relationships/image" Target="../media/image11.png"/><Relationship Id="rId3" Type="http://schemas.openxmlformats.org/officeDocument/2006/relationships/image" Target="../media/image97.png"/><Relationship Id="rId21" Type="http://schemas.openxmlformats.org/officeDocument/2006/relationships/image" Target="../media/image8.svg"/><Relationship Id="rId34" Type="http://schemas.openxmlformats.org/officeDocument/2006/relationships/hyperlink" Target="#AJUSTES!A1"/><Relationship Id="rId7" Type="http://schemas.openxmlformats.org/officeDocument/2006/relationships/image" Target="../media/image101.png"/><Relationship Id="rId12" Type="http://schemas.openxmlformats.org/officeDocument/2006/relationships/image" Target="../media/image106.svg"/><Relationship Id="rId17" Type="http://schemas.openxmlformats.org/officeDocument/2006/relationships/image" Target="../media/image111.png"/><Relationship Id="rId25" Type="http://schemas.openxmlformats.org/officeDocument/2006/relationships/hyperlink" Target="#RESULTADOS_Tipo!A1"/><Relationship Id="rId33" Type="http://schemas.openxmlformats.org/officeDocument/2006/relationships/image" Target="../media/image16.svg"/><Relationship Id="rId2" Type="http://schemas.openxmlformats.org/officeDocument/2006/relationships/image" Target="../media/image96.svg"/><Relationship Id="rId16" Type="http://schemas.openxmlformats.org/officeDocument/2006/relationships/image" Target="../media/image110.svg"/><Relationship Id="rId20" Type="http://schemas.openxmlformats.org/officeDocument/2006/relationships/image" Target="../media/image7.png"/><Relationship Id="rId29" Type="http://schemas.openxmlformats.org/officeDocument/2006/relationships/image" Target="../media/image13.png"/><Relationship Id="rId1" Type="http://schemas.openxmlformats.org/officeDocument/2006/relationships/image" Target="../media/image95.png"/><Relationship Id="rId6" Type="http://schemas.openxmlformats.org/officeDocument/2006/relationships/image" Target="../media/image100.svg"/><Relationship Id="rId11" Type="http://schemas.openxmlformats.org/officeDocument/2006/relationships/image" Target="../media/image105.png"/><Relationship Id="rId24" Type="http://schemas.openxmlformats.org/officeDocument/2006/relationships/image" Target="../media/image10.svg"/><Relationship Id="rId32" Type="http://schemas.openxmlformats.org/officeDocument/2006/relationships/image" Target="../media/image15.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9.png"/><Relationship Id="rId28" Type="http://schemas.openxmlformats.org/officeDocument/2006/relationships/hyperlink" Target="#ESCENARIOS!A1"/><Relationship Id="rId36" Type="http://schemas.openxmlformats.org/officeDocument/2006/relationships/image" Target="../media/image18.svg"/><Relationship Id="rId10" Type="http://schemas.openxmlformats.org/officeDocument/2006/relationships/image" Target="../media/image104.svg"/><Relationship Id="rId19" Type="http://schemas.openxmlformats.org/officeDocument/2006/relationships/hyperlink" Target="#INICIO!A1"/><Relationship Id="rId31" Type="http://schemas.openxmlformats.org/officeDocument/2006/relationships/hyperlink" Target="#CONTROL!A1"/><Relationship Id="rId4" Type="http://schemas.openxmlformats.org/officeDocument/2006/relationships/image" Target="../media/image98.svg"/><Relationship Id="rId9" Type="http://schemas.openxmlformats.org/officeDocument/2006/relationships/image" Target="../media/image103.png"/><Relationship Id="rId14" Type="http://schemas.openxmlformats.org/officeDocument/2006/relationships/image" Target="../media/image108.svg"/><Relationship Id="rId22" Type="http://schemas.openxmlformats.org/officeDocument/2006/relationships/hyperlink" Target="#INFORMACI&#211;N!A1"/><Relationship Id="rId27" Type="http://schemas.openxmlformats.org/officeDocument/2006/relationships/image" Target="../media/image12.svg"/><Relationship Id="rId30" Type="http://schemas.openxmlformats.org/officeDocument/2006/relationships/image" Target="../media/image14.svg"/><Relationship Id="rId35" Type="http://schemas.openxmlformats.org/officeDocument/2006/relationships/image" Target="../media/image17.png"/></Relationships>
</file>

<file path=xl/drawings/_rels/drawing6.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image" Target="../media/image15.png"/><Relationship Id="rId3" Type="http://schemas.openxmlformats.org/officeDocument/2006/relationships/hyperlink" Target="#INFORMACI&#211;N!A1"/><Relationship Id="rId21" Type="http://schemas.openxmlformats.org/officeDocument/2006/relationships/image" Target="../media/image17.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CONTROL!A1"/><Relationship Id="rId2" Type="http://schemas.openxmlformats.org/officeDocument/2006/relationships/image" Target="../media/image113.svg"/><Relationship Id="rId16" Type="http://schemas.openxmlformats.org/officeDocument/2006/relationships/image" Target="../media/image14.svg"/><Relationship Id="rId20" Type="http://schemas.openxmlformats.org/officeDocument/2006/relationships/hyperlink" Target="#AJUSTES!A1"/><Relationship Id="rId1" Type="http://schemas.openxmlformats.org/officeDocument/2006/relationships/image" Target="../media/image34.png"/><Relationship Id="rId6" Type="http://schemas.openxmlformats.org/officeDocument/2006/relationships/hyperlink" Target="#INICIO!A1"/><Relationship Id="rId11" Type="http://schemas.openxmlformats.org/officeDocument/2006/relationships/hyperlink" Target="#RESULTADOS_Tipo!A1"/><Relationship Id="rId5" Type="http://schemas.openxmlformats.org/officeDocument/2006/relationships/image" Target="../media/image93.svg"/><Relationship Id="rId15" Type="http://schemas.openxmlformats.org/officeDocument/2006/relationships/image" Target="../media/image13.png"/><Relationship Id="rId10" Type="http://schemas.openxmlformats.org/officeDocument/2006/relationships/image" Target="../media/image10.svg"/><Relationship Id="rId19" Type="http://schemas.openxmlformats.org/officeDocument/2006/relationships/image" Target="../media/image16.svg"/><Relationship Id="rId4" Type="http://schemas.openxmlformats.org/officeDocument/2006/relationships/image" Target="../media/image92.png"/><Relationship Id="rId9" Type="http://schemas.openxmlformats.org/officeDocument/2006/relationships/image" Target="../media/image9.png"/><Relationship Id="rId14" Type="http://schemas.openxmlformats.org/officeDocument/2006/relationships/hyperlink" Target="#ESCENARIOS!A1"/><Relationship Id="rId22" Type="http://schemas.openxmlformats.org/officeDocument/2006/relationships/image" Target="../media/image18.svg"/></Relationships>
</file>

<file path=xl/drawings/_rels/drawing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15.svg"/><Relationship Id="rId3" Type="http://schemas.openxmlformats.org/officeDocument/2006/relationships/image" Target="../media/image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16.png"/><Relationship Id="rId1" Type="http://schemas.openxmlformats.org/officeDocument/2006/relationships/hyperlink" Target="#INICIO!A1"/><Relationship Id="rId6" Type="http://schemas.openxmlformats.org/officeDocument/2006/relationships/image" Target="../media/image114.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image" Target="../media/image73.pn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15.svg"/><Relationship Id="rId26" Type="http://schemas.openxmlformats.org/officeDocument/2006/relationships/image" Target="../media/image122.png"/><Relationship Id="rId3" Type="http://schemas.openxmlformats.org/officeDocument/2006/relationships/image" Target="../media/image8.svg"/><Relationship Id="rId21" Type="http://schemas.openxmlformats.org/officeDocument/2006/relationships/hyperlink" Target="#RESULTADOS_COBENEFICIOS_CA!A1"/><Relationship Id="rId34" Type="http://schemas.openxmlformats.org/officeDocument/2006/relationships/image" Target="../media/image12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5" Type="http://schemas.openxmlformats.org/officeDocument/2006/relationships/hyperlink" Target="#RESULTADOS_COBENEFICIOS_EMPLEO!A1"/><Relationship Id="rId33" Type="http://schemas.openxmlformats.org/officeDocument/2006/relationships/image" Target="../media/image127.png"/><Relationship Id="rId38" Type="http://schemas.openxmlformats.org/officeDocument/2006/relationships/image" Target="../media/image131.emf"/><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18.svg"/><Relationship Id="rId29" Type="http://schemas.openxmlformats.org/officeDocument/2006/relationships/image" Target="../media/image30.png"/><Relationship Id="rId1" Type="http://schemas.openxmlformats.org/officeDocument/2006/relationships/hyperlink" Target="#INICIO!A1"/><Relationship Id="rId6" Type="http://schemas.openxmlformats.org/officeDocument/2006/relationships/image" Target="../media/image114.svg"/><Relationship Id="rId11" Type="http://schemas.openxmlformats.org/officeDocument/2006/relationships/image" Target="../media/image13.png"/><Relationship Id="rId24" Type="http://schemas.openxmlformats.org/officeDocument/2006/relationships/image" Target="../media/image121.emf"/><Relationship Id="rId32" Type="http://schemas.openxmlformats.org/officeDocument/2006/relationships/image" Target="../media/image126.svg"/><Relationship Id="rId37" Type="http://schemas.openxmlformats.org/officeDocument/2006/relationships/hyperlink" Target="#RESULTADOS_COBENEFICIOS_SALUD!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120.svg"/><Relationship Id="rId28" Type="http://schemas.openxmlformats.org/officeDocument/2006/relationships/image" Target="../media/image124.emf"/><Relationship Id="rId36" Type="http://schemas.openxmlformats.org/officeDocument/2006/relationships/image" Target="../media/image130.svg"/><Relationship Id="rId10" Type="http://schemas.openxmlformats.org/officeDocument/2006/relationships/hyperlink" Target="#ESCENARIOS!A1"/><Relationship Id="rId19" Type="http://schemas.openxmlformats.org/officeDocument/2006/relationships/image" Target="../media/image117.png"/><Relationship Id="rId31" Type="http://schemas.openxmlformats.org/officeDocument/2006/relationships/image" Target="../media/image125.pn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119.png"/><Relationship Id="rId27" Type="http://schemas.openxmlformats.org/officeDocument/2006/relationships/image" Target="../media/image123.svg"/><Relationship Id="rId30" Type="http://schemas.openxmlformats.org/officeDocument/2006/relationships/image" Target="../media/image31.svg"/><Relationship Id="rId35" Type="http://schemas.openxmlformats.org/officeDocument/2006/relationships/image" Target="../media/image12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AJUSTES!A1"/><Relationship Id="rId3" Type="http://schemas.openxmlformats.org/officeDocument/2006/relationships/hyperlink" Target="#INICIO!A1"/><Relationship Id="rId21" Type="http://schemas.openxmlformats.org/officeDocument/2006/relationships/hyperlink" Target="#RESULTADOS_COBENEFICIOS_GENERAL!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36.svg"/><Relationship Id="rId16" Type="http://schemas.openxmlformats.org/officeDocument/2006/relationships/image" Target="../media/image15.png"/><Relationship Id="rId20" Type="http://schemas.openxmlformats.org/officeDocument/2006/relationships/image" Target="../media/image115.svg"/><Relationship Id="rId1" Type="http://schemas.openxmlformats.org/officeDocument/2006/relationships/image" Target="../media/image135.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37.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9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AJUSTES!A1"/><Relationship Id="rId3" Type="http://schemas.openxmlformats.org/officeDocument/2006/relationships/hyperlink" Target="#INICIO!A1"/><Relationship Id="rId21" Type="http://schemas.openxmlformats.org/officeDocument/2006/relationships/hyperlink" Target="#RESULTADOS_COBENEFICIOS_GENERAL!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39.svg"/><Relationship Id="rId16" Type="http://schemas.openxmlformats.org/officeDocument/2006/relationships/image" Target="../media/image15.png"/><Relationship Id="rId20" Type="http://schemas.openxmlformats.org/officeDocument/2006/relationships/image" Target="../media/image115.svg"/><Relationship Id="rId1" Type="http://schemas.openxmlformats.org/officeDocument/2006/relationships/image" Target="../media/image138.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37.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9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15.svg"/><Relationship Id="rId3" Type="http://schemas.openxmlformats.org/officeDocument/2006/relationships/image" Target="../media/image8.svg"/><Relationship Id="rId21" Type="http://schemas.openxmlformats.org/officeDocument/2006/relationships/hyperlink" Target="#RESULTADOS_COBENEFICIOS_GENERAL!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41.svg"/><Relationship Id="rId1" Type="http://schemas.openxmlformats.org/officeDocument/2006/relationships/hyperlink" Target="#INICIO!A1"/><Relationship Id="rId6" Type="http://schemas.openxmlformats.org/officeDocument/2006/relationships/image" Target="../media/image114.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137.svg"/><Relationship Id="rId10" Type="http://schemas.openxmlformats.org/officeDocument/2006/relationships/hyperlink" Target="#ESCENARIOS!A1"/><Relationship Id="rId19" Type="http://schemas.openxmlformats.org/officeDocument/2006/relationships/image" Target="../media/image140.pn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9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INICIO!A1"/><Relationship Id="rId18" Type="http://schemas.openxmlformats.org/officeDocument/2006/relationships/image" Target="../media/image95.png"/><Relationship Id="rId26" Type="http://schemas.openxmlformats.org/officeDocument/2006/relationships/image" Target="../media/image105.png"/><Relationship Id="rId3" Type="http://schemas.openxmlformats.org/officeDocument/2006/relationships/image" Target="../media/image16.svg"/><Relationship Id="rId21" Type="http://schemas.openxmlformats.org/officeDocument/2006/relationships/image" Target="../media/image98.svg"/><Relationship Id="rId34" Type="http://schemas.openxmlformats.org/officeDocument/2006/relationships/image" Target="../media/image111.png"/><Relationship Id="rId7" Type="http://schemas.openxmlformats.org/officeDocument/2006/relationships/hyperlink" Target="#RESULTADOS_Tipo!A1"/><Relationship Id="rId12" Type="http://schemas.openxmlformats.org/officeDocument/2006/relationships/image" Target="../media/image10.svg"/><Relationship Id="rId17" Type="http://schemas.openxmlformats.org/officeDocument/2006/relationships/image" Target="../media/image93.svg"/><Relationship Id="rId25" Type="http://schemas.openxmlformats.org/officeDocument/2006/relationships/image" Target="../media/image102.svg"/><Relationship Id="rId33" Type="http://schemas.openxmlformats.org/officeDocument/2006/relationships/image" Target="../media/image110.svg"/><Relationship Id="rId2" Type="http://schemas.openxmlformats.org/officeDocument/2006/relationships/image" Target="../media/image15.png"/><Relationship Id="rId16" Type="http://schemas.openxmlformats.org/officeDocument/2006/relationships/image" Target="../media/image92.png"/><Relationship Id="rId20" Type="http://schemas.openxmlformats.org/officeDocument/2006/relationships/image" Target="../media/image97.png"/><Relationship Id="rId29" Type="http://schemas.openxmlformats.org/officeDocument/2006/relationships/image" Target="../media/image104.svg"/><Relationship Id="rId1" Type="http://schemas.openxmlformats.org/officeDocument/2006/relationships/hyperlink" Target="#CONTROL!A1"/><Relationship Id="rId6" Type="http://schemas.openxmlformats.org/officeDocument/2006/relationships/image" Target="../media/image14.svg"/><Relationship Id="rId11" Type="http://schemas.openxmlformats.org/officeDocument/2006/relationships/image" Target="../media/image9.png"/><Relationship Id="rId24" Type="http://schemas.openxmlformats.org/officeDocument/2006/relationships/image" Target="../media/image101.png"/><Relationship Id="rId32" Type="http://schemas.openxmlformats.org/officeDocument/2006/relationships/image" Target="../media/image109.png"/><Relationship Id="rId5" Type="http://schemas.openxmlformats.org/officeDocument/2006/relationships/image" Target="../media/image13.png"/><Relationship Id="rId15" Type="http://schemas.openxmlformats.org/officeDocument/2006/relationships/image" Target="../media/image8.svg"/><Relationship Id="rId23" Type="http://schemas.openxmlformats.org/officeDocument/2006/relationships/image" Target="../media/image100.svg"/><Relationship Id="rId28" Type="http://schemas.openxmlformats.org/officeDocument/2006/relationships/image" Target="../media/image103.png"/><Relationship Id="rId10" Type="http://schemas.openxmlformats.org/officeDocument/2006/relationships/hyperlink" Target="#INFORMACI&#211;N!A1"/><Relationship Id="rId19" Type="http://schemas.openxmlformats.org/officeDocument/2006/relationships/image" Target="../media/image96.svg"/><Relationship Id="rId31" Type="http://schemas.openxmlformats.org/officeDocument/2006/relationships/image" Target="../media/image108.svg"/><Relationship Id="rId4" Type="http://schemas.openxmlformats.org/officeDocument/2006/relationships/hyperlink" Target="#ESCENARIOS!A1"/><Relationship Id="rId9" Type="http://schemas.openxmlformats.org/officeDocument/2006/relationships/image" Target="../media/image12.svg"/><Relationship Id="rId14" Type="http://schemas.openxmlformats.org/officeDocument/2006/relationships/image" Target="../media/image7.png"/><Relationship Id="rId22" Type="http://schemas.openxmlformats.org/officeDocument/2006/relationships/image" Target="../media/image99.png"/><Relationship Id="rId27" Type="http://schemas.openxmlformats.org/officeDocument/2006/relationships/image" Target="../media/image142.svg"/><Relationship Id="rId30" Type="http://schemas.openxmlformats.org/officeDocument/2006/relationships/image" Target="../media/image107.png"/><Relationship Id="rId35" Type="http://schemas.openxmlformats.org/officeDocument/2006/relationships/image" Target="../media/image112.svg"/></Relationships>
</file>

<file path=xl/drawings/_rels/drawing1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RESULTADOS_Tipo!A1"/><Relationship Id="rId18" Type="http://schemas.openxmlformats.org/officeDocument/2006/relationships/image" Target="../media/image14.svg"/><Relationship Id="rId26" Type="http://schemas.openxmlformats.org/officeDocument/2006/relationships/image" Target="../media/image147.png"/><Relationship Id="rId3" Type="http://schemas.openxmlformats.org/officeDocument/2006/relationships/image" Target="../media/image144.svg"/><Relationship Id="rId21" Type="http://schemas.openxmlformats.org/officeDocument/2006/relationships/image" Target="../media/image16.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5" Type="http://schemas.openxmlformats.org/officeDocument/2006/relationships/hyperlink" Target="#RESULTADOS_COBENEFICIOS_GENERAL!A1"/><Relationship Id="rId33" Type="http://schemas.openxmlformats.org/officeDocument/2006/relationships/image" Target="../media/image150.svg"/><Relationship Id="rId2" Type="http://schemas.openxmlformats.org/officeDocument/2006/relationships/image" Target="../media/image143.png"/><Relationship Id="rId16" Type="http://schemas.openxmlformats.org/officeDocument/2006/relationships/hyperlink" Target="#ESCENARIOS!A1"/><Relationship Id="rId20" Type="http://schemas.openxmlformats.org/officeDocument/2006/relationships/image" Target="../media/image15.png"/><Relationship Id="rId29" Type="http://schemas.openxmlformats.org/officeDocument/2006/relationships/image" Target="../media/image139.svg"/><Relationship Id="rId1" Type="http://schemas.openxmlformats.org/officeDocument/2006/relationships/hyperlink" Target="#RESULTADOS_Generales!A1"/><Relationship Id="rId6" Type="http://schemas.openxmlformats.org/officeDocument/2006/relationships/image" Target="../media/image146.svg"/><Relationship Id="rId11" Type="http://schemas.openxmlformats.org/officeDocument/2006/relationships/image" Target="../media/image9.png"/><Relationship Id="rId24" Type="http://schemas.openxmlformats.org/officeDocument/2006/relationships/image" Target="../media/image18.svg"/><Relationship Id="rId32" Type="http://schemas.openxmlformats.org/officeDocument/2006/relationships/image" Target="../media/image149.png"/><Relationship Id="rId5" Type="http://schemas.openxmlformats.org/officeDocument/2006/relationships/image" Target="../media/image145.png"/><Relationship Id="rId15" Type="http://schemas.openxmlformats.org/officeDocument/2006/relationships/image" Target="../media/image12.svg"/><Relationship Id="rId23" Type="http://schemas.openxmlformats.org/officeDocument/2006/relationships/image" Target="../media/image17.png"/><Relationship Id="rId28" Type="http://schemas.openxmlformats.org/officeDocument/2006/relationships/image" Target="../media/image138.png"/><Relationship Id="rId10" Type="http://schemas.openxmlformats.org/officeDocument/2006/relationships/hyperlink" Target="#INFORMACI&#211;N!A1"/><Relationship Id="rId19" Type="http://schemas.openxmlformats.org/officeDocument/2006/relationships/hyperlink" Target="#CONTROL!A1"/><Relationship Id="rId31" Type="http://schemas.openxmlformats.org/officeDocument/2006/relationships/image" Target="../media/image141.svg"/><Relationship Id="rId4" Type="http://schemas.openxmlformats.org/officeDocument/2006/relationships/hyperlink" Target="#RESULTADOS_sectoriales!A1"/><Relationship Id="rId9" Type="http://schemas.openxmlformats.org/officeDocument/2006/relationships/image" Target="../media/image8.svg"/><Relationship Id="rId14" Type="http://schemas.openxmlformats.org/officeDocument/2006/relationships/image" Target="../media/image11.png"/><Relationship Id="rId22" Type="http://schemas.openxmlformats.org/officeDocument/2006/relationships/hyperlink" Target="#AJUSTES!A1"/><Relationship Id="rId27" Type="http://schemas.openxmlformats.org/officeDocument/2006/relationships/image" Target="../media/image148.svg"/><Relationship Id="rId30" Type="http://schemas.openxmlformats.org/officeDocument/2006/relationships/image" Target="../media/image14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image" Target="../media/image151.png"/><Relationship Id="rId26" Type="http://schemas.openxmlformats.org/officeDocument/2006/relationships/chart" Target="../charts/chart3.xml"/><Relationship Id="rId39" Type="http://schemas.openxmlformats.org/officeDocument/2006/relationships/chart" Target="../charts/chart6.xml"/><Relationship Id="rId3" Type="http://schemas.openxmlformats.org/officeDocument/2006/relationships/hyperlink" Target="#INICIO!A1"/><Relationship Id="rId21" Type="http://schemas.openxmlformats.org/officeDocument/2006/relationships/image" Target="../media/image154.svg"/><Relationship Id="rId34" Type="http://schemas.openxmlformats.org/officeDocument/2006/relationships/image" Target="../media/image157.png"/><Relationship Id="rId42" Type="http://schemas.openxmlformats.org/officeDocument/2006/relationships/image" Target="../media/image162.svg"/><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chart" Target="../charts/chart2.xml"/><Relationship Id="rId33" Type="http://schemas.openxmlformats.org/officeDocument/2006/relationships/hyperlink" Target="https://www.minambiente.gov.co/" TargetMode="External"/><Relationship Id="rId38" Type="http://schemas.openxmlformats.org/officeDocument/2006/relationships/image" Target="../media/image160.svg"/><Relationship Id="rId2" Type="http://schemas.openxmlformats.org/officeDocument/2006/relationships/hyperlink" Target="#RESULTADOS_sectoriales!A1"/><Relationship Id="rId16" Type="http://schemas.openxmlformats.org/officeDocument/2006/relationships/image" Target="../media/image15.png"/><Relationship Id="rId20" Type="http://schemas.openxmlformats.org/officeDocument/2006/relationships/image" Target="../media/image153.png"/><Relationship Id="rId29" Type="http://schemas.openxmlformats.org/officeDocument/2006/relationships/hyperlink" Target="#AJUSTES!A1"/><Relationship Id="rId41" Type="http://schemas.openxmlformats.org/officeDocument/2006/relationships/image" Target="../media/image161.png"/><Relationship Id="rId1" Type="http://schemas.openxmlformats.org/officeDocument/2006/relationships/hyperlink" Target="#RESULTADOS_Generales!A1"/><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chart" Target="../charts/chart1.xml"/><Relationship Id="rId32" Type="http://schemas.openxmlformats.org/officeDocument/2006/relationships/image" Target="../media/image4.png"/><Relationship Id="rId37" Type="http://schemas.openxmlformats.org/officeDocument/2006/relationships/image" Target="../media/image97.png"/><Relationship Id="rId40" Type="http://schemas.openxmlformats.org/officeDocument/2006/relationships/hyperlink" Target="#INFORMACI&#211;N!B470"/><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56.svg"/><Relationship Id="rId28" Type="http://schemas.openxmlformats.org/officeDocument/2006/relationships/chart" Target="../charts/chart5.xml"/><Relationship Id="rId36" Type="http://schemas.openxmlformats.org/officeDocument/2006/relationships/image" Target="../media/image159.svg"/><Relationship Id="rId10" Type="http://schemas.openxmlformats.org/officeDocument/2006/relationships/image" Target="../media/image11.png"/><Relationship Id="rId19" Type="http://schemas.openxmlformats.org/officeDocument/2006/relationships/image" Target="../media/image152.svg"/><Relationship Id="rId31" Type="http://schemas.openxmlformats.org/officeDocument/2006/relationships/image" Target="../media/image18.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55.png"/><Relationship Id="rId27" Type="http://schemas.openxmlformats.org/officeDocument/2006/relationships/chart" Target="../charts/chart4.xml"/><Relationship Id="rId30" Type="http://schemas.openxmlformats.org/officeDocument/2006/relationships/image" Target="../media/image17.png"/><Relationship Id="rId35" Type="http://schemas.openxmlformats.org/officeDocument/2006/relationships/image" Target="../media/image158.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112.svg"/><Relationship Id="rId18" Type="http://schemas.openxmlformats.org/officeDocument/2006/relationships/image" Target="../media/image101.png"/><Relationship Id="rId26" Type="http://schemas.openxmlformats.org/officeDocument/2006/relationships/hyperlink" Target="#RESULTADOS_GANADERIA!A1"/><Relationship Id="rId39" Type="http://schemas.openxmlformats.org/officeDocument/2006/relationships/image" Target="../media/image10.svg"/><Relationship Id="rId3" Type="http://schemas.openxmlformats.org/officeDocument/2006/relationships/hyperlink" Target="#RESULTADOS_ENERG&#205;A!A1"/><Relationship Id="rId21" Type="http://schemas.openxmlformats.org/officeDocument/2006/relationships/image" Target="../media/image105.png"/><Relationship Id="rId34" Type="http://schemas.openxmlformats.org/officeDocument/2006/relationships/hyperlink" Target="#INICIO!A1"/><Relationship Id="rId42" Type="http://schemas.openxmlformats.org/officeDocument/2006/relationships/image" Target="../media/image12.svg"/><Relationship Id="rId47" Type="http://schemas.openxmlformats.org/officeDocument/2006/relationships/image" Target="../media/image15.png"/><Relationship Id="rId50" Type="http://schemas.openxmlformats.org/officeDocument/2006/relationships/image" Target="../media/image17.png"/><Relationship Id="rId7" Type="http://schemas.openxmlformats.org/officeDocument/2006/relationships/image" Target="../media/image96.svg"/><Relationship Id="rId12" Type="http://schemas.openxmlformats.org/officeDocument/2006/relationships/image" Target="../media/image111.png"/><Relationship Id="rId17" Type="http://schemas.openxmlformats.org/officeDocument/2006/relationships/hyperlink" Target="#RESULTADOS_RESIDUOS!A1"/><Relationship Id="rId25" Type="http://schemas.openxmlformats.org/officeDocument/2006/relationships/image" Target="../media/image104.svg"/><Relationship Id="rId33" Type="http://schemas.openxmlformats.org/officeDocument/2006/relationships/hyperlink" Target="#RESULTADOS_sectoriales!A1"/><Relationship Id="rId38" Type="http://schemas.openxmlformats.org/officeDocument/2006/relationships/image" Target="../media/image9.png"/><Relationship Id="rId46" Type="http://schemas.openxmlformats.org/officeDocument/2006/relationships/hyperlink" Target="#CONTROL!A1"/><Relationship Id="rId2" Type="http://schemas.openxmlformats.org/officeDocument/2006/relationships/image" Target="../media/image164.svg"/><Relationship Id="rId16" Type="http://schemas.openxmlformats.org/officeDocument/2006/relationships/image" Target="../media/image108.svg"/><Relationship Id="rId20" Type="http://schemas.openxmlformats.org/officeDocument/2006/relationships/hyperlink" Target="#RESULTADOS_EDIFICACIONES!A1"/><Relationship Id="rId29" Type="http://schemas.openxmlformats.org/officeDocument/2006/relationships/hyperlink" Target="#RESULTADOS_INDUSTRIA!A1"/><Relationship Id="rId41" Type="http://schemas.openxmlformats.org/officeDocument/2006/relationships/image" Target="../media/image11.png"/><Relationship Id="rId1" Type="http://schemas.openxmlformats.org/officeDocument/2006/relationships/image" Target="../media/image163.png"/><Relationship Id="rId6" Type="http://schemas.openxmlformats.org/officeDocument/2006/relationships/image" Target="../media/image95.png"/><Relationship Id="rId11" Type="http://schemas.openxmlformats.org/officeDocument/2006/relationships/hyperlink" Target="#RESULTADOS_BOSQUES!A1"/><Relationship Id="rId24" Type="http://schemas.openxmlformats.org/officeDocument/2006/relationships/image" Target="../media/image103.png"/><Relationship Id="rId32" Type="http://schemas.openxmlformats.org/officeDocument/2006/relationships/hyperlink" Target="#RESULTADOS_Generales!A1"/><Relationship Id="rId37" Type="http://schemas.openxmlformats.org/officeDocument/2006/relationships/hyperlink" Target="#INFORMACI&#211;N!A1"/><Relationship Id="rId40" Type="http://schemas.openxmlformats.org/officeDocument/2006/relationships/hyperlink" Target="#RESULTADOS_Tipo!A1"/><Relationship Id="rId45" Type="http://schemas.openxmlformats.org/officeDocument/2006/relationships/image" Target="../media/image14.svg"/><Relationship Id="rId5" Type="http://schemas.openxmlformats.org/officeDocument/2006/relationships/image" Target="../media/image166.svg"/><Relationship Id="rId15" Type="http://schemas.openxmlformats.org/officeDocument/2006/relationships/image" Target="../media/image107.png"/><Relationship Id="rId23" Type="http://schemas.openxmlformats.org/officeDocument/2006/relationships/hyperlink" Target="#RESULTADOS_TRANSPORTE!A1"/><Relationship Id="rId28" Type="http://schemas.openxmlformats.org/officeDocument/2006/relationships/image" Target="../media/image110.svg"/><Relationship Id="rId36" Type="http://schemas.openxmlformats.org/officeDocument/2006/relationships/image" Target="../media/image8.svg"/><Relationship Id="rId49" Type="http://schemas.openxmlformats.org/officeDocument/2006/relationships/hyperlink" Target="#AJUSTES!A1"/><Relationship Id="rId10" Type="http://schemas.openxmlformats.org/officeDocument/2006/relationships/image" Target="../media/image98.svg"/><Relationship Id="rId19" Type="http://schemas.openxmlformats.org/officeDocument/2006/relationships/image" Target="../media/image102.svg"/><Relationship Id="rId31" Type="http://schemas.openxmlformats.org/officeDocument/2006/relationships/image" Target="../media/image100.svg"/><Relationship Id="rId44" Type="http://schemas.openxmlformats.org/officeDocument/2006/relationships/image" Target="../media/image13.png"/><Relationship Id="rId4" Type="http://schemas.openxmlformats.org/officeDocument/2006/relationships/image" Target="../media/image165.png"/><Relationship Id="rId9" Type="http://schemas.openxmlformats.org/officeDocument/2006/relationships/image" Target="../media/image97.png"/><Relationship Id="rId14" Type="http://schemas.openxmlformats.org/officeDocument/2006/relationships/hyperlink" Target="#RESULTADOS_AGRICULTURA!A1"/><Relationship Id="rId22" Type="http://schemas.openxmlformats.org/officeDocument/2006/relationships/image" Target="../media/image142.svg"/><Relationship Id="rId27" Type="http://schemas.openxmlformats.org/officeDocument/2006/relationships/image" Target="../media/image109.png"/><Relationship Id="rId30" Type="http://schemas.openxmlformats.org/officeDocument/2006/relationships/image" Target="../media/image99.png"/><Relationship Id="rId35" Type="http://schemas.openxmlformats.org/officeDocument/2006/relationships/image" Target="../media/image7.png"/><Relationship Id="rId43" Type="http://schemas.openxmlformats.org/officeDocument/2006/relationships/hyperlink" Target="#ESCENARIOS!A1"/><Relationship Id="rId48" Type="http://schemas.openxmlformats.org/officeDocument/2006/relationships/image" Target="../media/image16.svg"/><Relationship Id="rId8" Type="http://schemas.openxmlformats.org/officeDocument/2006/relationships/hyperlink" Target="#RESULTADOS_ELECTRICIDAD!A1"/><Relationship Id="rId51" Type="http://schemas.openxmlformats.org/officeDocument/2006/relationships/image" Target="../media/image18.svg"/></Relationships>
</file>

<file path=xl/drawings/_rels/drawing16.xml.rels><?xml version="1.0" encoding="UTF-8" standalone="yes"?>
<Relationships xmlns="http://schemas.openxmlformats.org/package/2006/relationships"><Relationship Id="rId13" Type="http://schemas.openxmlformats.org/officeDocument/2006/relationships/image" Target="../media/image12.svg"/><Relationship Id="rId18" Type="http://schemas.openxmlformats.org/officeDocument/2006/relationships/image" Target="../media/image15.png"/><Relationship Id="rId26" Type="http://schemas.openxmlformats.org/officeDocument/2006/relationships/hyperlink" Target="#RESULTADOS_INDUSTRIA!A1"/><Relationship Id="rId39" Type="http://schemas.openxmlformats.org/officeDocument/2006/relationships/image" Target="../media/image179.png"/><Relationship Id="rId21" Type="http://schemas.openxmlformats.org/officeDocument/2006/relationships/image" Target="../media/image167.png"/><Relationship Id="rId34" Type="http://schemas.openxmlformats.org/officeDocument/2006/relationships/image" Target="../media/image176.svg"/><Relationship Id="rId42" Type="http://schemas.openxmlformats.org/officeDocument/2006/relationships/image" Target="../media/image181.png"/><Relationship Id="rId47" Type="http://schemas.openxmlformats.org/officeDocument/2006/relationships/hyperlink" Target="#ENER_CombFosil!A1"/><Relationship Id="rId50" Type="http://schemas.openxmlformats.org/officeDocument/2006/relationships/hyperlink" Target="#AJUSTES!A1"/><Relationship Id="rId55" Type="http://schemas.openxmlformats.org/officeDocument/2006/relationships/image" Target="../media/image153.png"/><Relationship Id="rId63" Type="http://schemas.openxmlformats.org/officeDocument/2006/relationships/image" Target="../media/image161.png"/><Relationship Id="rId7" Type="http://schemas.openxmlformats.org/officeDocument/2006/relationships/image" Target="../media/image8.svg"/><Relationship Id="rId2" Type="http://schemas.openxmlformats.org/officeDocument/2006/relationships/chart" Target="../charts/chart8.xml"/><Relationship Id="rId16" Type="http://schemas.openxmlformats.org/officeDocument/2006/relationships/image" Target="../media/image14.svg"/><Relationship Id="rId20" Type="http://schemas.openxmlformats.org/officeDocument/2006/relationships/hyperlink" Target="#RESULTADOS_ENERG&#205;A!A1"/><Relationship Id="rId29" Type="http://schemas.openxmlformats.org/officeDocument/2006/relationships/hyperlink" Target="#RESULTADOS_RESIDUOS!A1"/><Relationship Id="rId41" Type="http://schemas.openxmlformats.org/officeDocument/2006/relationships/hyperlink" Target="#RESULTADOS_GANADERIA!A1"/><Relationship Id="rId54" Type="http://schemas.openxmlformats.org/officeDocument/2006/relationships/image" Target="../media/image187.svg"/><Relationship Id="rId62" Type="http://schemas.openxmlformats.org/officeDocument/2006/relationships/hyperlink" Target="#INFORMACI&#211;N!B470"/><Relationship Id="rId1" Type="http://schemas.openxmlformats.org/officeDocument/2006/relationships/chart" Target="../charts/chart7.xml"/><Relationship Id="rId6" Type="http://schemas.openxmlformats.org/officeDocument/2006/relationships/image" Target="../media/image7.png"/><Relationship Id="rId11" Type="http://schemas.openxmlformats.org/officeDocument/2006/relationships/hyperlink" Target="#RESULTADOS_Tipo!A1"/><Relationship Id="rId24" Type="http://schemas.openxmlformats.org/officeDocument/2006/relationships/image" Target="../media/image169.png"/><Relationship Id="rId32" Type="http://schemas.openxmlformats.org/officeDocument/2006/relationships/hyperlink" Target="#RESULTADOS_TRANSPORTE!A1"/><Relationship Id="rId37" Type="http://schemas.openxmlformats.org/officeDocument/2006/relationships/image" Target="../media/image178.svg"/><Relationship Id="rId40" Type="http://schemas.openxmlformats.org/officeDocument/2006/relationships/image" Target="../media/image180.svg"/><Relationship Id="rId45" Type="http://schemas.openxmlformats.org/officeDocument/2006/relationships/image" Target="../media/image183.png"/><Relationship Id="rId53" Type="http://schemas.openxmlformats.org/officeDocument/2006/relationships/image" Target="../media/image151.png"/><Relationship Id="rId58" Type="http://schemas.openxmlformats.org/officeDocument/2006/relationships/chart" Target="../charts/chart10.xml"/><Relationship Id="rId5" Type="http://schemas.openxmlformats.org/officeDocument/2006/relationships/hyperlink" Target="#INICIO!A1"/><Relationship Id="rId15" Type="http://schemas.openxmlformats.org/officeDocument/2006/relationships/image" Target="../media/image13.png"/><Relationship Id="rId23" Type="http://schemas.openxmlformats.org/officeDocument/2006/relationships/hyperlink" Target="#RESULTADOS_ELECTRICIDAD!A1"/><Relationship Id="rId28" Type="http://schemas.openxmlformats.org/officeDocument/2006/relationships/image" Target="../media/image172.svg"/><Relationship Id="rId36" Type="http://schemas.openxmlformats.org/officeDocument/2006/relationships/image" Target="../media/image177.png"/><Relationship Id="rId49" Type="http://schemas.openxmlformats.org/officeDocument/2006/relationships/image" Target="../media/image186.svg"/><Relationship Id="rId57" Type="http://schemas.openxmlformats.org/officeDocument/2006/relationships/chart" Target="../charts/chart9.xml"/><Relationship Id="rId61" Type="http://schemas.openxmlformats.org/officeDocument/2006/relationships/image" Target="../media/image190.svg"/><Relationship Id="rId10" Type="http://schemas.openxmlformats.org/officeDocument/2006/relationships/image" Target="../media/image10.svg"/><Relationship Id="rId19" Type="http://schemas.openxmlformats.org/officeDocument/2006/relationships/image" Target="../media/image16.svg"/><Relationship Id="rId31" Type="http://schemas.openxmlformats.org/officeDocument/2006/relationships/image" Target="../media/image174.svg"/><Relationship Id="rId44" Type="http://schemas.openxmlformats.org/officeDocument/2006/relationships/hyperlink" Target="#RESULTADOS_BOSQUES!A1"/><Relationship Id="rId52" Type="http://schemas.openxmlformats.org/officeDocument/2006/relationships/image" Target="../media/image18.svg"/><Relationship Id="rId60" Type="http://schemas.openxmlformats.org/officeDocument/2006/relationships/image" Target="../media/image189.png"/><Relationship Id="rId4" Type="http://schemas.openxmlformats.org/officeDocument/2006/relationships/image" Target="../media/image164.svg"/><Relationship Id="rId9" Type="http://schemas.openxmlformats.org/officeDocument/2006/relationships/image" Target="../media/image9.png"/><Relationship Id="rId14" Type="http://schemas.openxmlformats.org/officeDocument/2006/relationships/hyperlink" Target="#ESCENARIOS!A1"/><Relationship Id="rId22" Type="http://schemas.openxmlformats.org/officeDocument/2006/relationships/image" Target="../media/image168.svg"/><Relationship Id="rId27" Type="http://schemas.openxmlformats.org/officeDocument/2006/relationships/image" Target="../media/image171.png"/><Relationship Id="rId30" Type="http://schemas.openxmlformats.org/officeDocument/2006/relationships/image" Target="../media/image173.png"/><Relationship Id="rId35" Type="http://schemas.openxmlformats.org/officeDocument/2006/relationships/hyperlink" Target="#RESULTADOS_EDIFICACIONES!A1"/><Relationship Id="rId43" Type="http://schemas.openxmlformats.org/officeDocument/2006/relationships/image" Target="../media/image182.svg"/><Relationship Id="rId48" Type="http://schemas.openxmlformats.org/officeDocument/2006/relationships/image" Target="../media/image185.png"/><Relationship Id="rId56" Type="http://schemas.openxmlformats.org/officeDocument/2006/relationships/image" Target="../media/image188.svg"/><Relationship Id="rId64" Type="http://schemas.openxmlformats.org/officeDocument/2006/relationships/image" Target="../media/image191.svg"/><Relationship Id="rId8" Type="http://schemas.openxmlformats.org/officeDocument/2006/relationships/hyperlink" Target="#INFORMACI&#211;N!A1"/><Relationship Id="rId51" Type="http://schemas.openxmlformats.org/officeDocument/2006/relationships/image" Target="../media/image17.png"/><Relationship Id="rId3" Type="http://schemas.openxmlformats.org/officeDocument/2006/relationships/image" Target="../media/image163.png"/><Relationship Id="rId12" Type="http://schemas.openxmlformats.org/officeDocument/2006/relationships/image" Target="../media/image11.png"/><Relationship Id="rId17" Type="http://schemas.openxmlformats.org/officeDocument/2006/relationships/hyperlink" Target="#CONTROL!A1"/><Relationship Id="rId25" Type="http://schemas.openxmlformats.org/officeDocument/2006/relationships/image" Target="../media/image170.svg"/><Relationship Id="rId33" Type="http://schemas.openxmlformats.org/officeDocument/2006/relationships/image" Target="../media/image175.png"/><Relationship Id="rId38" Type="http://schemas.openxmlformats.org/officeDocument/2006/relationships/hyperlink" Target="#RESULTADOS_AGRICULTURA!A1"/><Relationship Id="rId46" Type="http://schemas.openxmlformats.org/officeDocument/2006/relationships/image" Target="../media/image184.svg"/><Relationship Id="rId59"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ELECT_ Electricidad'!A1"/><Relationship Id="rId26" Type="http://schemas.openxmlformats.org/officeDocument/2006/relationships/image" Target="../media/image170.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5.png"/><Relationship Id="rId42" Type="http://schemas.openxmlformats.org/officeDocument/2006/relationships/hyperlink" Target="#RESULTADOS_GANADERIA!A1"/><Relationship Id="rId47" Type="http://schemas.openxmlformats.org/officeDocument/2006/relationships/image" Target="../media/image184.svg"/><Relationship Id="rId50" Type="http://schemas.openxmlformats.org/officeDocument/2006/relationships/image" Target="../media/image18.svg"/><Relationship Id="rId55" Type="http://schemas.openxmlformats.org/officeDocument/2006/relationships/chart" Target="../charts/chart14.xml"/><Relationship Id="rId63" Type="http://schemas.openxmlformats.org/officeDocument/2006/relationships/image" Target="../media/image162.svg"/><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86.svg"/><Relationship Id="rId29" Type="http://schemas.openxmlformats.org/officeDocument/2006/relationships/image" Target="../media/image172.svg"/><Relationship Id="rId41" Type="http://schemas.openxmlformats.org/officeDocument/2006/relationships/image" Target="../media/image180.svg"/><Relationship Id="rId54" Type="http://schemas.openxmlformats.org/officeDocument/2006/relationships/chart" Target="../charts/chart13.xml"/><Relationship Id="rId62" Type="http://schemas.openxmlformats.org/officeDocument/2006/relationships/image" Target="../media/image161.pn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4.svg"/><Relationship Id="rId37" Type="http://schemas.openxmlformats.org/officeDocument/2006/relationships/image" Target="../media/image177.png"/><Relationship Id="rId40" Type="http://schemas.openxmlformats.org/officeDocument/2006/relationships/image" Target="../media/image179.png"/><Relationship Id="rId45" Type="http://schemas.openxmlformats.org/officeDocument/2006/relationships/hyperlink" Target="#RESULTADOS_BOSQUES!A1"/><Relationship Id="rId53" Type="http://schemas.openxmlformats.org/officeDocument/2006/relationships/chart" Target="../charts/chart12.xml"/><Relationship Id="rId58" Type="http://schemas.openxmlformats.org/officeDocument/2006/relationships/image" Target="../media/image189.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8.svg"/><Relationship Id="rId28" Type="http://schemas.openxmlformats.org/officeDocument/2006/relationships/image" Target="../media/image171.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image" Target="../media/image192.svg"/><Relationship Id="rId61" Type="http://schemas.openxmlformats.org/officeDocument/2006/relationships/hyperlink" Target="#INFORMACI&#211;N!B470"/><Relationship Id="rId10" Type="http://schemas.openxmlformats.org/officeDocument/2006/relationships/image" Target="../media/image11.png"/><Relationship Id="rId19" Type="http://schemas.openxmlformats.org/officeDocument/2006/relationships/image" Target="../media/image185.png"/><Relationship Id="rId31" Type="http://schemas.openxmlformats.org/officeDocument/2006/relationships/image" Target="../media/image173.png"/><Relationship Id="rId44" Type="http://schemas.openxmlformats.org/officeDocument/2006/relationships/image" Target="../media/image182.svg"/><Relationship Id="rId52" Type="http://schemas.openxmlformats.org/officeDocument/2006/relationships/image" Target="../media/image187.svg"/><Relationship Id="rId60" Type="http://schemas.openxmlformats.org/officeDocument/2006/relationships/chart" Target="../charts/chart15.xml"/><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7.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6.svg"/><Relationship Id="rId43" Type="http://schemas.openxmlformats.org/officeDocument/2006/relationships/image" Target="../media/image181.png"/><Relationship Id="rId48" Type="http://schemas.openxmlformats.org/officeDocument/2006/relationships/hyperlink" Target="#AJUSTES!A1"/><Relationship Id="rId56" Type="http://schemas.openxmlformats.org/officeDocument/2006/relationships/image" Target="../media/image153.png"/><Relationship Id="rId8" Type="http://schemas.openxmlformats.org/officeDocument/2006/relationships/image" Target="../media/image10.svg"/><Relationship Id="rId51" Type="http://schemas.openxmlformats.org/officeDocument/2006/relationships/image" Target="../media/image151.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9.png"/><Relationship Id="rId33" Type="http://schemas.openxmlformats.org/officeDocument/2006/relationships/hyperlink" Target="#RESULTADOS_TRANSPORTE!A1"/><Relationship Id="rId38" Type="http://schemas.openxmlformats.org/officeDocument/2006/relationships/image" Target="../media/image178.svg"/><Relationship Id="rId46" Type="http://schemas.openxmlformats.org/officeDocument/2006/relationships/image" Target="../media/image183.png"/><Relationship Id="rId59" Type="http://schemas.openxmlformats.org/officeDocument/2006/relationships/image" Target="../media/image190.svg"/></Relationships>
</file>

<file path=xl/drawings/_rels/drawing2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IND_!A1"/><Relationship Id="rId26" Type="http://schemas.openxmlformats.org/officeDocument/2006/relationships/image" Target="../media/image170.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5.png"/><Relationship Id="rId42" Type="http://schemas.openxmlformats.org/officeDocument/2006/relationships/hyperlink" Target="#RESULTADOS_GANADERIA!A1"/><Relationship Id="rId47" Type="http://schemas.openxmlformats.org/officeDocument/2006/relationships/image" Target="../media/image184.svg"/><Relationship Id="rId50" Type="http://schemas.openxmlformats.org/officeDocument/2006/relationships/hyperlink" Target="#AJUSTES!A1"/><Relationship Id="rId55" Type="http://schemas.openxmlformats.org/officeDocument/2006/relationships/image" Target="../media/image155.png"/><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86.svg"/><Relationship Id="rId29" Type="http://schemas.openxmlformats.org/officeDocument/2006/relationships/image" Target="../media/image172.svg"/><Relationship Id="rId41" Type="http://schemas.openxmlformats.org/officeDocument/2006/relationships/image" Target="../media/image180.svg"/><Relationship Id="rId54" Type="http://schemas.openxmlformats.org/officeDocument/2006/relationships/image" Target="../media/image187.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4.svg"/><Relationship Id="rId37" Type="http://schemas.openxmlformats.org/officeDocument/2006/relationships/image" Target="../media/image177.png"/><Relationship Id="rId40" Type="http://schemas.openxmlformats.org/officeDocument/2006/relationships/image" Target="../media/image179.png"/><Relationship Id="rId45" Type="http://schemas.openxmlformats.org/officeDocument/2006/relationships/hyperlink" Target="#RESULTADOS_BOSQUES!A1"/><Relationship Id="rId53" Type="http://schemas.openxmlformats.org/officeDocument/2006/relationships/image" Target="../media/image151.png"/><Relationship Id="rId58" Type="http://schemas.openxmlformats.org/officeDocument/2006/relationships/chart" Target="../charts/chart18.xml"/><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8.svg"/><Relationship Id="rId28" Type="http://schemas.openxmlformats.org/officeDocument/2006/relationships/image" Target="../media/image171.png"/><Relationship Id="rId36" Type="http://schemas.openxmlformats.org/officeDocument/2006/relationships/hyperlink" Target="#RESULTADOS_EDIFICACIONES!A1"/><Relationship Id="rId49" Type="http://schemas.openxmlformats.org/officeDocument/2006/relationships/chart" Target="../charts/chart17.xml"/><Relationship Id="rId57" Type="http://schemas.openxmlformats.org/officeDocument/2006/relationships/image" Target="../media/image193.svg"/><Relationship Id="rId61" Type="http://schemas.openxmlformats.org/officeDocument/2006/relationships/image" Target="../media/image162.svg"/><Relationship Id="rId10" Type="http://schemas.openxmlformats.org/officeDocument/2006/relationships/image" Target="../media/image11.png"/><Relationship Id="rId19" Type="http://schemas.openxmlformats.org/officeDocument/2006/relationships/image" Target="../media/image185.png"/><Relationship Id="rId31" Type="http://schemas.openxmlformats.org/officeDocument/2006/relationships/image" Target="../media/image173.png"/><Relationship Id="rId44" Type="http://schemas.openxmlformats.org/officeDocument/2006/relationships/image" Target="../media/image182.svg"/><Relationship Id="rId52" Type="http://schemas.openxmlformats.org/officeDocument/2006/relationships/image" Target="../media/image18.svg"/><Relationship Id="rId60" Type="http://schemas.openxmlformats.org/officeDocument/2006/relationships/image" Target="../media/image161.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7.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6.svg"/><Relationship Id="rId43" Type="http://schemas.openxmlformats.org/officeDocument/2006/relationships/image" Target="../media/image181.png"/><Relationship Id="rId48" Type="http://schemas.openxmlformats.org/officeDocument/2006/relationships/chart" Target="../charts/chart16.xml"/><Relationship Id="rId56" Type="http://schemas.openxmlformats.org/officeDocument/2006/relationships/image" Target="../media/image156.svg"/><Relationship Id="rId8" Type="http://schemas.openxmlformats.org/officeDocument/2006/relationships/image" Target="../media/image10.svg"/><Relationship Id="rId51" Type="http://schemas.openxmlformats.org/officeDocument/2006/relationships/image" Target="../media/image17.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9.png"/><Relationship Id="rId33" Type="http://schemas.openxmlformats.org/officeDocument/2006/relationships/hyperlink" Target="#RESULTADOS_TRANSPORTE!A1"/><Relationship Id="rId38" Type="http://schemas.openxmlformats.org/officeDocument/2006/relationships/image" Target="../media/image178.svg"/><Relationship Id="rId46" Type="http://schemas.openxmlformats.org/officeDocument/2006/relationships/image" Target="../media/image183.png"/><Relationship Id="rId59" Type="http://schemas.openxmlformats.org/officeDocument/2006/relationships/hyperlink" Target="#INFORMACI&#211;N!B470"/></Relationships>
</file>

<file path=xl/drawings/_rels/drawing2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53.png"/><Relationship Id="rId26" Type="http://schemas.openxmlformats.org/officeDocument/2006/relationships/chart" Target="../charts/chart20.xml"/><Relationship Id="rId39" Type="http://schemas.openxmlformats.org/officeDocument/2006/relationships/hyperlink" Target="#RESULTADOS_INDUSTRIA!A1"/><Relationship Id="rId21" Type="http://schemas.openxmlformats.org/officeDocument/2006/relationships/image" Target="../media/image185.png"/><Relationship Id="rId34" Type="http://schemas.openxmlformats.org/officeDocument/2006/relationships/image" Target="../media/image167.png"/><Relationship Id="rId42" Type="http://schemas.openxmlformats.org/officeDocument/2006/relationships/hyperlink" Target="#RESULTADOS_RESIDUOS!A1"/><Relationship Id="rId47" Type="http://schemas.openxmlformats.org/officeDocument/2006/relationships/image" Target="../media/image176.svg"/><Relationship Id="rId50" Type="http://schemas.openxmlformats.org/officeDocument/2006/relationships/image" Target="../media/image178.svg"/><Relationship Id="rId55" Type="http://schemas.openxmlformats.org/officeDocument/2006/relationships/image" Target="../media/image181.png"/><Relationship Id="rId63" Type="http://schemas.openxmlformats.org/officeDocument/2006/relationships/image" Target="../media/image161.png"/><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hyperlink" Target="#RES_SOL!A1"/><Relationship Id="rId29" Type="http://schemas.openxmlformats.org/officeDocument/2006/relationships/image" Target="../media/image17.png"/><Relationship Id="rId41" Type="http://schemas.openxmlformats.org/officeDocument/2006/relationships/image" Target="../media/image172.svg"/><Relationship Id="rId54" Type="http://schemas.openxmlformats.org/officeDocument/2006/relationships/hyperlink" Target="#RESULTADOS_GANADERIA!A1"/><Relationship Id="rId62" Type="http://schemas.openxmlformats.org/officeDocument/2006/relationships/hyperlink" Target="#INFORMACI&#211;N!B470"/><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56.svg"/><Relationship Id="rId32" Type="http://schemas.openxmlformats.org/officeDocument/2006/relationships/image" Target="../media/image187.svg"/><Relationship Id="rId37" Type="http://schemas.openxmlformats.org/officeDocument/2006/relationships/image" Target="../media/image169.png"/><Relationship Id="rId40" Type="http://schemas.openxmlformats.org/officeDocument/2006/relationships/image" Target="../media/image171.png"/><Relationship Id="rId45" Type="http://schemas.openxmlformats.org/officeDocument/2006/relationships/hyperlink" Target="#RESULTADOS_TRANSPORTE!A1"/><Relationship Id="rId53" Type="http://schemas.openxmlformats.org/officeDocument/2006/relationships/image" Target="../media/image180.svg"/><Relationship Id="rId58" Type="http://schemas.openxmlformats.org/officeDocument/2006/relationships/image" Target="../media/image183.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55.png"/><Relationship Id="rId28" Type="http://schemas.openxmlformats.org/officeDocument/2006/relationships/hyperlink" Target="#AJUSTES!A1"/><Relationship Id="rId36" Type="http://schemas.openxmlformats.org/officeDocument/2006/relationships/hyperlink" Target="#RESULTADOS_ELECTRICIDAD!A1"/><Relationship Id="rId49" Type="http://schemas.openxmlformats.org/officeDocument/2006/relationships/image" Target="../media/image177.png"/><Relationship Id="rId57" Type="http://schemas.openxmlformats.org/officeDocument/2006/relationships/hyperlink" Target="#RESULTADOS_BOSQUES!A1"/><Relationship Id="rId61" Type="http://schemas.openxmlformats.org/officeDocument/2006/relationships/image" Target="../media/image87.svg"/><Relationship Id="rId10" Type="http://schemas.openxmlformats.org/officeDocument/2006/relationships/image" Target="../media/image11.png"/><Relationship Id="rId19" Type="http://schemas.openxmlformats.org/officeDocument/2006/relationships/image" Target="../media/image192.svg"/><Relationship Id="rId31" Type="http://schemas.openxmlformats.org/officeDocument/2006/relationships/image" Target="../media/image151.png"/><Relationship Id="rId44" Type="http://schemas.openxmlformats.org/officeDocument/2006/relationships/image" Target="../media/image174.svg"/><Relationship Id="rId52" Type="http://schemas.openxmlformats.org/officeDocument/2006/relationships/image" Target="../media/image179.png"/><Relationship Id="rId60" Type="http://schemas.openxmlformats.org/officeDocument/2006/relationships/image" Target="../media/image86.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86.svg"/><Relationship Id="rId27" Type="http://schemas.openxmlformats.org/officeDocument/2006/relationships/chart" Target="../charts/chart21.xml"/><Relationship Id="rId30" Type="http://schemas.openxmlformats.org/officeDocument/2006/relationships/image" Target="../media/image18.svg"/><Relationship Id="rId35" Type="http://schemas.openxmlformats.org/officeDocument/2006/relationships/image" Target="../media/image168.svg"/><Relationship Id="rId43" Type="http://schemas.openxmlformats.org/officeDocument/2006/relationships/image" Target="../media/image173.png"/><Relationship Id="rId48" Type="http://schemas.openxmlformats.org/officeDocument/2006/relationships/hyperlink" Target="#RESULTADOS_EDIFICACIONES!A1"/><Relationship Id="rId56" Type="http://schemas.openxmlformats.org/officeDocument/2006/relationships/image" Target="../media/image182.svg"/><Relationship Id="rId64" Type="http://schemas.openxmlformats.org/officeDocument/2006/relationships/image" Target="../media/image162.svg"/><Relationship Id="rId8" Type="http://schemas.openxmlformats.org/officeDocument/2006/relationships/image" Target="../media/image10.svg"/><Relationship Id="rId51" Type="http://schemas.openxmlformats.org/officeDocument/2006/relationships/hyperlink" Target="#RESULTADOS_AGRICULTURA!A1"/><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chart" Target="../charts/chart19.xml"/><Relationship Id="rId33" Type="http://schemas.openxmlformats.org/officeDocument/2006/relationships/hyperlink" Target="#RESULTADOS_ENERG&#205;A!A1"/><Relationship Id="rId38" Type="http://schemas.openxmlformats.org/officeDocument/2006/relationships/image" Target="../media/image170.svg"/><Relationship Id="rId46" Type="http://schemas.openxmlformats.org/officeDocument/2006/relationships/image" Target="../media/image175.png"/><Relationship Id="rId59" Type="http://schemas.openxmlformats.org/officeDocument/2006/relationships/image" Target="../media/image184.svg"/></Relationships>
</file>

<file path=xl/drawings/_rels/drawing25.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53.png"/><Relationship Id="rId26" Type="http://schemas.openxmlformats.org/officeDocument/2006/relationships/image" Target="../media/image167.png"/><Relationship Id="rId39" Type="http://schemas.openxmlformats.org/officeDocument/2006/relationships/image" Target="../media/image176.svg"/><Relationship Id="rId21" Type="http://schemas.openxmlformats.org/officeDocument/2006/relationships/image" Target="../media/image185.png"/><Relationship Id="rId34" Type="http://schemas.openxmlformats.org/officeDocument/2006/relationships/hyperlink" Target="#RESULTADOS_RESIDUOS!A1"/><Relationship Id="rId42" Type="http://schemas.openxmlformats.org/officeDocument/2006/relationships/image" Target="../media/image178.svg"/><Relationship Id="rId47" Type="http://schemas.openxmlformats.org/officeDocument/2006/relationships/image" Target="../media/image181.png"/><Relationship Id="rId50" Type="http://schemas.openxmlformats.org/officeDocument/2006/relationships/image" Target="../media/image183.png"/><Relationship Id="rId55" Type="http://schemas.openxmlformats.org/officeDocument/2006/relationships/hyperlink" Target="#AJUSTES!A1"/><Relationship Id="rId63" Type="http://schemas.openxmlformats.org/officeDocument/2006/relationships/image" Target="../media/image87.svg"/><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hyperlink" Target="#EDI_RES_URB_AER!A1"/><Relationship Id="rId29" Type="http://schemas.openxmlformats.org/officeDocument/2006/relationships/image" Target="../media/image169.png"/><Relationship Id="rId41" Type="http://schemas.openxmlformats.org/officeDocument/2006/relationships/image" Target="../media/image177.png"/><Relationship Id="rId54" Type="http://schemas.openxmlformats.org/officeDocument/2006/relationships/chart" Target="../charts/chart24.xml"/><Relationship Id="rId62" Type="http://schemas.openxmlformats.org/officeDocument/2006/relationships/image" Target="../media/image86.pn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56.svg"/><Relationship Id="rId32" Type="http://schemas.openxmlformats.org/officeDocument/2006/relationships/image" Target="../media/image171.png"/><Relationship Id="rId37" Type="http://schemas.openxmlformats.org/officeDocument/2006/relationships/hyperlink" Target="#RESULTADOS_TRANSPORTE!A1"/><Relationship Id="rId40" Type="http://schemas.openxmlformats.org/officeDocument/2006/relationships/hyperlink" Target="#RESULTADOS_EDIFICACIONES!A1"/><Relationship Id="rId45" Type="http://schemas.openxmlformats.org/officeDocument/2006/relationships/image" Target="../media/image180.svg"/><Relationship Id="rId53" Type="http://schemas.openxmlformats.org/officeDocument/2006/relationships/chart" Target="../charts/chart23.xml"/><Relationship Id="rId58" Type="http://schemas.openxmlformats.org/officeDocument/2006/relationships/image" Target="../media/image151.png"/><Relationship Id="rId66" Type="http://schemas.openxmlformats.org/officeDocument/2006/relationships/image" Target="../media/image16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55.png"/><Relationship Id="rId28" Type="http://schemas.openxmlformats.org/officeDocument/2006/relationships/hyperlink" Target="#RESULTADOS_ELECTRICIDAD!A1"/><Relationship Id="rId36" Type="http://schemas.openxmlformats.org/officeDocument/2006/relationships/image" Target="../media/image174.svg"/><Relationship Id="rId49" Type="http://schemas.openxmlformats.org/officeDocument/2006/relationships/hyperlink" Target="#RESULTADOS_BOSQUES!A1"/><Relationship Id="rId57" Type="http://schemas.openxmlformats.org/officeDocument/2006/relationships/image" Target="../media/image18.svg"/><Relationship Id="rId61" Type="http://schemas.openxmlformats.org/officeDocument/2006/relationships/chart" Target="../charts/chart25.xml"/><Relationship Id="rId10" Type="http://schemas.openxmlformats.org/officeDocument/2006/relationships/image" Target="../media/image11.png"/><Relationship Id="rId19" Type="http://schemas.openxmlformats.org/officeDocument/2006/relationships/image" Target="../media/image192.svg"/><Relationship Id="rId31" Type="http://schemas.openxmlformats.org/officeDocument/2006/relationships/hyperlink" Target="#RESULTADOS_INDUSTRIA!A1"/><Relationship Id="rId44" Type="http://schemas.openxmlformats.org/officeDocument/2006/relationships/image" Target="../media/image179.png"/><Relationship Id="rId52" Type="http://schemas.openxmlformats.org/officeDocument/2006/relationships/chart" Target="../charts/chart22.xml"/><Relationship Id="rId60" Type="http://schemas.openxmlformats.org/officeDocument/2006/relationships/image" Target="../media/image193.svg"/><Relationship Id="rId65" Type="http://schemas.openxmlformats.org/officeDocument/2006/relationships/image" Target="../media/image161.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86.svg"/><Relationship Id="rId27" Type="http://schemas.openxmlformats.org/officeDocument/2006/relationships/image" Target="../media/image168.svg"/><Relationship Id="rId30" Type="http://schemas.openxmlformats.org/officeDocument/2006/relationships/image" Target="../media/image170.svg"/><Relationship Id="rId35" Type="http://schemas.openxmlformats.org/officeDocument/2006/relationships/image" Target="../media/image173.png"/><Relationship Id="rId43" Type="http://schemas.openxmlformats.org/officeDocument/2006/relationships/hyperlink" Target="#RESULTADOS_AGRICULTURA!A1"/><Relationship Id="rId48" Type="http://schemas.openxmlformats.org/officeDocument/2006/relationships/image" Target="../media/image182.svg"/><Relationship Id="rId56" Type="http://schemas.openxmlformats.org/officeDocument/2006/relationships/image" Target="../media/image17.png"/><Relationship Id="rId64" Type="http://schemas.openxmlformats.org/officeDocument/2006/relationships/hyperlink" Target="#INFORMACI&#211;N!B470"/><Relationship Id="rId8" Type="http://schemas.openxmlformats.org/officeDocument/2006/relationships/image" Target="../media/image10.svg"/><Relationship Id="rId51" Type="http://schemas.openxmlformats.org/officeDocument/2006/relationships/image" Target="../media/image184.sv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RESULTADOS_ENERG&#205;A!A1"/><Relationship Id="rId33" Type="http://schemas.openxmlformats.org/officeDocument/2006/relationships/image" Target="../media/image172.svg"/><Relationship Id="rId38" Type="http://schemas.openxmlformats.org/officeDocument/2006/relationships/image" Target="../media/image175.png"/><Relationship Id="rId46" Type="http://schemas.openxmlformats.org/officeDocument/2006/relationships/hyperlink" Target="#RESULTADOS_GANADERIA!A1"/><Relationship Id="rId59" Type="http://schemas.openxmlformats.org/officeDocument/2006/relationships/image" Target="../media/image187.svg"/></Relationships>
</file>

<file path=xl/drawings/_rels/drawing2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53.png"/><Relationship Id="rId26" Type="http://schemas.openxmlformats.org/officeDocument/2006/relationships/image" Target="../media/image167.png"/><Relationship Id="rId39" Type="http://schemas.openxmlformats.org/officeDocument/2006/relationships/image" Target="../media/image176.svg"/><Relationship Id="rId21" Type="http://schemas.openxmlformats.org/officeDocument/2006/relationships/image" Target="../media/image185.png"/><Relationship Id="rId34" Type="http://schemas.openxmlformats.org/officeDocument/2006/relationships/hyperlink" Target="#RESULTADOS_RESIDUOS!A1"/><Relationship Id="rId42" Type="http://schemas.openxmlformats.org/officeDocument/2006/relationships/image" Target="../media/image178.svg"/><Relationship Id="rId47" Type="http://schemas.openxmlformats.org/officeDocument/2006/relationships/image" Target="../media/image181.png"/><Relationship Id="rId50" Type="http://schemas.openxmlformats.org/officeDocument/2006/relationships/image" Target="../media/image183.png"/><Relationship Id="rId55" Type="http://schemas.openxmlformats.org/officeDocument/2006/relationships/image" Target="../media/image18.svg"/><Relationship Id="rId63" Type="http://schemas.openxmlformats.org/officeDocument/2006/relationships/hyperlink" Target="#INFORMACI&#211;N!B470"/><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hyperlink" Target="#TRANS_PAS!A1"/><Relationship Id="rId29" Type="http://schemas.openxmlformats.org/officeDocument/2006/relationships/image" Target="../media/image169.png"/><Relationship Id="rId41" Type="http://schemas.openxmlformats.org/officeDocument/2006/relationships/image" Target="../media/image177.png"/><Relationship Id="rId54" Type="http://schemas.openxmlformats.org/officeDocument/2006/relationships/image" Target="../media/image17.png"/><Relationship Id="rId62" Type="http://schemas.openxmlformats.org/officeDocument/2006/relationships/image" Target="../media/image87.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56.svg"/><Relationship Id="rId32" Type="http://schemas.openxmlformats.org/officeDocument/2006/relationships/image" Target="../media/image171.png"/><Relationship Id="rId37" Type="http://schemas.openxmlformats.org/officeDocument/2006/relationships/hyperlink" Target="#RESULTADOS_TRANSPORTE!A1"/><Relationship Id="rId40" Type="http://schemas.openxmlformats.org/officeDocument/2006/relationships/hyperlink" Target="#RESULTADOS_EDIFICACIONES!A1"/><Relationship Id="rId45" Type="http://schemas.openxmlformats.org/officeDocument/2006/relationships/image" Target="../media/image180.svg"/><Relationship Id="rId53" Type="http://schemas.openxmlformats.org/officeDocument/2006/relationships/hyperlink" Target="#AJUSTES!A1"/><Relationship Id="rId58" Type="http://schemas.openxmlformats.org/officeDocument/2006/relationships/chart" Target="../charts/chart27.xml"/><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55.png"/><Relationship Id="rId28" Type="http://schemas.openxmlformats.org/officeDocument/2006/relationships/hyperlink" Target="#RESULTADOS_ELECTRICIDAD!A1"/><Relationship Id="rId36" Type="http://schemas.openxmlformats.org/officeDocument/2006/relationships/image" Target="../media/image174.svg"/><Relationship Id="rId49" Type="http://schemas.openxmlformats.org/officeDocument/2006/relationships/hyperlink" Target="#RESULTADOS_BOSQUES!A1"/><Relationship Id="rId57" Type="http://schemas.openxmlformats.org/officeDocument/2006/relationships/image" Target="../media/image187.svg"/><Relationship Id="rId61" Type="http://schemas.openxmlformats.org/officeDocument/2006/relationships/image" Target="../media/image86.png"/><Relationship Id="rId10" Type="http://schemas.openxmlformats.org/officeDocument/2006/relationships/image" Target="../media/image11.png"/><Relationship Id="rId19" Type="http://schemas.openxmlformats.org/officeDocument/2006/relationships/image" Target="../media/image192.svg"/><Relationship Id="rId31" Type="http://schemas.openxmlformats.org/officeDocument/2006/relationships/hyperlink" Target="#RESULTADOS_INDUSTRIA!A1"/><Relationship Id="rId44" Type="http://schemas.openxmlformats.org/officeDocument/2006/relationships/image" Target="../media/image179.png"/><Relationship Id="rId52" Type="http://schemas.openxmlformats.org/officeDocument/2006/relationships/chart" Target="../charts/chart26.xml"/><Relationship Id="rId60" Type="http://schemas.openxmlformats.org/officeDocument/2006/relationships/chart" Target="../charts/chart29.xml"/><Relationship Id="rId65" Type="http://schemas.openxmlformats.org/officeDocument/2006/relationships/image" Target="../media/image162.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86.svg"/><Relationship Id="rId27" Type="http://schemas.openxmlformats.org/officeDocument/2006/relationships/image" Target="../media/image168.svg"/><Relationship Id="rId30" Type="http://schemas.openxmlformats.org/officeDocument/2006/relationships/image" Target="../media/image170.svg"/><Relationship Id="rId35" Type="http://schemas.openxmlformats.org/officeDocument/2006/relationships/image" Target="../media/image173.png"/><Relationship Id="rId43" Type="http://schemas.openxmlformats.org/officeDocument/2006/relationships/hyperlink" Target="#RESULTADOS_AGRICULTURA!A1"/><Relationship Id="rId48" Type="http://schemas.openxmlformats.org/officeDocument/2006/relationships/image" Target="../media/image182.svg"/><Relationship Id="rId56" Type="http://schemas.openxmlformats.org/officeDocument/2006/relationships/image" Target="../media/image151.png"/><Relationship Id="rId64" Type="http://schemas.openxmlformats.org/officeDocument/2006/relationships/image" Target="../media/image161.png"/><Relationship Id="rId8" Type="http://schemas.openxmlformats.org/officeDocument/2006/relationships/image" Target="../media/image10.svg"/><Relationship Id="rId51" Type="http://schemas.openxmlformats.org/officeDocument/2006/relationships/image" Target="../media/image184.sv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RESULTADOS_ENERG&#205;A!A1"/><Relationship Id="rId33" Type="http://schemas.openxmlformats.org/officeDocument/2006/relationships/image" Target="../media/image172.svg"/><Relationship Id="rId38" Type="http://schemas.openxmlformats.org/officeDocument/2006/relationships/image" Target="../media/image175.png"/><Relationship Id="rId46" Type="http://schemas.openxmlformats.org/officeDocument/2006/relationships/hyperlink" Target="#RESULTADOS_GANADERIA!A1"/><Relationship Id="rId59"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AGRO_!A1"/><Relationship Id="rId26" Type="http://schemas.openxmlformats.org/officeDocument/2006/relationships/image" Target="../media/image170.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5.png"/><Relationship Id="rId42" Type="http://schemas.openxmlformats.org/officeDocument/2006/relationships/hyperlink" Target="#RESULTADOS_GANADERIA!A1"/><Relationship Id="rId47" Type="http://schemas.openxmlformats.org/officeDocument/2006/relationships/image" Target="../media/image184.svg"/><Relationship Id="rId50" Type="http://schemas.openxmlformats.org/officeDocument/2006/relationships/image" Target="../media/image18.svg"/><Relationship Id="rId55" Type="http://schemas.openxmlformats.org/officeDocument/2006/relationships/image" Target="../media/image155.png"/><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86.svg"/><Relationship Id="rId29" Type="http://schemas.openxmlformats.org/officeDocument/2006/relationships/image" Target="../media/image172.svg"/><Relationship Id="rId41" Type="http://schemas.openxmlformats.org/officeDocument/2006/relationships/image" Target="../media/image180.svg"/><Relationship Id="rId54" Type="http://schemas.openxmlformats.org/officeDocument/2006/relationships/chart" Target="../charts/chart31.xml"/><Relationship Id="rId62" Type="http://schemas.openxmlformats.org/officeDocument/2006/relationships/image" Target="../media/image162.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4.svg"/><Relationship Id="rId37" Type="http://schemas.openxmlformats.org/officeDocument/2006/relationships/image" Target="../media/image177.png"/><Relationship Id="rId40" Type="http://schemas.openxmlformats.org/officeDocument/2006/relationships/image" Target="../media/image179.png"/><Relationship Id="rId45" Type="http://schemas.openxmlformats.org/officeDocument/2006/relationships/hyperlink" Target="#RESULTADOS_BOSQUES!A1"/><Relationship Id="rId53" Type="http://schemas.openxmlformats.org/officeDocument/2006/relationships/chart" Target="../charts/chart30.xml"/><Relationship Id="rId58" Type="http://schemas.openxmlformats.org/officeDocument/2006/relationships/image" Target="../media/image107.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8.svg"/><Relationship Id="rId28" Type="http://schemas.openxmlformats.org/officeDocument/2006/relationships/image" Target="../media/image171.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chart" Target="../charts/chart32.xml"/><Relationship Id="rId61" Type="http://schemas.openxmlformats.org/officeDocument/2006/relationships/image" Target="../media/image161.png"/><Relationship Id="rId10" Type="http://schemas.openxmlformats.org/officeDocument/2006/relationships/image" Target="../media/image11.png"/><Relationship Id="rId19" Type="http://schemas.openxmlformats.org/officeDocument/2006/relationships/image" Target="../media/image185.png"/><Relationship Id="rId31" Type="http://schemas.openxmlformats.org/officeDocument/2006/relationships/image" Target="../media/image173.png"/><Relationship Id="rId44" Type="http://schemas.openxmlformats.org/officeDocument/2006/relationships/image" Target="../media/image182.svg"/><Relationship Id="rId52" Type="http://schemas.openxmlformats.org/officeDocument/2006/relationships/image" Target="../media/image187.svg"/><Relationship Id="rId60" Type="http://schemas.openxmlformats.org/officeDocument/2006/relationships/hyperlink" Target="#INFORMACI&#211;N!B470"/><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7.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6.svg"/><Relationship Id="rId43" Type="http://schemas.openxmlformats.org/officeDocument/2006/relationships/image" Target="../media/image181.png"/><Relationship Id="rId48" Type="http://schemas.openxmlformats.org/officeDocument/2006/relationships/hyperlink" Target="#AJUSTES!A1"/><Relationship Id="rId56" Type="http://schemas.openxmlformats.org/officeDocument/2006/relationships/image" Target="../media/image193.svg"/><Relationship Id="rId8" Type="http://schemas.openxmlformats.org/officeDocument/2006/relationships/image" Target="../media/image10.svg"/><Relationship Id="rId51" Type="http://schemas.openxmlformats.org/officeDocument/2006/relationships/image" Target="../media/image151.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9.png"/><Relationship Id="rId33" Type="http://schemas.openxmlformats.org/officeDocument/2006/relationships/hyperlink" Target="#RESULTADOS_TRANSPORTE!A1"/><Relationship Id="rId38" Type="http://schemas.openxmlformats.org/officeDocument/2006/relationships/image" Target="../media/image178.svg"/><Relationship Id="rId46" Type="http://schemas.openxmlformats.org/officeDocument/2006/relationships/image" Target="../media/image183.png"/><Relationship Id="rId59" Type="http://schemas.openxmlformats.org/officeDocument/2006/relationships/image" Target="../media/image194.svg"/></Relationships>
</file>

<file path=xl/drawings/_rels/drawing28.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GANA_!A1"/><Relationship Id="rId26" Type="http://schemas.openxmlformats.org/officeDocument/2006/relationships/hyperlink" Target="#RESULTADOS_ELECTRICIDAD!A1"/><Relationship Id="rId39" Type="http://schemas.openxmlformats.org/officeDocument/2006/relationships/image" Target="../media/image177.png"/><Relationship Id="rId21" Type="http://schemas.openxmlformats.org/officeDocument/2006/relationships/image" Target="../media/image155.png"/><Relationship Id="rId34" Type="http://schemas.openxmlformats.org/officeDocument/2006/relationships/image" Target="../media/image174.svg"/><Relationship Id="rId42" Type="http://schemas.openxmlformats.org/officeDocument/2006/relationships/image" Target="../media/image179.png"/><Relationship Id="rId47" Type="http://schemas.openxmlformats.org/officeDocument/2006/relationships/hyperlink" Target="#RESULTADOS_BOSQUES!A1"/><Relationship Id="rId50" Type="http://schemas.openxmlformats.org/officeDocument/2006/relationships/hyperlink" Target="#AJUSTES!A1"/><Relationship Id="rId55" Type="http://schemas.openxmlformats.org/officeDocument/2006/relationships/chart" Target="../charts/chart33.xml"/><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8.svg"/><Relationship Id="rId33" Type="http://schemas.openxmlformats.org/officeDocument/2006/relationships/image" Target="../media/image173.png"/><Relationship Id="rId38" Type="http://schemas.openxmlformats.org/officeDocument/2006/relationships/hyperlink" Target="#RESULTADOS_EDIFICACIONES!A1"/><Relationship Id="rId46" Type="http://schemas.openxmlformats.org/officeDocument/2006/relationships/image" Target="../media/image182.svg"/><Relationship Id="rId59" Type="http://schemas.openxmlformats.org/officeDocument/2006/relationships/image" Target="../media/image162.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86.svg"/><Relationship Id="rId29" Type="http://schemas.openxmlformats.org/officeDocument/2006/relationships/hyperlink" Target="#RESULTADOS_INDUSTRIA!A1"/><Relationship Id="rId41" Type="http://schemas.openxmlformats.org/officeDocument/2006/relationships/hyperlink" Target="#RESULTADOS_AGRICULTURA!A1"/><Relationship Id="rId54" Type="http://schemas.openxmlformats.org/officeDocument/2006/relationships/image" Target="../media/image187.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67.png"/><Relationship Id="rId32" Type="http://schemas.openxmlformats.org/officeDocument/2006/relationships/hyperlink" Target="#RESULTADOS_RESIDUOS!A1"/><Relationship Id="rId37" Type="http://schemas.openxmlformats.org/officeDocument/2006/relationships/image" Target="../media/image176.svg"/><Relationship Id="rId40" Type="http://schemas.openxmlformats.org/officeDocument/2006/relationships/image" Target="../media/image178.svg"/><Relationship Id="rId45" Type="http://schemas.openxmlformats.org/officeDocument/2006/relationships/image" Target="../media/image181.png"/><Relationship Id="rId53" Type="http://schemas.openxmlformats.org/officeDocument/2006/relationships/image" Target="../media/image151.png"/><Relationship Id="rId58" Type="http://schemas.openxmlformats.org/officeDocument/2006/relationships/image" Target="../media/image161.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hyperlink" Target="#RESULTADOS_ENERG&#205;A!A1"/><Relationship Id="rId28" Type="http://schemas.openxmlformats.org/officeDocument/2006/relationships/image" Target="../media/image170.svg"/><Relationship Id="rId36" Type="http://schemas.openxmlformats.org/officeDocument/2006/relationships/image" Target="../media/image175.png"/><Relationship Id="rId49" Type="http://schemas.openxmlformats.org/officeDocument/2006/relationships/image" Target="../media/image184.svg"/><Relationship Id="rId57" Type="http://schemas.openxmlformats.org/officeDocument/2006/relationships/hyperlink" Target="#INFORMACI&#211;N!B470"/><Relationship Id="rId10" Type="http://schemas.openxmlformats.org/officeDocument/2006/relationships/image" Target="../media/image11.png"/><Relationship Id="rId19" Type="http://schemas.openxmlformats.org/officeDocument/2006/relationships/image" Target="../media/image185.png"/><Relationship Id="rId31" Type="http://schemas.openxmlformats.org/officeDocument/2006/relationships/image" Target="../media/image172.svg"/><Relationship Id="rId44" Type="http://schemas.openxmlformats.org/officeDocument/2006/relationships/hyperlink" Target="#RESULTADOS_GANADERIA!A1"/><Relationship Id="rId52" Type="http://schemas.openxmlformats.org/officeDocument/2006/relationships/image" Target="../media/image18.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56.svg"/><Relationship Id="rId27" Type="http://schemas.openxmlformats.org/officeDocument/2006/relationships/image" Target="../media/image169.png"/><Relationship Id="rId30" Type="http://schemas.openxmlformats.org/officeDocument/2006/relationships/image" Target="../media/image171.png"/><Relationship Id="rId35" Type="http://schemas.openxmlformats.org/officeDocument/2006/relationships/hyperlink" Target="#RESULTADOS_TRANSPORTE!A1"/><Relationship Id="rId43" Type="http://schemas.openxmlformats.org/officeDocument/2006/relationships/image" Target="../media/image180.svg"/><Relationship Id="rId48" Type="http://schemas.openxmlformats.org/officeDocument/2006/relationships/image" Target="../media/image183.png"/><Relationship Id="rId56" Type="http://schemas.openxmlformats.org/officeDocument/2006/relationships/chart" Target="../charts/chart34.xml"/><Relationship Id="rId8" Type="http://schemas.openxmlformats.org/officeDocument/2006/relationships/image" Target="../media/image10.svg"/><Relationship Id="rId51" Type="http://schemas.openxmlformats.org/officeDocument/2006/relationships/image" Target="../media/image17.png"/><Relationship Id="rId3" Type="http://schemas.openxmlformats.org/officeDocument/2006/relationships/hyperlink" Target="#INICIO!A1"/></Relationships>
</file>

<file path=xl/drawings/_rels/drawing29.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BOSQ_!A1"/><Relationship Id="rId26" Type="http://schemas.openxmlformats.org/officeDocument/2006/relationships/image" Target="../media/image170.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5.png"/><Relationship Id="rId42" Type="http://schemas.openxmlformats.org/officeDocument/2006/relationships/hyperlink" Target="#RESULTADOS_GANADERIA!A1"/><Relationship Id="rId47" Type="http://schemas.openxmlformats.org/officeDocument/2006/relationships/image" Target="../media/image184.svg"/><Relationship Id="rId50" Type="http://schemas.openxmlformats.org/officeDocument/2006/relationships/image" Target="../media/image18.svg"/><Relationship Id="rId55" Type="http://schemas.openxmlformats.org/officeDocument/2006/relationships/chart" Target="../charts/chart35.xml"/><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9.png"/><Relationship Id="rId33" Type="http://schemas.openxmlformats.org/officeDocument/2006/relationships/hyperlink" Target="#RESULTADOS_TRANSPORTE!A1"/><Relationship Id="rId38" Type="http://schemas.openxmlformats.org/officeDocument/2006/relationships/image" Target="../media/image178.svg"/><Relationship Id="rId46" Type="http://schemas.openxmlformats.org/officeDocument/2006/relationships/image" Target="../media/image183.png"/><Relationship Id="rId59" Type="http://schemas.openxmlformats.org/officeDocument/2006/relationships/image" Target="../media/image162.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86.svg"/><Relationship Id="rId29" Type="http://schemas.openxmlformats.org/officeDocument/2006/relationships/image" Target="../media/image172.svg"/><Relationship Id="rId41" Type="http://schemas.openxmlformats.org/officeDocument/2006/relationships/image" Target="../media/image180.svg"/><Relationship Id="rId54" Type="http://schemas.openxmlformats.org/officeDocument/2006/relationships/image" Target="../media/image195.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4.svg"/><Relationship Id="rId37" Type="http://schemas.openxmlformats.org/officeDocument/2006/relationships/image" Target="../media/image177.png"/><Relationship Id="rId40" Type="http://schemas.openxmlformats.org/officeDocument/2006/relationships/image" Target="../media/image179.png"/><Relationship Id="rId45" Type="http://schemas.openxmlformats.org/officeDocument/2006/relationships/hyperlink" Target="#RESULTADOS_BOSQUES!A1"/><Relationship Id="rId53" Type="http://schemas.openxmlformats.org/officeDocument/2006/relationships/image" Target="../media/image111.png"/><Relationship Id="rId58" Type="http://schemas.openxmlformats.org/officeDocument/2006/relationships/image" Target="../media/image161.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8.svg"/><Relationship Id="rId28" Type="http://schemas.openxmlformats.org/officeDocument/2006/relationships/image" Target="../media/image171.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hyperlink" Target="#INFORMACI&#211;N!B470"/><Relationship Id="rId10" Type="http://schemas.openxmlformats.org/officeDocument/2006/relationships/image" Target="../media/image11.png"/><Relationship Id="rId19" Type="http://schemas.openxmlformats.org/officeDocument/2006/relationships/image" Target="../media/image185.png"/><Relationship Id="rId31" Type="http://schemas.openxmlformats.org/officeDocument/2006/relationships/image" Target="../media/image173.png"/><Relationship Id="rId44" Type="http://schemas.openxmlformats.org/officeDocument/2006/relationships/image" Target="../media/image182.svg"/><Relationship Id="rId52" Type="http://schemas.openxmlformats.org/officeDocument/2006/relationships/image" Target="../media/image187.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7.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6.svg"/><Relationship Id="rId43" Type="http://schemas.openxmlformats.org/officeDocument/2006/relationships/image" Target="../media/image181.png"/><Relationship Id="rId48" Type="http://schemas.openxmlformats.org/officeDocument/2006/relationships/hyperlink" Target="#AJUSTES!A1"/><Relationship Id="rId56" Type="http://schemas.openxmlformats.org/officeDocument/2006/relationships/chart" Target="../charts/chart36.xml"/><Relationship Id="rId8" Type="http://schemas.openxmlformats.org/officeDocument/2006/relationships/image" Target="../media/image10.svg"/><Relationship Id="rId51" Type="http://schemas.openxmlformats.org/officeDocument/2006/relationships/image" Target="../media/image151.png"/><Relationship Id="rId3" Type="http://schemas.openxmlformats.org/officeDocument/2006/relationships/hyperlink" Target="#INICIO!A1"/></Relationships>
</file>

<file path=xl/drawings/_rels/drawing30.xml.rels><?xml version="1.0" encoding="UTF-8" standalone="yes"?>
<Relationships xmlns="http://schemas.openxmlformats.org/package/2006/relationships"><Relationship Id="rId13" Type="http://schemas.openxmlformats.org/officeDocument/2006/relationships/hyperlink" Target="#AGRO_!A1"/><Relationship Id="rId18" Type="http://schemas.openxmlformats.org/officeDocument/2006/relationships/image" Target="../media/image102.svg"/><Relationship Id="rId26" Type="http://schemas.openxmlformats.org/officeDocument/2006/relationships/image" Target="../media/image109.png"/><Relationship Id="rId39" Type="http://schemas.openxmlformats.org/officeDocument/2006/relationships/image" Target="../media/image12.svg"/><Relationship Id="rId3" Type="http://schemas.openxmlformats.org/officeDocument/2006/relationships/image" Target="../media/image96.svg"/><Relationship Id="rId21" Type="http://schemas.openxmlformats.org/officeDocument/2006/relationships/image" Target="../media/image142.svg"/><Relationship Id="rId34" Type="http://schemas.openxmlformats.org/officeDocument/2006/relationships/hyperlink" Target="#INFORMACI&#211;N!A1"/><Relationship Id="rId42" Type="http://schemas.openxmlformats.org/officeDocument/2006/relationships/image" Target="../media/image14.svg"/><Relationship Id="rId47" Type="http://schemas.openxmlformats.org/officeDocument/2006/relationships/image" Target="../media/image17.png"/><Relationship Id="rId50" Type="http://schemas.openxmlformats.org/officeDocument/2006/relationships/image" Target="../media/image198.png"/><Relationship Id="rId7" Type="http://schemas.openxmlformats.org/officeDocument/2006/relationships/hyperlink" Target="#IND_!A1"/><Relationship Id="rId12" Type="http://schemas.openxmlformats.org/officeDocument/2006/relationships/image" Target="../media/image112.svg"/><Relationship Id="rId17" Type="http://schemas.openxmlformats.org/officeDocument/2006/relationships/image" Target="../media/image101.png"/><Relationship Id="rId25" Type="http://schemas.openxmlformats.org/officeDocument/2006/relationships/hyperlink" Target="#GANA_!A1"/><Relationship Id="rId33" Type="http://schemas.openxmlformats.org/officeDocument/2006/relationships/image" Target="../media/image8.svg"/><Relationship Id="rId38" Type="http://schemas.openxmlformats.org/officeDocument/2006/relationships/image" Target="../media/image11.png"/><Relationship Id="rId46" Type="http://schemas.openxmlformats.org/officeDocument/2006/relationships/hyperlink" Target="#AJUSTES!A1"/><Relationship Id="rId2" Type="http://schemas.openxmlformats.org/officeDocument/2006/relationships/image" Target="../media/image95.png"/><Relationship Id="rId16" Type="http://schemas.openxmlformats.org/officeDocument/2006/relationships/hyperlink" Target="#RES_SOL!A1"/><Relationship Id="rId20" Type="http://schemas.openxmlformats.org/officeDocument/2006/relationships/image" Target="../media/image105.png"/><Relationship Id="rId29" Type="http://schemas.openxmlformats.org/officeDocument/2006/relationships/image" Target="../media/image196.png"/><Relationship Id="rId41" Type="http://schemas.openxmlformats.org/officeDocument/2006/relationships/image" Target="../media/image13.png"/><Relationship Id="rId1" Type="http://schemas.openxmlformats.org/officeDocument/2006/relationships/hyperlink" Target="#ENER_CombFosil!A1"/><Relationship Id="rId6" Type="http://schemas.openxmlformats.org/officeDocument/2006/relationships/image" Target="../media/image98.svg"/><Relationship Id="rId11" Type="http://schemas.openxmlformats.org/officeDocument/2006/relationships/image" Target="../media/image111.png"/><Relationship Id="rId24" Type="http://schemas.openxmlformats.org/officeDocument/2006/relationships/image" Target="../media/image104.svg"/><Relationship Id="rId32" Type="http://schemas.openxmlformats.org/officeDocument/2006/relationships/image" Target="../media/image7.png"/><Relationship Id="rId37" Type="http://schemas.openxmlformats.org/officeDocument/2006/relationships/hyperlink" Target="#RESULTADOS_Tipo!A1"/><Relationship Id="rId40" Type="http://schemas.openxmlformats.org/officeDocument/2006/relationships/hyperlink" Target="#ESCENARIOS!A1"/><Relationship Id="rId45" Type="http://schemas.openxmlformats.org/officeDocument/2006/relationships/image" Target="../media/image16.svg"/><Relationship Id="rId53" Type="http://schemas.openxmlformats.org/officeDocument/2006/relationships/image" Target="../media/image200.svg"/><Relationship Id="rId5" Type="http://schemas.openxmlformats.org/officeDocument/2006/relationships/image" Target="../media/image97.png"/><Relationship Id="rId15" Type="http://schemas.openxmlformats.org/officeDocument/2006/relationships/image" Target="../media/image108.svg"/><Relationship Id="rId23" Type="http://schemas.openxmlformats.org/officeDocument/2006/relationships/image" Target="../media/image103.png"/><Relationship Id="rId28" Type="http://schemas.openxmlformats.org/officeDocument/2006/relationships/hyperlink" Target="#ESCENARIOS_DatosGen!A1"/><Relationship Id="rId36" Type="http://schemas.openxmlformats.org/officeDocument/2006/relationships/image" Target="../media/image10.svg"/><Relationship Id="rId49" Type="http://schemas.openxmlformats.org/officeDocument/2006/relationships/hyperlink" Target="#DGEN_FE!A1"/><Relationship Id="rId10" Type="http://schemas.openxmlformats.org/officeDocument/2006/relationships/hyperlink" Target="#BOSQ_!A1"/><Relationship Id="rId19" Type="http://schemas.openxmlformats.org/officeDocument/2006/relationships/hyperlink" Target="#EDI_RES_URB_AER!A1"/><Relationship Id="rId31" Type="http://schemas.openxmlformats.org/officeDocument/2006/relationships/hyperlink" Target="#INICIO!A1"/><Relationship Id="rId44" Type="http://schemas.openxmlformats.org/officeDocument/2006/relationships/image" Target="../media/image15.png"/><Relationship Id="rId52" Type="http://schemas.openxmlformats.org/officeDocument/2006/relationships/image" Target="../media/image199.png"/><Relationship Id="rId4" Type="http://schemas.openxmlformats.org/officeDocument/2006/relationships/hyperlink" Target="#'ELECT_ Electricidad'!A1"/><Relationship Id="rId9" Type="http://schemas.openxmlformats.org/officeDocument/2006/relationships/image" Target="../media/image100.svg"/><Relationship Id="rId14" Type="http://schemas.openxmlformats.org/officeDocument/2006/relationships/image" Target="../media/image107.png"/><Relationship Id="rId22" Type="http://schemas.openxmlformats.org/officeDocument/2006/relationships/hyperlink" Target="#TRANS_PAS!A1"/><Relationship Id="rId27" Type="http://schemas.openxmlformats.org/officeDocument/2006/relationships/image" Target="../media/image110.svg"/><Relationship Id="rId30" Type="http://schemas.openxmlformats.org/officeDocument/2006/relationships/image" Target="../media/image197.svg"/><Relationship Id="rId35" Type="http://schemas.openxmlformats.org/officeDocument/2006/relationships/image" Target="../media/image9.png"/><Relationship Id="rId43" Type="http://schemas.openxmlformats.org/officeDocument/2006/relationships/hyperlink" Target="#CONTROL!A1"/><Relationship Id="rId48" Type="http://schemas.openxmlformats.org/officeDocument/2006/relationships/image" Target="../media/image18.svg"/><Relationship Id="rId8" Type="http://schemas.openxmlformats.org/officeDocument/2006/relationships/image" Target="../media/image99.png"/><Relationship Id="rId51" Type="http://schemas.openxmlformats.org/officeDocument/2006/relationships/hyperlink" Target="#FUENTES!A1"/></Relationships>
</file>

<file path=xl/drawings/_rels/drawing31.xml.rels><?xml version="1.0" encoding="UTF-8" standalone="yes"?>
<Relationships xmlns="http://schemas.openxmlformats.org/package/2006/relationships"><Relationship Id="rId8" Type="http://schemas.openxmlformats.org/officeDocument/2006/relationships/image" Target="../media/image205.png"/><Relationship Id="rId13" Type="http://schemas.openxmlformats.org/officeDocument/2006/relationships/hyperlink" Target="#INFORMACI&#211;N!A1"/><Relationship Id="rId18" Type="http://schemas.openxmlformats.org/officeDocument/2006/relationships/image" Target="../media/image12.svg"/><Relationship Id="rId26" Type="http://schemas.openxmlformats.org/officeDocument/2006/relationships/image" Target="../media/image207.png"/><Relationship Id="rId3" Type="http://schemas.openxmlformats.org/officeDocument/2006/relationships/image" Target="../media/image202.svg"/><Relationship Id="rId21" Type="http://schemas.openxmlformats.org/officeDocument/2006/relationships/image" Target="../media/image14.svg"/><Relationship Id="rId7" Type="http://schemas.openxmlformats.org/officeDocument/2006/relationships/hyperlink" Target="#DGEN_SupuestosGen!A1"/><Relationship Id="rId12" Type="http://schemas.openxmlformats.org/officeDocument/2006/relationships/image" Target="../media/image8.svg"/><Relationship Id="rId17" Type="http://schemas.openxmlformats.org/officeDocument/2006/relationships/image" Target="../media/image11.png"/><Relationship Id="rId25" Type="http://schemas.openxmlformats.org/officeDocument/2006/relationships/hyperlink" Target="#DGEN_SupuestosCostos!A1"/><Relationship Id="rId2" Type="http://schemas.openxmlformats.org/officeDocument/2006/relationships/image" Target="../media/image201.png"/><Relationship Id="rId16" Type="http://schemas.openxmlformats.org/officeDocument/2006/relationships/hyperlink" Target="#RESULTADOS_Tipo!A1"/><Relationship Id="rId20" Type="http://schemas.openxmlformats.org/officeDocument/2006/relationships/image" Target="../media/image13.png"/><Relationship Id="rId29" Type="http://schemas.openxmlformats.org/officeDocument/2006/relationships/image" Target="../media/image17.png"/><Relationship Id="rId1" Type="http://schemas.openxmlformats.org/officeDocument/2006/relationships/hyperlink" Target="#DGEN_CONVERSIONES!A1"/><Relationship Id="rId6" Type="http://schemas.openxmlformats.org/officeDocument/2006/relationships/image" Target="../media/image204.svg"/><Relationship Id="rId11" Type="http://schemas.openxmlformats.org/officeDocument/2006/relationships/image" Target="../media/image7.png"/><Relationship Id="rId24" Type="http://schemas.openxmlformats.org/officeDocument/2006/relationships/image" Target="../media/image16.svg"/><Relationship Id="rId5" Type="http://schemas.openxmlformats.org/officeDocument/2006/relationships/image" Target="../media/image203.png"/><Relationship Id="rId15" Type="http://schemas.openxmlformats.org/officeDocument/2006/relationships/image" Target="../media/image10.svg"/><Relationship Id="rId23" Type="http://schemas.openxmlformats.org/officeDocument/2006/relationships/image" Target="../media/image15.png"/><Relationship Id="rId28" Type="http://schemas.openxmlformats.org/officeDocument/2006/relationships/hyperlink" Target="#AJUSTES!A1"/><Relationship Id="rId10" Type="http://schemas.openxmlformats.org/officeDocument/2006/relationships/hyperlink" Target="#INICIO!A1"/><Relationship Id="rId19" Type="http://schemas.openxmlformats.org/officeDocument/2006/relationships/hyperlink" Target="#ESCENARIOS!A1"/><Relationship Id="rId4" Type="http://schemas.openxmlformats.org/officeDocument/2006/relationships/hyperlink" Target="#DGEN_CONSTANTES!A1"/><Relationship Id="rId9" Type="http://schemas.openxmlformats.org/officeDocument/2006/relationships/image" Target="../media/image206.svg"/><Relationship Id="rId14" Type="http://schemas.openxmlformats.org/officeDocument/2006/relationships/image" Target="../media/image9.png"/><Relationship Id="rId22" Type="http://schemas.openxmlformats.org/officeDocument/2006/relationships/hyperlink" Target="#CONTROL!A1"/><Relationship Id="rId27" Type="http://schemas.openxmlformats.org/officeDocument/2006/relationships/image" Target="../media/image208.svg"/><Relationship Id="rId30" Type="http://schemas.openxmlformats.org/officeDocument/2006/relationships/image" Target="../media/image18.svg"/></Relationships>
</file>

<file path=xl/drawings/_rels/drawing3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209.svg"/><Relationship Id="rId21" Type="http://schemas.openxmlformats.org/officeDocument/2006/relationships/image" Target="../media/image18.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196.png"/><Relationship Id="rId16" Type="http://schemas.openxmlformats.org/officeDocument/2006/relationships/hyperlink" Target="#CONTROL!A1"/><Relationship Id="rId20" Type="http://schemas.openxmlformats.org/officeDocument/2006/relationships/image" Target="../media/image17.png"/><Relationship Id="rId1" Type="http://schemas.openxmlformats.org/officeDocument/2006/relationships/hyperlink" Target="#ESCENARIOS_DatosGen!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4.svg"/><Relationship Id="rId10" Type="http://schemas.openxmlformats.org/officeDocument/2006/relationships/hyperlink" Target="#RESULTADOS_Tipo!A1"/><Relationship Id="rId19" Type="http://schemas.openxmlformats.org/officeDocument/2006/relationships/hyperlink" Target="#AJUSTES!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s>
</file>

<file path=xl/drawings/_rels/drawing3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209.svg"/><Relationship Id="rId21" Type="http://schemas.openxmlformats.org/officeDocument/2006/relationships/image" Target="../media/image18.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196.png"/><Relationship Id="rId16" Type="http://schemas.openxmlformats.org/officeDocument/2006/relationships/hyperlink" Target="#CONTROL!A1"/><Relationship Id="rId20" Type="http://schemas.openxmlformats.org/officeDocument/2006/relationships/image" Target="../media/image17.png"/><Relationship Id="rId1" Type="http://schemas.openxmlformats.org/officeDocument/2006/relationships/hyperlink" Target="#ESCENARIOS_DatosGen!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4.svg"/><Relationship Id="rId10" Type="http://schemas.openxmlformats.org/officeDocument/2006/relationships/hyperlink" Target="#RESULTADOS_Tipo!A1"/><Relationship Id="rId19" Type="http://schemas.openxmlformats.org/officeDocument/2006/relationships/hyperlink" Target="#AJUSTES!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s>
</file>

<file path=xl/drawings/_rels/drawing34.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18.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17.png"/><Relationship Id="rId1" Type="http://schemas.openxmlformats.org/officeDocument/2006/relationships/hyperlink" Target="#CONTROL!A1"/><Relationship Id="rId6" Type="http://schemas.openxmlformats.org/officeDocument/2006/relationships/image" Target="../media/image209.svg"/><Relationship Id="rId11" Type="http://schemas.openxmlformats.org/officeDocument/2006/relationships/image" Target="../media/image9.png"/><Relationship Id="rId5" Type="http://schemas.openxmlformats.org/officeDocument/2006/relationships/image" Target="../media/image196.png"/><Relationship Id="rId15" Type="http://schemas.openxmlformats.org/officeDocument/2006/relationships/image" Target="../media/image12.svg"/><Relationship Id="rId10" Type="http://schemas.openxmlformats.org/officeDocument/2006/relationships/hyperlink" Target="#INFORMACI&#211;N!A1"/><Relationship Id="rId19" Type="http://schemas.openxmlformats.org/officeDocument/2006/relationships/hyperlink" Target="#AJUSTES!A1"/><Relationship Id="rId4" Type="http://schemas.openxmlformats.org/officeDocument/2006/relationships/hyperlink" Target="#ESCENARIOS_DatosGen!A1"/><Relationship Id="rId9" Type="http://schemas.openxmlformats.org/officeDocument/2006/relationships/image" Target="../media/image8.svg"/><Relationship Id="rId14" Type="http://schemas.openxmlformats.org/officeDocument/2006/relationships/image" Target="../media/image11.png"/></Relationships>
</file>

<file path=xl/drawings/_rels/drawing35.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18.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17.png"/><Relationship Id="rId1" Type="http://schemas.openxmlformats.org/officeDocument/2006/relationships/hyperlink" Target="#CONTROL!A1"/><Relationship Id="rId6" Type="http://schemas.openxmlformats.org/officeDocument/2006/relationships/image" Target="../media/image209.svg"/><Relationship Id="rId11" Type="http://schemas.openxmlformats.org/officeDocument/2006/relationships/image" Target="../media/image9.png"/><Relationship Id="rId5" Type="http://schemas.openxmlformats.org/officeDocument/2006/relationships/image" Target="../media/image196.png"/><Relationship Id="rId15" Type="http://schemas.openxmlformats.org/officeDocument/2006/relationships/image" Target="../media/image12.svg"/><Relationship Id="rId10" Type="http://schemas.openxmlformats.org/officeDocument/2006/relationships/hyperlink" Target="#INFORMACI&#211;N!A1"/><Relationship Id="rId19" Type="http://schemas.openxmlformats.org/officeDocument/2006/relationships/hyperlink" Target="#AJUSTES!A1"/><Relationship Id="rId4" Type="http://schemas.openxmlformats.org/officeDocument/2006/relationships/hyperlink" Target="#ESCENARIOS_DatosGen!A1"/><Relationship Id="rId9" Type="http://schemas.openxmlformats.org/officeDocument/2006/relationships/image" Target="../media/image8.svg"/><Relationship Id="rId14" Type="http://schemas.openxmlformats.org/officeDocument/2006/relationships/image" Target="../media/image11.png"/></Relationships>
</file>

<file path=xl/drawings/_rels/drawing36.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hyperlink" Target="#INFORMACI&#211;N!A1"/><Relationship Id="rId3" Type="http://schemas.openxmlformats.org/officeDocument/2006/relationships/image" Target="../media/image8.svg"/><Relationship Id="rId7" Type="http://schemas.openxmlformats.org/officeDocument/2006/relationships/hyperlink" Target="#ESCENARIOS!A1"/><Relationship Id="rId12" Type="http://schemas.openxmlformats.org/officeDocument/2006/relationships/image" Target="../media/image12.svg"/><Relationship Id="rId2" Type="http://schemas.openxmlformats.org/officeDocument/2006/relationships/image" Target="../media/image7.png"/><Relationship Id="rId1" Type="http://schemas.openxmlformats.org/officeDocument/2006/relationships/hyperlink" Target="#INICIO!A1"/><Relationship Id="rId6" Type="http://schemas.openxmlformats.org/officeDocument/2006/relationships/image" Target="../media/image16.svg"/><Relationship Id="rId11" Type="http://schemas.openxmlformats.org/officeDocument/2006/relationships/image" Target="../media/image11.png"/><Relationship Id="rId5" Type="http://schemas.openxmlformats.org/officeDocument/2006/relationships/image" Target="../media/image15.png"/><Relationship Id="rId15" Type="http://schemas.openxmlformats.org/officeDocument/2006/relationships/image" Target="../media/image10.svg"/><Relationship Id="rId10" Type="http://schemas.openxmlformats.org/officeDocument/2006/relationships/hyperlink" Target="#RESULTADOS_Tipo!A1"/><Relationship Id="rId4" Type="http://schemas.openxmlformats.org/officeDocument/2006/relationships/hyperlink" Target="#CONTROL!A1"/><Relationship Id="rId9" Type="http://schemas.openxmlformats.org/officeDocument/2006/relationships/image" Target="../media/image14.svg"/><Relationship Id="rId14" Type="http://schemas.openxmlformats.org/officeDocument/2006/relationships/image" Target="../media/image9.png"/></Relationships>
</file>

<file path=xl/drawings/_rels/drawing3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8.svg"/><Relationship Id="rId3" Type="http://schemas.openxmlformats.org/officeDocument/2006/relationships/image" Target="../media/image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38.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NERG&#205;A!A1"/><Relationship Id="rId26" Type="http://schemas.openxmlformats.org/officeDocument/2006/relationships/hyperlink" Target="#ENER_Comb_fosil_IMPORT_EXPORT!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NER_Bioener!A1"/><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211.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NER_CombFosil!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10.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39.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NERG&#205;A!A1"/><Relationship Id="rId26" Type="http://schemas.openxmlformats.org/officeDocument/2006/relationships/hyperlink" Target="#ENER_CombFosil!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213.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211.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212.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28" Type="http://schemas.openxmlformats.org/officeDocument/2006/relationships/hyperlink" Target="#ENER_Comb_fosil_IMPORT_EXPORT!A1"/><Relationship Id="rId10" Type="http://schemas.openxmlformats.org/officeDocument/2006/relationships/image" Target="../media/image11.png"/><Relationship Id="rId19" Type="http://schemas.openxmlformats.org/officeDocument/2006/relationships/image" Target="../media/image210.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 Id="rId27" Type="http://schemas.openxmlformats.org/officeDocument/2006/relationships/hyperlink" Target="#ENER_Bioener!A1"/></Relationships>
</file>

<file path=xl/drawings/_rels/drawing40.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ENER_CombFosil!A1"/><Relationship Id="rId26" Type="http://schemas.openxmlformats.org/officeDocument/2006/relationships/hyperlink" Target="#ENER_Comb_fosil_IMPORT_EXPORT!A1"/><Relationship Id="rId3" Type="http://schemas.openxmlformats.org/officeDocument/2006/relationships/hyperlink" Target="#INICIO!A1"/><Relationship Id="rId21" Type="http://schemas.openxmlformats.org/officeDocument/2006/relationships/image" Target="../media/image210.png"/><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15.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hyperlink" Target="#RESULTADOS_ENERG&#205;A!A1"/><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7.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hyperlink" Target="#AJUSTES!A1"/><Relationship Id="rId28" Type="http://schemas.openxmlformats.org/officeDocument/2006/relationships/image" Target="../media/image215.svg"/><Relationship Id="rId10" Type="http://schemas.openxmlformats.org/officeDocument/2006/relationships/image" Target="../media/image11.png"/><Relationship Id="rId19" Type="http://schemas.openxmlformats.org/officeDocument/2006/relationships/hyperlink" Target="#ENER_Bioener!A1"/><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214.svg"/><Relationship Id="rId27" Type="http://schemas.openxmlformats.org/officeDocument/2006/relationships/image" Target="../media/image212.png"/></Relationships>
</file>

<file path=xl/drawings/_rels/drawing41.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LECTRICIDAD!A1"/><Relationship Id="rId26" Type="http://schemas.openxmlformats.org/officeDocument/2006/relationships/hyperlink" Target="#'ELECT_ IMPORTEXPORT'!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LECT_ Autogen'!A1"/><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211.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LECT_ Electricidad'!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10.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42.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LECTRICIDAD!A1"/><Relationship Id="rId26" Type="http://schemas.openxmlformats.org/officeDocument/2006/relationships/hyperlink" Target="#'ELECT_ Electricidad'!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213.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211.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212.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28" Type="http://schemas.openxmlformats.org/officeDocument/2006/relationships/hyperlink" Target="#'ELECT_ IMPORTEXPORT'!A1"/><Relationship Id="rId10" Type="http://schemas.openxmlformats.org/officeDocument/2006/relationships/image" Target="../media/image11.png"/><Relationship Id="rId19" Type="http://schemas.openxmlformats.org/officeDocument/2006/relationships/image" Target="../media/image210.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 Id="rId27" Type="http://schemas.openxmlformats.org/officeDocument/2006/relationships/hyperlink" Target="#'ELECT_ Autogen'!A1"/></Relationships>
</file>

<file path=xl/drawings/_rels/drawing43.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AJUSTES!A1"/><Relationship Id="rId26" Type="http://schemas.openxmlformats.org/officeDocument/2006/relationships/hyperlink" Target="#RESULTADOS_ELECTRICIDAD!A1"/><Relationship Id="rId3" Type="http://schemas.openxmlformats.org/officeDocument/2006/relationships/hyperlink" Target="#INICIO!A1"/><Relationship Id="rId21" Type="http://schemas.openxmlformats.org/officeDocument/2006/relationships/image" Target="../media/image212.png"/><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LECT_ IMPORTEXPORT'!A1"/><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15.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LECT_ Autogen'!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hyperlink" Target="#'ELECT_ Electricidad'!A1"/><Relationship Id="rId28" Type="http://schemas.openxmlformats.org/officeDocument/2006/relationships/image" Target="../media/image214.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215.svg"/><Relationship Id="rId27" Type="http://schemas.openxmlformats.org/officeDocument/2006/relationships/image" Target="../media/image210.png"/></Relationships>
</file>

<file path=xl/drawings/_rels/drawing44.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INDUSTRIA!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211.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10.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4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8.svg"/><Relationship Id="rId21" Type="http://schemas.openxmlformats.org/officeDocument/2006/relationships/image" Target="../media/image211.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7.png"/><Relationship Id="rId16" Type="http://schemas.openxmlformats.org/officeDocument/2006/relationships/hyperlink" Target="#CONTROL!A1"/><Relationship Id="rId20" Type="http://schemas.openxmlformats.org/officeDocument/2006/relationships/image" Target="../media/image210.png"/><Relationship Id="rId1" Type="http://schemas.openxmlformats.org/officeDocument/2006/relationships/hyperlink" Target="#INICIO!A1"/><Relationship Id="rId6" Type="http://schemas.openxmlformats.org/officeDocument/2006/relationships/hyperlink" Target="#RES_AGU!A1"/><Relationship Id="rId11" Type="http://schemas.openxmlformats.org/officeDocument/2006/relationships/image" Target="../media/image11.png"/><Relationship Id="rId24" Type="http://schemas.openxmlformats.org/officeDocument/2006/relationships/image" Target="../media/image18.svg"/><Relationship Id="rId5" Type="http://schemas.openxmlformats.org/officeDocument/2006/relationships/hyperlink" Target="#RES_SOL!A1"/><Relationship Id="rId15" Type="http://schemas.openxmlformats.org/officeDocument/2006/relationships/image" Target="../media/image14.svg"/><Relationship Id="rId23" Type="http://schemas.openxmlformats.org/officeDocument/2006/relationships/image" Target="../media/image17.png"/><Relationship Id="rId10" Type="http://schemas.openxmlformats.org/officeDocument/2006/relationships/hyperlink" Target="#RESULTADOS_Tipo!A1"/><Relationship Id="rId19" Type="http://schemas.openxmlformats.org/officeDocument/2006/relationships/hyperlink" Target="#RESULTADOS_RESIDUOS!A1"/><Relationship Id="rId4" Type="http://schemas.openxmlformats.org/officeDocument/2006/relationships/hyperlink" Target="#TRANS_NAV!A1"/><Relationship Id="rId9" Type="http://schemas.openxmlformats.org/officeDocument/2006/relationships/image" Target="../media/image10.svg"/><Relationship Id="rId14" Type="http://schemas.openxmlformats.org/officeDocument/2006/relationships/image" Target="../media/image13.png"/><Relationship Id="rId22" Type="http://schemas.openxmlformats.org/officeDocument/2006/relationships/hyperlink" Target="#AJUSTES!A1"/></Relationships>
</file>

<file path=xl/drawings/_rels/drawing46.xml.rels><?xml version="1.0" encoding="UTF-8" standalone="yes"?>
<Relationships xmlns="http://schemas.openxmlformats.org/package/2006/relationships"><Relationship Id="rId8" Type="http://schemas.openxmlformats.org/officeDocument/2006/relationships/hyperlink" Target="#RES_SOL!A1"/><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211.svg"/><Relationship Id="rId7" Type="http://schemas.openxmlformats.org/officeDocument/2006/relationships/hyperlink" Target="#TRANS_NAV!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210.png"/><Relationship Id="rId1" Type="http://schemas.openxmlformats.org/officeDocument/2006/relationships/hyperlink" Target="#CONTROL!A1"/><Relationship Id="rId6" Type="http://schemas.openxmlformats.org/officeDocument/2006/relationships/image" Target="../media/image8.svg"/><Relationship Id="rId11" Type="http://schemas.openxmlformats.org/officeDocument/2006/relationships/image" Target="../media/image9.png"/><Relationship Id="rId24" Type="http://schemas.openxmlformats.org/officeDocument/2006/relationships/image" Target="../media/image18.svg"/><Relationship Id="rId5" Type="http://schemas.openxmlformats.org/officeDocument/2006/relationships/image" Target="../media/image7.png"/><Relationship Id="rId15" Type="http://schemas.openxmlformats.org/officeDocument/2006/relationships/image" Target="../media/image12.svg"/><Relationship Id="rId23" Type="http://schemas.openxmlformats.org/officeDocument/2006/relationships/image" Target="../media/image17.png"/><Relationship Id="rId10" Type="http://schemas.openxmlformats.org/officeDocument/2006/relationships/hyperlink" Target="#INFORMACI&#211;N!A1"/><Relationship Id="rId19" Type="http://schemas.openxmlformats.org/officeDocument/2006/relationships/hyperlink" Target="#RESULTADOS_RESIDUOS!A1"/><Relationship Id="rId4" Type="http://schemas.openxmlformats.org/officeDocument/2006/relationships/hyperlink" Target="#INICIO!A1"/><Relationship Id="rId9" Type="http://schemas.openxmlformats.org/officeDocument/2006/relationships/hyperlink" Target="#RES_AGU!A1"/><Relationship Id="rId14" Type="http://schemas.openxmlformats.org/officeDocument/2006/relationships/image" Target="../media/image11.png"/><Relationship Id="rId22" Type="http://schemas.openxmlformats.org/officeDocument/2006/relationships/hyperlink" Target="#AJUSTES!A1"/></Relationships>
</file>

<file path=xl/drawings/_rels/drawing4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COM_AEC!A1"/><Relationship Id="rId3" Type="http://schemas.openxmlformats.org/officeDocument/2006/relationships/image" Target="../media/image8.svg"/><Relationship Id="rId21" Type="http://schemas.openxmlformats.org/officeDocument/2006/relationships/image" Target="../media/image210.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RURAL!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EDI_RES_URB_IRCO!A1"/><Relationship Id="rId20" Type="http://schemas.openxmlformats.org/officeDocument/2006/relationships/hyperlink" Target="#RESULTADOS_EDIFICACION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EDI_COM_UTE!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1.svg"/></Relationships>
</file>

<file path=xl/drawings/_rels/drawing48.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1.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0.png"/></Relationships>
</file>

<file path=xl/drawings/_rels/drawing49.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1.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0.png"/></Relationships>
</file>

<file path=xl/drawings/_rels/drawing50.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1.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0.png"/></Relationships>
</file>

<file path=xl/drawings/_rels/drawing5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1.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0.png"/></Relationships>
</file>

<file path=xl/drawings/_rels/drawing5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10.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1.svg"/></Relationships>
</file>

<file path=xl/drawings/_rels/drawing5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10.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1.svg"/></Relationships>
</file>

<file path=xl/drawings/_rels/drawing5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10.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1.svg"/></Relationships>
</file>

<file path=xl/drawings/_rels/drawing5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hyperlink" Target="#TRANS_CAR!A1"/><Relationship Id="rId3" Type="http://schemas.openxmlformats.org/officeDocument/2006/relationships/image" Target="../media/image16.svg"/><Relationship Id="rId21" Type="http://schemas.openxmlformats.org/officeDocument/2006/relationships/image" Target="../media/image210.pn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15.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CONTROL!A1"/><Relationship Id="rId6" Type="http://schemas.openxmlformats.org/officeDocument/2006/relationships/image" Target="../media/image8.svg"/><Relationship Id="rId11" Type="http://schemas.openxmlformats.org/officeDocument/2006/relationships/image" Target="../media/image11.png"/><Relationship Id="rId24" Type="http://schemas.openxmlformats.org/officeDocument/2006/relationships/image" Target="../media/image17.png"/><Relationship Id="rId5" Type="http://schemas.openxmlformats.org/officeDocument/2006/relationships/image" Target="../media/image7.png"/><Relationship Id="rId15" Type="http://schemas.openxmlformats.org/officeDocument/2006/relationships/image" Target="../media/image14.svg"/><Relationship Id="rId23" Type="http://schemas.openxmlformats.org/officeDocument/2006/relationships/hyperlink" Target="#AJUSTES!A1"/><Relationship Id="rId10" Type="http://schemas.openxmlformats.org/officeDocument/2006/relationships/hyperlink" Target="#RESULTADOS_Tipo!A1"/><Relationship Id="rId19" Type="http://schemas.openxmlformats.org/officeDocument/2006/relationships/hyperlink" Target="#TRANS_AVI!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 Id="rId22" Type="http://schemas.openxmlformats.org/officeDocument/2006/relationships/image" Target="../media/image211.svg"/></Relationships>
</file>

<file path=xl/drawings/_rels/drawing56.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211.svg"/><Relationship Id="rId3" Type="http://schemas.openxmlformats.org/officeDocument/2006/relationships/image" Target="../media/image8.svg"/><Relationship Id="rId21" Type="http://schemas.openxmlformats.org/officeDocument/2006/relationships/image" Target="../media/image1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210.png"/><Relationship Id="rId2" Type="http://schemas.openxmlformats.org/officeDocument/2006/relationships/image" Target="../media/image7.png"/><Relationship Id="rId16" Type="http://schemas.openxmlformats.org/officeDocument/2006/relationships/hyperlink" Target="#RESULTADOS_AGRICULTURA!A1"/><Relationship Id="rId20" Type="http://schemas.openxmlformats.org/officeDocument/2006/relationships/image" Target="../media/image17.png"/><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hyperlink" Target="#AJUSTE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5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211.svg"/><Relationship Id="rId3" Type="http://schemas.openxmlformats.org/officeDocument/2006/relationships/image" Target="../media/image8.svg"/><Relationship Id="rId21" Type="http://schemas.openxmlformats.org/officeDocument/2006/relationships/image" Target="../media/image1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210.png"/><Relationship Id="rId2" Type="http://schemas.openxmlformats.org/officeDocument/2006/relationships/image" Target="../media/image7.png"/><Relationship Id="rId16" Type="http://schemas.openxmlformats.org/officeDocument/2006/relationships/hyperlink" Target="#RESULTADOS_GANADERIA!A1"/><Relationship Id="rId20" Type="http://schemas.openxmlformats.org/officeDocument/2006/relationships/image" Target="../media/image17.png"/><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hyperlink" Target="#AJUSTE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58.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CONTROL!A1"/><Relationship Id="rId18" Type="http://schemas.openxmlformats.org/officeDocument/2006/relationships/image" Target="../media/image211.svg"/><Relationship Id="rId3" Type="http://schemas.openxmlformats.org/officeDocument/2006/relationships/image" Target="../media/image14.svg"/><Relationship Id="rId21" Type="http://schemas.openxmlformats.org/officeDocument/2006/relationships/image" Target="../media/image17.pn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210.png"/><Relationship Id="rId2" Type="http://schemas.openxmlformats.org/officeDocument/2006/relationships/image" Target="../media/image13.png"/><Relationship Id="rId16" Type="http://schemas.openxmlformats.org/officeDocument/2006/relationships/hyperlink" Target="#RESULTADOS_BOSQUES!A1"/><Relationship Id="rId20" Type="http://schemas.openxmlformats.org/officeDocument/2006/relationships/hyperlink" Target="#AJUSTES!A1"/><Relationship Id="rId1" Type="http://schemas.openxmlformats.org/officeDocument/2006/relationships/hyperlink" Target="#ESCENARIOS!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6.svg"/><Relationship Id="rId10" Type="http://schemas.openxmlformats.org/officeDocument/2006/relationships/hyperlink" Target="#RESULTADOS_Tipo!A1"/><Relationship Id="rId19" Type="http://schemas.openxmlformats.org/officeDocument/2006/relationships/image" Target="../media/image216.emf"/><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5.png"/><Relationship Id="rId22" Type="http://schemas.openxmlformats.org/officeDocument/2006/relationships/image" Target="../media/image18.sv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34.emf"/><Relationship Id="rId2" Type="http://schemas.openxmlformats.org/officeDocument/2006/relationships/image" Target="../media/image133.emf"/><Relationship Id="rId1" Type="http://schemas.openxmlformats.org/officeDocument/2006/relationships/image" Target="../media/image132.emf"/></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23</xdr:col>
      <xdr:colOff>85724</xdr:colOff>
      <xdr:row>38</xdr:row>
      <xdr:rowOff>13606</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1361" b="47118"/>
        <a:stretch/>
      </xdr:blipFill>
      <xdr:spPr>
        <a:xfrm>
          <a:off x="38100" y="0"/>
          <a:ext cx="17573624" cy="7252606"/>
        </a:xfrm>
        <a:prstGeom prst="rect">
          <a:avLst/>
        </a:prstGeom>
      </xdr:spPr>
    </xdr:pic>
    <xdr:clientData/>
  </xdr:twoCellAnchor>
  <xdr:twoCellAnchor>
    <xdr:from>
      <xdr:col>5</xdr:col>
      <xdr:colOff>171451</xdr:colOff>
      <xdr:row>4</xdr:row>
      <xdr:rowOff>180975</xdr:rowOff>
    </xdr:from>
    <xdr:to>
      <xdr:col>17</xdr:col>
      <xdr:colOff>590551</xdr:colOff>
      <xdr:row>29</xdr:row>
      <xdr:rowOff>47625</xdr:rowOff>
    </xdr:to>
    <xdr:sp macro="" textlink="">
      <xdr:nvSpPr>
        <xdr:cNvPr id="10" name="Rectángulo 9">
          <a:extLst>
            <a:ext uri="{FF2B5EF4-FFF2-40B4-BE49-F238E27FC236}">
              <a16:creationId xmlns:a16="http://schemas.microsoft.com/office/drawing/2014/main" id="{00000000-0008-0000-0000-00000A000000}"/>
            </a:ext>
          </a:extLst>
        </xdr:cNvPr>
        <xdr:cNvSpPr/>
      </xdr:nvSpPr>
      <xdr:spPr>
        <a:xfrm>
          <a:off x="3981451" y="942975"/>
          <a:ext cx="9563100" cy="4629150"/>
        </a:xfrm>
        <a:prstGeom prst="rect">
          <a:avLst/>
        </a:prstGeom>
        <a:solidFill>
          <a:srgbClr val="FFFFFF">
            <a:alpha val="74902"/>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oneCellAnchor>
    <xdr:from>
      <xdr:col>5</xdr:col>
      <xdr:colOff>666749</xdr:colOff>
      <xdr:row>9</xdr:row>
      <xdr:rowOff>133349</xdr:rowOff>
    </xdr:from>
    <xdr:ext cx="8601075" cy="2524126"/>
    <xdr:sp macro="" textlink="">
      <xdr:nvSpPr>
        <xdr:cNvPr id="22" name="CuadroTexto 21">
          <a:extLst>
            <a:ext uri="{FF2B5EF4-FFF2-40B4-BE49-F238E27FC236}">
              <a16:creationId xmlns:a16="http://schemas.microsoft.com/office/drawing/2014/main" id="{00000000-0008-0000-0000-000016000000}"/>
            </a:ext>
          </a:extLst>
        </xdr:cNvPr>
        <xdr:cNvSpPr txBox="1"/>
      </xdr:nvSpPr>
      <xdr:spPr>
        <a:xfrm>
          <a:off x="4476749" y="1847849"/>
          <a:ext cx="8601075" cy="252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800" b="0">
              <a:solidFill>
                <a:schemeClr val="tx1"/>
              </a:solidFill>
              <a:effectLst/>
              <a:latin typeface="+mn-lt"/>
              <a:ea typeface="+mn-ea"/>
              <a:cs typeface="+mn-cs"/>
            </a:rPr>
            <a:t>Bienvenido(a)</a:t>
          </a:r>
          <a:r>
            <a:rPr lang="es-ES" sz="1800" b="0" baseline="0">
              <a:solidFill>
                <a:schemeClr val="tx1"/>
              </a:solidFill>
              <a:effectLst/>
              <a:latin typeface="+mn-lt"/>
              <a:ea typeface="+mn-ea"/>
              <a:cs typeface="+mn-cs"/>
            </a:rPr>
            <a:t> a la </a:t>
          </a:r>
          <a:r>
            <a:rPr lang="es-ES" sz="1800" b="1" baseline="0">
              <a:solidFill>
                <a:schemeClr val="tx1"/>
              </a:solidFill>
              <a:effectLst/>
              <a:latin typeface="+mn-lt"/>
              <a:ea typeface="+mn-ea"/>
              <a:cs typeface="+mn-cs"/>
            </a:rPr>
            <a:t>Calculadora Colombiana de Carbono 2050</a:t>
          </a:r>
          <a:r>
            <a:rPr lang="es-ES" sz="1800" b="0" baseline="0">
              <a:solidFill>
                <a:schemeClr val="tx1"/>
              </a:solidFill>
              <a:effectLst/>
              <a:latin typeface="+mn-lt"/>
              <a:ea typeface="+mn-ea"/>
              <a:cs typeface="+mn-cs"/>
            </a:rPr>
            <a:t>, </a:t>
          </a:r>
          <a:r>
            <a:rPr lang="es-ES" sz="1800" b="0" i="0">
              <a:solidFill>
                <a:schemeClr val="tx1"/>
              </a:solidFill>
              <a:effectLst/>
              <a:latin typeface="+mn-lt"/>
              <a:ea typeface="+mn-ea"/>
              <a:cs typeface="+mn-cs"/>
            </a:rPr>
            <a:t>una herramienta de planeación que proyecta diferentes escenarios de reducción de las emisiones de gases de efecto invernadero (GEI) y facilita información para la toma de decisiones. </a:t>
          </a:r>
          <a:endParaRPr lang="es-ES" sz="1800">
            <a:effectLst/>
          </a:endParaRPr>
        </a:p>
        <a:p>
          <a:r>
            <a:rPr lang="es-ES" sz="1800" b="0" i="0">
              <a:solidFill>
                <a:schemeClr val="tx1"/>
              </a:solidFill>
              <a:effectLst/>
              <a:latin typeface="+mn-lt"/>
              <a:ea typeface="+mn-ea"/>
              <a:cs typeface="+mn-cs"/>
            </a:rPr>
            <a:t>De</a:t>
          </a:r>
          <a:r>
            <a:rPr lang="es-ES" sz="1800" b="0" i="0" baseline="0">
              <a:solidFill>
                <a:schemeClr val="tx1"/>
              </a:solidFill>
              <a:effectLst/>
              <a:latin typeface="+mn-lt"/>
              <a:ea typeface="+mn-ea"/>
              <a:cs typeface="+mn-cs"/>
            </a:rPr>
            <a:t> ser la primera vez que trabaja con esta herramienta es recomendable que </a:t>
          </a:r>
          <a:r>
            <a:rPr lang="es-ES" sz="1800" b="1" i="0" baseline="0">
              <a:solidFill>
                <a:schemeClr val="tx1"/>
              </a:solidFill>
              <a:effectLst/>
              <a:latin typeface="+mn-lt"/>
              <a:ea typeface="+mn-ea"/>
              <a:cs typeface="+mn-cs"/>
            </a:rPr>
            <a:t>lea detenidamente el apartado de información, </a:t>
          </a:r>
          <a:r>
            <a:rPr lang="es-ES" sz="1800" b="0" i="0" baseline="0">
              <a:solidFill>
                <a:schemeClr val="tx1"/>
              </a:solidFill>
              <a:effectLst/>
              <a:latin typeface="+mn-lt"/>
              <a:ea typeface="+mn-ea"/>
              <a:cs typeface="+mn-cs"/>
            </a:rPr>
            <a:t>donde se detallan las funcionalidades y el manual de uso de la misma. </a:t>
          </a:r>
          <a:endParaRPr lang="es-ES" sz="1800">
            <a:effectLst/>
          </a:endParaRPr>
        </a:p>
        <a:p>
          <a:r>
            <a:rPr lang="es-ES" sz="1800" b="0" i="0" baseline="0">
              <a:solidFill>
                <a:schemeClr val="tx1"/>
              </a:solidFill>
              <a:effectLst/>
              <a:latin typeface="+mn-lt"/>
              <a:ea typeface="+mn-ea"/>
              <a:cs typeface="+mn-cs"/>
            </a:rPr>
            <a:t>Esta Calculadora funciona por medio de botones. Para comenzar a explorar la herramienta de clic en el botón </a:t>
          </a:r>
          <a:r>
            <a:rPr lang="es-ES" sz="1800" b="1" i="0" baseline="0">
              <a:solidFill>
                <a:schemeClr val="tx1"/>
              </a:solidFill>
              <a:effectLst/>
              <a:latin typeface="+mn-lt"/>
              <a:ea typeface="+mn-ea"/>
              <a:cs typeface="+mn-cs"/>
            </a:rPr>
            <a:t>INICIO</a:t>
          </a:r>
          <a:r>
            <a:rPr lang="es-ES" sz="1800" b="0" i="0" baseline="0">
              <a:solidFill>
                <a:schemeClr val="tx1"/>
              </a:solidFill>
              <a:effectLst/>
              <a:latin typeface="+mn-lt"/>
              <a:ea typeface="+mn-ea"/>
              <a:cs typeface="+mn-cs"/>
            </a:rPr>
            <a:t>.</a:t>
          </a:r>
          <a:endParaRPr lang="es-ES" sz="1800">
            <a:effectLst/>
          </a:endParaRPr>
        </a:p>
      </xdr:txBody>
    </xdr:sp>
    <xdr:clientData/>
  </xdr:oneCellAnchor>
  <xdr:twoCellAnchor>
    <xdr:from>
      <xdr:col>10</xdr:col>
      <xdr:colOff>173356</xdr:colOff>
      <xdr:row>23</xdr:row>
      <xdr:rowOff>38100</xdr:rowOff>
    </xdr:from>
    <xdr:to>
      <xdr:col>12</xdr:col>
      <xdr:colOff>485775</xdr:colOff>
      <xdr:row>26</xdr:row>
      <xdr:rowOff>47625</xdr:rowOff>
    </xdr:to>
    <xdr:grpSp>
      <xdr:nvGrpSpPr>
        <xdr:cNvPr id="35" name="Grupo 34">
          <a:hlinkClick xmlns:r="http://schemas.openxmlformats.org/officeDocument/2006/relationships" r:id="rId2"/>
          <a:extLst>
            <a:ext uri="{FF2B5EF4-FFF2-40B4-BE49-F238E27FC236}">
              <a16:creationId xmlns:a16="http://schemas.microsoft.com/office/drawing/2014/main" id="{00000000-0008-0000-0000-000023000000}"/>
            </a:ext>
          </a:extLst>
        </xdr:cNvPr>
        <xdr:cNvGrpSpPr/>
      </xdr:nvGrpSpPr>
      <xdr:grpSpPr>
        <a:xfrm>
          <a:off x="7793356" y="4419600"/>
          <a:ext cx="1836419" cy="581025"/>
          <a:chOff x="7536181" y="5029200"/>
          <a:chExt cx="1836419" cy="876300"/>
        </a:xfrm>
      </xdr:grpSpPr>
      <xdr:sp macro="" textlink="">
        <xdr:nvSpPr>
          <xdr:cNvPr id="32" name="Rectángulo: esquinas redondeadas 31">
            <a:extLst>
              <a:ext uri="{FF2B5EF4-FFF2-40B4-BE49-F238E27FC236}">
                <a16:creationId xmlns:a16="http://schemas.microsoft.com/office/drawing/2014/main" id="{00000000-0008-0000-0000-000020000000}"/>
              </a:ext>
            </a:extLst>
          </xdr:cNvPr>
          <xdr:cNvSpPr/>
        </xdr:nvSpPr>
        <xdr:spPr>
          <a:xfrm>
            <a:off x="7536181" y="5029200"/>
            <a:ext cx="1836419" cy="876300"/>
          </a:xfrm>
          <a:prstGeom prst="roundRect">
            <a:avLst/>
          </a:prstGeom>
          <a:solidFill>
            <a:schemeClr val="accent6"/>
          </a:solidFill>
          <a:ln w="12700">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nchorCtr="0"/>
          <a:lstStyle/>
          <a:p>
            <a:pPr algn="l"/>
            <a:r>
              <a:rPr lang="es-ES" sz="2400" b="1">
                <a:solidFill>
                  <a:schemeClr val="bg1"/>
                </a:solidFill>
              </a:rPr>
              <a:t>    INICIO</a:t>
            </a:r>
          </a:p>
        </xdr:txBody>
      </xdr:sp>
      <xdr:pic>
        <xdr:nvPicPr>
          <xdr:cNvPr id="34" name="Gráfico 33" descr="Reproducir con relleno sólido">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867776" y="5195809"/>
            <a:ext cx="400050" cy="542925"/>
          </a:xfrm>
          <a:prstGeom prst="rect">
            <a:avLst/>
          </a:prstGeom>
        </xdr:spPr>
      </xdr:pic>
    </xdr:grpSp>
    <xdr:clientData/>
  </xdr:twoCellAnchor>
  <xdr:twoCellAnchor>
    <xdr:from>
      <xdr:col>8</xdr:col>
      <xdr:colOff>161926</xdr:colOff>
      <xdr:row>5</xdr:row>
      <xdr:rowOff>161925</xdr:rowOff>
    </xdr:from>
    <xdr:to>
      <xdr:col>14</xdr:col>
      <xdr:colOff>485776</xdr:colOff>
      <xdr:row>8</xdr:row>
      <xdr:rowOff>145862</xdr:rowOff>
    </xdr:to>
    <xdr:grpSp>
      <xdr:nvGrpSpPr>
        <xdr:cNvPr id="12" name="Grupo 2">
          <a:extLst>
            <a:ext uri="{FF2B5EF4-FFF2-40B4-BE49-F238E27FC236}">
              <a16:creationId xmlns:a16="http://schemas.microsoft.com/office/drawing/2014/main" id="{00000000-0008-0000-0000-00000C000000}"/>
            </a:ext>
          </a:extLst>
        </xdr:cNvPr>
        <xdr:cNvGrpSpPr/>
      </xdr:nvGrpSpPr>
      <xdr:grpSpPr>
        <a:xfrm>
          <a:off x="6257926" y="1114425"/>
          <a:ext cx="4895850" cy="555437"/>
          <a:chOff x="5762624" y="1628775"/>
          <a:chExt cx="3781425" cy="393512"/>
        </a:xfrm>
      </xdr:grpSpPr>
      <xdr:sp macro="" textlink="">
        <xdr:nvSpPr>
          <xdr:cNvPr id="15" name="Rectángulo 1">
            <a:extLst>
              <a:ext uri="{FF2B5EF4-FFF2-40B4-BE49-F238E27FC236}">
                <a16:creationId xmlns:a16="http://schemas.microsoft.com/office/drawing/2014/main" id="{00000000-0008-0000-0000-00000F000000}"/>
              </a:ext>
            </a:extLst>
          </xdr:cNvPr>
          <xdr:cNvSpPr/>
        </xdr:nvSpPr>
        <xdr:spPr>
          <a:xfrm>
            <a:off x="5762624" y="1628775"/>
            <a:ext cx="3781425" cy="381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16" name="Imagen 13">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
          <a:stretch>
            <a:fillRect/>
          </a:stretch>
        </xdr:blipFill>
        <xdr:spPr>
          <a:xfrm>
            <a:off x="5772150" y="1676400"/>
            <a:ext cx="3717103" cy="345887"/>
          </a:xfrm>
          <a:prstGeom prst="rect">
            <a:avLst/>
          </a:prstGeom>
        </xdr:spPr>
      </xdr:pic>
    </xdr:grpSp>
    <xdr:clientData/>
  </xdr:twoCellAnchor>
  <xdr:twoCellAnchor editAs="oneCell">
    <xdr:from>
      <xdr:col>5</xdr:col>
      <xdr:colOff>219075</xdr:colOff>
      <xdr:row>5</xdr:row>
      <xdr:rowOff>38100</xdr:rowOff>
    </xdr:from>
    <xdr:to>
      <xdr:col>7</xdr:col>
      <xdr:colOff>161925</xdr:colOff>
      <xdr:row>7</xdr:row>
      <xdr:rowOff>167687</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29075" y="990600"/>
          <a:ext cx="1466850" cy="510587"/>
        </a:xfrm>
        <a:prstGeom prst="rect">
          <a:avLst/>
        </a:prstGeom>
      </xdr:spPr>
    </xdr:pic>
    <xdr:clientData/>
  </xdr:twoCellAnchor>
  <xdr:twoCellAnchor editAs="oneCell">
    <xdr:from>
      <xdr:col>15</xdr:col>
      <xdr:colOff>638176</xdr:colOff>
      <xdr:row>5</xdr:row>
      <xdr:rowOff>0</xdr:rowOff>
    </xdr:from>
    <xdr:to>
      <xdr:col>17</xdr:col>
      <xdr:colOff>600076</xdr:colOff>
      <xdr:row>8</xdr:row>
      <xdr:rowOff>14417</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68176" y="952500"/>
          <a:ext cx="1485900" cy="5859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75" name="Grupo 74">
          <a:hlinkClick xmlns:r="http://schemas.openxmlformats.org/officeDocument/2006/relationships" r:id="rId1"/>
          <a:extLst>
            <a:ext uri="{FF2B5EF4-FFF2-40B4-BE49-F238E27FC236}">
              <a16:creationId xmlns:a16="http://schemas.microsoft.com/office/drawing/2014/main" id="{00000000-0008-0000-0200-00004B000000}"/>
            </a:ext>
          </a:extLst>
        </xdr:cNvPr>
        <xdr:cNvGrpSpPr/>
      </xdr:nvGrpSpPr>
      <xdr:grpSpPr>
        <a:xfrm>
          <a:off x="0" y="0"/>
          <a:ext cx="1381125" cy="328014"/>
          <a:chOff x="91104" y="65606"/>
          <a:chExt cx="1192701" cy="328014"/>
        </a:xfrm>
      </xdr:grpSpPr>
      <xdr:sp macro="" textlink="">
        <xdr:nvSpPr>
          <xdr:cNvPr id="76" name="Rectángulo 75">
            <a:extLst>
              <a:ext uri="{FF2B5EF4-FFF2-40B4-BE49-F238E27FC236}">
                <a16:creationId xmlns:a16="http://schemas.microsoft.com/office/drawing/2014/main" id="{00000000-0008-0000-0200-00004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7" name="Gráfico 76" descr="Hogar con relleno sólido">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78" name="Grupo 77">
          <a:hlinkClick xmlns:r="http://schemas.openxmlformats.org/officeDocument/2006/relationships" r:id="rId4"/>
          <a:extLst>
            <a:ext uri="{FF2B5EF4-FFF2-40B4-BE49-F238E27FC236}">
              <a16:creationId xmlns:a16="http://schemas.microsoft.com/office/drawing/2014/main" id="{00000000-0008-0000-0200-00004E000000}"/>
            </a:ext>
          </a:extLst>
        </xdr:cNvPr>
        <xdr:cNvGrpSpPr/>
      </xdr:nvGrpSpPr>
      <xdr:grpSpPr>
        <a:xfrm>
          <a:off x="0" y="4710117"/>
          <a:ext cx="1295400" cy="638178"/>
          <a:chOff x="0" y="3671892"/>
          <a:chExt cx="1295400" cy="638178"/>
        </a:xfrm>
      </xdr:grpSpPr>
      <xdr:sp macro="" textlink="">
        <xdr:nvSpPr>
          <xdr:cNvPr id="79" name="Rectángulo: esquinas superiores redondeadas 78">
            <a:extLst>
              <a:ext uri="{FF2B5EF4-FFF2-40B4-BE49-F238E27FC236}">
                <a16:creationId xmlns:a16="http://schemas.microsoft.com/office/drawing/2014/main" id="{00000000-0008-0000-0200-00004F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80" name="Gráfico 79" descr="Información con relleno sólido">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1" name="Grupo 80">
          <a:hlinkClick xmlns:r="http://schemas.openxmlformats.org/officeDocument/2006/relationships" r:id="rId7"/>
          <a:extLst>
            <a:ext uri="{FF2B5EF4-FFF2-40B4-BE49-F238E27FC236}">
              <a16:creationId xmlns:a16="http://schemas.microsoft.com/office/drawing/2014/main" id="{00000000-0008-0000-0200-000051000000}"/>
            </a:ext>
          </a:extLst>
        </xdr:cNvPr>
        <xdr:cNvGrpSpPr/>
      </xdr:nvGrpSpPr>
      <xdr:grpSpPr>
        <a:xfrm>
          <a:off x="0" y="3760792"/>
          <a:ext cx="1304926" cy="638178"/>
          <a:chOff x="0" y="2767017"/>
          <a:chExt cx="1304926" cy="638178"/>
        </a:xfrm>
      </xdr:grpSpPr>
      <xdr:sp macro="" textlink="">
        <xdr:nvSpPr>
          <xdr:cNvPr id="82" name="Rectángulo: esquinas superiores redondeadas 81">
            <a:extLst>
              <a:ext uri="{FF2B5EF4-FFF2-40B4-BE49-F238E27FC236}">
                <a16:creationId xmlns:a16="http://schemas.microsoft.com/office/drawing/2014/main" id="{00000000-0008-0000-0200-000052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83" name="Gráfico 82" descr="Gráfico de barras con relleno sólido">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84" name="Grupo 83">
          <a:hlinkClick xmlns:r="http://schemas.openxmlformats.org/officeDocument/2006/relationships" r:id="rId10"/>
          <a:extLst>
            <a:ext uri="{FF2B5EF4-FFF2-40B4-BE49-F238E27FC236}">
              <a16:creationId xmlns:a16="http://schemas.microsoft.com/office/drawing/2014/main" id="{00000000-0008-0000-0200-000054000000}"/>
            </a:ext>
          </a:extLst>
        </xdr:cNvPr>
        <xdr:cNvGrpSpPr/>
      </xdr:nvGrpSpPr>
      <xdr:grpSpPr>
        <a:xfrm>
          <a:off x="0" y="2811467"/>
          <a:ext cx="1323975" cy="638178"/>
          <a:chOff x="0" y="1862142"/>
          <a:chExt cx="1323975" cy="638178"/>
        </a:xfrm>
      </xdr:grpSpPr>
      <xdr:sp macro="" textlink="">
        <xdr:nvSpPr>
          <xdr:cNvPr id="85" name="Rectángulo: esquinas superiores redondeadas 84">
            <a:extLst>
              <a:ext uri="{FF2B5EF4-FFF2-40B4-BE49-F238E27FC236}">
                <a16:creationId xmlns:a16="http://schemas.microsoft.com/office/drawing/2014/main" id="{00000000-0008-0000-0200-00005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86" name="Gráfico 85" descr="Alternar con relleno sólido">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87" name="Grupo 86">
          <a:hlinkClick xmlns:r="http://schemas.openxmlformats.org/officeDocument/2006/relationships" r:id="rId13"/>
          <a:extLst>
            <a:ext uri="{FF2B5EF4-FFF2-40B4-BE49-F238E27FC236}">
              <a16:creationId xmlns:a16="http://schemas.microsoft.com/office/drawing/2014/main" id="{00000000-0008-0000-0200-000057000000}"/>
            </a:ext>
          </a:extLst>
        </xdr:cNvPr>
        <xdr:cNvGrpSpPr/>
      </xdr:nvGrpSpPr>
      <xdr:grpSpPr>
        <a:xfrm>
          <a:off x="0" y="1862142"/>
          <a:ext cx="1295400" cy="638178"/>
          <a:chOff x="0" y="1862142"/>
          <a:chExt cx="1295400" cy="638178"/>
        </a:xfrm>
      </xdr:grpSpPr>
      <xdr:sp macro="" textlink="">
        <xdr:nvSpPr>
          <xdr:cNvPr id="88" name="Rectángulo: esquinas superiores redondeadas 87">
            <a:extLst>
              <a:ext uri="{FF2B5EF4-FFF2-40B4-BE49-F238E27FC236}">
                <a16:creationId xmlns:a16="http://schemas.microsoft.com/office/drawing/2014/main" id="{00000000-0008-0000-0200-000058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89" name="Gráfico 88" descr="Lista con relleno sólido">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733425</xdr:colOff>
      <xdr:row>1</xdr:row>
      <xdr:rowOff>85725</xdr:rowOff>
    </xdr:from>
    <xdr:to>
      <xdr:col>4</xdr:col>
      <xdr:colOff>38100</xdr:colOff>
      <xdr:row>4</xdr:row>
      <xdr:rowOff>104775</xdr:rowOff>
    </xdr:to>
    <xdr:sp macro="" textlink="">
      <xdr:nvSpPr>
        <xdr:cNvPr id="90" name="Rectángulo: esquinas redondeadas 89">
          <a:extLst>
            <a:ext uri="{FF2B5EF4-FFF2-40B4-BE49-F238E27FC236}">
              <a16:creationId xmlns:a16="http://schemas.microsoft.com/office/drawing/2014/main" id="{00000000-0008-0000-0200-00005A000000}"/>
            </a:ext>
          </a:extLst>
        </xdr:cNvPr>
        <xdr:cNvSpPr/>
      </xdr:nvSpPr>
      <xdr:spPr>
        <a:xfrm>
          <a:off x="2114550" y="276225"/>
          <a:ext cx="6391275" cy="5905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AJUSTES</a:t>
          </a:r>
          <a:r>
            <a:rPr lang="es-ES" sz="2800" b="1" baseline="0"/>
            <a:t> </a:t>
          </a:r>
          <a:endParaRPr lang="es-ES" sz="2800" b="1"/>
        </a:p>
      </xdr:txBody>
    </xdr:sp>
    <xdr:clientData/>
  </xdr:twoCellAnchor>
  <xdr:twoCellAnchor editAs="oneCell">
    <xdr:from>
      <xdr:col>3</xdr:col>
      <xdr:colOff>142875</xdr:colOff>
      <xdr:row>1</xdr:row>
      <xdr:rowOff>38100</xdr:rowOff>
    </xdr:from>
    <xdr:to>
      <xdr:col>4</xdr:col>
      <xdr:colOff>11030</xdr:colOff>
      <xdr:row>4</xdr:row>
      <xdr:rowOff>154306</xdr:rowOff>
    </xdr:to>
    <xdr:pic>
      <xdr:nvPicPr>
        <xdr:cNvPr id="93" name="Gráfico 92" descr="Engranaje único con relleno sólido">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48600" y="228600"/>
          <a:ext cx="630155" cy="687706"/>
        </a:xfrm>
        <a:prstGeom prst="rect">
          <a:avLst/>
        </a:prstGeom>
      </xdr:spPr>
    </xdr:pic>
    <xdr:clientData/>
  </xdr:twoCellAnchor>
  <xdr:twoCellAnchor editAs="oneCell">
    <xdr:from>
      <xdr:col>1</xdr:col>
      <xdr:colOff>447676</xdr:colOff>
      <xdr:row>18</xdr:row>
      <xdr:rowOff>133350</xdr:rowOff>
    </xdr:from>
    <xdr:to>
      <xdr:col>1</xdr:col>
      <xdr:colOff>744424</xdr:colOff>
      <xdr:row>20</xdr:row>
      <xdr:rowOff>76200</xdr:rowOff>
    </xdr:to>
    <xdr:pic>
      <xdr:nvPicPr>
        <xdr:cNvPr id="95" name="Gráfico 94" descr="Engranaje único con relleno sólido">
          <a:extLst>
            <a:ext uri="{FF2B5EF4-FFF2-40B4-BE49-F238E27FC236}">
              <a16:creationId xmlns:a16="http://schemas.microsoft.com/office/drawing/2014/main" id="{00000000-0008-0000-0200-00005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828801" y="3952875"/>
          <a:ext cx="296748" cy="323850"/>
        </a:xfrm>
        <a:prstGeom prst="rect">
          <a:avLst/>
        </a:prstGeom>
      </xdr:spPr>
    </xdr:pic>
    <xdr:clientData/>
  </xdr:twoCellAnchor>
  <xdr:twoCellAnchor>
    <xdr:from>
      <xdr:col>0</xdr:col>
      <xdr:colOff>0</xdr:colOff>
      <xdr:row>33</xdr:row>
      <xdr:rowOff>19050</xdr:rowOff>
    </xdr:from>
    <xdr:to>
      <xdr:col>0</xdr:col>
      <xdr:colOff>1240383</xdr:colOff>
      <xdr:row>35</xdr:row>
      <xdr:rowOff>54939</xdr:rowOff>
    </xdr:to>
    <xdr:grpSp>
      <xdr:nvGrpSpPr>
        <xdr:cNvPr id="24" name="Grupo 23">
          <a:hlinkClick xmlns:r="http://schemas.openxmlformats.org/officeDocument/2006/relationships" r:id="rId20"/>
          <a:extLst>
            <a:ext uri="{FF2B5EF4-FFF2-40B4-BE49-F238E27FC236}">
              <a16:creationId xmlns:a16="http://schemas.microsoft.com/office/drawing/2014/main" id="{00000000-0008-0000-0200-000018000000}"/>
            </a:ext>
          </a:extLst>
        </xdr:cNvPr>
        <xdr:cNvGrpSpPr/>
      </xdr:nvGrpSpPr>
      <xdr:grpSpPr>
        <a:xfrm>
          <a:off x="0" y="6305550"/>
          <a:ext cx="1240383" cy="416889"/>
          <a:chOff x="28575" y="6381750"/>
          <a:chExt cx="1240383" cy="416889"/>
        </a:xfrm>
      </xdr:grpSpPr>
      <xdr:pic>
        <xdr:nvPicPr>
          <xdr:cNvPr id="25" name="Gráfico 24" descr="Engranaje único con relleno sólido">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8575" y="6381750"/>
            <a:ext cx="409575" cy="416889"/>
          </a:xfrm>
          <a:prstGeom prst="rect">
            <a:avLst/>
          </a:prstGeom>
        </xdr:spPr>
      </xdr:pic>
      <xdr:sp macro="" textlink="">
        <xdr:nvSpPr>
          <xdr:cNvPr id="26" name="CuadroTexto 25">
            <a:extLst>
              <a:ext uri="{FF2B5EF4-FFF2-40B4-BE49-F238E27FC236}">
                <a16:creationId xmlns:a16="http://schemas.microsoft.com/office/drawing/2014/main" id="{00000000-0008-0000-0200-00001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oneCellAnchor>
    <xdr:from>
      <xdr:col>1</xdr:col>
      <xdr:colOff>466725</xdr:colOff>
      <xdr:row>38</xdr:row>
      <xdr:rowOff>142875</xdr:rowOff>
    </xdr:from>
    <xdr:ext cx="296748" cy="323850"/>
    <xdr:pic>
      <xdr:nvPicPr>
        <xdr:cNvPr id="50" name="Gráfico 49" descr="Engranaje único con relleno sólido">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42</xdr:row>
      <xdr:rowOff>142875</xdr:rowOff>
    </xdr:from>
    <xdr:ext cx="296748" cy="323850"/>
    <xdr:pic>
      <xdr:nvPicPr>
        <xdr:cNvPr id="51" name="Gráfico 50" descr="Engranaje único con relleno sólido">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46</xdr:row>
      <xdr:rowOff>142875</xdr:rowOff>
    </xdr:from>
    <xdr:ext cx="296748" cy="323850"/>
    <xdr:pic>
      <xdr:nvPicPr>
        <xdr:cNvPr id="52" name="Gráfico 51" descr="Engranaje único con relleno sólido">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50</xdr:row>
      <xdr:rowOff>142875</xdr:rowOff>
    </xdr:from>
    <xdr:ext cx="296748" cy="323850"/>
    <xdr:pic>
      <xdr:nvPicPr>
        <xdr:cNvPr id="53" name="Gráfico 52" descr="Engranaje único con relleno sólido">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54</xdr:row>
      <xdr:rowOff>142875</xdr:rowOff>
    </xdr:from>
    <xdr:ext cx="296748" cy="323850"/>
    <xdr:pic>
      <xdr:nvPicPr>
        <xdr:cNvPr id="54" name="Gráfico 53" descr="Engranaje único con relleno sólido">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58</xdr:row>
      <xdr:rowOff>142875</xdr:rowOff>
    </xdr:from>
    <xdr:ext cx="296748" cy="323850"/>
    <xdr:pic>
      <xdr:nvPicPr>
        <xdr:cNvPr id="55" name="Gráfico 54" descr="Engranaje único con relleno sólido">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62</xdr:row>
      <xdr:rowOff>142875</xdr:rowOff>
    </xdr:from>
    <xdr:ext cx="296748" cy="323850"/>
    <xdr:pic>
      <xdr:nvPicPr>
        <xdr:cNvPr id="56" name="Gráfico 55" descr="Engranaje único con relleno sólido">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66</xdr:row>
      <xdr:rowOff>142875</xdr:rowOff>
    </xdr:from>
    <xdr:ext cx="296748" cy="323850"/>
    <xdr:pic>
      <xdr:nvPicPr>
        <xdr:cNvPr id="57" name="Gráfico 56" descr="Engranaje único con relleno sólido">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31</xdr:row>
      <xdr:rowOff>142875</xdr:rowOff>
    </xdr:from>
    <xdr:ext cx="296748" cy="323850"/>
    <xdr:pic>
      <xdr:nvPicPr>
        <xdr:cNvPr id="58" name="Gráfico 57" descr="Engranaje único con relleno sólido">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70</xdr:row>
      <xdr:rowOff>142875</xdr:rowOff>
    </xdr:from>
    <xdr:ext cx="296748" cy="323850"/>
    <xdr:pic>
      <xdr:nvPicPr>
        <xdr:cNvPr id="59" name="Gráfico 58" descr="Engranaje único con relleno sólido">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16125825"/>
          <a:ext cx="296748" cy="32385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685799</xdr:colOff>
      <xdr:row>234</xdr:row>
      <xdr:rowOff>28575</xdr:rowOff>
    </xdr:from>
    <xdr:to>
      <xdr:col>16</xdr:col>
      <xdr:colOff>271650</xdr:colOff>
      <xdr:row>242</xdr:row>
      <xdr:rowOff>66675</xdr:rowOff>
    </xdr:to>
    <xdr:grpSp>
      <xdr:nvGrpSpPr>
        <xdr:cNvPr id="9541" name="Grupo 9540">
          <a:extLst>
            <a:ext uri="{FF2B5EF4-FFF2-40B4-BE49-F238E27FC236}">
              <a16:creationId xmlns:a16="http://schemas.microsoft.com/office/drawing/2014/main" id="{00000000-0008-0000-0300-000045250000}"/>
            </a:ext>
          </a:extLst>
        </xdr:cNvPr>
        <xdr:cNvGrpSpPr/>
      </xdr:nvGrpSpPr>
      <xdr:grpSpPr>
        <a:xfrm>
          <a:off x="2066924" y="45272325"/>
          <a:ext cx="11015851" cy="1562100"/>
          <a:chOff x="2066924" y="43879294"/>
          <a:chExt cx="11015851" cy="1562100"/>
        </a:xfrm>
      </xdr:grpSpPr>
      <xdr:grpSp>
        <xdr:nvGrpSpPr>
          <xdr:cNvPr id="12124" name="Grupo 349">
            <a:extLst>
              <a:ext uri="{FF2B5EF4-FFF2-40B4-BE49-F238E27FC236}">
                <a16:creationId xmlns:a16="http://schemas.microsoft.com/office/drawing/2014/main" id="{00000000-0008-0000-0300-00005C2F0000}"/>
              </a:ext>
            </a:extLst>
          </xdr:cNvPr>
          <xdr:cNvGrpSpPr/>
        </xdr:nvGrpSpPr>
        <xdr:grpSpPr>
          <a:xfrm>
            <a:off x="2066924" y="43879294"/>
            <a:ext cx="11015851" cy="1562100"/>
            <a:chOff x="2143124" y="30299025"/>
            <a:chExt cx="11015851" cy="1562100"/>
          </a:xfrm>
        </xdr:grpSpPr>
        <xdr:grpSp>
          <xdr:nvGrpSpPr>
            <xdr:cNvPr id="12125" name="Grupo 350">
              <a:extLst>
                <a:ext uri="{FF2B5EF4-FFF2-40B4-BE49-F238E27FC236}">
                  <a16:creationId xmlns:a16="http://schemas.microsoft.com/office/drawing/2014/main" id="{00000000-0008-0000-0300-00005D2F0000}"/>
                </a:ext>
              </a:extLst>
            </xdr:cNvPr>
            <xdr:cNvGrpSpPr/>
          </xdr:nvGrpSpPr>
          <xdr:grpSpPr>
            <a:xfrm>
              <a:off x="2143124" y="30299025"/>
              <a:ext cx="11015851" cy="1562100"/>
              <a:chOff x="2171699" y="29956125"/>
              <a:chExt cx="11015851" cy="1562100"/>
            </a:xfrm>
          </xdr:grpSpPr>
          <xdr:sp macro="" textlink="">
            <xdr:nvSpPr>
              <xdr:cNvPr id="12126" name="Rectángulo: esquinas redondeadas 352">
                <a:extLst>
                  <a:ext uri="{FF2B5EF4-FFF2-40B4-BE49-F238E27FC236}">
                    <a16:creationId xmlns:a16="http://schemas.microsoft.com/office/drawing/2014/main" id="{00000000-0008-0000-0300-00005E2F0000}"/>
                  </a:ext>
                </a:extLst>
              </xdr:cNvPr>
              <xdr:cNvSpPr/>
            </xdr:nvSpPr>
            <xdr:spPr>
              <a:xfrm>
                <a:off x="2171699" y="29975174"/>
                <a:ext cx="10591801" cy="15430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27" name="Diagrama de flujo: conector 355">
                <a:extLst>
                  <a:ext uri="{FF2B5EF4-FFF2-40B4-BE49-F238E27FC236}">
                    <a16:creationId xmlns:a16="http://schemas.microsoft.com/office/drawing/2014/main" id="{00000000-0008-0000-0300-00005F2F0000}"/>
                  </a:ext>
                </a:extLst>
              </xdr:cNvPr>
              <xdr:cNvSpPr/>
            </xdr:nvSpPr>
            <xdr:spPr>
              <a:xfrm>
                <a:off x="11639550" y="29956125"/>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28" name="CuadroTexto 354">
                <a:extLst>
                  <a:ext uri="{FF2B5EF4-FFF2-40B4-BE49-F238E27FC236}">
                    <a16:creationId xmlns:a16="http://schemas.microsoft.com/office/drawing/2014/main" id="{00000000-0008-0000-0300-0000602F0000}"/>
                  </a:ext>
                </a:extLst>
              </xdr:cNvPr>
              <xdr:cNvSpPr txBox="1"/>
            </xdr:nvSpPr>
            <xdr:spPr>
              <a:xfrm>
                <a:off x="2705099" y="30051374"/>
                <a:ext cx="8667751" cy="1457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b="0" i="0">
                    <a:solidFill>
                      <a:schemeClr val="tx1"/>
                    </a:solidFill>
                    <a:effectLst/>
                    <a:latin typeface="+mn-lt"/>
                    <a:ea typeface="+mn-ea"/>
                    <a:cs typeface="+mn-cs"/>
                  </a:rPr>
                  <a:t>Este sector supone la restauración del suelo dedicado al pastoreo para contribuir al incremento de superficies que favorezca la captura de carbono, mediante la implementación de </a:t>
                </a:r>
                <a:r>
                  <a:rPr lang="es-ES" sz="1200" b="1" baseline="0">
                    <a:solidFill>
                      <a:schemeClr val="accent2">
                        <a:lumMod val="75000"/>
                      </a:schemeClr>
                    </a:solidFill>
                    <a:effectLst/>
                    <a:latin typeface="+mn-lt"/>
                    <a:ea typeface="+mn-ea"/>
                    <a:cs typeface="+mn-cs"/>
                  </a:rPr>
                  <a:t>prácticas sostenibles en suelos ganaderos </a:t>
                </a:r>
                <a:r>
                  <a:rPr lang="es-ES" sz="1200" b="0" i="0">
                    <a:solidFill>
                      <a:schemeClr val="tx1"/>
                    </a:solidFill>
                    <a:effectLst/>
                    <a:latin typeface="+mn-lt"/>
                    <a:ea typeface="+mn-ea"/>
                    <a:cs typeface="+mn-cs"/>
                  </a:rPr>
                  <a:t>y la implementación de </a:t>
                </a:r>
                <a:r>
                  <a:rPr lang="es-ES" sz="1200" b="1" baseline="0">
                    <a:solidFill>
                      <a:schemeClr val="accent2">
                        <a:lumMod val="75000"/>
                      </a:schemeClr>
                    </a:solidFill>
                    <a:effectLst/>
                    <a:latin typeface="+mn-lt"/>
                    <a:ea typeface="+mn-ea"/>
                    <a:cs typeface="+mn-cs"/>
                  </a:rPr>
                  <a:t>mejores prácticas pecuarias.</a:t>
                </a:r>
              </a:p>
              <a:p>
                <a:pPr marL="0" marR="0" lvl="0" indent="0" defTabSz="914400" eaLnBrk="1" fontAlgn="auto" latinLnBrk="0" hangingPunct="1">
                  <a:lnSpc>
                    <a:spcPct val="100000"/>
                  </a:lnSpc>
                  <a:spcBef>
                    <a:spcPts val="0"/>
                  </a:spcBef>
                  <a:spcAft>
                    <a:spcPts val="0"/>
                  </a:spcAft>
                  <a:buClrTx/>
                  <a:buSzTx/>
                  <a:buFontTx/>
                  <a:buNone/>
                  <a:tabLst/>
                  <a:defRPr/>
                </a:pPr>
                <a:r>
                  <a:rPr lang="es-ES" sz="1200" b="0" baseline="0">
                    <a:solidFill>
                      <a:sysClr val="windowText" lastClr="000000"/>
                    </a:solidFill>
                    <a:effectLst/>
                    <a:latin typeface="+mn-lt"/>
                    <a:ea typeface="+mn-ea"/>
                    <a:cs typeface="+mn-cs"/>
                  </a:rPr>
                  <a:t>El sector contabiliza adicionalmente la producción de </a:t>
                </a:r>
                <a:r>
                  <a:rPr lang="es-ES" sz="1200" b="1" baseline="0">
                    <a:solidFill>
                      <a:schemeClr val="accent2">
                        <a:lumMod val="75000"/>
                      </a:schemeClr>
                    </a:solidFill>
                    <a:effectLst/>
                    <a:latin typeface="+mn-lt"/>
                    <a:ea typeface="+mn-ea"/>
                    <a:cs typeface="+mn-cs"/>
                  </a:rPr>
                  <a:t>bioenergía</a:t>
                </a:r>
                <a:r>
                  <a:rPr lang="es-ES" sz="1200" b="0" baseline="0">
                    <a:solidFill>
                      <a:sysClr val="windowText" lastClr="000000"/>
                    </a:solidFill>
                    <a:effectLst/>
                    <a:latin typeface="+mn-lt"/>
                    <a:ea typeface="+mn-ea"/>
                    <a:cs typeface="+mn-cs"/>
                  </a:rPr>
                  <a:t> considerando </a:t>
                </a:r>
                <a:r>
                  <a:rPr lang="es-ES" sz="1200" b="0" i="0" baseline="0">
                    <a:solidFill>
                      <a:schemeClr val="tx1"/>
                    </a:solidFill>
                    <a:effectLst/>
                    <a:latin typeface="+mn-lt"/>
                    <a:ea typeface="+mn-ea"/>
                    <a:cs typeface="+mn-cs"/>
                  </a:rPr>
                  <a:t>el </a:t>
                </a:r>
                <a:r>
                  <a:rPr lang="es-ES" sz="1200" b="1" i="0" baseline="0">
                    <a:solidFill>
                      <a:schemeClr val="accent2">
                        <a:lumMod val="75000"/>
                      </a:schemeClr>
                    </a:solidFill>
                    <a:effectLst/>
                    <a:latin typeface="+mn-lt"/>
                    <a:ea typeface="+mn-ea"/>
                    <a:cs typeface="+mn-cs"/>
                  </a:rPr>
                  <a:t>aprovechamiento energético del estiércol</a:t>
                </a:r>
                <a:r>
                  <a:rPr lang="es-ES" sz="1200" b="0" i="0" baseline="0">
                    <a:solidFill>
                      <a:schemeClr val="tx1"/>
                    </a:solidFill>
                    <a:effectLst/>
                    <a:latin typeface="+mn-lt"/>
                    <a:ea typeface="+mn-ea"/>
                    <a:cs typeface="+mn-cs"/>
                  </a:rPr>
                  <a:t>, para la producción de biogás.</a:t>
                </a:r>
                <a:endParaRPr lang="es-ES" sz="1200" b="1" baseline="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MX" sz="1200">
                    <a:solidFill>
                      <a:schemeClr val="tx1"/>
                    </a:solidFill>
                    <a:effectLst/>
                    <a:latin typeface="+mn-lt"/>
                    <a:ea typeface="+mn-ea"/>
                    <a:cs typeface="+mn-cs"/>
                  </a:rPr>
                  <a:t>La estimación de las emisiones de GEI de este módulo se reflejarán como las emisiones evitadas resultado de la implementación de buenas </a:t>
                </a:r>
                <a:r>
                  <a:rPr lang="es-MX" sz="1200" b="1" baseline="0">
                    <a:solidFill>
                      <a:schemeClr val="accent2">
                        <a:lumMod val="75000"/>
                      </a:schemeClr>
                    </a:solidFill>
                    <a:effectLst/>
                    <a:latin typeface="+mn-lt"/>
                    <a:ea typeface="+mn-ea"/>
                    <a:cs typeface="+mn-cs"/>
                  </a:rPr>
                  <a:t>prácticas sostenibles en suelos ganaderos </a:t>
                </a:r>
                <a:r>
                  <a:rPr lang="es-MX" sz="1200">
                    <a:solidFill>
                      <a:schemeClr val="tx1"/>
                    </a:solidFill>
                    <a:effectLst/>
                    <a:latin typeface="+mn-lt"/>
                    <a:ea typeface="+mn-ea"/>
                    <a:cs typeface="+mn-cs"/>
                  </a:rPr>
                  <a:t>que contribuyan a mejorar el aprovechamiento del suelo dedicado a la ganadería.</a:t>
                </a:r>
                <a:endParaRPr lang="es-ES" sz="12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S" sz="1100" b="1" baseline="0">
                  <a:solidFill>
                    <a:schemeClr val="accent2">
                      <a:lumMod val="75000"/>
                    </a:schemeClr>
                  </a:solidFill>
                  <a:effectLst/>
                  <a:latin typeface="+mn-lt"/>
                  <a:ea typeface="+mn-ea"/>
                  <a:cs typeface="+mn-cs"/>
                </a:endParaRPr>
              </a:p>
            </xdr:txBody>
          </xdr:sp>
        </xdr:grpSp>
        <xdr:sp macro="" textlink="">
          <xdr:nvSpPr>
            <xdr:cNvPr id="12129" name="CuadroTexto 351">
              <a:extLst>
                <a:ext uri="{FF2B5EF4-FFF2-40B4-BE49-F238E27FC236}">
                  <a16:creationId xmlns:a16="http://schemas.microsoft.com/office/drawing/2014/main" id="{00000000-0008-0000-0300-0000612F0000}"/>
                </a:ext>
              </a:extLst>
            </xdr:cNvPr>
            <xdr:cNvSpPr txBox="1"/>
          </xdr:nvSpPr>
          <xdr:spPr>
            <a:xfrm rot="16200000">
              <a:off x="1719429" y="30898088"/>
              <a:ext cx="122322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GANADERÍA</a:t>
              </a:r>
            </a:p>
          </xdr:txBody>
        </xdr:sp>
      </xdr:grpSp>
      <xdr:pic>
        <xdr:nvPicPr>
          <xdr:cNvPr id="12130" name="Gráfico 185" descr="Vaca con relleno sólido">
            <a:extLst>
              <a:ext uri="{FF2B5EF4-FFF2-40B4-BE49-F238E27FC236}">
                <a16:creationId xmlns:a16="http://schemas.microsoft.com/office/drawing/2014/main" id="{00000000-0008-0000-0300-0000622F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01475" y="44140753"/>
            <a:ext cx="1045846" cy="1147336"/>
          </a:xfrm>
          <a:prstGeom prst="rect">
            <a:avLst/>
          </a:prstGeom>
        </xdr:spPr>
      </xdr:pic>
    </xdr:grpSp>
    <xdr:clientData/>
  </xdr:twoCellAnchor>
  <xdr:twoCellAnchor>
    <xdr:from>
      <xdr:col>1</xdr:col>
      <xdr:colOff>723899</xdr:colOff>
      <xdr:row>205</xdr:row>
      <xdr:rowOff>94078</xdr:rowOff>
    </xdr:from>
    <xdr:to>
      <xdr:col>16</xdr:col>
      <xdr:colOff>332020</xdr:colOff>
      <xdr:row>213</xdr:row>
      <xdr:rowOff>163286</xdr:rowOff>
    </xdr:to>
    <xdr:grpSp>
      <xdr:nvGrpSpPr>
        <xdr:cNvPr id="126" name="Grupo 125">
          <a:extLst>
            <a:ext uri="{FF2B5EF4-FFF2-40B4-BE49-F238E27FC236}">
              <a16:creationId xmlns:a16="http://schemas.microsoft.com/office/drawing/2014/main" id="{00000000-0008-0000-0300-00007E000000}"/>
            </a:ext>
          </a:extLst>
        </xdr:cNvPr>
        <xdr:cNvGrpSpPr/>
      </xdr:nvGrpSpPr>
      <xdr:grpSpPr>
        <a:xfrm>
          <a:off x="2105024" y="39813328"/>
          <a:ext cx="11038121" cy="1593208"/>
          <a:chOff x="2105024" y="38420297"/>
          <a:chExt cx="11038121" cy="1593208"/>
        </a:xfrm>
      </xdr:grpSpPr>
      <xdr:grpSp>
        <xdr:nvGrpSpPr>
          <xdr:cNvPr id="12100" name="Grupo 325">
            <a:extLst>
              <a:ext uri="{FF2B5EF4-FFF2-40B4-BE49-F238E27FC236}">
                <a16:creationId xmlns:a16="http://schemas.microsoft.com/office/drawing/2014/main" id="{00000000-0008-0000-0300-0000442F0000}"/>
              </a:ext>
            </a:extLst>
          </xdr:cNvPr>
          <xdr:cNvGrpSpPr/>
        </xdr:nvGrpSpPr>
        <xdr:grpSpPr>
          <a:xfrm>
            <a:off x="2105024" y="38420297"/>
            <a:ext cx="11038121" cy="1593208"/>
            <a:chOff x="2143124" y="30297078"/>
            <a:chExt cx="11038121" cy="1450956"/>
          </a:xfrm>
        </xdr:grpSpPr>
        <xdr:grpSp>
          <xdr:nvGrpSpPr>
            <xdr:cNvPr id="12101" name="Grupo 326">
              <a:extLst>
                <a:ext uri="{FF2B5EF4-FFF2-40B4-BE49-F238E27FC236}">
                  <a16:creationId xmlns:a16="http://schemas.microsoft.com/office/drawing/2014/main" id="{00000000-0008-0000-0300-0000452F0000}"/>
                </a:ext>
              </a:extLst>
            </xdr:cNvPr>
            <xdr:cNvGrpSpPr/>
          </xdr:nvGrpSpPr>
          <xdr:grpSpPr>
            <a:xfrm>
              <a:off x="2143124" y="30297078"/>
              <a:ext cx="11038121" cy="1450956"/>
              <a:chOff x="2171699" y="29954178"/>
              <a:chExt cx="11038121" cy="1450956"/>
            </a:xfrm>
          </xdr:grpSpPr>
          <xdr:sp macro="" textlink="">
            <xdr:nvSpPr>
              <xdr:cNvPr id="12102" name="Rectángulo: esquinas redondeadas 328">
                <a:extLst>
                  <a:ext uri="{FF2B5EF4-FFF2-40B4-BE49-F238E27FC236}">
                    <a16:creationId xmlns:a16="http://schemas.microsoft.com/office/drawing/2014/main" id="{00000000-0008-0000-0300-0000462F0000}"/>
                  </a:ext>
                </a:extLst>
              </xdr:cNvPr>
              <xdr:cNvSpPr/>
            </xdr:nvSpPr>
            <xdr:spPr>
              <a:xfrm>
                <a:off x="2171699" y="29975174"/>
                <a:ext cx="10591801" cy="13906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03" name="Diagrama de flujo: conector 331">
                <a:extLst>
                  <a:ext uri="{FF2B5EF4-FFF2-40B4-BE49-F238E27FC236}">
                    <a16:creationId xmlns:a16="http://schemas.microsoft.com/office/drawing/2014/main" id="{00000000-0008-0000-0300-0000472F0000}"/>
                  </a:ext>
                </a:extLst>
              </xdr:cNvPr>
              <xdr:cNvSpPr/>
            </xdr:nvSpPr>
            <xdr:spPr>
              <a:xfrm>
                <a:off x="11661820" y="29981300"/>
                <a:ext cx="1548000" cy="1409785"/>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00</a:t>
                </a:r>
              </a:p>
            </xdr:txBody>
          </xdr:sp>
          <xdr:sp macro="" textlink="">
            <xdr:nvSpPr>
              <xdr:cNvPr id="12104" name="CuadroTexto 330">
                <a:extLst>
                  <a:ext uri="{FF2B5EF4-FFF2-40B4-BE49-F238E27FC236}">
                    <a16:creationId xmlns:a16="http://schemas.microsoft.com/office/drawing/2014/main" id="{00000000-0008-0000-0300-0000482F0000}"/>
                  </a:ext>
                </a:extLst>
              </xdr:cNvPr>
              <xdr:cNvSpPr txBox="1"/>
            </xdr:nvSpPr>
            <xdr:spPr>
              <a:xfrm>
                <a:off x="2705098" y="29954178"/>
                <a:ext cx="8658227" cy="14509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effectLst/>
                  </a:rPr>
                  <a:t>El sector edificaciones es dividido en 5 subsectores: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acondicionamiento de espacios y Iluminación, refrigeración, cocción y otros usos </a:t>
                </a:r>
                <a:r>
                  <a:rPr lang="es-ES" sz="1200">
                    <a:effectLst/>
                  </a:rPr>
                  <a:t>para las </a:t>
                </a:r>
                <a:r>
                  <a:rPr lang="es-ES" sz="1200" u="sng">
                    <a:effectLst/>
                  </a:rPr>
                  <a:t>edificaciones residenciales</a:t>
                </a:r>
                <a:r>
                  <a:rPr lang="es-ES" sz="1200">
                    <a:effectLst/>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las edificaciones rurales, el acondicionamiento de espacios y los usos térmicos y de equipamiento</a:t>
                </a:r>
                <a:r>
                  <a:rPr lang="es-ES" sz="1200">
                    <a:effectLst/>
                  </a:rPr>
                  <a:t> de las </a:t>
                </a:r>
                <a:r>
                  <a:rPr lang="es-ES" sz="1200" u="sng">
                    <a:effectLst/>
                  </a:rPr>
                  <a:t>edificaciones comerciales y de servicios</a:t>
                </a:r>
                <a:r>
                  <a:rPr lang="es-ES" sz="1200">
                    <a:effectLst/>
                  </a:rPr>
                  <a:t>.</a:t>
                </a:r>
              </a:p>
              <a:p>
                <a:r>
                  <a:rPr lang="es-ES" sz="1200">
                    <a:effectLst/>
                  </a:rPr>
                  <a:t>En este sector se contabiliza tanto el uso de electricidad como el de combustibles fósiles y de biocombustibles como la leña en las edificaciones residenciales rurales. Para el caso de la iluminación, refrigeración, cocción y otros usos, se incluye la autogeneración solar </a:t>
                </a:r>
                <a:r>
                  <a:rPr lang="es-ES" sz="1200" b="0">
                    <a:solidFill>
                      <a:sysClr val="windowText" lastClr="000000"/>
                    </a:solidFill>
                    <a:effectLst/>
                  </a:rPr>
                  <a:t>fotovoltaica, </a:t>
                </a:r>
                <a:r>
                  <a:rPr kumimoji="0" lang="es-ES" sz="1200" b="0" i="0" u="none" strike="noStrike" kern="0" cap="none" spc="0" normalizeH="0" baseline="0">
                    <a:ln>
                      <a:noFill/>
                    </a:ln>
                    <a:solidFill>
                      <a:sysClr val="windowText" lastClr="000000"/>
                    </a:solidFill>
                    <a:effectLst/>
                    <a:uLnTx/>
                    <a:uFillTx/>
                    <a:latin typeface="+mn-lt"/>
                    <a:ea typeface="+mn-ea"/>
                    <a:cs typeface="+mn-cs"/>
                  </a:rPr>
                  <a:t>c</a:t>
                </a:r>
                <a:r>
                  <a:rPr lang="es-ES" sz="1200" b="0">
                    <a:solidFill>
                      <a:sysClr val="windowText" lastClr="000000"/>
                    </a:solidFill>
                    <a:effectLst/>
                  </a:rPr>
                  <a:t>omo </a:t>
                </a:r>
                <a:r>
                  <a:rPr lang="es-ES" sz="1200">
                    <a:effectLst/>
                  </a:rPr>
                  <a:t>modo de autoabastecimiento eléctrico, que en caso de generar excesos eléctricos son inyectados a la red. y serán incluidos en el subsector de autogeneración dentro del sector electricidad.</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12105" name="CuadroTexto 327">
              <a:extLst>
                <a:ext uri="{FF2B5EF4-FFF2-40B4-BE49-F238E27FC236}">
                  <a16:creationId xmlns:a16="http://schemas.microsoft.com/office/drawing/2014/main" id="{00000000-0008-0000-0300-0000492F0000}"/>
                </a:ext>
              </a:extLst>
            </xdr:cNvPr>
            <xdr:cNvSpPr txBox="1"/>
          </xdr:nvSpPr>
          <xdr:spPr>
            <a:xfrm rot="16200000">
              <a:off x="1673903" y="30831414"/>
              <a:ext cx="13523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EDIFICACIONES</a:t>
              </a:r>
              <a:endParaRPr lang="es-ES" sz="1500" b="1">
                <a:solidFill>
                  <a:schemeClr val="accent2">
                    <a:lumMod val="75000"/>
                  </a:schemeClr>
                </a:solidFill>
              </a:endParaRPr>
            </a:p>
          </xdr:txBody>
        </xdr:sp>
      </xdr:grpSp>
      <xdr:pic>
        <xdr:nvPicPr>
          <xdr:cNvPr id="12099" name="Gráfico 183" descr="Escena suburbana con relleno sólido">
            <a:extLst>
              <a:ext uri="{FF2B5EF4-FFF2-40B4-BE49-F238E27FC236}">
                <a16:creationId xmlns:a16="http://schemas.microsoft.com/office/drawing/2014/main" id="{00000000-0008-0000-0300-0000432F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806030" y="38626335"/>
            <a:ext cx="1073246" cy="1161021"/>
          </a:xfrm>
          <a:prstGeom prst="rect">
            <a:avLst/>
          </a:prstGeom>
        </xdr:spPr>
      </xdr:pic>
    </xdr:grpSp>
    <xdr:clientData/>
  </xdr:twoCellAnchor>
  <xdr:twoCellAnchor>
    <xdr:from>
      <xdr:col>1</xdr:col>
      <xdr:colOff>676274</xdr:colOff>
      <xdr:row>195</xdr:row>
      <xdr:rowOff>161958</xdr:rowOff>
    </xdr:from>
    <xdr:to>
      <xdr:col>16</xdr:col>
      <xdr:colOff>300225</xdr:colOff>
      <xdr:row>203</xdr:row>
      <xdr:rowOff>185960</xdr:rowOff>
    </xdr:to>
    <xdr:grpSp>
      <xdr:nvGrpSpPr>
        <xdr:cNvPr id="124" name="Grupo 123">
          <a:extLst>
            <a:ext uri="{FF2B5EF4-FFF2-40B4-BE49-F238E27FC236}">
              <a16:creationId xmlns:a16="http://schemas.microsoft.com/office/drawing/2014/main" id="{00000000-0008-0000-0300-00007C000000}"/>
            </a:ext>
          </a:extLst>
        </xdr:cNvPr>
        <xdr:cNvGrpSpPr/>
      </xdr:nvGrpSpPr>
      <xdr:grpSpPr>
        <a:xfrm>
          <a:off x="2057399" y="37976208"/>
          <a:ext cx="11053951" cy="1548002"/>
          <a:chOff x="2057399" y="36583177"/>
          <a:chExt cx="11053951" cy="1548002"/>
        </a:xfrm>
      </xdr:grpSpPr>
      <xdr:grpSp>
        <xdr:nvGrpSpPr>
          <xdr:cNvPr id="12057" name="Grupo 317">
            <a:extLst>
              <a:ext uri="{FF2B5EF4-FFF2-40B4-BE49-F238E27FC236}">
                <a16:creationId xmlns:a16="http://schemas.microsoft.com/office/drawing/2014/main" id="{00000000-0008-0000-0300-0000192F0000}"/>
              </a:ext>
            </a:extLst>
          </xdr:cNvPr>
          <xdr:cNvGrpSpPr/>
        </xdr:nvGrpSpPr>
        <xdr:grpSpPr>
          <a:xfrm>
            <a:off x="2057399" y="36583177"/>
            <a:ext cx="11053951" cy="1548002"/>
            <a:chOff x="2143124" y="30156090"/>
            <a:chExt cx="11053951" cy="1419822"/>
          </a:xfrm>
        </xdr:grpSpPr>
        <xdr:grpSp>
          <xdr:nvGrpSpPr>
            <xdr:cNvPr id="12058" name="Grupo 318">
              <a:extLst>
                <a:ext uri="{FF2B5EF4-FFF2-40B4-BE49-F238E27FC236}">
                  <a16:creationId xmlns:a16="http://schemas.microsoft.com/office/drawing/2014/main" id="{00000000-0008-0000-0300-00001A2F0000}"/>
                </a:ext>
              </a:extLst>
            </xdr:cNvPr>
            <xdr:cNvGrpSpPr/>
          </xdr:nvGrpSpPr>
          <xdr:grpSpPr>
            <a:xfrm>
              <a:off x="2143124" y="30156090"/>
              <a:ext cx="11053951" cy="1419822"/>
              <a:chOff x="2171699" y="29813190"/>
              <a:chExt cx="11053951" cy="1419822"/>
            </a:xfrm>
          </xdr:grpSpPr>
          <xdr:sp macro="" textlink="">
            <xdr:nvSpPr>
              <xdr:cNvPr id="12059" name="Rectángulo: esquinas redondeadas 320">
                <a:extLst>
                  <a:ext uri="{FF2B5EF4-FFF2-40B4-BE49-F238E27FC236}">
                    <a16:creationId xmlns:a16="http://schemas.microsoft.com/office/drawing/2014/main" id="{00000000-0008-0000-0300-00001B2F0000}"/>
                  </a:ext>
                </a:extLst>
              </xdr:cNvPr>
              <xdr:cNvSpPr/>
            </xdr:nvSpPr>
            <xdr:spPr>
              <a:xfrm>
                <a:off x="2171699" y="299751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060" name="Diagrama de flujo: conector 323">
                <a:extLst>
                  <a:ext uri="{FF2B5EF4-FFF2-40B4-BE49-F238E27FC236}">
                    <a16:creationId xmlns:a16="http://schemas.microsoft.com/office/drawing/2014/main" id="{00000000-0008-0000-0300-00001C2F0000}"/>
                  </a:ext>
                </a:extLst>
              </xdr:cNvPr>
              <xdr:cNvSpPr/>
            </xdr:nvSpPr>
            <xdr:spPr>
              <a:xfrm>
                <a:off x="11677650" y="29813190"/>
                <a:ext cx="1548000" cy="1419822"/>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061" name="CuadroTexto 322">
                <a:extLst>
                  <a:ext uri="{FF2B5EF4-FFF2-40B4-BE49-F238E27FC236}">
                    <a16:creationId xmlns:a16="http://schemas.microsoft.com/office/drawing/2014/main" id="{00000000-0008-0000-0300-00001D2F0000}"/>
                  </a:ext>
                </a:extLst>
              </xdr:cNvPr>
              <xdr:cNvSpPr txBox="1"/>
            </xdr:nvSpPr>
            <xdr:spPr>
              <a:xfrm>
                <a:off x="2705099" y="29963022"/>
                <a:ext cx="8667751" cy="1267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b="0" i="0" u="none" strike="noStrike">
                    <a:solidFill>
                      <a:schemeClr val="bg2">
                        <a:lumMod val="25000"/>
                      </a:schemeClr>
                    </a:solidFill>
                    <a:effectLst/>
                    <a:latin typeface="+mn-lt"/>
                    <a:ea typeface="+mn-ea"/>
                    <a:cs typeface="+mn-cs"/>
                  </a:rPr>
                  <a:t>Se basa en la gestión de los residuos generados en Colombia. Este sector cuenta con dos subsectores,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residuos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sólidos</a:t>
                </a:r>
                <a:r>
                  <a:rPr lang="es-ES" sz="1200" b="0" i="0" u="none" strike="noStrike">
                    <a:solidFill>
                      <a:schemeClr val="bg2">
                        <a:lumMod val="25000"/>
                      </a:schemeClr>
                    </a:solidFill>
                    <a:effectLst/>
                    <a:latin typeface="+mn-lt"/>
                    <a:ea typeface="+mn-ea"/>
                    <a:cs typeface="+mn-cs"/>
                  </a:rPr>
                  <a:t> y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aguas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residuales</a:t>
                </a:r>
                <a:r>
                  <a:rPr lang="es-ES" sz="1200" b="0" i="0" u="none" strike="noStrike">
                    <a:solidFill>
                      <a:schemeClr val="bg2">
                        <a:lumMod val="25000"/>
                      </a:schemeClr>
                    </a:solidFill>
                    <a:effectLst/>
                    <a:latin typeface="+mn-lt"/>
                    <a:ea typeface="+mn-ea"/>
                    <a:cs typeface="+mn-cs"/>
                  </a:rPr>
                  <a:t>, en cada uno de ellos se especifican los diferentes tipos de gestión existentes en el país. </a:t>
                </a:r>
              </a:p>
              <a:p>
                <a:r>
                  <a:rPr lang="es-ES" sz="1200" b="0" i="0" u="none" strike="noStrike">
                    <a:solidFill>
                      <a:schemeClr val="bg2">
                        <a:lumMod val="25000"/>
                      </a:schemeClr>
                    </a:solidFill>
                    <a:effectLst/>
                    <a:latin typeface="+mn-lt"/>
                    <a:ea typeface="+mn-ea"/>
                    <a:cs typeface="+mn-cs"/>
                  </a:rPr>
                  <a:t>El sector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residuos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sólidos</a:t>
                </a:r>
                <a:r>
                  <a:rPr lang="es-ES" sz="1200" b="0" i="0" u="none" strike="noStrike">
                    <a:solidFill>
                      <a:schemeClr val="bg2">
                        <a:lumMod val="25000"/>
                      </a:schemeClr>
                    </a:solidFill>
                    <a:effectLst/>
                    <a:latin typeface="+mn-lt"/>
                    <a:ea typeface="+mn-ea"/>
                    <a:cs typeface="+mn-cs"/>
                  </a:rPr>
                  <a:t> cuenta con los siguientes tipos de gestión: Disposición final en relleno sanitario, celda de contingencia, incineración, tratamiento mecánico-biológico, reciclado. </a:t>
                </a:r>
              </a:p>
              <a:p>
                <a:r>
                  <a:rPr lang="es-ES" sz="1200" b="0" i="0" u="none" strike="noStrike">
                    <a:solidFill>
                      <a:schemeClr val="bg2">
                        <a:lumMod val="25000"/>
                      </a:schemeClr>
                    </a:solidFill>
                    <a:effectLst/>
                    <a:latin typeface="+mn-lt"/>
                    <a:ea typeface="+mn-ea"/>
                    <a:cs typeface="+mn-cs"/>
                  </a:rPr>
                  <a:t>En cuanto al subsector de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aguas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residuales</a:t>
                </a:r>
                <a:r>
                  <a:rPr lang="es-ES" sz="1200" b="0" i="0" u="none" strike="noStrike">
                    <a:solidFill>
                      <a:schemeClr val="bg2">
                        <a:lumMod val="25000"/>
                      </a:schemeClr>
                    </a:solidFill>
                    <a:effectLst/>
                    <a:latin typeface="+mn-lt"/>
                    <a:ea typeface="+mn-ea"/>
                    <a:cs typeface="+mn-cs"/>
                  </a:rPr>
                  <a:t> se dividen en aguas residuales domésticas y aguas residuales industriales. Se diferencias las estaciones con extracción y aprovechamiento de biogás y las que no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cuentan</a:t>
                </a:r>
                <a:r>
                  <a:rPr lang="es-ES" sz="1200" b="0" i="0" u="none" strike="noStrike">
                    <a:solidFill>
                      <a:schemeClr val="bg2">
                        <a:lumMod val="25000"/>
                      </a:schemeClr>
                    </a:solidFill>
                    <a:effectLst/>
                    <a:latin typeface="+mn-lt"/>
                    <a:ea typeface="+mn-ea"/>
                    <a:cs typeface="+mn-cs"/>
                  </a:rPr>
                  <a:t> con estos sistemas.</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12062" name="CuadroTexto 319">
              <a:extLst>
                <a:ext uri="{FF2B5EF4-FFF2-40B4-BE49-F238E27FC236}">
                  <a16:creationId xmlns:a16="http://schemas.microsoft.com/office/drawing/2014/main" id="{00000000-0008-0000-0300-00001E2F0000}"/>
                </a:ext>
              </a:extLst>
            </xdr:cNvPr>
            <xdr:cNvSpPr txBox="1"/>
          </xdr:nvSpPr>
          <xdr:spPr>
            <a:xfrm rot="16200000">
              <a:off x="1834083" y="30726638"/>
              <a:ext cx="105105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600" b="1">
                  <a:solidFill>
                    <a:schemeClr val="accent2">
                      <a:lumMod val="75000"/>
                    </a:schemeClr>
                  </a:solidFill>
                </a:rPr>
                <a:t>RESIDUOS</a:t>
              </a:r>
            </a:p>
          </xdr:txBody>
        </xdr:sp>
      </xdr:grpSp>
      <xdr:pic>
        <xdr:nvPicPr>
          <xdr:cNvPr id="11930" name="Gráfico 180" descr="Basura con relleno sólido">
            <a:extLst>
              <a:ext uri="{FF2B5EF4-FFF2-40B4-BE49-F238E27FC236}">
                <a16:creationId xmlns:a16="http://schemas.microsoft.com/office/drawing/2014/main" id="{00000000-0008-0000-0300-00009A2E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762398" y="36802219"/>
            <a:ext cx="1188000" cy="1107539"/>
          </a:xfrm>
          <a:prstGeom prst="rect">
            <a:avLst/>
          </a:prstGeom>
        </xdr:spPr>
      </xdr:pic>
    </xdr:grpSp>
    <xdr:clientData/>
  </xdr:twoCellAnchor>
  <xdr:twoCellAnchor>
    <xdr:from>
      <xdr:col>1</xdr:col>
      <xdr:colOff>704849</xdr:colOff>
      <xdr:row>187</xdr:row>
      <xdr:rowOff>19050</xdr:rowOff>
    </xdr:from>
    <xdr:to>
      <xdr:col>16</xdr:col>
      <xdr:colOff>309750</xdr:colOff>
      <xdr:row>195</xdr:row>
      <xdr:rowOff>33525</xdr:rowOff>
    </xdr:to>
    <xdr:grpSp>
      <xdr:nvGrpSpPr>
        <xdr:cNvPr id="12303" name="Grupo 81">
          <a:extLst>
            <a:ext uri="{FF2B5EF4-FFF2-40B4-BE49-F238E27FC236}">
              <a16:creationId xmlns:a16="http://schemas.microsoft.com/office/drawing/2014/main" id="{00000000-0008-0000-0300-00000F300000}"/>
            </a:ext>
          </a:extLst>
        </xdr:cNvPr>
        <xdr:cNvGrpSpPr/>
      </xdr:nvGrpSpPr>
      <xdr:grpSpPr>
        <a:xfrm>
          <a:off x="2085974" y="36273581"/>
          <a:ext cx="11034901" cy="1574194"/>
          <a:chOff x="2114549" y="33375600"/>
          <a:chExt cx="11034901" cy="1548000"/>
        </a:xfrm>
      </xdr:grpSpPr>
      <xdr:sp macro="" textlink="">
        <xdr:nvSpPr>
          <xdr:cNvPr id="12304" name="Rectángulo: esquinas redondeadas 283">
            <a:extLst>
              <a:ext uri="{FF2B5EF4-FFF2-40B4-BE49-F238E27FC236}">
                <a16:creationId xmlns:a16="http://schemas.microsoft.com/office/drawing/2014/main" id="{00000000-0008-0000-0300-000010300000}"/>
              </a:ext>
            </a:extLst>
          </xdr:cNvPr>
          <xdr:cNvSpPr/>
        </xdr:nvSpPr>
        <xdr:spPr>
          <a:xfrm>
            <a:off x="2114549" y="33547049"/>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05" name="Diagrama de flujo: conector 165">
            <a:extLst>
              <a:ext uri="{FF2B5EF4-FFF2-40B4-BE49-F238E27FC236}">
                <a16:creationId xmlns:a16="http://schemas.microsoft.com/office/drawing/2014/main" id="{00000000-0008-0000-0300-000011300000}"/>
              </a:ext>
            </a:extLst>
          </xdr:cNvPr>
          <xdr:cNvSpPr/>
        </xdr:nvSpPr>
        <xdr:spPr>
          <a:xfrm>
            <a:off x="11601450" y="33375600"/>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06" name="CuadroTexto 284">
            <a:extLst>
              <a:ext uri="{FF2B5EF4-FFF2-40B4-BE49-F238E27FC236}">
                <a16:creationId xmlns:a16="http://schemas.microsoft.com/office/drawing/2014/main" id="{00000000-0008-0000-0300-000012300000}"/>
              </a:ext>
            </a:extLst>
          </xdr:cNvPr>
          <xdr:cNvSpPr txBox="1"/>
        </xdr:nvSpPr>
        <xdr:spPr>
          <a:xfrm>
            <a:off x="2647949" y="33636871"/>
            <a:ext cx="8296275" cy="1226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just"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prstClr val="black"/>
                </a:solidFill>
                <a:effectLst/>
                <a:uLnTx/>
                <a:uFillTx/>
                <a:latin typeface="+mn-lt"/>
                <a:ea typeface="+mn-ea"/>
                <a:cs typeface="+mn-cs"/>
              </a:rPr>
              <a:t>El sector industria se centra en la producción de materiales y los consumos energéticos y eléctricos de</a:t>
            </a:r>
            <a:r>
              <a:rPr kumimoji="0" lang="es-MX" sz="1200" b="0" i="0" u="none" strike="noStrike" kern="0" cap="none" spc="0" normalizeH="0" baseline="0" noProof="0">
                <a:ln>
                  <a:noFill/>
                </a:ln>
                <a:solidFill>
                  <a:prstClr val="black"/>
                </a:solidFill>
                <a:effectLst/>
                <a:uLnTx/>
                <a:uFillTx/>
                <a:latin typeface="+mn-lt"/>
                <a:ea typeface="+mn-ea"/>
                <a:cs typeface="+mn-cs"/>
              </a:rPr>
              <a:t> los sectores industriales con mayor contribución de Gases de Efecto Invernadero, considerando el </a:t>
            </a:r>
            <a:r>
              <a:rPr kumimoji="0" lang="es-MX" sz="1200" b="1" i="0" u="none" strike="noStrike" kern="0" cap="none" spc="0" normalizeH="0" baseline="0" noProof="0">
                <a:ln>
                  <a:noFill/>
                </a:ln>
                <a:solidFill>
                  <a:srgbClr val="ED7D31">
                    <a:lumMod val="75000"/>
                  </a:srgbClr>
                </a:solidFill>
                <a:effectLst/>
                <a:uLnTx/>
                <a:uFillTx/>
                <a:latin typeface="+mn-lt"/>
                <a:ea typeface="+mn-ea"/>
                <a:cs typeface="+mn-cs"/>
              </a:rPr>
              <a:t>crecimiento de cada industria </a:t>
            </a:r>
            <a:r>
              <a:rPr kumimoji="0" lang="es-MX" sz="1200" b="0" i="0" u="none" strike="noStrike" kern="0" cap="none" spc="0" normalizeH="0" baseline="0" noProof="0">
                <a:ln>
                  <a:noFill/>
                </a:ln>
                <a:solidFill>
                  <a:prstClr val="black"/>
                </a:solidFill>
                <a:effectLst/>
                <a:uLnTx/>
                <a:uFillTx/>
                <a:latin typeface="+mn-lt"/>
                <a:ea typeface="+mn-ea"/>
                <a:cs typeface="+mn-cs"/>
              </a:rPr>
              <a:t>y la </a:t>
            </a:r>
            <a:r>
              <a:rPr kumimoji="0" lang="es-MX" sz="1200" b="1" i="0" u="none" strike="noStrike" kern="0" cap="none" spc="0" normalizeH="0" baseline="0" noProof="0">
                <a:ln>
                  <a:noFill/>
                </a:ln>
                <a:solidFill>
                  <a:srgbClr val="ED7D31">
                    <a:lumMod val="75000"/>
                  </a:srgbClr>
                </a:solidFill>
                <a:effectLst/>
                <a:uLnTx/>
                <a:uFillTx/>
                <a:latin typeface="+mn-lt"/>
                <a:ea typeface="+mn-ea"/>
                <a:cs typeface="+mn-cs"/>
              </a:rPr>
              <a:t>energía consumida por tipo de combustible</a:t>
            </a:r>
            <a:r>
              <a:rPr kumimoji="0" lang="es-MX" sz="1200" b="0" i="0" u="none" strike="noStrike" kern="0" cap="none" spc="0" normalizeH="0" baseline="0" noProof="0">
                <a:ln>
                  <a:noFill/>
                </a:ln>
                <a:solidFill>
                  <a:prstClr val="black"/>
                </a:solidFill>
                <a:effectLst/>
                <a:uLnTx/>
                <a:uFillTx/>
                <a:latin typeface="+mn-lt"/>
                <a:ea typeface="+mn-ea"/>
                <a:cs typeface="+mn-cs"/>
              </a:rPr>
              <a:t>. </a:t>
            </a:r>
            <a:r>
              <a:rPr kumimoji="0" lang="es-MX" sz="1200" b="0" i="0" u="none" strike="noStrike" kern="0" cap="none" spc="0" normalizeH="0" baseline="0" noProof="0">
                <a:ln>
                  <a:noFill/>
                </a:ln>
                <a:solidFill>
                  <a:sysClr val="windowText" lastClr="000000"/>
                </a:solidFill>
                <a:effectLst/>
                <a:uLnTx/>
                <a:uFillTx/>
                <a:latin typeface="+mn-lt"/>
                <a:ea typeface="+mn-ea"/>
                <a:cs typeface="+mn-cs"/>
              </a:rPr>
              <a:t>Para este módulo se integran la mejora de la eficiencia energética y optimización de los procesos industriales, así como el aprovechamiento de los residuos valorizables y  la sustitución de gases refrigerantes del sector por otros de menor  o nula contribución al cambio climático. </a:t>
            </a:r>
          </a:p>
          <a:p>
            <a:pPr marL="0" marR="0" lvl="0" indent="0" algn="just" defTabSz="914400" eaLnBrk="1" fontAlgn="auto" latinLnBrk="0" hangingPunct="1">
              <a:lnSpc>
                <a:spcPct val="100000"/>
              </a:lnSpc>
              <a:spcBef>
                <a:spcPts val="0"/>
              </a:spcBef>
              <a:spcAft>
                <a:spcPts val="0"/>
              </a:spcAft>
              <a:buClrTx/>
              <a:buSzTx/>
              <a:buFontTx/>
              <a:buNone/>
              <a:tabLst/>
              <a:defRPr/>
            </a:pPr>
            <a:r>
              <a:rPr kumimoji="0" lang="es-MX" sz="1000" b="0" i="1" u="none" strike="noStrike" kern="0" cap="none" spc="0" normalizeH="0" baseline="0" noProof="0">
                <a:ln>
                  <a:noFill/>
                </a:ln>
                <a:solidFill>
                  <a:sysClr val="windowText" lastClr="000000"/>
                </a:solidFill>
                <a:effectLst/>
                <a:uLnTx/>
                <a:uFillTx/>
                <a:latin typeface="+mn-lt"/>
                <a:ea typeface="+mn-ea"/>
                <a:cs typeface="+mn-cs"/>
              </a:rPr>
              <a:t>*Las emisiones asociadas al consumo eléctrico son imputadas al módulo de Energía - Electricidad y Autogeneración </a:t>
            </a:r>
            <a:endParaRPr kumimoji="0" lang="es-ES" sz="1000" b="0" i="1" u="none" strike="noStrike" kern="0" cap="none" spc="0" normalizeH="0" baseline="0" noProof="0">
              <a:ln>
                <a:noFill/>
              </a:ln>
              <a:solidFill>
                <a:sysClr val="windowText" lastClr="000000"/>
              </a:solidFill>
              <a:effectLst/>
              <a:uLnTx/>
              <a:uFillTx/>
              <a:latin typeface="+mn-lt"/>
              <a:ea typeface="+mn-ea"/>
              <a:cs typeface="+mn-cs"/>
            </a:endParaRPr>
          </a:p>
        </xdr:txBody>
      </xdr:sp>
      <xdr:sp macro="" textlink="">
        <xdr:nvSpPr>
          <xdr:cNvPr id="12307" name="CuadroTexto 286">
            <a:extLst>
              <a:ext uri="{FF2B5EF4-FFF2-40B4-BE49-F238E27FC236}">
                <a16:creationId xmlns:a16="http://schemas.microsoft.com/office/drawing/2014/main" id="{00000000-0008-0000-0300-000013300000}"/>
              </a:ext>
            </a:extLst>
          </xdr:cNvPr>
          <xdr:cNvSpPr txBox="1"/>
        </xdr:nvSpPr>
        <xdr:spPr>
          <a:xfrm rot="16200000">
            <a:off x="1765563" y="33984188"/>
            <a:ext cx="113095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ES" sz="1600" b="1">
                <a:solidFill>
                  <a:schemeClr val="accent2">
                    <a:lumMod val="75000"/>
                  </a:schemeClr>
                </a:solidFill>
              </a:rPr>
              <a:t>INDUSTRIA</a:t>
            </a:r>
          </a:p>
        </xdr:txBody>
      </xdr:sp>
    </xdr:grpSp>
    <xdr:clientData/>
  </xdr:twoCellAnchor>
  <xdr:twoCellAnchor editAs="oneCell">
    <xdr:from>
      <xdr:col>14</xdr:col>
      <xdr:colOff>494265</xdr:colOff>
      <xdr:row>187</xdr:row>
      <xdr:rowOff>176725</xdr:rowOff>
    </xdr:from>
    <xdr:to>
      <xdr:col>16</xdr:col>
      <xdr:colOff>208599</xdr:colOff>
      <xdr:row>193</xdr:row>
      <xdr:rowOff>179070</xdr:rowOff>
    </xdr:to>
    <xdr:pic>
      <xdr:nvPicPr>
        <xdr:cNvPr id="11917" name="Gráfico 181" descr="Producción con relleno sólido">
          <a:extLst>
            <a:ext uri="{FF2B5EF4-FFF2-40B4-BE49-F238E27FC236}">
              <a16:creationId xmlns:a16="http://schemas.microsoft.com/office/drawing/2014/main" id="{00000000-0008-0000-0300-00008D2E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781390" y="34847725"/>
          <a:ext cx="1284054" cy="1137725"/>
        </a:xfrm>
        <a:prstGeom prst="rect">
          <a:avLst/>
        </a:prstGeom>
      </xdr:spPr>
    </xdr:pic>
    <xdr:clientData/>
  </xdr:twoCellAnchor>
  <xdr:twoCellAnchor>
    <xdr:from>
      <xdr:col>1</xdr:col>
      <xdr:colOff>704850</xdr:colOff>
      <xdr:row>286</xdr:row>
      <xdr:rowOff>19050</xdr:rowOff>
    </xdr:from>
    <xdr:to>
      <xdr:col>16</xdr:col>
      <xdr:colOff>38100</xdr:colOff>
      <xdr:row>307</xdr:row>
      <xdr:rowOff>114300</xdr:rowOff>
    </xdr:to>
    <xdr:sp macro="" textlink="">
      <xdr:nvSpPr>
        <xdr:cNvPr id="167" name="Rectángulo 166">
          <a:extLst>
            <a:ext uri="{FF2B5EF4-FFF2-40B4-BE49-F238E27FC236}">
              <a16:creationId xmlns:a16="http://schemas.microsoft.com/office/drawing/2014/main" id="{00000000-0008-0000-0300-0000A7000000}"/>
            </a:ext>
          </a:extLst>
        </xdr:cNvPr>
        <xdr:cNvSpPr/>
      </xdr:nvSpPr>
      <xdr:spPr>
        <a:xfrm>
          <a:off x="2085975" y="53044725"/>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704850</xdr:colOff>
      <xdr:row>262</xdr:row>
      <xdr:rowOff>180975</xdr:rowOff>
    </xdr:from>
    <xdr:to>
      <xdr:col>16</xdr:col>
      <xdr:colOff>38100</xdr:colOff>
      <xdr:row>284</xdr:row>
      <xdr:rowOff>9525</xdr:rowOff>
    </xdr:to>
    <xdr:sp macro="" textlink="">
      <xdr:nvSpPr>
        <xdr:cNvPr id="166" name="Rectángulo 165">
          <a:extLst>
            <a:ext uri="{FF2B5EF4-FFF2-40B4-BE49-F238E27FC236}">
              <a16:creationId xmlns:a16="http://schemas.microsoft.com/office/drawing/2014/main" id="{00000000-0008-0000-0300-0000A6000000}"/>
            </a:ext>
          </a:extLst>
        </xdr:cNvPr>
        <xdr:cNvSpPr/>
      </xdr:nvSpPr>
      <xdr:spPr>
        <a:xfrm>
          <a:off x="2085975" y="485584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714374</xdr:colOff>
      <xdr:row>8</xdr:row>
      <xdr:rowOff>28575</xdr:rowOff>
    </xdr:from>
    <xdr:to>
      <xdr:col>11</xdr:col>
      <xdr:colOff>144531</xdr:colOff>
      <xdr:row>23</xdr:row>
      <xdr:rowOff>85725</xdr:rowOff>
    </xdr:to>
    <xdr:sp macro="" textlink="">
      <xdr:nvSpPr>
        <xdr:cNvPr id="4" name="Rectángulo 2">
          <a:extLst>
            <a:ext uri="{FF2B5EF4-FFF2-40B4-BE49-F238E27FC236}">
              <a16:creationId xmlns:a16="http://schemas.microsoft.com/office/drawing/2014/main" id="{00000000-0008-0000-0300-000004000000}"/>
            </a:ext>
          </a:extLst>
        </xdr:cNvPr>
        <xdr:cNvSpPr/>
      </xdr:nvSpPr>
      <xdr:spPr>
        <a:xfrm>
          <a:off x="2095499" y="1552575"/>
          <a:ext cx="7050157" cy="29146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s-ES" sz="1200" b="0" i="0">
              <a:solidFill>
                <a:sysClr val="windowText" lastClr="000000"/>
              </a:solidFill>
              <a:effectLst/>
              <a:latin typeface="+mn-lt"/>
              <a:ea typeface="+mn-ea"/>
              <a:cs typeface="+mn-cs"/>
            </a:rPr>
            <a:t>La </a:t>
          </a:r>
          <a:r>
            <a:rPr lang="es-ES" sz="1200" b="1" i="0">
              <a:solidFill>
                <a:schemeClr val="accent2">
                  <a:lumMod val="75000"/>
                </a:schemeClr>
              </a:solidFill>
              <a:effectLst/>
              <a:latin typeface="+mn-lt"/>
              <a:ea typeface="+mn-ea"/>
              <a:cs typeface="+mn-cs"/>
            </a:rPr>
            <a:t>Calculadora Colombiana de Carbono 2050 </a:t>
          </a:r>
          <a:r>
            <a:rPr lang="es-ES" sz="1200" b="0" i="0">
              <a:solidFill>
                <a:sysClr val="windowText" lastClr="000000"/>
              </a:solidFill>
              <a:effectLst/>
              <a:latin typeface="+mn-lt"/>
              <a:ea typeface="+mn-ea"/>
              <a:cs typeface="+mn-cs"/>
            </a:rPr>
            <a:t>es una herramienta de planeación y toma de decisiones que permite proyectar </a:t>
          </a:r>
          <a:r>
            <a:rPr lang="es-ES" sz="1200" b="1" i="0" u="sng">
              <a:solidFill>
                <a:schemeClr val="accent6">
                  <a:lumMod val="75000"/>
                </a:schemeClr>
              </a:solidFill>
              <a:effectLst/>
              <a:latin typeface="+mn-lt"/>
              <a:ea typeface="+mn-ea"/>
              <a:cs typeface="+mn-cs"/>
            </a:rPr>
            <a:t>cuatro posibles escenarios de mitigación </a:t>
          </a:r>
          <a:r>
            <a:rPr lang="es-ES" sz="1200" b="0" i="0">
              <a:solidFill>
                <a:sysClr val="windowText" lastClr="000000"/>
              </a:solidFill>
              <a:effectLst/>
              <a:latin typeface="+mn-lt"/>
              <a:ea typeface="+mn-ea"/>
              <a:cs typeface="+mn-cs"/>
            </a:rPr>
            <a:t>de gases de efecto invernadero (GEI) en sectores clave de la economía del país, considerando entre otras, el balance de la oferta y la demanda de energía.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Esta herramienta busca mostrar la reducción de las emisiones de GEI, asociada a una mayor independencia de los combustibles fósiles, fomentando el aprovechamiento de energías renovables, el ahorro y uso eficiente de la energía y conservación e incremento de la cobertura forestal, entre otra serie de actividades contempladas.</a:t>
          </a:r>
        </a:p>
        <a:p>
          <a:pPr fontAlgn="base"/>
          <a:r>
            <a:rPr lang="es-ES" sz="1200" b="0" i="0">
              <a:solidFill>
                <a:sysClr val="windowText" lastClr="000000"/>
              </a:solidFill>
              <a:effectLst/>
              <a:latin typeface="+mn-lt"/>
              <a:ea typeface="+mn-ea"/>
              <a:cs typeface="+mn-cs"/>
            </a:rPr>
            <a:t>El modelo es de acceso libre, por lo que, se puede acceder a los supuestos de su construcción.</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La presente versión territorial contempla los escenarios de mitigación específicos del territorio de Cundinamarca teniendo en cuenta las particularidades de la entidad departamental y  permitiendo la modelización de su caso o el Plan Territorial de Cambio Climático, a partir de la desagregación departamental y subsectorial de la información, datos y supuestos. La actualización del módulo territorial se realizó con los datos específicos de cada uno de los territorios. </a:t>
          </a:r>
        </a:p>
        <a:p>
          <a:pPr fontAlgn="base"/>
          <a:endParaRPr lang="es-ES" sz="1200" b="0" i="0">
            <a:solidFill>
              <a:sysClr val="windowText" lastClr="000000"/>
            </a:solidFill>
            <a:effectLst/>
            <a:latin typeface="+mn-lt"/>
            <a:ea typeface="+mn-ea"/>
            <a:cs typeface="+mn-cs"/>
          </a:endParaRPr>
        </a:p>
      </xdr:txBody>
    </xdr:sp>
    <xdr:clientData/>
  </xdr:twoCellAnchor>
  <xdr:twoCellAnchor>
    <xdr:from>
      <xdr:col>1</xdr:col>
      <xdr:colOff>701329</xdr:colOff>
      <xdr:row>26</xdr:row>
      <xdr:rowOff>76919</xdr:rowOff>
    </xdr:from>
    <xdr:to>
      <xdr:col>11</xdr:col>
      <xdr:colOff>114301</xdr:colOff>
      <xdr:row>45</xdr:row>
      <xdr:rowOff>76200</xdr:rowOff>
    </xdr:to>
    <xdr:sp macro="" textlink="">
      <xdr:nvSpPr>
        <xdr:cNvPr id="11933" name="Rectángulo 24">
          <a:extLst>
            <a:ext uri="{FF2B5EF4-FFF2-40B4-BE49-F238E27FC236}">
              <a16:creationId xmlns:a16="http://schemas.microsoft.com/office/drawing/2014/main" id="{00000000-0008-0000-0300-00009D2E0000}"/>
            </a:ext>
          </a:extLst>
        </xdr:cNvPr>
        <xdr:cNvSpPr/>
      </xdr:nvSpPr>
      <xdr:spPr>
        <a:xfrm>
          <a:off x="2082454" y="3886919"/>
          <a:ext cx="7032972" cy="36187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s-ES" sz="1200" b="0" i="0">
              <a:solidFill>
                <a:sysClr val="windowText" lastClr="000000"/>
              </a:solidFill>
              <a:effectLst/>
              <a:latin typeface="+mn-lt"/>
              <a:ea typeface="+mn-ea"/>
              <a:cs typeface="+mn-cs"/>
            </a:rPr>
            <a:t>La Calculadora está integrada por </a:t>
          </a:r>
          <a:r>
            <a:rPr lang="es-ES" sz="1200" b="1" i="0">
              <a:solidFill>
                <a:schemeClr val="accent2">
                  <a:lumMod val="75000"/>
                </a:schemeClr>
              </a:solidFill>
              <a:effectLst/>
              <a:latin typeface="+mn-lt"/>
              <a:ea typeface="+mn-ea"/>
              <a:cs typeface="+mn-cs"/>
            </a:rPr>
            <a:t>8 sectores clave </a:t>
          </a:r>
          <a:r>
            <a:rPr lang="es-ES" sz="1200" b="0" i="0">
              <a:solidFill>
                <a:sysClr val="windowText" lastClr="000000"/>
              </a:solidFill>
              <a:effectLst/>
              <a:latin typeface="+mn-lt"/>
              <a:ea typeface="+mn-ea"/>
              <a:cs typeface="+mn-cs"/>
            </a:rPr>
            <a:t>de la economía colombiana para la descarbonización del país: </a:t>
          </a:r>
          <a:r>
            <a:rPr lang="es-ES" sz="1200" b="1" i="0">
              <a:solidFill>
                <a:schemeClr val="accent2">
                  <a:lumMod val="75000"/>
                </a:schemeClr>
              </a:solidFill>
              <a:effectLst/>
              <a:latin typeface="+mn-lt"/>
              <a:ea typeface="+mn-ea"/>
              <a:cs typeface="+mn-cs"/>
            </a:rPr>
            <a:t>Energía (combustibles fósiles, bioenergía, electricidad y autogeneración), Industria, Residuos, Edificaciones, Transporte, Agricultura, Ganadería y Bosques </a:t>
          </a:r>
          <a:r>
            <a:rPr lang="es-ES" sz="1200" b="0" i="0">
              <a:solidFill>
                <a:sysClr val="windowText" lastClr="000000"/>
              </a:solidFill>
              <a:effectLst/>
              <a:latin typeface="+mn-lt"/>
              <a:ea typeface="+mn-ea"/>
              <a:cs typeface="+mn-cs"/>
            </a:rPr>
            <a:t>(ver </a:t>
          </a:r>
          <a:r>
            <a:rPr lang="es-ES" sz="1200" b="1" i="0" u="sng">
              <a:solidFill>
                <a:schemeClr val="accent6">
                  <a:lumMod val="75000"/>
                </a:schemeClr>
              </a:solidFill>
              <a:effectLst/>
              <a:latin typeface="+mn-lt"/>
              <a:ea typeface="+mn-ea"/>
              <a:cs typeface="+mn-cs"/>
            </a:rPr>
            <a:t>¿Qué sectores contempla?</a:t>
          </a:r>
          <a:r>
            <a:rPr lang="es-ES" sz="1200" b="0" i="0" u="sng">
              <a:solidFill>
                <a:sysClr val="windowText" lastClr="000000"/>
              </a:solidFill>
              <a:effectLst/>
              <a:latin typeface="+mn-lt"/>
              <a:ea typeface="+mn-ea"/>
              <a:cs typeface="+mn-cs"/>
            </a:rPr>
            <a:t>).</a:t>
          </a:r>
          <a:r>
            <a:rPr lang="es-ES" sz="1200" b="0" i="0">
              <a:solidFill>
                <a:sysClr val="windowText" lastClr="000000"/>
              </a:solidFill>
              <a:effectLst/>
              <a:latin typeface="+mn-lt"/>
              <a:ea typeface="+mn-ea"/>
              <a:cs typeface="+mn-cs"/>
            </a:rPr>
            <a:t>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Cada sector considera medidas de mitigación con </a:t>
          </a:r>
          <a:r>
            <a:rPr lang="es-ES" sz="1200" b="1" i="0">
              <a:solidFill>
                <a:schemeClr val="accent2">
                  <a:lumMod val="75000"/>
                </a:schemeClr>
              </a:solidFill>
              <a:effectLst/>
              <a:latin typeface="+mn-lt"/>
              <a:ea typeface="+mn-ea"/>
              <a:cs typeface="+mn-cs"/>
            </a:rPr>
            <a:t>cuatro niveles de ambición</a:t>
          </a:r>
          <a:r>
            <a:rPr lang="es-ES" sz="1200" b="0" i="0">
              <a:solidFill>
                <a:sysClr val="windowText" lastClr="000000"/>
              </a:solidFill>
              <a:effectLst/>
              <a:latin typeface="+mn-lt"/>
              <a:ea typeface="+mn-ea"/>
              <a:cs typeface="+mn-cs"/>
            </a:rPr>
            <a:t>. Estos niveles se refieren al grado de compromiso para reducir las emisiones de GEI y van desde ninguna acción, es decir, se mantiene la tendencia actual (</a:t>
          </a:r>
          <a:r>
            <a:rPr lang="es-ES" sz="1200" b="1" i="0">
              <a:solidFill>
                <a:schemeClr val="accent2">
                  <a:lumMod val="75000"/>
                </a:schemeClr>
              </a:solidFill>
              <a:effectLst/>
              <a:latin typeface="+mn-lt"/>
              <a:ea typeface="+mn-ea"/>
              <a:cs typeface="+mn-cs"/>
            </a:rPr>
            <a:t>Trayectoria 1</a:t>
          </a:r>
          <a:r>
            <a:rPr lang="es-ES" sz="1200" b="0" i="0">
              <a:solidFill>
                <a:sysClr val="windowText" lastClr="000000"/>
              </a:solidFill>
              <a:effectLst/>
              <a:latin typeface="+mn-lt"/>
              <a:ea typeface="+mn-ea"/>
              <a:cs typeface="+mn-cs"/>
            </a:rPr>
            <a:t>) hasta el nivel de máximo esfuerzo técnicamente posible (</a:t>
          </a:r>
          <a:r>
            <a:rPr lang="es-ES" sz="1200" b="1" i="0">
              <a:solidFill>
                <a:schemeClr val="accent2">
                  <a:lumMod val="75000"/>
                </a:schemeClr>
              </a:solidFill>
              <a:effectLst/>
              <a:latin typeface="+mn-lt"/>
              <a:ea typeface="+mn-ea"/>
              <a:cs typeface="+mn-cs"/>
            </a:rPr>
            <a:t>Trayectoria 4</a:t>
          </a:r>
          <a:r>
            <a:rPr lang="es-ES" sz="1200" b="0" i="0">
              <a:solidFill>
                <a:sysClr val="windowText" lastClr="000000"/>
              </a:solidFill>
              <a:effectLst/>
              <a:latin typeface="+mn-lt"/>
              <a:ea typeface="+mn-ea"/>
              <a:cs typeface="+mn-cs"/>
            </a:rPr>
            <a:t>). Combinar distintos niveles de ambición respecto a las medidas a implementar para cumplir las metas de mitigación, dará como resultado distintos escenarios en términos de energía, emisiones GEI, costo y cobeneficios obtenidos.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La Calculadora incluye</a:t>
          </a:r>
          <a:r>
            <a:rPr lang="es-ES" sz="1200" b="0" i="0" baseline="0">
              <a:solidFill>
                <a:sysClr val="windowText" lastClr="000000"/>
              </a:solidFill>
              <a:effectLst/>
              <a:latin typeface="+mn-lt"/>
              <a:ea typeface="+mn-ea"/>
              <a:cs typeface="+mn-cs"/>
            </a:rPr>
            <a:t> además, un </a:t>
          </a:r>
          <a:r>
            <a:rPr lang="es-ES" sz="1200" b="1" i="0">
              <a:solidFill>
                <a:schemeClr val="accent2">
                  <a:lumMod val="75000"/>
                </a:schemeClr>
              </a:solidFill>
              <a:effectLst/>
              <a:latin typeface="+mn-lt"/>
              <a:ea typeface="+mn-ea"/>
              <a:cs typeface="+mn-cs"/>
            </a:rPr>
            <a:t>módulo de COBENEFICIOS</a:t>
          </a:r>
          <a:r>
            <a:rPr lang="es-ES" sz="1200" b="0" i="0" baseline="0">
              <a:solidFill>
                <a:sysClr val="windowText" lastClr="000000"/>
              </a:solidFill>
              <a:effectLst/>
              <a:latin typeface="+mn-lt"/>
              <a:ea typeface="+mn-ea"/>
              <a:cs typeface="+mn-cs"/>
            </a:rPr>
            <a:t>, el cual permite estimar la influencia del escenario seleccionado con relación a la calidad del aire, la salud y la creación de empleos. Esta sección </a:t>
          </a:r>
          <a:r>
            <a:rPr lang="es-ES" sz="1200" b="1" i="0">
              <a:solidFill>
                <a:schemeClr val="accent2">
                  <a:lumMod val="75000"/>
                </a:schemeClr>
              </a:solidFill>
              <a:effectLst/>
              <a:latin typeface="+mn-lt"/>
              <a:ea typeface="+mn-ea"/>
              <a:cs typeface="+mn-cs"/>
            </a:rPr>
            <a:t>se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accede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desde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RESULTADOS &gt; COBENEFICIOS,</a:t>
          </a:r>
          <a:r>
            <a:rPr lang="es-ES" sz="1200" b="0" i="0" baseline="0">
              <a:solidFill>
                <a:sysClr val="windowText" lastClr="000000"/>
              </a:solidFill>
              <a:effectLst/>
              <a:latin typeface="+mn-lt"/>
              <a:ea typeface="+mn-ea"/>
              <a:cs typeface="+mn-cs"/>
            </a:rPr>
            <a:t> donde se incluye la información correspondiente.</a:t>
          </a:r>
          <a:endParaRPr lang="es-ES" sz="1200" b="0" i="0">
            <a:solidFill>
              <a:sysClr val="windowText" lastClr="000000"/>
            </a:solidFill>
            <a:effectLst/>
            <a:latin typeface="+mn-lt"/>
            <a:ea typeface="+mn-ea"/>
            <a:cs typeface="+mn-cs"/>
          </a:endParaRPr>
        </a:p>
        <a:p>
          <a:pPr fontAlgn="base"/>
          <a:endParaRPr lang="es-ES" sz="1200" b="1" i="0">
            <a:solidFill>
              <a:schemeClr val="accent2">
                <a:lumMod val="75000"/>
              </a:schemeClr>
            </a:solidFill>
            <a:effectLst/>
            <a:latin typeface="+mn-lt"/>
            <a:ea typeface="+mn-ea"/>
            <a:cs typeface="+mn-cs"/>
          </a:endParaRPr>
        </a:p>
        <a:p>
          <a:pPr fontAlgn="base"/>
          <a:r>
            <a:rPr lang="es-ES" sz="1200" b="1" i="1">
              <a:solidFill>
                <a:schemeClr val="accent2">
                  <a:lumMod val="75000"/>
                </a:schemeClr>
              </a:solidFill>
              <a:effectLst/>
              <a:latin typeface="+mn-lt"/>
              <a:ea typeface="+mn-ea"/>
              <a:cs typeface="+mn-cs"/>
            </a:rPr>
            <a:t>*NOTA</a:t>
          </a:r>
          <a:r>
            <a:rPr lang="es-ES" sz="1200" b="0" i="1">
              <a:solidFill>
                <a:sysClr val="windowText" lastClr="000000"/>
              </a:solidFill>
              <a:effectLst/>
              <a:latin typeface="+mn-lt"/>
              <a:ea typeface="+mn-ea"/>
              <a:cs typeface="+mn-cs"/>
            </a:rPr>
            <a:t>: Los módulos de esta Calculadora se encuentran bloqueados para evitar modificaciones no planeadas. </a:t>
          </a:r>
          <a:r>
            <a:rPr lang="es-ES" sz="1200" b="1" i="1">
              <a:solidFill>
                <a:schemeClr val="accent2">
                  <a:lumMod val="75000"/>
                </a:schemeClr>
              </a:solidFill>
              <a:effectLst/>
              <a:latin typeface="+mn-lt"/>
              <a:ea typeface="+mn-ea"/>
              <a:cs typeface="+mn-cs"/>
            </a:rPr>
            <a:t>Para hacer cambios </a:t>
          </a:r>
          <a:r>
            <a:rPr lang="es-ES" sz="1200" b="0" i="1">
              <a:solidFill>
                <a:sysClr val="windowText" lastClr="000000"/>
              </a:solidFill>
              <a:effectLst/>
              <a:latin typeface="+mn-lt"/>
              <a:ea typeface="+mn-ea"/>
              <a:cs typeface="+mn-cs"/>
            </a:rPr>
            <a:t>se requiere </a:t>
          </a:r>
          <a:r>
            <a:rPr lang="es-ES" sz="1200" b="1" i="1">
              <a:solidFill>
                <a:schemeClr val="accent2">
                  <a:lumMod val="75000"/>
                </a:schemeClr>
              </a:solidFill>
              <a:effectLst/>
              <a:latin typeface="+mn-lt"/>
              <a:ea typeface="+mn-ea"/>
              <a:cs typeface="+mn-cs"/>
            </a:rPr>
            <a:t>introducir la contraseña</a:t>
          </a:r>
          <a:r>
            <a:rPr lang="es-ES" sz="1200" b="1" i="1">
              <a:solidFill>
                <a:sysClr val="windowText" lastClr="000000"/>
              </a:solidFill>
              <a:effectLst/>
              <a:latin typeface="+mn-lt"/>
              <a:ea typeface="+mn-ea"/>
              <a:cs typeface="+mn-cs"/>
            </a:rPr>
            <a:t> </a:t>
          </a:r>
          <a:r>
            <a:rPr lang="es-ES" sz="1200" b="0" i="1">
              <a:solidFill>
                <a:sysClr val="windowText" lastClr="000000"/>
              </a:solidFill>
              <a:effectLst/>
              <a:latin typeface="+mn-lt"/>
              <a:ea typeface="+mn-ea"/>
              <a:cs typeface="+mn-cs"/>
            </a:rPr>
            <a:t>(en mayúsculas): </a:t>
          </a:r>
          <a:r>
            <a:rPr lang="es-ES" sz="1200" b="1" i="0" u="sng">
              <a:solidFill>
                <a:schemeClr val="accent6">
                  <a:lumMod val="75000"/>
                </a:schemeClr>
              </a:solidFill>
              <a:effectLst/>
              <a:latin typeface="+mn-lt"/>
              <a:ea typeface="+mn-ea"/>
              <a:cs typeface="+mn-cs"/>
            </a:rPr>
            <a:t>CCC2050</a:t>
          </a:r>
        </a:p>
      </xdr:txBody>
    </xdr:sp>
    <xdr:clientData/>
  </xdr:twoCellAnchor>
  <xdr:twoCellAnchor>
    <xdr:from>
      <xdr:col>0</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9"/>
          <a:extLst>
            <a:ext uri="{FF2B5EF4-FFF2-40B4-BE49-F238E27FC236}">
              <a16:creationId xmlns:a16="http://schemas.microsoft.com/office/drawing/2014/main" id="{00000000-0008-0000-0300-000022000000}"/>
            </a:ext>
          </a:extLst>
        </xdr:cNvPr>
        <xdr:cNvGrpSpPr/>
      </xdr:nvGrpSpPr>
      <xdr:grpSpPr>
        <a:xfrm>
          <a:off x="0" y="0"/>
          <a:ext cx="1381125" cy="328014"/>
          <a:chOff x="91104" y="65606"/>
          <a:chExt cx="1192701" cy="328014"/>
        </a:xfrm>
      </xdr:grpSpPr>
      <xdr:sp macro="" textlink="">
        <xdr:nvSpPr>
          <xdr:cNvPr id="40" name="Rectángulo 39">
            <a:extLst>
              <a:ext uri="{FF2B5EF4-FFF2-40B4-BE49-F238E27FC236}">
                <a16:creationId xmlns:a16="http://schemas.microsoft.com/office/drawing/2014/main" id="{00000000-0008-0000-0300-00002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1" name="Gráfico 40" descr="Hogar con relleno sólido">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 name="Grupo 41">
          <a:hlinkClick xmlns:r="http://schemas.openxmlformats.org/officeDocument/2006/relationships" r:id="rId12"/>
          <a:extLst>
            <a:ext uri="{FF2B5EF4-FFF2-40B4-BE49-F238E27FC236}">
              <a16:creationId xmlns:a16="http://schemas.microsoft.com/office/drawing/2014/main" id="{00000000-0008-0000-0300-00002A000000}"/>
            </a:ext>
          </a:extLst>
        </xdr:cNvPr>
        <xdr:cNvGrpSpPr/>
      </xdr:nvGrpSpPr>
      <xdr:grpSpPr>
        <a:xfrm>
          <a:off x="0" y="4710117"/>
          <a:ext cx="1295400" cy="638178"/>
          <a:chOff x="0" y="3671892"/>
          <a:chExt cx="1295400" cy="638178"/>
        </a:xfrm>
      </xdr:grpSpPr>
      <xdr:sp macro="" textlink="">
        <xdr:nvSpPr>
          <xdr:cNvPr id="43" name="Rectángulo: esquinas superiores redondeadas 42">
            <a:extLst>
              <a:ext uri="{FF2B5EF4-FFF2-40B4-BE49-F238E27FC236}">
                <a16:creationId xmlns:a16="http://schemas.microsoft.com/office/drawing/2014/main" id="{00000000-0008-0000-0300-00002B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5" name="Gráfico 44" descr="Información con relleno sólido">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6" name="Grupo 45">
          <a:hlinkClick xmlns:r="http://schemas.openxmlformats.org/officeDocument/2006/relationships" r:id="rId15"/>
          <a:extLst>
            <a:ext uri="{FF2B5EF4-FFF2-40B4-BE49-F238E27FC236}">
              <a16:creationId xmlns:a16="http://schemas.microsoft.com/office/drawing/2014/main" id="{00000000-0008-0000-0300-00002E000000}"/>
            </a:ext>
          </a:extLst>
        </xdr:cNvPr>
        <xdr:cNvGrpSpPr/>
      </xdr:nvGrpSpPr>
      <xdr:grpSpPr>
        <a:xfrm>
          <a:off x="0" y="3760792"/>
          <a:ext cx="1304926" cy="638178"/>
          <a:chOff x="0" y="2767017"/>
          <a:chExt cx="1304926" cy="638178"/>
        </a:xfrm>
      </xdr:grpSpPr>
      <xdr:sp macro="" textlink="">
        <xdr:nvSpPr>
          <xdr:cNvPr id="47" name="Rectángulo: esquinas superiores redondeadas 46">
            <a:extLst>
              <a:ext uri="{FF2B5EF4-FFF2-40B4-BE49-F238E27FC236}">
                <a16:creationId xmlns:a16="http://schemas.microsoft.com/office/drawing/2014/main" id="{00000000-0008-0000-0300-00002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8" name="Gráfico 47" descr="Gráfico de barras con relleno sólido">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9" name="Grupo 48">
          <a:hlinkClick xmlns:r="http://schemas.openxmlformats.org/officeDocument/2006/relationships" r:id="rId18"/>
          <a:extLst>
            <a:ext uri="{FF2B5EF4-FFF2-40B4-BE49-F238E27FC236}">
              <a16:creationId xmlns:a16="http://schemas.microsoft.com/office/drawing/2014/main" id="{00000000-0008-0000-0300-000031000000}"/>
            </a:ext>
          </a:extLst>
        </xdr:cNvPr>
        <xdr:cNvGrpSpPr/>
      </xdr:nvGrpSpPr>
      <xdr:grpSpPr>
        <a:xfrm>
          <a:off x="0" y="2811467"/>
          <a:ext cx="1323975" cy="638178"/>
          <a:chOff x="0" y="1862142"/>
          <a:chExt cx="1323975" cy="638178"/>
        </a:xfrm>
      </xdr:grpSpPr>
      <xdr:sp macro="" textlink="">
        <xdr:nvSpPr>
          <xdr:cNvPr id="50" name="Rectángulo: esquinas superiores redondeadas 49">
            <a:extLst>
              <a:ext uri="{FF2B5EF4-FFF2-40B4-BE49-F238E27FC236}">
                <a16:creationId xmlns:a16="http://schemas.microsoft.com/office/drawing/2014/main" id="{00000000-0008-0000-03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21"/>
          <a:extLst>
            <a:ext uri="{FF2B5EF4-FFF2-40B4-BE49-F238E27FC236}">
              <a16:creationId xmlns:a16="http://schemas.microsoft.com/office/drawing/2014/main" id="{00000000-0008-0000-03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03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781050" y="1957172"/>
            <a:ext cx="504825" cy="466582"/>
          </a:xfrm>
          <a:prstGeom prst="rect">
            <a:avLst/>
          </a:prstGeom>
        </xdr:spPr>
      </xdr:pic>
    </xdr:grpSp>
    <xdr:clientData/>
  </xdr:twoCellAnchor>
  <xdr:oneCellAnchor>
    <xdr:from>
      <xdr:col>1</xdr:col>
      <xdr:colOff>676275</xdr:colOff>
      <xdr:row>47</xdr:row>
      <xdr:rowOff>47625</xdr:rowOff>
    </xdr:from>
    <xdr:ext cx="10887075" cy="885825"/>
    <xdr:sp macro="" textlink="">
      <xdr:nvSpPr>
        <xdr:cNvPr id="11995" name="CuadroTexto 3">
          <a:extLst>
            <a:ext uri="{FF2B5EF4-FFF2-40B4-BE49-F238E27FC236}">
              <a16:creationId xmlns:a16="http://schemas.microsoft.com/office/drawing/2014/main" id="{00000000-0008-0000-0300-0000DB2E0000}"/>
            </a:ext>
          </a:extLst>
        </xdr:cNvPr>
        <xdr:cNvSpPr txBox="1"/>
      </xdr:nvSpPr>
      <xdr:spPr>
        <a:xfrm>
          <a:off x="2057400" y="8048625"/>
          <a:ext cx="10887075" cy="885825"/>
        </a:xfrm>
        <a:prstGeom prst="rect">
          <a:avLst/>
        </a:prstGeom>
        <a:solidFill>
          <a:srgbClr val="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La Calculadora Colombiana de Carbono 2050 cuenta con tres secciones principales: </a:t>
          </a:r>
          <a:r>
            <a:rPr lang="es-ES" sz="1200" b="1">
              <a:solidFill>
                <a:schemeClr val="accent2">
                  <a:lumMod val="75000"/>
                </a:schemeClr>
              </a:solidFill>
            </a:rPr>
            <a:t>TRAYECTORIAS, ESCENARIOS</a:t>
          </a:r>
          <a:r>
            <a:rPr lang="es-ES" sz="1200" b="1" baseline="0">
              <a:solidFill>
                <a:schemeClr val="accent2">
                  <a:lumMod val="75000"/>
                </a:schemeClr>
              </a:solidFill>
            </a:rPr>
            <a:t> </a:t>
          </a:r>
          <a:r>
            <a:rPr lang="es-ES" sz="1200" baseline="0"/>
            <a:t>y </a:t>
          </a:r>
          <a:r>
            <a:rPr lang="es-ES" sz="1200" b="1" baseline="0">
              <a:solidFill>
                <a:schemeClr val="accent2">
                  <a:lumMod val="75000"/>
                </a:schemeClr>
              </a:solidFill>
            </a:rPr>
            <a:t>RESULTADOS</a:t>
          </a:r>
          <a:r>
            <a:rPr lang="es-ES" sz="1200" baseline="0"/>
            <a:t>. Adicionalmente, cuenta con una sección de ajustes que permite modificar los diferentes criterios para la realización de las estimaciones. </a:t>
          </a:r>
        </a:p>
        <a:p>
          <a:r>
            <a:rPr lang="es-ES" sz="1200" baseline="0"/>
            <a:t>Se accede a las diferentes secciones desde el menú lateral izquierdo de las pestañas, a través de botones. Por lo que, haciendo clic sobre ellos se accederá a la siguiente pestaña.</a:t>
          </a:r>
        </a:p>
      </xdr:txBody>
    </xdr:sp>
    <xdr:clientData/>
  </xdr:oneCellAnchor>
  <xdr:oneCellAnchor>
    <xdr:from>
      <xdr:col>1</xdr:col>
      <xdr:colOff>676275</xdr:colOff>
      <xdr:row>47</xdr:row>
      <xdr:rowOff>47625</xdr:rowOff>
    </xdr:from>
    <xdr:ext cx="10887075" cy="885825"/>
    <xdr:sp macro="" textlink="">
      <xdr:nvSpPr>
        <xdr:cNvPr id="12291" name="CuadroTexto 3">
          <a:extLst>
            <a:ext uri="{FF2B5EF4-FFF2-40B4-BE49-F238E27FC236}">
              <a16:creationId xmlns:a16="http://schemas.microsoft.com/office/drawing/2014/main" id="{00000000-0008-0000-0300-000003300000}"/>
            </a:ext>
          </a:extLst>
        </xdr:cNvPr>
        <xdr:cNvSpPr txBox="1"/>
      </xdr:nvSpPr>
      <xdr:spPr>
        <a:xfrm>
          <a:off x="2057400" y="8048625"/>
          <a:ext cx="10887075" cy="885825"/>
        </a:xfrm>
        <a:prstGeom prst="rect">
          <a:avLst/>
        </a:prstGeom>
        <a:solidFill>
          <a:srgbClr val="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La Calculadora Colombiana de Carbono 2050 cuenta con tres secciones principales: </a:t>
          </a:r>
          <a:r>
            <a:rPr lang="es-ES" sz="1200" b="1">
              <a:solidFill>
                <a:schemeClr val="accent2">
                  <a:lumMod val="75000"/>
                </a:schemeClr>
              </a:solidFill>
            </a:rPr>
            <a:t>TRAYECTORIAS, ESCENARIOS</a:t>
          </a:r>
          <a:r>
            <a:rPr lang="es-ES" sz="1200" b="1" baseline="0">
              <a:solidFill>
                <a:schemeClr val="accent2">
                  <a:lumMod val="75000"/>
                </a:schemeClr>
              </a:solidFill>
            </a:rPr>
            <a:t> </a:t>
          </a:r>
          <a:r>
            <a:rPr lang="es-ES" sz="1200" baseline="0"/>
            <a:t>y </a:t>
          </a:r>
          <a:r>
            <a:rPr lang="es-ES" sz="1200" b="1" baseline="0">
              <a:solidFill>
                <a:schemeClr val="accent2">
                  <a:lumMod val="75000"/>
                </a:schemeClr>
              </a:solidFill>
            </a:rPr>
            <a:t>RESULTADOS</a:t>
          </a:r>
          <a:r>
            <a:rPr lang="es-ES" sz="1200" baseline="0"/>
            <a:t>. Adicionalmente, cuenta con una sección de ajustes donde permite modificar diferentes criterios para la realización de las estimaciones. </a:t>
          </a:r>
        </a:p>
        <a:p>
          <a:r>
            <a:rPr lang="es-ES" sz="1200" baseline="0"/>
            <a:t>Se accede a las diferentes secciones mediante el menú lateral izquierdo de las pestañas, este menú funciona mediante botones por lo que haciendo clic sobre ellos se accederá a la siguiente pestaña.</a:t>
          </a:r>
        </a:p>
      </xdr:txBody>
    </xdr:sp>
    <xdr:clientData/>
  </xdr:oneCellAnchor>
  <xdr:twoCellAnchor editAs="oneCell">
    <xdr:from>
      <xdr:col>1</xdr:col>
      <xdr:colOff>571500</xdr:colOff>
      <xdr:row>45</xdr:row>
      <xdr:rowOff>168965</xdr:rowOff>
    </xdr:from>
    <xdr:to>
      <xdr:col>2</xdr:col>
      <xdr:colOff>54168</xdr:colOff>
      <xdr:row>47</xdr:row>
      <xdr:rowOff>36443</xdr:rowOff>
    </xdr:to>
    <xdr:pic>
      <xdr:nvPicPr>
        <xdr:cNvPr id="21" name="Gráfico 20" descr="Signo de intercalación hacia la derecha con relleno sólido">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2625" y="9312965"/>
          <a:ext cx="248478" cy="248478"/>
        </a:xfrm>
        <a:prstGeom prst="rect">
          <a:avLst/>
        </a:prstGeom>
      </xdr:spPr>
    </xdr:pic>
    <xdr:clientData/>
  </xdr:twoCellAnchor>
  <xdr:twoCellAnchor editAs="oneCell">
    <xdr:from>
      <xdr:col>1</xdr:col>
      <xdr:colOff>554935</xdr:colOff>
      <xdr:row>130</xdr:row>
      <xdr:rowOff>24848</xdr:rowOff>
    </xdr:from>
    <xdr:to>
      <xdr:col>2</xdr:col>
      <xdr:colOff>41413</xdr:colOff>
      <xdr:row>131</xdr:row>
      <xdr:rowOff>44561</xdr:rowOff>
    </xdr:to>
    <xdr:pic>
      <xdr:nvPicPr>
        <xdr:cNvPr id="64" name="Gráfico 63" descr="Signo de intercalación hacia la derecha con relleno sólido">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38131" y="15654131"/>
          <a:ext cx="248478" cy="248478"/>
        </a:xfrm>
        <a:prstGeom prst="rect">
          <a:avLst/>
        </a:prstGeom>
      </xdr:spPr>
    </xdr:pic>
    <xdr:clientData/>
  </xdr:twoCellAnchor>
  <xdr:oneCellAnchor>
    <xdr:from>
      <xdr:col>1</xdr:col>
      <xdr:colOff>571500</xdr:colOff>
      <xdr:row>89</xdr:row>
      <xdr:rowOff>168965</xdr:rowOff>
    </xdr:from>
    <xdr:ext cx="248478" cy="248478"/>
    <xdr:pic>
      <xdr:nvPicPr>
        <xdr:cNvPr id="65" name="Gráfico 64" descr="Signo de intercalación hacia la derecha con relleno sólido">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4696" y="7217465"/>
          <a:ext cx="248478" cy="248478"/>
        </a:xfrm>
        <a:prstGeom prst="rect">
          <a:avLst/>
        </a:prstGeom>
      </xdr:spPr>
    </xdr:pic>
    <xdr:clientData/>
  </xdr:oneCellAnchor>
  <xdr:oneCellAnchor>
    <xdr:from>
      <xdr:col>2</xdr:col>
      <xdr:colOff>116989</xdr:colOff>
      <xdr:row>91</xdr:row>
      <xdr:rowOff>107674</xdr:rowOff>
    </xdr:from>
    <xdr:ext cx="10631970" cy="521805"/>
    <xdr:sp macro="" textlink="">
      <xdr:nvSpPr>
        <xdr:cNvPr id="78" name="CuadroTexto 77">
          <a:extLst>
            <a:ext uri="{FF2B5EF4-FFF2-40B4-BE49-F238E27FC236}">
              <a16:creationId xmlns:a16="http://schemas.microsoft.com/office/drawing/2014/main" id="{00000000-0008-0000-0300-00004E000000}"/>
            </a:ext>
          </a:extLst>
        </xdr:cNvPr>
        <xdr:cNvSpPr txBox="1"/>
      </xdr:nvSpPr>
      <xdr:spPr>
        <a:xfrm>
          <a:off x="2260114" y="17062174"/>
          <a:ext cx="10631970" cy="52180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Los diferentes tipos de datos presentes en esta herramienta son: datos de </a:t>
          </a:r>
          <a:r>
            <a:rPr lang="es-ES" sz="1200" b="1">
              <a:solidFill>
                <a:schemeClr val="accent2">
                  <a:lumMod val="75000"/>
                </a:schemeClr>
              </a:solidFill>
              <a:effectLst/>
              <a:latin typeface="+mn-lt"/>
              <a:ea typeface="+mn-ea"/>
              <a:cs typeface="+mn-cs"/>
            </a:rPr>
            <a:t>Entradas</a:t>
          </a:r>
          <a:r>
            <a:rPr lang="es-ES" sz="1200"/>
            <a:t> a los escenario</a:t>
          </a:r>
          <a:r>
            <a:rPr lang="es-ES" sz="1200" b="0">
              <a:solidFill>
                <a:sysClr val="windowText" lastClr="000000"/>
              </a:solidFill>
            </a:rPr>
            <a:t>s</a:t>
          </a:r>
          <a:r>
            <a:rPr lang="es-ES" sz="1200" b="0">
              <a:solidFill>
                <a:sysClr val="windowText" lastClr="000000"/>
              </a:solidFill>
              <a:effectLst/>
              <a:latin typeface="+mn-lt"/>
              <a:ea typeface="+mn-ea"/>
              <a:cs typeface="+mn-cs"/>
            </a:rPr>
            <a:t>, </a:t>
          </a:r>
          <a:r>
            <a:rPr lang="es-ES" sz="1200" b="1">
              <a:solidFill>
                <a:schemeClr val="accent2">
                  <a:lumMod val="75000"/>
                </a:schemeClr>
              </a:solidFill>
              <a:effectLst/>
              <a:latin typeface="+mn-lt"/>
              <a:ea typeface="+mn-ea"/>
              <a:cs typeface="+mn-cs"/>
            </a:rPr>
            <a:t>Supuestos de trayectoria</a:t>
          </a:r>
          <a:r>
            <a:rPr lang="es-ES" sz="1200"/>
            <a:t>, </a:t>
          </a:r>
          <a:r>
            <a:rPr lang="es-ES" sz="1200" b="1">
              <a:solidFill>
                <a:schemeClr val="accent2">
                  <a:lumMod val="75000"/>
                </a:schemeClr>
              </a:solidFill>
              <a:effectLst/>
              <a:latin typeface="+mn-lt"/>
              <a:ea typeface="+mn-ea"/>
              <a:cs typeface="+mn-cs"/>
            </a:rPr>
            <a:t>Supuestos</a:t>
          </a:r>
          <a:r>
            <a:rPr lang="es-ES" sz="1200"/>
            <a:t> </a:t>
          </a:r>
          <a:r>
            <a:rPr lang="es-ES" sz="1200" b="1">
              <a:solidFill>
                <a:schemeClr val="accent2">
                  <a:lumMod val="75000"/>
                </a:schemeClr>
              </a:solidFill>
              <a:effectLst/>
              <a:latin typeface="+mn-lt"/>
              <a:ea typeface="+mn-ea"/>
              <a:cs typeface="+mn-cs"/>
            </a:rPr>
            <a:t>fijos</a:t>
          </a:r>
          <a:r>
            <a:rPr lang="es-ES" sz="1200"/>
            <a:t> y las </a:t>
          </a:r>
          <a:r>
            <a:rPr lang="es-ES" sz="1200" b="1">
              <a:solidFill>
                <a:schemeClr val="accent2">
                  <a:lumMod val="75000"/>
                </a:schemeClr>
              </a:solidFill>
              <a:effectLst/>
              <a:latin typeface="+mn-lt"/>
              <a:ea typeface="+mn-ea"/>
              <a:cs typeface="+mn-cs"/>
            </a:rPr>
            <a:t>Salidas</a:t>
          </a:r>
          <a:r>
            <a:rPr lang="es-ES" sz="1200"/>
            <a:t>. </a:t>
          </a:r>
        </a:p>
      </xdr:txBody>
    </xdr:sp>
    <xdr:clientData/>
  </xdr:oneCellAnchor>
  <xdr:oneCellAnchor>
    <xdr:from>
      <xdr:col>2</xdr:col>
      <xdr:colOff>695325</xdr:colOff>
      <xdr:row>97</xdr:row>
      <xdr:rowOff>118905</xdr:rowOff>
    </xdr:from>
    <xdr:ext cx="10020300" cy="614520"/>
    <xdr:sp macro="" textlink="">
      <xdr:nvSpPr>
        <xdr:cNvPr id="9592" name="CuadroTexto 78">
          <a:extLst>
            <a:ext uri="{FF2B5EF4-FFF2-40B4-BE49-F238E27FC236}">
              <a16:creationId xmlns:a16="http://schemas.microsoft.com/office/drawing/2014/main" id="{00000000-0008-0000-0300-000078250000}"/>
            </a:ext>
          </a:extLst>
        </xdr:cNvPr>
        <xdr:cNvSpPr txBox="1"/>
      </xdr:nvSpPr>
      <xdr:spPr>
        <a:xfrm>
          <a:off x="2838450" y="16311405"/>
          <a:ext cx="10020300" cy="614520"/>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ysClr val="windowText" lastClr="000000"/>
              </a:solidFill>
            </a:rPr>
            <a:t>Las </a:t>
          </a:r>
          <a:r>
            <a:rPr lang="es-ES" sz="1200" b="1">
              <a:solidFill>
                <a:schemeClr val="accent2">
                  <a:lumMod val="75000"/>
                </a:schemeClr>
              </a:solidFill>
              <a:effectLst/>
              <a:latin typeface="+mn-lt"/>
              <a:ea typeface="+mn-ea"/>
              <a:cs typeface="+mn-cs"/>
            </a:rPr>
            <a:t>entradas</a:t>
          </a:r>
          <a:r>
            <a:rPr lang="es-ES" sz="1200">
              <a:solidFill>
                <a:sysClr val="windowText" lastClr="000000"/>
              </a:solidFill>
            </a:rPr>
            <a:t> son los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salidas</a:t>
          </a:r>
          <a:r>
            <a:rPr lang="es-ES" sz="1200">
              <a:solidFill>
                <a:sysClr val="windowText" lastClr="000000"/>
              </a:solidFill>
            </a:rPr>
            <a:t>) de otros sectores que sirven como dato de actividad para el sector en el que se encuentran incluidas. Esto derivado de la interconexión que existe entre los sectores involucrados. Estos datos se muestran en la </a:t>
          </a:r>
          <a:r>
            <a:rPr lang="es-ES" sz="1200" b="1">
              <a:solidFill>
                <a:schemeClr val="accent2">
                  <a:lumMod val="75000"/>
                </a:schemeClr>
              </a:solidFill>
              <a:effectLst/>
              <a:latin typeface="+mn-lt"/>
              <a:ea typeface="+mn-ea"/>
              <a:cs typeface="+mn-cs"/>
            </a:rPr>
            <a:t>sección</a:t>
          </a:r>
          <a:r>
            <a:rPr lang="es-ES" sz="1200">
              <a:solidFill>
                <a:sysClr val="windowText" lastClr="000000"/>
              </a:solidFill>
            </a:rPr>
            <a:t> </a:t>
          </a:r>
          <a:r>
            <a:rPr lang="es-ES" sz="1200" b="1">
              <a:solidFill>
                <a:schemeClr val="accent2">
                  <a:lumMod val="75000"/>
                </a:schemeClr>
              </a:solidFill>
              <a:effectLst/>
              <a:latin typeface="+mn-lt"/>
              <a:ea typeface="+mn-ea"/>
              <a:cs typeface="+mn-cs"/>
            </a:rPr>
            <a:t>entradas</a:t>
          </a:r>
          <a:r>
            <a:rPr lang="es-ES" sz="1200">
              <a:solidFill>
                <a:sysClr val="windowText" lastClr="000000"/>
              </a:solidFill>
            </a:rPr>
            <a:t>.  </a:t>
          </a:r>
        </a:p>
      </xdr:txBody>
    </xdr:sp>
    <xdr:clientData/>
  </xdr:oneCellAnchor>
  <xdr:twoCellAnchor>
    <xdr:from>
      <xdr:col>2</xdr:col>
      <xdr:colOff>9525</xdr:colOff>
      <xdr:row>95</xdr:row>
      <xdr:rowOff>47213</xdr:rowOff>
    </xdr:from>
    <xdr:to>
      <xdr:col>2</xdr:col>
      <xdr:colOff>751767</xdr:colOff>
      <xdr:row>99</xdr:row>
      <xdr:rowOff>66674</xdr:rowOff>
    </xdr:to>
    <xdr:grpSp>
      <xdr:nvGrpSpPr>
        <xdr:cNvPr id="12353" name="Grupo 107">
          <a:extLst>
            <a:ext uri="{FF2B5EF4-FFF2-40B4-BE49-F238E27FC236}">
              <a16:creationId xmlns:a16="http://schemas.microsoft.com/office/drawing/2014/main" id="{00000000-0008-0000-0300-000041300000}"/>
            </a:ext>
          </a:extLst>
        </xdr:cNvPr>
        <xdr:cNvGrpSpPr/>
      </xdr:nvGrpSpPr>
      <xdr:grpSpPr>
        <a:xfrm>
          <a:off x="2152650" y="18144713"/>
          <a:ext cx="742242" cy="781461"/>
          <a:chOff x="3811172" y="14374468"/>
          <a:chExt cx="587432" cy="600486"/>
        </a:xfrm>
      </xdr:grpSpPr>
      <xdr:pic>
        <xdr:nvPicPr>
          <xdr:cNvPr id="12354" name="Gráfico 108" descr="Lupa con relleno sólido">
            <a:extLst>
              <a:ext uri="{FF2B5EF4-FFF2-40B4-BE49-F238E27FC236}">
                <a16:creationId xmlns:a16="http://schemas.microsoft.com/office/drawing/2014/main" id="{00000000-0008-0000-0300-000042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600486"/>
          </a:xfrm>
          <a:prstGeom prst="rect">
            <a:avLst/>
          </a:prstGeom>
        </xdr:spPr>
      </xdr:pic>
      <xdr:sp macro="" textlink="">
        <xdr:nvSpPr>
          <xdr:cNvPr id="12355" name="CuadroTexto 28">
            <a:extLst>
              <a:ext uri="{FF2B5EF4-FFF2-40B4-BE49-F238E27FC236}">
                <a16:creationId xmlns:a16="http://schemas.microsoft.com/office/drawing/2014/main" id="{00000000-0008-0000-0300-000043300000}"/>
              </a:ext>
            </a:extLst>
          </xdr:cNvPr>
          <xdr:cNvSpPr txBox="1"/>
        </xdr:nvSpPr>
        <xdr:spPr>
          <a:xfrm>
            <a:off x="4028997" y="14447642"/>
            <a:ext cx="30976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accent2">
                    <a:lumMod val="75000"/>
                  </a:schemeClr>
                </a:solidFill>
              </a:rPr>
              <a:t>E</a:t>
            </a:r>
          </a:p>
        </xdr:txBody>
      </xdr:sp>
    </xdr:grpSp>
    <xdr:clientData/>
  </xdr:twoCellAnchor>
  <xdr:twoCellAnchor>
    <xdr:from>
      <xdr:col>2</xdr:col>
      <xdr:colOff>9525</xdr:colOff>
      <xdr:row>101</xdr:row>
      <xdr:rowOff>142875</xdr:rowOff>
    </xdr:from>
    <xdr:to>
      <xdr:col>3</xdr:col>
      <xdr:colOff>10138</xdr:colOff>
      <xdr:row>105</xdr:row>
      <xdr:rowOff>104775</xdr:rowOff>
    </xdr:to>
    <xdr:grpSp>
      <xdr:nvGrpSpPr>
        <xdr:cNvPr id="12344" name="Grupo 114">
          <a:extLst>
            <a:ext uri="{FF2B5EF4-FFF2-40B4-BE49-F238E27FC236}">
              <a16:creationId xmlns:a16="http://schemas.microsoft.com/office/drawing/2014/main" id="{00000000-0008-0000-0300-000038300000}"/>
            </a:ext>
          </a:extLst>
        </xdr:cNvPr>
        <xdr:cNvGrpSpPr/>
      </xdr:nvGrpSpPr>
      <xdr:grpSpPr>
        <a:xfrm>
          <a:off x="2152650" y="19383375"/>
          <a:ext cx="762613" cy="842963"/>
          <a:chOff x="3811172" y="14374468"/>
          <a:chExt cx="605401" cy="600486"/>
        </a:xfrm>
      </xdr:grpSpPr>
      <xdr:pic>
        <xdr:nvPicPr>
          <xdr:cNvPr id="12345" name="Gráfico 115" descr="Lupa con relleno sólido">
            <a:extLst>
              <a:ext uri="{FF2B5EF4-FFF2-40B4-BE49-F238E27FC236}">
                <a16:creationId xmlns:a16="http://schemas.microsoft.com/office/drawing/2014/main" id="{00000000-0008-0000-0300-000039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600486"/>
          </a:xfrm>
          <a:prstGeom prst="rect">
            <a:avLst/>
          </a:prstGeom>
        </xdr:spPr>
      </xdr:pic>
      <xdr:sp macro="" textlink="">
        <xdr:nvSpPr>
          <xdr:cNvPr id="12346" name="CuadroTexto 28">
            <a:extLst>
              <a:ext uri="{FF2B5EF4-FFF2-40B4-BE49-F238E27FC236}">
                <a16:creationId xmlns:a16="http://schemas.microsoft.com/office/drawing/2014/main" id="{00000000-0008-0000-0300-00003A300000}"/>
              </a:ext>
            </a:extLst>
          </xdr:cNvPr>
          <xdr:cNvSpPr txBox="1"/>
        </xdr:nvSpPr>
        <xdr:spPr>
          <a:xfrm>
            <a:off x="3983698" y="14451563"/>
            <a:ext cx="432875" cy="394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ES" sz="2000" b="1">
                <a:solidFill>
                  <a:schemeClr val="accent2">
                    <a:lumMod val="75000"/>
                  </a:schemeClr>
                </a:solidFill>
              </a:rPr>
              <a:t>ST</a:t>
            </a:r>
          </a:p>
        </xdr:txBody>
      </xdr:sp>
    </xdr:grpSp>
    <xdr:clientData/>
  </xdr:twoCellAnchor>
  <xdr:oneCellAnchor>
    <xdr:from>
      <xdr:col>2</xdr:col>
      <xdr:colOff>733425</xdr:colOff>
      <xdr:row>104</xdr:row>
      <xdr:rowOff>71280</xdr:rowOff>
    </xdr:from>
    <xdr:ext cx="10020300" cy="643095"/>
    <xdr:sp macro="" textlink="">
      <xdr:nvSpPr>
        <xdr:cNvPr id="118" name="CuadroTexto 117">
          <a:extLst>
            <a:ext uri="{FF2B5EF4-FFF2-40B4-BE49-F238E27FC236}">
              <a16:creationId xmlns:a16="http://schemas.microsoft.com/office/drawing/2014/main" id="{00000000-0008-0000-0300-000076000000}"/>
            </a:ext>
          </a:extLst>
        </xdr:cNvPr>
        <xdr:cNvSpPr txBox="1"/>
      </xdr:nvSpPr>
      <xdr:spPr>
        <a:xfrm>
          <a:off x="2876550" y="17597280"/>
          <a:ext cx="10020300" cy="643095"/>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eaLnBrk="1" fontAlgn="auto" latinLnBrk="0" hangingPunct="1"/>
          <a:r>
            <a:rPr lang="es-ES" sz="1100">
              <a:solidFill>
                <a:schemeClr val="tx1"/>
              </a:solidFill>
              <a:effectLst/>
              <a:latin typeface="+mn-lt"/>
              <a:ea typeface="+mn-ea"/>
              <a:cs typeface="+mn-cs"/>
            </a:rPr>
            <a:t>Estos</a:t>
          </a:r>
          <a:r>
            <a:rPr lang="es-ES" sz="1100" baseline="0">
              <a:solidFill>
                <a:schemeClr val="tx1"/>
              </a:solidFill>
              <a:effectLst/>
              <a:latin typeface="+mn-lt"/>
              <a:ea typeface="+mn-ea"/>
              <a:cs typeface="+mn-cs"/>
            </a:rPr>
            <a:t> supuestos son </a:t>
          </a:r>
          <a:r>
            <a:rPr lang="es-ES" sz="1200" b="1">
              <a:solidFill>
                <a:schemeClr val="accent2">
                  <a:lumMod val="75000"/>
                </a:schemeClr>
              </a:solidFill>
              <a:effectLst/>
              <a:latin typeface="+mn-lt"/>
              <a:ea typeface="+mn-ea"/>
              <a:cs typeface="+mn-cs"/>
            </a:rPr>
            <a:t>valores</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que</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varían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en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función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de</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la</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trayectoria</a:t>
          </a:r>
          <a:r>
            <a:rPr lang="es-ES" sz="1100" b="1" baseline="0">
              <a:solidFill>
                <a:schemeClr val="tx1"/>
              </a:solidFill>
              <a:effectLst/>
              <a:latin typeface="+mn-lt"/>
              <a:ea typeface="+mn-ea"/>
              <a:cs typeface="+mn-cs"/>
            </a:rPr>
            <a:t> </a:t>
          </a:r>
          <a:r>
            <a:rPr lang="es-ES" sz="1100" baseline="0">
              <a:solidFill>
                <a:schemeClr val="tx1"/>
              </a:solidFill>
              <a:effectLst/>
              <a:latin typeface="+mn-lt"/>
              <a:ea typeface="+mn-ea"/>
              <a:cs typeface="+mn-cs"/>
            </a:rPr>
            <a:t>seleccionada </a:t>
          </a:r>
          <a:r>
            <a:rPr lang="es-ES" sz="1100" b="1" baseline="0">
              <a:solidFill>
                <a:schemeClr val="tx1"/>
              </a:solidFill>
              <a:effectLst/>
              <a:latin typeface="+mn-lt"/>
              <a:ea typeface="+mn-ea"/>
              <a:cs typeface="+mn-cs"/>
            </a:rPr>
            <a:t>(</a:t>
          </a:r>
          <a:r>
            <a:rPr lang="es-ES" sz="1200" b="1">
              <a:solidFill>
                <a:schemeClr val="accent2">
                  <a:lumMod val="75000"/>
                </a:schemeClr>
              </a:solidFill>
              <a:effectLst/>
              <a:latin typeface="+mn-lt"/>
              <a:ea typeface="+mn-ea"/>
              <a:cs typeface="+mn-cs"/>
            </a:rPr>
            <a:t>ver</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Trayectorias</a:t>
          </a:r>
          <a:r>
            <a:rPr lang="es-ES" sz="1100" b="1" baseline="0">
              <a:solidFill>
                <a:schemeClr val="tx1"/>
              </a:solidFill>
              <a:effectLst/>
              <a:latin typeface="+mn-lt"/>
              <a:ea typeface="+mn-ea"/>
              <a:cs typeface="+mn-cs"/>
            </a:rPr>
            <a:t>)</a:t>
          </a:r>
          <a:r>
            <a:rPr lang="es-ES" sz="1100" baseline="0">
              <a:solidFill>
                <a:schemeClr val="tx1"/>
              </a:solidFill>
              <a:effectLst/>
              <a:latin typeface="+mn-lt"/>
              <a:ea typeface="+mn-ea"/>
              <a:cs typeface="+mn-cs"/>
            </a:rPr>
            <a:t>. </a:t>
          </a:r>
        </a:p>
        <a:p>
          <a:pPr eaLnBrk="1" fontAlgn="auto" latinLnBrk="0" hangingPunct="1"/>
          <a:endParaRPr lang="es-ES" sz="1200">
            <a:effectLst/>
          </a:endParaRPr>
        </a:p>
        <a:p>
          <a:pPr eaLnBrk="1" fontAlgn="auto" latinLnBrk="0" hangingPunct="1"/>
          <a:r>
            <a:rPr lang="es-ES" sz="1100" b="0">
              <a:solidFill>
                <a:schemeClr val="tx1"/>
              </a:solidFill>
              <a:effectLst/>
              <a:latin typeface="+mn-lt"/>
              <a:ea typeface="+mn-ea"/>
              <a:cs typeface="+mn-cs"/>
            </a:rPr>
            <a:t>Estas trayectorias son automáticamente aplicadas a todas las estimaciones</a:t>
          </a:r>
          <a:r>
            <a:rPr lang="es-ES" sz="1100" b="0" baseline="0">
              <a:solidFill>
                <a:schemeClr val="tx1"/>
              </a:solidFill>
              <a:effectLst/>
              <a:latin typeface="+mn-lt"/>
              <a:ea typeface="+mn-ea"/>
              <a:cs typeface="+mn-cs"/>
            </a:rPr>
            <a:t> </a:t>
          </a:r>
          <a:r>
            <a:rPr lang="es-ES" sz="1100" b="0">
              <a:solidFill>
                <a:schemeClr val="tx1"/>
              </a:solidFill>
              <a:effectLst/>
              <a:latin typeface="+mn-lt"/>
              <a:ea typeface="+mn-ea"/>
              <a:cs typeface="+mn-cs"/>
            </a:rPr>
            <a:t>contempladas por la herramienta.</a:t>
          </a:r>
          <a:endParaRPr lang="es-ES" sz="1200">
            <a:effectLst/>
          </a:endParaRPr>
        </a:p>
      </xdr:txBody>
    </xdr:sp>
    <xdr:clientData/>
  </xdr:oneCellAnchor>
  <xdr:twoCellAnchor>
    <xdr:from>
      <xdr:col>2</xdr:col>
      <xdr:colOff>57150</xdr:colOff>
      <xdr:row>109</xdr:row>
      <xdr:rowOff>76200</xdr:rowOff>
    </xdr:from>
    <xdr:to>
      <xdr:col>3</xdr:col>
      <xdr:colOff>66673</xdr:colOff>
      <xdr:row>112</xdr:row>
      <xdr:rowOff>57144</xdr:rowOff>
    </xdr:to>
    <xdr:grpSp>
      <xdr:nvGrpSpPr>
        <xdr:cNvPr id="12311" name="Grupo 121">
          <a:extLst>
            <a:ext uri="{FF2B5EF4-FFF2-40B4-BE49-F238E27FC236}">
              <a16:creationId xmlns:a16="http://schemas.microsoft.com/office/drawing/2014/main" id="{00000000-0008-0000-0300-000017300000}"/>
            </a:ext>
          </a:extLst>
        </xdr:cNvPr>
        <xdr:cNvGrpSpPr/>
      </xdr:nvGrpSpPr>
      <xdr:grpSpPr>
        <a:xfrm>
          <a:off x="2200275" y="21007388"/>
          <a:ext cx="771523" cy="552444"/>
          <a:chOff x="3811172" y="14374468"/>
          <a:chExt cx="618690" cy="547529"/>
        </a:xfrm>
      </xdr:grpSpPr>
      <xdr:pic>
        <xdr:nvPicPr>
          <xdr:cNvPr id="12312" name="Gráfico 122" descr="Lupa con relleno sólido">
            <a:extLst>
              <a:ext uri="{FF2B5EF4-FFF2-40B4-BE49-F238E27FC236}">
                <a16:creationId xmlns:a16="http://schemas.microsoft.com/office/drawing/2014/main" id="{00000000-0008-0000-0300-000018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547529"/>
          </a:xfrm>
          <a:prstGeom prst="rect">
            <a:avLst/>
          </a:prstGeom>
        </xdr:spPr>
      </xdr:pic>
      <xdr:sp macro="" textlink="">
        <xdr:nvSpPr>
          <xdr:cNvPr id="12313" name="CuadroTexto 28">
            <a:extLst>
              <a:ext uri="{FF2B5EF4-FFF2-40B4-BE49-F238E27FC236}">
                <a16:creationId xmlns:a16="http://schemas.microsoft.com/office/drawing/2014/main" id="{00000000-0008-0000-0300-000019300000}"/>
              </a:ext>
            </a:extLst>
          </xdr:cNvPr>
          <xdr:cNvSpPr txBox="1"/>
        </xdr:nvSpPr>
        <xdr:spPr>
          <a:xfrm>
            <a:off x="3991713" y="14437341"/>
            <a:ext cx="438149" cy="332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b="1">
                <a:solidFill>
                  <a:schemeClr val="accent2">
                    <a:lumMod val="75000"/>
                  </a:schemeClr>
                </a:solidFill>
              </a:rPr>
              <a:t>SF</a:t>
            </a:r>
          </a:p>
        </xdr:txBody>
      </xdr:sp>
    </xdr:grpSp>
    <xdr:clientData/>
  </xdr:twoCellAnchor>
  <xdr:oneCellAnchor>
    <xdr:from>
      <xdr:col>2</xdr:col>
      <xdr:colOff>733425</xdr:colOff>
      <xdr:row>111</xdr:row>
      <xdr:rowOff>157005</xdr:rowOff>
    </xdr:from>
    <xdr:ext cx="10020300" cy="624045"/>
    <xdr:sp macro="" textlink="">
      <xdr:nvSpPr>
        <xdr:cNvPr id="125" name="CuadroTexto 124">
          <a:extLst>
            <a:ext uri="{FF2B5EF4-FFF2-40B4-BE49-F238E27FC236}">
              <a16:creationId xmlns:a16="http://schemas.microsoft.com/office/drawing/2014/main" id="{00000000-0008-0000-0300-00007D000000}"/>
            </a:ext>
          </a:extLst>
        </xdr:cNvPr>
        <xdr:cNvSpPr txBox="1"/>
      </xdr:nvSpPr>
      <xdr:spPr>
        <a:xfrm>
          <a:off x="2876550" y="19969005"/>
          <a:ext cx="10020300" cy="624045"/>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t>Estos supuestos son los </a:t>
          </a:r>
          <a:r>
            <a:rPr lang="es-ES" sz="1200" b="1">
              <a:solidFill>
                <a:schemeClr val="accent2">
                  <a:lumMod val="75000"/>
                </a:schemeClr>
              </a:solidFill>
              <a:effectLst/>
              <a:latin typeface="+mn-lt"/>
              <a:ea typeface="+mn-ea"/>
              <a:cs typeface="+mn-cs"/>
            </a:rPr>
            <a:t>valores</a:t>
          </a:r>
          <a:r>
            <a:rPr lang="es-ES" sz="1200"/>
            <a:t> </a:t>
          </a:r>
          <a:r>
            <a:rPr lang="es-ES" sz="1200" b="1">
              <a:solidFill>
                <a:schemeClr val="accent2">
                  <a:lumMod val="75000"/>
                </a:schemeClr>
              </a:solidFill>
              <a:effectLst/>
              <a:latin typeface="+mn-lt"/>
              <a:ea typeface="+mn-ea"/>
              <a:cs typeface="+mn-cs"/>
            </a:rPr>
            <a:t>que</a:t>
          </a:r>
          <a:r>
            <a:rPr lang="es-ES" sz="1200"/>
            <a:t> </a:t>
          </a:r>
          <a:r>
            <a:rPr lang="es-ES" sz="1200" b="1">
              <a:solidFill>
                <a:schemeClr val="accent2">
                  <a:lumMod val="75000"/>
                </a:schemeClr>
              </a:solidFill>
              <a:effectLst/>
              <a:latin typeface="+mn-lt"/>
              <a:ea typeface="+mn-ea"/>
              <a:cs typeface="+mn-cs"/>
            </a:rPr>
            <a:t>no</a:t>
          </a:r>
          <a:r>
            <a:rPr lang="es-ES" sz="1200"/>
            <a:t> </a:t>
          </a:r>
          <a:r>
            <a:rPr lang="es-ES" sz="1200" b="1">
              <a:solidFill>
                <a:schemeClr val="accent2">
                  <a:lumMod val="75000"/>
                </a:schemeClr>
              </a:solidFill>
              <a:effectLst/>
              <a:latin typeface="+mn-lt"/>
              <a:ea typeface="+mn-ea"/>
              <a:cs typeface="+mn-cs"/>
            </a:rPr>
            <a:t>cambian</a:t>
          </a:r>
          <a:r>
            <a:rPr lang="es-ES" sz="1200"/>
            <a:t> por la trayectoria seleccionada. Pueden ser representados por un solo valor para la proyección 2018-2050 o bien, mostrar valores diferentes para cada periodo establecido, es decir, para cada 5 años, según la medida sectorial.</a:t>
          </a:r>
        </a:p>
      </xdr:txBody>
    </xdr:sp>
    <xdr:clientData/>
  </xdr:oneCellAnchor>
  <xdr:oneCellAnchor>
    <xdr:from>
      <xdr:col>2</xdr:col>
      <xdr:colOff>752475</xdr:colOff>
      <xdr:row>124</xdr:row>
      <xdr:rowOff>92713</xdr:rowOff>
    </xdr:from>
    <xdr:ext cx="10020300" cy="612138"/>
    <xdr:sp macro="" textlink="">
      <xdr:nvSpPr>
        <xdr:cNvPr id="129" name="CuadroTexto 128">
          <a:extLst>
            <a:ext uri="{FF2B5EF4-FFF2-40B4-BE49-F238E27FC236}">
              <a16:creationId xmlns:a16="http://schemas.microsoft.com/office/drawing/2014/main" id="{00000000-0008-0000-0300-000081000000}"/>
            </a:ext>
          </a:extLst>
        </xdr:cNvPr>
        <xdr:cNvSpPr txBox="1"/>
      </xdr:nvSpPr>
      <xdr:spPr>
        <a:xfrm>
          <a:off x="2895600" y="21409663"/>
          <a:ext cx="10020300" cy="612138"/>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b="0">
              <a:solidFill>
                <a:schemeClr val="tx1"/>
              </a:solidFill>
              <a:effectLst/>
              <a:latin typeface="+mn-lt"/>
              <a:ea typeface="+mn-ea"/>
              <a:cs typeface="+mn-cs"/>
            </a:rPr>
            <a:t>Los</a:t>
          </a:r>
          <a:r>
            <a:rPr lang="es-ES" sz="1200" b="0"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resultados</a:t>
          </a:r>
          <a:r>
            <a:rPr lang="es-ES" sz="1200" b="0" baseline="0">
              <a:solidFill>
                <a:schemeClr val="tx1"/>
              </a:solidFill>
              <a:effectLst/>
              <a:latin typeface="+mn-lt"/>
              <a:ea typeface="+mn-ea"/>
              <a:cs typeface="+mn-cs"/>
            </a:rPr>
            <a:t> de los diferentes módulos son mostrados en esta sección. En algunos casos, estos datos de salida son enviados bien a otros sectores o subsectores como entrada o bien, se muestran de forma gráfica. </a:t>
          </a:r>
          <a:endParaRPr lang="es-ES" sz="1200">
            <a:effectLst/>
          </a:endParaRPr>
        </a:p>
      </xdr:txBody>
    </xdr:sp>
    <xdr:clientData/>
  </xdr:oneCellAnchor>
  <xdr:twoCellAnchor>
    <xdr:from>
      <xdr:col>0</xdr:col>
      <xdr:colOff>0</xdr:colOff>
      <xdr:row>34</xdr:row>
      <xdr:rowOff>0</xdr:rowOff>
    </xdr:from>
    <xdr:to>
      <xdr:col>0</xdr:col>
      <xdr:colOff>1240383</xdr:colOff>
      <xdr:row>36</xdr:row>
      <xdr:rowOff>35889</xdr:rowOff>
    </xdr:to>
    <xdr:grpSp>
      <xdr:nvGrpSpPr>
        <xdr:cNvPr id="93" name="Grupo 92">
          <a:hlinkClick xmlns:r="http://schemas.openxmlformats.org/officeDocument/2006/relationships" r:id="rId28"/>
          <a:extLst>
            <a:ext uri="{FF2B5EF4-FFF2-40B4-BE49-F238E27FC236}">
              <a16:creationId xmlns:a16="http://schemas.microsoft.com/office/drawing/2014/main" id="{00000000-0008-0000-0300-00005D000000}"/>
            </a:ext>
          </a:extLst>
        </xdr:cNvPr>
        <xdr:cNvGrpSpPr/>
      </xdr:nvGrpSpPr>
      <xdr:grpSpPr>
        <a:xfrm>
          <a:off x="0" y="6477000"/>
          <a:ext cx="1240383" cy="416889"/>
          <a:chOff x="28575" y="6381750"/>
          <a:chExt cx="1240383" cy="416889"/>
        </a:xfrm>
      </xdr:grpSpPr>
      <xdr:pic>
        <xdr:nvPicPr>
          <xdr:cNvPr id="95" name="Gráfico 94" descr="Engranaje único con relleno sólido">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98" name="CuadroTexto 97">
            <a:extLst>
              <a:ext uri="{FF2B5EF4-FFF2-40B4-BE49-F238E27FC236}">
                <a16:creationId xmlns:a16="http://schemas.microsoft.com/office/drawing/2014/main" id="{00000000-0008-0000-0300-00006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12</xdr:col>
      <xdr:colOff>19051</xdr:colOff>
      <xdr:row>26</xdr:row>
      <xdr:rowOff>190499</xdr:rowOff>
    </xdr:from>
    <xdr:to>
      <xdr:col>15</xdr:col>
      <xdr:colOff>638175</xdr:colOff>
      <xdr:row>31</xdr:row>
      <xdr:rowOff>85725</xdr:rowOff>
    </xdr:to>
    <xdr:grpSp>
      <xdr:nvGrpSpPr>
        <xdr:cNvPr id="11911" name="Grupo 25">
          <a:hlinkClick xmlns:r="http://schemas.openxmlformats.org/officeDocument/2006/relationships" r:id="rId31"/>
          <a:extLst>
            <a:ext uri="{FF2B5EF4-FFF2-40B4-BE49-F238E27FC236}">
              <a16:creationId xmlns:a16="http://schemas.microsoft.com/office/drawing/2014/main" id="{00000000-0008-0000-0300-0000872E0000}"/>
            </a:ext>
          </a:extLst>
        </xdr:cNvPr>
        <xdr:cNvGrpSpPr/>
      </xdr:nvGrpSpPr>
      <xdr:grpSpPr>
        <a:xfrm>
          <a:off x="9782176" y="5143499"/>
          <a:ext cx="2905124" cy="847726"/>
          <a:chOff x="2743201" y="8181974"/>
          <a:chExt cx="2905124" cy="847726"/>
        </a:xfrm>
      </xdr:grpSpPr>
      <xdr:grpSp>
        <xdr:nvGrpSpPr>
          <xdr:cNvPr id="11912" name="Grupo 12">
            <a:extLst>
              <a:ext uri="{FF2B5EF4-FFF2-40B4-BE49-F238E27FC236}">
                <a16:creationId xmlns:a16="http://schemas.microsoft.com/office/drawing/2014/main" id="{00000000-0008-0000-0300-0000882E0000}"/>
              </a:ext>
            </a:extLst>
          </xdr:cNvPr>
          <xdr:cNvGrpSpPr/>
        </xdr:nvGrpSpPr>
        <xdr:grpSpPr>
          <a:xfrm>
            <a:off x="2743201" y="8181974"/>
            <a:ext cx="2628900" cy="590551"/>
            <a:chOff x="2114551" y="8181974"/>
            <a:chExt cx="2628900" cy="590551"/>
          </a:xfrm>
        </xdr:grpSpPr>
        <xdr:sp macro="" textlink="">
          <xdr:nvSpPr>
            <xdr:cNvPr id="11913" name="Rectángulo: esquinas redondeadas 100">
              <a:extLst>
                <a:ext uri="{FF2B5EF4-FFF2-40B4-BE49-F238E27FC236}">
                  <a16:creationId xmlns:a16="http://schemas.microsoft.com/office/drawing/2014/main" id="{00000000-0008-0000-0300-0000892E0000}"/>
                </a:ext>
              </a:extLst>
            </xdr:cNvPr>
            <xdr:cNvSpPr/>
          </xdr:nvSpPr>
          <xdr:spPr>
            <a:xfrm>
              <a:off x="2114551" y="8201025"/>
              <a:ext cx="2628900" cy="561975"/>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800" b="1"/>
                <a:t>GLOSARIO</a:t>
              </a:r>
              <a:r>
                <a:rPr lang="es-ES" sz="1800" b="1" baseline="0"/>
                <a:t> </a:t>
              </a:r>
              <a:endParaRPr lang="es-ES" sz="1800" b="1"/>
            </a:p>
          </xdr:txBody>
        </xdr:sp>
        <xdr:pic>
          <xdr:nvPicPr>
            <xdr:cNvPr id="11914" name="Gráfico 102" descr="Libro abierto con relleno sólido">
              <a:extLst>
                <a:ext uri="{FF2B5EF4-FFF2-40B4-BE49-F238E27FC236}">
                  <a16:creationId xmlns:a16="http://schemas.microsoft.com/office/drawing/2014/main" id="{00000000-0008-0000-0300-00008A2E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4057650" y="8181974"/>
              <a:ext cx="590551" cy="590551"/>
            </a:xfrm>
            <a:prstGeom prst="rect">
              <a:avLst/>
            </a:prstGeom>
          </xdr:spPr>
        </xdr:pic>
      </xdr:grpSp>
      <xdr:pic>
        <xdr:nvPicPr>
          <xdr:cNvPr id="11915" name="Gráfico 21" descr="Cursor con relleno sólido">
            <a:extLst>
              <a:ext uri="{FF2B5EF4-FFF2-40B4-BE49-F238E27FC236}">
                <a16:creationId xmlns:a16="http://schemas.microsoft.com/office/drawing/2014/main" id="{00000000-0008-0000-0300-00008B2E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5286375" y="8667750"/>
            <a:ext cx="361950" cy="361950"/>
          </a:xfrm>
          <a:prstGeom prst="rect">
            <a:avLst/>
          </a:prstGeom>
        </xdr:spPr>
      </xdr:pic>
    </xdr:grpSp>
    <xdr:clientData/>
  </xdr:twoCellAnchor>
  <xdr:twoCellAnchor>
    <xdr:from>
      <xdr:col>11</xdr:col>
      <xdr:colOff>742950</xdr:colOff>
      <xdr:row>32</xdr:row>
      <xdr:rowOff>133351</xdr:rowOff>
    </xdr:from>
    <xdr:to>
      <xdr:col>15</xdr:col>
      <xdr:colOff>619125</xdr:colOff>
      <xdr:row>37</xdr:row>
      <xdr:rowOff>19049</xdr:rowOff>
    </xdr:to>
    <xdr:grpSp>
      <xdr:nvGrpSpPr>
        <xdr:cNvPr id="11916" name="Grupo 22">
          <a:hlinkClick xmlns:r="http://schemas.openxmlformats.org/officeDocument/2006/relationships" r:id="rId36"/>
          <a:extLst>
            <a:ext uri="{FF2B5EF4-FFF2-40B4-BE49-F238E27FC236}">
              <a16:creationId xmlns:a16="http://schemas.microsoft.com/office/drawing/2014/main" id="{00000000-0008-0000-0300-00008C2E0000}"/>
            </a:ext>
          </a:extLst>
        </xdr:cNvPr>
        <xdr:cNvGrpSpPr/>
      </xdr:nvGrpSpPr>
      <xdr:grpSpPr>
        <a:xfrm>
          <a:off x="9744075" y="6229351"/>
          <a:ext cx="2924175" cy="838198"/>
          <a:chOff x="8896350" y="8162927"/>
          <a:chExt cx="2924175" cy="838198"/>
        </a:xfrm>
      </xdr:grpSpPr>
      <xdr:grpSp>
        <xdr:nvGrpSpPr>
          <xdr:cNvPr id="11918" name="Grupo 17">
            <a:extLst>
              <a:ext uri="{FF2B5EF4-FFF2-40B4-BE49-F238E27FC236}">
                <a16:creationId xmlns:a16="http://schemas.microsoft.com/office/drawing/2014/main" id="{00000000-0008-0000-0300-00008E2E0000}"/>
              </a:ext>
            </a:extLst>
          </xdr:cNvPr>
          <xdr:cNvGrpSpPr/>
        </xdr:nvGrpSpPr>
        <xdr:grpSpPr>
          <a:xfrm>
            <a:off x="8896350" y="8162927"/>
            <a:ext cx="2667000" cy="561974"/>
            <a:chOff x="8267700" y="8181977"/>
            <a:chExt cx="2667000" cy="561974"/>
          </a:xfrm>
        </xdr:grpSpPr>
        <xdr:sp macro="" textlink="">
          <xdr:nvSpPr>
            <xdr:cNvPr id="11919" name="Rectángulo: esquinas redondeadas 101">
              <a:extLst>
                <a:ext uri="{FF2B5EF4-FFF2-40B4-BE49-F238E27FC236}">
                  <a16:creationId xmlns:a16="http://schemas.microsoft.com/office/drawing/2014/main" id="{00000000-0008-0000-0300-00008F2E0000}"/>
                </a:ext>
              </a:extLst>
            </xdr:cNvPr>
            <xdr:cNvSpPr/>
          </xdr:nvSpPr>
          <xdr:spPr>
            <a:xfrm>
              <a:off x="8267700" y="8181977"/>
              <a:ext cx="2667000" cy="56197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s-ES" sz="1800" b="1">
                  <a:solidFill>
                    <a:schemeClr val="lt1"/>
                  </a:solidFill>
                  <a:latin typeface="+mn-lt"/>
                  <a:ea typeface="+mn-ea"/>
                  <a:cs typeface="+mn-cs"/>
                </a:rPr>
                <a:t>EQUIVALENCIAS IPCC </a:t>
              </a:r>
            </a:p>
          </xdr:txBody>
        </xdr:sp>
        <xdr:pic>
          <xdr:nvPicPr>
            <xdr:cNvPr id="11920" name="Gráfico 16" descr="Mezclar con relleno sólido">
              <a:extLst>
                <a:ext uri="{FF2B5EF4-FFF2-40B4-BE49-F238E27FC236}">
                  <a16:creationId xmlns:a16="http://schemas.microsoft.com/office/drawing/2014/main" id="{00000000-0008-0000-0300-0000902E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10429875" y="8277223"/>
              <a:ext cx="419102" cy="419102"/>
            </a:xfrm>
            <a:prstGeom prst="rect">
              <a:avLst/>
            </a:prstGeom>
          </xdr:spPr>
        </xdr:pic>
      </xdr:grpSp>
      <xdr:pic>
        <xdr:nvPicPr>
          <xdr:cNvPr id="11921" name="Gráfico 103" descr="Cursor con relleno sólido">
            <a:extLst>
              <a:ext uri="{FF2B5EF4-FFF2-40B4-BE49-F238E27FC236}">
                <a16:creationId xmlns:a16="http://schemas.microsoft.com/office/drawing/2014/main" id="{00000000-0008-0000-0300-0000912E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1458575" y="8639175"/>
            <a:ext cx="361950" cy="361950"/>
          </a:xfrm>
          <a:prstGeom prst="rect">
            <a:avLst/>
          </a:prstGeom>
        </xdr:spPr>
      </xdr:pic>
    </xdr:grpSp>
    <xdr:clientData/>
  </xdr:twoCellAnchor>
  <xdr:twoCellAnchor>
    <xdr:from>
      <xdr:col>1</xdr:col>
      <xdr:colOff>3663</xdr:colOff>
      <xdr:row>131</xdr:row>
      <xdr:rowOff>12272</xdr:rowOff>
    </xdr:from>
    <xdr:to>
      <xdr:col>16</xdr:col>
      <xdr:colOff>38100</xdr:colOff>
      <xdr:row>161</xdr:row>
      <xdr:rowOff>85737</xdr:rowOff>
    </xdr:to>
    <xdr:grpSp>
      <xdr:nvGrpSpPr>
        <xdr:cNvPr id="28" name="Grupo 27">
          <a:extLst>
            <a:ext uri="{FF2B5EF4-FFF2-40B4-BE49-F238E27FC236}">
              <a16:creationId xmlns:a16="http://schemas.microsoft.com/office/drawing/2014/main" id="{00000000-0008-0000-0300-00001C000000}"/>
            </a:ext>
          </a:extLst>
        </xdr:cNvPr>
        <xdr:cNvGrpSpPr/>
      </xdr:nvGrpSpPr>
      <xdr:grpSpPr>
        <a:xfrm>
          <a:off x="1384788" y="25432116"/>
          <a:ext cx="11464437" cy="5859902"/>
          <a:chOff x="1381125" y="23170122"/>
          <a:chExt cx="11468100" cy="4928628"/>
        </a:xfrm>
      </xdr:grpSpPr>
      <xdr:sp macro="" textlink="">
        <xdr:nvSpPr>
          <xdr:cNvPr id="132" name="Rectángulo: esquinas redondeadas 131">
            <a:extLst>
              <a:ext uri="{FF2B5EF4-FFF2-40B4-BE49-F238E27FC236}">
                <a16:creationId xmlns:a16="http://schemas.microsoft.com/office/drawing/2014/main" id="{00000000-0008-0000-0300-000084000000}"/>
              </a:ext>
            </a:extLst>
          </xdr:cNvPr>
          <xdr:cNvSpPr/>
        </xdr:nvSpPr>
        <xdr:spPr>
          <a:xfrm>
            <a:off x="2543175" y="25593675"/>
            <a:ext cx="10306050" cy="114300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92000" tIns="0" rIns="0" bIns="0" rtlCol="0" anchor="ctr"/>
          <a:lstStyle/>
          <a:p>
            <a:pPr algn="l"/>
            <a:r>
              <a:rPr lang="es-ES" sz="1200">
                <a:solidFill>
                  <a:sysClr val="windowText" lastClr="000000"/>
                </a:solidFill>
              </a:rPr>
              <a:t>Una vez seleccionadas las trayectorias es posible acceder a los escenarios donde</a:t>
            </a:r>
            <a:r>
              <a:rPr lang="es-ES" sz="1200" baseline="0">
                <a:solidFill>
                  <a:sysClr val="windowText" lastClr="000000"/>
                </a:solidFill>
              </a:rPr>
              <a:t> se construyen los modelos sectoriales, en ellas</a:t>
            </a:r>
            <a:r>
              <a:rPr lang="es-ES" sz="1200">
                <a:solidFill>
                  <a:sysClr val="windowText" lastClr="000000"/>
                </a:solidFill>
              </a:rPr>
              <a:t> donde se pueden analizar los datos de actividad utilizados, así como la metodología de cálculo (mostrada en las últimas celdas de cada sector). La Calculadora tiene habilitada la </a:t>
            </a:r>
            <a:r>
              <a:rPr lang="es-ES" sz="1200" b="1">
                <a:solidFill>
                  <a:schemeClr val="accent2">
                    <a:lumMod val="75000"/>
                  </a:schemeClr>
                </a:solidFill>
                <a:effectLst/>
                <a:latin typeface="+mn-lt"/>
                <a:ea typeface="+mn-ea"/>
                <a:cs typeface="+mn-cs"/>
              </a:rPr>
              <a:t>posibilidad de modificar los valores dispuestos en los supuestos de trayectoria y los supuestos fijos</a:t>
            </a:r>
            <a:r>
              <a:rPr lang="es-ES" sz="1200">
                <a:solidFill>
                  <a:sysClr val="windowText" lastClr="000000"/>
                </a:solidFill>
              </a:rPr>
              <a:t>, en el caso en que las trayectorias planteadas por la herramienta no se ajusten a las necesidades del usuario. Para</a:t>
            </a:r>
            <a:r>
              <a:rPr lang="es-ES" sz="1200" baseline="0">
                <a:solidFill>
                  <a:sysClr val="windowText" lastClr="000000"/>
                </a:solidFill>
              </a:rPr>
              <a:t> lo que se requiere </a:t>
            </a:r>
            <a:r>
              <a:rPr lang="es-ES" sz="1200" b="1" baseline="0">
                <a:solidFill>
                  <a:schemeClr val="accent2">
                    <a:lumMod val="75000"/>
                  </a:schemeClr>
                </a:solidFill>
              </a:rPr>
              <a:t>desbloquear la pestaña con la contraseña CCC2050</a:t>
            </a:r>
            <a:r>
              <a:rPr lang="es-ES" sz="1200" baseline="0">
                <a:solidFill>
                  <a:sysClr val="windowText" lastClr="000000"/>
                </a:solidFill>
              </a:rPr>
              <a:t>, para poder sustituir los valores.</a:t>
            </a:r>
          </a:p>
          <a:p>
            <a:pPr algn="l"/>
            <a:r>
              <a:rPr lang="es-ES" sz="1200">
                <a:solidFill>
                  <a:sysClr val="windowText" lastClr="000000"/>
                </a:solidFill>
              </a:rPr>
              <a:t>La selección de trayectoria se puede modificar desde las hojas de los escenarios mediante las flechas incluidas a la derecha de cada medida.</a:t>
            </a:r>
          </a:p>
        </xdr:txBody>
      </xdr:sp>
      <xdr:sp macro="" textlink="">
        <xdr:nvSpPr>
          <xdr:cNvPr id="133" name="Rectángulo: esquinas redondeadas 132">
            <a:extLst>
              <a:ext uri="{FF2B5EF4-FFF2-40B4-BE49-F238E27FC236}">
                <a16:creationId xmlns:a16="http://schemas.microsoft.com/office/drawing/2014/main" id="{00000000-0008-0000-0300-000085000000}"/>
              </a:ext>
            </a:extLst>
          </xdr:cNvPr>
          <xdr:cNvSpPr/>
        </xdr:nvSpPr>
        <xdr:spPr>
          <a:xfrm>
            <a:off x="2543175" y="27184350"/>
            <a:ext cx="10306050" cy="91440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00000" rtlCol="0" anchor="ctr"/>
          <a:lstStyle/>
          <a:p>
            <a:pPr algn="l"/>
            <a:r>
              <a:rPr lang="es-ES" sz="1200">
                <a:solidFill>
                  <a:sysClr val="windowText" lastClr="000000"/>
                </a:solidFill>
              </a:rPr>
              <a:t>Por último, en la sección de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se muestran los </a:t>
            </a:r>
            <a:r>
              <a:rPr lang="es-ES" sz="1200" b="1">
                <a:solidFill>
                  <a:schemeClr val="accent2">
                    <a:lumMod val="75000"/>
                  </a:schemeClr>
                </a:solidFill>
                <a:effectLst/>
                <a:latin typeface="+mn-lt"/>
                <a:ea typeface="+mn-ea"/>
                <a:cs typeface="+mn-cs"/>
              </a:rPr>
              <a:t>datos</a:t>
            </a:r>
            <a:r>
              <a:rPr lang="es-ES" sz="1200">
                <a:solidFill>
                  <a:sysClr val="windowText" lastClr="000000"/>
                </a:solidFill>
              </a:rPr>
              <a:t> </a:t>
            </a:r>
            <a:r>
              <a:rPr lang="es-ES" sz="1200" b="1">
                <a:solidFill>
                  <a:schemeClr val="accent2">
                    <a:lumMod val="75000"/>
                  </a:schemeClr>
                </a:solidFill>
                <a:effectLst/>
                <a:latin typeface="+mn-lt"/>
                <a:ea typeface="+mn-ea"/>
                <a:cs typeface="+mn-cs"/>
              </a:rPr>
              <a:t>tabulados</a:t>
            </a:r>
            <a:r>
              <a:rPr lang="es-ES" sz="1200">
                <a:solidFill>
                  <a:sysClr val="windowText" lastClr="000000"/>
                </a:solidFill>
              </a:rPr>
              <a:t> y de </a:t>
            </a:r>
            <a:r>
              <a:rPr lang="es-ES" sz="1200" b="1">
                <a:solidFill>
                  <a:schemeClr val="accent2">
                    <a:lumMod val="75000"/>
                  </a:schemeClr>
                </a:solidFill>
                <a:effectLst/>
                <a:latin typeface="+mn-lt"/>
                <a:ea typeface="+mn-ea"/>
                <a:cs typeface="+mn-cs"/>
              </a:rPr>
              <a:t>manera</a:t>
            </a:r>
            <a:r>
              <a:rPr lang="es-ES" sz="1200">
                <a:solidFill>
                  <a:sysClr val="windowText" lastClr="000000"/>
                </a:solidFill>
              </a:rPr>
              <a:t> </a:t>
            </a:r>
            <a:r>
              <a:rPr lang="es-ES" sz="1200" b="1">
                <a:solidFill>
                  <a:schemeClr val="accent2">
                    <a:lumMod val="75000"/>
                  </a:schemeClr>
                </a:solidFill>
                <a:effectLst/>
                <a:latin typeface="+mn-lt"/>
                <a:ea typeface="+mn-ea"/>
                <a:cs typeface="+mn-cs"/>
              </a:rPr>
              <a:t>gráfica</a:t>
            </a:r>
            <a:r>
              <a:rPr lang="es-ES" sz="1200">
                <a:solidFill>
                  <a:sysClr val="windowText" lastClr="000000"/>
                </a:solidFill>
              </a:rPr>
              <a:t>. Los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sectoriales</a:t>
            </a:r>
            <a:r>
              <a:rPr lang="es-ES" sz="1200">
                <a:solidFill>
                  <a:sysClr val="windowText" lastClr="000000"/>
                </a:solidFill>
              </a:rPr>
              <a:t> cuentan con acceso directo al sector correspondiente para facilitar y agilizar su acceso.</a:t>
            </a:r>
          </a:p>
          <a:p>
            <a:pPr algn="l"/>
            <a:endParaRPr lang="es-ES" sz="1200">
              <a:solidFill>
                <a:sysClr val="windowText" lastClr="000000"/>
              </a:solidFill>
            </a:endParaRPr>
          </a:p>
          <a:p>
            <a:pPr algn="l"/>
            <a:r>
              <a:rPr lang="es-ES" sz="1200">
                <a:solidFill>
                  <a:sysClr val="windowText" lastClr="000000"/>
                </a:solidFill>
              </a:rPr>
              <a:t>Se incluye en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generales</a:t>
            </a:r>
            <a:r>
              <a:rPr lang="es-ES" sz="1200">
                <a:solidFill>
                  <a:sysClr val="windowText" lastClr="000000"/>
                </a:solidFill>
              </a:rPr>
              <a:t> una </a:t>
            </a:r>
            <a:r>
              <a:rPr lang="es-ES" sz="1200" b="1">
                <a:solidFill>
                  <a:schemeClr val="accent2">
                    <a:lumMod val="75000"/>
                  </a:schemeClr>
                </a:solidFill>
                <a:effectLst/>
                <a:latin typeface="+mn-lt"/>
                <a:ea typeface="+mn-ea"/>
                <a:cs typeface="+mn-cs"/>
              </a:rPr>
              <a:t>tabla</a:t>
            </a:r>
            <a:r>
              <a:rPr lang="es-ES" sz="1200">
                <a:solidFill>
                  <a:sysClr val="windowText" lastClr="000000"/>
                </a:solidFill>
              </a:rPr>
              <a:t> </a:t>
            </a:r>
            <a:r>
              <a:rPr lang="es-ES" sz="1200" b="1">
                <a:solidFill>
                  <a:schemeClr val="accent2">
                    <a:lumMod val="75000"/>
                  </a:schemeClr>
                </a:solidFill>
                <a:effectLst/>
                <a:latin typeface="+mn-lt"/>
                <a:ea typeface="+mn-ea"/>
                <a:cs typeface="+mn-cs"/>
              </a:rPr>
              <a:t>de</a:t>
            </a:r>
            <a:r>
              <a:rPr lang="es-ES" sz="1200">
                <a:solidFill>
                  <a:sysClr val="windowText" lastClr="000000"/>
                </a:solidFill>
              </a:rPr>
              <a:t> </a:t>
            </a:r>
            <a:r>
              <a:rPr lang="es-ES" sz="1200" b="1">
                <a:solidFill>
                  <a:schemeClr val="accent2">
                    <a:lumMod val="75000"/>
                  </a:schemeClr>
                </a:solidFill>
                <a:effectLst/>
                <a:latin typeface="+mn-lt"/>
                <a:ea typeface="+mn-ea"/>
                <a:cs typeface="+mn-cs"/>
              </a:rPr>
              <a:t>flujos</a:t>
            </a:r>
            <a:r>
              <a:rPr lang="es-ES" sz="1200">
                <a:solidFill>
                  <a:sysClr val="windowText" lastClr="000000"/>
                </a:solidFill>
              </a:rPr>
              <a:t> para facilitar la creación de un diagrama Sankey ajustado a las trayectorias seleccionadas.  </a:t>
            </a:r>
          </a:p>
        </xdr:txBody>
      </xdr:sp>
      <xdr:sp macro="" textlink="">
        <xdr:nvSpPr>
          <xdr:cNvPr id="57" name="Rectángulo: esquinas redondeadas 56">
            <a:extLst>
              <a:ext uri="{FF2B5EF4-FFF2-40B4-BE49-F238E27FC236}">
                <a16:creationId xmlns:a16="http://schemas.microsoft.com/office/drawing/2014/main" id="{00000000-0008-0000-0300-000039000000}"/>
              </a:ext>
            </a:extLst>
          </xdr:cNvPr>
          <xdr:cNvSpPr/>
        </xdr:nvSpPr>
        <xdr:spPr>
          <a:xfrm>
            <a:off x="2543176" y="23773814"/>
            <a:ext cx="10306049" cy="135835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00000"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ES" sz="1200">
                <a:solidFill>
                  <a:sysClr val="windowText" lastClr="000000"/>
                </a:solidFill>
              </a:rPr>
              <a:t>El primer paso será la selección de las trayectorias para cada</a:t>
            </a:r>
            <a:r>
              <a:rPr lang="es-ES" sz="1200" baseline="0">
                <a:solidFill>
                  <a:sysClr val="windowText" lastClr="000000"/>
                </a:solidFill>
              </a:rPr>
              <a:t> una de las medidas de mitigación planteadas. </a:t>
            </a:r>
            <a:r>
              <a:rPr lang="es-ES" sz="1200">
                <a:solidFill>
                  <a:sysClr val="windowText" lastClr="000000"/>
                </a:solidFill>
              </a:rPr>
              <a:t> Esta acción puede realizarse desde el</a:t>
            </a:r>
            <a:r>
              <a:rPr lang="es-ES" sz="1200" baseline="0">
                <a:solidFill>
                  <a:sysClr val="windowText" lastClr="000000"/>
                </a:solidFill>
              </a:rPr>
              <a:t> botón</a:t>
            </a:r>
            <a:r>
              <a:rPr lang="es-ES" sz="1200">
                <a:solidFill>
                  <a:sysClr val="windowText" lastClr="000000"/>
                </a:solidFill>
              </a:rPr>
              <a:t> </a:t>
            </a:r>
            <a:r>
              <a:rPr lang="es-ES" sz="1200" b="1">
                <a:solidFill>
                  <a:schemeClr val="accent2">
                    <a:lumMod val="75000"/>
                  </a:schemeClr>
                </a:solidFill>
                <a:effectLst/>
                <a:latin typeface="+mn-lt"/>
                <a:ea typeface="+mn-ea"/>
                <a:cs typeface="+mn-cs"/>
              </a:rPr>
              <a:t>TRAYECTORIAS, </a:t>
            </a:r>
            <a:r>
              <a:rPr lang="es-ES" sz="1200">
                <a:solidFill>
                  <a:sysClr val="windowText" lastClr="000000"/>
                </a:solidFill>
              </a:rPr>
              <a:t>ubicado en el menú lateral. Las trayectorias también pueden ser modificadas desde los</a:t>
            </a:r>
            <a:r>
              <a:rPr lang="es-ES" sz="1200" baseline="0">
                <a:solidFill>
                  <a:sysClr val="windowText" lastClr="000000"/>
                </a:solidFill>
              </a:rPr>
              <a:t> ESCENARIOS correspondientes a cada uno de los sectores.</a:t>
            </a:r>
          </a:p>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effectLst/>
                <a:latin typeface="+mn-lt"/>
                <a:ea typeface="+mn-ea"/>
                <a:cs typeface="+mn-cs"/>
              </a:rPr>
              <a:t>De</a:t>
            </a:r>
            <a:r>
              <a:rPr lang="es-ES" sz="1200" b="0">
                <a:solidFill>
                  <a:sysClr val="windowText" lastClr="000000"/>
                </a:solidFill>
              </a:rPr>
              <a:t> </a:t>
            </a:r>
            <a:r>
              <a:rPr lang="es-ES" sz="1200" b="0">
                <a:solidFill>
                  <a:sysClr val="windowText" lastClr="000000"/>
                </a:solidFill>
                <a:effectLst/>
                <a:latin typeface="+mn-lt"/>
                <a:ea typeface="+mn-ea"/>
                <a:cs typeface="+mn-cs"/>
              </a:rPr>
              <a:t>forma</a:t>
            </a:r>
            <a:r>
              <a:rPr lang="es-ES" sz="1200" b="0">
                <a:solidFill>
                  <a:sysClr val="windowText" lastClr="000000"/>
                </a:solidFill>
              </a:rPr>
              <a:t> </a:t>
            </a:r>
            <a:r>
              <a:rPr lang="es-ES" sz="1200" b="0">
                <a:solidFill>
                  <a:sysClr val="windowText" lastClr="000000"/>
                </a:solidFill>
                <a:effectLst/>
                <a:latin typeface="+mn-lt"/>
                <a:ea typeface="+mn-ea"/>
                <a:cs typeface="+mn-cs"/>
              </a:rPr>
              <a:t>predeterminada</a:t>
            </a:r>
            <a:r>
              <a:rPr lang="es-ES" sz="1200" b="0">
                <a:solidFill>
                  <a:sysClr val="windowText" lastClr="000000"/>
                </a:solidFill>
              </a:rPr>
              <a:t>, </a:t>
            </a:r>
            <a:r>
              <a:rPr lang="es-ES" sz="1200" b="0">
                <a:solidFill>
                  <a:sysClr val="windowText" lastClr="000000"/>
                </a:solidFill>
                <a:effectLst/>
                <a:latin typeface="+mn-lt"/>
                <a:ea typeface="+mn-ea"/>
                <a:cs typeface="+mn-cs"/>
              </a:rPr>
              <a:t>la</a:t>
            </a:r>
            <a:r>
              <a:rPr lang="es-ES" sz="1200" b="0">
                <a:solidFill>
                  <a:sysClr val="windowText" lastClr="000000"/>
                </a:solidFill>
              </a:rPr>
              <a:t> </a:t>
            </a:r>
            <a:r>
              <a:rPr lang="es-ES" sz="1200" b="1">
                <a:solidFill>
                  <a:schemeClr val="accent2">
                    <a:lumMod val="75000"/>
                  </a:schemeClr>
                </a:solidFill>
                <a:effectLst/>
                <a:latin typeface="+mn-lt"/>
                <a:ea typeface="+mn-ea"/>
                <a:cs typeface="+mn-cs"/>
              </a:rPr>
              <a:t>Calculadora</a:t>
            </a:r>
            <a:r>
              <a:rPr lang="es-ES" sz="1200">
                <a:solidFill>
                  <a:sysClr val="windowText" lastClr="000000"/>
                </a:solidFill>
              </a:rPr>
              <a:t> </a:t>
            </a:r>
            <a:r>
              <a:rPr lang="es-ES" sz="1200" b="1">
                <a:solidFill>
                  <a:schemeClr val="accent2">
                    <a:lumMod val="75000"/>
                  </a:schemeClr>
                </a:solidFill>
                <a:effectLst/>
                <a:latin typeface="+mn-lt"/>
                <a:ea typeface="+mn-ea"/>
                <a:cs typeface="+mn-cs"/>
              </a:rPr>
              <a:t>muestra</a:t>
            </a:r>
            <a:r>
              <a:rPr lang="es-ES" sz="1200">
                <a:solidFill>
                  <a:sysClr val="windowText" lastClr="000000"/>
                </a:solidFill>
              </a:rPr>
              <a:t> </a:t>
            </a:r>
            <a:r>
              <a:rPr lang="es-ES" sz="1200" b="1">
                <a:solidFill>
                  <a:schemeClr val="accent2">
                    <a:lumMod val="75000"/>
                  </a:schemeClr>
                </a:solidFill>
                <a:effectLst/>
                <a:latin typeface="+mn-lt"/>
                <a:ea typeface="+mn-ea"/>
                <a:cs typeface="+mn-cs"/>
              </a:rPr>
              <a:t>la</a:t>
            </a:r>
            <a:r>
              <a:rPr lang="es-ES" sz="1200">
                <a:solidFill>
                  <a:sysClr val="windowText" lastClr="000000"/>
                </a:solidFill>
              </a:rPr>
              <a:t> </a:t>
            </a:r>
            <a:r>
              <a:rPr lang="es-ES" sz="1200" b="1">
                <a:solidFill>
                  <a:schemeClr val="accent2">
                    <a:lumMod val="75000"/>
                  </a:schemeClr>
                </a:solidFill>
                <a:effectLst/>
                <a:latin typeface="+mn-lt"/>
                <a:ea typeface="+mn-ea"/>
                <a:cs typeface="+mn-cs"/>
              </a:rPr>
              <a:t>trayectoria 1 para todas</a:t>
            </a:r>
            <a:r>
              <a:rPr lang="es-ES" sz="1200">
                <a:solidFill>
                  <a:sysClr val="windowText" lastClr="000000"/>
                </a:solidFill>
              </a:rPr>
              <a:t> </a:t>
            </a:r>
            <a:r>
              <a:rPr lang="es-ES" sz="1200" b="1">
                <a:solidFill>
                  <a:schemeClr val="accent2">
                    <a:lumMod val="75000"/>
                  </a:schemeClr>
                </a:solidFill>
                <a:effectLst/>
                <a:latin typeface="+mn-lt"/>
                <a:ea typeface="+mn-ea"/>
                <a:cs typeface="+mn-cs"/>
              </a:rPr>
              <a:t>las</a:t>
            </a:r>
            <a:r>
              <a:rPr lang="es-ES" sz="1200">
                <a:solidFill>
                  <a:sysClr val="windowText" lastClr="000000"/>
                </a:solidFill>
              </a:rPr>
              <a:t> </a:t>
            </a:r>
            <a:r>
              <a:rPr lang="es-ES" sz="1200" b="1">
                <a:solidFill>
                  <a:schemeClr val="accent2">
                    <a:lumMod val="75000"/>
                  </a:schemeClr>
                </a:solidFill>
                <a:effectLst/>
                <a:latin typeface="+mn-lt"/>
                <a:ea typeface="+mn-ea"/>
                <a:cs typeface="+mn-cs"/>
              </a:rPr>
              <a:t>medidas</a:t>
            </a:r>
            <a:r>
              <a:rPr lang="es-ES" sz="1200" b="0">
                <a:solidFill>
                  <a:sysClr val="windowText" lastClr="000000"/>
                </a:solidFill>
                <a:effectLst/>
                <a:latin typeface="+mn-lt"/>
                <a:ea typeface="+mn-ea"/>
                <a:cs typeface="+mn-cs"/>
              </a:rPr>
              <a:t>, ya</a:t>
            </a:r>
            <a:r>
              <a:rPr lang="es-ES" sz="1200" b="0" baseline="0">
                <a:solidFill>
                  <a:sysClr val="windowText" lastClr="000000"/>
                </a:solidFill>
                <a:effectLst/>
                <a:latin typeface="+mn-lt"/>
                <a:ea typeface="+mn-ea"/>
                <a:cs typeface="+mn-cs"/>
              </a:rPr>
              <a:t> que está representa el escenario tendencial sin la aplicación de medidas de mitigación</a:t>
            </a:r>
            <a:r>
              <a:rPr lang="es-ES" sz="1200" b="0">
                <a:solidFill>
                  <a:sysClr val="windowText" lastClr="000000"/>
                </a:solidFill>
              </a:rPr>
              <a:t>. </a:t>
            </a:r>
          </a:p>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rPr>
              <a:t>Estas medidas consisten en una relación</a:t>
            </a:r>
            <a:r>
              <a:rPr lang="es-ES" sz="1200" b="0" baseline="0">
                <a:solidFill>
                  <a:sysClr val="windowText" lastClr="000000"/>
                </a:solidFill>
              </a:rPr>
              <a:t> de supuestos fijos y de trayectoria alineados con las políticas climáticas del país, la información correspondiente a está accesible dando </a:t>
            </a:r>
            <a:r>
              <a:rPr lang="es-ES" sz="1200" b="1">
                <a:solidFill>
                  <a:schemeClr val="accent2">
                    <a:lumMod val="75000"/>
                  </a:schemeClr>
                </a:solidFill>
                <a:effectLst/>
                <a:latin typeface="+mn-lt"/>
                <a:ea typeface="+mn-ea"/>
                <a:cs typeface="+mn-cs"/>
              </a:rPr>
              <a:t>clic sobre el nombre de las medidas.  </a:t>
            </a:r>
          </a:p>
        </xdr:txBody>
      </xdr:sp>
      <xdr:grpSp>
        <xdr:nvGrpSpPr>
          <xdr:cNvPr id="105" name="Grupo 104">
            <a:extLst>
              <a:ext uri="{FF2B5EF4-FFF2-40B4-BE49-F238E27FC236}">
                <a16:creationId xmlns:a16="http://schemas.microsoft.com/office/drawing/2014/main" id="{00000000-0008-0000-0300-000069000000}"/>
              </a:ext>
            </a:extLst>
          </xdr:cNvPr>
          <xdr:cNvGrpSpPr/>
        </xdr:nvGrpSpPr>
        <xdr:grpSpPr>
          <a:xfrm>
            <a:off x="1381125" y="23170122"/>
            <a:ext cx="1985962" cy="4840393"/>
            <a:chOff x="1371600" y="10976216"/>
            <a:chExt cx="1985962" cy="4458752"/>
          </a:xfrm>
        </xdr:grpSpPr>
        <xdr:cxnSp macro="">
          <xdr:nvCxnSpPr>
            <xdr:cNvPr id="106" name="Conector: angular 105">
              <a:extLst>
                <a:ext uri="{FF2B5EF4-FFF2-40B4-BE49-F238E27FC236}">
                  <a16:creationId xmlns:a16="http://schemas.microsoft.com/office/drawing/2014/main" id="{00000000-0008-0000-0300-00006A000000}"/>
                </a:ext>
              </a:extLst>
            </xdr:cNvPr>
            <xdr:cNvCxnSpPr/>
          </xdr:nvCxnSpPr>
          <xdr:spPr>
            <a:xfrm>
              <a:off x="1390650" y="13125450"/>
              <a:ext cx="628650" cy="276225"/>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07" name="Grupo 106">
              <a:extLst>
                <a:ext uri="{FF2B5EF4-FFF2-40B4-BE49-F238E27FC236}">
                  <a16:creationId xmlns:a16="http://schemas.microsoft.com/office/drawing/2014/main" id="{00000000-0008-0000-0300-00006B000000}"/>
                </a:ext>
              </a:extLst>
            </xdr:cNvPr>
            <xdr:cNvGrpSpPr/>
          </xdr:nvGrpSpPr>
          <xdr:grpSpPr>
            <a:xfrm>
              <a:off x="1890712" y="12617316"/>
              <a:ext cx="1466850" cy="1200209"/>
              <a:chOff x="1876425" y="7399219"/>
              <a:chExt cx="1466850" cy="1243695"/>
            </a:xfrm>
          </xdr:grpSpPr>
          <xdr:grpSp>
            <xdr:nvGrpSpPr>
              <xdr:cNvPr id="137" name="Grupo 136">
                <a:extLst>
                  <a:ext uri="{FF2B5EF4-FFF2-40B4-BE49-F238E27FC236}">
                    <a16:creationId xmlns:a16="http://schemas.microsoft.com/office/drawing/2014/main" id="{00000000-0008-0000-0300-000089000000}"/>
                  </a:ext>
                </a:extLst>
              </xdr:cNvPr>
              <xdr:cNvGrpSpPr/>
            </xdr:nvGrpSpPr>
            <xdr:grpSpPr>
              <a:xfrm>
                <a:off x="1876425" y="7399219"/>
                <a:ext cx="1466850" cy="1243695"/>
                <a:chOff x="2905125" y="8260428"/>
                <a:chExt cx="1076325" cy="834928"/>
              </a:xfrm>
            </xdr:grpSpPr>
            <xdr:pic>
              <xdr:nvPicPr>
                <xdr:cNvPr id="139" name="Gráfico 138" descr="Nube con relleno sólido">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905125" y="8260428"/>
                  <a:ext cx="914400" cy="834928"/>
                </a:xfrm>
                <a:prstGeom prst="rect">
                  <a:avLst/>
                </a:prstGeom>
              </xdr:spPr>
            </xdr:pic>
            <xdr:pic>
              <xdr:nvPicPr>
                <xdr:cNvPr id="140" name="Gráfico 139" descr="Nube con relleno sólido">
                  <a:extLst>
                    <a:ext uri="{FF2B5EF4-FFF2-40B4-BE49-F238E27FC236}">
                      <a16:creationId xmlns:a16="http://schemas.microsoft.com/office/drawing/2014/main" id="{00000000-0008-0000-0300-00008C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7050" y="8260428"/>
                  <a:ext cx="914400" cy="834928"/>
                </a:xfrm>
                <a:prstGeom prst="rect">
                  <a:avLst/>
                </a:prstGeom>
              </xdr:spPr>
            </xdr:pic>
          </xdr:grpSp>
          <xdr:sp macro="" textlink="">
            <xdr:nvSpPr>
              <xdr:cNvPr id="138" name="CuadroTexto 137">
                <a:extLst>
                  <a:ext uri="{FF2B5EF4-FFF2-40B4-BE49-F238E27FC236}">
                    <a16:creationId xmlns:a16="http://schemas.microsoft.com/office/drawing/2014/main" id="{00000000-0008-0000-0300-00008A000000}"/>
                  </a:ext>
                </a:extLst>
              </xdr:cNvPr>
              <xdr:cNvSpPr txBox="1"/>
            </xdr:nvSpPr>
            <xdr:spPr>
              <a:xfrm>
                <a:off x="2286000" y="7962900"/>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2</a:t>
                </a:r>
                <a:endParaRPr lang="es-ES" sz="2000" b="1">
                  <a:solidFill>
                    <a:schemeClr val="bg1"/>
                  </a:solidFill>
                </a:endParaRPr>
              </a:p>
            </xdr:txBody>
          </xdr:sp>
        </xdr:grpSp>
        <xdr:cxnSp macro="">
          <xdr:nvCxnSpPr>
            <xdr:cNvPr id="111" name="Conector: angular 110">
              <a:extLst>
                <a:ext uri="{FF2B5EF4-FFF2-40B4-BE49-F238E27FC236}">
                  <a16:creationId xmlns:a16="http://schemas.microsoft.com/office/drawing/2014/main" id="{00000000-0008-0000-0300-00006F000000}"/>
                </a:ext>
              </a:extLst>
            </xdr:cNvPr>
            <xdr:cNvCxnSpPr/>
          </xdr:nvCxnSpPr>
          <xdr:spPr>
            <a:xfrm>
              <a:off x="1419225" y="11436969"/>
              <a:ext cx="666750" cy="285750"/>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12" name="Grupo 111">
              <a:extLst>
                <a:ext uri="{FF2B5EF4-FFF2-40B4-BE49-F238E27FC236}">
                  <a16:creationId xmlns:a16="http://schemas.microsoft.com/office/drawing/2014/main" id="{00000000-0008-0000-0300-000070000000}"/>
                </a:ext>
              </a:extLst>
            </xdr:cNvPr>
            <xdr:cNvGrpSpPr/>
          </xdr:nvGrpSpPr>
          <xdr:grpSpPr>
            <a:xfrm>
              <a:off x="1881185" y="10976216"/>
              <a:ext cx="1466850" cy="1127852"/>
              <a:chOff x="1866898" y="7375167"/>
              <a:chExt cx="1466850" cy="1097162"/>
            </a:xfrm>
          </xdr:grpSpPr>
          <xdr:grpSp>
            <xdr:nvGrpSpPr>
              <xdr:cNvPr id="131" name="Grupo 130">
                <a:extLst>
                  <a:ext uri="{FF2B5EF4-FFF2-40B4-BE49-F238E27FC236}">
                    <a16:creationId xmlns:a16="http://schemas.microsoft.com/office/drawing/2014/main" id="{00000000-0008-0000-0300-000083000000}"/>
                  </a:ext>
                </a:extLst>
              </xdr:cNvPr>
              <xdr:cNvGrpSpPr/>
            </xdr:nvGrpSpPr>
            <xdr:grpSpPr>
              <a:xfrm>
                <a:off x="1866898" y="7375167"/>
                <a:ext cx="1466850" cy="1097162"/>
                <a:chOff x="2898134" y="8244286"/>
                <a:chExt cx="1076325" cy="736556"/>
              </a:xfrm>
            </xdr:grpSpPr>
            <xdr:pic>
              <xdr:nvPicPr>
                <xdr:cNvPr id="135" name="Gráfico 134" descr="Nube con relleno sólido">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98134" y="8244294"/>
                  <a:ext cx="914400" cy="736548"/>
                </a:xfrm>
                <a:prstGeom prst="rect">
                  <a:avLst/>
                </a:prstGeom>
              </xdr:spPr>
            </xdr:pic>
            <xdr:pic>
              <xdr:nvPicPr>
                <xdr:cNvPr id="136" name="Gráfico 135" descr="Nube con relleno sólido">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0059" y="8244286"/>
                  <a:ext cx="914400" cy="736546"/>
                </a:xfrm>
                <a:prstGeom prst="rect">
                  <a:avLst/>
                </a:prstGeom>
              </xdr:spPr>
            </xdr:pic>
          </xdr:grpSp>
          <xdr:sp macro="" textlink="">
            <xdr:nvSpPr>
              <xdr:cNvPr id="134" name="CuadroTexto 133">
                <a:extLst>
                  <a:ext uri="{FF2B5EF4-FFF2-40B4-BE49-F238E27FC236}">
                    <a16:creationId xmlns:a16="http://schemas.microsoft.com/office/drawing/2014/main" id="{00000000-0008-0000-0300-000086000000}"/>
                  </a:ext>
                </a:extLst>
              </xdr:cNvPr>
              <xdr:cNvSpPr txBox="1"/>
            </xdr:nvSpPr>
            <xdr:spPr>
              <a:xfrm>
                <a:off x="2286000" y="7868487"/>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1</a:t>
                </a:r>
                <a:endParaRPr lang="es-ES" sz="2000" b="1">
                  <a:solidFill>
                    <a:schemeClr val="bg1"/>
                  </a:solidFill>
                </a:endParaRPr>
              </a:p>
            </xdr:txBody>
          </xdr:sp>
        </xdr:grpSp>
        <xdr:cxnSp macro="">
          <xdr:nvCxnSpPr>
            <xdr:cNvPr id="113" name="Conector: angular 112">
              <a:extLst>
                <a:ext uri="{FF2B5EF4-FFF2-40B4-BE49-F238E27FC236}">
                  <a16:creationId xmlns:a16="http://schemas.microsoft.com/office/drawing/2014/main" id="{00000000-0008-0000-0300-000071000000}"/>
                </a:ext>
              </a:extLst>
            </xdr:cNvPr>
            <xdr:cNvCxnSpPr/>
          </xdr:nvCxnSpPr>
          <xdr:spPr>
            <a:xfrm>
              <a:off x="1371600" y="14725650"/>
              <a:ext cx="628650" cy="266700"/>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14" name="Grupo 113">
              <a:extLst>
                <a:ext uri="{FF2B5EF4-FFF2-40B4-BE49-F238E27FC236}">
                  <a16:creationId xmlns:a16="http://schemas.microsoft.com/office/drawing/2014/main" id="{00000000-0008-0000-0300-000072000000}"/>
                </a:ext>
              </a:extLst>
            </xdr:cNvPr>
            <xdr:cNvGrpSpPr/>
          </xdr:nvGrpSpPr>
          <xdr:grpSpPr>
            <a:xfrm>
              <a:off x="1890712" y="14198463"/>
              <a:ext cx="1466850" cy="1236505"/>
              <a:chOff x="1876425" y="7397613"/>
              <a:chExt cx="1466850" cy="1236505"/>
            </a:xfrm>
          </xdr:grpSpPr>
          <xdr:grpSp>
            <xdr:nvGrpSpPr>
              <xdr:cNvPr id="119" name="Grupo 118">
                <a:extLst>
                  <a:ext uri="{FF2B5EF4-FFF2-40B4-BE49-F238E27FC236}">
                    <a16:creationId xmlns:a16="http://schemas.microsoft.com/office/drawing/2014/main" id="{00000000-0008-0000-0300-000077000000}"/>
                  </a:ext>
                </a:extLst>
              </xdr:cNvPr>
              <xdr:cNvGrpSpPr/>
            </xdr:nvGrpSpPr>
            <xdr:grpSpPr>
              <a:xfrm>
                <a:off x="1876425" y="7397613"/>
                <a:ext cx="1466850" cy="1236505"/>
                <a:chOff x="2905125" y="8259348"/>
                <a:chExt cx="1076325" cy="830101"/>
              </a:xfrm>
            </xdr:grpSpPr>
            <xdr:pic>
              <xdr:nvPicPr>
                <xdr:cNvPr id="121" name="Gráfico 120" descr="Nube con relleno sólido">
                  <a:extLst>
                    <a:ext uri="{FF2B5EF4-FFF2-40B4-BE49-F238E27FC236}">
                      <a16:creationId xmlns:a16="http://schemas.microsoft.com/office/drawing/2014/main" id="{00000000-0008-0000-0300-000079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905125" y="8259348"/>
                  <a:ext cx="914400" cy="830101"/>
                </a:xfrm>
                <a:prstGeom prst="rect">
                  <a:avLst/>
                </a:prstGeom>
              </xdr:spPr>
            </xdr:pic>
            <xdr:pic>
              <xdr:nvPicPr>
                <xdr:cNvPr id="130" name="Gráfico 129" descr="Nube con relleno sólido">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7050" y="8259348"/>
                  <a:ext cx="914400" cy="830101"/>
                </a:xfrm>
                <a:prstGeom prst="rect">
                  <a:avLst/>
                </a:prstGeom>
              </xdr:spPr>
            </xdr:pic>
          </xdr:grpSp>
          <xdr:sp macro="" textlink="">
            <xdr:nvSpPr>
              <xdr:cNvPr id="120" name="CuadroTexto 119">
                <a:extLst>
                  <a:ext uri="{FF2B5EF4-FFF2-40B4-BE49-F238E27FC236}">
                    <a16:creationId xmlns:a16="http://schemas.microsoft.com/office/drawing/2014/main" id="{00000000-0008-0000-0300-000078000000}"/>
                  </a:ext>
                </a:extLst>
              </xdr:cNvPr>
              <xdr:cNvSpPr txBox="1"/>
            </xdr:nvSpPr>
            <xdr:spPr>
              <a:xfrm>
                <a:off x="2286000" y="7962900"/>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3</a:t>
                </a:r>
                <a:endParaRPr lang="es-ES" sz="2000" b="1">
                  <a:solidFill>
                    <a:schemeClr val="bg1"/>
                  </a:solidFill>
                </a:endParaRPr>
              </a:p>
            </xdr:txBody>
          </xdr:sp>
        </xdr:grpSp>
      </xdr:grpSp>
    </xdr:grpSp>
    <xdr:clientData/>
  </xdr:twoCellAnchor>
  <xdr:twoCellAnchor editAs="oneCell">
    <xdr:from>
      <xdr:col>7</xdr:col>
      <xdr:colOff>323850</xdr:colOff>
      <xdr:row>0</xdr:row>
      <xdr:rowOff>152400</xdr:rowOff>
    </xdr:from>
    <xdr:to>
      <xdr:col>12</xdr:col>
      <xdr:colOff>230953</xdr:colOff>
      <xdr:row>2</xdr:row>
      <xdr:rowOff>103952</xdr:rowOff>
    </xdr:to>
    <xdr:pic>
      <xdr:nvPicPr>
        <xdr:cNvPr id="32" name="Imagen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7"/>
        <a:stretch>
          <a:fillRect/>
        </a:stretch>
      </xdr:blipFill>
      <xdr:spPr>
        <a:xfrm>
          <a:off x="6276975" y="152400"/>
          <a:ext cx="3717103" cy="332552"/>
        </a:xfrm>
        <a:prstGeom prst="rect">
          <a:avLst/>
        </a:prstGeom>
      </xdr:spPr>
    </xdr:pic>
    <xdr:clientData/>
  </xdr:twoCellAnchor>
  <xdr:twoCellAnchor>
    <xdr:from>
      <xdr:col>2</xdr:col>
      <xdr:colOff>69089</xdr:colOff>
      <xdr:row>116</xdr:row>
      <xdr:rowOff>28575</xdr:rowOff>
    </xdr:from>
    <xdr:to>
      <xdr:col>2</xdr:col>
      <xdr:colOff>754035</xdr:colOff>
      <xdr:row>119</xdr:row>
      <xdr:rowOff>85730</xdr:rowOff>
    </xdr:to>
    <xdr:grpSp>
      <xdr:nvGrpSpPr>
        <xdr:cNvPr id="9563" name="Grupo 3608">
          <a:extLst>
            <a:ext uri="{FF2B5EF4-FFF2-40B4-BE49-F238E27FC236}">
              <a16:creationId xmlns:a16="http://schemas.microsoft.com/office/drawing/2014/main" id="{00000000-0008-0000-0300-00005B250000}"/>
            </a:ext>
          </a:extLst>
        </xdr:cNvPr>
        <xdr:cNvGrpSpPr/>
      </xdr:nvGrpSpPr>
      <xdr:grpSpPr>
        <a:xfrm>
          <a:off x="2212214" y="22293263"/>
          <a:ext cx="684946" cy="628655"/>
          <a:chOff x="3802869" y="14365981"/>
          <a:chExt cx="597091" cy="703026"/>
        </a:xfrm>
      </xdr:grpSpPr>
      <xdr:pic>
        <xdr:nvPicPr>
          <xdr:cNvPr id="9564" name="Gráfico 3609" descr="Lupa con relleno sólido">
            <a:extLst>
              <a:ext uri="{FF2B5EF4-FFF2-40B4-BE49-F238E27FC236}">
                <a16:creationId xmlns:a16="http://schemas.microsoft.com/office/drawing/2014/main" id="{00000000-0008-0000-0300-00005C25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02869" y="14365981"/>
            <a:ext cx="587432" cy="703026"/>
          </a:xfrm>
          <a:prstGeom prst="rect">
            <a:avLst/>
          </a:prstGeom>
        </xdr:spPr>
      </xdr:pic>
      <xdr:sp macro="" textlink="">
        <xdr:nvSpPr>
          <xdr:cNvPr id="9565" name="CuadroTexto 28">
            <a:extLst>
              <a:ext uri="{FF2B5EF4-FFF2-40B4-BE49-F238E27FC236}">
                <a16:creationId xmlns:a16="http://schemas.microsoft.com/office/drawing/2014/main" id="{00000000-0008-0000-0300-00005D250000}"/>
              </a:ext>
            </a:extLst>
          </xdr:cNvPr>
          <xdr:cNvSpPr txBox="1"/>
        </xdr:nvSpPr>
        <xdr:spPr>
          <a:xfrm>
            <a:off x="3958301" y="14434533"/>
            <a:ext cx="44165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accent2">
                    <a:lumMod val="75000"/>
                  </a:schemeClr>
                </a:solidFill>
              </a:rPr>
              <a:t>SC</a:t>
            </a:r>
          </a:p>
        </xdr:txBody>
      </xdr:sp>
    </xdr:grpSp>
    <xdr:clientData/>
  </xdr:twoCellAnchor>
  <xdr:oneCellAnchor>
    <xdr:from>
      <xdr:col>2</xdr:col>
      <xdr:colOff>733425</xdr:colOff>
      <xdr:row>118</xdr:row>
      <xdr:rowOff>76296</xdr:rowOff>
    </xdr:from>
    <xdr:ext cx="10020300" cy="619029"/>
    <xdr:sp macro="" textlink="">
      <xdr:nvSpPr>
        <xdr:cNvPr id="3612" name="CuadroTexto 3611">
          <a:extLst>
            <a:ext uri="{FF2B5EF4-FFF2-40B4-BE49-F238E27FC236}">
              <a16:creationId xmlns:a16="http://schemas.microsoft.com/office/drawing/2014/main" id="{00000000-0008-0000-0300-00001C0E0000}"/>
            </a:ext>
          </a:extLst>
        </xdr:cNvPr>
        <xdr:cNvSpPr txBox="1"/>
      </xdr:nvSpPr>
      <xdr:spPr>
        <a:xfrm>
          <a:off x="2876550" y="20154996"/>
          <a:ext cx="10020300" cy="619029"/>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solidFill>
                <a:schemeClr val="tx1"/>
              </a:solidFill>
              <a:effectLst/>
              <a:latin typeface="+mn-lt"/>
              <a:ea typeface="+mn-ea"/>
              <a:cs typeface="+mn-cs"/>
            </a:rPr>
            <a:t>Estos supuestos </a:t>
          </a:r>
          <a:r>
            <a:rPr lang="es-ES" sz="1200" baseline="0">
              <a:solidFill>
                <a:schemeClr val="tx1"/>
              </a:solidFill>
              <a:effectLst/>
              <a:latin typeface="+mn-lt"/>
              <a:ea typeface="+mn-ea"/>
              <a:cs typeface="+mn-cs"/>
            </a:rPr>
            <a:t>son los datos necesarios para la </a:t>
          </a:r>
          <a:r>
            <a:rPr lang="es-ES" sz="1200" b="1">
              <a:solidFill>
                <a:schemeClr val="accent2">
                  <a:lumMod val="75000"/>
                </a:schemeClr>
              </a:solidFill>
              <a:effectLst/>
              <a:latin typeface="+mn-lt"/>
              <a:ea typeface="+mn-ea"/>
              <a:cs typeface="+mn-cs"/>
            </a:rPr>
            <a:t>estimación</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de</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los</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costos</a:t>
          </a:r>
          <a:r>
            <a:rPr lang="es-ES" sz="1200" b="1" baseline="0">
              <a:solidFill>
                <a:schemeClr val="tx1"/>
              </a:solidFill>
              <a:effectLst/>
              <a:latin typeface="+mn-lt"/>
              <a:ea typeface="+mn-ea"/>
              <a:cs typeface="+mn-cs"/>
            </a:rPr>
            <a:t> </a:t>
          </a:r>
          <a:r>
            <a:rPr lang="es-ES" sz="1200" baseline="0">
              <a:solidFill>
                <a:schemeClr val="tx1"/>
              </a:solidFill>
              <a:effectLst/>
              <a:latin typeface="+mn-lt"/>
              <a:ea typeface="+mn-ea"/>
              <a:cs typeface="+mn-cs"/>
            </a:rPr>
            <a:t>de las diferentes medidas al 2050. Estos supuestos están reflejados en cada sector. Algunos de éstos se mantienen para los diferentes módulos sectorial y se muestran en </a:t>
          </a:r>
          <a:r>
            <a:rPr lang="es-ES" sz="1200" b="1">
              <a:solidFill>
                <a:schemeClr val="accent2">
                  <a:lumMod val="75000"/>
                </a:schemeClr>
              </a:solidFill>
              <a:effectLst/>
              <a:latin typeface="+mn-lt"/>
              <a:ea typeface="+mn-ea"/>
              <a:cs typeface="+mn-cs"/>
            </a:rPr>
            <a:t>Escenarios</a:t>
          </a:r>
          <a:r>
            <a:rPr lang="es-ES" sz="1200" baseline="0">
              <a:solidFill>
                <a:schemeClr val="tx1"/>
              </a:solidFill>
              <a:effectLst/>
              <a:latin typeface="+mn-lt"/>
              <a:ea typeface="+mn-ea"/>
              <a:cs typeface="+mn-cs"/>
            </a:rPr>
            <a:t>. </a:t>
          </a:r>
          <a:endParaRPr lang="es-ES" sz="1200">
            <a:effectLst/>
          </a:endParaRPr>
        </a:p>
      </xdr:txBody>
    </xdr:sp>
    <xdr:clientData/>
  </xdr:oneCellAnchor>
  <xdr:twoCellAnchor>
    <xdr:from>
      <xdr:col>2</xdr:col>
      <xdr:colOff>118464</xdr:colOff>
      <xdr:row>52</xdr:row>
      <xdr:rowOff>135299</xdr:rowOff>
    </xdr:from>
    <xdr:to>
      <xdr:col>15</xdr:col>
      <xdr:colOff>745991</xdr:colOff>
      <xdr:row>87</xdr:row>
      <xdr:rowOff>126620</xdr:rowOff>
    </xdr:to>
    <xdr:grpSp>
      <xdr:nvGrpSpPr>
        <xdr:cNvPr id="2" name="Grupo 1">
          <a:extLst>
            <a:ext uri="{FF2B5EF4-FFF2-40B4-BE49-F238E27FC236}">
              <a16:creationId xmlns:a16="http://schemas.microsoft.com/office/drawing/2014/main" id="{00000000-0008-0000-0300-000002000000}"/>
            </a:ext>
          </a:extLst>
        </xdr:cNvPr>
        <xdr:cNvGrpSpPr/>
      </xdr:nvGrpSpPr>
      <xdr:grpSpPr>
        <a:xfrm>
          <a:off x="2261589" y="10041299"/>
          <a:ext cx="10533527" cy="6658821"/>
          <a:chOff x="2288803" y="10098449"/>
          <a:chExt cx="10533527" cy="6658821"/>
        </a:xfrm>
      </xdr:grpSpPr>
      <xdr:grpSp>
        <xdr:nvGrpSpPr>
          <xdr:cNvPr id="38" name="Grupo 37">
            <a:extLst>
              <a:ext uri="{FF2B5EF4-FFF2-40B4-BE49-F238E27FC236}">
                <a16:creationId xmlns:a16="http://schemas.microsoft.com/office/drawing/2014/main" id="{00000000-0008-0000-0300-000026000000}"/>
              </a:ext>
            </a:extLst>
          </xdr:cNvPr>
          <xdr:cNvGrpSpPr/>
        </xdr:nvGrpSpPr>
        <xdr:grpSpPr>
          <a:xfrm>
            <a:off x="2288803" y="10098449"/>
            <a:ext cx="10477498" cy="1634110"/>
            <a:chOff x="2179788" y="13336949"/>
            <a:chExt cx="10477498" cy="1634110"/>
          </a:xfrm>
        </xdr:grpSpPr>
        <xdr:sp macro="" textlink="">
          <xdr:nvSpPr>
            <xdr:cNvPr id="37" name="Rectángulo 36">
              <a:extLst>
                <a:ext uri="{FF2B5EF4-FFF2-40B4-BE49-F238E27FC236}">
                  <a16:creationId xmlns:a16="http://schemas.microsoft.com/office/drawing/2014/main" id="{00000000-0008-0000-0300-000025000000}"/>
                </a:ext>
              </a:extLst>
            </xdr:cNvPr>
            <xdr:cNvSpPr/>
          </xdr:nvSpPr>
          <xdr:spPr>
            <a:xfrm>
              <a:off x="2179788" y="13680433"/>
              <a:ext cx="10477498" cy="1290626"/>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effectLst/>
                </a:rPr>
                <a:t>Esta sección permite establecer los </a:t>
              </a:r>
              <a:r>
                <a:rPr lang="es-ES" sz="1200" b="1">
                  <a:solidFill>
                    <a:schemeClr val="accent2">
                      <a:lumMod val="75000"/>
                    </a:schemeClr>
                  </a:solidFill>
                  <a:effectLst/>
                </a:rPr>
                <a:t>parámetros de entrada </a:t>
              </a:r>
              <a:r>
                <a:rPr lang="es-ES" sz="1200" b="0">
                  <a:solidFill>
                    <a:sysClr val="windowText" lastClr="000000"/>
                  </a:solidFill>
                  <a:effectLst/>
                </a:rPr>
                <a:t>para estimar la contribución de las medidas de mitigación de cada sectorial, con base en el nivel de ambición para reducir las emisiones de CO</a:t>
              </a:r>
              <a:r>
                <a:rPr lang="es-ES" sz="1200" b="0" baseline="-25000">
                  <a:solidFill>
                    <a:sysClr val="windowText" lastClr="000000"/>
                  </a:solidFill>
                  <a:effectLst/>
                </a:rPr>
                <a:t>2</a:t>
              </a:r>
              <a:r>
                <a:rPr lang="es-ES" sz="1200" b="0">
                  <a:solidFill>
                    <a:sysClr val="windowText" lastClr="000000"/>
                  </a:solidFill>
                  <a:effectLst/>
                </a:rPr>
                <a:t>e que se desee estimar. Se requiere seleccionar para cada medida una de las </a:t>
              </a:r>
              <a:r>
                <a:rPr lang="es-ES" sz="1200" b="1">
                  <a:solidFill>
                    <a:schemeClr val="accent2">
                      <a:lumMod val="75000"/>
                    </a:schemeClr>
                  </a:solidFill>
                  <a:effectLst/>
                </a:rPr>
                <a:t>cuatro (4) trayectorias </a:t>
              </a:r>
              <a:r>
                <a:rPr lang="es-ES" sz="1200" b="0">
                  <a:solidFill>
                    <a:sysClr val="windowText" lastClr="000000"/>
                  </a:solidFill>
                  <a:effectLst/>
                </a:rPr>
                <a:t>propuestas, siendo la </a:t>
              </a:r>
              <a:r>
                <a:rPr lang="es-ES" sz="1200" b="1">
                  <a:solidFill>
                    <a:schemeClr val="accent2">
                      <a:lumMod val="75000"/>
                    </a:schemeClr>
                  </a:solidFill>
                  <a:effectLst/>
                </a:rPr>
                <a:t>Trayectoria 1</a:t>
              </a:r>
              <a:r>
                <a:rPr lang="es-ES" sz="1200" b="0">
                  <a:solidFill>
                    <a:sysClr val="windowText" lastClr="000000"/>
                  </a:solidFill>
                  <a:effectLst/>
                </a:rPr>
                <a:t> el </a:t>
              </a:r>
              <a:r>
                <a:rPr lang="es-ES" sz="1200" b="1">
                  <a:solidFill>
                    <a:schemeClr val="accent2">
                      <a:lumMod val="75000"/>
                    </a:schemeClr>
                  </a:solidFill>
                  <a:effectLst/>
                </a:rPr>
                <a:t>escenario tendencial </a:t>
              </a:r>
              <a:r>
                <a:rPr lang="es-ES" sz="1200" b="0">
                  <a:solidFill>
                    <a:sysClr val="windowText" lastClr="000000"/>
                  </a:solidFill>
                  <a:effectLst/>
                </a:rPr>
                <a:t>(business as usual); </a:t>
              </a:r>
              <a:r>
                <a:rPr lang="es-ES" sz="1200" b="1">
                  <a:solidFill>
                    <a:schemeClr val="accent2">
                      <a:lumMod val="75000"/>
                    </a:schemeClr>
                  </a:solidFill>
                  <a:effectLst/>
                </a:rPr>
                <a:t>Trayectoria 2</a:t>
              </a:r>
              <a:r>
                <a:rPr lang="es-ES" sz="1200" b="0">
                  <a:solidFill>
                    <a:sysClr val="windowText" lastClr="000000"/>
                  </a:solidFill>
                  <a:effectLst/>
                </a:rPr>
                <a:t> refleja las </a:t>
              </a:r>
              <a:r>
                <a:rPr lang="es-ES" sz="1200" b="1">
                  <a:solidFill>
                    <a:schemeClr val="accent2">
                      <a:lumMod val="75000"/>
                    </a:schemeClr>
                  </a:solidFill>
                  <a:effectLst/>
                </a:rPr>
                <a:t>metas de las estrategias nacionales al 2030</a:t>
              </a:r>
              <a:r>
                <a:rPr lang="es-ES" sz="1200" b="0">
                  <a:solidFill>
                    <a:sysClr val="windowText" lastClr="000000"/>
                  </a:solidFill>
                  <a:effectLst/>
                </a:rPr>
                <a:t> (extendidas al 2050); </a:t>
              </a:r>
              <a:r>
                <a:rPr lang="es-ES" sz="1200" b="1">
                  <a:solidFill>
                    <a:schemeClr val="accent2">
                      <a:lumMod val="75000"/>
                    </a:schemeClr>
                  </a:solidFill>
                  <a:effectLst/>
                </a:rPr>
                <a:t>Trayectoria 3</a:t>
              </a:r>
              <a:r>
                <a:rPr lang="es-ES" sz="1200" b="0">
                  <a:solidFill>
                    <a:sysClr val="windowText" lastClr="000000"/>
                  </a:solidFill>
                  <a:effectLst/>
                </a:rPr>
                <a:t> son las </a:t>
              </a:r>
              <a:r>
                <a:rPr lang="es-ES" sz="1200" b="1">
                  <a:solidFill>
                    <a:schemeClr val="accent2">
                      <a:lumMod val="75000"/>
                    </a:schemeClr>
                  </a:solidFill>
                  <a:effectLst/>
                </a:rPr>
                <a:t>metas al 2040 de la Estrategia 2050 </a:t>
              </a:r>
              <a:r>
                <a:rPr lang="es-ES" sz="1200" b="0">
                  <a:solidFill>
                    <a:sysClr val="windowText" lastClr="000000"/>
                  </a:solidFill>
                  <a:effectLst/>
                </a:rPr>
                <a:t>(extendidas al 2050) y, </a:t>
              </a:r>
              <a:r>
                <a:rPr lang="es-ES" sz="1200" b="1">
                  <a:solidFill>
                    <a:schemeClr val="accent2">
                      <a:lumMod val="75000"/>
                    </a:schemeClr>
                  </a:solidFill>
                  <a:effectLst/>
                </a:rPr>
                <a:t>Trayectoria 4 </a:t>
              </a:r>
              <a:r>
                <a:rPr lang="es-ES" sz="1200" b="0">
                  <a:solidFill>
                    <a:sysClr val="windowText" lastClr="000000"/>
                  </a:solidFill>
                  <a:effectLst/>
                </a:rPr>
                <a:t>es la </a:t>
              </a:r>
              <a:r>
                <a:rPr lang="es-ES" sz="1200" b="1">
                  <a:solidFill>
                    <a:schemeClr val="accent2">
                      <a:lumMod val="75000"/>
                    </a:schemeClr>
                  </a:solidFill>
                  <a:effectLst/>
                </a:rPr>
                <a:t>meta al 2050 de la E2050</a:t>
              </a:r>
              <a:r>
                <a:rPr lang="es-ES" sz="1200" b="0">
                  <a:solidFill>
                    <a:sysClr val="windowText" lastClr="000000"/>
                  </a:solidFill>
                  <a:effectLst/>
                </a:rPr>
                <a:t>. </a:t>
              </a:r>
            </a:p>
          </xdr:txBody>
        </xdr:sp>
        <xdr:grpSp>
          <xdr:nvGrpSpPr>
            <xdr:cNvPr id="35" name="Grupo 34">
              <a:extLst>
                <a:ext uri="{FF2B5EF4-FFF2-40B4-BE49-F238E27FC236}">
                  <a16:creationId xmlns:a16="http://schemas.microsoft.com/office/drawing/2014/main" id="{00000000-0008-0000-0300-000023000000}"/>
                </a:ext>
              </a:extLst>
            </xdr:cNvPr>
            <xdr:cNvGrpSpPr/>
          </xdr:nvGrpSpPr>
          <xdr:grpSpPr>
            <a:xfrm>
              <a:off x="2400980" y="13336949"/>
              <a:ext cx="1631596" cy="596347"/>
              <a:chOff x="2327413" y="13392979"/>
              <a:chExt cx="1565414" cy="596347"/>
            </a:xfrm>
          </xdr:grpSpPr>
          <xdr:sp macro="" textlink="">
            <xdr:nvSpPr>
              <xdr:cNvPr id="33" name="Rectángulo: esquinas redondeadas 32">
                <a:extLst>
                  <a:ext uri="{FF2B5EF4-FFF2-40B4-BE49-F238E27FC236}">
                    <a16:creationId xmlns:a16="http://schemas.microsoft.com/office/drawing/2014/main" id="{00000000-0008-0000-0300-000021000000}"/>
                  </a:ext>
                </a:extLst>
              </xdr:cNvPr>
              <xdr:cNvSpPr/>
            </xdr:nvSpPr>
            <xdr:spPr>
              <a:xfrm>
                <a:off x="2327413" y="13392979"/>
                <a:ext cx="1565414"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TRAYECTORIAS</a:t>
                </a:r>
                <a:endParaRPr lang="es-ES" sz="1100" b="1"/>
              </a:p>
            </xdr:txBody>
          </xdr:sp>
          <xdr:pic>
            <xdr:nvPicPr>
              <xdr:cNvPr id="80" name="Gráfico 79" descr="Lista con relleno sólido">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3371021" y="13508935"/>
                <a:ext cx="488673" cy="379762"/>
              </a:xfrm>
              <a:prstGeom prst="rect">
                <a:avLst/>
              </a:prstGeom>
            </xdr:spPr>
          </xdr:pic>
        </xdr:grpSp>
      </xdr:grpSp>
      <xdr:grpSp>
        <xdr:nvGrpSpPr>
          <xdr:cNvPr id="44" name="Grupo 43">
            <a:extLst>
              <a:ext uri="{FF2B5EF4-FFF2-40B4-BE49-F238E27FC236}">
                <a16:creationId xmlns:a16="http://schemas.microsoft.com/office/drawing/2014/main" id="{00000000-0008-0000-0300-00002C000000}"/>
              </a:ext>
            </a:extLst>
          </xdr:cNvPr>
          <xdr:cNvGrpSpPr/>
        </xdr:nvGrpSpPr>
        <xdr:grpSpPr>
          <a:xfrm>
            <a:off x="2288803" y="11900059"/>
            <a:ext cx="10499910" cy="1682590"/>
            <a:chOff x="2286002" y="15298124"/>
            <a:chExt cx="10499910" cy="1682590"/>
          </a:xfrm>
        </xdr:grpSpPr>
        <xdr:grpSp>
          <xdr:nvGrpSpPr>
            <xdr:cNvPr id="86" name="Grupo 85">
              <a:extLst>
                <a:ext uri="{FF2B5EF4-FFF2-40B4-BE49-F238E27FC236}">
                  <a16:creationId xmlns:a16="http://schemas.microsoft.com/office/drawing/2014/main" id="{00000000-0008-0000-0300-000056000000}"/>
                </a:ext>
              </a:extLst>
            </xdr:cNvPr>
            <xdr:cNvGrpSpPr/>
          </xdr:nvGrpSpPr>
          <xdr:grpSpPr>
            <a:xfrm>
              <a:off x="2286002" y="15298124"/>
              <a:ext cx="10499910" cy="1682590"/>
              <a:chOff x="2179788" y="13298849"/>
              <a:chExt cx="10499910" cy="1682590"/>
            </a:xfrm>
          </xdr:grpSpPr>
          <xdr:sp macro="" textlink="">
            <xdr:nvSpPr>
              <xdr:cNvPr id="87" name="Rectángulo 86">
                <a:extLst>
                  <a:ext uri="{FF2B5EF4-FFF2-40B4-BE49-F238E27FC236}">
                    <a16:creationId xmlns:a16="http://schemas.microsoft.com/office/drawing/2014/main" id="{00000000-0008-0000-0300-000057000000}"/>
                  </a:ext>
                </a:extLst>
              </xdr:cNvPr>
              <xdr:cNvSpPr/>
            </xdr:nvSpPr>
            <xdr:spPr>
              <a:xfrm>
                <a:off x="2179788" y="13642332"/>
                <a:ext cx="10499910" cy="1339107"/>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latin typeface="+mn-lt"/>
                    <a:ea typeface="+mn-ea"/>
                    <a:cs typeface="+mn-cs"/>
                  </a:rPr>
                  <a:t>Los escenarios representan el </a:t>
                </a:r>
                <a:r>
                  <a:rPr lang="es-ES" sz="1200" b="1">
                    <a:solidFill>
                      <a:schemeClr val="accent2">
                        <a:lumMod val="75000"/>
                      </a:schemeClr>
                    </a:solidFill>
                    <a:effectLst/>
                    <a:latin typeface="+mn-lt"/>
                    <a:ea typeface="+mn-ea"/>
                    <a:cs typeface="+mn-cs"/>
                  </a:rPr>
                  <a:t>conjunto de decisiones </a:t>
                </a:r>
                <a:r>
                  <a:rPr lang="es-ES" sz="1200">
                    <a:solidFill>
                      <a:sysClr val="windowText" lastClr="000000"/>
                    </a:solidFill>
                    <a:effectLst/>
                    <a:latin typeface="+mn-lt"/>
                    <a:ea typeface="+mn-ea"/>
                    <a:cs typeface="+mn-cs"/>
                  </a:rPr>
                  <a:t>realizadas para reducir emisiones de GEI bajo la participación de las diferentes </a:t>
                </a:r>
                <a:r>
                  <a:rPr lang="es-ES" sz="1200" b="1">
                    <a:solidFill>
                      <a:schemeClr val="accent2">
                        <a:lumMod val="75000"/>
                      </a:schemeClr>
                    </a:solidFill>
                    <a:effectLst/>
                    <a:latin typeface="+mn-lt"/>
                    <a:ea typeface="+mn-ea"/>
                    <a:cs typeface="+mn-cs"/>
                  </a:rPr>
                  <a:t>medidas de mitigación modeladas </a:t>
                </a:r>
                <a:r>
                  <a:rPr lang="es-ES" sz="1200">
                    <a:solidFill>
                      <a:sysClr val="windowText" lastClr="000000"/>
                    </a:solidFill>
                    <a:effectLst/>
                    <a:latin typeface="+mn-lt"/>
                    <a:ea typeface="+mn-ea"/>
                    <a:cs typeface="+mn-cs"/>
                  </a:rPr>
                  <a:t>en cada uno de los sectores (8) y subsectores (21) y considerando</a:t>
                </a:r>
                <a:r>
                  <a:rPr lang="es-ES" sz="1200" baseline="0">
                    <a:solidFill>
                      <a:sysClr val="windowText" lastClr="000000"/>
                    </a:solidFill>
                    <a:effectLst/>
                    <a:latin typeface="+mn-lt"/>
                    <a:ea typeface="+mn-ea"/>
                    <a:cs typeface="+mn-cs"/>
                  </a:rPr>
                  <a:t> los diferentes </a:t>
                </a:r>
                <a:r>
                  <a:rPr lang="es-ES" sz="1200" b="1" baseline="0">
                    <a:solidFill>
                      <a:schemeClr val="accent2">
                        <a:lumMod val="75000"/>
                      </a:schemeClr>
                    </a:solidFill>
                    <a:effectLst/>
                    <a:latin typeface="+mn-lt"/>
                    <a:ea typeface="+mn-ea"/>
                    <a:cs typeface="+mn-cs"/>
                  </a:rPr>
                  <a:t>supuestos de</a:t>
                </a:r>
                <a:r>
                  <a:rPr lang="es-ES" sz="1200" b="1">
                    <a:solidFill>
                      <a:schemeClr val="accent2">
                        <a:lumMod val="75000"/>
                      </a:schemeClr>
                    </a:solidFill>
                    <a:effectLst/>
                    <a:latin typeface="+mn-lt"/>
                    <a:ea typeface="+mn-ea"/>
                    <a:cs typeface="+mn-cs"/>
                  </a:rPr>
                  <a:t> trayectoria </a:t>
                </a:r>
                <a:r>
                  <a:rPr lang="es-ES" sz="1200">
                    <a:solidFill>
                      <a:sysClr val="windowText" lastClr="000000"/>
                    </a:solidFill>
                    <a:effectLst/>
                    <a:latin typeface="+mn-lt"/>
                    <a:ea typeface="+mn-ea"/>
                    <a:cs typeface="+mn-cs"/>
                  </a:rPr>
                  <a:t>y </a:t>
                </a:r>
                <a:r>
                  <a:rPr lang="es-ES" sz="1200" b="1">
                    <a:solidFill>
                      <a:schemeClr val="accent2">
                        <a:lumMod val="75000"/>
                      </a:schemeClr>
                    </a:solidFill>
                    <a:effectLst/>
                    <a:latin typeface="+mn-lt"/>
                    <a:ea typeface="+mn-ea"/>
                    <a:cs typeface="+mn-cs"/>
                  </a:rPr>
                  <a:t>datos de actividad</a:t>
                </a:r>
                <a:r>
                  <a:rPr lang="es-ES" sz="1200">
                    <a:solidFill>
                      <a:sysClr val="windowText" lastClr="000000"/>
                    </a:solidFill>
                    <a:effectLst/>
                    <a:latin typeface="+mn-lt"/>
                    <a:ea typeface="+mn-ea"/>
                    <a:cs typeface="+mn-cs"/>
                  </a:rPr>
                  <a:t>, que contribuyen a particularizar cada escenario (ver </a:t>
                </a:r>
                <a:r>
                  <a:rPr lang="es-ES" sz="1200" b="1" u="sng">
                    <a:solidFill>
                      <a:schemeClr val="accent6">
                        <a:lumMod val="75000"/>
                      </a:schemeClr>
                    </a:solidFill>
                    <a:effectLst/>
                    <a:latin typeface="+mn-lt"/>
                    <a:ea typeface="+mn-ea"/>
                    <a:cs typeface="+mn-cs"/>
                  </a:rPr>
                  <a:t>¿Cómo crear un escenario?</a:t>
                </a:r>
                <a:r>
                  <a:rPr lang="es-ES" sz="1200">
                    <a:solidFill>
                      <a:sysClr val="windowText" lastClr="000000"/>
                    </a:solidFill>
                    <a:effectLst/>
                    <a:latin typeface="+mn-lt"/>
                    <a:ea typeface="+mn-ea"/>
                    <a:cs typeface="+mn-cs"/>
                  </a:rPr>
                  <a:t>). </a:t>
                </a:r>
              </a:p>
              <a:p>
                <a:r>
                  <a:rPr lang="es-ES" sz="1200">
                    <a:solidFill>
                      <a:sysClr val="windowText" lastClr="000000"/>
                    </a:solidFill>
                    <a:effectLst/>
                    <a:latin typeface="+mn-lt"/>
                    <a:ea typeface="+mn-ea"/>
                    <a:cs typeface="+mn-cs"/>
                  </a:rPr>
                  <a:t>Estos datos son, </a:t>
                </a:r>
                <a:r>
                  <a:rPr lang="es-ES" sz="1200" b="1">
                    <a:solidFill>
                      <a:schemeClr val="accent2">
                        <a:lumMod val="75000"/>
                      </a:schemeClr>
                    </a:solidFill>
                    <a:effectLst/>
                    <a:latin typeface="+mn-lt"/>
                    <a:ea typeface="+mn-ea"/>
                    <a:cs typeface="+mn-cs"/>
                  </a:rPr>
                  <a:t>de acuerdo a su tipología</a:t>
                </a:r>
                <a:r>
                  <a:rPr lang="es-ES" sz="1200">
                    <a:solidFill>
                      <a:sysClr val="windowText" lastClr="000000"/>
                    </a:solidFill>
                    <a:effectLst/>
                    <a:latin typeface="+mn-lt"/>
                    <a:ea typeface="+mn-ea"/>
                    <a:cs typeface="+mn-cs"/>
                  </a:rPr>
                  <a:t>: entradas, supuestos de trayectoria y supuestos fijos, que son los datos de actividad considerados en las metodologías de estimación de emisiones de cada medida  y, de salida que son los resultados obtenidos (ver Tipología de los datos). </a:t>
                </a:r>
              </a:p>
            </xdr:txBody>
          </xdr:sp>
          <xdr:sp macro="" textlink="">
            <xdr:nvSpPr>
              <xdr:cNvPr id="89" name="Rectángulo: esquinas redondeadas 88">
                <a:extLst>
                  <a:ext uri="{FF2B5EF4-FFF2-40B4-BE49-F238E27FC236}">
                    <a16:creationId xmlns:a16="http://schemas.microsoft.com/office/drawing/2014/main" id="{00000000-0008-0000-0300-000059000000}"/>
                  </a:ext>
                </a:extLst>
              </xdr:cNvPr>
              <xdr:cNvSpPr/>
            </xdr:nvSpPr>
            <xdr:spPr>
              <a:xfrm>
                <a:off x="2400980" y="132988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ESCENARIOS</a:t>
                </a:r>
                <a:endParaRPr lang="es-ES" sz="1100" b="1"/>
              </a:p>
            </xdr:txBody>
          </xdr:sp>
        </xdr:grpSp>
        <xdr:pic>
          <xdr:nvPicPr>
            <xdr:cNvPr id="96" name="Gráfico 95" descr="Alternar con relleno sólido">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557590" y="15336371"/>
              <a:ext cx="506030" cy="504265"/>
            </a:xfrm>
            <a:prstGeom prst="rect">
              <a:avLst/>
            </a:prstGeom>
          </xdr:spPr>
        </xdr:pic>
      </xdr:grpSp>
      <xdr:grpSp>
        <xdr:nvGrpSpPr>
          <xdr:cNvPr id="39" name="Grupo 38">
            <a:extLst>
              <a:ext uri="{FF2B5EF4-FFF2-40B4-BE49-F238E27FC236}">
                <a16:creationId xmlns:a16="http://schemas.microsoft.com/office/drawing/2014/main" id="{00000000-0008-0000-0300-000027000000}"/>
              </a:ext>
            </a:extLst>
          </xdr:cNvPr>
          <xdr:cNvGrpSpPr/>
        </xdr:nvGrpSpPr>
        <xdr:grpSpPr>
          <a:xfrm>
            <a:off x="2288803" y="13682963"/>
            <a:ext cx="10533527" cy="1434353"/>
            <a:chOff x="2286002" y="17335500"/>
            <a:chExt cx="10533527" cy="1434353"/>
          </a:xfrm>
        </xdr:grpSpPr>
        <xdr:grpSp>
          <xdr:nvGrpSpPr>
            <xdr:cNvPr id="91" name="Grupo 90">
              <a:extLst>
                <a:ext uri="{FF2B5EF4-FFF2-40B4-BE49-F238E27FC236}">
                  <a16:creationId xmlns:a16="http://schemas.microsoft.com/office/drawing/2014/main" id="{00000000-0008-0000-0300-00005B000000}"/>
                </a:ext>
              </a:extLst>
            </xdr:cNvPr>
            <xdr:cNvGrpSpPr/>
          </xdr:nvGrpSpPr>
          <xdr:grpSpPr>
            <a:xfrm>
              <a:off x="2286002" y="17335500"/>
              <a:ext cx="10533527" cy="1434353"/>
              <a:chOff x="2179788" y="13336949"/>
              <a:chExt cx="10533527" cy="1434353"/>
            </a:xfrm>
          </xdr:grpSpPr>
          <xdr:sp macro="" textlink="">
            <xdr:nvSpPr>
              <xdr:cNvPr id="92" name="Rectángulo 91">
                <a:extLst>
                  <a:ext uri="{FF2B5EF4-FFF2-40B4-BE49-F238E27FC236}">
                    <a16:creationId xmlns:a16="http://schemas.microsoft.com/office/drawing/2014/main" id="{00000000-0008-0000-0300-00005C000000}"/>
                  </a:ext>
                </a:extLst>
              </xdr:cNvPr>
              <xdr:cNvSpPr/>
            </xdr:nvSpPr>
            <xdr:spPr>
              <a:xfrm>
                <a:off x="2179788" y="13680433"/>
                <a:ext cx="10533527" cy="1090869"/>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rPr>
                  <a:t>Esta sección cuenta con dos opciones de visualización gráfica de los resultados en términos de emisiones de GEI y energía: los </a:t>
                </a:r>
                <a:r>
                  <a:rPr lang="es-ES" sz="1200" b="1">
                    <a:solidFill>
                      <a:schemeClr val="accent2">
                        <a:lumMod val="75000"/>
                      </a:schemeClr>
                    </a:solidFill>
                    <a:effectLst/>
                  </a:rPr>
                  <a:t>resultados generales</a:t>
                </a:r>
                <a:r>
                  <a:rPr lang="es-ES" sz="1200">
                    <a:solidFill>
                      <a:sysClr val="windowText" lastClr="000000"/>
                    </a:solidFill>
                    <a:effectLst/>
                  </a:rPr>
                  <a:t>, en la que se muestra los resultados integrados por sectores y, </a:t>
                </a:r>
                <a:r>
                  <a:rPr lang="es-ES" sz="1200" b="1">
                    <a:solidFill>
                      <a:schemeClr val="accent2">
                        <a:lumMod val="75000"/>
                      </a:schemeClr>
                    </a:solidFill>
                    <a:effectLst/>
                  </a:rPr>
                  <a:t>resultados sectoriales</a:t>
                </a:r>
                <a:r>
                  <a:rPr lang="es-ES" sz="1200">
                    <a:solidFill>
                      <a:sysClr val="windowText" lastClr="000000"/>
                    </a:solidFill>
                    <a:effectLst/>
                  </a:rPr>
                  <a:t>, en los que se muestran los resultados obtenidos en cada sector por la contribución de las medidas que lo integran. </a:t>
                </a:r>
              </a:p>
            </xdr:txBody>
          </xdr:sp>
          <xdr:sp macro="" textlink="">
            <xdr:nvSpPr>
              <xdr:cNvPr id="94" name="Rectángulo: esquinas redondeadas 93">
                <a:extLst>
                  <a:ext uri="{FF2B5EF4-FFF2-40B4-BE49-F238E27FC236}">
                    <a16:creationId xmlns:a16="http://schemas.microsoft.com/office/drawing/2014/main" id="{00000000-0008-0000-0300-00005E000000}"/>
                  </a:ext>
                </a:extLst>
              </xdr:cNvPr>
              <xdr:cNvSpPr/>
            </xdr:nvSpPr>
            <xdr:spPr>
              <a:xfrm>
                <a:off x="2400980" y="133369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RESULTADOS</a:t>
                </a:r>
                <a:endParaRPr lang="es-ES" sz="1100" b="1"/>
              </a:p>
            </xdr:txBody>
          </xdr:sp>
        </xdr:grpSp>
        <xdr:pic>
          <xdr:nvPicPr>
            <xdr:cNvPr id="97" name="Gráfico 96" descr="Gráfico de barras con relleno sólido">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608294" y="17380325"/>
              <a:ext cx="515470" cy="487478"/>
            </a:xfrm>
            <a:prstGeom prst="rect">
              <a:avLst/>
            </a:prstGeom>
          </xdr:spPr>
        </xdr:pic>
      </xdr:grpSp>
      <xdr:grpSp>
        <xdr:nvGrpSpPr>
          <xdr:cNvPr id="169" name="Grupo 168">
            <a:extLst>
              <a:ext uri="{FF2B5EF4-FFF2-40B4-BE49-F238E27FC236}">
                <a16:creationId xmlns:a16="http://schemas.microsoft.com/office/drawing/2014/main" id="{00000000-0008-0000-0300-0000A9000000}"/>
              </a:ext>
            </a:extLst>
          </xdr:cNvPr>
          <xdr:cNvGrpSpPr/>
        </xdr:nvGrpSpPr>
        <xdr:grpSpPr>
          <a:xfrm>
            <a:off x="2288803" y="15322917"/>
            <a:ext cx="10533527" cy="1434353"/>
            <a:chOff x="2179788" y="13336949"/>
            <a:chExt cx="10533527" cy="1434353"/>
          </a:xfrm>
        </xdr:grpSpPr>
        <xdr:sp macro="" textlink="">
          <xdr:nvSpPr>
            <xdr:cNvPr id="171" name="Rectángulo 170">
              <a:extLst>
                <a:ext uri="{FF2B5EF4-FFF2-40B4-BE49-F238E27FC236}">
                  <a16:creationId xmlns:a16="http://schemas.microsoft.com/office/drawing/2014/main" id="{00000000-0008-0000-0300-0000AB000000}"/>
                </a:ext>
              </a:extLst>
            </xdr:cNvPr>
            <xdr:cNvSpPr/>
          </xdr:nvSpPr>
          <xdr:spPr>
            <a:xfrm>
              <a:off x="2179788" y="13680433"/>
              <a:ext cx="10533527" cy="1090869"/>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rPr>
                <a:t>Se proporciona la posibilidad de modificar los </a:t>
              </a:r>
              <a:r>
                <a:rPr lang="es-ES" sz="1200" b="1">
                  <a:solidFill>
                    <a:schemeClr val="accent2">
                      <a:lumMod val="75000"/>
                    </a:schemeClr>
                  </a:solidFill>
                  <a:effectLst/>
                </a:rPr>
                <a:t>potenciales de calentamiento </a:t>
              </a:r>
              <a:r>
                <a:rPr lang="es-ES" sz="1200" b="1">
                  <a:solidFill>
                    <a:schemeClr val="accent2">
                      <a:lumMod val="75000"/>
                    </a:schemeClr>
                  </a:solidFill>
                  <a:effectLst/>
                  <a:latin typeface="+mn-lt"/>
                  <a:ea typeface="+mn-ea"/>
                  <a:cs typeface="+mn-cs"/>
                </a:rPr>
                <a:t>glob</a:t>
              </a:r>
              <a:r>
                <a:rPr lang="es-ES" sz="1200" b="1">
                  <a:solidFill>
                    <a:schemeClr val="accent2">
                      <a:lumMod val="75000"/>
                    </a:schemeClr>
                  </a:solidFill>
                  <a:effectLst/>
                </a:rPr>
                <a:t>al (PCG) </a:t>
              </a:r>
              <a:r>
                <a:rPr lang="es-ES" sz="1200">
                  <a:solidFill>
                    <a:sysClr val="windowText" lastClr="000000"/>
                  </a:solidFill>
                  <a:effectLst/>
                </a:rPr>
                <a:t>utilizados para la conversión de las emisiones de los GEI estimados a dióxido de carbono equivalente (CO</a:t>
              </a:r>
              <a:r>
                <a:rPr lang="es-ES" sz="1200" baseline="-25000">
                  <a:solidFill>
                    <a:sysClr val="windowText" lastClr="000000"/>
                  </a:solidFill>
                  <a:effectLst/>
                </a:rPr>
                <a:t>2</a:t>
              </a:r>
              <a:r>
                <a:rPr lang="es-ES" sz="1200">
                  <a:solidFill>
                    <a:sysClr val="windowText" lastClr="000000"/>
                  </a:solidFill>
                  <a:effectLst/>
                </a:rPr>
                <a:t>e), utilizando los correspondientes tanto al Quinto como al Sexto informe del IPCC. De igual manera, se habilita </a:t>
              </a:r>
              <a:r>
                <a:rPr lang="es-ES" sz="1200" b="1">
                  <a:solidFill>
                    <a:schemeClr val="accent2">
                      <a:lumMod val="75000"/>
                    </a:schemeClr>
                  </a:solidFill>
                  <a:effectLst/>
                </a:rPr>
                <a:t>la modificación de las unidades de los resultados (salidas)</a:t>
              </a:r>
              <a:r>
                <a:rPr lang="es-ES" sz="1200">
                  <a:solidFill>
                    <a:sysClr val="windowText" lastClr="000000"/>
                  </a:solidFill>
                  <a:effectLst/>
                </a:rPr>
                <a:t> para cada sector.</a:t>
              </a:r>
            </a:p>
          </xdr:txBody>
        </xdr:sp>
        <xdr:sp macro="" textlink="">
          <xdr:nvSpPr>
            <xdr:cNvPr id="172" name="Rectángulo: esquinas redondeadas 171">
              <a:extLst>
                <a:ext uri="{FF2B5EF4-FFF2-40B4-BE49-F238E27FC236}">
                  <a16:creationId xmlns:a16="http://schemas.microsoft.com/office/drawing/2014/main" id="{00000000-0008-0000-0300-0000AC000000}"/>
                </a:ext>
              </a:extLst>
            </xdr:cNvPr>
            <xdr:cNvSpPr/>
          </xdr:nvSpPr>
          <xdr:spPr>
            <a:xfrm>
              <a:off x="2400980" y="133369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endParaRPr lang="es-ES" sz="1100" b="1"/>
            </a:p>
          </xdr:txBody>
        </xdr:sp>
      </xdr:grpSp>
    </xdr:grpSp>
    <xdr:clientData/>
  </xdr:twoCellAnchor>
  <xdr:twoCellAnchor>
    <xdr:from>
      <xdr:col>2</xdr:col>
      <xdr:colOff>536743</xdr:colOff>
      <xdr:row>80</xdr:row>
      <xdr:rowOff>114637</xdr:rowOff>
    </xdr:from>
    <xdr:to>
      <xdr:col>4</xdr:col>
      <xdr:colOff>253126</xdr:colOff>
      <xdr:row>82</xdr:row>
      <xdr:rowOff>150526</xdr:rowOff>
    </xdr:to>
    <xdr:grpSp>
      <xdr:nvGrpSpPr>
        <xdr:cNvPr id="173" name="Grupo 172">
          <a:extLst>
            <a:ext uri="{FF2B5EF4-FFF2-40B4-BE49-F238E27FC236}">
              <a16:creationId xmlns:a16="http://schemas.microsoft.com/office/drawing/2014/main" id="{00000000-0008-0000-0300-0000AD000000}"/>
            </a:ext>
          </a:extLst>
        </xdr:cNvPr>
        <xdr:cNvGrpSpPr/>
      </xdr:nvGrpSpPr>
      <xdr:grpSpPr>
        <a:xfrm>
          <a:off x="2679868" y="15354637"/>
          <a:ext cx="1240383" cy="416889"/>
          <a:chOff x="28575" y="6322220"/>
          <a:chExt cx="1240382" cy="416889"/>
        </a:xfrm>
      </xdr:grpSpPr>
      <xdr:pic>
        <xdr:nvPicPr>
          <xdr:cNvPr id="174" name="Gráfico 173" descr="Engranaje único con relleno sólido">
            <a:extLst>
              <a:ext uri="{FF2B5EF4-FFF2-40B4-BE49-F238E27FC236}">
                <a16:creationId xmlns:a16="http://schemas.microsoft.com/office/drawing/2014/main" id="{00000000-0008-0000-0300-0000AE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28575" y="6322220"/>
            <a:ext cx="409575" cy="416889"/>
          </a:xfrm>
          <a:prstGeom prst="rect">
            <a:avLst/>
          </a:prstGeom>
        </xdr:spPr>
      </xdr:pic>
      <xdr:sp macro="" textlink="">
        <xdr:nvSpPr>
          <xdr:cNvPr id="175" name="CuadroTexto 174">
            <a:extLst>
              <a:ext uri="{FF2B5EF4-FFF2-40B4-BE49-F238E27FC236}">
                <a16:creationId xmlns:a16="http://schemas.microsoft.com/office/drawing/2014/main" id="{00000000-0008-0000-0300-0000AF000000}"/>
              </a:ext>
            </a:extLst>
          </xdr:cNvPr>
          <xdr:cNvSpPr txBox="1"/>
        </xdr:nvSpPr>
        <xdr:spPr>
          <a:xfrm>
            <a:off x="542924" y="6425309"/>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0</xdr:colOff>
      <xdr:row>262</xdr:row>
      <xdr:rowOff>0</xdr:rowOff>
    </xdr:from>
    <xdr:to>
      <xdr:col>1</xdr:col>
      <xdr:colOff>628449</xdr:colOff>
      <xdr:row>263</xdr:row>
      <xdr:rowOff>109368</xdr:rowOff>
    </xdr:to>
    <xdr:cxnSp macro="">
      <xdr:nvCxnSpPr>
        <xdr:cNvPr id="15" name="Conector: angular 14">
          <a:extLst>
            <a:ext uri="{FF2B5EF4-FFF2-40B4-BE49-F238E27FC236}">
              <a16:creationId xmlns:a16="http://schemas.microsoft.com/office/drawing/2014/main" id="{00000000-0008-0000-0300-00000F000000}"/>
            </a:ext>
          </a:extLst>
        </xdr:cNvPr>
        <xdr:cNvCxnSpPr/>
      </xdr:nvCxnSpPr>
      <xdr:spPr>
        <a:xfrm>
          <a:off x="1381125" y="48377475"/>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647699</xdr:colOff>
      <xdr:row>262</xdr:row>
      <xdr:rowOff>123825</xdr:rowOff>
    </xdr:from>
    <xdr:to>
      <xdr:col>3</xdr:col>
      <xdr:colOff>523874</xdr:colOff>
      <xdr:row>264</xdr:row>
      <xdr:rowOff>9525</xdr:rowOff>
    </xdr:to>
    <xdr:sp macro="" textlink="">
      <xdr:nvSpPr>
        <xdr:cNvPr id="16" name="Rectángulo: esquinas redondeadas 15">
          <a:extLst>
            <a:ext uri="{FF2B5EF4-FFF2-40B4-BE49-F238E27FC236}">
              <a16:creationId xmlns:a16="http://schemas.microsoft.com/office/drawing/2014/main" id="{00000000-0008-0000-0300-000010000000}"/>
            </a:ext>
          </a:extLst>
        </xdr:cNvPr>
        <xdr:cNvSpPr/>
      </xdr:nvSpPr>
      <xdr:spPr>
        <a:xfrm>
          <a:off x="2028824" y="49739550"/>
          <a:ext cx="140017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ENERGÍA - CF</a:t>
          </a:r>
          <a:r>
            <a:rPr lang="es-ES" sz="1200" b="1" baseline="0"/>
            <a:t>yB</a:t>
          </a:r>
          <a:endParaRPr lang="es-ES" sz="1200" b="1"/>
        </a:p>
      </xdr:txBody>
    </xdr:sp>
    <xdr:clientData/>
  </xdr:twoCellAnchor>
  <xdr:twoCellAnchor>
    <xdr:from>
      <xdr:col>1</xdr:col>
      <xdr:colOff>0</xdr:colOff>
      <xdr:row>285</xdr:row>
      <xdr:rowOff>0</xdr:rowOff>
    </xdr:from>
    <xdr:to>
      <xdr:col>1</xdr:col>
      <xdr:colOff>628449</xdr:colOff>
      <xdr:row>286</xdr:row>
      <xdr:rowOff>109368</xdr:rowOff>
    </xdr:to>
    <xdr:cxnSp macro="">
      <xdr:nvCxnSpPr>
        <xdr:cNvPr id="20" name="Conector: angular 19">
          <a:extLst>
            <a:ext uri="{FF2B5EF4-FFF2-40B4-BE49-F238E27FC236}">
              <a16:creationId xmlns:a16="http://schemas.microsoft.com/office/drawing/2014/main" id="{00000000-0008-0000-0300-000014000000}"/>
            </a:ext>
          </a:extLst>
        </xdr:cNvPr>
        <xdr:cNvCxnSpPr/>
      </xdr:nvCxnSpPr>
      <xdr:spPr>
        <a:xfrm>
          <a:off x="1381125" y="52835175"/>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647699</xdr:colOff>
      <xdr:row>285</xdr:row>
      <xdr:rowOff>123825</xdr:rowOff>
    </xdr:from>
    <xdr:to>
      <xdr:col>3</xdr:col>
      <xdr:colOff>600074</xdr:colOff>
      <xdr:row>287</xdr:row>
      <xdr:rowOff>85725</xdr:rowOff>
    </xdr:to>
    <xdr:sp macro="" textlink="">
      <xdr:nvSpPr>
        <xdr:cNvPr id="27" name="Rectángulo: esquinas redondeadas 26">
          <a:extLst>
            <a:ext uri="{FF2B5EF4-FFF2-40B4-BE49-F238E27FC236}">
              <a16:creationId xmlns:a16="http://schemas.microsoft.com/office/drawing/2014/main" id="{00000000-0008-0000-0300-00001B000000}"/>
            </a:ext>
          </a:extLst>
        </xdr:cNvPr>
        <xdr:cNvSpPr/>
      </xdr:nvSpPr>
      <xdr:spPr>
        <a:xfrm>
          <a:off x="2028824" y="54197250"/>
          <a:ext cx="147637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ENERGÍA</a:t>
          </a:r>
          <a:r>
            <a:rPr lang="es-ES" sz="1200" b="1" baseline="0"/>
            <a:t> - EyA</a:t>
          </a:r>
          <a:endParaRPr lang="es-ES" sz="1200" b="1"/>
        </a:p>
      </xdr:txBody>
    </xdr:sp>
    <xdr:clientData/>
  </xdr:twoCellAnchor>
  <xdr:twoCellAnchor>
    <xdr:from>
      <xdr:col>1</xdr:col>
      <xdr:colOff>0</xdr:colOff>
      <xdr:row>308</xdr:row>
      <xdr:rowOff>142875</xdr:rowOff>
    </xdr:from>
    <xdr:to>
      <xdr:col>16</xdr:col>
      <xdr:colOff>38100</xdr:colOff>
      <xdr:row>331</xdr:row>
      <xdr:rowOff>47625</xdr:rowOff>
    </xdr:to>
    <xdr:grpSp>
      <xdr:nvGrpSpPr>
        <xdr:cNvPr id="170" name="Grupo 169">
          <a:extLst>
            <a:ext uri="{FF2B5EF4-FFF2-40B4-BE49-F238E27FC236}">
              <a16:creationId xmlns:a16="http://schemas.microsoft.com/office/drawing/2014/main" id="{00000000-0008-0000-0300-0000AA000000}"/>
            </a:ext>
          </a:extLst>
        </xdr:cNvPr>
        <xdr:cNvGrpSpPr/>
      </xdr:nvGrpSpPr>
      <xdr:grpSpPr>
        <a:xfrm>
          <a:off x="1381125" y="59602688"/>
          <a:ext cx="11468100" cy="4286250"/>
          <a:chOff x="1381125" y="57359550"/>
          <a:chExt cx="11468100" cy="4286250"/>
        </a:xfrm>
      </xdr:grpSpPr>
      <xdr:sp macro="" textlink="">
        <xdr:nvSpPr>
          <xdr:cNvPr id="168" name="Rectángulo 167">
            <a:extLst>
              <a:ext uri="{FF2B5EF4-FFF2-40B4-BE49-F238E27FC236}">
                <a16:creationId xmlns:a16="http://schemas.microsoft.com/office/drawing/2014/main" id="{00000000-0008-0000-0300-0000A8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30" name="Conector: angular 29">
            <a:extLst>
              <a:ext uri="{FF2B5EF4-FFF2-40B4-BE49-F238E27FC236}">
                <a16:creationId xmlns:a16="http://schemas.microsoft.com/office/drawing/2014/main" id="{00000000-0008-0000-0300-00001E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31" name="Rectángulo: esquinas redondeadas 30">
            <a:extLst>
              <a:ext uri="{FF2B5EF4-FFF2-40B4-BE49-F238E27FC236}">
                <a16:creationId xmlns:a16="http://schemas.microsoft.com/office/drawing/2014/main" id="{00000000-0008-0000-0300-00001F000000}"/>
              </a:ext>
            </a:extLst>
          </xdr:cNvPr>
          <xdr:cNvSpPr/>
        </xdr:nvSpPr>
        <xdr:spPr>
          <a:xfrm>
            <a:off x="2028825" y="57483375"/>
            <a:ext cx="1123950"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INDUSTRIA</a:t>
            </a:r>
          </a:p>
        </xdr:txBody>
      </xdr:sp>
    </xdr:grpSp>
    <xdr:clientData/>
  </xdr:twoCellAnchor>
  <xdr:twoCellAnchor>
    <xdr:from>
      <xdr:col>1</xdr:col>
      <xdr:colOff>0</xdr:colOff>
      <xdr:row>333</xdr:row>
      <xdr:rowOff>0</xdr:rowOff>
    </xdr:from>
    <xdr:to>
      <xdr:col>16</xdr:col>
      <xdr:colOff>38100</xdr:colOff>
      <xdr:row>355</xdr:row>
      <xdr:rowOff>95250</xdr:rowOff>
    </xdr:to>
    <xdr:grpSp>
      <xdr:nvGrpSpPr>
        <xdr:cNvPr id="177" name="Grupo 176">
          <a:extLst>
            <a:ext uri="{FF2B5EF4-FFF2-40B4-BE49-F238E27FC236}">
              <a16:creationId xmlns:a16="http://schemas.microsoft.com/office/drawing/2014/main" id="{00000000-0008-0000-0300-0000B1000000}"/>
            </a:ext>
          </a:extLst>
        </xdr:cNvPr>
        <xdr:cNvGrpSpPr/>
      </xdr:nvGrpSpPr>
      <xdr:grpSpPr>
        <a:xfrm>
          <a:off x="1381125" y="64222313"/>
          <a:ext cx="11468100" cy="4286250"/>
          <a:chOff x="1381125" y="57359550"/>
          <a:chExt cx="11468100" cy="4286250"/>
        </a:xfrm>
      </xdr:grpSpPr>
      <xdr:sp macro="" textlink="">
        <xdr:nvSpPr>
          <xdr:cNvPr id="178" name="Rectángulo 177">
            <a:extLst>
              <a:ext uri="{FF2B5EF4-FFF2-40B4-BE49-F238E27FC236}">
                <a16:creationId xmlns:a16="http://schemas.microsoft.com/office/drawing/2014/main" id="{00000000-0008-0000-0300-0000B2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179" name="Conector: angular 178">
            <a:extLst>
              <a:ext uri="{FF2B5EF4-FFF2-40B4-BE49-F238E27FC236}">
                <a16:creationId xmlns:a16="http://schemas.microsoft.com/office/drawing/2014/main" id="{00000000-0008-0000-0300-0000B3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180" name="Rectángulo: esquinas redondeadas 179">
            <a:extLst>
              <a:ext uri="{FF2B5EF4-FFF2-40B4-BE49-F238E27FC236}">
                <a16:creationId xmlns:a16="http://schemas.microsoft.com/office/drawing/2014/main" id="{00000000-0008-0000-0300-0000B4000000}"/>
              </a:ext>
            </a:extLst>
          </xdr:cNvPr>
          <xdr:cNvSpPr/>
        </xdr:nvSpPr>
        <xdr:spPr>
          <a:xfrm>
            <a:off x="2028825" y="57483375"/>
            <a:ext cx="1123950"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RESIDUOS</a:t>
            </a:r>
          </a:p>
        </xdr:txBody>
      </xdr:sp>
    </xdr:grpSp>
    <xdr:clientData/>
  </xdr:twoCellAnchor>
  <xdr:twoCellAnchor>
    <xdr:from>
      <xdr:col>1</xdr:col>
      <xdr:colOff>0</xdr:colOff>
      <xdr:row>357</xdr:row>
      <xdr:rowOff>0</xdr:rowOff>
    </xdr:from>
    <xdr:to>
      <xdr:col>16</xdr:col>
      <xdr:colOff>38100</xdr:colOff>
      <xdr:row>379</xdr:row>
      <xdr:rowOff>95250</xdr:rowOff>
    </xdr:to>
    <xdr:grpSp>
      <xdr:nvGrpSpPr>
        <xdr:cNvPr id="185" name="Grupo 184">
          <a:extLst>
            <a:ext uri="{FF2B5EF4-FFF2-40B4-BE49-F238E27FC236}">
              <a16:creationId xmlns:a16="http://schemas.microsoft.com/office/drawing/2014/main" id="{00000000-0008-0000-0300-0000B9000000}"/>
            </a:ext>
          </a:extLst>
        </xdr:cNvPr>
        <xdr:cNvGrpSpPr/>
      </xdr:nvGrpSpPr>
      <xdr:grpSpPr>
        <a:xfrm>
          <a:off x="1381125" y="68794313"/>
          <a:ext cx="11468100" cy="4286250"/>
          <a:chOff x="1381125" y="57359550"/>
          <a:chExt cx="11468100" cy="4286250"/>
        </a:xfrm>
      </xdr:grpSpPr>
      <xdr:sp macro="" textlink="">
        <xdr:nvSpPr>
          <xdr:cNvPr id="187" name="Rectángulo 186">
            <a:extLst>
              <a:ext uri="{FF2B5EF4-FFF2-40B4-BE49-F238E27FC236}">
                <a16:creationId xmlns:a16="http://schemas.microsoft.com/office/drawing/2014/main" id="{00000000-0008-0000-0300-0000BB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188" name="Conector: angular 187">
            <a:extLst>
              <a:ext uri="{FF2B5EF4-FFF2-40B4-BE49-F238E27FC236}">
                <a16:creationId xmlns:a16="http://schemas.microsoft.com/office/drawing/2014/main" id="{00000000-0008-0000-0300-0000BC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189" name="Rectángulo: esquinas redondeadas 188">
            <a:extLst>
              <a:ext uri="{FF2B5EF4-FFF2-40B4-BE49-F238E27FC236}">
                <a16:creationId xmlns:a16="http://schemas.microsoft.com/office/drawing/2014/main" id="{00000000-0008-0000-0300-0000BD00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EDIFICACIONES</a:t>
            </a:r>
          </a:p>
        </xdr:txBody>
      </xdr:sp>
    </xdr:grpSp>
    <xdr:clientData/>
  </xdr:twoCellAnchor>
  <xdr:twoCellAnchor>
    <xdr:from>
      <xdr:col>1</xdr:col>
      <xdr:colOff>0</xdr:colOff>
      <xdr:row>380</xdr:row>
      <xdr:rowOff>104775</xdr:rowOff>
    </xdr:from>
    <xdr:to>
      <xdr:col>16</xdr:col>
      <xdr:colOff>38100</xdr:colOff>
      <xdr:row>403</xdr:row>
      <xdr:rowOff>9525</xdr:rowOff>
    </xdr:to>
    <xdr:grpSp>
      <xdr:nvGrpSpPr>
        <xdr:cNvPr id="190" name="Grupo 189">
          <a:extLst>
            <a:ext uri="{FF2B5EF4-FFF2-40B4-BE49-F238E27FC236}">
              <a16:creationId xmlns:a16="http://schemas.microsoft.com/office/drawing/2014/main" id="{00000000-0008-0000-0300-0000BE000000}"/>
            </a:ext>
          </a:extLst>
        </xdr:cNvPr>
        <xdr:cNvGrpSpPr/>
      </xdr:nvGrpSpPr>
      <xdr:grpSpPr>
        <a:xfrm>
          <a:off x="1381125" y="73280588"/>
          <a:ext cx="11468100" cy="4286250"/>
          <a:chOff x="1381125" y="57359550"/>
          <a:chExt cx="11468100" cy="4286250"/>
        </a:xfrm>
      </xdr:grpSpPr>
      <xdr:sp macro="" textlink="">
        <xdr:nvSpPr>
          <xdr:cNvPr id="191" name="Rectángulo 190">
            <a:extLst>
              <a:ext uri="{FF2B5EF4-FFF2-40B4-BE49-F238E27FC236}">
                <a16:creationId xmlns:a16="http://schemas.microsoft.com/office/drawing/2014/main" id="{00000000-0008-0000-0300-0000BF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56" name="Conector: angular 255">
            <a:extLst>
              <a:ext uri="{FF2B5EF4-FFF2-40B4-BE49-F238E27FC236}">
                <a16:creationId xmlns:a16="http://schemas.microsoft.com/office/drawing/2014/main" id="{00000000-0008-0000-0300-000000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57" name="Rectángulo: esquinas redondeadas 256">
            <a:extLst>
              <a:ext uri="{FF2B5EF4-FFF2-40B4-BE49-F238E27FC236}">
                <a16:creationId xmlns:a16="http://schemas.microsoft.com/office/drawing/2014/main" id="{00000000-0008-0000-0300-000001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TRANSPORTE</a:t>
            </a:r>
          </a:p>
        </xdr:txBody>
      </xdr:sp>
    </xdr:grpSp>
    <xdr:clientData/>
  </xdr:twoCellAnchor>
  <xdr:twoCellAnchor>
    <xdr:from>
      <xdr:col>1</xdr:col>
      <xdr:colOff>0</xdr:colOff>
      <xdr:row>404</xdr:row>
      <xdr:rowOff>0</xdr:rowOff>
    </xdr:from>
    <xdr:to>
      <xdr:col>16</xdr:col>
      <xdr:colOff>38100</xdr:colOff>
      <xdr:row>426</xdr:row>
      <xdr:rowOff>95250</xdr:rowOff>
    </xdr:to>
    <xdr:grpSp>
      <xdr:nvGrpSpPr>
        <xdr:cNvPr id="259" name="Grupo 258">
          <a:extLst>
            <a:ext uri="{FF2B5EF4-FFF2-40B4-BE49-F238E27FC236}">
              <a16:creationId xmlns:a16="http://schemas.microsoft.com/office/drawing/2014/main" id="{00000000-0008-0000-0300-000003010000}"/>
            </a:ext>
          </a:extLst>
        </xdr:cNvPr>
        <xdr:cNvGrpSpPr/>
      </xdr:nvGrpSpPr>
      <xdr:grpSpPr>
        <a:xfrm>
          <a:off x="1381125" y="77747813"/>
          <a:ext cx="11468100" cy="4286250"/>
          <a:chOff x="1381125" y="57359550"/>
          <a:chExt cx="11468100" cy="4286250"/>
        </a:xfrm>
      </xdr:grpSpPr>
      <xdr:sp macro="" textlink="">
        <xdr:nvSpPr>
          <xdr:cNvPr id="260" name="Rectángulo 259">
            <a:extLst>
              <a:ext uri="{FF2B5EF4-FFF2-40B4-BE49-F238E27FC236}">
                <a16:creationId xmlns:a16="http://schemas.microsoft.com/office/drawing/2014/main" id="{00000000-0008-0000-0300-00000401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61" name="Conector: angular 260">
            <a:extLst>
              <a:ext uri="{FF2B5EF4-FFF2-40B4-BE49-F238E27FC236}">
                <a16:creationId xmlns:a16="http://schemas.microsoft.com/office/drawing/2014/main" id="{00000000-0008-0000-0300-000005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62" name="Rectángulo: esquinas redondeadas 261">
            <a:extLst>
              <a:ext uri="{FF2B5EF4-FFF2-40B4-BE49-F238E27FC236}">
                <a16:creationId xmlns:a16="http://schemas.microsoft.com/office/drawing/2014/main" id="{00000000-0008-0000-0300-000006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AGRICULTURA</a:t>
            </a:r>
          </a:p>
        </xdr:txBody>
      </xdr:sp>
    </xdr:grpSp>
    <xdr:clientData/>
  </xdr:twoCellAnchor>
  <xdr:twoCellAnchor>
    <xdr:from>
      <xdr:col>1</xdr:col>
      <xdr:colOff>0</xdr:colOff>
      <xdr:row>428</xdr:row>
      <xdr:rowOff>0</xdr:rowOff>
    </xdr:from>
    <xdr:to>
      <xdr:col>16</xdr:col>
      <xdr:colOff>38100</xdr:colOff>
      <xdr:row>450</xdr:row>
      <xdr:rowOff>95250</xdr:rowOff>
    </xdr:to>
    <xdr:grpSp>
      <xdr:nvGrpSpPr>
        <xdr:cNvPr id="278" name="Grupo 277">
          <a:extLst>
            <a:ext uri="{FF2B5EF4-FFF2-40B4-BE49-F238E27FC236}">
              <a16:creationId xmlns:a16="http://schemas.microsoft.com/office/drawing/2014/main" id="{00000000-0008-0000-0300-000016010000}"/>
            </a:ext>
          </a:extLst>
        </xdr:cNvPr>
        <xdr:cNvGrpSpPr/>
      </xdr:nvGrpSpPr>
      <xdr:grpSpPr>
        <a:xfrm>
          <a:off x="1381125" y="82319813"/>
          <a:ext cx="11468100" cy="4286250"/>
          <a:chOff x="1381125" y="57359550"/>
          <a:chExt cx="11468100" cy="4286250"/>
        </a:xfrm>
      </xdr:grpSpPr>
      <xdr:sp macro="" textlink="">
        <xdr:nvSpPr>
          <xdr:cNvPr id="281" name="Rectángulo 280">
            <a:extLst>
              <a:ext uri="{FF2B5EF4-FFF2-40B4-BE49-F238E27FC236}">
                <a16:creationId xmlns:a16="http://schemas.microsoft.com/office/drawing/2014/main" id="{00000000-0008-0000-0300-00001901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82" name="Conector: angular 281">
            <a:extLst>
              <a:ext uri="{FF2B5EF4-FFF2-40B4-BE49-F238E27FC236}">
                <a16:creationId xmlns:a16="http://schemas.microsoft.com/office/drawing/2014/main" id="{00000000-0008-0000-0300-00001A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83" name="Rectángulo: esquinas redondeadas 282">
            <a:extLst>
              <a:ext uri="{FF2B5EF4-FFF2-40B4-BE49-F238E27FC236}">
                <a16:creationId xmlns:a16="http://schemas.microsoft.com/office/drawing/2014/main" id="{00000000-0008-0000-0300-00001B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GANADERÍA</a:t>
            </a:r>
          </a:p>
        </xdr:txBody>
      </xdr:sp>
    </xdr:grpSp>
    <xdr:clientData/>
  </xdr:twoCellAnchor>
  <xdr:twoCellAnchor>
    <xdr:from>
      <xdr:col>7</xdr:col>
      <xdr:colOff>19050</xdr:colOff>
      <xdr:row>578</xdr:row>
      <xdr:rowOff>171450</xdr:rowOff>
    </xdr:from>
    <xdr:to>
      <xdr:col>10</xdr:col>
      <xdr:colOff>76200</xdr:colOff>
      <xdr:row>588</xdr:row>
      <xdr:rowOff>104775</xdr:rowOff>
    </xdr:to>
    <xdr:grpSp>
      <xdr:nvGrpSpPr>
        <xdr:cNvPr id="318" name="Grupo 317">
          <a:hlinkClick xmlns:r="http://schemas.openxmlformats.org/officeDocument/2006/relationships" r:id="rId12"/>
          <a:extLst>
            <a:ext uri="{FF2B5EF4-FFF2-40B4-BE49-F238E27FC236}">
              <a16:creationId xmlns:a16="http://schemas.microsoft.com/office/drawing/2014/main" id="{00000000-0008-0000-0300-00003E010000}"/>
            </a:ext>
          </a:extLst>
        </xdr:cNvPr>
        <xdr:cNvGrpSpPr/>
      </xdr:nvGrpSpPr>
      <xdr:grpSpPr>
        <a:xfrm>
          <a:off x="5972175" y="111590138"/>
          <a:ext cx="2343150" cy="1838325"/>
          <a:chOff x="5972175" y="89201625"/>
          <a:chExt cx="2343150" cy="1838325"/>
        </a:xfrm>
      </xdr:grpSpPr>
      <xdr:sp macro="" textlink="">
        <xdr:nvSpPr>
          <xdr:cNvPr id="312" name="Elipse 311">
            <a:extLst>
              <a:ext uri="{FF2B5EF4-FFF2-40B4-BE49-F238E27FC236}">
                <a16:creationId xmlns:a16="http://schemas.microsoft.com/office/drawing/2014/main" id="{00000000-0008-0000-0300-000038010000}"/>
              </a:ext>
            </a:extLst>
          </xdr:cNvPr>
          <xdr:cNvSpPr/>
        </xdr:nvSpPr>
        <xdr:spPr>
          <a:xfrm>
            <a:off x="5972175" y="89839800"/>
            <a:ext cx="2343150" cy="1200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accent2">
                    <a:lumMod val="75000"/>
                  </a:schemeClr>
                </a:solidFill>
              </a:rPr>
              <a:t>Vuelva</a:t>
            </a:r>
            <a:r>
              <a:rPr lang="es-ES" sz="1600" b="1" baseline="0">
                <a:solidFill>
                  <a:schemeClr val="accent2">
                    <a:lumMod val="75000"/>
                  </a:schemeClr>
                </a:solidFill>
              </a:rPr>
              <a:t> al comienzo de la hoja</a:t>
            </a:r>
            <a:endParaRPr lang="es-ES" sz="1600" b="1">
              <a:solidFill>
                <a:schemeClr val="accent2">
                  <a:lumMod val="75000"/>
                </a:schemeClr>
              </a:solidFill>
            </a:endParaRPr>
          </a:p>
        </xdr:txBody>
      </xdr:sp>
      <xdr:grpSp>
        <xdr:nvGrpSpPr>
          <xdr:cNvPr id="317" name="Grupo 316">
            <a:extLst>
              <a:ext uri="{FF2B5EF4-FFF2-40B4-BE49-F238E27FC236}">
                <a16:creationId xmlns:a16="http://schemas.microsoft.com/office/drawing/2014/main" id="{00000000-0008-0000-0300-00003D010000}"/>
              </a:ext>
            </a:extLst>
          </xdr:cNvPr>
          <xdr:cNvGrpSpPr/>
        </xdr:nvGrpSpPr>
        <xdr:grpSpPr>
          <a:xfrm>
            <a:off x="6677025" y="89201625"/>
            <a:ext cx="914400" cy="914400"/>
            <a:chOff x="6677025" y="89201625"/>
            <a:chExt cx="914400" cy="914400"/>
          </a:xfrm>
        </xdr:grpSpPr>
        <xdr:sp macro="" textlink="">
          <xdr:nvSpPr>
            <xdr:cNvPr id="316" name="Elipse 315">
              <a:extLst>
                <a:ext uri="{FF2B5EF4-FFF2-40B4-BE49-F238E27FC236}">
                  <a16:creationId xmlns:a16="http://schemas.microsoft.com/office/drawing/2014/main" id="{00000000-0008-0000-0300-00003C010000}"/>
                </a:ext>
              </a:extLst>
            </xdr:cNvPr>
            <xdr:cNvSpPr/>
          </xdr:nvSpPr>
          <xdr:spPr>
            <a:xfrm>
              <a:off x="6800850" y="89325450"/>
              <a:ext cx="647700" cy="647700"/>
            </a:xfrm>
            <a:prstGeom prst="ellipse">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315" name="Gráfico 314" descr="Círculo con flecha a la izquierda con relleno sólido">
              <a:extLst>
                <a:ext uri="{FF2B5EF4-FFF2-40B4-BE49-F238E27FC236}">
                  <a16:creationId xmlns:a16="http://schemas.microsoft.com/office/drawing/2014/main" id="{00000000-0008-0000-0300-00003B01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rot="5400000">
              <a:off x="6677025" y="89201625"/>
              <a:ext cx="914400" cy="914400"/>
            </a:xfrm>
            <a:prstGeom prst="rect">
              <a:avLst/>
            </a:prstGeom>
          </xdr:spPr>
        </xdr:pic>
      </xdr:grpSp>
    </xdr:grpSp>
    <xdr:clientData/>
  </xdr:twoCellAnchor>
  <xdr:oneCellAnchor>
    <xdr:from>
      <xdr:col>11</xdr:col>
      <xdr:colOff>156602</xdr:colOff>
      <xdr:row>335</xdr:row>
      <xdr:rowOff>157518</xdr:rowOff>
    </xdr:from>
    <xdr:ext cx="3492000" cy="3240000"/>
    <xdr:sp macro="" textlink="">
      <xdr:nvSpPr>
        <xdr:cNvPr id="5" name="CuadroTexto 4">
          <a:extLst>
            <a:ext uri="{FF2B5EF4-FFF2-40B4-BE49-F238E27FC236}">
              <a16:creationId xmlns:a16="http://schemas.microsoft.com/office/drawing/2014/main" id="{00000000-0008-0000-0300-000005000000}"/>
            </a:ext>
          </a:extLst>
        </xdr:cNvPr>
        <xdr:cNvSpPr txBox="1"/>
      </xdr:nvSpPr>
      <xdr:spPr>
        <a:xfrm>
          <a:off x="9154926" y="62495842"/>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just"/>
          <a:r>
            <a:rPr lang="es-ES" sz="1200" b="0">
              <a:solidFill>
                <a:schemeClr val="accent2">
                  <a:lumMod val="50000"/>
                </a:schemeClr>
              </a:solidFill>
              <a:effectLst/>
              <a:latin typeface="+mn-lt"/>
              <a:ea typeface="+mn-ea"/>
              <a:cs typeface="+mn-cs"/>
            </a:rPr>
            <a:t>El</a:t>
          </a:r>
          <a:r>
            <a:rPr lang="es-ES" sz="1200" b="0" baseline="0">
              <a:solidFill>
                <a:schemeClr val="accent2">
                  <a:lumMod val="50000"/>
                </a:schemeClr>
              </a:solidFill>
              <a:effectLst/>
              <a:latin typeface="+mn-lt"/>
              <a:ea typeface="+mn-ea"/>
              <a:cs typeface="+mn-cs"/>
            </a:rPr>
            <a:t> módulo </a:t>
          </a:r>
          <a:r>
            <a:rPr lang="es-ES" sz="1200" b="1" baseline="0">
              <a:solidFill>
                <a:schemeClr val="accent2">
                  <a:lumMod val="50000"/>
                </a:schemeClr>
              </a:solidFill>
              <a:effectLst/>
              <a:latin typeface="+mn-lt"/>
              <a:ea typeface="+mn-ea"/>
              <a:cs typeface="+mn-cs"/>
            </a:rPr>
            <a:t>Residuos</a:t>
          </a:r>
          <a:r>
            <a:rPr lang="es-ES" sz="1200" b="0" baseline="0">
              <a:solidFill>
                <a:schemeClr val="accent2">
                  <a:lumMod val="50000"/>
                </a:schemeClr>
              </a:solidFill>
              <a:effectLst/>
              <a:latin typeface="+mn-lt"/>
              <a:ea typeface="+mn-ea"/>
              <a:cs typeface="+mn-cs"/>
            </a:rPr>
            <a:t> cuenta con dos interacciones principales: </a:t>
          </a:r>
        </a:p>
        <a:p>
          <a:pPr algn="just"/>
          <a:r>
            <a:rPr lang="es-ES" sz="1200" b="1" baseline="0">
              <a:solidFill>
                <a:schemeClr val="accent2">
                  <a:lumMod val="50000"/>
                </a:schemeClr>
              </a:solidFill>
              <a:effectLst/>
              <a:latin typeface="+mn-lt"/>
              <a:ea typeface="+mn-ea"/>
              <a:cs typeface="+mn-cs"/>
            </a:rPr>
            <a:t>a)</a:t>
          </a:r>
          <a:r>
            <a:rPr lang="es-ES" sz="1200" b="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Demanda energética, </a:t>
          </a:r>
          <a:r>
            <a:rPr lang="es-ES" sz="1200" b="0" baseline="0">
              <a:solidFill>
                <a:schemeClr val="accent2">
                  <a:lumMod val="50000"/>
                </a:schemeClr>
              </a:solidFill>
              <a:effectLst/>
              <a:latin typeface="+mn-lt"/>
              <a:ea typeface="+mn-ea"/>
              <a:cs typeface="+mn-cs"/>
            </a:rPr>
            <a:t>resultado del consumo de energía eléctrica para su gestión y disposición final, como por ejemplo, el tratamiento de aguas residuales, o la incineración de los residuos.</a:t>
          </a:r>
        </a:p>
        <a:p>
          <a:pPr algn="just"/>
          <a:r>
            <a:rPr lang="es-ES" sz="1200" b="1" baseline="0">
              <a:solidFill>
                <a:schemeClr val="accent2">
                  <a:lumMod val="50000"/>
                </a:schemeClr>
              </a:solidFill>
              <a:effectLst/>
              <a:latin typeface="+mn-lt"/>
              <a:ea typeface="+mn-ea"/>
              <a:cs typeface="+mn-cs"/>
            </a:rPr>
            <a:t>b) Aprovechamiento energético de los residuos, </a:t>
          </a:r>
          <a:r>
            <a:rPr lang="es-ES" sz="1200" b="0" baseline="0">
              <a:solidFill>
                <a:schemeClr val="accent2">
                  <a:lumMod val="50000"/>
                </a:schemeClr>
              </a:solidFill>
              <a:effectLst/>
              <a:latin typeface="+mn-lt"/>
              <a:ea typeface="+mn-ea"/>
              <a:cs typeface="+mn-cs"/>
            </a:rPr>
            <a:t>asociado </a:t>
          </a:r>
          <a:r>
            <a:rPr lang="es-ES" sz="1200" b="0">
              <a:solidFill>
                <a:schemeClr val="accent2">
                  <a:lumMod val="50000"/>
                </a:schemeClr>
              </a:solidFill>
              <a:effectLst/>
            </a:rPr>
            <a:t>a la producción </a:t>
          </a:r>
          <a:r>
            <a:rPr lang="es-ES" sz="1200" b="0" baseline="0">
              <a:solidFill>
                <a:schemeClr val="accent2">
                  <a:lumMod val="50000"/>
                </a:schemeClr>
              </a:solidFill>
              <a:effectLst/>
              <a:latin typeface="+mn-lt"/>
              <a:ea typeface="+mn-ea"/>
              <a:cs typeface="+mn-cs"/>
            </a:rPr>
            <a:t>de biogás en rellenos sanitarios o en plantas de tratamiento de aguas residuales, para la generación de electricidad para autoconsumo, o para su alimentación a la red.</a:t>
          </a:r>
        </a:p>
        <a:p>
          <a:pPr algn="just"/>
          <a:endParaRPr lang="es-ES" sz="1200" b="0">
            <a:solidFill>
              <a:schemeClr val="accent2">
                <a:lumMod val="50000"/>
              </a:schemeClr>
            </a:solidFill>
            <a:effectLst/>
          </a:endParaRPr>
        </a:p>
        <a:p>
          <a:pPr algn="just"/>
          <a:r>
            <a:rPr lang="es-ES" sz="1200" b="1" baseline="0">
              <a:solidFill>
                <a:schemeClr val="accent2">
                  <a:lumMod val="50000"/>
                </a:schemeClr>
              </a:solidFill>
              <a:effectLst/>
              <a:latin typeface="+mn-lt"/>
              <a:ea typeface="+mn-ea"/>
              <a:cs typeface="+mn-cs"/>
            </a:rPr>
            <a:t>Las emisiones de GEI de estas </a:t>
          </a:r>
          <a:r>
            <a:rPr lang="es-ES" sz="1200" b="0" baseline="0">
              <a:solidFill>
                <a:schemeClr val="accent2">
                  <a:lumMod val="50000"/>
                </a:schemeClr>
              </a:solidFill>
              <a:effectLst/>
              <a:latin typeface="+mn-lt"/>
              <a:ea typeface="+mn-ea"/>
              <a:cs typeface="+mn-cs"/>
            </a:rPr>
            <a:t>actividades son atribuidas al </a:t>
          </a:r>
          <a:r>
            <a:rPr lang="es-ES" sz="1200" b="1" baseline="0">
              <a:solidFill>
                <a:schemeClr val="accent2">
                  <a:lumMod val="50000"/>
                </a:schemeClr>
              </a:solidFill>
              <a:effectLst/>
              <a:latin typeface="+mn-lt"/>
              <a:ea typeface="+mn-ea"/>
              <a:cs typeface="+mn-cs"/>
            </a:rPr>
            <a:t>módulo de Electricidad</a:t>
          </a:r>
          <a:r>
            <a:rPr lang="es-ES" sz="1200" b="0" baseline="0">
              <a:solidFill>
                <a:schemeClr val="accent2">
                  <a:lumMod val="50000"/>
                </a:schemeClr>
              </a:solidFill>
              <a:effectLst/>
              <a:latin typeface="+mn-lt"/>
              <a:ea typeface="+mn-ea"/>
              <a:cs typeface="+mn-cs"/>
            </a:rPr>
            <a:t>, el resto son reflejadas en el propio módulo de Residuos.  </a:t>
          </a:r>
          <a:endParaRPr lang="es-ES" sz="1200" b="0">
            <a:solidFill>
              <a:schemeClr val="accent2">
                <a:lumMod val="50000"/>
              </a:schemeClr>
            </a:solidFill>
            <a:effectLst/>
          </a:endParaRPr>
        </a:p>
        <a:p>
          <a:pPr algn="l"/>
          <a:endParaRPr lang="es-ES" sz="1100" b="0">
            <a:solidFill>
              <a:schemeClr val="accent2">
                <a:lumMod val="50000"/>
              </a:schemeClr>
            </a:solidFill>
          </a:endParaRPr>
        </a:p>
      </xdr:txBody>
    </xdr:sp>
    <xdr:clientData/>
  </xdr:oneCellAnchor>
  <xdr:oneCellAnchor>
    <xdr:from>
      <xdr:col>11</xdr:col>
      <xdr:colOff>72238</xdr:colOff>
      <xdr:row>310</xdr:row>
      <xdr:rowOff>8161</xdr:rowOff>
    </xdr:from>
    <xdr:ext cx="3492000" cy="3937907"/>
    <xdr:sp macro="" textlink="">
      <xdr:nvSpPr>
        <xdr:cNvPr id="12286" name="CuadroTexto 9592">
          <a:extLst>
            <a:ext uri="{FF2B5EF4-FFF2-40B4-BE49-F238E27FC236}">
              <a16:creationId xmlns:a16="http://schemas.microsoft.com/office/drawing/2014/main" id="{00000000-0008-0000-0300-0000FE2F0000}"/>
            </a:ext>
          </a:extLst>
        </xdr:cNvPr>
        <xdr:cNvSpPr txBox="1"/>
      </xdr:nvSpPr>
      <xdr:spPr>
        <a:xfrm>
          <a:off x="9073363" y="58450840"/>
          <a:ext cx="3492000" cy="39379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Las principales interacciones del sector industria son la demanda energética derivada del consumo de combustibles fósiles y electricidad. La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eficiencia energética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es clave en el sector para minimizar las exigencias energéticas.</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Si bien el sector demanda energía para su operación, también contribuye 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autogenerar</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su propia energía, a partir del aprovechamiento de la biomasa residual que proviene del sector Agrícola y procesos de cogeneración, con lo que reduce su demanda de electricidad al SIN.</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Las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emisiones de GEI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derivadas del consumo energético del sector son atribuidas en el mismo módulo, exceptuando las emisiones asociadas al consumo eléctrico (indirectas). También son atribuidas las emisiones derivadas del uso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sustancias que agotan la capa de ozono (SAO) y sus sustitutos (HFCs) que generan emisiones de GEI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para el sector industria.</a:t>
          </a:r>
        </a:p>
      </xdr:txBody>
    </xdr:sp>
    <xdr:clientData/>
  </xdr:oneCellAnchor>
  <xdr:oneCellAnchor>
    <xdr:from>
      <xdr:col>11</xdr:col>
      <xdr:colOff>156602</xdr:colOff>
      <xdr:row>287</xdr:row>
      <xdr:rowOff>179506</xdr:rowOff>
    </xdr:from>
    <xdr:ext cx="3492000" cy="3240000"/>
    <xdr:sp macro="" textlink="">
      <xdr:nvSpPr>
        <xdr:cNvPr id="9594" name="CuadroTexto 9593">
          <a:extLst>
            <a:ext uri="{FF2B5EF4-FFF2-40B4-BE49-F238E27FC236}">
              <a16:creationId xmlns:a16="http://schemas.microsoft.com/office/drawing/2014/main" id="{00000000-0008-0000-0300-00007A250000}"/>
            </a:ext>
          </a:extLst>
        </xdr:cNvPr>
        <xdr:cNvSpPr txBox="1"/>
      </xdr:nvSpPr>
      <xdr:spPr>
        <a:xfrm>
          <a:off x="9154926" y="53373830"/>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El sector </a:t>
          </a:r>
          <a:r>
            <a:rPr lang="es-ES" sz="1200" b="1">
              <a:solidFill>
                <a:schemeClr val="accent2">
                  <a:lumMod val="50000"/>
                </a:schemeClr>
              </a:solidFill>
              <a:effectLst/>
              <a:latin typeface="+mn-lt"/>
              <a:ea typeface="+mn-ea"/>
              <a:cs typeface="+mn-cs"/>
            </a:rPr>
            <a:t>Electricidad</a:t>
          </a:r>
          <a:r>
            <a:rPr lang="es-ES" sz="1200">
              <a:solidFill>
                <a:schemeClr val="accent2">
                  <a:lumMod val="50000"/>
                </a:schemeClr>
              </a:solidFill>
              <a:effectLst/>
              <a:latin typeface="+mn-lt"/>
              <a:ea typeface="+mn-ea"/>
              <a:cs typeface="+mn-cs"/>
            </a:rPr>
            <a:t> </a:t>
          </a:r>
          <a:r>
            <a:rPr lang="es-ES" sz="1200" baseline="0">
              <a:solidFill>
                <a:schemeClr val="accent2">
                  <a:lumMod val="50000"/>
                </a:schemeClr>
              </a:solidFill>
              <a:effectLst/>
              <a:latin typeface="+mn-lt"/>
              <a:ea typeface="+mn-ea"/>
              <a:cs typeface="+mn-cs"/>
            </a:rPr>
            <a:t>es clave para la </a:t>
          </a:r>
          <a:r>
            <a:rPr lang="es-ES" sz="1200" b="1" baseline="0">
              <a:solidFill>
                <a:schemeClr val="accent2">
                  <a:lumMod val="50000"/>
                </a:schemeClr>
              </a:solidFill>
              <a:effectLst/>
              <a:latin typeface="+mn-lt"/>
              <a:ea typeface="+mn-ea"/>
              <a:cs typeface="+mn-cs"/>
            </a:rPr>
            <a:t>descarbonización</a:t>
          </a:r>
          <a:r>
            <a:rPr lang="es-ES" sz="1200" baseline="0">
              <a:solidFill>
                <a:schemeClr val="accent2">
                  <a:lumMod val="50000"/>
                </a:schemeClr>
              </a:solidFill>
              <a:effectLst/>
              <a:latin typeface="+mn-lt"/>
              <a:ea typeface="+mn-ea"/>
              <a:cs typeface="+mn-cs"/>
            </a:rPr>
            <a:t> del país. Por lo que, aumentar la participación de las </a:t>
          </a:r>
          <a:r>
            <a:rPr lang="es-ES" sz="1200" b="1" baseline="0">
              <a:solidFill>
                <a:schemeClr val="accent2">
                  <a:lumMod val="50000"/>
                </a:schemeClr>
              </a:solidFill>
              <a:effectLst/>
              <a:latin typeface="+mn-lt"/>
              <a:ea typeface="+mn-ea"/>
              <a:cs typeface="+mn-cs"/>
            </a:rPr>
            <a:t>energías renovables </a:t>
          </a:r>
          <a:r>
            <a:rPr lang="es-ES" sz="1200" baseline="0">
              <a:solidFill>
                <a:schemeClr val="accent2">
                  <a:lumMod val="50000"/>
                </a:schemeClr>
              </a:solidFill>
              <a:effectLst/>
              <a:latin typeface="+mn-lt"/>
              <a:ea typeface="+mn-ea"/>
              <a:cs typeface="+mn-cs"/>
            </a:rPr>
            <a:t>en el SIN y la reducción de la propia demanda de los sectores que la consumen tales como los sectores Transporte, Industria y Edificaciones. En el caso de estos dos últimos sectores, la reducción de la demanda al SIN se debe a la </a:t>
          </a:r>
          <a:r>
            <a:rPr lang="es-ES" sz="1200" b="1" baseline="0">
              <a:solidFill>
                <a:schemeClr val="accent2">
                  <a:lumMod val="50000"/>
                </a:schemeClr>
              </a:solidFill>
              <a:effectLst/>
              <a:latin typeface="+mn-lt"/>
              <a:ea typeface="+mn-ea"/>
              <a:cs typeface="+mn-cs"/>
            </a:rPr>
            <a:t>autogeneración</a:t>
          </a:r>
          <a:r>
            <a:rPr lang="es-ES" sz="120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 electricidad</a:t>
          </a:r>
          <a:r>
            <a:rPr lang="es-ES" sz="1200" baseline="0">
              <a:solidFill>
                <a:schemeClr val="accent2">
                  <a:lumMod val="50000"/>
                </a:schemeClr>
              </a:solidFill>
              <a:effectLst/>
              <a:latin typeface="+mn-lt"/>
              <a:ea typeface="+mn-ea"/>
              <a:cs typeface="+mn-cs"/>
            </a:rPr>
            <a:t> mediante el aprovechamiento de energía renovables como la solar o bien, por la transformación de la biomasa o los residuos en energía, a partir del biogás. </a:t>
          </a:r>
          <a:endParaRPr lang="es-ES" sz="1200">
            <a:solidFill>
              <a:schemeClr val="accent2">
                <a:lumMod val="50000"/>
              </a:schemeClr>
            </a:solidFill>
            <a:effectLst/>
          </a:endParaRPr>
        </a:p>
        <a:p>
          <a:r>
            <a:rPr lang="es-ES" sz="1200" baseline="0">
              <a:solidFill>
                <a:schemeClr val="accent2">
                  <a:lumMod val="50000"/>
                </a:schemeClr>
              </a:solidFill>
              <a:effectLst/>
              <a:latin typeface="+mn-lt"/>
              <a:ea typeface="+mn-ea"/>
              <a:cs typeface="+mn-cs"/>
            </a:rPr>
            <a:t>De igual manera, este sector es alimentado con la electricidad </a:t>
          </a:r>
          <a:r>
            <a:rPr lang="es-ES" sz="1200" b="1" baseline="0">
              <a:solidFill>
                <a:schemeClr val="accent2">
                  <a:lumMod val="50000"/>
                </a:schemeClr>
              </a:solidFill>
              <a:effectLst/>
              <a:latin typeface="+mn-lt"/>
              <a:ea typeface="+mn-ea"/>
              <a:cs typeface="+mn-cs"/>
            </a:rPr>
            <a:t>excedente</a:t>
          </a:r>
          <a:r>
            <a:rPr lang="es-ES" sz="1200" baseline="0">
              <a:solidFill>
                <a:schemeClr val="accent2">
                  <a:lumMod val="50000"/>
                </a:schemeClr>
              </a:solidFill>
              <a:effectLst/>
              <a:latin typeface="+mn-lt"/>
              <a:ea typeface="+mn-ea"/>
              <a:cs typeface="+mn-cs"/>
            </a:rPr>
            <a:t> generada por la autogeneración y que se inyecta a la red. </a:t>
          </a:r>
        </a:p>
      </xdr:txBody>
    </xdr:sp>
    <xdr:clientData/>
  </xdr:oneCellAnchor>
  <xdr:oneCellAnchor>
    <xdr:from>
      <xdr:col>11</xdr:col>
      <xdr:colOff>156602</xdr:colOff>
      <xdr:row>263</xdr:row>
      <xdr:rowOff>266699</xdr:rowOff>
    </xdr:from>
    <xdr:ext cx="3492000" cy="3571875"/>
    <xdr:sp macro="" textlink="">
      <xdr:nvSpPr>
        <xdr:cNvPr id="10493" name="CuadroTexto 9594">
          <a:extLst>
            <a:ext uri="{FF2B5EF4-FFF2-40B4-BE49-F238E27FC236}">
              <a16:creationId xmlns:a16="http://schemas.microsoft.com/office/drawing/2014/main" id="{00000000-0008-0000-0300-0000FD280000}"/>
            </a:ext>
          </a:extLst>
        </xdr:cNvPr>
        <xdr:cNvSpPr txBox="1"/>
      </xdr:nvSpPr>
      <xdr:spPr>
        <a:xfrm>
          <a:off x="9157727" y="48053624"/>
          <a:ext cx="3492000" cy="3571875"/>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a:t>
          </a:r>
          <a:r>
            <a:rPr lang="es-ES" sz="1200" baseline="0">
              <a:solidFill>
                <a:schemeClr val="accent2">
                  <a:lumMod val="50000"/>
                </a:schemeClr>
              </a:solidFill>
              <a:effectLst/>
              <a:latin typeface="+mn-lt"/>
              <a:ea typeface="+mn-ea"/>
              <a:cs typeface="+mn-cs"/>
            </a:rPr>
            <a:t>l sector de </a:t>
          </a:r>
          <a:r>
            <a:rPr lang="es-ES" sz="1200" b="1" baseline="0">
              <a:solidFill>
                <a:schemeClr val="accent2">
                  <a:lumMod val="50000"/>
                </a:schemeClr>
              </a:solidFill>
              <a:effectLst/>
              <a:latin typeface="+mn-lt"/>
              <a:ea typeface="+mn-ea"/>
              <a:cs typeface="+mn-cs"/>
            </a:rPr>
            <a:t>Energía</a:t>
          </a:r>
          <a:r>
            <a:rPr lang="es-ES" sz="1200" baseline="0">
              <a:solidFill>
                <a:schemeClr val="accent2">
                  <a:lumMod val="50000"/>
                </a:schemeClr>
              </a:solidFill>
              <a:effectLst/>
              <a:latin typeface="+mn-lt"/>
              <a:ea typeface="+mn-ea"/>
              <a:cs typeface="+mn-cs"/>
            </a:rPr>
            <a:t> es un sector que interacciona con el resto de los sectores considerados en esta Calculadora. Por un lado, en este se identifica la demanda de energía provista a partir de </a:t>
          </a:r>
          <a:r>
            <a:rPr lang="es-ES" sz="1200" b="1" baseline="0">
              <a:solidFill>
                <a:schemeClr val="accent2">
                  <a:lumMod val="50000"/>
                </a:schemeClr>
              </a:solidFill>
              <a:effectLst/>
              <a:latin typeface="+mn-lt"/>
              <a:ea typeface="+mn-ea"/>
              <a:cs typeface="+mn-cs"/>
            </a:rPr>
            <a:t>combustibles fósiles (resultado de la refinación de crudo, de la exploración de gas natural y carbón); </a:t>
          </a:r>
          <a:r>
            <a:rPr lang="es-ES" sz="1200" b="0" baseline="0">
              <a:solidFill>
                <a:schemeClr val="accent2">
                  <a:lumMod val="50000"/>
                </a:schemeClr>
              </a:solidFill>
              <a:effectLst/>
              <a:latin typeface="+mn-lt"/>
              <a:ea typeface="+mn-ea"/>
              <a:cs typeface="+mn-cs"/>
            </a:rPr>
            <a:t>así como de la </a:t>
          </a:r>
          <a:r>
            <a:rPr lang="es-ES" sz="1200" b="1" baseline="0">
              <a:solidFill>
                <a:schemeClr val="accent2">
                  <a:lumMod val="50000"/>
                </a:schemeClr>
              </a:solidFill>
              <a:effectLst/>
              <a:latin typeface="+mn-lt"/>
              <a:ea typeface="+mn-ea"/>
              <a:cs typeface="+mn-cs"/>
            </a:rPr>
            <a:t>bioenergía</a:t>
          </a:r>
          <a:r>
            <a:rPr lang="es-ES" sz="1200" b="0" baseline="0">
              <a:solidFill>
                <a:schemeClr val="accent2">
                  <a:lumMod val="50000"/>
                </a:schemeClr>
              </a:solidFill>
              <a:effectLst/>
              <a:latin typeface="+mn-lt"/>
              <a:ea typeface="+mn-ea"/>
              <a:cs typeface="+mn-cs"/>
            </a:rPr>
            <a:t>, que es energía renovable resultado  del </a:t>
          </a:r>
          <a:r>
            <a:rPr lang="es-ES" sz="1200" b="1" baseline="0">
              <a:solidFill>
                <a:schemeClr val="accent2">
                  <a:lumMod val="50000"/>
                </a:schemeClr>
              </a:solidFill>
              <a:effectLst/>
              <a:latin typeface="+mn-lt"/>
              <a:ea typeface="+mn-ea"/>
              <a:cs typeface="+mn-cs"/>
            </a:rPr>
            <a:t>aprovechamiento energético </a:t>
          </a:r>
          <a:r>
            <a:rPr lang="es-ES" sz="1200" b="0" baseline="0">
              <a:solidFill>
                <a:schemeClr val="accent2">
                  <a:lumMod val="50000"/>
                </a:schemeClr>
              </a:solidFill>
              <a:effectLst/>
              <a:latin typeface="+mn-lt"/>
              <a:ea typeface="+mn-ea"/>
              <a:cs typeface="+mn-cs"/>
            </a:rPr>
            <a:t>de los </a:t>
          </a:r>
          <a:r>
            <a:rPr lang="es-ES" sz="1200" b="1" baseline="0">
              <a:solidFill>
                <a:schemeClr val="accent2">
                  <a:lumMod val="50000"/>
                </a:schemeClr>
              </a:solidFill>
              <a:effectLst/>
              <a:latin typeface="+mn-lt"/>
              <a:ea typeface="+mn-ea"/>
              <a:cs typeface="+mn-cs"/>
            </a:rPr>
            <a:t>residuos orgánicos, agrícolas</a:t>
          </a:r>
          <a:r>
            <a:rPr lang="es-ES" sz="1200" b="0" baseline="0">
              <a:solidFill>
                <a:schemeClr val="accent2">
                  <a:lumMod val="50000"/>
                </a:schemeClr>
              </a:solidFill>
              <a:effectLst/>
              <a:latin typeface="+mn-lt"/>
              <a:ea typeface="+mn-ea"/>
              <a:cs typeface="+mn-cs"/>
            </a:rPr>
            <a:t> y del </a:t>
          </a:r>
          <a:r>
            <a:rPr lang="es-ES" sz="1200" b="1" baseline="0">
              <a:solidFill>
                <a:schemeClr val="accent2">
                  <a:lumMod val="50000"/>
                </a:schemeClr>
              </a:solidFill>
              <a:effectLst/>
              <a:latin typeface="+mn-lt"/>
              <a:ea typeface="+mn-ea"/>
              <a:cs typeface="+mn-cs"/>
            </a:rPr>
            <a:t>estiércol</a:t>
          </a:r>
          <a:r>
            <a:rPr lang="es-ES" sz="1200" b="0" baseline="0">
              <a:solidFill>
                <a:schemeClr val="accent2">
                  <a:lumMod val="50000"/>
                </a:schemeClr>
              </a:solidFill>
              <a:effectLst/>
              <a:latin typeface="+mn-lt"/>
              <a:ea typeface="+mn-ea"/>
              <a:cs typeface="+mn-cs"/>
            </a:rPr>
            <a:t>.</a:t>
          </a:r>
        </a:p>
        <a:p>
          <a:r>
            <a:rPr lang="es-ES" sz="1200" b="0" baseline="0">
              <a:solidFill>
                <a:schemeClr val="accent2">
                  <a:lumMod val="50000"/>
                </a:schemeClr>
              </a:solidFill>
              <a:effectLst/>
              <a:latin typeface="+mn-lt"/>
              <a:ea typeface="+mn-ea"/>
              <a:cs typeface="+mn-cs"/>
            </a:rPr>
            <a:t>La energía que no es consumida por estos sectores de esta Calculadora se considera como </a:t>
          </a:r>
          <a:r>
            <a:rPr lang="es-ES" sz="1200" b="1" baseline="0">
              <a:solidFill>
                <a:schemeClr val="accent2">
                  <a:lumMod val="50000"/>
                </a:schemeClr>
              </a:solidFill>
              <a:effectLst/>
              <a:latin typeface="+mn-lt"/>
              <a:ea typeface="+mn-ea"/>
              <a:cs typeface="+mn-cs"/>
            </a:rPr>
            <a:t>excedentes</a:t>
          </a:r>
          <a:r>
            <a:rPr lang="es-ES" sz="1200" b="0" baseline="0">
              <a:solidFill>
                <a:schemeClr val="accent2">
                  <a:lumMod val="50000"/>
                </a:schemeClr>
              </a:solidFill>
              <a:effectLst/>
              <a:latin typeface="+mn-lt"/>
              <a:ea typeface="+mn-ea"/>
              <a:cs typeface="+mn-cs"/>
            </a:rPr>
            <a:t> </a:t>
          </a:r>
          <a:r>
            <a:rPr lang="es-ES" sz="1100" b="0" baseline="0">
              <a:solidFill>
                <a:schemeClr val="accent2">
                  <a:lumMod val="50000"/>
                </a:schemeClr>
              </a:solidFill>
              <a:effectLst/>
              <a:latin typeface="+mn-lt"/>
              <a:ea typeface="+mn-ea"/>
              <a:cs typeface="+mn-cs"/>
            </a:rPr>
            <a:t>energéticos</a:t>
          </a:r>
          <a:r>
            <a:rPr lang="es-ES" sz="1200" b="0" baseline="0">
              <a:solidFill>
                <a:schemeClr val="accent2">
                  <a:lumMod val="50000"/>
                </a:schemeClr>
              </a:solidFill>
              <a:effectLst/>
              <a:latin typeface="+mn-lt"/>
              <a:ea typeface="+mn-ea"/>
              <a:cs typeface="+mn-cs"/>
            </a:rPr>
            <a:t> lo que implica que se consume en otras actividades fuera de las incluidas en esta herramienta. La energía requerida adicional que demandan estos sectores se define como </a:t>
          </a:r>
          <a:r>
            <a:rPr lang="es-ES" sz="1200" b="1" baseline="0">
              <a:solidFill>
                <a:schemeClr val="accent2">
                  <a:lumMod val="50000"/>
                </a:schemeClr>
              </a:solidFill>
              <a:effectLst/>
              <a:latin typeface="+mn-lt"/>
              <a:ea typeface="+mn-ea"/>
              <a:cs typeface="+mn-cs"/>
            </a:rPr>
            <a:t>requerimientos energéticos</a:t>
          </a:r>
          <a:r>
            <a:rPr lang="es-ES" sz="1200" b="0" baseline="0">
              <a:solidFill>
                <a:schemeClr val="accent2">
                  <a:lumMod val="50000"/>
                </a:schemeClr>
              </a:solidFill>
              <a:effectLst/>
              <a:latin typeface="+mn-lt"/>
              <a:ea typeface="+mn-ea"/>
              <a:cs typeface="+mn-cs"/>
            </a:rPr>
            <a:t>.</a:t>
          </a:r>
          <a:endParaRPr lang="es-ES" sz="1200" b="0">
            <a:solidFill>
              <a:schemeClr val="accent2">
                <a:lumMod val="50000"/>
              </a:schemeClr>
            </a:solidFill>
          </a:endParaRPr>
        </a:p>
      </xdr:txBody>
    </xdr:sp>
    <xdr:clientData/>
  </xdr:oneCellAnchor>
  <xdr:oneCellAnchor>
    <xdr:from>
      <xdr:col>11</xdr:col>
      <xdr:colOff>156602</xdr:colOff>
      <xdr:row>359</xdr:row>
      <xdr:rowOff>146524</xdr:rowOff>
    </xdr:from>
    <xdr:ext cx="3492000" cy="3240000"/>
    <xdr:sp macro="" textlink="">
      <xdr:nvSpPr>
        <xdr:cNvPr id="9596" name="CuadroTexto 9595">
          <a:extLst>
            <a:ext uri="{FF2B5EF4-FFF2-40B4-BE49-F238E27FC236}">
              <a16:creationId xmlns:a16="http://schemas.microsoft.com/office/drawing/2014/main" id="{00000000-0008-0000-0300-00007C250000}"/>
            </a:ext>
          </a:extLst>
        </xdr:cNvPr>
        <xdr:cNvSpPr txBox="1"/>
      </xdr:nvSpPr>
      <xdr:spPr>
        <a:xfrm>
          <a:off x="9154926" y="67056848"/>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just"/>
          <a:r>
            <a:rPr lang="es-ES" sz="1200">
              <a:solidFill>
                <a:schemeClr val="accent2">
                  <a:lumMod val="50000"/>
                </a:schemeClr>
              </a:solidFill>
              <a:effectLst/>
              <a:latin typeface="+mn-lt"/>
              <a:ea typeface="+mn-ea"/>
              <a:cs typeface="+mn-cs"/>
            </a:rPr>
            <a:t>El</a:t>
          </a:r>
          <a:r>
            <a:rPr lang="es-ES" sz="1200" baseline="0">
              <a:solidFill>
                <a:schemeClr val="accent2">
                  <a:lumMod val="50000"/>
                </a:schemeClr>
              </a:solidFill>
              <a:effectLst/>
              <a:latin typeface="+mn-lt"/>
              <a:ea typeface="+mn-ea"/>
              <a:cs typeface="+mn-cs"/>
            </a:rPr>
            <a:t> consumo eléctrico y de combustibles fósiles son las principales interacciones del sector </a:t>
          </a:r>
          <a:r>
            <a:rPr lang="es-ES" sz="1200" b="1" baseline="0">
              <a:solidFill>
                <a:schemeClr val="accent2">
                  <a:lumMod val="50000"/>
                </a:schemeClr>
              </a:solidFill>
              <a:effectLst/>
              <a:latin typeface="+mn-lt"/>
              <a:ea typeface="+mn-ea"/>
              <a:cs typeface="+mn-cs"/>
            </a:rPr>
            <a:t>Edificaciones</a:t>
          </a:r>
          <a:r>
            <a:rPr lang="es-ES" sz="1200" baseline="0">
              <a:solidFill>
                <a:schemeClr val="accent2">
                  <a:lumMod val="50000"/>
                </a:schemeClr>
              </a:solidFill>
              <a:effectLst/>
              <a:latin typeface="+mn-lt"/>
              <a:ea typeface="+mn-ea"/>
              <a:cs typeface="+mn-cs"/>
            </a:rPr>
            <a:t>, aunque no las únicas. Además de estos energéticos, el sector cuenta con un insumo energético más: la </a:t>
          </a:r>
          <a:r>
            <a:rPr lang="es-ES" sz="1200" b="1" baseline="0">
              <a:solidFill>
                <a:schemeClr val="accent2">
                  <a:lumMod val="50000"/>
                </a:schemeClr>
              </a:solidFill>
              <a:effectLst/>
              <a:latin typeface="+mn-lt"/>
              <a:ea typeface="+mn-ea"/>
              <a:cs typeface="+mn-cs"/>
            </a:rPr>
            <a:t>autogeneración solar fotovoltaica</a:t>
          </a:r>
          <a:r>
            <a:rPr lang="es-ES" sz="1200" baseline="0">
              <a:solidFill>
                <a:schemeClr val="accent2">
                  <a:lumMod val="50000"/>
                </a:schemeClr>
              </a:solidFill>
              <a:effectLst/>
              <a:latin typeface="+mn-lt"/>
              <a:ea typeface="+mn-ea"/>
              <a:cs typeface="+mn-cs"/>
            </a:rPr>
            <a:t>, mediante la cual, se reduce el consumo eléctrico del SIN y por tanto, la demanda de electricidad de la red.</a:t>
          </a:r>
          <a:endParaRPr lang="es-ES" sz="1200" b="0">
            <a:solidFill>
              <a:schemeClr val="accent2">
                <a:lumMod val="50000"/>
              </a:schemeClr>
            </a:solidFill>
          </a:endParaRPr>
        </a:p>
      </xdr:txBody>
    </xdr:sp>
    <xdr:clientData/>
  </xdr:oneCellAnchor>
  <xdr:oneCellAnchor>
    <xdr:from>
      <xdr:col>11</xdr:col>
      <xdr:colOff>156602</xdr:colOff>
      <xdr:row>383</xdr:row>
      <xdr:rowOff>135530</xdr:rowOff>
    </xdr:from>
    <xdr:ext cx="3492000" cy="3240000"/>
    <xdr:sp macro="" textlink="">
      <xdr:nvSpPr>
        <xdr:cNvPr id="12289" name="CuadroTexto 9596">
          <a:extLst>
            <a:ext uri="{FF2B5EF4-FFF2-40B4-BE49-F238E27FC236}">
              <a16:creationId xmlns:a16="http://schemas.microsoft.com/office/drawing/2014/main" id="{00000000-0008-0000-0300-000001300000}"/>
            </a:ext>
          </a:extLst>
        </xdr:cNvPr>
        <xdr:cNvSpPr txBox="1"/>
      </xdr:nvSpPr>
      <xdr:spPr>
        <a:xfrm>
          <a:off x="9154926" y="71617854"/>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El sector </a:t>
          </a:r>
          <a:r>
            <a:rPr lang="es-ES" sz="1200" b="1">
              <a:solidFill>
                <a:schemeClr val="accent2">
                  <a:lumMod val="50000"/>
                </a:schemeClr>
              </a:solidFill>
              <a:effectLst/>
              <a:latin typeface="+mn-lt"/>
              <a:ea typeface="+mn-ea"/>
              <a:cs typeface="+mn-cs"/>
            </a:rPr>
            <a:t>Transporte</a:t>
          </a:r>
          <a:r>
            <a:rPr lang="es-ES" sz="1200">
              <a:solidFill>
                <a:schemeClr val="accent2">
                  <a:lumMod val="50000"/>
                </a:schemeClr>
              </a:solidFill>
              <a:effectLst/>
              <a:latin typeface="+mn-lt"/>
              <a:ea typeface="+mn-ea"/>
              <a:cs typeface="+mn-cs"/>
            </a:rPr>
            <a:t> mantiene una alta dependencia al </a:t>
          </a:r>
          <a:r>
            <a:rPr lang="es-ES" sz="1200" b="1">
              <a:solidFill>
                <a:schemeClr val="accent2">
                  <a:lumMod val="50000"/>
                </a:schemeClr>
              </a:solidFill>
              <a:effectLst/>
              <a:latin typeface="+mn-lt"/>
              <a:ea typeface="+mn-ea"/>
              <a:cs typeface="+mn-cs"/>
            </a:rPr>
            <a:t>consumo de combustibles fósiles</a:t>
          </a:r>
          <a:r>
            <a:rPr lang="es-ES" sz="1200">
              <a:solidFill>
                <a:schemeClr val="accent2">
                  <a:lumMod val="50000"/>
                </a:schemeClr>
              </a:solidFill>
              <a:effectLst/>
              <a:latin typeface="+mn-lt"/>
              <a:ea typeface="+mn-ea"/>
              <a:cs typeface="+mn-cs"/>
            </a:rPr>
            <a:t>, por lo que, su crecimiento impactará también la producción de gasolina y diésel y en sus importaciones. En este orden de ideas, alternativas como impulsar una mayor introducción de vehículos eléctricos reducirá el consumo de estos combustibles. Sin embargo, activará una mayor demanda de electricidad.</a:t>
          </a:r>
        </a:p>
      </xdr:txBody>
    </xdr:sp>
    <xdr:clientData/>
  </xdr:oneCellAnchor>
  <xdr:oneCellAnchor>
    <xdr:from>
      <xdr:col>11</xdr:col>
      <xdr:colOff>185177</xdr:colOff>
      <xdr:row>407</xdr:row>
      <xdr:rowOff>67386</xdr:rowOff>
    </xdr:from>
    <xdr:ext cx="3492000" cy="3240000"/>
    <xdr:sp macro="" textlink="">
      <xdr:nvSpPr>
        <xdr:cNvPr id="9944" name="CuadroTexto 9597">
          <a:extLst>
            <a:ext uri="{FF2B5EF4-FFF2-40B4-BE49-F238E27FC236}">
              <a16:creationId xmlns:a16="http://schemas.microsoft.com/office/drawing/2014/main" id="{00000000-0008-0000-0300-0000D8260000}"/>
            </a:ext>
            <a:ext uri="{147F2762-F138-4A5C-976F-8EAC2B608ADB}">
              <a16:predDERef xmlns:a16="http://schemas.microsoft.com/office/drawing/2014/main" pred="{00000000-0008-0000-0300-00007D250000}"/>
            </a:ext>
          </a:extLst>
        </xdr:cNvPr>
        <xdr:cNvSpPr txBox="1"/>
      </xdr:nvSpPr>
      <xdr:spPr>
        <a:xfrm>
          <a:off x="9186302" y="75362511"/>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solidFill>
                <a:schemeClr val="accent2">
                  <a:lumMod val="50000"/>
                </a:schemeClr>
              </a:solidFill>
              <a:effectLst/>
              <a:latin typeface="+mn-lt"/>
              <a:ea typeface="+mn-ea"/>
              <a:cs typeface="+mn-cs"/>
            </a:rPr>
            <a:t>El sector de </a:t>
          </a:r>
          <a:r>
            <a:rPr lang="es-ES" sz="1200" b="1">
              <a:solidFill>
                <a:schemeClr val="accent2">
                  <a:lumMod val="50000"/>
                </a:schemeClr>
              </a:solidFill>
              <a:effectLst/>
              <a:latin typeface="+mn-lt"/>
              <a:ea typeface="+mn-ea"/>
              <a:cs typeface="+mn-cs"/>
            </a:rPr>
            <a:t>Agricultura</a:t>
          </a:r>
          <a:r>
            <a:rPr lang="es-ES" sz="1200">
              <a:solidFill>
                <a:schemeClr val="accent2">
                  <a:lumMod val="50000"/>
                </a:schemeClr>
              </a:solidFill>
              <a:effectLst/>
              <a:latin typeface="+mn-lt"/>
              <a:ea typeface="+mn-ea"/>
              <a:cs typeface="+mn-cs"/>
            </a:rPr>
            <a:t> mantiene</a:t>
          </a:r>
          <a:r>
            <a:rPr lang="es-ES" sz="1200" baseline="0">
              <a:solidFill>
                <a:schemeClr val="accent2">
                  <a:lumMod val="50000"/>
                </a:schemeClr>
              </a:solidFill>
              <a:effectLst/>
              <a:latin typeface="+mn-lt"/>
              <a:ea typeface="+mn-ea"/>
              <a:cs typeface="+mn-cs"/>
            </a:rPr>
            <a:t> dos interacciones principales con la producción de energía. Una es la vinculada a la medida de </a:t>
          </a:r>
          <a:r>
            <a:rPr lang="es-ES" sz="1200" b="1" baseline="0">
              <a:solidFill>
                <a:schemeClr val="accent2">
                  <a:lumMod val="50000"/>
                </a:schemeClr>
              </a:solidFill>
              <a:effectLst/>
              <a:latin typeface="+mn-lt"/>
              <a:ea typeface="+mn-ea"/>
              <a:cs typeface="+mn-cs"/>
            </a:rPr>
            <a:t>producción de biomasa</a:t>
          </a:r>
          <a:r>
            <a:rPr lang="es-ES" sz="1200" baseline="0">
              <a:solidFill>
                <a:schemeClr val="accent2">
                  <a:lumMod val="50000"/>
                </a:schemeClr>
              </a:solidFill>
              <a:effectLst/>
              <a:latin typeface="+mn-lt"/>
              <a:ea typeface="+mn-ea"/>
              <a:cs typeface="+mn-cs"/>
            </a:rPr>
            <a:t>, la cual se refiere a la biomasa residual de cultivos como palma de aceite, caña de azúcar, caña panelera, café, maíz, arroz, banano y plátano </a:t>
          </a:r>
          <a:r>
            <a:rPr lang="es-ES" sz="1200" b="1" baseline="0">
              <a:solidFill>
                <a:schemeClr val="accent2">
                  <a:lumMod val="50000"/>
                </a:schemeClr>
              </a:solidFill>
              <a:effectLst/>
              <a:latin typeface="+mn-lt"/>
              <a:ea typeface="+mn-ea"/>
              <a:cs typeface="+mn-cs"/>
            </a:rPr>
            <a:t>para la cogeneración </a:t>
          </a:r>
          <a:r>
            <a:rPr lang="es-ES" sz="1200" baseline="0">
              <a:solidFill>
                <a:schemeClr val="accent2">
                  <a:lumMod val="50000"/>
                </a:schemeClr>
              </a:solidFill>
              <a:effectLst/>
              <a:latin typeface="+mn-lt"/>
              <a:ea typeface="+mn-ea"/>
              <a:cs typeface="+mn-cs"/>
            </a:rPr>
            <a:t>en la industria (reportados en este sector). Por otro lado, se relaciona con </a:t>
          </a:r>
          <a:r>
            <a:rPr lang="es-ES" sz="1200" b="1" baseline="0">
              <a:solidFill>
                <a:schemeClr val="accent2">
                  <a:lumMod val="50000"/>
                </a:schemeClr>
              </a:solidFill>
              <a:effectLst/>
              <a:latin typeface="+mn-lt"/>
              <a:ea typeface="+mn-ea"/>
              <a:cs typeface="+mn-cs"/>
            </a:rPr>
            <a:t>las tierras agrícolas </a:t>
          </a:r>
          <a:r>
            <a:rPr lang="es-ES" sz="1200" baseline="0">
              <a:solidFill>
                <a:schemeClr val="accent2">
                  <a:lumMod val="50000"/>
                </a:schemeClr>
              </a:solidFill>
              <a:effectLst/>
              <a:latin typeface="+mn-lt"/>
              <a:ea typeface="+mn-ea"/>
              <a:cs typeface="+mn-cs"/>
            </a:rPr>
            <a:t>de caña de azúcar y palma de aceite </a:t>
          </a:r>
          <a:r>
            <a:rPr lang="es-ES" sz="1200" b="1" baseline="0">
              <a:solidFill>
                <a:schemeClr val="accent2">
                  <a:lumMod val="50000"/>
                </a:schemeClr>
              </a:solidFill>
              <a:effectLst/>
              <a:latin typeface="+mn-lt"/>
              <a:ea typeface="+mn-ea"/>
              <a:cs typeface="+mn-cs"/>
            </a:rPr>
            <a:t>dedicados a la producción de biocombustibles </a:t>
          </a:r>
          <a:r>
            <a:rPr lang="es-ES" sz="1200" b="0" baseline="0">
              <a:solidFill>
                <a:schemeClr val="accent2">
                  <a:lumMod val="50000"/>
                </a:schemeClr>
              </a:solidFill>
              <a:effectLst/>
              <a:latin typeface="+mn-lt"/>
              <a:ea typeface="+mn-ea"/>
              <a:cs typeface="+mn-cs"/>
            </a:rPr>
            <a:t>(reportados en el sector energía).</a:t>
          </a:r>
        </a:p>
      </xdr:txBody>
    </xdr:sp>
    <xdr:clientData/>
  </xdr:oneCellAnchor>
  <xdr:oneCellAnchor>
    <xdr:from>
      <xdr:col>11</xdr:col>
      <xdr:colOff>156602</xdr:colOff>
      <xdr:row>431</xdr:row>
      <xdr:rowOff>113542</xdr:rowOff>
    </xdr:from>
    <xdr:ext cx="3492000" cy="3240000"/>
    <xdr:sp macro="" textlink="">
      <xdr:nvSpPr>
        <xdr:cNvPr id="10451" name="CuadroTexto 9598">
          <a:extLst>
            <a:ext uri="{FF2B5EF4-FFF2-40B4-BE49-F238E27FC236}">
              <a16:creationId xmlns:a16="http://schemas.microsoft.com/office/drawing/2014/main" id="{00000000-0008-0000-0300-0000D3280000}"/>
            </a:ext>
          </a:extLst>
        </xdr:cNvPr>
        <xdr:cNvSpPr txBox="1"/>
      </xdr:nvSpPr>
      <xdr:spPr>
        <a:xfrm>
          <a:off x="9154926" y="80739866"/>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Este</a:t>
          </a:r>
          <a:r>
            <a:rPr lang="es-ES" sz="1200" baseline="0">
              <a:solidFill>
                <a:schemeClr val="accent2">
                  <a:lumMod val="50000"/>
                </a:schemeClr>
              </a:solidFill>
              <a:effectLst/>
              <a:latin typeface="+mn-lt"/>
              <a:ea typeface="+mn-ea"/>
              <a:cs typeface="+mn-cs"/>
            </a:rPr>
            <a:t> sector contribuye con la producción de </a:t>
          </a:r>
          <a:r>
            <a:rPr lang="es-ES" sz="1200" b="1" baseline="0">
              <a:solidFill>
                <a:schemeClr val="accent2">
                  <a:lumMod val="50000"/>
                </a:schemeClr>
              </a:solidFill>
              <a:effectLst/>
              <a:latin typeface="+mn-lt"/>
              <a:ea typeface="+mn-ea"/>
              <a:cs typeface="+mn-cs"/>
            </a:rPr>
            <a:t>biogás</a:t>
          </a:r>
          <a:r>
            <a:rPr lang="es-ES" sz="1200" baseline="0">
              <a:solidFill>
                <a:schemeClr val="accent2">
                  <a:lumMod val="50000"/>
                </a:schemeClr>
              </a:solidFill>
              <a:effectLst/>
              <a:latin typeface="+mn-lt"/>
              <a:ea typeface="+mn-ea"/>
              <a:cs typeface="+mn-cs"/>
            </a:rPr>
            <a:t> resultado de la gestión del estiércol </a:t>
          </a:r>
          <a:r>
            <a:rPr lang="es-ES" sz="1200" b="1" baseline="0">
              <a:solidFill>
                <a:schemeClr val="accent2">
                  <a:lumMod val="50000"/>
                </a:schemeClr>
              </a:solidFill>
              <a:effectLst/>
              <a:latin typeface="+mn-lt"/>
              <a:ea typeface="+mn-ea"/>
              <a:cs typeface="+mn-cs"/>
            </a:rPr>
            <a:t>(producción de estiércol para bioenergía</a:t>
          </a:r>
          <a:r>
            <a:rPr lang="es-ES" sz="1200" baseline="0">
              <a:solidFill>
                <a:schemeClr val="accent2">
                  <a:lumMod val="50000"/>
                </a:schemeClr>
              </a:solidFill>
              <a:effectLst/>
              <a:latin typeface="+mn-lt"/>
              <a:ea typeface="+mn-ea"/>
              <a:cs typeface="+mn-cs"/>
            </a:rPr>
            <a:t>), el cual, es considerado en esta herramienta, como insumo para la </a:t>
          </a:r>
          <a:r>
            <a:rPr lang="es-ES" sz="1200" b="1" baseline="0">
              <a:solidFill>
                <a:schemeClr val="accent2">
                  <a:lumMod val="50000"/>
                </a:schemeClr>
              </a:solidFill>
              <a:effectLst/>
              <a:latin typeface="+mn-lt"/>
              <a:ea typeface="+mn-ea"/>
              <a:cs typeface="+mn-cs"/>
            </a:rPr>
            <a:t>autogeneración</a:t>
          </a:r>
          <a:r>
            <a:rPr lang="es-ES" sz="120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 electricidad, </a:t>
          </a:r>
          <a:r>
            <a:rPr lang="es-ES" sz="1200" b="0" baseline="0">
              <a:solidFill>
                <a:schemeClr val="accent2">
                  <a:lumMod val="50000"/>
                </a:schemeClr>
              </a:solidFill>
              <a:effectLst/>
              <a:latin typeface="+mn-lt"/>
              <a:ea typeface="+mn-ea"/>
              <a:cs typeface="+mn-cs"/>
            </a:rPr>
            <a:t>lo cual, reduce la demanda de energía al SIN y por tanto, de los combustibles utilizados para su generación.</a:t>
          </a:r>
          <a:endParaRPr lang="es-ES" sz="1200">
            <a:solidFill>
              <a:schemeClr val="accent2">
                <a:lumMod val="50000"/>
              </a:schemeClr>
            </a:solidFill>
            <a:effectLst/>
          </a:endParaRPr>
        </a:p>
      </xdr:txBody>
    </xdr:sp>
    <xdr:clientData/>
  </xdr:oneCellAnchor>
  <xdr:twoCellAnchor editAs="oneCell">
    <xdr:from>
      <xdr:col>2</xdr:col>
      <xdr:colOff>209551</xdr:colOff>
      <xdr:row>311</xdr:row>
      <xdr:rowOff>63408</xdr:rowOff>
    </xdr:from>
    <xdr:to>
      <xdr:col>9</xdr:col>
      <xdr:colOff>668655</xdr:colOff>
      <xdr:row>330</xdr:row>
      <xdr:rowOff>171450</xdr:rowOff>
    </xdr:to>
    <xdr:pic>
      <xdr:nvPicPr>
        <xdr:cNvPr id="11" name="Imagen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2"/>
        <a:stretch>
          <a:fillRect/>
        </a:stretch>
      </xdr:blipFill>
      <xdr:spPr>
        <a:xfrm>
          <a:off x="2352676" y="57470583"/>
          <a:ext cx="5800724" cy="3718017"/>
        </a:xfrm>
        <a:prstGeom prst="rect">
          <a:avLst/>
        </a:prstGeom>
      </xdr:spPr>
    </xdr:pic>
    <xdr:clientData/>
  </xdr:twoCellAnchor>
  <xdr:twoCellAnchor>
    <xdr:from>
      <xdr:col>2</xdr:col>
      <xdr:colOff>304800</xdr:colOff>
      <xdr:row>340</xdr:row>
      <xdr:rowOff>123825</xdr:rowOff>
    </xdr:from>
    <xdr:to>
      <xdr:col>10</xdr:col>
      <xdr:colOff>761572</xdr:colOff>
      <xdr:row>349</xdr:row>
      <xdr:rowOff>15194</xdr:rowOff>
    </xdr:to>
    <xdr:grpSp>
      <xdr:nvGrpSpPr>
        <xdr:cNvPr id="12" name="Grupo 11">
          <a:extLst>
            <a:ext uri="{FF2B5EF4-FFF2-40B4-BE49-F238E27FC236}">
              <a16:creationId xmlns:a16="http://schemas.microsoft.com/office/drawing/2014/main" id="{00000000-0008-0000-0300-00000C000000}"/>
            </a:ext>
          </a:extLst>
        </xdr:cNvPr>
        <xdr:cNvGrpSpPr/>
      </xdr:nvGrpSpPr>
      <xdr:grpSpPr>
        <a:xfrm>
          <a:off x="2447925" y="65679638"/>
          <a:ext cx="6552772" cy="1605869"/>
          <a:chOff x="2815218" y="2764780"/>
          <a:chExt cx="6552772" cy="1605869"/>
        </a:xfrm>
      </xdr:grpSpPr>
      <xdr:grpSp>
        <xdr:nvGrpSpPr>
          <xdr:cNvPr id="14" name="Grupo 13">
            <a:extLst>
              <a:ext uri="{FF2B5EF4-FFF2-40B4-BE49-F238E27FC236}">
                <a16:creationId xmlns:a16="http://schemas.microsoft.com/office/drawing/2014/main" id="{00000000-0008-0000-0300-00000E000000}"/>
              </a:ext>
            </a:extLst>
          </xdr:cNvPr>
          <xdr:cNvGrpSpPr/>
        </xdr:nvGrpSpPr>
        <xdr:grpSpPr>
          <a:xfrm>
            <a:off x="4983093" y="2998971"/>
            <a:ext cx="1185939" cy="1054781"/>
            <a:chOff x="5725041" y="3382269"/>
            <a:chExt cx="1233584" cy="1066062"/>
          </a:xfrm>
        </xdr:grpSpPr>
        <xdr:pic>
          <xdr:nvPicPr>
            <xdr:cNvPr id="72" name="Gráfico 180" descr="Basura con relleno sólido">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5890443" y="3382269"/>
              <a:ext cx="902781" cy="841638"/>
            </a:xfrm>
            <a:prstGeom prst="rect">
              <a:avLst/>
            </a:prstGeom>
          </xdr:spPr>
        </xdr:pic>
        <xdr:sp macro="" textlink="">
          <xdr:nvSpPr>
            <xdr:cNvPr id="73" name="CuadroTexto 29">
              <a:extLst>
                <a:ext uri="{FF2B5EF4-FFF2-40B4-BE49-F238E27FC236}">
                  <a16:creationId xmlns:a16="http://schemas.microsoft.com/office/drawing/2014/main" id="{00000000-0008-0000-0300-000049000000}"/>
                </a:ext>
              </a:extLst>
            </xdr:cNvPr>
            <xdr:cNvSpPr txBox="1"/>
          </xdr:nvSpPr>
          <xdr:spPr>
            <a:xfrm>
              <a:off x="5725041" y="4137263"/>
              <a:ext cx="1233584" cy="311068"/>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b="1">
                  <a:solidFill>
                    <a:schemeClr val="accent2">
                      <a:lumMod val="60000"/>
                      <a:lumOff val="40000"/>
                    </a:schemeClr>
                  </a:solidFill>
                </a:rPr>
                <a:t>RESIDUOS</a:t>
              </a:r>
            </a:p>
          </xdr:txBody>
        </xdr:sp>
      </xdr:grpSp>
      <xdr:grpSp>
        <xdr:nvGrpSpPr>
          <xdr:cNvPr id="29" name="Grupo 28">
            <a:extLst>
              <a:ext uri="{FF2B5EF4-FFF2-40B4-BE49-F238E27FC236}">
                <a16:creationId xmlns:a16="http://schemas.microsoft.com/office/drawing/2014/main" id="{00000000-0008-0000-0300-00001D000000}"/>
              </a:ext>
            </a:extLst>
          </xdr:cNvPr>
          <xdr:cNvGrpSpPr/>
        </xdr:nvGrpSpPr>
        <xdr:grpSpPr>
          <a:xfrm>
            <a:off x="5606606" y="2764780"/>
            <a:ext cx="702121" cy="784110"/>
            <a:chOff x="8104050" y="1008571"/>
            <a:chExt cx="702121" cy="784110"/>
          </a:xfrm>
        </xdr:grpSpPr>
        <xdr:pic>
          <xdr:nvPicPr>
            <xdr:cNvPr id="70" name="Gráfico 5" descr="Trueno con relleno sólido">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8104050" y="1090560"/>
              <a:ext cx="702121" cy="702121"/>
            </a:xfrm>
            <a:prstGeom prst="rect">
              <a:avLst/>
            </a:prstGeom>
          </xdr:spPr>
        </xdr:pic>
        <xdr:pic>
          <xdr:nvPicPr>
            <xdr:cNvPr id="71" name="Imagen 70">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57"/>
            <a:stretch>
              <a:fillRect/>
            </a:stretch>
          </xdr:blipFill>
          <xdr:spPr>
            <a:xfrm>
              <a:off x="8342149" y="1008571"/>
              <a:ext cx="372751" cy="433049"/>
            </a:xfrm>
            <a:prstGeom prst="rect">
              <a:avLst/>
            </a:prstGeom>
          </xdr:spPr>
        </xdr:pic>
      </xdr:grpSp>
      <xdr:grpSp>
        <xdr:nvGrpSpPr>
          <xdr:cNvPr id="36" name="Grupo 35">
            <a:extLst>
              <a:ext uri="{FF2B5EF4-FFF2-40B4-BE49-F238E27FC236}">
                <a16:creationId xmlns:a16="http://schemas.microsoft.com/office/drawing/2014/main" id="{00000000-0008-0000-0300-000024000000}"/>
              </a:ext>
            </a:extLst>
          </xdr:cNvPr>
          <xdr:cNvGrpSpPr/>
        </xdr:nvGrpSpPr>
        <xdr:grpSpPr>
          <a:xfrm>
            <a:off x="2815218" y="3079015"/>
            <a:ext cx="978244" cy="942819"/>
            <a:chOff x="1716090" y="1580990"/>
            <a:chExt cx="978244" cy="942819"/>
          </a:xfrm>
        </xdr:grpSpPr>
        <xdr:pic>
          <xdr:nvPicPr>
            <xdr:cNvPr id="68" name="Gráfico 148" descr="Alta tensión con relleno sólido">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773713" y="1580990"/>
              <a:ext cx="812469" cy="812014"/>
            </a:xfrm>
            <a:prstGeom prst="rect">
              <a:avLst/>
            </a:prstGeom>
          </xdr:spPr>
        </xdr:pic>
        <xdr:sp macro="" textlink="">
          <xdr:nvSpPr>
            <xdr:cNvPr id="69" name="CuadroTexto 9">
              <a:extLst>
                <a:ext uri="{FF2B5EF4-FFF2-40B4-BE49-F238E27FC236}">
                  <a16:creationId xmlns:a16="http://schemas.microsoft.com/office/drawing/2014/main" id="{00000000-0008-0000-0300-000045000000}"/>
                </a:ext>
              </a:extLst>
            </xdr:cNvPr>
            <xdr:cNvSpPr txBox="1"/>
          </xdr:nvSpPr>
          <xdr:spPr>
            <a:xfrm>
              <a:off x="1716090" y="2277588"/>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FF0000"/>
                  </a:solidFill>
                </a:rPr>
                <a:t>ELECTRICIDAD</a:t>
              </a:r>
            </a:p>
          </xdr:txBody>
        </xdr:sp>
      </xdr:grpSp>
      <xdr:cxnSp macro="">
        <xdr:nvCxnSpPr>
          <xdr:cNvPr id="55" name="Conector: curvado 54">
            <a:extLst>
              <a:ext uri="{FF2B5EF4-FFF2-40B4-BE49-F238E27FC236}">
                <a16:creationId xmlns:a16="http://schemas.microsoft.com/office/drawing/2014/main" id="{00000000-0008-0000-0300-000037000000}"/>
              </a:ext>
            </a:extLst>
          </xdr:cNvPr>
          <xdr:cNvCxnSpPr>
            <a:cxnSpLocks/>
            <a:stCxn id="69" idx="3"/>
            <a:endCxn id="73" idx="1"/>
          </xdr:cNvCxnSpPr>
        </xdr:nvCxnSpPr>
        <xdr:spPr>
          <a:xfrm>
            <a:off x="3793462" y="3898724"/>
            <a:ext cx="1189631" cy="1140"/>
          </a:xfrm>
          <a:prstGeom prst="curvedConnector3">
            <a:avLst>
              <a:gd name="adj1" fmla="val 50000"/>
            </a:avLst>
          </a:prstGeom>
          <a:ln w="28575">
            <a:solidFill>
              <a:srgbClr val="FF7C8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56" name="Grupo 55">
            <a:extLst>
              <a:ext uri="{FF2B5EF4-FFF2-40B4-BE49-F238E27FC236}">
                <a16:creationId xmlns:a16="http://schemas.microsoft.com/office/drawing/2014/main" id="{00000000-0008-0000-0300-000038000000}"/>
              </a:ext>
            </a:extLst>
          </xdr:cNvPr>
          <xdr:cNvGrpSpPr/>
        </xdr:nvGrpSpPr>
        <xdr:grpSpPr>
          <a:xfrm>
            <a:off x="7589504" y="2895511"/>
            <a:ext cx="1382249" cy="1023817"/>
            <a:chOff x="10483387" y="2581768"/>
            <a:chExt cx="1382249" cy="1023817"/>
          </a:xfrm>
        </xdr:grpSpPr>
        <xdr:sp macro="" textlink="">
          <xdr:nvSpPr>
            <xdr:cNvPr id="62" name="CuadroTexto 16">
              <a:extLst>
                <a:ext uri="{FF2B5EF4-FFF2-40B4-BE49-F238E27FC236}">
                  <a16:creationId xmlns:a16="http://schemas.microsoft.com/office/drawing/2014/main" id="{00000000-0008-0000-0300-00003E000000}"/>
                </a:ext>
              </a:extLst>
            </xdr:cNvPr>
            <xdr:cNvSpPr txBox="1"/>
          </xdr:nvSpPr>
          <xdr:spPr>
            <a:xfrm>
              <a:off x="10483387" y="3343975"/>
              <a:ext cx="1282651" cy="2616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100" b="1">
                  <a:solidFill>
                    <a:schemeClr val="accent2">
                      <a:lumMod val="75000"/>
                    </a:schemeClr>
                  </a:solidFill>
                </a:rPr>
                <a:t>EMISIONES</a:t>
              </a:r>
            </a:p>
          </xdr:txBody>
        </xdr:sp>
        <xdr:grpSp>
          <xdr:nvGrpSpPr>
            <xdr:cNvPr id="63" name="Grupo 62">
              <a:extLst>
                <a:ext uri="{FF2B5EF4-FFF2-40B4-BE49-F238E27FC236}">
                  <a16:creationId xmlns:a16="http://schemas.microsoft.com/office/drawing/2014/main" id="{00000000-0008-0000-0300-00003F000000}"/>
                </a:ext>
              </a:extLst>
            </xdr:cNvPr>
            <xdr:cNvGrpSpPr/>
          </xdr:nvGrpSpPr>
          <xdr:grpSpPr>
            <a:xfrm>
              <a:off x="10677695" y="2581768"/>
              <a:ext cx="1187941" cy="1023817"/>
              <a:chOff x="10338950" y="2830597"/>
              <a:chExt cx="877245" cy="727565"/>
            </a:xfrm>
          </xdr:grpSpPr>
          <xdr:pic>
            <xdr:nvPicPr>
              <xdr:cNvPr id="66" name="Gráfico 18" descr="Nube con relleno sólido">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0338950" y="2830597"/>
                <a:ext cx="660241" cy="727565"/>
              </a:xfrm>
              <a:prstGeom prst="rect">
                <a:avLst/>
              </a:prstGeom>
            </xdr:spPr>
          </xdr:pic>
          <xdr:sp macro="" textlink="">
            <xdr:nvSpPr>
              <xdr:cNvPr id="67" name="CuadroTexto 19">
                <a:extLst>
                  <a:ext uri="{FF2B5EF4-FFF2-40B4-BE49-F238E27FC236}">
                    <a16:creationId xmlns:a16="http://schemas.microsoft.com/office/drawing/2014/main" id="{00000000-0008-0000-0300-000043000000}"/>
                  </a:ext>
                </a:extLst>
              </xdr:cNvPr>
              <xdr:cNvSpPr txBox="1"/>
            </xdr:nvSpPr>
            <xdr:spPr>
              <a:xfrm>
                <a:off x="10483886" y="3131198"/>
                <a:ext cx="732309" cy="284334"/>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CO</a:t>
                </a:r>
                <a:r>
                  <a:rPr lang="es-ES" sz="1100" b="1">
                    <a:ln w="3175">
                      <a:solidFill>
                        <a:schemeClr val="bg1"/>
                      </a:solidFill>
                    </a:ln>
                    <a:solidFill>
                      <a:schemeClr val="accent2">
                        <a:lumMod val="75000"/>
                      </a:schemeClr>
                    </a:solidFill>
                  </a:rPr>
                  <a:t>2</a:t>
                </a:r>
                <a:endParaRPr lang="es-ES" sz="2800" b="1">
                  <a:ln w="3175">
                    <a:solidFill>
                      <a:schemeClr val="bg1"/>
                    </a:solidFill>
                  </a:ln>
                  <a:solidFill>
                    <a:schemeClr val="accent2">
                      <a:lumMod val="75000"/>
                    </a:schemeClr>
                  </a:solidFill>
                </a:endParaRPr>
              </a:p>
            </xdr:txBody>
          </xdr:sp>
        </xdr:grpSp>
      </xdr:grpSp>
      <xdr:cxnSp macro="">
        <xdr:nvCxnSpPr>
          <xdr:cNvPr id="58" name="Conector: curvado 57">
            <a:extLst>
              <a:ext uri="{FF2B5EF4-FFF2-40B4-BE49-F238E27FC236}">
                <a16:creationId xmlns:a16="http://schemas.microsoft.com/office/drawing/2014/main" id="{00000000-0008-0000-0300-00003A000000}"/>
              </a:ext>
            </a:extLst>
          </xdr:cNvPr>
          <xdr:cNvCxnSpPr>
            <a:cxnSpLocks/>
            <a:endCxn id="62" idx="1"/>
          </xdr:cNvCxnSpPr>
        </xdr:nvCxnSpPr>
        <xdr:spPr>
          <a:xfrm>
            <a:off x="6152649" y="3784768"/>
            <a:ext cx="1436855" cy="3755"/>
          </a:xfrm>
          <a:prstGeom prst="curvedConnector3">
            <a:avLst>
              <a:gd name="adj1" fmla="val 50000"/>
            </a:avLst>
          </a:prstGeom>
          <a:ln w="28575">
            <a:solidFill>
              <a:srgbClr val="EE77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CuadroTexto 25">
            <a:extLst>
              <a:ext uri="{FF2B5EF4-FFF2-40B4-BE49-F238E27FC236}">
                <a16:creationId xmlns:a16="http://schemas.microsoft.com/office/drawing/2014/main" id="{00000000-0008-0000-0300-00003B000000}"/>
              </a:ext>
            </a:extLst>
          </xdr:cNvPr>
          <xdr:cNvSpPr txBox="1"/>
        </xdr:nvSpPr>
        <xdr:spPr>
          <a:xfrm>
            <a:off x="7346440" y="3939762"/>
            <a:ext cx="1768777" cy="430887"/>
          </a:xfrm>
          <a:prstGeom prst="rect">
            <a:avLst/>
          </a:prstGeom>
          <a:noFill/>
          <a:ln>
            <a:solidFill>
              <a:srgbClr val="EE77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chemeClr val="accent2"/>
                </a:solidFill>
              </a:rPr>
              <a:t>Emisiones provenientes de la gestión de los residuos</a:t>
            </a:r>
          </a:p>
        </xdr:txBody>
      </xdr:sp>
      <xdr:sp macro="" textlink="">
        <xdr:nvSpPr>
          <xdr:cNvPr id="60" name="Rectángulo 59">
            <a:extLst>
              <a:ext uri="{FF2B5EF4-FFF2-40B4-BE49-F238E27FC236}">
                <a16:creationId xmlns:a16="http://schemas.microsoft.com/office/drawing/2014/main" id="{00000000-0008-0000-0300-00003C000000}"/>
              </a:ext>
            </a:extLst>
          </xdr:cNvPr>
          <xdr:cNvSpPr/>
        </xdr:nvSpPr>
        <xdr:spPr>
          <a:xfrm>
            <a:off x="6253122" y="2764780"/>
            <a:ext cx="1566011" cy="406218"/>
          </a:xfrm>
          <a:prstGeom prst="rect">
            <a:avLst/>
          </a:prstGeom>
          <a:solidFill>
            <a:schemeClr val="bg1"/>
          </a:solidFill>
          <a:ln>
            <a:solidFill>
              <a:schemeClr val="accent4"/>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MX"/>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ES" sz="1100" i="1">
                <a:solidFill>
                  <a:schemeClr val="accent2"/>
                </a:solidFill>
              </a:rPr>
              <a:t>Autoconsumo</a:t>
            </a:r>
          </a:p>
          <a:p>
            <a:pPr algn="ctr"/>
            <a:r>
              <a:rPr lang="es-ES" sz="1100" i="1">
                <a:solidFill>
                  <a:schemeClr val="accent2"/>
                </a:solidFill>
              </a:rPr>
              <a:t>Generación por residuos</a:t>
            </a:r>
          </a:p>
        </xdr:txBody>
      </xdr:sp>
      <xdr:sp macro="" textlink="">
        <xdr:nvSpPr>
          <xdr:cNvPr id="61" name="CuadroTexto 1">
            <a:extLst>
              <a:ext uri="{FF2B5EF4-FFF2-40B4-BE49-F238E27FC236}">
                <a16:creationId xmlns:a16="http://schemas.microsoft.com/office/drawing/2014/main" id="{00000000-0008-0000-0300-00003D000000}"/>
              </a:ext>
            </a:extLst>
          </xdr:cNvPr>
          <xdr:cNvSpPr txBox="1"/>
        </xdr:nvSpPr>
        <xdr:spPr>
          <a:xfrm>
            <a:off x="8376319" y="3313582"/>
            <a:ext cx="991671" cy="4001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e</a:t>
            </a:r>
            <a:endParaRPr lang="es-ES" sz="2800" b="1">
              <a:ln w="3175">
                <a:solidFill>
                  <a:schemeClr val="bg1"/>
                </a:solidFill>
              </a:ln>
              <a:solidFill>
                <a:schemeClr val="accent2">
                  <a:lumMod val="75000"/>
                </a:schemeClr>
              </a:solidFill>
            </a:endParaRPr>
          </a:p>
        </xdr:txBody>
      </xdr:sp>
    </xdr:grpSp>
    <xdr:clientData/>
  </xdr:twoCellAnchor>
  <xdr:twoCellAnchor editAs="oneCell">
    <xdr:from>
      <xdr:col>2</xdr:col>
      <xdr:colOff>247650</xdr:colOff>
      <xdr:row>361</xdr:row>
      <xdr:rowOff>180975</xdr:rowOff>
    </xdr:from>
    <xdr:to>
      <xdr:col>11</xdr:col>
      <xdr:colOff>77542</xdr:colOff>
      <xdr:row>375</xdr:row>
      <xdr:rowOff>174348</xdr:rowOff>
    </xdr:to>
    <xdr:pic>
      <xdr:nvPicPr>
        <xdr:cNvPr id="74" name="Imagen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2"/>
        <a:stretch>
          <a:fillRect/>
        </a:stretch>
      </xdr:blipFill>
      <xdr:spPr>
        <a:xfrm>
          <a:off x="2390775" y="67113150"/>
          <a:ext cx="6687892" cy="2664183"/>
        </a:xfrm>
        <a:prstGeom prst="rect">
          <a:avLst/>
        </a:prstGeom>
      </xdr:spPr>
    </xdr:pic>
    <xdr:clientData/>
  </xdr:twoCellAnchor>
  <xdr:twoCellAnchor>
    <xdr:from>
      <xdr:col>2</xdr:col>
      <xdr:colOff>333375</xdr:colOff>
      <xdr:row>385</xdr:row>
      <xdr:rowOff>76200</xdr:rowOff>
    </xdr:from>
    <xdr:to>
      <xdr:col>11</xdr:col>
      <xdr:colOff>126806</xdr:colOff>
      <xdr:row>399</xdr:row>
      <xdr:rowOff>28710</xdr:rowOff>
    </xdr:to>
    <xdr:grpSp>
      <xdr:nvGrpSpPr>
        <xdr:cNvPr id="75" name="Grupo 74">
          <a:extLst>
            <a:ext uri="{FF2B5EF4-FFF2-40B4-BE49-F238E27FC236}">
              <a16:creationId xmlns:a16="http://schemas.microsoft.com/office/drawing/2014/main" id="{00000000-0008-0000-0300-00004B000000}"/>
            </a:ext>
          </a:extLst>
        </xdr:cNvPr>
        <xdr:cNvGrpSpPr/>
      </xdr:nvGrpSpPr>
      <xdr:grpSpPr>
        <a:xfrm>
          <a:off x="2476500" y="74204513"/>
          <a:ext cx="6651431" cy="2619510"/>
          <a:chOff x="2698087" y="2423042"/>
          <a:chExt cx="6651431" cy="2619510"/>
        </a:xfrm>
      </xdr:grpSpPr>
      <xdr:grpSp>
        <xdr:nvGrpSpPr>
          <xdr:cNvPr id="76" name="Grupo 75">
            <a:extLst>
              <a:ext uri="{FF2B5EF4-FFF2-40B4-BE49-F238E27FC236}">
                <a16:creationId xmlns:a16="http://schemas.microsoft.com/office/drawing/2014/main" id="{00000000-0008-0000-0300-00004C000000}"/>
              </a:ext>
            </a:extLst>
          </xdr:cNvPr>
          <xdr:cNvGrpSpPr/>
        </xdr:nvGrpSpPr>
        <xdr:grpSpPr>
          <a:xfrm>
            <a:off x="2815218" y="2423042"/>
            <a:ext cx="978244" cy="942819"/>
            <a:chOff x="1716090" y="1580990"/>
            <a:chExt cx="978244" cy="942819"/>
          </a:xfrm>
        </xdr:grpSpPr>
        <xdr:pic>
          <xdr:nvPicPr>
            <xdr:cNvPr id="151" name="Gráfico 148" descr="Alta tensión con relleno sólido">
              <a:extLst>
                <a:ext uri="{FF2B5EF4-FFF2-40B4-BE49-F238E27FC236}">
                  <a16:creationId xmlns:a16="http://schemas.microsoft.com/office/drawing/2014/main" id="{00000000-0008-0000-0300-000097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773713" y="1580990"/>
              <a:ext cx="812469" cy="812014"/>
            </a:xfrm>
            <a:prstGeom prst="rect">
              <a:avLst/>
            </a:prstGeom>
          </xdr:spPr>
        </xdr:pic>
        <xdr:sp macro="" textlink="">
          <xdr:nvSpPr>
            <xdr:cNvPr id="152" name="CuadroTexto 9">
              <a:extLst>
                <a:ext uri="{FF2B5EF4-FFF2-40B4-BE49-F238E27FC236}">
                  <a16:creationId xmlns:a16="http://schemas.microsoft.com/office/drawing/2014/main" id="{00000000-0008-0000-0300-000098000000}"/>
                </a:ext>
              </a:extLst>
            </xdr:cNvPr>
            <xdr:cNvSpPr txBox="1"/>
          </xdr:nvSpPr>
          <xdr:spPr>
            <a:xfrm>
              <a:off x="1716090" y="2277588"/>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FF0000"/>
                  </a:solidFill>
                </a:rPr>
                <a:t>ELECTRICIDAD</a:t>
              </a:r>
            </a:p>
          </xdr:txBody>
        </xdr:sp>
      </xdr:grpSp>
      <xdr:cxnSp macro="">
        <xdr:nvCxnSpPr>
          <xdr:cNvPr id="77" name="Conector: curvado 76">
            <a:extLst>
              <a:ext uri="{FF2B5EF4-FFF2-40B4-BE49-F238E27FC236}">
                <a16:creationId xmlns:a16="http://schemas.microsoft.com/office/drawing/2014/main" id="{00000000-0008-0000-0300-00004D000000}"/>
              </a:ext>
            </a:extLst>
          </xdr:cNvPr>
          <xdr:cNvCxnSpPr>
            <a:cxnSpLocks/>
            <a:stCxn id="152" idx="3"/>
          </xdr:cNvCxnSpPr>
        </xdr:nvCxnSpPr>
        <xdr:spPr>
          <a:xfrm>
            <a:off x="3793462" y="3242751"/>
            <a:ext cx="1275858" cy="542017"/>
          </a:xfrm>
          <a:prstGeom prst="curvedConnector3">
            <a:avLst>
              <a:gd name="adj1" fmla="val 50000"/>
            </a:avLst>
          </a:prstGeom>
          <a:ln w="28575">
            <a:solidFill>
              <a:srgbClr val="FF7C8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79" name="Grupo 78">
            <a:extLst>
              <a:ext uri="{FF2B5EF4-FFF2-40B4-BE49-F238E27FC236}">
                <a16:creationId xmlns:a16="http://schemas.microsoft.com/office/drawing/2014/main" id="{00000000-0008-0000-0300-00004F000000}"/>
              </a:ext>
            </a:extLst>
          </xdr:cNvPr>
          <xdr:cNvGrpSpPr/>
        </xdr:nvGrpSpPr>
        <xdr:grpSpPr>
          <a:xfrm>
            <a:off x="2808425" y="3732548"/>
            <a:ext cx="978244" cy="850984"/>
            <a:chOff x="2808425" y="3732548"/>
            <a:chExt cx="978244" cy="850984"/>
          </a:xfrm>
        </xdr:grpSpPr>
        <xdr:pic>
          <xdr:nvPicPr>
            <xdr:cNvPr id="148" name="Gráfico 12" descr="Batería en carga con relleno sólido">
              <a:extLst>
                <a:ext uri="{FF2B5EF4-FFF2-40B4-BE49-F238E27FC236}">
                  <a16:creationId xmlns:a16="http://schemas.microsoft.com/office/drawing/2014/main" id="{00000000-0008-0000-0300-000094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2957436" y="3732548"/>
              <a:ext cx="727874" cy="727874"/>
            </a:xfrm>
            <a:prstGeom prst="rect">
              <a:avLst/>
            </a:prstGeom>
          </xdr:spPr>
        </xdr:pic>
        <xdr:sp macro="" textlink="">
          <xdr:nvSpPr>
            <xdr:cNvPr id="150" name="CuadroTexto 13">
              <a:extLst>
                <a:ext uri="{FF2B5EF4-FFF2-40B4-BE49-F238E27FC236}">
                  <a16:creationId xmlns:a16="http://schemas.microsoft.com/office/drawing/2014/main" id="{00000000-0008-0000-0300-000096000000}"/>
                </a:ext>
              </a:extLst>
            </xdr:cNvPr>
            <xdr:cNvSpPr txBox="1"/>
          </xdr:nvSpPr>
          <xdr:spPr>
            <a:xfrm>
              <a:off x="2808425" y="4337311"/>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C00000"/>
                  </a:solidFill>
                </a:rPr>
                <a:t>ENERGÍA</a:t>
              </a:r>
            </a:p>
          </xdr:txBody>
        </xdr:sp>
      </xdr:grpSp>
      <xdr:cxnSp macro="">
        <xdr:nvCxnSpPr>
          <xdr:cNvPr id="82" name="Conector: curvado 81">
            <a:extLst>
              <a:ext uri="{FF2B5EF4-FFF2-40B4-BE49-F238E27FC236}">
                <a16:creationId xmlns:a16="http://schemas.microsoft.com/office/drawing/2014/main" id="{00000000-0008-0000-0300-000052000000}"/>
              </a:ext>
            </a:extLst>
          </xdr:cNvPr>
          <xdr:cNvCxnSpPr>
            <a:cxnSpLocks/>
            <a:stCxn id="150" idx="3"/>
          </xdr:cNvCxnSpPr>
        </xdr:nvCxnSpPr>
        <xdr:spPr>
          <a:xfrm flipV="1">
            <a:off x="3786669" y="3784768"/>
            <a:ext cx="1282651" cy="675654"/>
          </a:xfrm>
          <a:prstGeom prst="curvedConnector3">
            <a:avLst>
              <a:gd name="adj1" fmla="val 50000"/>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83" name="Grupo 82">
            <a:extLst>
              <a:ext uri="{FF2B5EF4-FFF2-40B4-BE49-F238E27FC236}">
                <a16:creationId xmlns:a16="http://schemas.microsoft.com/office/drawing/2014/main" id="{00000000-0008-0000-0300-000053000000}"/>
              </a:ext>
            </a:extLst>
          </xdr:cNvPr>
          <xdr:cNvGrpSpPr/>
        </xdr:nvGrpSpPr>
        <xdr:grpSpPr>
          <a:xfrm>
            <a:off x="7589504" y="2895511"/>
            <a:ext cx="1364698" cy="1023817"/>
            <a:chOff x="10483387" y="2581768"/>
            <a:chExt cx="1364698" cy="1023817"/>
          </a:xfrm>
        </xdr:grpSpPr>
        <xdr:sp macro="" textlink="">
          <xdr:nvSpPr>
            <xdr:cNvPr id="144" name="CuadroTexto 16">
              <a:extLst>
                <a:ext uri="{FF2B5EF4-FFF2-40B4-BE49-F238E27FC236}">
                  <a16:creationId xmlns:a16="http://schemas.microsoft.com/office/drawing/2014/main" id="{00000000-0008-0000-0300-000090000000}"/>
                </a:ext>
              </a:extLst>
            </xdr:cNvPr>
            <xdr:cNvSpPr txBox="1"/>
          </xdr:nvSpPr>
          <xdr:spPr>
            <a:xfrm>
              <a:off x="10483387" y="3343975"/>
              <a:ext cx="1282651" cy="2616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100" b="1">
                  <a:solidFill>
                    <a:schemeClr val="accent2">
                      <a:lumMod val="75000"/>
                    </a:schemeClr>
                  </a:solidFill>
                </a:rPr>
                <a:t>EMISIONES</a:t>
              </a:r>
            </a:p>
          </xdr:txBody>
        </xdr:sp>
        <xdr:grpSp>
          <xdr:nvGrpSpPr>
            <xdr:cNvPr id="145" name="Grupo 144">
              <a:extLst>
                <a:ext uri="{FF2B5EF4-FFF2-40B4-BE49-F238E27FC236}">
                  <a16:creationId xmlns:a16="http://schemas.microsoft.com/office/drawing/2014/main" id="{00000000-0008-0000-0300-000091000000}"/>
                </a:ext>
              </a:extLst>
            </xdr:cNvPr>
            <xdr:cNvGrpSpPr/>
          </xdr:nvGrpSpPr>
          <xdr:grpSpPr>
            <a:xfrm>
              <a:off x="10677678" y="2581768"/>
              <a:ext cx="1170407" cy="1023817"/>
              <a:chOff x="10338950" y="2830597"/>
              <a:chExt cx="864298" cy="727565"/>
            </a:xfrm>
          </xdr:grpSpPr>
          <xdr:pic>
            <xdr:nvPicPr>
              <xdr:cNvPr id="146" name="Gráfico 18" descr="Nube con relleno sólido">
                <a:extLst>
                  <a:ext uri="{FF2B5EF4-FFF2-40B4-BE49-F238E27FC236}">
                    <a16:creationId xmlns:a16="http://schemas.microsoft.com/office/drawing/2014/main" id="{00000000-0008-0000-0300-000092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0338950" y="2830597"/>
                <a:ext cx="660241" cy="727565"/>
              </a:xfrm>
              <a:prstGeom prst="rect">
                <a:avLst/>
              </a:prstGeom>
            </xdr:spPr>
          </xdr:pic>
          <xdr:sp macro="" textlink="">
            <xdr:nvSpPr>
              <xdr:cNvPr id="147" name="CuadroTexto 19">
                <a:extLst>
                  <a:ext uri="{FF2B5EF4-FFF2-40B4-BE49-F238E27FC236}">
                    <a16:creationId xmlns:a16="http://schemas.microsoft.com/office/drawing/2014/main" id="{00000000-0008-0000-0300-000093000000}"/>
                  </a:ext>
                </a:extLst>
              </xdr:cNvPr>
              <xdr:cNvSpPr txBox="1"/>
            </xdr:nvSpPr>
            <xdr:spPr>
              <a:xfrm>
                <a:off x="10470939" y="3131198"/>
                <a:ext cx="732309" cy="284334"/>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CO</a:t>
                </a:r>
                <a:r>
                  <a:rPr lang="es-ES" sz="1100" b="1">
                    <a:ln w="3175">
                      <a:solidFill>
                        <a:schemeClr val="bg1"/>
                      </a:solidFill>
                    </a:ln>
                    <a:solidFill>
                      <a:schemeClr val="accent2">
                        <a:lumMod val="75000"/>
                      </a:schemeClr>
                    </a:solidFill>
                  </a:rPr>
                  <a:t>2</a:t>
                </a:r>
                <a:endParaRPr lang="es-ES" sz="2800" b="1">
                  <a:ln w="3175">
                    <a:solidFill>
                      <a:schemeClr val="bg1"/>
                    </a:solidFill>
                  </a:ln>
                  <a:solidFill>
                    <a:schemeClr val="accent2">
                      <a:lumMod val="75000"/>
                    </a:schemeClr>
                  </a:solidFill>
                </a:endParaRPr>
              </a:p>
            </xdr:txBody>
          </xdr:sp>
        </xdr:grpSp>
      </xdr:grpSp>
      <xdr:cxnSp macro="">
        <xdr:nvCxnSpPr>
          <xdr:cNvPr id="84" name="Conector: curvado 83">
            <a:extLst>
              <a:ext uri="{FF2B5EF4-FFF2-40B4-BE49-F238E27FC236}">
                <a16:creationId xmlns:a16="http://schemas.microsoft.com/office/drawing/2014/main" id="{00000000-0008-0000-0300-000054000000}"/>
              </a:ext>
            </a:extLst>
          </xdr:cNvPr>
          <xdr:cNvCxnSpPr>
            <a:cxnSpLocks/>
            <a:endCxn id="144" idx="1"/>
          </xdr:cNvCxnSpPr>
        </xdr:nvCxnSpPr>
        <xdr:spPr>
          <a:xfrm>
            <a:off x="6152649" y="3784768"/>
            <a:ext cx="1436855" cy="3755"/>
          </a:xfrm>
          <a:prstGeom prst="curvedConnector3">
            <a:avLst>
              <a:gd name="adj1" fmla="val 50000"/>
            </a:avLst>
          </a:prstGeom>
          <a:ln w="28575">
            <a:solidFill>
              <a:srgbClr val="EE77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5" name="CuadroTexto 24">
            <a:extLst>
              <a:ext uri="{FF2B5EF4-FFF2-40B4-BE49-F238E27FC236}">
                <a16:creationId xmlns:a16="http://schemas.microsoft.com/office/drawing/2014/main" id="{00000000-0008-0000-0300-000055000000}"/>
              </a:ext>
            </a:extLst>
          </xdr:cNvPr>
          <xdr:cNvSpPr txBox="1"/>
        </xdr:nvSpPr>
        <xdr:spPr>
          <a:xfrm>
            <a:off x="2698087" y="4611665"/>
            <a:ext cx="1440303" cy="430887"/>
          </a:xfrm>
          <a:prstGeom prst="rect">
            <a:avLst/>
          </a:prstGeom>
          <a:noFill/>
          <a:ln>
            <a:solidFill>
              <a:srgbClr val="C000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rgbClr val="C00000"/>
                </a:solidFill>
              </a:rPr>
              <a:t>Consumo de combustibles fósiles</a:t>
            </a:r>
          </a:p>
        </xdr:txBody>
      </xdr:sp>
      <xdr:sp macro="" textlink="">
        <xdr:nvSpPr>
          <xdr:cNvPr id="88" name="CuadroTexto 25">
            <a:extLst>
              <a:ext uri="{FF2B5EF4-FFF2-40B4-BE49-F238E27FC236}">
                <a16:creationId xmlns:a16="http://schemas.microsoft.com/office/drawing/2014/main" id="{00000000-0008-0000-0300-000058000000}"/>
              </a:ext>
            </a:extLst>
          </xdr:cNvPr>
          <xdr:cNvSpPr txBox="1"/>
        </xdr:nvSpPr>
        <xdr:spPr>
          <a:xfrm>
            <a:off x="7346440" y="3939762"/>
            <a:ext cx="1768777" cy="430887"/>
          </a:xfrm>
          <a:prstGeom prst="rect">
            <a:avLst/>
          </a:prstGeom>
          <a:noFill/>
          <a:ln>
            <a:solidFill>
              <a:srgbClr val="EE77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chemeClr val="accent2"/>
                </a:solidFill>
              </a:rPr>
              <a:t>Emisiones provenientes del consumo de combustibles</a:t>
            </a:r>
          </a:p>
        </xdr:txBody>
      </xdr:sp>
      <xdr:grpSp>
        <xdr:nvGrpSpPr>
          <xdr:cNvPr id="99" name="Grupo 98">
            <a:extLst>
              <a:ext uri="{FF2B5EF4-FFF2-40B4-BE49-F238E27FC236}">
                <a16:creationId xmlns:a16="http://schemas.microsoft.com/office/drawing/2014/main" id="{00000000-0008-0000-0300-000063000000}"/>
              </a:ext>
            </a:extLst>
          </xdr:cNvPr>
          <xdr:cNvGrpSpPr/>
        </xdr:nvGrpSpPr>
        <xdr:grpSpPr>
          <a:xfrm>
            <a:off x="4954400" y="3109198"/>
            <a:ext cx="1233584" cy="1036056"/>
            <a:chOff x="5713654" y="2060132"/>
            <a:chExt cx="1233584" cy="1036056"/>
          </a:xfrm>
        </xdr:grpSpPr>
        <xdr:pic>
          <xdr:nvPicPr>
            <xdr:cNvPr id="142" name="Gráfico 182" descr="Coche eléctrico con relleno sólido">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 uri="{96DAC541-7B7A-43D3-8B79-37D633B846F1}">
                  <asvg:svgBlip xmlns:asvg="http://schemas.microsoft.com/office/drawing/2016/SVG/main" r:embed="rId66"/>
                </a:ext>
              </a:extLst>
            </a:blip>
            <a:stretch>
              <a:fillRect/>
            </a:stretch>
          </xdr:blipFill>
          <xdr:spPr>
            <a:xfrm>
              <a:off x="5849510" y="2060132"/>
              <a:ext cx="961872" cy="974501"/>
            </a:xfrm>
            <a:prstGeom prst="rect">
              <a:avLst/>
            </a:prstGeom>
          </xdr:spPr>
        </xdr:pic>
        <xdr:sp macro="" textlink="">
          <xdr:nvSpPr>
            <xdr:cNvPr id="143" name="CuadroTexto 29">
              <a:extLst>
                <a:ext uri="{FF2B5EF4-FFF2-40B4-BE49-F238E27FC236}">
                  <a16:creationId xmlns:a16="http://schemas.microsoft.com/office/drawing/2014/main" id="{00000000-0008-0000-0300-00008F000000}"/>
                </a:ext>
              </a:extLst>
            </xdr:cNvPr>
            <xdr:cNvSpPr txBox="1"/>
          </xdr:nvSpPr>
          <xdr:spPr>
            <a:xfrm>
              <a:off x="5713654" y="2788411"/>
              <a:ext cx="1233584" cy="307777"/>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b="1">
                  <a:solidFill>
                    <a:schemeClr val="accent1">
                      <a:lumMod val="75000"/>
                    </a:schemeClr>
                  </a:solidFill>
                </a:rPr>
                <a:t>TRANSPORTE</a:t>
              </a:r>
            </a:p>
          </xdr:txBody>
        </xdr:sp>
      </xdr:grpSp>
      <xdr:sp macro="" textlink="">
        <xdr:nvSpPr>
          <xdr:cNvPr id="141" name="CuadroTexto 44">
            <a:extLst>
              <a:ext uri="{FF2B5EF4-FFF2-40B4-BE49-F238E27FC236}">
                <a16:creationId xmlns:a16="http://schemas.microsoft.com/office/drawing/2014/main" id="{00000000-0008-0000-0300-00008D000000}"/>
              </a:ext>
            </a:extLst>
          </xdr:cNvPr>
          <xdr:cNvSpPr txBox="1"/>
        </xdr:nvSpPr>
        <xdr:spPr>
          <a:xfrm>
            <a:off x="8357847" y="3313582"/>
            <a:ext cx="991671" cy="4001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e</a:t>
            </a:r>
            <a:endParaRPr lang="es-ES" sz="2800" b="1">
              <a:ln w="3175">
                <a:solidFill>
                  <a:schemeClr val="bg1"/>
                </a:solidFill>
              </a:ln>
              <a:solidFill>
                <a:schemeClr val="accent2">
                  <a:lumMod val="75000"/>
                </a:schemeClr>
              </a:solidFill>
            </a:endParaRPr>
          </a:p>
        </xdr:txBody>
      </xdr:sp>
    </xdr:grpSp>
    <xdr:clientData/>
  </xdr:twoCellAnchor>
  <xdr:twoCellAnchor>
    <xdr:from>
      <xdr:col>2</xdr:col>
      <xdr:colOff>114300</xdr:colOff>
      <xdr:row>121</xdr:row>
      <xdr:rowOff>161926</xdr:rowOff>
    </xdr:from>
    <xdr:to>
      <xdr:col>2</xdr:col>
      <xdr:colOff>761292</xdr:colOff>
      <xdr:row>124</xdr:row>
      <xdr:rowOff>180976</xdr:rowOff>
    </xdr:to>
    <xdr:grpSp>
      <xdr:nvGrpSpPr>
        <xdr:cNvPr id="9" name="Grupo 8">
          <a:extLst>
            <a:ext uri="{FF2B5EF4-FFF2-40B4-BE49-F238E27FC236}">
              <a16:creationId xmlns:a16="http://schemas.microsoft.com/office/drawing/2014/main" id="{00000000-0008-0000-0300-000009000000}"/>
            </a:ext>
          </a:extLst>
        </xdr:cNvPr>
        <xdr:cNvGrpSpPr/>
      </xdr:nvGrpSpPr>
      <xdr:grpSpPr>
        <a:xfrm>
          <a:off x="2257425" y="23379114"/>
          <a:ext cx="646992" cy="590550"/>
          <a:chOff x="3811172" y="14374468"/>
          <a:chExt cx="587432" cy="486639"/>
        </a:xfrm>
      </xdr:grpSpPr>
      <xdr:pic>
        <xdr:nvPicPr>
          <xdr:cNvPr id="10" name="Gráfico 9" descr="Lupa con relleno sólido">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67"/>
              </a:ext>
            </a:extLst>
          </a:blip>
          <a:stretch>
            <a:fillRect/>
          </a:stretch>
        </xdr:blipFill>
        <xdr:spPr>
          <a:xfrm flipH="1">
            <a:off x="3811172" y="14374468"/>
            <a:ext cx="587432" cy="486639"/>
          </a:xfrm>
          <a:prstGeom prst="rect">
            <a:avLst/>
          </a:prstGeom>
        </xdr:spPr>
      </xdr:pic>
      <xdr:sp macro="" textlink="">
        <xdr:nvSpPr>
          <xdr:cNvPr id="81" name="CuadroTexto 28">
            <a:extLst>
              <a:ext uri="{FF2B5EF4-FFF2-40B4-BE49-F238E27FC236}">
                <a16:creationId xmlns:a16="http://schemas.microsoft.com/office/drawing/2014/main" id="{00000000-0008-0000-0300-000051000000}"/>
              </a:ext>
            </a:extLst>
          </xdr:cNvPr>
          <xdr:cNvSpPr txBox="1"/>
        </xdr:nvSpPr>
        <xdr:spPr>
          <a:xfrm>
            <a:off x="4025665" y="14399508"/>
            <a:ext cx="287100" cy="3340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b="1">
                <a:solidFill>
                  <a:schemeClr val="accent2">
                    <a:lumMod val="75000"/>
                  </a:schemeClr>
                </a:solidFill>
              </a:rPr>
              <a:t>S</a:t>
            </a:r>
          </a:p>
        </xdr:txBody>
      </xdr:sp>
    </xdr:grpSp>
    <xdr:clientData/>
  </xdr:twoCellAnchor>
  <xdr:twoCellAnchor>
    <xdr:from>
      <xdr:col>1</xdr:col>
      <xdr:colOff>695324</xdr:colOff>
      <xdr:row>254</xdr:row>
      <xdr:rowOff>190499</xdr:rowOff>
    </xdr:from>
    <xdr:to>
      <xdr:col>16</xdr:col>
      <xdr:colOff>76199</xdr:colOff>
      <xdr:row>260</xdr:row>
      <xdr:rowOff>161925</xdr:rowOff>
    </xdr:to>
    <xdr:grpSp>
      <xdr:nvGrpSpPr>
        <xdr:cNvPr id="127" name="Grupo 126">
          <a:extLst>
            <a:ext uri="{FF2B5EF4-FFF2-40B4-BE49-F238E27FC236}">
              <a16:creationId xmlns:a16="http://schemas.microsoft.com/office/drawing/2014/main" id="{00000000-0008-0000-0300-00007F000000}"/>
            </a:ext>
          </a:extLst>
        </xdr:cNvPr>
        <xdr:cNvGrpSpPr/>
      </xdr:nvGrpSpPr>
      <xdr:grpSpPr>
        <a:xfrm>
          <a:off x="2076449" y="49291874"/>
          <a:ext cx="10810875" cy="1114426"/>
          <a:chOff x="2057399" y="48520349"/>
          <a:chExt cx="10810875" cy="1114426"/>
        </a:xfrm>
      </xdr:grpSpPr>
      <xdr:sp macro="" textlink="">
        <xdr:nvSpPr>
          <xdr:cNvPr id="163" name="Rectángulo: esquinas redondeadas 162">
            <a:extLst>
              <a:ext uri="{FF2B5EF4-FFF2-40B4-BE49-F238E27FC236}">
                <a16:creationId xmlns:a16="http://schemas.microsoft.com/office/drawing/2014/main" id="{00000000-0008-0000-0300-0000A3000000}"/>
              </a:ext>
            </a:extLst>
          </xdr:cNvPr>
          <xdr:cNvSpPr/>
        </xdr:nvSpPr>
        <xdr:spPr>
          <a:xfrm>
            <a:off x="2057399" y="48520349"/>
            <a:ext cx="10810875" cy="1019175"/>
          </a:xfrm>
          <a:prstGeom prst="roundRect">
            <a:avLst/>
          </a:prstGeom>
          <a:solidFill>
            <a:schemeClr val="bg1"/>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b="1">
                <a:solidFill>
                  <a:schemeClr val="accent2">
                    <a:lumMod val="50000"/>
                  </a:schemeClr>
                </a:solidFill>
              </a:rPr>
              <a:t>LEYENDA</a:t>
            </a:r>
          </a:p>
          <a:p>
            <a:pPr algn="l"/>
            <a:endParaRPr lang="es-ES" sz="1100" b="1">
              <a:solidFill>
                <a:schemeClr val="accent2">
                  <a:lumMod val="50000"/>
                </a:schemeClr>
              </a:solidFill>
            </a:endParaRPr>
          </a:p>
          <a:p>
            <a:pPr algn="l"/>
            <a:endParaRPr lang="es-ES" sz="1100" b="1">
              <a:solidFill>
                <a:schemeClr val="accent2">
                  <a:lumMod val="50000"/>
                </a:schemeClr>
              </a:solidFill>
            </a:endParaRPr>
          </a:p>
        </xdr:txBody>
      </xdr:sp>
      <xdr:grpSp>
        <xdr:nvGrpSpPr>
          <xdr:cNvPr id="164" name="Grupo 163">
            <a:extLst>
              <a:ext uri="{FF2B5EF4-FFF2-40B4-BE49-F238E27FC236}">
                <a16:creationId xmlns:a16="http://schemas.microsoft.com/office/drawing/2014/main" id="{00000000-0008-0000-0300-0000A4000000}"/>
              </a:ext>
            </a:extLst>
          </xdr:cNvPr>
          <xdr:cNvGrpSpPr/>
        </xdr:nvGrpSpPr>
        <xdr:grpSpPr>
          <a:xfrm>
            <a:off x="2105024" y="48806099"/>
            <a:ext cx="457201" cy="485776"/>
            <a:chOff x="8104050" y="1008571"/>
            <a:chExt cx="702121" cy="784110"/>
          </a:xfrm>
        </xdr:grpSpPr>
        <xdr:pic>
          <xdr:nvPicPr>
            <xdr:cNvPr id="165" name="Gráfico 5" descr="Trueno con relleno sólido">
              <a:extLst>
                <a:ext uri="{FF2B5EF4-FFF2-40B4-BE49-F238E27FC236}">
                  <a16:creationId xmlns:a16="http://schemas.microsoft.com/office/drawing/2014/main" id="{00000000-0008-0000-0300-0000A5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8104050" y="1090560"/>
              <a:ext cx="702121" cy="702121"/>
            </a:xfrm>
            <a:prstGeom prst="rect">
              <a:avLst/>
            </a:prstGeom>
          </xdr:spPr>
        </xdr:pic>
        <xdr:pic>
          <xdr:nvPicPr>
            <xdr:cNvPr id="176" name="Imagen 175">
              <a:extLst>
                <a:ext uri="{FF2B5EF4-FFF2-40B4-BE49-F238E27FC236}">
                  <a16:creationId xmlns:a16="http://schemas.microsoft.com/office/drawing/2014/main" id="{00000000-0008-0000-0300-0000B0000000}"/>
                </a:ext>
              </a:extLst>
            </xdr:cNvPr>
            <xdr:cNvPicPr>
              <a:picLocks noChangeAspect="1"/>
            </xdr:cNvPicPr>
          </xdr:nvPicPr>
          <xdr:blipFill>
            <a:blip xmlns:r="http://schemas.openxmlformats.org/officeDocument/2006/relationships" r:embed="rId57"/>
            <a:stretch>
              <a:fillRect/>
            </a:stretch>
          </xdr:blipFill>
          <xdr:spPr>
            <a:xfrm>
              <a:off x="8342149" y="1008571"/>
              <a:ext cx="372751" cy="433049"/>
            </a:xfrm>
            <a:prstGeom prst="rect">
              <a:avLst/>
            </a:prstGeom>
          </xdr:spPr>
        </xdr:pic>
      </xdr:grpSp>
      <xdr:sp macro="" textlink="">
        <xdr:nvSpPr>
          <xdr:cNvPr id="258" name="CuadroTexto 257">
            <a:extLst>
              <a:ext uri="{FF2B5EF4-FFF2-40B4-BE49-F238E27FC236}">
                <a16:creationId xmlns:a16="http://schemas.microsoft.com/office/drawing/2014/main" id="{00000000-0008-0000-0300-000002010000}"/>
              </a:ext>
            </a:extLst>
          </xdr:cNvPr>
          <xdr:cNvSpPr txBox="1"/>
        </xdr:nvSpPr>
        <xdr:spPr>
          <a:xfrm>
            <a:off x="2592706" y="48844200"/>
            <a:ext cx="10256519"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b="1">
                <a:solidFill>
                  <a:schemeClr val="accent2">
                    <a:lumMod val="50000"/>
                  </a:schemeClr>
                </a:solidFill>
              </a:rPr>
              <a:t>Autogeneración:</a:t>
            </a:r>
            <a:r>
              <a:rPr lang="es-ES" sz="1200" b="1" baseline="0">
                <a:solidFill>
                  <a:schemeClr val="accent2">
                    <a:lumMod val="50000"/>
                  </a:schemeClr>
                </a:solidFill>
              </a:rPr>
              <a:t> </a:t>
            </a:r>
            <a:r>
              <a:rPr lang="es-ES" sz="1200" baseline="0"/>
              <a:t>Este icono indica que el sector genera energía para su autoconsumo, siendo posible que se generen excedentes de energía que será inyectada a red. Por lo que,  este icono indica una relación bidireccional.</a:t>
            </a:r>
            <a:endParaRPr lang="es-ES" sz="1200"/>
          </a:p>
        </xdr:txBody>
      </xdr:sp>
    </xdr:grpSp>
    <xdr:clientData/>
  </xdr:twoCellAnchor>
  <xdr:twoCellAnchor editAs="oneCell">
    <xdr:from>
      <xdr:col>2</xdr:col>
      <xdr:colOff>504825</xdr:colOff>
      <xdr:row>263</xdr:row>
      <xdr:rowOff>219075</xdr:rowOff>
    </xdr:from>
    <xdr:to>
      <xdr:col>10</xdr:col>
      <xdr:colOff>724828</xdr:colOff>
      <xdr:row>282</xdr:row>
      <xdr:rowOff>97083</xdr:rowOff>
    </xdr:to>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68"/>
        <a:stretch>
          <a:fillRect/>
        </a:stretch>
      </xdr:blipFill>
      <xdr:spPr>
        <a:xfrm>
          <a:off x="2647950" y="48006000"/>
          <a:ext cx="6316003" cy="3560373"/>
        </a:xfrm>
        <a:prstGeom prst="rect">
          <a:avLst/>
        </a:prstGeom>
      </xdr:spPr>
    </xdr:pic>
    <xdr:clientData/>
  </xdr:twoCellAnchor>
  <xdr:twoCellAnchor editAs="oneCell">
    <xdr:from>
      <xdr:col>3</xdr:col>
      <xdr:colOff>38100</xdr:colOff>
      <xdr:row>287</xdr:row>
      <xdr:rowOff>57150</xdr:rowOff>
    </xdr:from>
    <xdr:to>
      <xdr:col>10</xdr:col>
      <xdr:colOff>54565</xdr:colOff>
      <xdr:row>307</xdr:row>
      <xdr:rowOff>56338</xdr:rowOff>
    </xdr:to>
    <xdr:pic>
      <xdr:nvPicPr>
        <xdr:cNvPr id="90" name="Imagen 89">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69"/>
        <a:stretch>
          <a:fillRect/>
        </a:stretch>
      </xdr:blipFill>
      <xdr:spPr>
        <a:xfrm>
          <a:off x="2943225" y="52492275"/>
          <a:ext cx="5346655" cy="3822523"/>
        </a:xfrm>
        <a:prstGeom prst="rect">
          <a:avLst/>
        </a:prstGeom>
      </xdr:spPr>
    </xdr:pic>
    <xdr:clientData/>
  </xdr:twoCellAnchor>
  <xdr:twoCellAnchor editAs="oneCell">
    <xdr:from>
      <xdr:col>3</xdr:col>
      <xdr:colOff>390525</xdr:colOff>
      <xdr:row>406</xdr:row>
      <xdr:rowOff>66675</xdr:rowOff>
    </xdr:from>
    <xdr:to>
      <xdr:col>10</xdr:col>
      <xdr:colOff>180669</xdr:colOff>
      <xdr:row>424</xdr:row>
      <xdr:rowOff>56288</xdr:rowOff>
    </xdr:to>
    <xdr:pic>
      <xdr:nvPicPr>
        <xdr:cNvPr id="9548" name="Imagen 9547">
          <a:extLst>
            <a:ext uri="{FF2B5EF4-FFF2-40B4-BE49-F238E27FC236}">
              <a16:creationId xmlns:a16="http://schemas.microsoft.com/office/drawing/2014/main" id="{00000000-0008-0000-0300-00004C250000}"/>
            </a:ext>
          </a:extLst>
        </xdr:cNvPr>
        <xdr:cNvPicPr>
          <a:picLocks noChangeAspect="1"/>
        </xdr:cNvPicPr>
      </xdr:nvPicPr>
      <xdr:blipFill>
        <a:blip xmlns:r="http://schemas.openxmlformats.org/officeDocument/2006/relationships" r:embed="rId70"/>
        <a:stretch>
          <a:fillRect/>
        </a:stretch>
      </xdr:blipFill>
      <xdr:spPr>
        <a:xfrm>
          <a:off x="3371850" y="72618600"/>
          <a:ext cx="5261304" cy="3247163"/>
        </a:xfrm>
        <a:prstGeom prst="rect">
          <a:avLst/>
        </a:prstGeom>
      </xdr:spPr>
    </xdr:pic>
    <xdr:clientData/>
  </xdr:twoCellAnchor>
  <xdr:twoCellAnchor editAs="oneCell">
    <xdr:from>
      <xdr:col>3</xdr:col>
      <xdr:colOff>386715</xdr:colOff>
      <xdr:row>430</xdr:row>
      <xdr:rowOff>169545</xdr:rowOff>
    </xdr:from>
    <xdr:to>
      <xdr:col>8</xdr:col>
      <xdr:colOff>435825</xdr:colOff>
      <xdr:row>448</xdr:row>
      <xdr:rowOff>172493</xdr:rowOff>
    </xdr:to>
    <xdr:pic>
      <xdr:nvPicPr>
        <xdr:cNvPr id="9549" name="Imagen 9548">
          <a:extLst>
            <a:ext uri="{FF2B5EF4-FFF2-40B4-BE49-F238E27FC236}">
              <a16:creationId xmlns:a16="http://schemas.microsoft.com/office/drawing/2014/main" id="{00000000-0008-0000-0300-00004D250000}"/>
            </a:ext>
          </a:extLst>
        </xdr:cNvPr>
        <xdr:cNvPicPr>
          <a:picLocks noChangeAspect="1"/>
        </xdr:cNvPicPr>
      </xdr:nvPicPr>
      <xdr:blipFill>
        <a:blip xmlns:r="http://schemas.openxmlformats.org/officeDocument/2006/relationships" r:embed="rId71"/>
        <a:stretch>
          <a:fillRect/>
        </a:stretch>
      </xdr:blipFill>
      <xdr:spPr>
        <a:xfrm>
          <a:off x="3368040" y="77064870"/>
          <a:ext cx="3954360" cy="3252878"/>
        </a:xfrm>
        <a:prstGeom prst="rect">
          <a:avLst/>
        </a:prstGeom>
      </xdr:spPr>
    </xdr:pic>
    <xdr:clientData/>
  </xdr:twoCellAnchor>
  <xdr:twoCellAnchor editAs="oneCell">
    <xdr:from>
      <xdr:col>15</xdr:col>
      <xdr:colOff>295275</xdr:colOff>
      <xdr:row>0</xdr:row>
      <xdr:rowOff>57150</xdr:rowOff>
    </xdr:from>
    <xdr:to>
      <xdr:col>18</xdr:col>
      <xdr:colOff>238125</xdr:colOff>
      <xdr:row>3</xdr:row>
      <xdr:rowOff>150077</xdr:rowOff>
    </xdr:to>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72"/>
        <a:stretch>
          <a:fillRect/>
        </a:stretch>
      </xdr:blipFill>
      <xdr:spPr>
        <a:xfrm>
          <a:off x="12344400" y="57150"/>
          <a:ext cx="2228850" cy="664427"/>
        </a:xfrm>
        <a:prstGeom prst="rect">
          <a:avLst/>
        </a:prstGeom>
      </xdr:spPr>
    </xdr:pic>
    <xdr:clientData/>
  </xdr:twoCellAnchor>
  <xdr:twoCellAnchor editAs="oneCell">
    <xdr:from>
      <xdr:col>1</xdr:col>
      <xdr:colOff>257175</xdr:colOff>
      <xdr:row>0</xdr:row>
      <xdr:rowOff>0</xdr:rowOff>
    </xdr:from>
    <xdr:to>
      <xdr:col>3</xdr:col>
      <xdr:colOff>323850</xdr:colOff>
      <xdr:row>3</xdr:row>
      <xdr:rowOff>112972</xdr:rowOff>
    </xdr:to>
    <xdr:pic>
      <xdr:nvPicPr>
        <xdr:cNvPr id="8" name="Imagen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3"/>
        <a:stretch>
          <a:fillRect/>
        </a:stretch>
      </xdr:blipFill>
      <xdr:spPr>
        <a:xfrm>
          <a:off x="1638300" y="0"/>
          <a:ext cx="1590675" cy="684472"/>
        </a:xfrm>
        <a:prstGeom prst="rect">
          <a:avLst/>
        </a:prstGeom>
      </xdr:spPr>
    </xdr:pic>
    <xdr:clientData/>
  </xdr:twoCellAnchor>
  <xdr:twoCellAnchor>
    <xdr:from>
      <xdr:col>3</xdr:col>
      <xdr:colOff>428625</xdr:colOff>
      <xdr:row>9</xdr:row>
      <xdr:rowOff>57150</xdr:rowOff>
    </xdr:from>
    <xdr:to>
      <xdr:col>6</xdr:col>
      <xdr:colOff>676275</xdr:colOff>
      <xdr:row>10</xdr:row>
      <xdr:rowOff>76200</xdr:rowOff>
    </xdr:to>
    <xdr:sp macro="" textlink="">
      <xdr:nvSpPr>
        <xdr:cNvPr id="24" name="Rectángulo 23">
          <a:hlinkClick xmlns:r="http://schemas.openxmlformats.org/officeDocument/2006/relationships" r:id="rId74"/>
          <a:extLst>
            <a:ext uri="{FF2B5EF4-FFF2-40B4-BE49-F238E27FC236}">
              <a16:creationId xmlns:a16="http://schemas.microsoft.com/office/drawing/2014/main" id="{00000000-0008-0000-0300-000018000000}"/>
            </a:ext>
          </a:extLst>
        </xdr:cNvPr>
        <xdr:cNvSpPr/>
      </xdr:nvSpPr>
      <xdr:spPr>
        <a:xfrm>
          <a:off x="3333750" y="1771650"/>
          <a:ext cx="2533650" cy="209550"/>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352424</xdr:colOff>
      <xdr:row>28</xdr:row>
      <xdr:rowOff>104774</xdr:rowOff>
    </xdr:from>
    <xdr:to>
      <xdr:col>9</xdr:col>
      <xdr:colOff>581025</xdr:colOff>
      <xdr:row>29</xdr:row>
      <xdr:rowOff>133350</xdr:rowOff>
    </xdr:to>
    <xdr:sp macro="" textlink="">
      <xdr:nvSpPr>
        <xdr:cNvPr id="128" name="Rectángulo 127">
          <a:hlinkClick xmlns:r="http://schemas.openxmlformats.org/officeDocument/2006/relationships" r:id="rId75"/>
          <a:extLst>
            <a:ext uri="{FF2B5EF4-FFF2-40B4-BE49-F238E27FC236}">
              <a16:creationId xmlns:a16="http://schemas.microsoft.com/office/drawing/2014/main" id="{00000000-0008-0000-0300-000080000000}"/>
            </a:ext>
          </a:extLst>
        </xdr:cNvPr>
        <xdr:cNvSpPr/>
      </xdr:nvSpPr>
      <xdr:spPr>
        <a:xfrm>
          <a:off x="6305549" y="4295774"/>
          <a:ext cx="1752601" cy="219076"/>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638174</xdr:colOff>
      <xdr:row>29</xdr:row>
      <xdr:rowOff>133349</xdr:rowOff>
    </xdr:from>
    <xdr:to>
      <xdr:col>3</xdr:col>
      <xdr:colOff>342899</xdr:colOff>
      <xdr:row>30</xdr:row>
      <xdr:rowOff>161924</xdr:rowOff>
    </xdr:to>
    <xdr:sp macro="" textlink="">
      <xdr:nvSpPr>
        <xdr:cNvPr id="153" name="Rectángulo 152">
          <a:hlinkClick xmlns:r="http://schemas.openxmlformats.org/officeDocument/2006/relationships" r:id="rId76"/>
          <a:extLst>
            <a:ext uri="{FF2B5EF4-FFF2-40B4-BE49-F238E27FC236}">
              <a16:creationId xmlns:a16="http://schemas.microsoft.com/office/drawing/2014/main" id="{00000000-0008-0000-0300-000099000000}"/>
            </a:ext>
          </a:extLst>
        </xdr:cNvPr>
        <xdr:cNvSpPr/>
      </xdr:nvSpPr>
      <xdr:spPr>
        <a:xfrm>
          <a:off x="2019299" y="451484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466724</xdr:colOff>
      <xdr:row>37</xdr:row>
      <xdr:rowOff>38099</xdr:rowOff>
    </xdr:from>
    <xdr:to>
      <xdr:col>7</xdr:col>
      <xdr:colOff>171449</xdr:colOff>
      <xdr:row>38</xdr:row>
      <xdr:rowOff>66674</xdr:rowOff>
    </xdr:to>
    <xdr:sp macro="" textlink="">
      <xdr:nvSpPr>
        <xdr:cNvPr id="154" name="Rectángulo 153">
          <a:hlinkClick xmlns:r="http://schemas.openxmlformats.org/officeDocument/2006/relationships" r:id="rId77"/>
          <a:extLst>
            <a:ext uri="{FF2B5EF4-FFF2-40B4-BE49-F238E27FC236}">
              <a16:creationId xmlns:a16="http://schemas.microsoft.com/office/drawing/2014/main" id="{00000000-0008-0000-0300-00009A000000}"/>
            </a:ext>
          </a:extLst>
        </xdr:cNvPr>
        <xdr:cNvSpPr/>
      </xdr:nvSpPr>
      <xdr:spPr>
        <a:xfrm>
          <a:off x="4895849" y="594359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3</xdr:col>
      <xdr:colOff>28574</xdr:colOff>
      <xdr:row>39</xdr:row>
      <xdr:rowOff>57149</xdr:rowOff>
    </xdr:from>
    <xdr:to>
      <xdr:col>4</xdr:col>
      <xdr:colOff>495299</xdr:colOff>
      <xdr:row>40</xdr:row>
      <xdr:rowOff>85724</xdr:rowOff>
    </xdr:to>
    <xdr:sp macro="" textlink="">
      <xdr:nvSpPr>
        <xdr:cNvPr id="160" name="Rectángulo 159">
          <a:hlinkClick xmlns:r="http://schemas.openxmlformats.org/officeDocument/2006/relationships" r:id="rId77"/>
          <a:extLst>
            <a:ext uri="{FF2B5EF4-FFF2-40B4-BE49-F238E27FC236}">
              <a16:creationId xmlns:a16="http://schemas.microsoft.com/office/drawing/2014/main" id="{00000000-0008-0000-0300-0000A0000000}"/>
            </a:ext>
          </a:extLst>
        </xdr:cNvPr>
        <xdr:cNvSpPr/>
      </xdr:nvSpPr>
      <xdr:spPr>
        <a:xfrm>
          <a:off x="2933699" y="634364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10458" name="Gráfico 20" descr="Signo de intercalación hacia la derecha con relleno sólido">
          <a:extLst>
            <a:ext uri="{FF2B5EF4-FFF2-40B4-BE49-F238E27FC236}">
              <a16:creationId xmlns:a16="http://schemas.microsoft.com/office/drawing/2014/main" id="{00000000-0008-0000-0300-0000DA28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2625" y="9312965"/>
          <a:ext cx="248478" cy="248478"/>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10459" name="Gráfico 63" descr="Signo de intercalación hacia la derecha con relleno sólido">
          <a:extLst>
            <a:ext uri="{FF2B5EF4-FFF2-40B4-BE49-F238E27FC236}">
              <a16:creationId xmlns:a16="http://schemas.microsoft.com/office/drawing/2014/main" id="{00000000-0008-0000-0300-0000DB28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38131" y="15654131"/>
          <a:ext cx="248478" cy="248478"/>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04" name="Imagen 31">
          <a:extLst>
            <a:ext uri="{FF2B5EF4-FFF2-40B4-BE49-F238E27FC236}">
              <a16:creationId xmlns:a16="http://schemas.microsoft.com/office/drawing/2014/main" id="{00000000-0008-0000-0300-000030010000}"/>
            </a:ext>
          </a:extLst>
        </xdr:cNvPr>
        <xdr:cNvPicPr>
          <a:picLocks noChangeAspect="1"/>
        </xdr:cNvPicPr>
      </xdr:nvPicPr>
      <xdr:blipFill>
        <a:blip xmlns:r="http://schemas.openxmlformats.org/officeDocument/2006/relationships" r:embed="rId47"/>
        <a:stretch>
          <a:fillRect/>
        </a:stretch>
      </xdr:blipFill>
      <xdr:spPr>
        <a:xfrm>
          <a:off x="6276975" y="152400"/>
          <a:ext cx="3717103" cy="332552"/>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72" name="Gráfico 154" descr="Selva tropical con relleno sólido">
          <a:extLst>
            <a:ext uri="{FF2B5EF4-FFF2-40B4-BE49-F238E27FC236}">
              <a16:creationId xmlns:a16="http://schemas.microsoft.com/office/drawing/2014/main" id="{00000000-0008-0000-0300-00007401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 uri="{96DAC541-7B7A-43D3-8B79-37D633B846F1}">
              <asvg:svgBlip xmlns:asvg="http://schemas.microsoft.com/office/drawing/2016/SVG/main" r:embed="rId79"/>
            </a:ext>
          </a:extLst>
        </a:blip>
        <a:stretch>
          <a:fillRect/>
        </a:stretch>
      </xdr:blipFill>
      <xdr:spPr>
        <a:xfrm>
          <a:off x="11816604" y="46270096"/>
          <a:ext cx="1047750" cy="1044846"/>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73" name="Gráfico 185" descr="Vaca con relleno sólido">
          <a:extLst>
            <a:ext uri="{FF2B5EF4-FFF2-40B4-BE49-F238E27FC236}">
              <a16:creationId xmlns:a16="http://schemas.microsoft.com/office/drawing/2014/main" id="{00000000-0008-0000-0300-00007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0" y="42561984"/>
          <a:ext cx="1095376" cy="1092091"/>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74" name="Gráfico 182" descr="Coche eléctrico con relleno sólido">
          <a:extLst>
            <a:ext uri="{FF2B5EF4-FFF2-40B4-BE49-F238E27FC236}">
              <a16:creationId xmlns:a16="http://schemas.microsoft.com/office/drawing/2014/main" id="{00000000-0008-0000-0300-00007601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 uri="{96DAC541-7B7A-43D3-8B79-37D633B846F1}">
              <asvg:svgBlip xmlns:asvg="http://schemas.microsoft.com/office/drawing/2016/SVG/main" r:embed="rId81"/>
            </a:ext>
          </a:extLst>
        </a:blip>
        <a:stretch>
          <a:fillRect/>
        </a:stretch>
      </xdr:blipFill>
      <xdr:spPr>
        <a:xfrm>
          <a:off x="11649074" y="38823899"/>
          <a:ext cx="1295401" cy="1312409"/>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75" name="Gráfico 183" descr="Escena suburbana con relleno sólido">
          <a:extLst>
            <a:ext uri="{FF2B5EF4-FFF2-40B4-BE49-F238E27FC236}">
              <a16:creationId xmlns:a16="http://schemas.microsoft.com/office/drawing/2014/main" id="{00000000-0008-0000-0300-000077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786980" y="39543114"/>
          <a:ext cx="1128491" cy="1119111"/>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82" name="Gráfico 181" descr="Producción con relleno sólido">
          <a:extLst>
            <a:ext uri="{FF2B5EF4-FFF2-40B4-BE49-F238E27FC236}">
              <a16:creationId xmlns:a16="http://schemas.microsoft.com/office/drawing/2014/main" id="{00000000-0008-0000-0300-00007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657565" y="33542800"/>
          <a:ext cx="1272624" cy="1137725"/>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83" name="Gráfico 148" descr="Alta tensión con relleno sólido">
          <a:extLst>
            <a:ext uri="{FF2B5EF4-FFF2-40B4-BE49-F238E27FC236}">
              <a16:creationId xmlns:a16="http://schemas.microsoft.com/office/drawing/2014/main" id="{00000000-0008-0000-0300-00007F01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 uri="{96DAC541-7B7A-43D3-8B79-37D633B846F1}">
              <asvg:svgBlip xmlns:asvg="http://schemas.microsoft.com/office/drawing/2016/SVG/main" r:embed="rId83"/>
            </a:ext>
          </a:extLst>
        </a:blip>
        <a:stretch>
          <a:fillRect/>
        </a:stretch>
      </xdr:blipFill>
      <xdr:spPr>
        <a:xfrm>
          <a:off x="11786995" y="33344472"/>
          <a:ext cx="1137870" cy="1137233"/>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728" name="Gráfico 4" descr="Batería en carga con relleno sólido">
          <a:extLst>
            <a:ext uri="{FF2B5EF4-FFF2-40B4-BE49-F238E27FC236}">
              <a16:creationId xmlns:a16="http://schemas.microsoft.com/office/drawing/2014/main" id="{00000000-0008-0000-0300-00000026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 uri="{96DAC541-7B7A-43D3-8B79-37D633B846F1}">
              <asvg:svgBlip xmlns:asvg="http://schemas.microsoft.com/office/drawing/2016/SVG/main" r:embed="rId85"/>
            </a:ext>
          </a:extLst>
        </a:blip>
        <a:stretch>
          <a:fillRect/>
        </a:stretch>
      </xdr:blipFill>
      <xdr:spPr>
        <a:xfrm>
          <a:off x="11792880" y="32232599"/>
          <a:ext cx="1066161" cy="1038225"/>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729" name="Gráfico 368" descr="Cultivos con relleno sólido">
          <a:extLst>
            <a:ext uri="{FF2B5EF4-FFF2-40B4-BE49-F238E27FC236}">
              <a16:creationId xmlns:a16="http://schemas.microsoft.com/office/drawing/2014/main" id="{00000000-0008-0000-0300-00000126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 uri="{96DAC541-7B7A-43D3-8B79-37D633B846F1}">
              <asvg:svgBlip xmlns:asvg="http://schemas.microsoft.com/office/drawing/2016/SVG/main" r:embed="rId87"/>
            </a:ext>
          </a:extLst>
        </a:blip>
        <a:stretch>
          <a:fillRect/>
        </a:stretch>
      </xdr:blipFill>
      <xdr:spPr>
        <a:xfrm>
          <a:off x="11807154" y="40946474"/>
          <a:ext cx="952046" cy="963526"/>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8980" name="Imagen 10">
          <a:extLst>
            <a:ext uri="{FF2B5EF4-FFF2-40B4-BE49-F238E27FC236}">
              <a16:creationId xmlns:a16="http://schemas.microsoft.com/office/drawing/2014/main" id="{00000000-0008-0000-0300-000014230000}"/>
            </a:ext>
          </a:extLst>
        </xdr:cNvPr>
        <xdr:cNvPicPr>
          <a:picLocks noChangeAspect="1"/>
        </xdr:cNvPicPr>
      </xdr:nvPicPr>
      <xdr:blipFill>
        <a:blip xmlns:r="http://schemas.openxmlformats.org/officeDocument/2006/relationships" r:embed="rId52"/>
        <a:stretch>
          <a:fillRect/>
        </a:stretch>
      </xdr:blipFill>
      <xdr:spPr>
        <a:xfrm>
          <a:off x="2352676" y="57470583"/>
          <a:ext cx="5800724" cy="3718017"/>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001" name="Imagen 73">
          <a:extLst>
            <a:ext uri="{FF2B5EF4-FFF2-40B4-BE49-F238E27FC236}">
              <a16:creationId xmlns:a16="http://schemas.microsoft.com/office/drawing/2014/main" id="{00000000-0008-0000-0300-000029230000}"/>
            </a:ext>
          </a:extLst>
        </xdr:cNvPr>
        <xdr:cNvPicPr>
          <a:picLocks noChangeAspect="1"/>
        </xdr:cNvPicPr>
      </xdr:nvPicPr>
      <xdr:blipFill>
        <a:blip xmlns:r="http://schemas.openxmlformats.org/officeDocument/2006/relationships" r:embed="rId62"/>
        <a:stretch>
          <a:fillRect/>
        </a:stretch>
      </xdr:blipFill>
      <xdr:spPr>
        <a:xfrm>
          <a:off x="2390775" y="67113150"/>
          <a:ext cx="6687892" cy="2664183"/>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4" name="Imagen 24">
          <a:hlinkClick xmlns:r="http://schemas.openxmlformats.org/officeDocument/2006/relationships" r:id="rId88"/>
          <a:extLst>
            <a:ext uri="{FF2B5EF4-FFF2-40B4-BE49-F238E27FC236}">
              <a16:creationId xmlns:a16="http://schemas.microsoft.com/office/drawing/2014/main" id="{00000000-0008-0000-0300-0000CE260000}"/>
            </a:ext>
          </a:extLst>
        </xdr:cNvPr>
        <xdr:cNvPicPr>
          <a:picLocks noChangeAspect="1"/>
        </xdr:cNvPicPr>
      </xdr:nvPicPr>
      <xdr:blipFill rotWithShape="1">
        <a:blip xmlns:r="http://schemas.openxmlformats.org/officeDocument/2006/relationships" r:embed="rId89"/>
        <a:srcRect t="13413" b="4936"/>
        <a:stretch/>
      </xdr:blipFill>
      <xdr:spPr>
        <a:xfrm>
          <a:off x="9239249" y="1438276"/>
          <a:ext cx="4818023" cy="2211770"/>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5" name="Imagen 5">
          <a:extLst>
            <a:ext uri="{FF2B5EF4-FFF2-40B4-BE49-F238E27FC236}">
              <a16:creationId xmlns:a16="http://schemas.microsoft.com/office/drawing/2014/main" id="{00000000-0008-0000-0300-0000CF260000}"/>
            </a:ext>
          </a:extLst>
        </xdr:cNvPr>
        <xdr:cNvPicPr>
          <a:picLocks noChangeAspect="1"/>
        </xdr:cNvPicPr>
      </xdr:nvPicPr>
      <xdr:blipFill>
        <a:blip xmlns:r="http://schemas.openxmlformats.org/officeDocument/2006/relationships" r:embed="rId68"/>
        <a:stretch>
          <a:fillRect/>
        </a:stretch>
      </xdr:blipFill>
      <xdr:spPr>
        <a:xfrm>
          <a:off x="2647950" y="48006000"/>
          <a:ext cx="6316003" cy="3560373"/>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6" name="Imagen 89">
          <a:extLst>
            <a:ext uri="{FF2B5EF4-FFF2-40B4-BE49-F238E27FC236}">
              <a16:creationId xmlns:a16="http://schemas.microsoft.com/office/drawing/2014/main" id="{00000000-0008-0000-0300-0000D0260000}"/>
            </a:ext>
          </a:extLst>
        </xdr:cNvPr>
        <xdr:cNvPicPr>
          <a:picLocks noChangeAspect="1"/>
        </xdr:cNvPicPr>
      </xdr:nvPicPr>
      <xdr:blipFill>
        <a:blip xmlns:r="http://schemas.openxmlformats.org/officeDocument/2006/relationships" r:embed="rId69"/>
        <a:stretch>
          <a:fillRect/>
        </a:stretch>
      </xdr:blipFill>
      <xdr:spPr>
        <a:xfrm>
          <a:off x="2943225" y="52492275"/>
          <a:ext cx="5346655" cy="3822523"/>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7" name="Imagen 9547">
          <a:extLst>
            <a:ext uri="{FF2B5EF4-FFF2-40B4-BE49-F238E27FC236}">
              <a16:creationId xmlns:a16="http://schemas.microsoft.com/office/drawing/2014/main" id="{00000000-0008-0000-0300-0000D1260000}"/>
            </a:ext>
          </a:extLst>
        </xdr:cNvPr>
        <xdr:cNvPicPr>
          <a:picLocks noChangeAspect="1"/>
        </xdr:cNvPicPr>
      </xdr:nvPicPr>
      <xdr:blipFill>
        <a:blip xmlns:r="http://schemas.openxmlformats.org/officeDocument/2006/relationships" r:embed="rId70"/>
        <a:stretch>
          <a:fillRect/>
        </a:stretch>
      </xdr:blipFill>
      <xdr:spPr>
        <a:xfrm>
          <a:off x="3371850" y="72618600"/>
          <a:ext cx="5261304" cy="3247163"/>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8" name="Imagen 9548">
          <a:extLst>
            <a:ext uri="{FF2B5EF4-FFF2-40B4-BE49-F238E27FC236}">
              <a16:creationId xmlns:a16="http://schemas.microsoft.com/office/drawing/2014/main" id="{00000000-0008-0000-0300-0000D2260000}"/>
            </a:ext>
          </a:extLst>
        </xdr:cNvPr>
        <xdr:cNvPicPr>
          <a:picLocks noChangeAspect="1"/>
        </xdr:cNvPicPr>
      </xdr:nvPicPr>
      <xdr:blipFill>
        <a:blip xmlns:r="http://schemas.openxmlformats.org/officeDocument/2006/relationships" r:embed="rId71"/>
        <a:stretch>
          <a:fillRect/>
        </a:stretch>
      </xdr:blipFill>
      <xdr:spPr>
        <a:xfrm>
          <a:off x="3368040" y="77064870"/>
          <a:ext cx="3954360" cy="3252878"/>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9" name="Imagen 6">
          <a:extLst>
            <a:ext uri="{FF2B5EF4-FFF2-40B4-BE49-F238E27FC236}">
              <a16:creationId xmlns:a16="http://schemas.microsoft.com/office/drawing/2014/main" id="{00000000-0008-0000-0300-0000D3260000}"/>
            </a:ext>
          </a:extLst>
        </xdr:cNvPr>
        <xdr:cNvPicPr>
          <a:picLocks noChangeAspect="1"/>
        </xdr:cNvPicPr>
      </xdr:nvPicPr>
      <xdr:blipFill>
        <a:blip xmlns:r="http://schemas.openxmlformats.org/officeDocument/2006/relationships" r:embed="rId72"/>
        <a:stretch>
          <a:fillRect/>
        </a:stretch>
      </xdr:blipFill>
      <xdr:spPr>
        <a:xfrm>
          <a:off x="12344400" y="57150"/>
          <a:ext cx="2228850" cy="664427"/>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40" name="Imagen 7">
          <a:extLst>
            <a:ext uri="{FF2B5EF4-FFF2-40B4-BE49-F238E27FC236}">
              <a16:creationId xmlns:a16="http://schemas.microsoft.com/office/drawing/2014/main" id="{00000000-0008-0000-0300-0000D4260000}"/>
            </a:ext>
          </a:extLst>
        </xdr:cNvPr>
        <xdr:cNvPicPr>
          <a:picLocks noChangeAspect="1"/>
        </xdr:cNvPicPr>
      </xdr:nvPicPr>
      <xdr:blipFill>
        <a:blip xmlns:r="http://schemas.openxmlformats.org/officeDocument/2006/relationships" r:embed="rId73"/>
        <a:stretch>
          <a:fillRect/>
        </a:stretch>
      </xdr:blipFill>
      <xdr:spPr>
        <a:xfrm>
          <a:off x="1638300" y="0"/>
          <a:ext cx="1590675" cy="684472"/>
        </a:xfrm>
        <a:prstGeom prst="rect">
          <a:avLst/>
        </a:prstGeom>
      </xdr:spPr>
    </xdr:pic>
    <xdr:clientData/>
  </xdr:twoCellAnchor>
  <xdr:twoCellAnchor>
    <xdr:from>
      <xdr:col>1</xdr:col>
      <xdr:colOff>638174</xdr:colOff>
      <xdr:row>243</xdr:row>
      <xdr:rowOff>95253</xdr:rowOff>
    </xdr:from>
    <xdr:to>
      <xdr:col>16</xdr:col>
      <xdr:colOff>278374</xdr:colOff>
      <xdr:row>251</xdr:row>
      <xdr:rowOff>119253</xdr:rowOff>
    </xdr:to>
    <xdr:grpSp>
      <xdr:nvGrpSpPr>
        <xdr:cNvPr id="12263" name="Grupo 333">
          <a:extLst>
            <a:ext uri="{FF2B5EF4-FFF2-40B4-BE49-F238E27FC236}">
              <a16:creationId xmlns:a16="http://schemas.microsoft.com/office/drawing/2014/main" id="{00000000-0008-0000-0300-0000E72F0000}"/>
            </a:ext>
          </a:extLst>
        </xdr:cNvPr>
        <xdr:cNvGrpSpPr/>
      </xdr:nvGrpSpPr>
      <xdr:grpSpPr>
        <a:xfrm>
          <a:off x="2019299" y="47053503"/>
          <a:ext cx="11070200" cy="1548000"/>
          <a:chOff x="2143124" y="30260925"/>
          <a:chExt cx="11070200" cy="1462677"/>
        </a:xfrm>
      </xdr:grpSpPr>
      <xdr:grpSp>
        <xdr:nvGrpSpPr>
          <xdr:cNvPr id="12264" name="Grupo 334">
            <a:extLst>
              <a:ext uri="{FF2B5EF4-FFF2-40B4-BE49-F238E27FC236}">
                <a16:creationId xmlns:a16="http://schemas.microsoft.com/office/drawing/2014/main" id="{00000000-0008-0000-0300-0000E82F0000}"/>
              </a:ext>
            </a:extLst>
          </xdr:cNvPr>
          <xdr:cNvGrpSpPr/>
        </xdr:nvGrpSpPr>
        <xdr:grpSpPr>
          <a:xfrm>
            <a:off x="2143124" y="30260925"/>
            <a:ext cx="11070200" cy="1462677"/>
            <a:chOff x="2171699" y="29918025"/>
            <a:chExt cx="11070200" cy="1462677"/>
          </a:xfrm>
        </xdr:grpSpPr>
        <xdr:sp macro="" textlink="">
          <xdr:nvSpPr>
            <xdr:cNvPr id="12265" name="Rectángulo: esquinas redondeadas 336">
              <a:extLst>
                <a:ext uri="{FF2B5EF4-FFF2-40B4-BE49-F238E27FC236}">
                  <a16:creationId xmlns:a16="http://schemas.microsoft.com/office/drawing/2014/main" id="{00000000-0008-0000-0300-0000E92F0000}"/>
                </a:ext>
              </a:extLst>
            </xdr:cNvPr>
            <xdr:cNvSpPr/>
          </xdr:nvSpPr>
          <xdr:spPr>
            <a:xfrm>
              <a:off x="2171699" y="300132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66" name="Diagrama de flujo: conector 339">
              <a:extLst>
                <a:ext uri="{FF2B5EF4-FFF2-40B4-BE49-F238E27FC236}">
                  <a16:creationId xmlns:a16="http://schemas.microsoft.com/office/drawing/2014/main" id="{00000000-0008-0000-0300-0000EA2F0000}"/>
                </a:ext>
              </a:extLst>
            </xdr:cNvPr>
            <xdr:cNvSpPr/>
          </xdr:nvSpPr>
          <xdr:spPr>
            <a:xfrm>
              <a:off x="11693899" y="29918025"/>
              <a:ext cx="1548000" cy="1462677"/>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67" name="CuadroTexto 338">
              <a:extLst>
                <a:ext uri="{FF2B5EF4-FFF2-40B4-BE49-F238E27FC236}">
                  <a16:creationId xmlns:a16="http://schemas.microsoft.com/office/drawing/2014/main" id="{00000000-0008-0000-0300-0000EB2F0000}"/>
                </a:ext>
              </a:extLst>
            </xdr:cNvPr>
            <xdr:cNvSpPr txBox="1"/>
          </xdr:nvSpPr>
          <xdr:spPr>
            <a:xfrm>
              <a:off x="2682687" y="30249719"/>
              <a:ext cx="8642538" cy="809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MX" sz="1200"/>
                <a:t>Es sector bosques tiene como objetivo </a:t>
              </a:r>
              <a:r>
                <a:rPr lang="es-MX" sz="1200" b="1">
                  <a:solidFill>
                    <a:schemeClr val="accent2">
                      <a:lumMod val="75000"/>
                    </a:schemeClr>
                  </a:solidFill>
                </a:rPr>
                <a:t>aumentar la captura de carbono</a:t>
              </a:r>
              <a:r>
                <a:rPr lang="es-MX" sz="1200" b="1">
                  <a:solidFill>
                    <a:sysClr val="windowText" lastClr="000000"/>
                  </a:solidFill>
                </a:rPr>
                <a:t>,</a:t>
              </a:r>
              <a:r>
                <a:rPr lang="es-MX" sz="1200" b="1">
                  <a:solidFill>
                    <a:schemeClr val="accent2">
                      <a:lumMod val="75000"/>
                    </a:schemeClr>
                  </a:solidFill>
                </a:rPr>
                <a:t> </a:t>
              </a:r>
              <a:r>
                <a:rPr lang="es-MX" sz="1200"/>
                <a:t>a través del impulso de las plantaciones comerciales, así como, la </a:t>
              </a:r>
              <a:r>
                <a:rPr lang="es-MX" sz="1200" b="1">
                  <a:solidFill>
                    <a:schemeClr val="accent2">
                      <a:lumMod val="75000"/>
                    </a:schemeClr>
                  </a:solidFill>
                </a:rPr>
                <a:t>disminución de las emisiones por deforestación</a:t>
              </a:r>
              <a:r>
                <a:rPr lang="es-MX" sz="1200" b="1">
                  <a:solidFill>
                    <a:sysClr val="windowText" lastClr="000000"/>
                  </a:solidFill>
                </a:rPr>
                <a:t>.</a:t>
              </a:r>
              <a:endParaRPr lang="es-MX" sz="1200" b="1">
                <a:solidFill>
                  <a:sysClr val="windowText" lastClr="000000"/>
                </a:solidFill>
                <a:effectLst/>
                <a:latin typeface="+mn-lt"/>
                <a:ea typeface="+mn-ea"/>
                <a:cs typeface="+mn-cs"/>
              </a:endParaRPr>
            </a:p>
          </xdr:txBody>
        </xdr:sp>
      </xdr:grpSp>
      <xdr:sp macro="" textlink="">
        <xdr:nvSpPr>
          <xdr:cNvPr id="12268" name="CuadroTexto 335">
            <a:extLst>
              <a:ext uri="{FF2B5EF4-FFF2-40B4-BE49-F238E27FC236}">
                <a16:creationId xmlns:a16="http://schemas.microsoft.com/office/drawing/2014/main" id="{00000000-0008-0000-0300-0000EC2F0000}"/>
              </a:ext>
            </a:extLst>
          </xdr:cNvPr>
          <xdr:cNvSpPr txBox="1"/>
        </xdr:nvSpPr>
        <xdr:spPr>
          <a:xfrm rot="16200000">
            <a:off x="1827411" y="30812363"/>
            <a:ext cx="100726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BOSQUES</a:t>
            </a:r>
          </a:p>
        </xdr:txBody>
      </xdr:sp>
    </xdr:grpSp>
    <xdr:clientData/>
  </xdr:twoCellAnchor>
  <xdr:oneCellAnchor>
    <xdr:from>
      <xdr:col>11</xdr:col>
      <xdr:colOff>156602</xdr:colOff>
      <xdr:row>263</xdr:row>
      <xdr:rowOff>266699</xdr:rowOff>
    </xdr:from>
    <xdr:ext cx="3492000" cy="3571875"/>
    <xdr:sp macro="" textlink="">
      <xdr:nvSpPr>
        <xdr:cNvPr id="12272" name="CuadroTexto 9594">
          <a:extLst>
            <a:ext uri="{FF2B5EF4-FFF2-40B4-BE49-F238E27FC236}">
              <a16:creationId xmlns:a16="http://schemas.microsoft.com/office/drawing/2014/main" id="{00000000-0008-0000-0300-0000F02F0000}"/>
            </a:ext>
          </a:extLst>
        </xdr:cNvPr>
        <xdr:cNvSpPr txBox="1"/>
      </xdr:nvSpPr>
      <xdr:spPr>
        <a:xfrm>
          <a:off x="9157727" y="48053624"/>
          <a:ext cx="3492000" cy="3571875"/>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El sector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Energía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es un sector que interacciona con el resto de los sectores considerados en esta Calculadora. Por un lado, en este se identifica la demanda de energía provista a partir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combustibles fósiles (resultado de la refinación de crudo, de la exploración de gas natural y carbón);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así como de la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bioenergía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que es energía renovable resultado  del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aprovechamiento energético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de los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residuos orgánicos, agrícolas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y del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estiércol</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 energía que no es consumida por estos sectores de esta Calculadora se considera como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excedentes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energéticos,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lo que implica que se consume en otras actividades fuera de las incluidas en esta herramienta. La energía requerida adicional que demandan estos sectores se define como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requerimientos energéticos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t>
          </a:r>
        </a:p>
      </xdr:txBody>
    </xdr:sp>
    <xdr:clientData/>
  </xdr:oneCellAnchor>
  <xdr:twoCellAnchor editAs="oneCell">
    <xdr:from>
      <xdr:col>14</xdr:col>
      <xdr:colOff>533400</xdr:colOff>
      <xdr:row>244</xdr:row>
      <xdr:rowOff>152400</xdr:rowOff>
    </xdr:from>
    <xdr:to>
      <xdr:col>16</xdr:col>
      <xdr:colOff>15240</xdr:colOff>
      <xdr:row>250</xdr:row>
      <xdr:rowOff>99966</xdr:rowOff>
    </xdr:to>
    <xdr:pic>
      <xdr:nvPicPr>
        <xdr:cNvPr id="12269" name="Gráfico 9767" descr="Selva tropical con relleno sólido">
          <a:extLst>
            <a:ext uri="{FF2B5EF4-FFF2-40B4-BE49-F238E27FC236}">
              <a16:creationId xmlns:a16="http://schemas.microsoft.com/office/drawing/2014/main" id="{00000000-0008-0000-0300-0000ED2F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 uri="{96DAC541-7B7A-43D3-8B79-37D633B846F1}">
              <asvg:svgBlip xmlns:asvg="http://schemas.microsoft.com/office/drawing/2016/SVG/main" r:embed="rId79"/>
            </a:ext>
          </a:extLst>
        </a:blip>
        <a:stretch>
          <a:fillRect/>
        </a:stretch>
      </xdr:blipFill>
      <xdr:spPr>
        <a:xfrm>
          <a:off x="11820525" y="45691425"/>
          <a:ext cx="1051560" cy="1044846"/>
        </a:xfrm>
        <a:prstGeom prst="rect">
          <a:avLst/>
        </a:prstGeom>
      </xdr:spPr>
    </xdr:pic>
    <xdr:clientData/>
  </xdr:twoCellAnchor>
  <xdr:twoCellAnchor editAs="oneCell">
    <xdr:from>
      <xdr:col>12</xdr:col>
      <xdr:colOff>9525</xdr:colOff>
      <xdr:row>7</xdr:row>
      <xdr:rowOff>133350</xdr:rowOff>
    </xdr:from>
    <xdr:to>
      <xdr:col>17</xdr:col>
      <xdr:colOff>501935</xdr:colOff>
      <xdr:row>18</xdr:row>
      <xdr:rowOff>9526</xdr:rowOff>
    </xdr:to>
    <xdr:pic>
      <xdr:nvPicPr>
        <xdr:cNvPr id="9731" name="Imagen 9730" descr="imagen">
          <a:hlinkClick xmlns:r="http://schemas.openxmlformats.org/officeDocument/2006/relationships" r:id="rId88"/>
          <a:extLst>
            <a:ext uri="{FF2B5EF4-FFF2-40B4-BE49-F238E27FC236}">
              <a16:creationId xmlns:a16="http://schemas.microsoft.com/office/drawing/2014/main" id="{00000000-0008-0000-0300-000003260000}"/>
            </a:ext>
          </a:extLst>
        </xdr:cNvPr>
        <xdr:cNvPicPr>
          <a:picLocks noChangeAspect="1" noChangeArrowheads="1"/>
        </xdr:cNvPicPr>
      </xdr:nvPicPr>
      <xdr:blipFill rotWithShape="1">
        <a:blip xmlns:r="http://schemas.openxmlformats.org/officeDocument/2006/relationships" r:embed="rId90" cstate="print">
          <a:extLst>
            <a:ext uri="{28A0092B-C50C-407E-A947-70E740481C1C}">
              <a14:useLocalDpi xmlns:a14="http://schemas.microsoft.com/office/drawing/2010/main" val="0"/>
            </a:ext>
          </a:extLst>
        </a:blip>
        <a:srcRect t="13151" b="5339"/>
        <a:stretch/>
      </xdr:blipFill>
      <xdr:spPr bwMode="auto">
        <a:xfrm>
          <a:off x="9772650" y="1466850"/>
          <a:ext cx="4302410" cy="1971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169</xdr:row>
      <xdr:rowOff>0</xdr:rowOff>
    </xdr:from>
    <xdr:to>
      <xdr:col>16</xdr:col>
      <xdr:colOff>283277</xdr:colOff>
      <xdr:row>177</xdr:row>
      <xdr:rowOff>181284</xdr:rowOff>
    </xdr:to>
    <xdr:grpSp>
      <xdr:nvGrpSpPr>
        <xdr:cNvPr id="23" name="Grupo 22">
          <a:extLst>
            <a:ext uri="{FF2B5EF4-FFF2-40B4-BE49-F238E27FC236}">
              <a16:creationId xmlns:a16="http://schemas.microsoft.com/office/drawing/2014/main" id="{00000000-0008-0000-0300-000017000000}"/>
            </a:ext>
          </a:extLst>
        </xdr:cNvPr>
        <xdr:cNvGrpSpPr/>
      </xdr:nvGrpSpPr>
      <xdr:grpSpPr>
        <a:xfrm>
          <a:off x="2143125" y="32777906"/>
          <a:ext cx="10951277" cy="1752909"/>
          <a:chOff x="2114549" y="31141535"/>
          <a:chExt cx="10951277" cy="1752909"/>
        </a:xfrm>
      </xdr:grpSpPr>
      <xdr:grpSp>
        <xdr:nvGrpSpPr>
          <xdr:cNvPr id="25" name="Grupo 24">
            <a:extLst>
              <a:ext uri="{FF2B5EF4-FFF2-40B4-BE49-F238E27FC236}">
                <a16:creationId xmlns:a16="http://schemas.microsoft.com/office/drawing/2014/main" id="{00000000-0008-0000-0300-000019000000}"/>
              </a:ext>
            </a:extLst>
          </xdr:cNvPr>
          <xdr:cNvGrpSpPr/>
        </xdr:nvGrpSpPr>
        <xdr:grpSpPr>
          <a:xfrm>
            <a:off x="2114549" y="31141535"/>
            <a:ext cx="10951277" cy="1752909"/>
            <a:chOff x="2143124" y="30293402"/>
            <a:chExt cx="10951277" cy="1341441"/>
          </a:xfrm>
        </xdr:grpSpPr>
        <xdr:grpSp>
          <xdr:nvGrpSpPr>
            <xdr:cNvPr id="100" name="Grupo 99">
              <a:extLst>
                <a:ext uri="{FF2B5EF4-FFF2-40B4-BE49-F238E27FC236}">
                  <a16:creationId xmlns:a16="http://schemas.microsoft.com/office/drawing/2014/main" id="{00000000-0008-0000-0300-000064000000}"/>
                </a:ext>
              </a:extLst>
            </xdr:cNvPr>
            <xdr:cNvGrpSpPr/>
          </xdr:nvGrpSpPr>
          <xdr:grpSpPr>
            <a:xfrm>
              <a:off x="2143124" y="30318074"/>
              <a:ext cx="10951277" cy="1203898"/>
              <a:chOff x="2171699" y="29975174"/>
              <a:chExt cx="10951277" cy="1203898"/>
            </a:xfrm>
          </xdr:grpSpPr>
          <xdr:sp macro="" textlink="">
            <xdr:nvSpPr>
              <xdr:cNvPr id="102" name="Rectángulo: esquinas redondeadas 101">
                <a:extLst>
                  <a:ext uri="{FF2B5EF4-FFF2-40B4-BE49-F238E27FC236}">
                    <a16:creationId xmlns:a16="http://schemas.microsoft.com/office/drawing/2014/main" id="{00000000-0008-0000-0300-000066000000}"/>
                  </a:ext>
                </a:extLst>
              </xdr:cNvPr>
              <xdr:cNvSpPr/>
            </xdr:nvSpPr>
            <xdr:spPr>
              <a:xfrm>
                <a:off x="2171699" y="29975174"/>
                <a:ext cx="10591801" cy="1203898"/>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03" name="Diagrama de flujo: conector 102">
                <a:extLst>
                  <a:ext uri="{FF2B5EF4-FFF2-40B4-BE49-F238E27FC236}">
                    <a16:creationId xmlns:a16="http://schemas.microsoft.com/office/drawing/2014/main" id="{00000000-0008-0000-0300-000067000000}"/>
                  </a:ext>
                </a:extLst>
              </xdr:cNvPr>
              <xdr:cNvSpPr/>
            </xdr:nvSpPr>
            <xdr:spPr>
              <a:xfrm>
                <a:off x="11610976" y="29976354"/>
                <a:ext cx="1512000" cy="1184632"/>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04" name="CuadroTexto 103">
                <a:extLst>
                  <a:ext uri="{FF2B5EF4-FFF2-40B4-BE49-F238E27FC236}">
                    <a16:creationId xmlns:a16="http://schemas.microsoft.com/office/drawing/2014/main" id="{00000000-0008-0000-0300-000068000000}"/>
                  </a:ext>
                </a:extLst>
              </xdr:cNvPr>
              <xdr:cNvSpPr txBox="1"/>
            </xdr:nvSpPr>
            <xdr:spPr>
              <a:xfrm>
                <a:off x="2666999" y="30004490"/>
                <a:ext cx="8943976" cy="1138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eaLnBrk="1" fontAlgn="auto" latinLnBrk="0" hangingPunct="1"/>
                <a:r>
                  <a:rPr lang="es-ES" sz="1200" b="0" i="0">
                    <a:solidFill>
                      <a:schemeClr val="tx1"/>
                    </a:solidFill>
                    <a:effectLst/>
                    <a:latin typeface="+mn-lt"/>
                    <a:ea typeface="+mn-ea"/>
                    <a:cs typeface="+mn-cs"/>
                  </a:rPr>
                  <a:t>El sector energía se divide en producción de hidrocarburos y bioenergía. Con relación a la producción de hidrocarburos se considera una mejora en la eficiencia energética en la refinación del crudo, por lo que se estima, una mejor refinación del crudo para la producción de combustibles fósiles. Asimismo, se tuvieron</a:t>
                </a:r>
                <a:r>
                  <a:rPr lang="es-ES" sz="1200" b="0" i="0" baseline="0">
                    <a:solidFill>
                      <a:schemeClr val="tx1"/>
                    </a:solidFill>
                    <a:effectLst/>
                    <a:latin typeface="+mn-lt"/>
                    <a:ea typeface="+mn-ea"/>
                    <a:cs typeface="+mn-cs"/>
                  </a:rPr>
                  <a:t> en cuenta</a:t>
                </a:r>
                <a:r>
                  <a:rPr lang="es-ES" sz="1200" b="0" i="0">
                    <a:solidFill>
                      <a:schemeClr val="tx1"/>
                    </a:solidFill>
                    <a:effectLst/>
                    <a:latin typeface="+mn-lt"/>
                    <a:ea typeface="+mn-ea"/>
                    <a:cs typeface="+mn-cs"/>
                  </a:rPr>
                  <a:t>, las mejoras en la extracción de gas natural y carbón, combustibles también considerados como primarios y utilizados en sectores como la Electricidad para abastecer del servicio a los diferentes usuarios en Colombia.</a:t>
                </a:r>
              </a:p>
              <a:p>
                <a:pPr eaLnBrk="1" fontAlgn="auto" latinLnBrk="0" hangingPunct="1"/>
                <a:r>
                  <a:rPr lang="es-ES" sz="1200" b="0" i="0">
                    <a:solidFill>
                      <a:schemeClr val="tx1"/>
                    </a:solidFill>
                    <a:effectLst/>
                    <a:latin typeface="+mn-lt"/>
                    <a:ea typeface="+mn-ea"/>
                    <a:cs typeface="+mn-cs"/>
                  </a:rPr>
                  <a:t>Otro insumo importante de energía es la producción de bioenergía resultado de la transformación de insumos (biomasa) provenientes del sector Agricultura, que son transformados para su aprovechamiento energético en el sector Industria, o el biogás resultante de la degradación de la fracción orgánica de los residuos sólidos, utilizada para generar electricidad para el propia abastecimiento en rellenos sanitarios.</a:t>
                </a:r>
              </a:p>
            </xdr:txBody>
          </xdr:sp>
        </xdr:grpSp>
        <xdr:sp macro="" textlink="">
          <xdr:nvSpPr>
            <xdr:cNvPr id="101" name="CuadroTexto 100">
              <a:extLst>
                <a:ext uri="{FF2B5EF4-FFF2-40B4-BE49-F238E27FC236}">
                  <a16:creationId xmlns:a16="http://schemas.microsoft.com/office/drawing/2014/main" id="{00000000-0008-0000-0300-000065000000}"/>
                </a:ext>
              </a:extLst>
            </xdr:cNvPr>
            <xdr:cNvSpPr txBox="1"/>
          </xdr:nvSpPr>
          <xdr:spPr>
            <a:xfrm rot="16200000">
              <a:off x="1707948" y="30730116"/>
              <a:ext cx="134144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ENERGÍA</a:t>
              </a:r>
            </a:p>
            <a:p>
              <a:pPr algn="ctr"/>
              <a:r>
                <a:rPr lang="es-ES" sz="800" b="1">
                  <a:solidFill>
                    <a:schemeClr val="accent2">
                      <a:lumMod val="75000"/>
                    </a:schemeClr>
                  </a:solidFill>
                </a:rPr>
                <a:t>Combustibles</a:t>
              </a:r>
              <a:r>
                <a:rPr lang="es-ES" sz="800" b="1" baseline="0">
                  <a:solidFill>
                    <a:schemeClr val="accent2">
                      <a:lumMod val="75000"/>
                    </a:schemeClr>
                  </a:solidFill>
                </a:rPr>
                <a:t> fósiles y Bioenergía</a:t>
              </a:r>
              <a:endParaRPr lang="es-ES" sz="700" b="1">
                <a:solidFill>
                  <a:schemeClr val="accent2">
                    <a:lumMod val="75000"/>
                  </a:schemeClr>
                </a:solidFill>
              </a:endParaRPr>
            </a:p>
          </xdr:txBody>
        </xdr:sp>
      </xdr:grpSp>
      <xdr:pic>
        <xdr:nvPicPr>
          <xdr:cNvPr id="26" name="Gráfico 4" descr="Batería en carga con relleno sólido">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 uri="{96DAC541-7B7A-43D3-8B79-37D633B846F1}">
                <asvg:svgBlip xmlns:asvg="http://schemas.microsoft.com/office/drawing/2016/SVG/main" r:embed="rId85"/>
              </a:ext>
            </a:extLst>
          </a:blip>
          <a:stretch>
            <a:fillRect/>
          </a:stretch>
        </xdr:blipFill>
        <xdr:spPr>
          <a:xfrm>
            <a:off x="11792880" y="31299149"/>
            <a:ext cx="1075686" cy="1042035"/>
          </a:xfrm>
          <a:prstGeom prst="rect">
            <a:avLst/>
          </a:prstGeom>
        </xdr:spPr>
      </xdr:pic>
    </xdr:grpSp>
    <xdr:clientData/>
  </xdr:twoCellAnchor>
  <xdr:twoCellAnchor>
    <xdr:from>
      <xdr:col>2</xdr:col>
      <xdr:colOff>11906</xdr:colOff>
      <xdr:row>178</xdr:row>
      <xdr:rowOff>95250</xdr:rowOff>
    </xdr:from>
    <xdr:to>
      <xdr:col>16</xdr:col>
      <xdr:colOff>361438</xdr:colOff>
      <xdr:row>186</xdr:row>
      <xdr:rowOff>165072</xdr:rowOff>
    </xdr:to>
    <xdr:grpSp>
      <xdr:nvGrpSpPr>
        <xdr:cNvPr id="108" name="Grupo 107">
          <a:extLst>
            <a:ext uri="{FF2B5EF4-FFF2-40B4-BE49-F238E27FC236}">
              <a16:creationId xmlns:a16="http://schemas.microsoft.com/office/drawing/2014/main" id="{00000000-0008-0000-0300-00006C000000}"/>
            </a:ext>
          </a:extLst>
        </xdr:cNvPr>
        <xdr:cNvGrpSpPr/>
      </xdr:nvGrpSpPr>
      <xdr:grpSpPr>
        <a:xfrm>
          <a:off x="2155031" y="34635281"/>
          <a:ext cx="11017532" cy="1593822"/>
          <a:chOff x="2076449" y="32956499"/>
          <a:chExt cx="11017532" cy="1593822"/>
        </a:xfrm>
      </xdr:grpSpPr>
      <xdr:grpSp>
        <xdr:nvGrpSpPr>
          <xdr:cNvPr id="109" name="Grupo 301">
            <a:extLst>
              <a:ext uri="{FF2B5EF4-FFF2-40B4-BE49-F238E27FC236}">
                <a16:creationId xmlns:a16="http://schemas.microsoft.com/office/drawing/2014/main" id="{00000000-0008-0000-0300-00006D000000}"/>
              </a:ext>
            </a:extLst>
          </xdr:cNvPr>
          <xdr:cNvGrpSpPr/>
        </xdr:nvGrpSpPr>
        <xdr:grpSpPr>
          <a:xfrm>
            <a:off x="2076449" y="32956499"/>
            <a:ext cx="11017532" cy="1593822"/>
            <a:chOff x="2143124" y="30070424"/>
            <a:chExt cx="11017532" cy="1593822"/>
          </a:xfrm>
        </xdr:grpSpPr>
        <xdr:grpSp>
          <xdr:nvGrpSpPr>
            <xdr:cNvPr id="115" name="Grupo 302">
              <a:extLst>
                <a:ext uri="{FF2B5EF4-FFF2-40B4-BE49-F238E27FC236}">
                  <a16:creationId xmlns:a16="http://schemas.microsoft.com/office/drawing/2014/main" id="{00000000-0008-0000-0300-000073000000}"/>
                </a:ext>
              </a:extLst>
            </xdr:cNvPr>
            <xdr:cNvGrpSpPr/>
          </xdr:nvGrpSpPr>
          <xdr:grpSpPr>
            <a:xfrm>
              <a:off x="2143124" y="30070424"/>
              <a:ext cx="11017532" cy="1548000"/>
              <a:chOff x="2171699" y="29727524"/>
              <a:chExt cx="11017532" cy="1548000"/>
            </a:xfrm>
          </xdr:grpSpPr>
          <xdr:sp macro="" textlink="">
            <xdr:nvSpPr>
              <xdr:cNvPr id="117" name="Rectángulo: esquinas redondeadas 304">
                <a:extLst>
                  <a:ext uri="{FF2B5EF4-FFF2-40B4-BE49-F238E27FC236}">
                    <a16:creationId xmlns:a16="http://schemas.microsoft.com/office/drawing/2014/main" id="{00000000-0008-0000-0300-000075000000}"/>
                  </a:ext>
                </a:extLst>
              </xdr:cNvPr>
              <xdr:cNvSpPr/>
            </xdr:nvSpPr>
            <xdr:spPr>
              <a:xfrm>
                <a:off x="2171699" y="29868018"/>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 name="Diagrama de flujo: conector 307">
                <a:extLst>
                  <a:ext uri="{FF2B5EF4-FFF2-40B4-BE49-F238E27FC236}">
                    <a16:creationId xmlns:a16="http://schemas.microsoft.com/office/drawing/2014/main" id="{00000000-0008-0000-0300-00007A000000}"/>
                  </a:ext>
                </a:extLst>
              </xdr:cNvPr>
              <xdr:cNvSpPr/>
            </xdr:nvSpPr>
            <xdr:spPr>
              <a:xfrm>
                <a:off x="11641231" y="29727524"/>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 name="CuadroTexto 306">
                <a:extLst>
                  <a:ext uri="{FF2B5EF4-FFF2-40B4-BE49-F238E27FC236}">
                    <a16:creationId xmlns:a16="http://schemas.microsoft.com/office/drawing/2014/main" id="{00000000-0008-0000-0300-00007B000000}"/>
                  </a:ext>
                </a:extLst>
              </xdr:cNvPr>
              <xdr:cNvSpPr txBox="1"/>
            </xdr:nvSpPr>
            <xdr:spPr>
              <a:xfrm>
                <a:off x="2693893" y="29969572"/>
                <a:ext cx="8821832" cy="1171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1200">
                    <a:solidFill>
                      <a:schemeClr val="tx1"/>
                    </a:solidFill>
                    <a:effectLst/>
                    <a:latin typeface="+mn-lt"/>
                    <a:ea typeface="+mn-ea"/>
                    <a:cs typeface="+mn-cs"/>
                  </a:rPr>
                  <a:t>Este sector muestra la matriz de generación de electricidad en Colombia, es decir, la integración de las diferentes fuentes de energía, fósil y renovable con que se produce la electricidad necesaria para satisfacer la demanda del país. Se hace una distinción entre la electricidad generada por el Sistema Interconectado Nacional (SIN) y la autogeneración realizada en diferentes sectores, que contribuye a la reducción de la demanda al sistema.</a:t>
                </a:r>
              </a:p>
              <a:p>
                <a:r>
                  <a:rPr lang="es-MX" sz="1200">
                    <a:solidFill>
                      <a:schemeClr val="tx1"/>
                    </a:solidFill>
                    <a:effectLst/>
                    <a:latin typeface="+mn-lt"/>
                    <a:ea typeface="+mn-ea"/>
                    <a:cs typeface="+mn-cs"/>
                  </a:rPr>
                  <a:t>Este módulo plantea una mayor participación de las energías renovables tanto en el SIN como en la autogeneración, contribuyendo a la descarbonización de la economía del país.</a:t>
                </a:r>
              </a:p>
            </xdr:txBody>
          </xdr:sp>
        </xdr:grpSp>
        <xdr:sp macro="" textlink="">
          <xdr:nvSpPr>
            <xdr:cNvPr id="116" name="CuadroTexto 303">
              <a:extLst>
                <a:ext uri="{FF2B5EF4-FFF2-40B4-BE49-F238E27FC236}">
                  <a16:creationId xmlns:a16="http://schemas.microsoft.com/office/drawing/2014/main" id="{00000000-0008-0000-0300-000074000000}"/>
                </a:ext>
              </a:extLst>
            </xdr:cNvPr>
            <xdr:cNvSpPr txBox="1"/>
          </xdr:nvSpPr>
          <xdr:spPr>
            <a:xfrm rot="16200000">
              <a:off x="1679129" y="30702123"/>
              <a:ext cx="1456232"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ENERGÍA</a:t>
              </a:r>
            </a:p>
            <a:p>
              <a:pPr algn="ctr"/>
              <a:r>
                <a:rPr lang="es-ES" sz="800" b="1">
                  <a:solidFill>
                    <a:schemeClr val="accent2">
                      <a:lumMod val="75000"/>
                    </a:schemeClr>
                  </a:solidFill>
                </a:rPr>
                <a:t>Electricidad</a:t>
              </a:r>
              <a:r>
                <a:rPr lang="es-ES" sz="800" b="1" baseline="0">
                  <a:solidFill>
                    <a:schemeClr val="accent2">
                      <a:lumMod val="75000"/>
                    </a:schemeClr>
                  </a:solidFill>
                </a:rPr>
                <a:t> y Autogeneración</a:t>
              </a:r>
              <a:endParaRPr lang="es-ES" sz="800" b="1">
                <a:solidFill>
                  <a:schemeClr val="accent2">
                    <a:lumMod val="75000"/>
                  </a:schemeClr>
                </a:solidFill>
              </a:endParaRPr>
            </a:p>
          </xdr:txBody>
        </xdr:sp>
      </xdr:grpSp>
      <xdr:pic>
        <xdr:nvPicPr>
          <xdr:cNvPr id="110" name="Gráfico 109" descr="Alta tensión con relleno sólido">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 uri="{96DAC541-7B7A-43D3-8B79-37D633B846F1}">
                <asvg:svgBlip xmlns:asvg="http://schemas.microsoft.com/office/drawing/2016/SVG/main" r:embed="rId83"/>
              </a:ext>
            </a:extLst>
          </a:blip>
          <a:stretch>
            <a:fillRect/>
          </a:stretch>
        </xdr:blipFill>
        <xdr:spPr>
          <a:xfrm>
            <a:off x="11789796" y="33072169"/>
            <a:ext cx="1137870" cy="1141043"/>
          </a:xfrm>
          <a:prstGeom prst="rect">
            <a:avLst/>
          </a:prstGeom>
        </xdr:spPr>
      </xdr:pic>
    </xdr:grpSp>
    <xdr:clientData/>
  </xdr:twoCellAnchor>
  <xdr:twoCellAnchor>
    <xdr:from>
      <xdr:col>1</xdr:col>
      <xdr:colOff>690563</xdr:colOff>
      <xdr:row>224</xdr:row>
      <xdr:rowOff>71437</xdr:rowOff>
    </xdr:from>
    <xdr:to>
      <xdr:col>16</xdr:col>
      <xdr:colOff>196988</xdr:colOff>
      <xdr:row>232</xdr:row>
      <xdr:rowOff>72249</xdr:rowOff>
    </xdr:to>
    <xdr:grpSp>
      <xdr:nvGrpSpPr>
        <xdr:cNvPr id="156" name="Grupo 155">
          <a:extLst>
            <a:ext uri="{FF2B5EF4-FFF2-40B4-BE49-F238E27FC236}">
              <a16:creationId xmlns:a16="http://schemas.microsoft.com/office/drawing/2014/main" id="{00000000-0008-0000-0300-00009C000000}"/>
            </a:ext>
          </a:extLst>
        </xdr:cNvPr>
        <xdr:cNvGrpSpPr/>
      </xdr:nvGrpSpPr>
      <xdr:grpSpPr>
        <a:xfrm>
          <a:off x="2071688" y="43410187"/>
          <a:ext cx="10936425" cy="1524812"/>
          <a:chOff x="2076449" y="41868713"/>
          <a:chExt cx="10936425" cy="1524812"/>
        </a:xfrm>
      </xdr:grpSpPr>
      <xdr:grpSp>
        <xdr:nvGrpSpPr>
          <xdr:cNvPr id="157" name="Grupo 341">
            <a:extLst>
              <a:ext uri="{FF2B5EF4-FFF2-40B4-BE49-F238E27FC236}">
                <a16:creationId xmlns:a16="http://schemas.microsoft.com/office/drawing/2014/main" id="{00000000-0008-0000-0300-00009D000000}"/>
              </a:ext>
            </a:extLst>
          </xdr:cNvPr>
          <xdr:cNvGrpSpPr/>
        </xdr:nvGrpSpPr>
        <xdr:grpSpPr>
          <a:xfrm>
            <a:off x="2076449" y="41868713"/>
            <a:ext cx="10936425" cy="1524812"/>
            <a:chOff x="2143124" y="30318073"/>
            <a:chExt cx="10936425" cy="1322728"/>
          </a:xfrm>
        </xdr:grpSpPr>
        <xdr:grpSp>
          <xdr:nvGrpSpPr>
            <xdr:cNvPr id="159" name="Grupo 342">
              <a:extLst>
                <a:ext uri="{FF2B5EF4-FFF2-40B4-BE49-F238E27FC236}">
                  <a16:creationId xmlns:a16="http://schemas.microsoft.com/office/drawing/2014/main" id="{00000000-0008-0000-0300-00009F000000}"/>
                </a:ext>
              </a:extLst>
            </xdr:cNvPr>
            <xdr:cNvGrpSpPr/>
          </xdr:nvGrpSpPr>
          <xdr:grpSpPr>
            <a:xfrm>
              <a:off x="2143124" y="30318073"/>
              <a:ext cx="10936425" cy="1322728"/>
              <a:chOff x="2171699" y="29975173"/>
              <a:chExt cx="10936425" cy="1322728"/>
            </a:xfrm>
          </xdr:grpSpPr>
          <xdr:sp macro="" textlink="">
            <xdr:nvSpPr>
              <xdr:cNvPr id="162" name="Rectángulo: esquinas redondeadas 344">
                <a:extLst>
                  <a:ext uri="{FF2B5EF4-FFF2-40B4-BE49-F238E27FC236}">
                    <a16:creationId xmlns:a16="http://schemas.microsoft.com/office/drawing/2014/main" id="{00000000-0008-0000-0300-0000A2000000}"/>
                  </a:ext>
                </a:extLst>
              </xdr:cNvPr>
              <xdr:cNvSpPr/>
            </xdr:nvSpPr>
            <xdr:spPr>
              <a:xfrm>
                <a:off x="2171699" y="29975173"/>
                <a:ext cx="10591801" cy="1306202"/>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81" name="Diagrama de flujo: conector 347">
                <a:extLst>
                  <a:ext uri="{FF2B5EF4-FFF2-40B4-BE49-F238E27FC236}">
                    <a16:creationId xmlns:a16="http://schemas.microsoft.com/office/drawing/2014/main" id="{00000000-0008-0000-0300-0000B5000000}"/>
                  </a:ext>
                </a:extLst>
              </xdr:cNvPr>
              <xdr:cNvSpPr/>
            </xdr:nvSpPr>
            <xdr:spPr>
              <a:xfrm>
                <a:off x="11668124" y="30000656"/>
                <a:ext cx="1440000" cy="1249156"/>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82" name="CuadroTexto 346">
                <a:extLst>
                  <a:ext uri="{FF2B5EF4-FFF2-40B4-BE49-F238E27FC236}">
                    <a16:creationId xmlns:a16="http://schemas.microsoft.com/office/drawing/2014/main" id="{00000000-0008-0000-0300-0000B6000000}"/>
                  </a:ext>
                </a:extLst>
              </xdr:cNvPr>
              <xdr:cNvSpPr txBox="1"/>
            </xdr:nvSpPr>
            <xdr:spPr>
              <a:xfrm>
                <a:off x="2705099" y="30029111"/>
                <a:ext cx="8553451" cy="1268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1200">
                    <a:solidFill>
                      <a:schemeClr val="tx1"/>
                    </a:solidFill>
                    <a:effectLst/>
                    <a:latin typeface="+mn-lt"/>
                    <a:ea typeface="+mn-ea"/>
                    <a:cs typeface="+mn-cs"/>
                  </a:rPr>
                  <a:t>Este sector supone la reducción de sus emisiones de GEI impulsando </a:t>
                </a:r>
                <a:r>
                  <a:rPr lang="es-ES" sz="1200">
                    <a:solidFill>
                      <a:schemeClr val="tx1"/>
                    </a:solidFill>
                    <a:effectLst/>
                    <a:latin typeface="+mn-lt"/>
                    <a:ea typeface="+mn-ea"/>
                    <a:cs typeface="+mn-cs"/>
                  </a:rPr>
                  <a:t>la mejora en la productividad de sus principales cultivos a nivel nacional, incrementando con ello, su resiliencia ante los impactos del cambio climático. Para lo cual, se considera la implementación </a:t>
                </a:r>
                <a:r>
                  <a:rPr lang="es-MX" sz="1200">
                    <a:solidFill>
                      <a:schemeClr val="tx1"/>
                    </a:solidFill>
                    <a:effectLst/>
                    <a:latin typeface="+mn-lt"/>
                    <a:ea typeface="+mn-ea"/>
                    <a:cs typeface="+mn-cs"/>
                  </a:rPr>
                  <a:t>de: </a:t>
                </a:r>
                <a:r>
                  <a:rPr lang="es-MX" sz="1200" b="1">
                    <a:solidFill>
                      <a:schemeClr val="accent2">
                        <a:lumMod val="75000"/>
                      </a:schemeClr>
                    </a:solidFill>
                    <a:effectLst/>
                    <a:latin typeface="+mn-lt"/>
                    <a:ea typeface="+mn-ea"/>
                    <a:cs typeface="+mn-cs"/>
                  </a:rPr>
                  <a:t>mejores prácticas agrícolas, el aprovechamiento energético de la biomasa</a:t>
                </a:r>
                <a:r>
                  <a:rPr lang="es-MX" sz="1200">
                    <a:solidFill>
                      <a:schemeClr val="accent2">
                        <a:lumMod val="75000"/>
                      </a:schemeClr>
                    </a:solidFill>
                    <a:effectLst/>
                    <a:latin typeface="+mn-lt"/>
                    <a:ea typeface="+mn-ea"/>
                    <a:cs typeface="+mn-cs"/>
                  </a:rPr>
                  <a:t> </a:t>
                </a:r>
                <a:r>
                  <a:rPr lang="es-MX" sz="1200">
                    <a:solidFill>
                      <a:schemeClr val="tx1"/>
                    </a:solidFill>
                    <a:effectLst/>
                    <a:latin typeface="+mn-lt"/>
                    <a:ea typeface="+mn-ea"/>
                    <a:cs typeface="+mn-cs"/>
                  </a:rPr>
                  <a:t>y la dedicación de tierras a</a:t>
                </a:r>
                <a:r>
                  <a:rPr lang="es-MX" sz="1200" b="1">
                    <a:solidFill>
                      <a:schemeClr val="tx1"/>
                    </a:solidFill>
                    <a:effectLst/>
                    <a:latin typeface="+mn-lt"/>
                    <a:ea typeface="+mn-ea"/>
                    <a:cs typeface="+mn-cs"/>
                  </a:rPr>
                  <a:t> </a:t>
                </a:r>
                <a:r>
                  <a:rPr lang="es-MX" sz="1200" b="1">
                    <a:solidFill>
                      <a:schemeClr val="accent2">
                        <a:lumMod val="75000"/>
                      </a:schemeClr>
                    </a:solidFill>
                    <a:effectLst/>
                    <a:latin typeface="+mn-lt"/>
                    <a:ea typeface="+mn-ea"/>
                    <a:cs typeface="+mn-cs"/>
                  </a:rPr>
                  <a:t>cultivos dedicados a la producción de biocombustibles</a:t>
                </a:r>
                <a:r>
                  <a:rPr lang="es-MX" sz="1200" b="1">
                    <a:solidFill>
                      <a:schemeClr val="tx1"/>
                    </a:solidFill>
                    <a:effectLst/>
                    <a:latin typeface="+mn-lt"/>
                    <a:ea typeface="+mn-ea"/>
                    <a:cs typeface="+mn-cs"/>
                  </a:rPr>
                  <a:t>.</a:t>
                </a:r>
                <a:r>
                  <a:rPr lang="es-MX" sz="1200">
                    <a:solidFill>
                      <a:schemeClr val="tx1"/>
                    </a:solidFill>
                    <a:effectLst/>
                    <a:latin typeface="+mn-lt"/>
                    <a:ea typeface="+mn-ea"/>
                    <a:cs typeface="+mn-cs"/>
                  </a:rPr>
                  <a:t> </a:t>
                </a:r>
              </a:p>
              <a:p>
                <a:r>
                  <a:rPr lang="es-MX" sz="1200">
                    <a:solidFill>
                      <a:schemeClr val="tx1"/>
                    </a:solidFill>
                    <a:effectLst/>
                    <a:latin typeface="+mn-lt"/>
                    <a:ea typeface="+mn-ea"/>
                    <a:cs typeface="+mn-cs"/>
                  </a:rPr>
                  <a:t>Dentro de las prácticas agrícolas destaca el incremento en la productividad mediante la implementación de </a:t>
                </a:r>
                <a:r>
                  <a:rPr lang="es-MX" sz="1200" b="1">
                    <a:solidFill>
                      <a:schemeClr val="accent2">
                        <a:lumMod val="75000"/>
                      </a:schemeClr>
                    </a:solidFill>
                    <a:effectLst/>
                    <a:latin typeface="+mn-lt"/>
                    <a:ea typeface="+mn-ea"/>
                    <a:cs typeface="+mn-cs"/>
                  </a:rPr>
                  <a:t>sistemas agroforestales</a:t>
                </a:r>
                <a:r>
                  <a:rPr lang="es-MX" sz="1200">
                    <a:solidFill>
                      <a:schemeClr val="tx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s-MX" sz="1200">
                    <a:solidFill>
                      <a:schemeClr val="tx1"/>
                    </a:solidFill>
                    <a:effectLst/>
                    <a:latin typeface="+mn-lt"/>
                    <a:ea typeface="+mn-ea"/>
                    <a:cs typeface="+mn-cs"/>
                  </a:rPr>
                  <a:t>La estimación de las emisiones de GEI de este módulo se reflejarán como las emisiones evitadas resultado de la implementación de </a:t>
                </a:r>
                <a:r>
                  <a:rPr lang="es-MX" sz="1200" b="1">
                    <a:solidFill>
                      <a:schemeClr val="accent2">
                        <a:lumMod val="75000"/>
                      </a:schemeClr>
                    </a:solidFill>
                    <a:effectLst/>
                    <a:latin typeface="+mn-lt"/>
                    <a:ea typeface="+mn-ea"/>
                    <a:cs typeface="+mn-cs"/>
                  </a:rPr>
                  <a:t>buenas</a:t>
                </a:r>
                <a:r>
                  <a:rPr lang="es-MX" sz="1200">
                    <a:solidFill>
                      <a:schemeClr val="tx1"/>
                    </a:solidFill>
                    <a:effectLst/>
                    <a:latin typeface="+mn-lt"/>
                    <a:ea typeface="+mn-ea"/>
                    <a:cs typeface="+mn-cs"/>
                  </a:rPr>
                  <a:t> </a:t>
                </a:r>
                <a:r>
                  <a:rPr lang="es-MX" sz="1200" b="1">
                    <a:solidFill>
                      <a:schemeClr val="accent2">
                        <a:lumMod val="75000"/>
                      </a:schemeClr>
                    </a:solidFill>
                    <a:effectLst/>
                    <a:latin typeface="+mn-lt"/>
                    <a:ea typeface="+mn-ea"/>
                    <a:cs typeface="+mn-cs"/>
                  </a:rPr>
                  <a:t>prácticas agrícolas </a:t>
                </a:r>
                <a:r>
                  <a:rPr lang="es-MX" sz="1200">
                    <a:solidFill>
                      <a:schemeClr val="tx1"/>
                    </a:solidFill>
                    <a:effectLst/>
                    <a:latin typeface="+mn-lt"/>
                    <a:ea typeface="+mn-ea"/>
                    <a:cs typeface="+mn-cs"/>
                  </a:rPr>
                  <a:t>que contribuyan a incrementar la eficiencia en la producción de cultivos.</a:t>
                </a:r>
              </a:p>
              <a:p>
                <a:r>
                  <a:rPr lang="es-MX" sz="1100">
                    <a:solidFill>
                      <a:schemeClr val="tx1"/>
                    </a:solidFill>
                    <a:effectLst/>
                    <a:latin typeface="+mn-lt"/>
                    <a:ea typeface="+mn-ea"/>
                    <a:cs typeface="+mn-cs"/>
                  </a:rPr>
                  <a:t> </a:t>
                </a:r>
              </a:p>
            </xdr:txBody>
          </xdr:sp>
        </xdr:grpSp>
        <xdr:sp macro="" textlink="">
          <xdr:nvSpPr>
            <xdr:cNvPr id="161" name="CuadroTexto 343">
              <a:extLst>
                <a:ext uri="{FF2B5EF4-FFF2-40B4-BE49-F238E27FC236}">
                  <a16:creationId xmlns:a16="http://schemas.microsoft.com/office/drawing/2014/main" id="{00000000-0008-0000-0300-0000A1000000}"/>
                </a:ext>
              </a:extLst>
            </xdr:cNvPr>
            <xdr:cNvSpPr txBox="1"/>
          </xdr:nvSpPr>
          <xdr:spPr>
            <a:xfrm rot="16200000">
              <a:off x="1746016" y="30780000"/>
              <a:ext cx="122719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AGRICULTURA</a:t>
              </a:r>
              <a:endParaRPr lang="es-ES" sz="1400" b="1">
                <a:solidFill>
                  <a:schemeClr val="accent2">
                    <a:lumMod val="75000"/>
                  </a:schemeClr>
                </a:solidFill>
              </a:endParaRPr>
            </a:p>
          </xdr:txBody>
        </xdr:sp>
      </xdr:grpSp>
      <xdr:pic>
        <xdr:nvPicPr>
          <xdr:cNvPr id="158" name="Gráfico 157" descr="Cultivos con relleno sólido">
            <a:extLst>
              <a:ext uri="{FF2B5EF4-FFF2-40B4-BE49-F238E27FC236}">
                <a16:creationId xmlns:a16="http://schemas.microsoft.com/office/drawing/2014/main" id="{00000000-0008-0000-0300-00009E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 uri="{96DAC541-7B7A-43D3-8B79-37D633B846F1}">
                <asvg:svgBlip xmlns:asvg="http://schemas.microsoft.com/office/drawing/2016/SVG/main" r:embed="rId87"/>
              </a:ext>
            </a:extLst>
          </a:blip>
          <a:stretch>
            <a:fillRect/>
          </a:stretch>
        </xdr:blipFill>
        <xdr:spPr>
          <a:xfrm>
            <a:off x="11820525" y="42126694"/>
            <a:ext cx="948236" cy="963526"/>
          </a:xfrm>
          <a:prstGeom prst="rect">
            <a:avLst/>
          </a:prstGeom>
        </xdr:spPr>
      </xdr:pic>
    </xdr:grpSp>
    <xdr:clientData/>
  </xdr:twoCellAnchor>
  <xdr:twoCellAnchor>
    <xdr:from>
      <xdr:col>1</xdr:col>
      <xdr:colOff>690562</xdr:colOff>
      <xdr:row>215</xdr:row>
      <xdr:rowOff>59531</xdr:rowOff>
    </xdr:from>
    <xdr:to>
      <xdr:col>16</xdr:col>
      <xdr:colOff>333562</xdr:colOff>
      <xdr:row>223</xdr:row>
      <xdr:rowOff>83531</xdr:rowOff>
    </xdr:to>
    <xdr:grpSp>
      <xdr:nvGrpSpPr>
        <xdr:cNvPr id="183" name="Grupo 182">
          <a:extLst>
            <a:ext uri="{FF2B5EF4-FFF2-40B4-BE49-F238E27FC236}">
              <a16:creationId xmlns:a16="http://schemas.microsoft.com/office/drawing/2014/main" id="{00000000-0008-0000-0300-0000B7000000}"/>
            </a:ext>
          </a:extLst>
        </xdr:cNvPr>
        <xdr:cNvGrpSpPr/>
      </xdr:nvGrpSpPr>
      <xdr:grpSpPr>
        <a:xfrm>
          <a:off x="2071687" y="41683781"/>
          <a:ext cx="11073000" cy="1548000"/>
          <a:chOff x="2114549" y="40155019"/>
          <a:chExt cx="11073000" cy="1548000"/>
        </a:xfrm>
      </xdr:grpSpPr>
      <xdr:grpSp>
        <xdr:nvGrpSpPr>
          <xdr:cNvPr id="184" name="Grupo 309">
            <a:extLst>
              <a:ext uri="{FF2B5EF4-FFF2-40B4-BE49-F238E27FC236}">
                <a16:creationId xmlns:a16="http://schemas.microsoft.com/office/drawing/2014/main" id="{00000000-0008-0000-0300-0000B8000000}"/>
              </a:ext>
            </a:extLst>
          </xdr:cNvPr>
          <xdr:cNvGrpSpPr/>
        </xdr:nvGrpSpPr>
        <xdr:grpSpPr>
          <a:xfrm>
            <a:off x="2114549" y="40155019"/>
            <a:ext cx="11073000" cy="1548000"/>
            <a:chOff x="2143124" y="30260925"/>
            <a:chExt cx="11073000" cy="1548000"/>
          </a:xfrm>
        </xdr:grpSpPr>
        <xdr:grpSp>
          <xdr:nvGrpSpPr>
            <xdr:cNvPr id="9536" name="Grupo 310">
              <a:extLst>
                <a:ext uri="{FF2B5EF4-FFF2-40B4-BE49-F238E27FC236}">
                  <a16:creationId xmlns:a16="http://schemas.microsoft.com/office/drawing/2014/main" id="{00000000-0008-0000-0300-000040250000}"/>
                </a:ext>
              </a:extLst>
            </xdr:cNvPr>
            <xdr:cNvGrpSpPr/>
          </xdr:nvGrpSpPr>
          <xdr:grpSpPr>
            <a:xfrm>
              <a:off x="2143124" y="30260925"/>
              <a:ext cx="11073000" cy="1548000"/>
              <a:chOff x="2171699" y="29918025"/>
              <a:chExt cx="11073000" cy="1548000"/>
            </a:xfrm>
          </xdr:grpSpPr>
          <xdr:sp macro="" textlink="">
            <xdr:nvSpPr>
              <xdr:cNvPr id="9538" name="Rectángulo: esquinas redondeadas 312">
                <a:extLst>
                  <a:ext uri="{FF2B5EF4-FFF2-40B4-BE49-F238E27FC236}">
                    <a16:creationId xmlns:a16="http://schemas.microsoft.com/office/drawing/2014/main" id="{00000000-0008-0000-0300-000042250000}"/>
                  </a:ext>
                </a:extLst>
              </xdr:cNvPr>
              <xdr:cNvSpPr/>
            </xdr:nvSpPr>
            <xdr:spPr>
              <a:xfrm>
                <a:off x="2171699" y="299751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539" name="Diagrama de flujo: conector 315">
                <a:extLst>
                  <a:ext uri="{FF2B5EF4-FFF2-40B4-BE49-F238E27FC236}">
                    <a16:creationId xmlns:a16="http://schemas.microsoft.com/office/drawing/2014/main" id="{00000000-0008-0000-0300-000043250000}"/>
                  </a:ext>
                </a:extLst>
              </xdr:cNvPr>
              <xdr:cNvSpPr/>
            </xdr:nvSpPr>
            <xdr:spPr>
              <a:xfrm>
                <a:off x="11696699" y="29918025"/>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540" name="CuadroTexto 314">
                <a:extLst>
                  <a:ext uri="{FF2B5EF4-FFF2-40B4-BE49-F238E27FC236}">
                    <a16:creationId xmlns:a16="http://schemas.microsoft.com/office/drawing/2014/main" id="{00000000-0008-0000-0300-000044250000}"/>
                  </a:ext>
                </a:extLst>
              </xdr:cNvPr>
              <xdr:cNvSpPr txBox="1"/>
            </xdr:nvSpPr>
            <xdr:spPr>
              <a:xfrm>
                <a:off x="2705099" y="30060900"/>
                <a:ext cx="8686801" cy="1076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tx1"/>
                    </a:solidFill>
                    <a:effectLst/>
                    <a:latin typeface="+mn-lt"/>
                    <a:ea typeface="+mn-ea"/>
                    <a:cs typeface="+mn-cs"/>
                  </a:rPr>
                  <a:t>Son 4 subsectores los que componen el sector transporte: </a:t>
                </a:r>
                <a:r>
                  <a:rPr lang="es-ES" sz="1200" b="1">
                    <a:solidFill>
                      <a:schemeClr val="accent2">
                        <a:lumMod val="75000"/>
                      </a:schemeClr>
                    </a:solidFill>
                    <a:effectLst/>
                    <a:latin typeface="+mn-lt"/>
                    <a:ea typeface="+mn-ea"/>
                    <a:cs typeface="+mn-cs"/>
                  </a:rPr>
                  <a:t>Transporte de pasajeros, transporte de carga, aviación </a:t>
                </a:r>
                <a:r>
                  <a:rPr lang="es-ES" sz="1200" b="0">
                    <a:solidFill>
                      <a:sysClr val="windowText" lastClr="000000"/>
                    </a:solidFill>
                    <a:effectLst/>
                    <a:latin typeface="+mn-lt"/>
                    <a:ea typeface="+mn-ea"/>
                    <a:cs typeface="+mn-cs"/>
                  </a:rPr>
                  <a:t>y</a:t>
                </a:r>
                <a:r>
                  <a:rPr lang="es-ES" sz="1200" b="1">
                    <a:solidFill>
                      <a:schemeClr val="accent2">
                        <a:lumMod val="75000"/>
                      </a:schemeClr>
                    </a:solidFill>
                    <a:effectLst/>
                    <a:latin typeface="+mn-lt"/>
                    <a:ea typeface="+mn-ea"/>
                    <a:cs typeface="+mn-cs"/>
                  </a:rPr>
                  <a:t> navegación</a:t>
                </a:r>
                <a:r>
                  <a:rPr lang="es-ES" sz="1200">
                    <a:solidFill>
                      <a:schemeClr val="tx1"/>
                    </a:solidFill>
                    <a:effectLst/>
                    <a:latin typeface="+mn-lt"/>
                    <a:ea typeface="+mn-ea"/>
                    <a:cs typeface="+mn-cs"/>
                  </a:rPr>
                  <a:t>. </a:t>
                </a:r>
              </a:p>
              <a:p>
                <a:r>
                  <a:rPr lang="es-ES" sz="1200">
                    <a:solidFill>
                      <a:schemeClr val="tx1"/>
                    </a:solidFill>
                    <a:effectLst/>
                    <a:latin typeface="+mn-lt"/>
                    <a:ea typeface="+mn-ea"/>
                    <a:cs typeface="+mn-cs"/>
                  </a:rPr>
                  <a:t>Las principales fuentes de emisiones están asociadas al consumo de combustibles fósiles y de electricidad, estos variaran en función de la trayectoria seleccionada, debido a la inclusión de nuevas tecnologías de bajas emisiones y cero emisiones, cómo los vehículos impulsados por gas natural o electricidad. </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9537" name="CuadroTexto 311">
              <a:extLst>
                <a:ext uri="{FF2B5EF4-FFF2-40B4-BE49-F238E27FC236}">
                  <a16:creationId xmlns:a16="http://schemas.microsoft.com/office/drawing/2014/main" id="{00000000-0008-0000-0300-000041250000}"/>
                </a:ext>
              </a:extLst>
            </xdr:cNvPr>
            <xdr:cNvSpPr txBox="1"/>
          </xdr:nvSpPr>
          <xdr:spPr>
            <a:xfrm rot="16200000">
              <a:off x="1697894" y="30755213"/>
              <a:ext cx="132343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600" b="1">
                  <a:solidFill>
                    <a:schemeClr val="accent2">
                      <a:lumMod val="75000"/>
                    </a:schemeClr>
                  </a:solidFill>
                </a:rPr>
                <a:t>TRANSPORTE</a:t>
              </a:r>
            </a:p>
          </xdr:txBody>
        </xdr:sp>
      </xdr:grpSp>
      <xdr:pic>
        <xdr:nvPicPr>
          <xdr:cNvPr id="186" name="Gráfico 185" descr="Coche eléctrico con relleno sólido">
            <a:extLst>
              <a:ext uri="{FF2B5EF4-FFF2-40B4-BE49-F238E27FC236}">
                <a16:creationId xmlns:a16="http://schemas.microsoft.com/office/drawing/2014/main" id="{00000000-0008-0000-0300-0000BA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 uri="{96DAC541-7B7A-43D3-8B79-37D633B846F1}">
                <asvg:svgBlip xmlns:asvg="http://schemas.microsoft.com/office/drawing/2016/SVG/main" r:embed="rId81"/>
              </a:ext>
            </a:extLst>
          </a:blip>
          <a:stretch>
            <a:fillRect/>
          </a:stretch>
        </xdr:blipFill>
        <xdr:spPr>
          <a:xfrm>
            <a:off x="11784797" y="40166849"/>
            <a:ext cx="1380566" cy="1402817"/>
          </a:xfrm>
          <a:prstGeom prst="rect">
            <a:avLst/>
          </a:prstGeom>
        </xdr:spPr>
      </xdr:pic>
    </xdr:grpSp>
    <xdr:clientData/>
  </xdr:twoCellAnchor>
  <xdr:twoCellAnchor>
    <xdr:from>
      <xdr:col>1</xdr:col>
      <xdr:colOff>733425</xdr:colOff>
      <xdr:row>467</xdr:row>
      <xdr:rowOff>47624</xdr:rowOff>
    </xdr:from>
    <xdr:to>
      <xdr:col>16</xdr:col>
      <xdr:colOff>9525</xdr:colOff>
      <xdr:row>473</xdr:row>
      <xdr:rowOff>19049</xdr:rowOff>
    </xdr:to>
    <xdr:sp macro="" textlink="">
      <xdr:nvSpPr>
        <xdr:cNvPr id="9542" name="Rectángulo: esquinas redondeadas 9541">
          <a:extLst>
            <a:ext uri="{FF2B5EF4-FFF2-40B4-BE49-F238E27FC236}">
              <a16:creationId xmlns:a16="http://schemas.microsoft.com/office/drawing/2014/main" id="{00000000-0008-0000-0300-000046250000}"/>
            </a:ext>
          </a:extLst>
        </xdr:cNvPr>
        <xdr:cNvSpPr/>
      </xdr:nvSpPr>
      <xdr:spPr>
        <a:xfrm>
          <a:off x="2114550" y="85982174"/>
          <a:ext cx="10706100" cy="1133475"/>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s-MX" sz="1200">
            <a:solidFill>
              <a:sysClr val="windowText" lastClr="000000"/>
            </a:solidFill>
          </a:endParaRPr>
        </a:p>
        <a:p>
          <a:pPr algn="l"/>
          <a:r>
            <a:rPr lang="es-MX" sz="1200">
              <a:solidFill>
                <a:sysClr val="windowText" lastClr="000000"/>
              </a:solidFill>
            </a:rPr>
            <a:t>Esta gráfica muestra la cantidad de gases de efecto invernadero expresado como dióxido de carbono equivalente que este sector genera por el consumo (quema) de combustibles como son la gasolina, el diésel, el carbón mineral, el GLP o el gas natural para el desarrollo de sus actividades. Por lo que, a mayor demanda de combustibles, mayores son las emisiones. Las emisiones decrecen con un mayor aprovechamiento de las energías renovables, así como, por el ahorro y uso eficiente de la energía.</a:t>
          </a:r>
        </a:p>
      </xdr:txBody>
    </xdr:sp>
    <xdr:clientData/>
  </xdr:twoCellAnchor>
  <xdr:twoCellAnchor>
    <xdr:from>
      <xdr:col>1</xdr:col>
      <xdr:colOff>666749</xdr:colOff>
      <xdr:row>465</xdr:row>
      <xdr:rowOff>152399</xdr:rowOff>
    </xdr:from>
    <xdr:to>
      <xdr:col>5</xdr:col>
      <xdr:colOff>752474</xdr:colOff>
      <xdr:row>468</xdr:row>
      <xdr:rowOff>123824</xdr:rowOff>
    </xdr:to>
    <xdr:sp macro="" textlink="">
      <xdr:nvSpPr>
        <xdr:cNvPr id="9543" name="Rectángulo: esquinas redondeadas 9542">
          <a:extLst>
            <a:ext uri="{FF2B5EF4-FFF2-40B4-BE49-F238E27FC236}">
              <a16:creationId xmlns:a16="http://schemas.microsoft.com/office/drawing/2014/main" id="{00000000-0008-0000-0300-000047250000}"/>
            </a:ext>
          </a:extLst>
        </xdr:cNvPr>
        <xdr:cNvSpPr/>
      </xdr:nvSpPr>
      <xdr:spPr>
        <a:xfrm>
          <a:off x="2047874" y="85705949"/>
          <a:ext cx="3133725" cy="54292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Emisiones de GEI por la quema de combustibles fósiles</a:t>
          </a:r>
        </a:p>
      </xdr:txBody>
    </xdr:sp>
    <xdr:clientData/>
  </xdr:twoCellAnchor>
  <xdr:twoCellAnchor>
    <xdr:from>
      <xdr:col>1</xdr:col>
      <xdr:colOff>752475</xdr:colOff>
      <xdr:row>475</xdr:row>
      <xdr:rowOff>47625</xdr:rowOff>
    </xdr:from>
    <xdr:to>
      <xdr:col>16</xdr:col>
      <xdr:colOff>28575</xdr:colOff>
      <xdr:row>480</xdr:row>
      <xdr:rowOff>47625</xdr:rowOff>
    </xdr:to>
    <xdr:sp macro="" textlink="">
      <xdr:nvSpPr>
        <xdr:cNvPr id="9544" name="Rectángulo: esquinas redondeadas 9543">
          <a:extLst>
            <a:ext uri="{FF2B5EF4-FFF2-40B4-BE49-F238E27FC236}">
              <a16:creationId xmlns:a16="http://schemas.microsoft.com/office/drawing/2014/main" id="{00000000-0008-0000-0300-000048250000}"/>
            </a:ext>
          </a:extLst>
        </xdr:cNvPr>
        <xdr:cNvSpPr/>
      </xdr:nvSpPr>
      <xdr:spPr>
        <a:xfrm>
          <a:off x="2133600" y="87563325"/>
          <a:ext cx="10706100" cy="104775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s-MX" sz="1200">
            <a:solidFill>
              <a:sysClr val="windowText" lastClr="000000"/>
            </a:solidFill>
          </a:endParaRPr>
        </a:p>
        <a:p>
          <a:pPr algn="l"/>
          <a:r>
            <a:rPr lang="es-MX" sz="1200">
              <a:solidFill>
                <a:sysClr val="windowText" lastClr="000000"/>
              </a:solidFill>
            </a:rPr>
            <a:t>Esta gráfica muestra el consumo de energía, proveniente de combustibles fósiles, que este sector requiere para el desarrollo de sus actividades. Cuando no existen acciones que fomenten el ahorro y uso eficiente de la energía, la demanda crecerá. De ser aplicadas buenas prácticas, la demanda de energía se reducirá, aún si la producción de un bien o servicio aumenta. Esta demanda se expresa en unidades de energía (TWh).</a:t>
          </a:r>
        </a:p>
      </xdr:txBody>
    </xdr:sp>
    <xdr:clientData/>
  </xdr:twoCellAnchor>
  <xdr:twoCellAnchor>
    <xdr:from>
      <xdr:col>1</xdr:col>
      <xdr:colOff>685800</xdr:colOff>
      <xdr:row>474</xdr:row>
      <xdr:rowOff>19050</xdr:rowOff>
    </xdr:from>
    <xdr:to>
      <xdr:col>5</xdr:col>
      <xdr:colOff>742950</xdr:colOff>
      <xdr:row>476</xdr:row>
      <xdr:rowOff>38100</xdr:rowOff>
    </xdr:to>
    <xdr:sp macro="" textlink="">
      <xdr:nvSpPr>
        <xdr:cNvPr id="9545" name="Rectángulo: esquinas redondeadas 9544">
          <a:extLst>
            <a:ext uri="{FF2B5EF4-FFF2-40B4-BE49-F238E27FC236}">
              <a16:creationId xmlns:a16="http://schemas.microsoft.com/office/drawing/2014/main" id="{00000000-0008-0000-0300-000049250000}"/>
            </a:ext>
          </a:extLst>
        </xdr:cNvPr>
        <xdr:cNvSpPr/>
      </xdr:nvSpPr>
      <xdr:spPr>
        <a:xfrm>
          <a:off x="2066925" y="87325200"/>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 demanda energética</a:t>
          </a:r>
        </a:p>
      </xdr:txBody>
    </xdr:sp>
    <xdr:clientData/>
  </xdr:twoCellAnchor>
  <xdr:twoCellAnchor>
    <xdr:from>
      <xdr:col>2</xdr:col>
      <xdr:colOff>9525</xdr:colOff>
      <xdr:row>482</xdr:row>
      <xdr:rowOff>171449</xdr:rowOff>
    </xdr:from>
    <xdr:to>
      <xdr:col>16</xdr:col>
      <xdr:colOff>47625</xdr:colOff>
      <xdr:row>487</xdr:row>
      <xdr:rowOff>212480</xdr:rowOff>
    </xdr:to>
    <xdr:sp macro="" textlink="">
      <xdr:nvSpPr>
        <xdr:cNvPr id="9546" name="Rectángulo: esquinas redondeadas 9545">
          <a:extLst>
            <a:ext uri="{FF2B5EF4-FFF2-40B4-BE49-F238E27FC236}">
              <a16:creationId xmlns:a16="http://schemas.microsoft.com/office/drawing/2014/main" id="{00000000-0008-0000-0300-00004A250000}"/>
            </a:ext>
          </a:extLst>
        </xdr:cNvPr>
        <xdr:cNvSpPr/>
      </xdr:nvSpPr>
      <xdr:spPr>
        <a:xfrm>
          <a:off x="2156313" y="89581891"/>
          <a:ext cx="10706100" cy="1103435"/>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Esta gráfica muestra la participación de los diferentes tipos de energía, tanto fósil como renovables que el país utiliza para la producción de electricidad. En el caso de las renovables se incluyen también, aquellas resultado del aprovechamiento de subproductos provenientes de la gestión de los residuos como el biogás o bien, de los residuos agrícolas como la biomasa, que son transformados para generar electricidad. Esta electricidad puede ser consumida por el propio sector o bien, enviada a la red. Esta generación se expresa en unidades de energía (TWh).</a:t>
          </a:r>
          <a:endParaRPr lang="es-MX" sz="1200">
            <a:solidFill>
              <a:sysClr val="windowText" lastClr="000000"/>
            </a:solidFill>
          </a:endParaRPr>
        </a:p>
      </xdr:txBody>
    </xdr:sp>
    <xdr:clientData/>
  </xdr:twoCellAnchor>
  <xdr:twoCellAnchor>
    <xdr:from>
      <xdr:col>1</xdr:col>
      <xdr:colOff>704850</xdr:colOff>
      <xdr:row>481</xdr:row>
      <xdr:rowOff>142875</xdr:rowOff>
    </xdr:from>
    <xdr:to>
      <xdr:col>6</xdr:col>
      <xdr:colOff>0</xdr:colOff>
      <xdr:row>483</xdr:row>
      <xdr:rowOff>161925</xdr:rowOff>
    </xdr:to>
    <xdr:sp macro="" textlink="">
      <xdr:nvSpPr>
        <xdr:cNvPr id="9547" name="Rectángulo: esquinas redondeadas 9546">
          <a:extLst>
            <a:ext uri="{FF2B5EF4-FFF2-40B4-BE49-F238E27FC236}">
              <a16:creationId xmlns:a16="http://schemas.microsoft.com/office/drawing/2014/main" id="{00000000-0008-0000-0300-00004B250000}"/>
            </a:ext>
          </a:extLst>
        </xdr:cNvPr>
        <xdr:cNvSpPr/>
      </xdr:nvSpPr>
      <xdr:spPr>
        <a:xfrm>
          <a:off x="2085975" y="88915875"/>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 generación eléctrica</a:t>
          </a:r>
        </a:p>
      </xdr:txBody>
    </xdr:sp>
    <xdr:clientData/>
  </xdr:twoCellAnchor>
  <xdr:twoCellAnchor>
    <xdr:from>
      <xdr:col>2</xdr:col>
      <xdr:colOff>19050</xdr:colOff>
      <xdr:row>490</xdr:row>
      <xdr:rowOff>85725</xdr:rowOff>
    </xdr:from>
    <xdr:to>
      <xdr:col>16</xdr:col>
      <xdr:colOff>57150</xdr:colOff>
      <xdr:row>495</xdr:row>
      <xdr:rowOff>104775</xdr:rowOff>
    </xdr:to>
    <xdr:sp macro="" textlink="">
      <xdr:nvSpPr>
        <xdr:cNvPr id="9550" name="Rectángulo: esquinas redondeadas 9549">
          <a:extLst>
            <a:ext uri="{FF2B5EF4-FFF2-40B4-BE49-F238E27FC236}">
              <a16:creationId xmlns:a16="http://schemas.microsoft.com/office/drawing/2014/main" id="{00000000-0008-0000-0300-00004E250000}"/>
            </a:ext>
          </a:extLst>
        </xdr:cNvPr>
        <xdr:cNvSpPr/>
      </xdr:nvSpPr>
      <xdr:spPr>
        <a:xfrm>
          <a:off x="2162175" y="90744675"/>
          <a:ext cx="10706100" cy="104775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muestra el consumo de los combustibles que son consumidos en cada sector analizado para las diferentes trayectorias proyectadas desde el año base 2018 al año 2050.</a:t>
          </a:r>
          <a:endParaRPr lang="es-MX" sz="1200">
            <a:solidFill>
              <a:sysClr val="windowText" lastClr="000000"/>
            </a:solidFill>
          </a:endParaRPr>
        </a:p>
      </xdr:txBody>
    </xdr:sp>
    <xdr:clientData/>
  </xdr:twoCellAnchor>
  <xdr:twoCellAnchor>
    <xdr:from>
      <xdr:col>1</xdr:col>
      <xdr:colOff>714375</xdr:colOff>
      <xdr:row>489</xdr:row>
      <xdr:rowOff>57150</xdr:rowOff>
    </xdr:from>
    <xdr:to>
      <xdr:col>6</xdr:col>
      <xdr:colOff>9525</xdr:colOff>
      <xdr:row>491</xdr:row>
      <xdr:rowOff>76200</xdr:rowOff>
    </xdr:to>
    <xdr:sp macro="" textlink="">
      <xdr:nvSpPr>
        <xdr:cNvPr id="9551" name="Rectángulo: esquinas redondeadas 9550">
          <a:extLst>
            <a:ext uri="{FF2B5EF4-FFF2-40B4-BE49-F238E27FC236}">
              <a16:creationId xmlns:a16="http://schemas.microsoft.com/office/drawing/2014/main" id="{00000000-0008-0000-0300-00004F250000}"/>
            </a:ext>
          </a:extLst>
        </xdr:cNvPr>
        <xdr:cNvSpPr/>
      </xdr:nvSpPr>
      <xdr:spPr>
        <a:xfrm>
          <a:off x="2095500" y="90506550"/>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de combustibles por sector</a:t>
          </a:r>
        </a:p>
      </xdr:txBody>
    </xdr:sp>
    <xdr:clientData/>
  </xdr:twoCellAnchor>
  <xdr:twoCellAnchor>
    <xdr:from>
      <xdr:col>2</xdr:col>
      <xdr:colOff>328612</xdr:colOff>
      <xdr:row>570</xdr:row>
      <xdr:rowOff>28577</xdr:rowOff>
    </xdr:from>
    <xdr:to>
      <xdr:col>16</xdr:col>
      <xdr:colOff>366712</xdr:colOff>
      <xdr:row>575</xdr:row>
      <xdr:rowOff>142877</xdr:rowOff>
    </xdr:to>
    <xdr:sp macro="" textlink="">
      <xdr:nvSpPr>
        <xdr:cNvPr id="9552" name="Rectángulo: esquinas redondeadas 9551">
          <a:extLst>
            <a:ext uri="{FF2B5EF4-FFF2-40B4-BE49-F238E27FC236}">
              <a16:creationId xmlns:a16="http://schemas.microsoft.com/office/drawing/2014/main" id="{00000000-0008-0000-0300-000050250000}"/>
            </a:ext>
          </a:extLst>
        </xdr:cNvPr>
        <xdr:cNvSpPr/>
      </xdr:nvSpPr>
      <xdr:spPr>
        <a:xfrm>
          <a:off x="2471737" y="106482358"/>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En esta gráfica se muestra por una lado, el total de terreno, medido en hectáreas, que se pierden por el cambio del uso del suelo y de la cobertura forestal.</a:t>
          </a:r>
          <a:endParaRPr lang="es-MX" sz="1200">
            <a:solidFill>
              <a:sysClr val="windowText" lastClr="000000"/>
            </a:solidFill>
          </a:endParaRPr>
        </a:p>
      </xdr:txBody>
    </xdr:sp>
    <xdr:clientData/>
  </xdr:twoCellAnchor>
  <xdr:twoCellAnchor>
    <xdr:from>
      <xdr:col>2</xdr:col>
      <xdr:colOff>261937</xdr:colOff>
      <xdr:row>568</xdr:row>
      <xdr:rowOff>120316</xdr:rowOff>
    </xdr:from>
    <xdr:to>
      <xdr:col>6</xdr:col>
      <xdr:colOff>319087</xdr:colOff>
      <xdr:row>571</xdr:row>
      <xdr:rowOff>42865</xdr:rowOff>
    </xdr:to>
    <xdr:sp macro="" textlink="">
      <xdr:nvSpPr>
        <xdr:cNvPr id="9553" name="Rectángulo: esquinas redondeadas 9552">
          <a:extLst>
            <a:ext uri="{FF2B5EF4-FFF2-40B4-BE49-F238E27FC236}">
              <a16:creationId xmlns:a16="http://schemas.microsoft.com/office/drawing/2014/main" id="{00000000-0008-0000-0300-000051250000}"/>
            </a:ext>
          </a:extLst>
        </xdr:cNvPr>
        <xdr:cNvSpPr/>
      </xdr:nvSpPr>
      <xdr:spPr>
        <a:xfrm>
          <a:off x="2407569" y="106148605"/>
          <a:ext cx="3105150" cy="494049"/>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Superficie de deforestación/reforestación acumulada</a:t>
          </a:r>
        </a:p>
      </xdr:txBody>
    </xdr:sp>
    <xdr:clientData/>
  </xdr:twoCellAnchor>
  <xdr:twoCellAnchor>
    <xdr:from>
      <xdr:col>2</xdr:col>
      <xdr:colOff>42863</xdr:colOff>
      <xdr:row>499</xdr:row>
      <xdr:rowOff>4762</xdr:rowOff>
    </xdr:from>
    <xdr:to>
      <xdr:col>16</xdr:col>
      <xdr:colOff>80963</xdr:colOff>
      <xdr:row>504</xdr:row>
      <xdr:rowOff>119062</xdr:rowOff>
    </xdr:to>
    <xdr:sp macro="" textlink="">
      <xdr:nvSpPr>
        <xdr:cNvPr id="9554" name="Rectángulo: esquinas redondeadas 9553">
          <a:extLst>
            <a:ext uri="{FF2B5EF4-FFF2-40B4-BE49-F238E27FC236}">
              <a16:creationId xmlns:a16="http://schemas.microsoft.com/office/drawing/2014/main" id="{00000000-0008-0000-0300-000052250000}"/>
            </a:ext>
          </a:extLst>
        </xdr:cNvPr>
        <xdr:cNvSpPr/>
      </xdr:nvSpPr>
      <xdr:spPr>
        <a:xfrm>
          <a:off x="2185988" y="92933043"/>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el total de consumo de cada uno de los diferentes combustibles usados por los sectores que se analizan </a:t>
          </a:r>
          <a:r>
            <a:rPr lang="es-MX" sz="1200" baseline="0">
              <a:solidFill>
                <a:sysClr val="windowText" lastClr="000000"/>
              </a:solidFill>
              <a:effectLst/>
              <a:latin typeface="+mn-lt"/>
              <a:ea typeface="+mn-ea"/>
              <a:cs typeface="+mn-cs"/>
            </a:rPr>
            <a:t>para las diferentes trayectorias proyectadas desde el año base 2018 al año 2050.</a:t>
          </a:r>
          <a:endParaRPr lang="es-MX" sz="1200">
            <a:solidFill>
              <a:sysClr val="windowText" lastClr="000000"/>
            </a:solidFill>
          </a:endParaRPr>
        </a:p>
      </xdr:txBody>
    </xdr:sp>
    <xdr:clientData/>
  </xdr:twoCellAnchor>
  <xdr:twoCellAnchor>
    <xdr:from>
      <xdr:col>1</xdr:col>
      <xdr:colOff>738188</xdr:colOff>
      <xdr:row>497</xdr:row>
      <xdr:rowOff>142875</xdr:rowOff>
    </xdr:from>
    <xdr:to>
      <xdr:col>6</xdr:col>
      <xdr:colOff>33338</xdr:colOff>
      <xdr:row>500</xdr:row>
      <xdr:rowOff>19050</xdr:rowOff>
    </xdr:to>
    <xdr:sp macro="" textlink="">
      <xdr:nvSpPr>
        <xdr:cNvPr id="9555" name="Rectángulo: esquinas redondeadas 9554">
          <a:extLst>
            <a:ext uri="{FF2B5EF4-FFF2-40B4-BE49-F238E27FC236}">
              <a16:creationId xmlns:a16="http://schemas.microsoft.com/office/drawing/2014/main" id="{00000000-0008-0000-0300-000053250000}"/>
            </a:ext>
          </a:extLst>
        </xdr:cNvPr>
        <xdr:cNvSpPr/>
      </xdr:nvSpPr>
      <xdr:spPr>
        <a:xfrm>
          <a:off x="2119313" y="92690156"/>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por tipo de combustible</a:t>
          </a:r>
        </a:p>
      </xdr:txBody>
    </xdr:sp>
    <xdr:clientData/>
  </xdr:twoCellAnchor>
  <xdr:twoCellAnchor>
    <xdr:from>
      <xdr:col>2</xdr:col>
      <xdr:colOff>78582</xdr:colOff>
      <xdr:row>508</xdr:row>
      <xdr:rowOff>4762</xdr:rowOff>
    </xdr:from>
    <xdr:to>
      <xdr:col>16</xdr:col>
      <xdr:colOff>116682</xdr:colOff>
      <xdr:row>513</xdr:row>
      <xdr:rowOff>119062</xdr:rowOff>
    </xdr:to>
    <xdr:sp macro="" textlink="">
      <xdr:nvSpPr>
        <xdr:cNvPr id="9556" name="Rectángulo: esquinas redondeadas 9555">
          <a:extLst>
            <a:ext uri="{FF2B5EF4-FFF2-40B4-BE49-F238E27FC236}">
              <a16:creationId xmlns:a16="http://schemas.microsoft.com/office/drawing/2014/main" id="{00000000-0008-0000-0300-000054250000}"/>
            </a:ext>
          </a:extLst>
        </xdr:cNvPr>
        <xdr:cNvSpPr/>
      </xdr:nvSpPr>
      <xdr:spPr>
        <a:xfrm>
          <a:off x="2221707" y="94647543"/>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el consumo de electricidad que tienen los diferentes sectores que se analizan </a:t>
          </a:r>
          <a:r>
            <a:rPr lang="es-MX" sz="1200" baseline="0">
              <a:solidFill>
                <a:sysClr val="windowText" lastClr="000000"/>
              </a:solidFill>
              <a:effectLst/>
              <a:latin typeface="+mn-lt"/>
              <a:ea typeface="+mn-ea"/>
              <a:cs typeface="+mn-cs"/>
            </a:rPr>
            <a:t>para las diferentes trayectorias proyectadas desde el año base 2018 al año 2050.</a:t>
          </a:r>
          <a:endParaRPr lang="es-MX" sz="1200">
            <a:solidFill>
              <a:sysClr val="windowText" lastClr="000000"/>
            </a:solidFill>
          </a:endParaRPr>
        </a:p>
      </xdr:txBody>
    </xdr:sp>
    <xdr:clientData/>
  </xdr:twoCellAnchor>
  <xdr:twoCellAnchor>
    <xdr:from>
      <xdr:col>2</xdr:col>
      <xdr:colOff>11907</xdr:colOff>
      <xdr:row>506</xdr:row>
      <xdr:rowOff>142875</xdr:rowOff>
    </xdr:from>
    <xdr:to>
      <xdr:col>6</xdr:col>
      <xdr:colOff>69057</xdr:colOff>
      <xdr:row>509</xdr:row>
      <xdr:rowOff>19050</xdr:rowOff>
    </xdr:to>
    <xdr:sp macro="" textlink="">
      <xdr:nvSpPr>
        <xdr:cNvPr id="9557" name="Rectángulo: esquinas redondeadas 9556">
          <a:extLst>
            <a:ext uri="{FF2B5EF4-FFF2-40B4-BE49-F238E27FC236}">
              <a16:creationId xmlns:a16="http://schemas.microsoft.com/office/drawing/2014/main" id="{00000000-0008-0000-0300-000055250000}"/>
            </a:ext>
          </a:extLst>
        </xdr:cNvPr>
        <xdr:cNvSpPr/>
      </xdr:nvSpPr>
      <xdr:spPr>
        <a:xfrm>
          <a:off x="2155032" y="94404656"/>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de electricidad por sector</a:t>
          </a:r>
        </a:p>
      </xdr:txBody>
    </xdr:sp>
    <xdr:clientData/>
  </xdr:twoCellAnchor>
  <xdr:twoCellAnchor>
    <xdr:from>
      <xdr:col>2</xdr:col>
      <xdr:colOff>138113</xdr:colOff>
      <xdr:row>516</xdr:row>
      <xdr:rowOff>147637</xdr:rowOff>
    </xdr:from>
    <xdr:to>
      <xdr:col>16</xdr:col>
      <xdr:colOff>176213</xdr:colOff>
      <xdr:row>522</xdr:row>
      <xdr:rowOff>71437</xdr:rowOff>
    </xdr:to>
    <xdr:sp macro="" textlink="">
      <xdr:nvSpPr>
        <xdr:cNvPr id="9558" name="Rectángulo: esquinas redondeadas 9557">
          <a:extLst>
            <a:ext uri="{FF2B5EF4-FFF2-40B4-BE49-F238E27FC236}">
              <a16:creationId xmlns:a16="http://schemas.microsoft.com/office/drawing/2014/main" id="{00000000-0008-0000-0300-000056250000}"/>
            </a:ext>
          </a:extLst>
        </xdr:cNvPr>
        <xdr:cNvSpPr/>
      </xdr:nvSpPr>
      <xdr:spPr>
        <a:xfrm>
          <a:off x="2281238" y="96314418"/>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Esta gráfica refleja</a:t>
          </a:r>
          <a:r>
            <a:rPr lang="es-MX" sz="1200" baseline="0">
              <a:solidFill>
                <a:sysClr val="windowText" lastClr="000000"/>
              </a:solidFill>
            </a:rPr>
            <a:t> la demanda de energía requerida por los diferentes sectores analizados </a:t>
          </a:r>
          <a:r>
            <a:rPr lang="es-MX" sz="1200" baseline="0">
              <a:solidFill>
                <a:sysClr val="windowText" lastClr="000000"/>
              </a:solidFill>
              <a:effectLst/>
              <a:latin typeface="+mn-lt"/>
              <a:ea typeface="+mn-ea"/>
              <a:cs typeface="+mn-cs"/>
            </a:rPr>
            <a:t>para las diferentes trayectorias proyectadas desde el año base 2018 al año 2050</a:t>
          </a:r>
          <a:r>
            <a:rPr lang="es-MX" sz="1200" baseline="0">
              <a:solidFill>
                <a:sysClr val="windowText" lastClr="000000"/>
              </a:solidFill>
            </a:rPr>
            <a:t>, la cual, es suministrada por fuentes de energía no analizadas en esta herramienta. </a:t>
          </a:r>
          <a:endParaRPr lang="es-MX" sz="1200">
            <a:solidFill>
              <a:sysClr val="windowText" lastClr="000000"/>
            </a:solidFill>
          </a:endParaRPr>
        </a:p>
      </xdr:txBody>
    </xdr:sp>
    <xdr:clientData/>
  </xdr:twoCellAnchor>
  <xdr:twoCellAnchor>
    <xdr:from>
      <xdr:col>2</xdr:col>
      <xdr:colOff>71438</xdr:colOff>
      <xdr:row>515</xdr:row>
      <xdr:rowOff>95250</xdr:rowOff>
    </xdr:from>
    <xdr:to>
      <xdr:col>6</xdr:col>
      <xdr:colOff>128588</xdr:colOff>
      <xdr:row>517</xdr:row>
      <xdr:rowOff>161925</xdr:rowOff>
    </xdr:to>
    <xdr:sp macro="" textlink="">
      <xdr:nvSpPr>
        <xdr:cNvPr id="9559" name="Rectángulo: esquinas redondeadas 9558">
          <a:extLst>
            <a:ext uri="{FF2B5EF4-FFF2-40B4-BE49-F238E27FC236}">
              <a16:creationId xmlns:a16="http://schemas.microsoft.com/office/drawing/2014/main" id="{00000000-0008-0000-0300-000057250000}"/>
            </a:ext>
          </a:extLst>
        </xdr:cNvPr>
        <xdr:cNvSpPr/>
      </xdr:nvSpPr>
      <xdr:spPr>
        <a:xfrm>
          <a:off x="2214563" y="96071531"/>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las Requerimientos energéticos</a:t>
          </a:r>
        </a:p>
      </xdr:txBody>
    </xdr:sp>
    <xdr:clientData/>
  </xdr:twoCellAnchor>
  <xdr:twoCellAnchor>
    <xdr:from>
      <xdr:col>2</xdr:col>
      <xdr:colOff>150019</xdr:colOff>
      <xdr:row>525</xdr:row>
      <xdr:rowOff>123824</xdr:rowOff>
    </xdr:from>
    <xdr:to>
      <xdr:col>16</xdr:col>
      <xdr:colOff>188119</xdr:colOff>
      <xdr:row>531</xdr:row>
      <xdr:rowOff>47624</xdr:rowOff>
    </xdr:to>
    <xdr:sp macro="" textlink="">
      <xdr:nvSpPr>
        <xdr:cNvPr id="9560" name="Rectángulo: esquinas redondeadas 9559">
          <a:extLst>
            <a:ext uri="{FF2B5EF4-FFF2-40B4-BE49-F238E27FC236}">
              <a16:creationId xmlns:a16="http://schemas.microsoft.com/office/drawing/2014/main" id="{00000000-0008-0000-0300-000058250000}"/>
            </a:ext>
          </a:extLst>
        </xdr:cNvPr>
        <xdr:cNvSpPr/>
      </xdr:nvSpPr>
      <xdr:spPr>
        <a:xfrm>
          <a:off x="2293144" y="98005105"/>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la energía que no es consumida en los sectores que se analizan </a:t>
          </a:r>
          <a:r>
            <a:rPr lang="es-MX" sz="1200" baseline="0">
              <a:solidFill>
                <a:sysClr val="windowText" lastClr="000000"/>
              </a:solidFill>
              <a:effectLst/>
              <a:latin typeface="+mn-lt"/>
              <a:ea typeface="+mn-ea"/>
              <a:cs typeface="+mn-cs"/>
            </a:rPr>
            <a:t>para las diferentes trayectorias proyectadas desde el año base 2018 al año 2050, la cual, es suministrada por fuentes de energía no analizadas en esta herramienta.</a:t>
          </a:r>
          <a:r>
            <a:rPr lang="es-MX" sz="1200" baseline="0">
              <a:solidFill>
                <a:sysClr val="windowText" lastClr="000000"/>
              </a:solidFill>
            </a:rPr>
            <a:t> Por lo que, se asume que será aprovechada por otros sectores o actividades que se desarrollan en el país.</a:t>
          </a:r>
          <a:endParaRPr lang="es-MX" sz="1200">
            <a:solidFill>
              <a:sysClr val="windowText" lastClr="000000"/>
            </a:solidFill>
          </a:endParaRPr>
        </a:p>
      </xdr:txBody>
    </xdr:sp>
    <xdr:clientData/>
  </xdr:twoCellAnchor>
  <xdr:twoCellAnchor>
    <xdr:from>
      <xdr:col>2</xdr:col>
      <xdr:colOff>83344</xdr:colOff>
      <xdr:row>524</xdr:row>
      <xdr:rowOff>71437</xdr:rowOff>
    </xdr:from>
    <xdr:to>
      <xdr:col>6</xdr:col>
      <xdr:colOff>140494</xdr:colOff>
      <xdr:row>526</xdr:row>
      <xdr:rowOff>138112</xdr:rowOff>
    </xdr:to>
    <xdr:sp macro="" textlink="">
      <xdr:nvSpPr>
        <xdr:cNvPr id="9561" name="Rectángulo: esquinas redondeadas 9560">
          <a:extLst>
            <a:ext uri="{FF2B5EF4-FFF2-40B4-BE49-F238E27FC236}">
              <a16:creationId xmlns:a16="http://schemas.microsoft.com/office/drawing/2014/main" id="{00000000-0008-0000-0300-000059250000}"/>
            </a:ext>
          </a:extLst>
        </xdr:cNvPr>
        <xdr:cNvSpPr/>
      </xdr:nvSpPr>
      <xdr:spPr>
        <a:xfrm>
          <a:off x="2226469" y="97762218"/>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las Excedentes energéticos</a:t>
          </a:r>
        </a:p>
      </xdr:txBody>
    </xdr:sp>
    <xdr:clientData/>
  </xdr:twoCellAnchor>
  <xdr:twoCellAnchor>
    <xdr:from>
      <xdr:col>2</xdr:col>
      <xdr:colOff>185738</xdr:colOff>
      <xdr:row>534</xdr:row>
      <xdr:rowOff>111918</xdr:rowOff>
    </xdr:from>
    <xdr:to>
      <xdr:col>16</xdr:col>
      <xdr:colOff>223838</xdr:colOff>
      <xdr:row>540</xdr:row>
      <xdr:rowOff>35718</xdr:rowOff>
    </xdr:to>
    <xdr:sp macro="" textlink="">
      <xdr:nvSpPr>
        <xdr:cNvPr id="9562" name="Rectángulo: esquinas redondeadas 9561">
          <a:extLst>
            <a:ext uri="{FF2B5EF4-FFF2-40B4-BE49-F238E27FC236}">
              <a16:creationId xmlns:a16="http://schemas.microsoft.com/office/drawing/2014/main" id="{00000000-0008-0000-0300-00005A250000}"/>
            </a:ext>
          </a:extLst>
        </xdr:cNvPr>
        <xdr:cNvSpPr/>
      </xdr:nvSpPr>
      <xdr:spPr>
        <a:xfrm>
          <a:off x="2328863" y="99707699"/>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muestra las reducciones en la emisión de GEI en la agricultura resultado de la implementación de medidas como lo son los sistemas agroforestales o el uso eficiente de fertilizantes, así como, por la plantación de caña de azúcar y palma de aceite dedicadas a la producción de biocombustibles.</a:t>
          </a:r>
          <a:endParaRPr lang="es-MX" sz="1200">
            <a:solidFill>
              <a:sysClr val="windowText" lastClr="000000"/>
            </a:solidFill>
          </a:endParaRPr>
        </a:p>
      </xdr:txBody>
    </xdr:sp>
    <xdr:clientData/>
  </xdr:twoCellAnchor>
  <xdr:twoCellAnchor>
    <xdr:from>
      <xdr:col>2</xdr:col>
      <xdr:colOff>119063</xdr:colOff>
      <xdr:row>532</xdr:row>
      <xdr:rowOff>190499</xdr:rowOff>
    </xdr:from>
    <xdr:to>
      <xdr:col>6</xdr:col>
      <xdr:colOff>176213</xdr:colOff>
      <xdr:row>535</xdr:row>
      <xdr:rowOff>173830</xdr:rowOff>
    </xdr:to>
    <xdr:sp macro="" textlink="">
      <xdr:nvSpPr>
        <xdr:cNvPr id="9566" name="Rectángulo: esquinas redondeadas 9565">
          <a:extLst>
            <a:ext uri="{FF2B5EF4-FFF2-40B4-BE49-F238E27FC236}">
              <a16:creationId xmlns:a16="http://schemas.microsoft.com/office/drawing/2014/main" id="{00000000-0008-0000-0300-00005E250000}"/>
            </a:ext>
          </a:extLst>
        </xdr:cNvPr>
        <xdr:cNvSpPr/>
      </xdr:nvSpPr>
      <xdr:spPr>
        <a:xfrm>
          <a:off x="2262188" y="99405280"/>
          <a:ext cx="3105150" cy="554831"/>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Emisiones de GEI generadas por mejores prácticas agrícolas y tierras para biocombustibles</a:t>
          </a:r>
        </a:p>
      </xdr:txBody>
    </xdr:sp>
    <xdr:clientData/>
  </xdr:twoCellAnchor>
  <xdr:twoCellAnchor>
    <xdr:from>
      <xdr:col>2</xdr:col>
      <xdr:colOff>233363</xdr:colOff>
      <xdr:row>543</xdr:row>
      <xdr:rowOff>88105</xdr:rowOff>
    </xdr:from>
    <xdr:to>
      <xdr:col>16</xdr:col>
      <xdr:colOff>271463</xdr:colOff>
      <xdr:row>549</xdr:row>
      <xdr:rowOff>11905</xdr:rowOff>
    </xdr:to>
    <xdr:sp macro="" textlink="">
      <xdr:nvSpPr>
        <xdr:cNvPr id="9567" name="Rectángulo: esquinas redondeadas 9566">
          <a:extLst>
            <a:ext uri="{FF2B5EF4-FFF2-40B4-BE49-F238E27FC236}">
              <a16:creationId xmlns:a16="http://schemas.microsoft.com/office/drawing/2014/main" id="{00000000-0008-0000-0300-00005F250000}"/>
            </a:ext>
          </a:extLst>
        </xdr:cNvPr>
        <xdr:cNvSpPr/>
      </xdr:nvSpPr>
      <xdr:spPr>
        <a:xfrm>
          <a:off x="2376488" y="101398386"/>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observa la producción de energía, del sector agricultura, resultado del aprovechamiento de los residuos agrícolas de los principales cultivos que tiene el país, tales como rastrojo, tallos, bagazo, cuesco, fibra.</a:t>
          </a:r>
          <a:endParaRPr lang="es-MX" sz="1200">
            <a:solidFill>
              <a:sysClr val="windowText" lastClr="000000"/>
            </a:solidFill>
          </a:endParaRPr>
        </a:p>
      </xdr:txBody>
    </xdr:sp>
    <xdr:clientData/>
  </xdr:twoCellAnchor>
  <xdr:twoCellAnchor>
    <xdr:from>
      <xdr:col>2</xdr:col>
      <xdr:colOff>166688</xdr:colOff>
      <xdr:row>541</xdr:row>
      <xdr:rowOff>180474</xdr:rowOff>
    </xdr:from>
    <xdr:to>
      <xdr:col>6</xdr:col>
      <xdr:colOff>223838</xdr:colOff>
      <xdr:row>544</xdr:row>
      <xdr:rowOff>102393</xdr:rowOff>
    </xdr:to>
    <xdr:sp macro="" textlink="">
      <xdr:nvSpPr>
        <xdr:cNvPr id="9568" name="Rectángulo: esquinas redondeadas 9567">
          <a:extLst>
            <a:ext uri="{FF2B5EF4-FFF2-40B4-BE49-F238E27FC236}">
              <a16:creationId xmlns:a16="http://schemas.microsoft.com/office/drawing/2014/main" id="{00000000-0008-0000-0300-000060250000}"/>
            </a:ext>
          </a:extLst>
        </xdr:cNvPr>
        <xdr:cNvSpPr/>
      </xdr:nvSpPr>
      <xdr:spPr>
        <a:xfrm>
          <a:off x="2312320" y="101065263"/>
          <a:ext cx="3105150" cy="493419"/>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Generación energética por el aprovechamiento de residuos agrícolas</a:t>
          </a:r>
        </a:p>
      </xdr:txBody>
    </xdr:sp>
    <xdr:clientData/>
  </xdr:twoCellAnchor>
  <xdr:twoCellAnchor>
    <xdr:from>
      <xdr:col>2</xdr:col>
      <xdr:colOff>280988</xdr:colOff>
      <xdr:row>552</xdr:row>
      <xdr:rowOff>88105</xdr:rowOff>
    </xdr:from>
    <xdr:to>
      <xdr:col>16</xdr:col>
      <xdr:colOff>319088</xdr:colOff>
      <xdr:row>558</xdr:row>
      <xdr:rowOff>11905</xdr:rowOff>
    </xdr:to>
    <xdr:sp macro="" textlink="">
      <xdr:nvSpPr>
        <xdr:cNvPr id="9569" name="Rectángulo: esquinas redondeadas 9568">
          <a:extLst>
            <a:ext uri="{FF2B5EF4-FFF2-40B4-BE49-F238E27FC236}">
              <a16:creationId xmlns:a16="http://schemas.microsoft.com/office/drawing/2014/main" id="{00000000-0008-0000-0300-000061250000}"/>
            </a:ext>
          </a:extLst>
        </xdr:cNvPr>
        <xdr:cNvSpPr/>
      </xdr:nvSpPr>
      <xdr:spPr>
        <a:xfrm>
          <a:off x="2424113" y="103112886"/>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El aprovechamiento</a:t>
          </a:r>
          <a:r>
            <a:rPr lang="es-MX" sz="1200" baseline="0">
              <a:solidFill>
                <a:sysClr val="windowText" lastClr="000000"/>
              </a:solidFill>
            </a:rPr>
            <a:t> de estos residuos es posible gracias a procesos que permiten la obtención de biogás para la generación de electricidad o calor.</a:t>
          </a:r>
          <a:endParaRPr lang="es-MX" sz="1200">
            <a:solidFill>
              <a:sysClr val="windowText" lastClr="000000"/>
            </a:solidFill>
          </a:endParaRPr>
        </a:p>
      </xdr:txBody>
    </xdr:sp>
    <xdr:clientData/>
  </xdr:twoCellAnchor>
  <xdr:twoCellAnchor>
    <xdr:from>
      <xdr:col>2</xdr:col>
      <xdr:colOff>214313</xdr:colOff>
      <xdr:row>550</xdr:row>
      <xdr:rowOff>170448</xdr:rowOff>
    </xdr:from>
    <xdr:to>
      <xdr:col>6</xdr:col>
      <xdr:colOff>271463</xdr:colOff>
      <xdr:row>553</xdr:row>
      <xdr:rowOff>102393</xdr:rowOff>
    </xdr:to>
    <xdr:sp macro="" textlink="">
      <xdr:nvSpPr>
        <xdr:cNvPr id="9570" name="Rectángulo: esquinas redondeadas 9569">
          <a:extLst>
            <a:ext uri="{FF2B5EF4-FFF2-40B4-BE49-F238E27FC236}">
              <a16:creationId xmlns:a16="http://schemas.microsoft.com/office/drawing/2014/main" id="{00000000-0008-0000-0300-000062250000}"/>
            </a:ext>
          </a:extLst>
        </xdr:cNvPr>
        <xdr:cNvSpPr/>
      </xdr:nvSpPr>
      <xdr:spPr>
        <a:xfrm>
          <a:off x="2359945" y="102769737"/>
          <a:ext cx="3105150" cy="50344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Producción de energía a partir de la gestión del estiércol</a:t>
          </a:r>
        </a:p>
      </xdr:txBody>
    </xdr:sp>
    <xdr:clientData/>
  </xdr:twoCellAnchor>
  <xdr:twoCellAnchor>
    <xdr:from>
      <xdr:col>2</xdr:col>
      <xdr:colOff>280987</xdr:colOff>
      <xdr:row>561</xdr:row>
      <xdr:rowOff>28574</xdr:rowOff>
    </xdr:from>
    <xdr:to>
      <xdr:col>16</xdr:col>
      <xdr:colOff>319087</xdr:colOff>
      <xdr:row>566</xdr:row>
      <xdr:rowOff>142874</xdr:rowOff>
    </xdr:to>
    <xdr:sp macro="" textlink="">
      <xdr:nvSpPr>
        <xdr:cNvPr id="9571" name="Rectángulo: esquinas redondeadas 9570">
          <a:extLst>
            <a:ext uri="{FF2B5EF4-FFF2-40B4-BE49-F238E27FC236}">
              <a16:creationId xmlns:a16="http://schemas.microsoft.com/office/drawing/2014/main" id="{00000000-0008-0000-0300-000063250000}"/>
            </a:ext>
          </a:extLst>
        </xdr:cNvPr>
        <xdr:cNvSpPr/>
      </xdr:nvSpPr>
      <xdr:spPr>
        <a:xfrm>
          <a:off x="2424112" y="104767855"/>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En el caso del sector forestal se presentan dos efectos que se muestran en esta gráfica. El primero, la generación de emisiones resultado de la pérdida de la cobertura forestal y, por otro, la absorción de carbono por la permanencia de dicha cobertura</a:t>
          </a:r>
          <a:endParaRPr lang="es-MX" sz="1200">
            <a:solidFill>
              <a:sysClr val="windowText" lastClr="000000"/>
            </a:solidFill>
          </a:endParaRPr>
        </a:p>
      </xdr:txBody>
    </xdr:sp>
    <xdr:clientData/>
  </xdr:twoCellAnchor>
  <xdr:twoCellAnchor>
    <xdr:from>
      <xdr:col>2</xdr:col>
      <xdr:colOff>214312</xdr:colOff>
      <xdr:row>559</xdr:row>
      <xdr:rowOff>110291</xdr:rowOff>
    </xdr:from>
    <xdr:to>
      <xdr:col>6</xdr:col>
      <xdr:colOff>271462</xdr:colOff>
      <xdr:row>562</xdr:row>
      <xdr:rowOff>42863</xdr:rowOff>
    </xdr:to>
    <xdr:sp macro="" textlink="">
      <xdr:nvSpPr>
        <xdr:cNvPr id="9572" name="Rectángulo: esquinas redondeadas 9571">
          <a:extLst>
            <a:ext uri="{FF2B5EF4-FFF2-40B4-BE49-F238E27FC236}">
              <a16:creationId xmlns:a16="http://schemas.microsoft.com/office/drawing/2014/main" id="{00000000-0008-0000-0300-000064250000}"/>
            </a:ext>
          </a:extLst>
        </xdr:cNvPr>
        <xdr:cNvSpPr/>
      </xdr:nvSpPr>
      <xdr:spPr>
        <a:xfrm>
          <a:off x="2359944" y="104424080"/>
          <a:ext cx="3105150" cy="504072"/>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Emisiones/absorciones de carbono por prácticas forestales</a:t>
          </a:r>
        </a:p>
      </xdr:txBody>
    </xdr:sp>
    <xdr:clientData/>
  </xdr:twoCellAnchor>
  <xdr:twoCellAnchor>
    <xdr:from>
      <xdr:col>5</xdr:col>
      <xdr:colOff>123825</xdr:colOff>
      <xdr:row>67</xdr:row>
      <xdr:rowOff>95250</xdr:rowOff>
    </xdr:from>
    <xdr:to>
      <xdr:col>7</xdr:col>
      <xdr:colOff>352426</xdr:colOff>
      <xdr:row>68</xdr:row>
      <xdr:rowOff>123826</xdr:rowOff>
    </xdr:to>
    <xdr:sp macro="" textlink="">
      <xdr:nvSpPr>
        <xdr:cNvPr id="3" name="Rectángulo 2">
          <a:hlinkClick xmlns:r="http://schemas.openxmlformats.org/officeDocument/2006/relationships" r:id="rId91"/>
          <a:extLst>
            <a:ext uri="{FF2B5EF4-FFF2-40B4-BE49-F238E27FC236}">
              <a16:creationId xmlns:a16="http://schemas.microsoft.com/office/drawing/2014/main" id="{00000000-0008-0000-0300-000003000000}"/>
            </a:ext>
          </a:extLst>
        </xdr:cNvPr>
        <xdr:cNvSpPr/>
      </xdr:nvSpPr>
      <xdr:spPr>
        <a:xfrm>
          <a:off x="4552950" y="11715750"/>
          <a:ext cx="1752601" cy="219076"/>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453</xdr:row>
      <xdr:rowOff>0</xdr:rowOff>
    </xdr:from>
    <xdr:to>
      <xdr:col>16</xdr:col>
      <xdr:colOff>142875</xdr:colOff>
      <xdr:row>459</xdr:row>
      <xdr:rowOff>76200</xdr:rowOff>
    </xdr:to>
    <xdr:grpSp>
      <xdr:nvGrpSpPr>
        <xdr:cNvPr id="18" name="Grupo 17">
          <a:extLst>
            <a:ext uri="{FF2B5EF4-FFF2-40B4-BE49-F238E27FC236}">
              <a16:creationId xmlns:a16="http://schemas.microsoft.com/office/drawing/2014/main" id="{00000000-0008-0000-0300-000012000000}"/>
            </a:ext>
          </a:extLst>
        </xdr:cNvPr>
        <xdr:cNvGrpSpPr/>
      </xdr:nvGrpSpPr>
      <xdr:grpSpPr>
        <a:xfrm>
          <a:off x="2143125" y="87082313"/>
          <a:ext cx="10810875" cy="1314450"/>
          <a:chOff x="2057399" y="48520349"/>
          <a:chExt cx="10810875" cy="1219200"/>
        </a:xfrm>
      </xdr:grpSpPr>
      <xdr:sp macro="" textlink="">
        <xdr:nvSpPr>
          <xdr:cNvPr id="19" name="Rectángulo: esquinas redondeadas 18">
            <a:extLst>
              <a:ext uri="{FF2B5EF4-FFF2-40B4-BE49-F238E27FC236}">
                <a16:creationId xmlns:a16="http://schemas.microsoft.com/office/drawing/2014/main" id="{00000000-0008-0000-0300-000013000000}"/>
              </a:ext>
            </a:extLst>
          </xdr:cNvPr>
          <xdr:cNvSpPr/>
        </xdr:nvSpPr>
        <xdr:spPr>
          <a:xfrm>
            <a:off x="2057399" y="48520349"/>
            <a:ext cx="10810875" cy="1219200"/>
          </a:xfrm>
          <a:prstGeom prst="roundRect">
            <a:avLst/>
          </a:prstGeom>
          <a:solidFill>
            <a:schemeClr val="bg1"/>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b="1">
                <a:solidFill>
                  <a:schemeClr val="accent2">
                    <a:lumMod val="50000"/>
                  </a:schemeClr>
                </a:solidFill>
              </a:rPr>
              <a:t>CONSIDERACIÓN</a:t>
            </a:r>
          </a:p>
          <a:p>
            <a:pPr algn="l"/>
            <a:endParaRPr lang="es-ES" sz="1100" b="1">
              <a:solidFill>
                <a:schemeClr val="accent2">
                  <a:lumMod val="50000"/>
                </a:schemeClr>
              </a:solidFill>
            </a:endParaRPr>
          </a:p>
          <a:p>
            <a:pPr algn="l"/>
            <a:endParaRPr lang="es-ES" sz="1100" b="1">
              <a:solidFill>
                <a:schemeClr val="accent2">
                  <a:lumMod val="50000"/>
                </a:schemeClr>
              </a:solidFill>
            </a:endParaRPr>
          </a:p>
        </xdr:txBody>
      </xdr:sp>
      <xdr:sp macro="" textlink="">
        <xdr:nvSpPr>
          <xdr:cNvPr id="9732" name="CuadroTexto 9731">
            <a:extLst>
              <a:ext uri="{FF2B5EF4-FFF2-40B4-BE49-F238E27FC236}">
                <a16:creationId xmlns:a16="http://schemas.microsoft.com/office/drawing/2014/main" id="{00000000-0008-0000-0300-000004260000}"/>
              </a:ext>
            </a:extLst>
          </xdr:cNvPr>
          <xdr:cNvSpPr txBox="1"/>
        </xdr:nvSpPr>
        <xdr:spPr>
          <a:xfrm>
            <a:off x="2125981" y="48844200"/>
            <a:ext cx="10656568" cy="866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a:t>Es</a:t>
            </a:r>
            <a:r>
              <a:rPr lang="es-ES" sz="1200" baseline="0"/>
              <a:t> importante considerar la interrelación de los diferentes sectores que conforman esta calculadora a la hora de revisar los resultados, ya que la selección de una trayectoria en un sector puede afectar a los resultados de otros sectores. </a:t>
            </a:r>
          </a:p>
          <a:p>
            <a:r>
              <a:rPr lang="es-ES" sz="1200" baseline="0"/>
              <a:t>Es decir, por ejemplo el aumento de la eficiencia energética en el sector industria, implicará un menor consumo eléctrico y por lo tanto los excedentes eléctricos del país serán mayores.</a:t>
            </a:r>
            <a:endParaRPr lang="es-ES" sz="1200"/>
          </a:p>
        </xdr:txBody>
      </xdr:sp>
    </xdr:grpSp>
    <xdr:clientData/>
  </xdr:twoCellAnchor>
  <xdr:twoCellAnchor editAs="oneCell">
    <xdr:from>
      <xdr:col>3</xdr:col>
      <xdr:colOff>409575</xdr:colOff>
      <xdr:row>452</xdr:row>
      <xdr:rowOff>171450</xdr:rowOff>
    </xdr:from>
    <xdr:to>
      <xdr:col>4</xdr:col>
      <xdr:colOff>38100</xdr:colOff>
      <xdr:row>454</xdr:row>
      <xdr:rowOff>180975</xdr:rowOff>
    </xdr:to>
    <xdr:pic>
      <xdr:nvPicPr>
        <xdr:cNvPr id="9736" name="Gráfico 9735" descr="Advertencia con relleno sólido">
          <a:extLst>
            <a:ext uri="{FF2B5EF4-FFF2-40B4-BE49-F238E27FC236}">
              <a16:creationId xmlns:a16="http://schemas.microsoft.com/office/drawing/2014/main" id="{00000000-0008-0000-0300-00000826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 uri="{96DAC541-7B7A-43D3-8B79-37D633B846F1}">
              <asvg:svgBlip xmlns:asvg="http://schemas.microsoft.com/office/drawing/2016/SVG/main" r:embed="rId93"/>
            </a:ext>
          </a:extLst>
        </a:blip>
        <a:stretch>
          <a:fillRect/>
        </a:stretch>
      </xdr:blipFill>
      <xdr:spPr>
        <a:xfrm>
          <a:off x="3314700" y="85677375"/>
          <a:ext cx="390525" cy="390525"/>
        </a:xfrm>
        <a:prstGeom prst="rect">
          <a:avLst/>
        </a:prstGeom>
      </xdr:spPr>
    </xdr:pic>
    <xdr:clientData/>
  </xdr:twoCellAnchor>
  <xdr:twoCellAnchor editAs="oneCell">
    <xdr:from>
      <xdr:col>1</xdr:col>
      <xdr:colOff>180975</xdr:colOff>
      <xdr:row>462</xdr:row>
      <xdr:rowOff>123824</xdr:rowOff>
    </xdr:from>
    <xdr:to>
      <xdr:col>1</xdr:col>
      <xdr:colOff>742950</xdr:colOff>
      <xdr:row>465</xdr:row>
      <xdr:rowOff>57149</xdr:rowOff>
    </xdr:to>
    <xdr:pic>
      <xdr:nvPicPr>
        <xdr:cNvPr id="9738" name="Gráfico 9737" descr="Señal con relleno sólido">
          <a:extLst>
            <a:ext uri="{FF2B5EF4-FFF2-40B4-BE49-F238E27FC236}">
              <a16:creationId xmlns:a16="http://schemas.microsoft.com/office/drawing/2014/main" id="{00000000-0008-0000-0300-00000A26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 uri="{96DAC541-7B7A-43D3-8B79-37D633B846F1}">
              <asvg:svgBlip xmlns:asvg="http://schemas.microsoft.com/office/drawing/2016/SVG/main" r:embed="rId95"/>
            </a:ext>
          </a:extLst>
        </a:blip>
        <a:stretch>
          <a:fillRect/>
        </a:stretch>
      </xdr:blipFill>
      <xdr:spPr>
        <a:xfrm>
          <a:off x="1562100" y="87553799"/>
          <a:ext cx="561975" cy="561975"/>
        </a:xfrm>
        <a:prstGeom prst="rect">
          <a:avLst/>
        </a:prstGeom>
      </xdr:spPr>
    </xdr:pic>
    <xdr:clientData/>
  </xdr:twoCellAnchor>
  <xdr:twoCellAnchor editAs="oneCell">
    <xdr:from>
      <xdr:col>12</xdr:col>
      <xdr:colOff>0</xdr:colOff>
      <xdr:row>19</xdr:row>
      <xdr:rowOff>1</xdr:rowOff>
    </xdr:from>
    <xdr:to>
      <xdr:col>13</xdr:col>
      <xdr:colOff>295275</xdr:colOff>
      <xdr:row>24</xdr:row>
      <xdr:rowOff>104776</xdr:rowOff>
    </xdr:to>
    <xdr:pic>
      <xdr:nvPicPr>
        <xdr:cNvPr id="13" name="Imagen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96">
          <a:duotone>
            <a:schemeClr val="accent2">
              <a:shade val="45000"/>
              <a:satMod val="135000"/>
            </a:schemeClr>
            <a:prstClr val="white"/>
          </a:duotone>
        </a:blip>
        <a:stretch>
          <a:fillRect/>
        </a:stretch>
      </xdr:blipFill>
      <xdr:spPr>
        <a:xfrm>
          <a:off x="9763125" y="3619501"/>
          <a:ext cx="1057275" cy="1057275"/>
        </a:xfrm>
        <a:prstGeom prst="rect">
          <a:avLst/>
        </a:prstGeom>
      </xdr:spPr>
    </xdr:pic>
    <xdr:clientData/>
  </xdr:twoCellAnchor>
  <xdr:twoCellAnchor editAs="oneCell">
    <xdr:from>
      <xdr:col>13</xdr:col>
      <xdr:colOff>561066</xdr:colOff>
      <xdr:row>19</xdr:row>
      <xdr:rowOff>0</xdr:rowOff>
    </xdr:from>
    <xdr:to>
      <xdr:col>16</xdr:col>
      <xdr:colOff>547311</xdr:colOff>
      <xdr:row>24</xdr:row>
      <xdr:rowOff>123826</xdr:rowOff>
    </xdr:to>
    <xdr:pic>
      <xdr:nvPicPr>
        <xdr:cNvPr id="17" name="Imagen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97"/>
        <a:stretch>
          <a:fillRect/>
        </a:stretch>
      </xdr:blipFill>
      <xdr:spPr>
        <a:xfrm>
          <a:off x="11086191" y="3619500"/>
          <a:ext cx="2272245" cy="107632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361950</xdr:colOff>
      <xdr:row>4</xdr:row>
      <xdr:rowOff>152400</xdr:rowOff>
    </xdr:from>
    <xdr:to>
      <xdr:col>2</xdr:col>
      <xdr:colOff>809625</xdr:colOff>
      <xdr:row>7</xdr:row>
      <xdr:rowOff>29937</xdr:rowOff>
    </xdr:to>
    <xdr:grpSp>
      <xdr:nvGrpSpPr>
        <xdr:cNvPr id="22" name="Grupo 21">
          <a:hlinkClick xmlns:r="http://schemas.openxmlformats.org/officeDocument/2006/relationships" r:id="rId1"/>
          <a:extLst>
            <a:ext uri="{FF2B5EF4-FFF2-40B4-BE49-F238E27FC236}">
              <a16:creationId xmlns:a16="http://schemas.microsoft.com/office/drawing/2014/main" id="{00000000-0008-0000-0400-000016000000}"/>
            </a:ext>
          </a:extLst>
        </xdr:cNvPr>
        <xdr:cNvGrpSpPr/>
      </xdr:nvGrpSpPr>
      <xdr:grpSpPr>
        <a:xfrm>
          <a:off x="1743075" y="914400"/>
          <a:ext cx="1209675" cy="449037"/>
          <a:chOff x="760639" y="1152525"/>
          <a:chExt cx="1258661" cy="449037"/>
        </a:xfrm>
      </xdr:grpSpPr>
      <xdr:sp macro="" textlink="">
        <xdr:nvSpPr>
          <xdr:cNvPr id="23" name="Rectángulo: esquinas redondeadas 22">
            <a:extLst>
              <a:ext uri="{FF2B5EF4-FFF2-40B4-BE49-F238E27FC236}">
                <a16:creationId xmlns:a16="http://schemas.microsoft.com/office/drawing/2014/main" id="{00000000-0008-0000-0400-000017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24" name="Gráfico 23" descr="Flecha: giro a la izquierda con relleno sólido">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5400000">
            <a:off x="1552575" y="1162051"/>
            <a:ext cx="419100" cy="419100"/>
          </a:xfrm>
          <a:prstGeom prst="rect">
            <a:avLst/>
          </a:prstGeom>
        </xdr:spPr>
      </xdr:pic>
    </xdr:grpSp>
    <xdr:clientData/>
  </xdr:twoCellAnchor>
  <xdr:twoCellAnchor>
    <xdr:from>
      <xdr:col>1</xdr:col>
      <xdr:colOff>352425</xdr:colOff>
      <xdr:row>0</xdr:row>
      <xdr:rowOff>114300</xdr:rowOff>
    </xdr:from>
    <xdr:to>
      <xdr:col>4</xdr:col>
      <xdr:colOff>47625</xdr:colOff>
      <xdr:row>4</xdr:row>
      <xdr:rowOff>133350</xdr:rowOff>
    </xdr:to>
    <xdr:grpSp>
      <xdr:nvGrpSpPr>
        <xdr:cNvPr id="28" name="Grupo 27">
          <a:extLst>
            <a:ext uri="{FF2B5EF4-FFF2-40B4-BE49-F238E27FC236}">
              <a16:creationId xmlns:a16="http://schemas.microsoft.com/office/drawing/2014/main" id="{00000000-0008-0000-0400-00001C000000}"/>
            </a:ext>
          </a:extLst>
        </xdr:cNvPr>
        <xdr:cNvGrpSpPr/>
      </xdr:nvGrpSpPr>
      <xdr:grpSpPr>
        <a:xfrm>
          <a:off x="1733550" y="114300"/>
          <a:ext cx="12553950" cy="781050"/>
          <a:chOff x="1733550" y="114300"/>
          <a:chExt cx="11277600" cy="695325"/>
        </a:xfrm>
      </xdr:grpSpPr>
      <xdr:sp macro="" textlink="">
        <xdr:nvSpPr>
          <xdr:cNvPr id="25" name="Rectángulo: esquinas redondeadas 24">
            <a:extLst>
              <a:ext uri="{FF2B5EF4-FFF2-40B4-BE49-F238E27FC236}">
                <a16:creationId xmlns:a16="http://schemas.microsoft.com/office/drawing/2014/main" id="{00000000-0008-0000-0400-000019000000}"/>
              </a:ext>
            </a:extLst>
          </xdr:cNvPr>
          <xdr:cNvSpPr/>
        </xdr:nvSpPr>
        <xdr:spPr>
          <a:xfrm>
            <a:off x="1733550" y="161925"/>
            <a:ext cx="11277600" cy="59055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EQUIVALENCIA</a:t>
            </a:r>
            <a:r>
              <a:rPr lang="es-ES" sz="2800" b="1" baseline="0"/>
              <a:t> IPCC</a:t>
            </a:r>
            <a:endParaRPr lang="es-ES" sz="2800" b="1"/>
          </a:p>
        </xdr:txBody>
      </xdr:sp>
      <xdr:pic>
        <xdr:nvPicPr>
          <xdr:cNvPr id="27" name="Gráfico 26" descr="Mezclar con relleno sólido">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2192000" y="114300"/>
            <a:ext cx="695325" cy="695325"/>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6" name="Grupo 25">
          <a:hlinkClick xmlns:r="http://schemas.openxmlformats.org/officeDocument/2006/relationships" r:id="rId6"/>
          <a:extLst>
            <a:ext uri="{FF2B5EF4-FFF2-40B4-BE49-F238E27FC236}">
              <a16:creationId xmlns:a16="http://schemas.microsoft.com/office/drawing/2014/main" id="{00000000-0008-0000-0400-00001A000000}"/>
            </a:ext>
          </a:extLst>
        </xdr:cNvPr>
        <xdr:cNvGrpSpPr/>
      </xdr:nvGrpSpPr>
      <xdr:grpSpPr>
        <a:xfrm>
          <a:off x="0" y="0"/>
          <a:ext cx="1381125" cy="328014"/>
          <a:chOff x="91104" y="65606"/>
          <a:chExt cx="1192701" cy="328014"/>
        </a:xfrm>
      </xdr:grpSpPr>
      <xdr:sp macro="" textlink="">
        <xdr:nvSpPr>
          <xdr:cNvPr id="29" name="Rectángulo 28">
            <a:extLst>
              <a:ext uri="{FF2B5EF4-FFF2-40B4-BE49-F238E27FC236}">
                <a16:creationId xmlns:a16="http://schemas.microsoft.com/office/drawing/2014/main" id="{00000000-0008-0000-04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0400-00001F000000}"/>
            </a:ext>
          </a:extLst>
        </xdr:cNvPr>
        <xdr:cNvGrpSpPr/>
      </xdr:nvGrpSpPr>
      <xdr:grpSpPr>
        <a:xfrm>
          <a:off x="0" y="4710117"/>
          <a:ext cx="1295400" cy="638178"/>
          <a:chOff x="0" y="3671892"/>
          <a:chExt cx="1295400" cy="638178"/>
        </a:xfrm>
      </xdr:grpSpPr>
      <xdr:sp macro="" textlink="">
        <xdr:nvSpPr>
          <xdr:cNvPr id="32" name="Rectángulo: esquinas superiores redondeadas 31">
            <a:extLst>
              <a:ext uri="{FF2B5EF4-FFF2-40B4-BE49-F238E27FC236}">
                <a16:creationId xmlns:a16="http://schemas.microsoft.com/office/drawing/2014/main" id="{00000000-0008-0000-0400-000020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3" name="Gráfico 32" descr="Información con relleno sólido">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4" name="Grupo 33">
          <a:hlinkClick xmlns:r="http://schemas.openxmlformats.org/officeDocument/2006/relationships" r:id="rId11"/>
          <a:extLst>
            <a:ext uri="{FF2B5EF4-FFF2-40B4-BE49-F238E27FC236}">
              <a16:creationId xmlns:a16="http://schemas.microsoft.com/office/drawing/2014/main" id="{00000000-0008-0000-0400-000022000000}"/>
            </a:ext>
          </a:extLst>
        </xdr:cNvPr>
        <xdr:cNvGrpSpPr/>
      </xdr:nvGrpSpPr>
      <xdr:grpSpPr>
        <a:xfrm>
          <a:off x="0" y="3760792"/>
          <a:ext cx="1304926" cy="638178"/>
          <a:chOff x="0" y="2767017"/>
          <a:chExt cx="1304926" cy="638178"/>
        </a:xfrm>
      </xdr:grpSpPr>
      <xdr:sp macro="" textlink="">
        <xdr:nvSpPr>
          <xdr:cNvPr id="35" name="Rectángulo: esquinas superiores redondeadas 34">
            <a:extLst>
              <a:ext uri="{FF2B5EF4-FFF2-40B4-BE49-F238E27FC236}">
                <a16:creationId xmlns:a16="http://schemas.microsoft.com/office/drawing/2014/main" id="{00000000-0008-0000-0400-000023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6" name="Gráfico 35" descr="Gráfico de barras con relleno sólido">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7" name="Grupo 36">
          <a:hlinkClick xmlns:r="http://schemas.openxmlformats.org/officeDocument/2006/relationships" r:id="rId14"/>
          <a:extLst>
            <a:ext uri="{FF2B5EF4-FFF2-40B4-BE49-F238E27FC236}">
              <a16:creationId xmlns:a16="http://schemas.microsoft.com/office/drawing/2014/main" id="{00000000-0008-0000-0400-000025000000}"/>
            </a:ext>
          </a:extLst>
        </xdr:cNvPr>
        <xdr:cNvGrpSpPr/>
      </xdr:nvGrpSpPr>
      <xdr:grpSpPr>
        <a:xfrm>
          <a:off x="0" y="2811467"/>
          <a:ext cx="1323975" cy="638178"/>
          <a:chOff x="0" y="1862142"/>
          <a:chExt cx="1323975" cy="638178"/>
        </a:xfrm>
      </xdr:grpSpPr>
      <xdr:sp macro="" textlink="">
        <xdr:nvSpPr>
          <xdr:cNvPr id="38" name="Rectángulo: esquinas superiores redondeadas 37">
            <a:extLst>
              <a:ext uri="{FF2B5EF4-FFF2-40B4-BE49-F238E27FC236}">
                <a16:creationId xmlns:a16="http://schemas.microsoft.com/office/drawing/2014/main" id="{00000000-0008-0000-0400-00002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9" name="Gráfico 38" descr="Alternar con relleno sólido">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0" name="Grupo 39">
          <a:hlinkClick xmlns:r="http://schemas.openxmlformats.org/officeDocument/2006/relationships" r:id="rId17"/>
          <a:extLst>
            <a:ext uri="{FF2B5EF4-FFF2-40B4-BE49-F238E27FC236}">
              <a16:creationId xmlns:a16="http://schemas.microsoft.com/office/drawing/2014/main" id="{00000000-0008-0000-0400-000028000000}"/>
            </a:ext>
          </a:extLst>
        </xdr:cNvPr>
        <xdr:cNvGrpSpPr/>
      </xdr:nvGrpSpPr>
      <xdr:grpSpPr>
        <a:xfrm>
          <a:off x="0" y="1862142"/>
          <a:ext cx="1295400" cy="638178"/>
          <a:chOff x="0" y="1862142"/>
          <a:chExt cx="1295400" cy="638178"/>
        </a:xfrm>
      </xdr:grpSpPr>
      <xdr:sp macro="" textlink="">
        <xdr:nvSpPr>
          <xdr:cNvPr id="41" name="Rectángulo: esquinas superiores redondeadas 40">
            <a:extLst>
              <a:ext uri="{FF2B5EF4-FFF2-40B4-BE49-F238E27FC236}">
                <a16:creationId xmlns:a16="http://schemas.microsoft.com/office/drawing/2014/main" id="{00000000-0008-0000-0400-000029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2" name="Gráfico 41" descr="Lista con relleno sólido">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3" name="Grupo 42">
          <a:hlinkClick xmlns:r="http://schemas.openxmlformats.org/officeDocument/2006/relationships" r:id="rId20"/>
          <a:extLst>
            <a:ext uri="{FF2B5EF4-FFF2-40B4-BE49-F238E27FC236}">
              <a16:creationId xmlns:a16="http://schemas.microsoft.com/office/drawing/2014/main" id="{00000000-0008-0000-0400-00002B000000}"/>
            </a:ext>
          </a:extLst>
        </xdr:cNvPr>
        <xdr:cNvGrpSpPr/>
      </xdr:nvGrpSpPr>
      <xdr:grpSpPr>
        <a:xfrm>
          <a:off x="0" y="6477000"/>
          <a:ext cx="1240383" cy="416889"/>
          <a:chOff x="28575" y="6381750"/>
          <a:chExt cx="1240383" cy="416889"/>
        </a:xfrm>
      </xdr:grpSpPr>
      <xdr:pic>
        <xdr:nvPicPr>
          <xdr:cNvPr id="44" name="Gráfico 43" descr="Engranaje único con relleno sólido">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45" name="CuadroTexto 44">
            <a:extLst>
              <a:ext uri="{FF2B5EF4-FFF2-40B4-BE49-F238E27FC236}">
                <a16:creationId xmlns:a16="http://schemas.microsoft.com/office/drawing/2014/main" id="{00000000-0008-0000-0400-00002D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704851</xdr:colOff>
      <xdr:row>7</xdr:row>
      <xdr:rowOff>123825</xdr:rowOff>
    </xdr:from>
    <xdr:to>
      <xdr:col>4</xdr:col>
      <xdr:colOff>28575</xdr:colOff>
      <xdr:row>11</xdr:row>
      <xdr:rowOff>76200</xdr:rowOff>
    </xdr:to>
    <xdr:sp macro="" textlink="">
      <xdr:nvSpPr>
        <xdr:cNvPr id="4" name="Rectángulo: esquinas redondeadas 3">
          <a:extLst>
            <a:ext uri="{FF2B5EF4-FFF2-40B4-BE49-F238E27FC236}">
              <a16:creationId xmlns:a16="http://schemas.microsoft.com/office/drawing/2014/main" id="{00000000-0008-0000-0400-000004000000}"/>
            </a:ext>
          </a:extLst>
        </xdr:cNvPr>
        <xdr:cNvSpPr/>
      </xdr:nvSpPr>
      <xdr:spPr>
        <a:xfrm>
          <a:off x="2085976" y="1457325"/>
          <a:ext cx="12182474" cy="714375"/>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s-MX" sz="1050" i="0">
              <a:solidFill>
                <a:sysClr val="windowText" lastClr="000000"/>
              </a:solidFill>
              <a:effectLst/>
              <a:latin typeface="+mn-lt"/>
              <a:ea typeface="+mn-ea"/>
              <a:cs typeface="+mn-cs"/>
            </a:rPr>
            <a:t>A</a:t>
          </a:r>
          <a:r>
            <a:rPr lang="es-MX" sz="1050" i="0" baseline="0">
              <a:solidFill>
                <a:sysClr val="windowText" lastClr="000000"/>
              </a:solidFill>
              <a:effectLst/>
              <a:latin typeface="+mn-lt"/>
              <a:ea typeface="+mn-ea"/>
              <a:cs typeface="+mn-cs"/>
            </a:rPr>
            <a:t> continuación se incluyen las equivalencias de los sectores contemplados por la Calculadora Colombiana de Carbono 2050 y los sectores definidos por el IPCC.  Debido a que el enfoque y alcance de ambos no es exactamente el mismo es posible que alguna de las categorías haya sido duplicada o que a un mismo sector le correspondan más de una categoría del IPCC o ninguna. </a:t>
          </a:r>
          <a:endParaRPr lang="es-ES" sz="105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62279</xdr:colOff>
      <xdr:row>16</xdr:row>
      <xdr:rowOff>72537</xdr:rowOff>
    </xdr:from>
    <xdr:to>
      <xdr:col>3</xdr:col>
      <xdr:colOff>477860</xdr:colOff>
      <xdr:row>18</xdr:row>
      <xdr:rowOff>96129</xdr:rowOff>
    </xdr:to>
    <xdr:pic>
      <xdr:nvPicPr>
        <xdr:cNvPr id="10" name="Gráfico 4" descr="Batería en carga con relleno sólido">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739679" y="3120537"/>
          <a:ext cx="411771" cy="400782"/>
        </a:xfrm>
        <a:prstGeom prst="rect">
          <a:avLst/>
        </a:prstGeom>
      </xdr:spPr>
    </xdr:pic>
    <xdr:clientData/>
  </xdr:twoCellAnchor>
  <xdr:twoCellAnchor editAs="oneCell">
    <xdr:from>
      <xdr:col>3</xdr:col>
      <xdr:colOff>76934</xdr:colOff>
      <xdr:row>20</xdr:row>
      <xdr:rowOff>0</xdr:rowOff>
    </xdr:from>
    <xdr:to>
      <xdr:col>3</xdr:col>
      <xdr:colOff>477862</xdr:colOff>
      <xdr:row>22</xdr:row>
      <xdr:rowOff>19706</xdr:rowOff>
    </xdr:to>
    <xdr:pic>
      <xdr:nvPicPr>
        <xdr:cNvPr id="15" name="Gráfico 6" descr="Alta tensión con relleno sólido">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754334" y="3810000"/>
          <a:ext cx="397118" cy="396896"/>
        </a:xfrm>
        <a:prstGeom prst="rect">
          <a:avLst/>
        </a:prstGeom>
      </xdr:spPr>
    </xdr:pic>
    <xdr:clientData/>
  </xdr:twoCellAnchor>
  <xdr:twoCellAnchor editAs="oneCell">
    <xdr:from>
      <xdr:col>3</xdr:col>
      <xdr:colOff>101113</xdr:colOff>
      <xdr:row>24</xdr:row>
      <xdr:rowOff>86458</xdr:rowOff>
    </xdr:from>
    <xdr:to>
      <xdr:col>3</xdr:col>
      <xdr:colOff>479766</xdr:colOff>
      <xdr:row>26</xdr:row>
      <xdr:rowOff>49285</xdr:rowOff>
    </xdr:to>
    <xdr:pic>
      <xdr:nvPicPr>
        <xdr:cNvPr id="9" name="Gráfico 8" descr="Producción con relleno sólido">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778513" y="4658458"/>
          <a:ext cx="374843" cy="341922"/>
        </a:xfrm>
        <a:prstGeom prst="rect">
          <a:avLst/>
        </a:prstGeom>
      </xdr:spPr>
    </xdr:pic>
    <xdr:clientData/>
  </xdr:twoCellAnchor>
  <xdr:twoCellAnchor editAs="oneCell">
    <xdr:from>
      <xdr:col>3</xdr:col>
      <xdr:colOff>127978</xdr:colOff>
      <xdr:row>31</xdr:row>
      <xdr:rowOff>57150</xdr:rowOff>
    </xdr:from>
    <xdr:to>
      <xdr:col>3</xdr:col>
      <xdr:colOff>495788</xdr:colOff>
      <xdr:row>33</xdr:row>
      <xdr:rowOff>22858</xdr:rowOff>
    </xdr:to>
    <xdr:pic>
      <xdr:nvPicPr>
        <xdr:cNvPr id="11" name="Gráfico 10" descr="Basura con relleno sólido">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567003" y="7105650"/>
          <a:ext cx="367810" cy="342899"/>
        </a:xfrm>
        <a:prstGeom prst="rect">
          <a:avLst/>
        </a:prstGeom>
      </xdr:spPr>
    </xdr:pic>
    <xdr:clientData/>
  </xdr:twoCellAnchor>
  <xdr:twoCellAnchor editAs="oneCell">
    <xdr:from>
      <xdr:col>3</xdr:col>
      <xdr:colOff>0</xdr:colOff>
      <xdr:row>57</xdr:row>
      <xdr:rowOff>177247</xdr:rowOff>
    </xdr:from>
    <xdr:to>
      <xdr:col>4</xdr:col>
      <xdr:colOff>2899</xdr:colOff>
      <xdr:row>60</xdr:row>
      <xdr:rowOff>149088</xdr:rowOff>
    </xdr:to>
    <xdr:pic>
      <xdr:nvPicPr>
        <xdr:cNvPr id="4" name="Gráfico 3" descr="Coche eléctrico con relleno sólido">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988324" y="11102008"/>
          <a:ext cx="538370" cy="538370"/>
        </a:xfrm>
        <a:prstGeom prst="rect">
          <a:avLst/>
        </a:prstGeom>
      </xdr:spPr>
    </xdr:pic>
    <xdr:clientData/>
  </xdr:twoCellAnchor>
  <xdr:twoCellAnchor editAs="oneCell">
    <xdr:from>
      <xdr:col>3</xdr:col>
      <xdr:colOff>80755</xdr:colOff>
      <xdr:row>39</xdr:row>
      <xdr:rowOff>180147</xdr:rowOff>
    </xdr:from>
    <xdr:to>
      <xdr:col>3</xdr:col>
      <xdr:colOff>517829</xdr:colOff>
      <xdr:row>42</xdr:row>
      <xdr:rowOff>57233</xdr:rowOff>
    </xdr:to>
    <xdr:pic>
      <xdr:nvPicPr>
        <xdr:cNvPr id="8" name="Gráfico 7" descr="Escena suburbana con relleno sólido">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519780" y="8752647"/>
          <a:ext cx="448504" cy="444776"/>
        </a:xfrm>
        <a:prstGeom prst="rect">
          <a:avLst/>
        </a:prstGeom>
      </xdr:spPr>
    </xdr:pic>
    <xdr:clientData/>
  </xdr:twoCellAnchor>
  <xdr:twoCellAnchor editAs="oneCell">
    <xdr:from>
      <xdr:col>3</xdr:col>
      <xdr:colOff>66675</xdr:colOff>
      <xdr:row>73</xdr:row>
      <xdr:rowOff>160683</xdr:rowOff>
    </xdr:from>
    <xdr:to>
      <xdr:col>3</xdr:col>
      <xdr:colOff>511369</xdr:colOff>
      <xdr:row>76</xdr:row>
      <xdr:rowOff>18554</xdr:rowOff>
    </xdr:to>
    <xdr:pic>
      <xdr:nvPicPr>
        <xdr:cNvPr id="12" name="Gráfico 11" descr="Cultivos con relleno sólido">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515475" y="13009908"/>
          <a:ext cx="448504" cy="452231"/>
        </a:xfrm>
        <a:prstGeom prst="rect">
          <a:avLst/>
        </a:prstGeom>
      </xdr:spPr>
    </xdr:pic>
    <xdr:clientData/>
  </xdr:twoCellAnchor>
  <xdr:twoCellAnchor editAs="oneCell">
    <xdr:from>
      <xdr:col>3</xdr:col>
      <xdr:colOff>55959</xdr:colOff>
      <xdr:row>80</xdr:row>
      <xdr:rowOff>5139</xdr:rowOff>
    </xdr:from>
    <xdr:to>
      <xdr:col>3</xdr:col>
      <xdr:colOff>476134</xdr:colOff>
      <xdr:row>82</xdr:row>
      <xdr:rowOff>21957</xdr:rowOff>
    </xdr:to>
    <xdr:pic>
      <xdr:nvPicPr>
        <xdr:cNvPr id="5" name="Gráfico 15" descr="Vaca con relleno sólido">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729787" y="14282717"/>
          <a:ext cx="429700" cy="409248"/>
        </a:xfrm>
        <a:prstGeom prst="rect">
          <a:avLst/>
        </a:prstGeom>
      </xdr:spPr>
    </xdr:pic>
    <xdr:clientData/>
  </xdr:twoCellAnchor>
  <xdr:twoCellAnchor editAs="oneCell">
    <xdr:from>
      <xdr:col>3</xdr:col>
      <xdr:colOff>57150</xdr:colOff>
      <xdr:row>85</xdr:row>
      <xdr:rowOff>165651</xdr:rowOff>
    </xdr:from>
    <xdr:to>
      <xdr:col>3</xdr:col>
      <xdr:colOff>515179</xdr:colOff>
      <xdr:row>88</xdr:row>
      <xdr:rowOff>20615</xdr:rowOff>
    </xdr:to>
    <xdr:pic>
      <xdr:nvPicPr>
        <xdr:cNvPr id="6" name="Gráfico 18" descr="Selva tropical con relleno sólido">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730978" y="15405651"/>
          <a:ext cx="454219" cy="432179"/>
        </a:xfrm>
        <a:prstGeom prst="rect">
          <a:avLst/>
        </a:prstGeom>
      </xdr:spPr>
    </xdr:pic>
    <xdr:clientData/>
  </xdr:twoCellAnchor>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9"/>
          <a:extLst>
            <a:ext uri="{FF2B5EF4-FFF2-40B4-BE49-F238E27FC236}">
              <a16:creationId xmlns:a16="http://schemas.microsoft.com/office/drawing/2014/main" id="{00000000-0008-0000-0500-000019000000}"/>
            </a:ext>
          </a:extLst>
        </xdr:cNvPr>
        <xdr:cNvGrpSpPr/>
      </xdr:nvGrpSpPr>
      <xdr:grpSpPr>
        <a:xfrm>
          <a:off x="1381125" y="0"/>
          <a:ext cx="0" cy="328014"/>
          <a:chOff x="91104" y="65606"/>
          <a:chExt cx="1192701" cy="328014"/>
        </a:xfrm>
      </xdr:grpSpPr>
      <xdr:sp macro="" textlink="">
        <xdr:nvSpPr>
          <xdr:cNvPr id="26" name="Rectángulo 25">
            <a:extLst>
              <a:ext uri="{FF2B5EF4-FFF2-40B4-BE49-F238E27FC236}">
                <a16:creationId xmlns:a16="http://schemas.microsoft.com/office/drawing/2014/main" id="{00000000-0008-0000-05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1104" y="65606"/>
            <a:ext cx="331304" cy="328014"/>
          </a:xfrm>
          <a:prstGeom prst="rect">
            <a:avLst/>
          </a:prstGeom>
        </xdr:spPr>
      </xdr:pic>
    </xdr:grpSp>
    <xdr:clientData/>
  </xdr:twoCellAnchor>
  <xdr:twoCellAnchor>
    <xdr:from>
      <xdr:col>2</xdr:col>
      <xdr:colOff>104775</xdr:colOff>
      <xdr:row>1</xdr:row>
      <xdr:rowOff>38100</xdr:rowOff>
    </xdr:from>
    <xdr:to>
      <xdr:col>3</xdr:col>
      <xdr:colOff>400050</xdr:colOff>
      <xdr:row>4</xdr:row>
      <xdr:rowOff>57150</xdr:rowOff>
    </xdr:to>
    <xdr:sp macro="" textlink="">
      <xdr:nvSpPr>
        <xdr:cNvPr id="2" name="Rectángulo: esquinas redondeadas 1">
          <a:extLst>
            <a:ext uri="{FF2B5EF4-FFF2-40B4-BE49-F238E27FC236}">
              <a16:creationId xmlns:a16="http://schemas.microsoft.com/office/drawing/2014/main" id="{00000000-0008-0000-0500-000002000000}"/>
            </a:ext>
          </a:extLst>
        </xdr:cNvPr>
        <xdr:cNvSpPr/>
      </xdr:nvSpPr>
      <xdr:spPr>
        <a:xfrm>
          <a:off x="2000250" y="228600"/>
          <a:ext cx="5838825" cy="5905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Selección de trayectorias</a:t>
          </a:r>
        </a:p>
      </xdr:txBody>
    </xdr:sp>
    <xdr:clientData/>
  </xdr:twoCellAnchor>
  <xdr:twoCellAnchor>
    <xdr:from>
      <xdr:col>0</xdr:col>
      <xdr:colOff>0</xdr:colOff>
      <xdr:row>0</xdr:row>
      <xdr:rowOff>0</xdr:rowOff>
    </xdr:from>
    <xdr:to>
      <xdr:col>1</xdr:col>
      <xdr:colOff>0</xdr:colOff>
      <xdr:row>1</xdr:row>
      <xdr:rowOff>137514</xdr:rowOff>
    </xdr:to>
    <xdr:grpSp>
      <xdr:nvGrpSpPr>
        <xdr:cNvPr id="33" name="Grupo 32">
          <a:hlinkClick xmlns:r="http://schemas.openxmlformats.org/officeDocument/2006/relationships" r:id="rId19"/>
          <a:extLst>
            <a:ext uri="{FF2B5EF4-FFF2-40B4-BE49-F238E27FC236}">
              <a16:creationId xmlns:a16="http://schemas.microsoft.com/office/drawing/2014/main" id="{00000000-0008-0000-0500-000021000000}"/>
            </a:ext>
          </a:extLst>
        </xdr:cNvPr>
        <xdr:cNvGrpSpPr/>
      </xdr:nvGrpSpPr>
      <xdr:grpSpPr>
        <a:xfrm>
          <a:off x="0" y="0"/>
          <a:ext cx="1381125" cy="328014"/>
          <a:chOff x="91104" y="65606"/>
          <a:chExt cx="1192701" cy="328014"/>
        </a:xfrm>
      </xdr:grpSpPr>
      <xdr:sp macro="" textlink="">
        <xdr:nvSpPr>
          <xdr:cNvPr id="34" name="Rectángulo 33">
            <a:extLst>
              <a:ext uri="{FF2B5EF4-FFF2-40B4-BE49-F238E27FC236}">
                <a16:creationId xmlns:a16="http://schemas.microsoft.com/office/drawing/2014/main" id="{00000000-0008-0000-0500-00002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5" name="Gráfico 34" descr="Hogar con relleno sólido">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6" name="Grupo 35">
          <a:hlinkClick xmlns:r="http://schemas.openxmlformats.org/officeDocument/2006/relationships" r:id="rId22"/>
          <a:extLst>
            <a:ext uri="{FF2B5EF4-FFF2-40B4-BE49-F238E27FC236}">
              <a16:creationId xmlns:a16="http://schemas.microsoft.com/office/drawing/2014/main" id="{00000000-0008-0000-0500-000024000000}"/>
            </a:ext>
          </a:extLst>
        </xdr:cNvPr>
        <xdr:cNvGrpSpPr/>
      </xdr:nvGrpSpPr>
      <xdr:grpSpPr>
        <a:xfrm>
          <a:off x="0" y="4710117"/>
          <a:ext cx="1295400" cy="638178"/>
          <a:chOff x="0" y="3671892"/>
          <a:chExt cx="1295400" cy="638178"/>
        </a:xfrm>
      </xdr:grpSpPr>
      <xdr:sp macro="" textlink="">
        <xdr:nvSpPr>
          <xdr:cNvPr id="37" name="Rectángulo: esquinas superiores redondeadas 36">
            <a:extLst>
              <a:ext uri="{FF2B5EF4-FFF2-40B4-BE49-F238E27FC236}">
                <a16:creationId xmlns:a16="http://schemas.microsoft.com/office/drawing/2014/main" id="{00000000-0008-0000-0500-000025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8" name="Gráfico 37" descr="Información con relleno sólido">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0500-000027000000}"/>
            </a:ext>
          </a:extLst>
        </xdr:cNvPr>
        <xdr:cNvGrpSpPr/>
      </xdr:nvGrpSpPr>
      <xdr:grpSpPr>
        <a:xfrm>
          <a:off x="0" y="3760792"/>
          <a:ext cx="1304926" cy="638178"/>
          <a:chOff x="0" y="2767017"/>
          <a:chExt cx="1304926" cy="638178"/>
        </a:xfrm>
      </xdr:grpSpPr>
      <xdr:sp macro="" textlink="">
        <xdr:nvSpPr>
          <xdr:cNvPr id="40" name="Rectángulo: esquinas superiores redondeadas 39">
            <a:extLst>
              <a:ext uri="{FF2B5EF4-FFF2-40B4-BE49-F238E27FC236}">
                <a16:creationId xmlns:a16="http://schemas.microsoft.com/office/drawing/2014/main" id="{00000000-0008-0000-0500-000028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1" name="Gráfico 40" descr="Gráfico de barras con relleno sólido">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0500-00002A000000}"/>
            </a:ext>
          </a:extLst>
        </xdr:cNvPr>
        <xdr:cNvGrpSpPr/>
      </xdr:nvGrpSpPr>
      <xdr:grpSpPr>
        <a:xfrm>
          <a:off x="0" y="2811467"/>
          <a:ext cx="1323975" cy="638178"/>
          <a:chOff x="0" y="1862142"/>
          <a:chExt cx="1323975" cy="638178"/>
        </a:xfrm>
      </xdr:grpSpPr>
      <xdr:sp macro="" textlink="">
        <xdr:nvSpPr>
          <xdr:cNvPr id="43" name="Rectángulo: esquinas superiores redondeadas 42">
            <a:extLst>
              <a:ext uri="{FF2B5EF4-FFF2-40B4-BE49-F238E27FC236}">
                <a16:creationId xmlns:a16="http://schemas.microsoft.com/office/drawing/2014/main" id="{00000000-0008-0000-0500-00002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4" name="Gráfico 43" descr="Alternar con relleno sólido">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0500-00002D000000}"/>
            </a:ext>
          </a:extLst>
        </xdr:cNvPr>
        <xdr:cNvGrpSpPr/>
      </xdr:nvGrpSpPr>
      <xdr:grpSpPr>
        <a:xfrm>
          <a:off x="0" y="1862142"/>
          <a:ext cx="1295400" cy="638178"/>
          <a:chOff x="0" y="1862142"/>
          <a:chExt cx="1295400" cy="638178"/>
        </a:xfrm>
      </xdr:grpSpPr>
      <xdr:sp macro="" textlink="">
        <xdr:nvSpPr>
          <xdr:cNvPr id="46" name="Rectángulo: esquinas superiores redondeadas 45">
            <a:extLst>
              <a:ext uri="{FF2B5EF4-FFF2-40B4-BE49-F238E27FC236}">
                <a16:creationId xmlns:a16="http://schemas.microsoft.com/office/drawing/2014/main" id="{00000000-0008-0000-0500-00002E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8" name="Gráfico 47" descr="Lista con relleno sólido">
            <a:extLst>
              <a:ext uri="{FF2B5EF4-FFF2-40B4-BE49-F238E27FC236}">
                <a16:creationId xmlns:a16="http://schemas.microsoft.com/office/drawing/2014/main" id="{00000000-0008-0000-0500-000030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781050" y="1957172"/>
            <a:ext cx="504825" cy="466582"/>
          </a:xfrm>
          <a:prstGeom prst="rect">
            <a:avLst/>
          </a:prstGeom>
        </xdr:spPr>
      </xdr:pic>
    </xdr:grpSp>
    <xdr:clientData/>
  </xdr:twoCellAnchor>
  <xdr:twoCellAnchor>
    <xdr:from>
      <xdr:col>2</xdr:col>
      <xdr:colOff>0</xdr:colOff>
      <xdr:row>4</xdr:row>
      <xdr:rowOff>104776</xdr:rowOff>
    </xdr:from>
    <xdr:to>
      <xdr:col>4</xdr:col>
      <xdr:colOff>0</xdr:colOff>
      <xdr:row>16</xdr:row>
      <xdr:rowOff>9526</xdr:rowOff>
    </xdr:to>
    <xdr:sp macro="" textlink="">
      <xdr:nvSpPr>
        <xdr:cNvPr id="83" name="Rectángulo: esquinas redondeadas 2">
          <a:extLst>
            <a:ext uri="{FF2B5EF4-FFF2-40B4-BE49-F238E27FC236}">
              <a16:creationId xmlns:a16="http://schemas.microsoft.com/office/drawing/2014/main" id="{00000000-0008-0000-0500-000053000000}"/>
            </a:ext>
          </a:extLst>
        </xdr:cNvPr>
        <xdr:cNvSpPr/>
      </xdr:nvSpPr>
      <xdr:spPr>
        <a:xfrm>
          <a:off x="2124075" y="866776"/>
          <a:ext cx="8086725" cy="2190750"/>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s-MX" sz="1000" b="1" i="0" u="none" strike="noStrike" kern="0" cap="none" spc="0" normalizeH="0" baseline="0" noProof="0">
              <a:ln>
                <a:noFill/>
              </a:ln>
              <a:solidFill>
                <a:srgbClr val="ED7D31">
                  <a:lumMod val="75000"/>
                </a:srgbClr>
              </a:solidFill>
              <a:effectLst/>
              <a:uLnTx/>
              <a:uFillTx/>
              <a:latin typeface="+mn-lt"/>
              <a:ea typeface="+mn-ea"/>
              <a:cs typeface="+mn-cs"/>
            </a:rPr>
            <a:t>Seleccione la trayectoria </a:t>
          </a:r>
          <a:r>
            <a:rPr kumimoji="0" lang="es-MX" sz="1000" b="0" i="0" u="none" strike="noStrike" kern="0" cap="none" spc="0" normalizeH="0" baseline="0" noProof="0">
              <a:ln>
                <a:noFill/>
              </a:ln>
              <a:solidFill>
                <a:sysClr val="windowText" lastClr="000000"/>
              </a:solidFill>
              <a:effectLst/>
              <a:uLnTx/>
              <a:uFillTx/>
              <a:latin typeface="+mn-lt"/>
              <a:ea typeface="+mn-ea"/>
              <a:cs typeface="+mn-cs"/>
            </a:rPr>
            <a:t>elegida para cada medida contemplada. Los valores a seleccionar se enmarcan entre los valores 1 y 4, en función del nivel de ambición de cada uno de estos. </a:t>
          </a:r>
          <a:r>
            <a:rPr kumimoji="0" lang="es-ES" sz="1000" b="0" i="0" u="none" strike="noStrike" kern="0" cap="none" spc="0" normalizeH="0" baseline="0" noProof="0">
              <a:ln>
                <a:noFill/>
              </a:ln>
              <a:solidFill>
                <a:sysClr val="windowText" lastClr="000000"/>
              </a:solidFill>
              <a:effectLst/>
              <a:uLnTx/>
              <a:uFillTx/>
              <a:latin typeface="+mn-lt"/>
              <a:ea typeface="+mn-ea"/>
              <a:cs typeface="+mn-cs"/>
            </a:rPr>
            <a:t>Estos niveles se refieren al grado de compromiso para reducir las emisiones de GEI y van desde ninguna acción, es decir, se mantiene la tendencia actual (Trayectoria 1), hasta el nivel de máximo esfuerzo técnicamente posible (Trayectoria 4</a:t>
          </a:r>
          <a:r>
            <a:rPr kumimoji="0" lang="es-MX" sz="10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A continuación la descripción general de cada uno de estos valores: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s-MX" sz="500" b="0" i="0" u="none" strike="noStrike" kern="0" cap="none" spc="0" normalizeH="0" baseline="0" noProof="0">
            <a:ln>
              <a:noFill/>
            </a:ln>
            <a:solidFill>
              <a:sysClr val="windowText" lastClr="000000"/>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Corresponde al escenario tendencial </a:t>
          </a:r>
          <a:r>
            <a:rPr kumimoji="0" lang="es-MX" sz="1000" b="0" i="1" u="none" strike="noStrike" kern="0" cap="none" spc="0" normalizeH="0" baseline="0" noProof="0">
              <a:ln>
                <a:noFill/>
              </a:ln>
              <a:solidFill>
                <a:sysClr val="windowText" lastClr="000000"/>
              </a:solidFill>
              <a:effectLst/>
              <a:uLnTx/>
              <a:uFillTx/>
              <a:latin typeface="+mn-lt"/>
              <a:ea typeface="+mn-ea"/>
              <a:cs typeface="+mn-cs"/>
            </a:rPr>
            <a:t>(</a:t>
          </a:r>
          <a:r>
            <a:rPr kumimoji="0" lang="es-ES" sz="1000" b="0" i="1" u="none" strike="noStrike" kern="0" cap="none" spc="0" normalizeH="0" baseline="0" noProof="0">
              <a:ln>
                <a:noFill/>
              </a:ln>
              <a:solidFill>
                <a:sysClr val="windowText" lastClr="000000"/>
              </a:solidFill>
              <a:effectLst/>
              <a:uLnTx/>
              <a:uFillTx/>
              <a:latin typeface="+mn-lt"/>
              <a:ea typeface="+mn-ea"/>
              <a:cs typeface="+mn-cs"/>
            </a:rPr>
            <a:t>business</a:t>
          </a:r>
          <a:r>
            <a:rPr kumimoji="0" lang="es-MX" sz="1000" b="0" i="1" u="none" strike="noStrike" kern="0" cap="none" spc="0" normalizeH="0" baseline="0" noProof="0">
              <a:ln>
                <a:noFill/>
              </a:ln>
              <a:solidFill>
                <a:sysClr val="windowText" lastClr="000000"/>
              </a:solidFill>
              <a:effectLst/>
              <a:uLnTx/>
              <a:uFillTx/>
              <a:latin typeface="+mn-lt"/>
              <a:ea typeface="+mn-ea"/>
              <a:cs typeface="+mn-cs"/>
            </a:rPr>
            <a:t> as usual)</a:t>
          </a:r>
          <a:r>
            <a:rPr kumimoji="0" lang="es-MX" sz="1000" b="0" i="0" u="none" strike="noStrike" kern="0" cap="none" spc="0" normalizeH="0" baseline="0" noProof="0">
              <a:ln>
                <a:noFill/>
              </a:ln>
              <a:solidFill>
                <a:sysClr val="windowText" lastClr="000000"/>
              </a:solidFill>
              <a:effectLst/>
              <a:uLnTx/>
              <a:uFillTx/>
              <a:latin typeface="+mn-lt"/>
              <a:ea typeface="+mn-ea"/>
              <a:cs typeface="+mn-cs"/>
            </a:rPr>
            <a:t>, el cual se construye a partir del Inventario Nacional de Gases de Efecto Invernadero 2018, el cual, forma parte del BUR3 Colombia.  </a:t>
          </a:r>
          <a:endParaRPr kumimoji="0" lang="es-ES" sz="1000" b="0" i="0" u="none" strike="noStrike" kern="0" cap="none" spc="0" normalizeH="0" baseline="0" noProof="0">
            <a:ln>
              <a:noFill/>
            </a:ln>
            <a:solidFill>
              <a:sysClr val="windowText" lastClr="000000"/>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Refleja las metas de mitigación comprometidas por el país al 2030 en la NDC y estás proyectadas a 2050.</a:t>
          </a: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prstClr val="black"/>
              </a:solidFill>
              <a:effectLst/>
              <a:uLnTx/>
              <a:uFillTx/>
              <a:latin typeface="+mn-lt"/>
              <a:ea typeface="+mn-ea"/>
              <a:cs typeface="+mn-cs"/>
            </a:rPr>
            <a:t>Refleja las metas de mitigación comprometidas por el país al 2030 en la NDC y logra la meta 2040 de la E2050 en el año 2050.</a:t>
          </a:r>
          <a:endParaRPr kumimoji="0" lang="es-ES" sz="1000" b="0" i="0" u="none" strike="noStrike" kern="0" cap="none" spc="0" normalizeH="0" baseline="0" noProof="0">
            <a:ln>
              <a:noFill/>
            </a:ln>
            <a:solidFill>
              <a:prstClr val="black"/>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Representa el nivel más alto de ambición para el país, por lo que, asume el logro de las metas de descarbonización de la NDC y de la E2050 al 2050.</a:t>
          </a: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endParaRPr lang="es-MX" sz="500" i="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S" sz="1000" b="1" i="1">
              <a:solidFill>
                <a:schemeClr val="tx1"/>
              </a:solidFill>
              <a:effectLst/>
              <a:latin typeface="+mn-lt"/>
              <a:ea typeface="+mn-ea"/>
              <a:cs typeface="+mn-cs"/>
            </a:rPr>
            <a:t>Nota: Haciendo clic en el nombre de las medidas se accede a las fichas explicativas de las diferentes trayectorias</a:t>
          </a:r>
          <a:endParaRPr lang="es-ES" sz="1000" i="1">
            <a:solidFill>
              <a:schemeClr val="tx1"/>
            </a:solidFill>
          </a:endParaRPr>
        </a:p>
      </xdr:txBody>
    </xdr:sp>
    <xdr:clientData/>
  </xdr:twoCellAnchor>
  <xdr:twoCellAnchor>
    <xdr:from>
      <xdr:col>0</xdr:col>
      <xdr:colOff>0</xdr:colOff>
      <xdr:row>34</xdr:row>
      <xdr:rowOff>0</xdr:rowOff>
    </xdr:from>
    <xdr:to>
      <xdr:col>0</xdr:col>
      <xdr:colOff>1240383</xdr:colOff>
      <xdr:row>36</xdr:row>
      <xdr:rowOff>35889</xdr:rowOff>
    </xdr:to>
    <xdr:grpSp>
      <xdr:nvGrpSpPr>
        <xdr:cNvPr id="49" name="Grupo 48">
          <a:hlinkClick xmlns:r="http://schemas.openxmlformats.org/officeDocument/2006/relationships" r:id="rId34"/>
          <a:extLst>
            <a:ext uri="{FF2B5EF4-FFF2-40B4-BE49-F238E27FC236}">
              <a16:creationId xmlns:a16="http://schemas.microsoft.com/office/drawing/2014/main" id="{00000000-0008-0000-0500-000031000000}"/>
            </a:ext>
          </a:extLst>
        </xdr:cNvPr>
        <xdr:cNvGrpSpPr/>
      </xdr:nvGrpSpPr>
      <xdr:grpSpPr>
        <a:xfrm>
          <a:off x="0" y="6477000"/>
          <a:ext cx="1240383" cy="416889"/>
          <a:chOff x="28575" y="6381750"/>
          <a:chExt cx="1240383" cy="416889"/>
        </a:xfrm>
      </xdr:grpSpPr>
      <xdr:pic>
        <xdr:nvPicPr>
          <xdr:cNvPr id="52" name="Gráfico 51" descr="Engranaje único con relleno sólido">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75" y="6381750"/>
            <a:ext cx="409575" cy="416889"/>
          </a:xfrm>
          <a:prstGeom prst="rect">
            <a:avLst/>
          </a:prstGeom>
        </xdr:spPr>
      </xdr:pic>
      <xdr:sp macro="" textlink="">
        <xdr:nvSpPr>
          <xdr:cNvPr id="53" name="CuadroTexto 52">
            <a:extLst>
              <a:ext uri="{FF2B5EF4-FFF2-40B4-BE49-F238E27FC236}">
                <a16:creationId xmlns:a16="http://schemas.microsoft.com/office/drawing/2014/main" id="{00000000-0008-0000-0500-00003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723900</xdr:colOff>
      <xdr:row>5</xdr:row>
      <xdr:rowOff>9525</xdr:rowOff>
    </xdr:from>
    <xdr:to>
      <xdr:col>5</xdr:col>
      <xdr:colOff>9525</xdr:colOff>
      <xdr:row>7</xdr:row>
      <xdr:rowOff>19050</xdr:rowOff>
    </xdr:to>
    <xdr:sp macro="" textlink="">
      <xdr:nvSpPr>
        <xdr:cNvPr id="28" name="Rectángulo: esquinas redondeadas 27">
          <a:extLst>
            <a:ext uri="{FF2B5EF4-FFF2-40B4-BE49-F238E27FC236}">
              <a16:creationId xmlns:a16="http://schemas.microsoft.com/office/drawing/2014/main" id="{00000000-0008-0000-0600-00001C000000}"/>
            </a:ext>
          </a:extLst>
        </xdr:cNvPr>
        <xdr:cNvSpPr/>
      </xdr:nvSpPr>
      <xdr:spPr>
        <a:xfrm>
          <a:off x="2105025" y="962025"/>
          <a:ext cx="11268075" cy="390525"/>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s-MX" sz="1050" i="0">
              <a:solidFill>
                <a:sysClr val="windowText" lastClr="000000"/>
              </a:solidFill>
              <a:effectLst/>
              <a:latin typeface="+mn-lt"/>
              <a:ea typeface="+mn-ea"/>
              <a:cs typeface="+mn-cs"/>
            </a:rPr>
            <a:t>A</a:t>
          </a:r>
          <a:r>
            <a:rPr lang="es-MX" sz="1050" i="0" baseline="0">
              <a:solidFill>
                <a:sysClr val="windowText" lastClr="000000"/>
              </a:solidFill>
              <a:effectLst/>
              <a:latin typeface="+mn-lt"/>
              <a:ea typeface="+mn-ea"/>
              <a:cs typeface="+mn-cs"/>
            </a:rPr>
            <a:t> continuación se incluye un listado de los términos más relevantes para la interpretación y la navegación de la presente calculadora. </a:t>
          </a:r>
          <a:endParaRPr lang="es-ES" sz="1050" i="1">
            <a:solidFill>
              <a:sysClr val="windowText" lastClr="000000"/>
            </a:solidFill>
          </a:endParaRPr>
        </a:p>
      </xdr:txBody>
    </xdr:sp>
    <xdr:clientData/>
  </xdr:twoCellAnchor>
  <xdr:twoCellAnchor>
    <xdr:from>
      <xdr:col>1</xdr:col>
      <xdr:colOff>742950</xdr:colOff>
      <xdr:row>0</xdr:row>
      <xdr:rowOff>114300</xdr:rowOff>
    </xdr:from>
    <xdr:to>
      <xdr:col>5</xdr:col>
      <xdr:colOff>38100</xdr:colOff>
      <xdr:row>4</xdr:row>
      <xdr:rowOff>57150</xdr:rowOff>
    </xdr:to>
    <xdr:grpSp>
      <xdr:nvGrpSpPr>
        <xdr:cNvPr id="4" name="Grupo 3">
          <a:extLst>
            <a:ext uri="{FF2B5EF4-FFF2-40B4-BE49-F238E27FC236}">
              <a16:creationId xmlns:a16="http://schemas.microsoft.com/office/drawing/2014/main" id="{00000000-0008-0000-0600-000004000000}"/>
            </a:ext>
          </a:extLst>
        </xdr:cNvPr>
        <xdr:cNvGrpSpPr/>
      </xdr:nvGrpSpPr>
      <xdr:grpSpPr>
        <a:xfrm>
          <a:off x="2124075" y="114300"/>
          <a:ext cx="15451931" cy="704850"/>
          <a:chOff x="2124075" y="114300"/>
          <a:chExt cx="11277600" cy="704850"/>
        </a:xfrm>
      </xdr:grpSpPr>
      <xdr:sp macro="" textlink="">
        <xdr:nvSpPr>
          <xdr:cNvPr id="27" name="Rectángulo: esquinas redondeadas 26">
            <a:extLst>
              <a:ext uri="{FF2B5EF4-FFF2-40B4-BE49-F238E27FC236}">
                <a16:creationId xmlns:a16="http://schemas.microsoft.com/office/drawing/2014/main" id="{00000000-0008-0000-0600-00001B000000}"/>
              </a:ext>
            </a:extLst>
          </xdr:cNvPr>
          <xdr:cNvSpPr/>
        </xdr:nvSpPr>
        <xdr:spPr>
          <a:xfrm>
            <a:off x="2124075" y="180975"/>
            <a:ext cx="11277600" cy="59055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GLOSARIO</a:t>
            </a:r>
          </a:p>
        </xdr:txBody>
      </xdr:sp>
      <xdr:pic>
        <xdr:nvPicPr>
          <xdr:cNvPr id="3" name="Gráfico 2" descr="Libro abierto con relleno sólido">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621642" y="114300"/>
            <a:ext cx="578524" cy="704850"/>
          </a:xfrm>
          <a:prstGeom prst="rect">
            <a:avLst/>
          </a:prstGeom>
        </xdr:spPr>
      </xdr:pic>
    </xdr:grpSp>
    <xdr:clientData/>
  </xdr:twoCellAnchor>
  <xdr:twoCellAnchor>
    <xdr:from>
      <xdr:col>1</xdr:col>
      <xdr:colOff>723900</xdr:colOff>
      <xdr:row>7</xdr:row>
      <xdr:rowOff>142875</xdr:rowOff>
    </xdr:from>
    <xdr:to>
      <xdr:col>3</xdr:col>
      <xdr:colOff>572861</xdr:colOff>
      <xdr:row>10</xdr:row>
      <xdr:rowOff>20412</xdr:rowOff>
    </xdr:to>
    <xdr:grpSp>
      <xdr:nvGrpSpPr>
        <xdr:cNvPr id="29" name="Grupo 28">
          <a:hlinkClick xmlns:r="http://schemas.openxmlformats.org/officeDocument/2006/relationships" r:id="rId3"/>
          <a:extLst>
            <a:ext uri="{FF2B5EF4-FFF2-40B4-BE49-F238E27FC236}">
              <a16:creationId xmlns:a16="http://schemas.microsoft.com/office/drawing/2014/main" id="{00000000-0008-0000-0600-00001D000000}"/>
            </a:ext>
          </a:extLst>
        </xdr:cNvPr>
        <xdr:cNvGrpSpPr/>
      </xdr:nvGrpSpPr>
      <xdr:grpSpPr>
        <a:xfrm>
          <a:off x="2105025" y="1476375"/>
          <a:ext cx="1253899" cy="449037"/>
          <a:chOff x="760639" y="1152525"/>
          <a:chExt cx="1258661" cy="449037"/>
        </a:xfrm>
      </xdr:grpSpPr>
      <xdr:sp macro="" textlink="">
        <xdr:nvSpPr>
          <xdr:cNvPr id="30" name="Rectángulo: esquinas redondeadas 29">
            <a:extLst>
              <a:ext uri="{FF2B5EF4-FFF2-40B4-BE49-F238E27FC236}">
                <a16:creationId xmlns:a16="http://schemas.microsoft.com/office/drawing/2014/main" id="{00000000-0008-0000-0600-00001E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31" name="Gráfico 30" descr="Flecha: giro a la izquierda con relleno sólido">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rot="5400000">
            <a:off x="1552575" y="1162051"/>
            <a:ext cx="419100" cy="41910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2" name="Grupo 31">
          <a:hlinkClick xmlns:r="http://schemas.openxmlformats.org/officeDocument/2006/relationships" r:id="rId6"/>
          <a:extLst>
            <a:ext uri="{FF2B5EF4-FFF2-40B4-BE49-F238E27FC236}">
              <a16:creationId xmlns:a16="http://schemas.microsoft.com/office/drawing/2014/main" id="{00000000-0008-0000-0600-000020000000}"/>
            </a:ext>
          </a:extLst>
        </xdr:cNvPr>
        <xdr:cNvGrpSpPr/>
      </xdr:nvGrpSpPr>
      <xdr:grpSpPr>
        <a:xfrm>
          <a:off x="0" y="0"/>
          <a:ext cx="1381125" cy="328014"/>
          <a:chOff x="91104" y="65606"/>
          <a:chExt cx="1192701" cy="328014"/>
        </a:xfrm>
      </xdr:grpSpPr>
      <xdr:sp macro="" textlink="">
        <xdr:nvSpPr>
          <xdr:cNvPr id="33" name="Rectángulo 32">
            <a:extLst>
              <a:ext uri="{FF2B5EF4-FFF2-40B4-BE49-F238E27FC236}">
                <a16:creationId xmlns:a16="http://schemas.microsoft.com/office/drawing/2014/main" id="{00000000-0008-0000-0600-00002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5" name="Grupo 34">
          <a:hlinkClick xmlns:r="http://schemas.openxmlformats.org/officeDocument/2006/relationships" r:id="rId3"/>
          <a:extLst>
            <a:ext uri="{FF2B5EF4-FFF2-40B4-BE49-F238E27FC236}">
              <a16:creationId xmlns:a16="http://schemas.microsoft.com/office/drawing/2014/main" id="{00000000-0008-0000-0600-000023000000}"/>
            </a:ext>
          </a:extLst>
        </xdr:cNvPr>
        <xdr:cNvGrpSpPr/>
      </xdr:nvGrpSpPr>
      <xdr:grpSpPr>
        <a:xfrm>
          <a:off x="0" y="4710117"/>
          <a:ext cx="1295400" cy="638178"/>
          <a:chOff x="0" y="3671892"/>
          <a:chExt cx="1295400" cy="638178"/>
        </a:xfrm>
      </xdr:grpSpPr>
      <xdr:sp macro="" textlink="">
        <xdr:nvSpPr>
          <xdr:cNvPr id="36" name="Rectángulo: esquinas superiores redondeadas 35">
            <a:extLst>
              <a:ext uri="{FF2B5EF4-FFF2-40B4-BE49-F238E27FC236}">
                <a16:creationId xmlns:a16="http://schemas.microsoft.com/office/drawing/2014/main" id="{00000000-0008-0000-0600-000024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7" name="Gráfico 36" descr="Información con relleno sólido">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8" name="Grupo 37">
          <a:hlinkClick xmlns:r="http://schemas.openxmlformats.org/officeDocument/2006/relationships" r:id="rId11"/>
          <a:extLst>
            <a:ext uri="{FF2B5EF4-FFF2-40B4-BE49-F238E27FC236}">
              <a16:creationId xmlns:a16="http://schemas.microsoft.com/office/drawing/2014/main" id="{00000000-0008-0000-0600-000026000000}"/>
            </a:ext>
          </a:extLst>
        </xdr:cNvPr>
        <xdr:cNvGrpSpPr/>
      </xdr:nvGrpSpPr>
      <xdr:grpSpPr>
        <a:xfrm>
          <a:off x="0" y="3760792"/>
          <a:ext cx="1304926" cy="638178"/>
          <a:chOff x="0" y="2767017"/>
          <a:chExt cx="1304926" cy="638178"/>
        </a:xfrm>
      </xdr:grpSpPr>
      <xdr:sp macro="" textlink="">
        <xdr:nvSpPr>
          <xdr:cNvPr id="39" name="Rectángulo: esquinas superiores redondeadas 38">
            <a:extLst>
              <a:ext uri="{FF2B5EF4-FFF2-40B4-BE49-F238E27FC236}">
                <a16:creationId xmlns:a16="http://schemas.microsoft.com/office/drawing/2014/main" id="{00000000-0008-0000-0600-000027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0" name="Gráfico 39" descr="Gráfico de barras con relleno sólido">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1" name="Grupo 40">
          <a:hlinkClick xmlns:r="http://schemas.openxmlformats.org/officeDocument/2006/relationships" r:id="rId14"/>
          <a:extLst>
            <a:ext uri="{FF2B5EF4-FFF2-40B4-BE49-F238E27FC236}">
              <a16:creationId xmlns:a16="http://schemas.microsoft.com/office/drawing/2014/main" id="{00000000-0008-0000-0600-000029000000}"/>
            </a:ext>
          </a:extLst>
        </xdr:cNvPr>
        <xdr:cNvGrpSpPr/>
      </xdr:nvGrpSpPr>
      <xdr:grpSpPr>
        <a:xfrm>
          <a:off x="0" y="2811467"/>
          <a:ext cx="1323975" cy="638178"/>
          <a:chOff x="0" y="1862142"/>
          <a:chExt cx="1323975" cy="638178"/>
        </a:xfrm>
      </xdr:grpSpPr>
      <xdr:sp macro="" textlink="">
        <xdr:nvSpPr>
          <xdr:cNvPr id="42" name="Rectángulo: esquinas superiores redondeadas 41">
            <a:extLst>
              <a:ext uri="{FF2B5EF4-FFF2-40B4-BE49-F238E27FC236}">
                <a16:creationId xmlns:a16="http://schemas.microsoft.com/office/drawing/2014/main" id="{00000000-0008-0000-0600-00002A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3" name="Gráfico 42" descr="Alternar con relleno sólido">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4" name="Grupo 43">
          <a:hlinkClick xmlns:r="http://schemas.openxmlformats.org/officeDocument/2006/relationships" r:id="rId17"/>
          <a:extLst>
            <a:ext uri="{FF2B5EF4-FFF2-40B4-BE49-F238E27FC236}">
              <a16:creationId xmlns:a16="http://schemas.microsoft.com/office/drawing/2014/main" id="{00000000-0008-0000-0600-00002C000000}"/>
            </a:ext>
          </a:extLst>
        </xdr:cNvPr>
        <xdr:cNvGrpSpPr/>
      </xdr:nvGrpSpPr>
      <xdr:grpSpPr>
        <a:xfrm>
          <a:off x="0" y="1862142"/>
          <a:ext cx="1295400" cy="638178"/>
          <a:chOff x="0" y="1862142"/>
          <a:chExt cx="1295400" cy="638178"/>
        </a:xfrm>
      </xdr:grpSpPr>
      <xdr:sp macro="" textlink="">
        <xdr:nvSpPr>
          <xdr:cNvPr id="45" name="Rectángulo: esquinas superiores redondeadas 44">
            <a:extLst>
              <a:ext uri="{FF2B5EF4-FFF2-40B4-BE49-F238E27FC236}">
                <a16:creationId xmlns:a16="http://schemas.microsoft.com/office/drawing/2014/main" id="{00000000-0008-0000-0600-00002D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6" name="Gráfico 45" descr="Lista con relleno sólido">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7" name="Grupo 46">
          <a:hlinkClick xmlns:r="http://schemas.openxmlformats.org/officeDocument/2006/relationships" r:id="rId20"/>
          <a:extLst>
            <a:ext uri="{FF2B5EF4-FFF2-40B4-BE49-F238E27FC236}">
              <a16:creationId xmlns:a16="http://schemas.microsoft.com/office/drawing/2014/main" id="{00000000-0008-0000-0600-00002F000000}"/>
            </a:ext>
          </a:extLst>
        </xdr:cNvPr>
        <xdr:cNvGrpSpPr/>
      </xdr:nvGrpSpPr>
      <xdr:grpSpPr>
        <a:xfrm>
          <a:off x="0" y="6477000"/>
          <a:ext cx="1240383" cy="416889"/>
          <a:chOff x="28575" y="6381750"/>
          <a:chExt cx="1240383" cy="416889"/>
        </a:xfrm>
      </xdr:grpSpPr>
      <xdr:pic>
        <xdr:nvPicPr>
          <xdr:cNvPr id="48" name="Gráfico 47" descr="Engranaje único con relleno sólido">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49" name="CuadroTexto 48">
            <a:extLst>
              <a:ext uri="{FF2B5EF4-FFF2-40B4-BE49-F238E27FC236}">
                <a16:creationId xmlns:a16="http://schemas.microsoft.com/office/drawing/2014/main" id="{00000000-0008-0000-0600-00003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700-000002000000}"/>
            </a:ext>
          </a:extLst>
        </xdr:cNvPr>
        <xdr:cNvGrpSpPr/>
      </xdr:nvGrpSpPr>
      <xdr:grpSpPr>
        <a:xfrm>
          <a:off x="0" y="0"/>
          <a:ext cx="1381125" cy="328014"/>
          <a:chOff x="91104" y="65606"/>
          <a:chExt cx="1192701" cy="328014"/>
        </a:xfrm>
      </xdr:grpSpPr>
      <xdr:sp macro="" textlink="">
        <xdr:nvSpPr>
          <xdr:cNvPr id="3" name="Rectángulo 2">
            <a:extLst>
              <a:ext uri="{FF2B5EF4-FFF2-40B4-BE49-F238E27FC236}">
                <a16:creationId xmlns:a16="http://schemas.microsoft.com/office/drawing/2014/main" id="{00000000-0008-0000-07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700-000005000000}"/>
            </a:ext>
          </a:extLst>
        </xdr:cNvPr>
        <xdr:cNvGrpSpPr/>
      </xdr:nvGrpSpPr>
      <xdr:grpSpPr>
        <a:xfrm>
          <a:off x="0" y="4929192"/>
          <a:ext cx="1295400" cy="685803"/>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7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700-000008000000}"/>
            </a:ext>
          </a:extLst>
        </xdr:cNvPr>
        <xdr:cNvGrpSpPr/>
      </xdr:nvGrpSpPr>
      <xdr:grpSpPr>
        <a:xfrm>
          <a:off x="0" y="3932242"/>
          <a:ext cx="1304926" cy="67627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7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700-00000B000000}"/>
            </a:ext>
          </a:extLst>
        </xdr:cNvPr>
        <xdr:cNvGrpSpPr/>
      </xdr:nvGrpSpPr>
      <xdr:grpSpPr>
        <a:xfrm>
          <a:off x="0" y="2916242"/>
          <a:ext cx="1323975" cy="69532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7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700-00000E000000}"/>
            </a:ext>
          </a:extLst>
        </xdr:cNvPr>
        <xdr:cNvGrpSpPr/>
      </xdr:nvGrpSpPr>
      <xdr:grpSpPr>
        <a:xfrm>
          <a:off x="0" y="1909767"/>
          <a:ext cx="1295400" cy="685803"/>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7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700-000011000000}"/>
            </a:ext>
          </a:extLst>
        </xdr:cNvPr>
        <xdr:cNvGrpSpPr/>
      </xdr:nvGrpSpPr>
      <xdr:grpSpPr>
        <a:xfrm>
          <a:off x="0" y="6819900"/>
          <a:ext cx="1240383" cy="43593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7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xdr:col>
      <xdr:colOff>123825</xdr:colOff>
      <xdr:row>0</xdr:row>
      <xdr:rowOff>0</xdr:rowOff>
    </xdr:from>
    <xdr:to>
      <xdr:col>2</xdr:col>
      <xdr:colOff>1581150</xdr:colOff>
      <xdr:row>4</xdr:row>
      <xdr:rowOff>57843</xdr:rowOff>
    </xdr:to>
    <xdr:pic>
      <xdr:nvPicPr>
        <xdr:cNvPr id="20" name="Imagen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504950" y="0"/>
          <a:ext cx="1971675" cy="848418"/>
        </a:xfrm>
        <a:prstGeom prst="rect">
          <a:avLst/>
        </a:prstGeom>
      </xdr:spPr>
    </xdr:pic>
    <xdr:clientData/>
  </xdr:twoCellAnchor>
  <xdr:twoCellAnchor editAs="oneCell">
    <xdr:from>
      <xdr:col>2</xdr:col>
      <xdr:colOff>1581150</xdr:colOff>
      <xdr:row>0</xdr:row>
      <xdr:rowOff>9525</xdr:rowOff>
    </xdr:from>
    <xdr:to>
      <xdr:col>3</xdr:col>
      <xdr:colOff>1971675</xdr:colOff>
      <xdr:row>4</xdr:row>
      <xdr:rowOff>38606</xdr:rowOff>
    </xdr:to>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3476625" y="9525"/>
          <a:ext cx="2105025" cy="81965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800-000002000000}"/>
            </a:ext>
          </a:extLst>
        </xdr:cNvPr>
        <xdr:cNvGrpSpPr/>
      </xdr:nvGrpSpPr>
      <xdr:grpSpPr>
        <a:xfrm>
          <a:off x="0" y="0"/>
          <a:ext cx="1381125" cy="328014"/>
          <a:chOff x="91104" y="65606"/>
          <a:chExt cx="1192701" cy="328014"/>
        </a:xfrm>
      </xdr:grpSpPr>
      <xdr:sp macro="" textlink="">
        <xdr:nvSpPr>
          <xdr:cNvPr id="3" name="Rectángulo 2">
            <a:extLst>
              <a:ext uri="{FF2B5EF4-FFF2-40B4-BE49-F238E27FC236}">
                <a16:creationId xmlns:a16="http://schemas.microsoft.com/office/drawing/2014/main" id="{00000000-0008-0000-08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800-000005000000}"/>
            </a:ext>
          </a:extLst>
        </xdr:cNvPr>
        <xdr:cNvGrpSpPr/>
      </xdr:nvGrpSpPr>
      <xdr:grpSpPr>
        <a:xfrm>
          <a:off x="0" y="4710117"/>
          <a:ext cx="1295400" cy="638178"/>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8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800-000008000000}"/>
            </a:ext>
          </a:extLst>
        </xdr:cNvPr>
        <xdr:cNvGrpSpPr/>
      </xdr:nvGrpSpPr>
      <xdr:grpSpPr>
        <a:xfrm>
          <a:off x="0" y="3760792"/>
          <a:ext cx="1304926" cy="63817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8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800-00000B000000}"/>
            </a:ext>
          </a:extLst>
        </xdr:cNvPr>
        <xdr:cNvGrpSpPr/>
      </xdr:nvGrpSpPr>
      <xdr:grpSpPr>
        <a:xfrm>
          <a:off x="0" y="2811467"/>
          <a:ext cx="1323975" cy="63817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8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800-00000E000000}"/>
            </a:ext>
          </a:extLst>
        </xdr:cNvPr>
        <xdr:cNvGrpSpPr/>
      </xdr:nvGrpSpPr>
      <xdr:grpSpPr>
        <a:xfrm>
          <a:off x="0" y="1862142"/>
          <a:ext cx="1295400" cy="638178"/>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8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800-000011000000}"/>
            </a:ext>
          </a:extLst>
        </xdr:cNvPr>
        <xdr:cNvGrpSpPr/>
      </xdr:nvGrpSpPr>
      <xdr:grpSpPr>
        <a:xfrm>
          <a:off x="0" y="6477000"/>
          <a:ext cx="1240383" cy="41688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8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13</xdr:col>
      <xdr:colOff>26175</xdr:colOff>
      <xdr:row>4</xdr:row>
      <xdr:rowOff>102375</xdr:rowOff>
    </xdr:from>
    <xdr:to>
      <xdr:col>13</xdr:col>
      <xdr:colOff>495300</xdr:colOff>
      <xdr:row>7</xdr:row>
      <xdr:rowOff>0</xdr:rowOff>
    </xdr:to>
    <xdr:pic>
      <xdr:nvPicPr>
        <xdr:cNvPr id="53" name="Gráfico 42" descr="Pulmones con relleno sólido">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551300" y="1626375"/>
          <a:ext cx="469125" cy="469125"/>
        </a:xfrm>
        <a:prstGeom prst="rect">
          <a:avLst/>
        </a:prstGeom>
      </xdr:spPr>
    </xdr:pic>
    <xdr:clientData/>
  </xdr:twoCellAnchor>
  <xdr:twoCellAnchor>
    <xdr:from>
      <xdr:col>1</xdr:col>
      <xdr:colOff>752474</xdr:colOff>
      <xdr:row>3</xdr:row>
      <xdr:rowOff>104775</xdr:rowOff>
    </xdr:from>
    <xdr:to>
      <xdr:col>6</xdr:col>
      <xdr:colOff>761999</xdr:colOff>
      <xdr:row>28</xdr:row>
      <xdr:rowOff>133349</xdr:rowOff>
    </xdr:to>
    <xdr:grpSp>
      <xdr:nvGrpSpPr>
        <xdr:cNvPr id="54" name="Grupo 53">
          <a:hlinkClick xmlns:r="http://schemas.openxmlformats.org/officeDocument/2006/relationships" r:id="rId21"/>
          <a:extLst>
            <a:ext uri="{FF2B5EF4-FFF2-40B4-BE49-F238E27FC236}">
              <a16:creationId xmlns:a16="http://schemas.microsoft.com/office/drawing/2014/main" id="{00000000-0008-0000-0800-000036000000}"/>
            </a:ext>
          </a:extLst>
        </xdr:cNvPr>
        <xdr:cNvGrpSpPr/>
      </xdr:nvGrpSpPr>
      <xdr:grpSpPr>
        <a:xfrm>
          <a:off x="2133599" y="676275"/>
          <a:ext cx="3819525" cy="4791074"/>
          <a:chOff x="2133599" y="676275"/>
          <a:chExt cx="3819525" cy="4791074"/>
        </a:xfrm>
      </xdr:grpSpPr>
      <xdr:grpSp>
        <xdr:nvGrpSpPr>
          <xdr:cNvPr id="43" name="Grupo 42">
            <a:extLst>
              <a:ext uri="{FF2B5EF4-FFF2-40B4-BE49-F238E27FC236}">
                <a16:creationId xmlns:a16="http://schemas.microsoft.com/office/drawing/2014/main" id="{00000000-0008-0000-0800-00002B000000}"/>
              </a:ext>
            </a:extLst>
          </xdr:cNvPr>
          <xdr:cNvGrpSpPr/>
        </xdr:nvGrpSpPr>
        <xdr:grpSpPr>
          <a:xfrm>
            <a:off x="2133599" y="676275"/>
            <a:ext cx="3819525" cy="3495675"/>
            <a:chOff x="2133599" y="676275"/>
            <a:chExt cx="3819525" cy="3495675"/>
          </a:xfrm>
        </xdr:grpSpPr>
        <xdr:grpSp>
          <xdr:nvGrpSpPr>
            <xdr:cNvPr id="40" name="Grupo 38">
              <a:extLst>
                <a:ext uri="{FF2B5EF4-FFF2-40B4-BE49-F238E27FC236}">
                  <a16:creationId xmlns:a16="http://schemas.microsoft.com/office/drawing/2014/main" id="{00000000-0008-0000-0800-000028000000}"/>
                </a:ext>
              </a:extLst>
            </xdr:cNvPr>
            <xdr:cNvGrpSpPr/>
          </xdr:nvGrpSpPr>
          <xdr:grpSpPr>
            <a:xfrm>
              <a:off x="2133599" y="676275"/>
              <a:ext cx="3819525" cy="1219200"/>
              <a:chOff x="2133599" y="1447800"/>
              <a:chExt cx="3819525" cy="1219200"/>
            </a:xfrm>
          </xdr:grpSpPr>
          <xdr:grpSp>
            <xdr:nvGrpSpPr>
              <xdr:cNvPr id="42" name="Grupo 26">
                <a:extLst>
                  <a:ext uri="{FF2B5EF4-FFF2-40B4-BE49-F238E27FC236}">
                    <a16:creationId xmlns:a16="http://schemas.microsoft.com/office/drawing/2014/main" id="{00000000-0008-0000-0800-00002A000000}"/>
                  </a:ext>
                </a:extLst>
              </xdr:cNvPr>
              <xdr:cNvGrpSpPr/>
            </xdr:nvGrpSpPr>
            <xdr:grpSpPr>
              <a:xfrm>
                <a:off x="2133599" y="1447800"/>
                <a:ext cx="3819525" cy="1219200"/>
                <a:chOff x="2133599" y="1447800"/>
                <a:chExt cx="3819525" cy="1219200"/>
              </a:xfrm>
            </xdr:grpSpPr>
            <xdr:sp macro="" textlink="">
              <xdr:nvSpPr>
                <xdr:cNvPr id="44" name="Rectángulo 19">
                  <a:extLst>
                    <a:ext uri="{FF2B5EF4-FFF2-40B4-BE49-F238E27FC236}">
                      <a16:creationId xmlns:a16="http://schemas.microsoft.com/office/drawing/2014/main" id="{00000000-0008-0000-0800-00002C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5" name="Triángulo isósceles 24">
                  <a:extLst>
                    <a:ext uri="{FF2B5EF4-FFF2-40B4-BE49-F238E27FC236}">
                      <a16:creationId xmlns:a16="http://schemas.microsoft.com/office/drawing/2014/main" id="{00000000-0008-0000-0800-00002D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46" name="CuadroTexto 33">
                <a:extLst>
                  <a:ext uri="{FF2B5EF4-FFF2-40B4-BE49-F238E27FC236}">
                    <a16:creationId xmlns:a16="http://schemas.microsoft.com/office/drawing/2014/main" id="{00000000-0008-0000-0800-00002E000000}"/>
                  </a:ext>
                </a:extLst>
              </xdr:cNvPr>
              <xdr:cNvSpPr txBox="1"/>
            </xdr:nvSpPr>
            <xdr:spPr>
              <a:xfrm>
                <a:off x="2276475" y="1638300"/>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CALIDAD</a:t>
                </a:r>
                <a:r>
                  <a:rPr lang="es-ES" sz="1600" b="1" baseline="0">
                    <a:solidFill>
                      <a:schemeClr val="bg1"/>
                    </a:solidFill>
                  </a:rPr>
                  <a:t> DEL AIRE</a:t>
                </a:r>
                <a:endParaRPr lang="es-ES" sz="1600" b="1">
                  <a:solidFill>
                    <a:schemeClr val="bg1"/>
                  </a:solidFill>
                </a:endParaRPr>
              </a:p>
            </xdr:txBody>
          </xdr:sp>
          <xdr:pic>
            <xdr:nvPicPr>
              <xdr:cNvPr id="47" name="Gráfico 37" descr="Ventoso con relleno sólido">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29200" y="1600200"/>
                <a:ext cx="390526" cy="390526"/>
              </a:xfrm>
              <a:prstGeom prst="rect">
                <a:avLst/>
              </a:prstGeom>
            </xdr:spPr>
          </xdr:pic>
        </xdr:grpSp>
        <mc:AlternateContent xmlns:mc="http://schemas.openxmlformats.org/markup-compatibility/2006" xmlns:a14="http://schemas.microsoft.com/office/drawing/2010/main">
          <mc:Choice Requires="a14">
            <xdr:pic>
              <xdr:nvPicPr>
                <xdr:cNvPr id="49" name="Imagen 48">
                  <a:extLst>
                    <a:ext uri="{FF2B5EF4-FFF2-40B4-BE49-F238E27FC236}">
                      <a16:creationId xmlns:a16="http://schemas.microsoft.com/office/drawing/2014/main" id="{00000000-0008-0000-0800-000031000000}"/>
                    </a:ext>
                  </a:extLst>
                </xdr:cNvPr>
                <xdr:cNvPicPr>
                  <a:picLocks noChangeAspect="1" noChangeArrowheads="1"/>
                  <a:extLst>
                    <a:ext uri="{84589F7E-364E-4C9E-8A38-B11213B215E9}">
                      <a14:cameraTool cellRange="RESULTADOS_COBENEFICIOS_CA!$D$79" spid="_x0000_s508293"/>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50" name="CuadroTexto 49">
              <a:extLst>
                <a:ext uri="{FF2B5EF4-FFF2-40B4-BE49-F238E27FC236}">
                  <a16:creationId xmlns:a16="http://schemas.microsoft.com/office/drawing/2014/main" id="{00000000-0008-0000-0800-000032000000}"/>
                </a:ext>
              </a:extLst>
            </xdr:cNvPr>
            <xdr:cNvSpPr txBox="1"/>
          </xdr:nvSpPr>
          <xdr:spPr>
            <a:xfrm>
              <a:off x="2200275" y="3295650"/>
              <a:ext cx="32019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a:t>
              </a:r>
              <a:endParaRPr lang="es-ES" sz="1400" b="1">
                <a:solidFill>
                  <a:schemeClr val="accent6">
                    <a:lumMod val="50000"/>
                  </a:schemeClr>
                </a:solidFill>
              </a:endParaRPr>
            </a:p>
          </xdr:txBody>
        </xdr:sp>
        <xdr:sp macro="" textlink="">
          <xdr:nvSpPr>
            <xdr:cNvPr id="22" name="CuadroTexto 21">
              <a:extLst>
                <a:ext uri="{FF2B5EF4-FFF2-40B4-BE49-F238E27FC236}">
                  <a16:creationId xmlns:a16="http://schemas.microsoft.com/office/drawing/2014/main" id="{00000000-0008-0000-0800-000016000000}"/>
                </a:ext>
              </a:extLst>
            </xdr:cNvPr>
            <xdr:cNvSpPr txBox="1"/>
          </xdr:nvSpPr>
          <xdr:spPr>
            <a:xfrm>
              <a:off x="2238375" y="1485124"/>
              <a:ext cx="3038475" cy="1642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La calidad del aire va tomando cada día mayor relevancia,  según los últimos informes del estado de la calidad del aire,  el contaminante con mayor potencial de afectación en el territorio nacional es el Material Particulado Menor a 2,5 micras </a:t>
              </a:r>
              <a:r>
                <a:rPr lang="es-MX" sz="1100" b="1" i="1">
                  <a:solidFill>
                    <a:schemeClr val="accent6">
                      <a:lumMod val="50000"/>
                    </a:schemeClr>
                  </a:solidFill>
                  <a:effectLst/>
                  <a:latin typeface="+mn-lt"/>
                  <a:ea typeface="+mn-ea"/>
                  <a:cs typeface="+mn-cs"/>
                </a:rPr>
                <a:t>(PM2.5), el SO</a:t>
              </a:r>
              <a:r>
                <a:rPr lang="es-MX" sz="1100" b="1" i="1" baseline="-25000">
                  <a:solidFill>
                    <a:schemeClr val="accent6">
                      <a:lumMod val="50000"/>
                    </a:schemeClr>
                  </a:solidFill>
                  <a:effectLst/>
                  <a:latin typeface="+mn-lt"/>
                  <a:ea typeface="+mn-ea"/>
                  <a:cs typeface="+mn-cs"/>
                </a:rPr>
                <a:t>2</a:t>
              </a:r>
              <a:r>
                <a:rPr lang="es-MX" sz="1100" b="1" i="1">
                  <a:solidFill>
                    <a:schemeClr val="accent6">
                      <a:lumMod val="50000"/>
                    </a:schemeClr>
                  </a:solidFill>
                  <a:effectLst/>
                  <a:latin typeface="+mn-lt"/>
                  <a:ea typeface="+mn-ea"/>
                  <a:cs typeface="+mn-cs"/>
                </a:rPr>
                <a:t>, el NO</a:t>
              </a:r>
              <a:r>
                <a:rPr lang="es-MX" sz="1100" b="1" i="1" baseline="-25000">
                  <a:solidFill>
                    <a:schemeClr val="accent6">
                      <a:lumMod val="50000"/>
                    </a:schemeClr>
                  </a:solidFill>
                  <a:effectLst/>
                  <a:latin typeface="+mn-lt"/>
                  <a:ea typeface="+mn-ea"/>
                  <a:cs typeface="+mn-cs"/>
                </a:rPr>
                <a:t>2</a:t>
              </a:r>
              <a:r>
                <a:rPr lang="es-MX" sz="1100" b="1" i="1">
                  <a:solidFill>
                    <a:schemeClr val="accent6">
                      <a:lumMod val="50000"/>
                    </a:schemeClr>
                  </a:solidFill>
                  <a:effectLst/>
                  <a:latin typeface="+mn-lt"/>
                  <a:ea typeface="+mn-ea"/>
                  <a:cs typeface="+mn-cs"/>
                </a:rPr>
                <a:t>, y el carbono negro</a:t>
              </a:r>
              <a:r>
                <a:rPr lang="es-MX" sz="1100" i="1">
                  <a:solidFill>
                    <a:schemeClr val="tx1"/>
                  </a:solidFill>
                  <a:effectLst/>
                  <a:latin typeface="+mn-lt"/>
                  <a:ea typeface="+mn-ea"/>
                  <a:cs typeface="+mn-cs"/>
                </a:rPr>
                <a:t>. La</a:t>
              </a:r>
              <a:r>
                <a:rPr lang="es-MX" sz="1100" i="1" baseline="0">
                  <a:solidFill>
                    <a:schemeClr val="tx1"/>
                  </a:solidFill>
                  <a:effectLst/>
                  <a:latin typeface="+mn-lt"/>
                  <a:ea typeface="+mn-ea"/>
                  <a:cs typeface="+mn-cs"/>
                </a:rPr>
                <a:t> calculadora ha contrastado de manera cualitativa la afección de las medidas en las concentraciones de estos precursores. </a:t>
              </a:r>
            </a:p>
          </xdr:txBody>
        </xdr:sp>
      </xdr:grpSp>
      <xdr:sp macro="" textlink="">
        <xdr:nvSpPr>
          <xdr:cNvPr id="48" name="Rectángulo 47">
            <a:extLst>
              <a:ext uri="{FF2B5EF4-FFF2-40B4-BE49-F238E27FC236}">
                <a16:creationId xmlns:a16="http://schemas.microsoft.com/office/drawing/2014/main" id="{00000000-0008-0000-0800-000030000000}"/>
              </a:ext>
            </a:extLst>
          </xdr:cNvPr>
          <xdr:cNvSpPr/>
        </xdr:nvSpPr>
        <xdr:spPr>
          <a:xfrm>
            <a:off x="2190750" y="4200524"/>
            <a:ext cx="3695700" cy="1266825"/>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clientData/>
  </xdr:twoCellAnchor>
  <xdr:twoCellAnchor>
    <xdr:from>
      <xdr:col>15</xdr:col>
      <xdr:colOff>723900</xdr:colOff>
      <xdr:row>3</xdr:row>
      <xdr:rowOff>104775</xdr:rowOff>
    </xdr:from>
    <xdr:to>
      <xdr:col>21</xdr:col>
      <xdr:colOff>157997</xdr:colOff>
      <xdr:row>28</xdr:row>
      <xdr:rowOff>133350</xdr:rowOff>
    </xdr:to>
    <xdr:grpSp>
      <xdr:nvGrpSpPr>
        <xdr:cNvPr id="60" name="Grupo 59">
          <a:extLst>
            <a:ext uri="{FF2B5EF4-FFF2-40B4-BE49-F238E27FC236}">
              <a16:creationId xmlns:a16="http://schemas.microsoft.com/office/drawing/2014/main" id="{00000000-0008-0000-0800-00003C000000}"/>
            </a:ext>
          </a:extLst>
        </xdr:cNvPr>
        <xdr:cNvGrpSpPr/>
      </xdr:nvGrpSpPr>
      <xdr:grpSpPr>
        <a:xfrm>
          <a:off x="12773025" y="676275"/>
          <a:ext cx="4006097" cy="4791075"/>
          <a:chOff x="12773025" y="676275"/>
          <a:chExt cx="4006097" cy="4791075"/>
        </a:xfrm>
      </xdr:grpSpPr>
      <xdr:grpSp>
        <xdr:nvGrpSpPr>
          <xdr:cNvPr id="58" name="Grupo 57">
            <a:hlinkClick xmlns:r="http://schemas.openxmlformats.org/officeDocument/2006/relationships" r:id="rId25"/>
            <a:extLst>
              <a:ext uri="{FF2B5EF4-FFF2-40B4-BE49-F238E27FC236}">
                <a16:creationId xmlns:a16="http://schemas.microsoft.com/office/drawing/2014/main" id="{00000000-0008-0000-0800-00003A000000}"/>
              </a:ext>
            </a:extLst>
          </xdr:cNvPr>
          <xdr:cNvGrpSpPr/>
        </xdr:nvGrpSpPr>
        <xdr:grpSpPr>
          <a:xfrm>
            <a:off x="12773025" y="676275"/>
            <a:ext cx="4006097" cy="4791075"/>
            <a:chOff x="12773025" y="676275"/>
            <a:chExt cx="4006097" cy="4791075"/>
          </a:xfrm>
        </xdr:grpSpPr>
        <xdr:grpSp>
          <xdr:nvGrpSpPr>
            <xdr:cNvPr id="56" name="Grupo 55">
              <a:extLst>
                <a:ext uri="{FF2B5EF4-FFF2-40B4-BE49-F238E27FC236}">
                  <a16:creationId xmlns:a16="http://schemas.microsoft.com/office/drawing/2014/main" id="{00000000-0008-0000-0800-000038000000}"/>
                </a:ext>
              </a:extLst>
            </xdr:cNvPr>
            <xdr:cNvGrpSpPr/>
          </xdr:nvGrpSpPr>
          <xdr:grpSpPr>
            <a:xfrm>
              <a:off x="12773025" y="676275"/>
              <a:ext cx="4006097" cy="3778596"/>
              <a:chOff x="12773025" y="676275"/>
              <a:chExt cx="4006097" cy="3778596"/>
            </a:xfrm>
          </xdr:grpSpPr>
          <xdr:grpSp>
            <xdr:nvGrpSpPr>
              <xdr:cNvPr id="31" name="Grupo 30">
                <a:extLst>
                  <a:ext uri="{FF2B5EF4-FFF2-40B4-BE49-F238E27FC236}">
                    <a16:creationId xmlns:a16="http://schemas.microsoft.com/office/drawing/2014/main" id="{00000000-0008-0000-0800-00001F000000}"/>
                  </a:ext>
                </a:extLst>
              </xdr:cNvPr>
              <xdr:cNvGrpSpPr/>
            </xdr:nvGrpSpPr>
            <xdr:grpSpPr>
              <a:xfrm>
                <a:off x="12801599" y="676275"/>
                <a:ext cx="3819525" cy="1219200"/>
                <a:chOff x="2133599" y="1447800"/>
                <a:chExt cx="3819525" cy="1219200"/>
              </a:xfrm>
            </xdr:grpSpPr>
            <xdr:sp macro="" textlink="">
              <xdr:nvSpPr>
                <xdr:cNvPr id="32" name="Rectángulo 31">
                  <a:extLst>
                    <a:ext uri="{FF2B5EF4-FFF2-40B4-BE49-F238E27FC236}">
                      <a16:creationId xmlns:a16="http://schemas.microsoft.com/office/drawing/2014/main" id="{00000000-0008-0000-0800-000020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3" name="Triángulo isósceles 32">
                  <a:extLst>
                    <a:ext uri="{FF2B5EF4-FFF2-40B4-BE49-F238E27FC236}">
                      <a16:creationId xmlns:a16="http://schemas.microsoft.com/office/drawing/2014/main" id="{00000000-0008-0000-0800-000021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37" name="CuadroTexto 36">
                <a:extLst>
                  <a:ext uri="{FF2B5EF4-FFF2-40B4-BE49-F238E27FC236}">
                    <a16:creationId xmlns:a16="http://schemas.microsoft.com/office/drawing/2014/main" id="{00000000-0008-0000-0800-000025000000}"/>
                  </a:ext>
                </a:extLst>
              </xdr:cNvPr>
              <xdr:cNvSpPr txBox="1"/>
            </xdr:nvSpPr>
            <xdr:spPr>
              <a:xfrm>
                <a:off x="12992100" y="914400"/>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CREACIÓN DE EMPLEO</a:t>
                </a:r>
              </a:p>
            </xdr:txBody>
          </xdr:sp>
          <xdr:pic>
            <xdr:nvPicPr>
              <xdr:cNvPr id="41" name="Gráfico 40" descr="Maletín con relleno sólido">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868650" y="857250"/>
                <a:ext cx="409575" cy="409575"/>
              </a:xfrm>
              <a:prstGeom prst="rect">
                <a:avLst/>
              </a:prstGeom>
            </xdr:spPr>
          </xdr:pic>
          <xdr:sp macro="" textlink="">
            <xdr:nvSpPr>
              <xdr:cNvPr id="24" name="CuadroTexto 23">
                <a:extLst>
                  <a:ext uri="{FF2B5EF4-FFF2-40B4-BE49-F238E27FC236}">
                    <a16:creationId xmlns:a16="http://schemas.microsoft.com/office/drawing/2014/main" id="{00000000-0008-0000-0800-000018000000}"/>
                  </a:ext>
                </a:extLst>
              </xdr:cNvPr>
              <xdr:cNvSpPr txBox="1"/>
            </xdr:nvSpPr>
            <xdr:spPr>
              <a:xfrm>
                <a:off x="12906375" y="1408537"/>
                <a:ext cx="3038475"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Los</a:t>
                </a:r>
                <a:r>
                  <a:rPr lang="es-MX" sz="1100" i="1" baseline="0">
                    <a:solidFill>
                      <a:schemeClr val="tx1"/>
                    </a:solidFill>
                    <a:effectLst/>
                    <a:latin typeface="+mn-lt"/>
                    <a:ea typeface="+mn-ea"/>
                    <a:cs typeface="+mn-cs"/>
                  </a:rPr>
                  <a:t> beneficios que de la relación de escenarios seleccionada en las medidas de mitigación de la presente calculadora están principalmente relacionadas con la mejora de la salid por mejoras en </a:t>
                </a:r>
                <a:r>
                  <a:rPr lang="es-MX" sz="1100" b="1" i="1" baseline="0">
                    <a:solidFill>
                      <a:schemeClr val="accent6">
                        <a:lumMod val="50000"/>
                      </a:schemeClr>
                    </a:solidFill>
                    <a:effectLst/>
                    <a:latin typeface="+mn-lt"/>
                    <a:ea typeface="+mn-ea"/>
                    <a:cs typeface="+mn-cs"/>
                  </a:rPr>
                  <a:t>calidad del aire</a:t>
                </a:r>
                <a:r>
                  <a:rPr lang="es-MX" sz="1100" i="1" baseline="0">
                    <a:solidFill>
                      <a:schemeClr val="tx1"/>
                    </a:solidFill>
                    <a:effectLst/>
                    <a:latin typeface="+mn-lt"/>
                    <a:ea typeface="+mn-ea"/>
                    <a:cs typeface="+mn-cs"/>
                  </a:rPr>
                  <a:t>, mejoras en las </a:t>
                </a:r>
                <a:r>
                  <a:rPr lang="es-MX" sz="1100" b="1" i="1" baseline="0">
                    <a:solidFill>
                      <a:schemeClr val="accent6">
                        <a:lumMod val="50000"/>
                      </a:schemeClr>
                    </a:solidFill>
                    <a:effectLst/>
                    <a:latin typeface="+mn-lt"/>
                    <a:ea typeface="+mn-ea"/>
                    <a:cs typeface="+mn-cs"/>
                  </a:rPr>
                  <a:t>condiciones higiénico sanitarias</a:t>
                </a:r>
                <a:r>
                  <a:rPr lang="es-MX" sz="1100" i="1" baseline="0">
                    <a:solidFill>
                      <a:schemeClr val="tx1"/>
                    </a:solidFill>
                    <a:effectLst/>
                    <a:latin typeface="+mn-lt"/>
                    <a:ea typeface="+mn-ea"/>
                    <a:cs typeface="+mn-cs"/>
                  </a:rPr>
                  <a:t> y en los beneficios de la salud asociados a la </a:t>
                </a:r>
                <a:r>
                  <a:rPr lang="es-MX" sz="1100" b="1" i="1" baseline="0">
                    <a:solidFill>
                      <a:schemeClr val="accent6">
                        <a:lumMod val="50000"/>
                      </a:schemeClr>
                    </a:solidFill>
                    <a:effectLst/>
                    <a:latin typeface="+mn-lt"/>
                    <a:ea typeface="+mn-ea"/>
                    <a:cs typeface="+mn-cs"/>
                  </a:rPr>
                  <a:t>conservación de bosques</a:t>
                </a:r>
                <a:r>
                  <a:rPr lang="es-MX" sz="1100" i="1" baseline="0">
                    <a:solidFill>
                      <a:schemeClr val="tx1"/>
                    </a:solidFill>
                    <a:effectLst/>
                    <a:latin typeface="+mn-lt"/>
                    <a:ea typeface="+mn-ea"/>
                    <a:cs typeface="+mn-cs"/>
                  </a:rPr>
                  <a:t>. </a:t>
                </a:r>
                <a:r>
                  <a:rPr lang="es-MX" sz="1100" i="1">
                    <a:solidFill>
                      <a:schemeClr val="tx1"/>
                    </a:solidFill>
                    <a:effectLst/>
                    <a:latin typeface="+mn-lt"/>
                    <a:ea typeface="+mn-ea"/>
                    <a:cs typeface="+mn-cs"/>
                  </a:rPr>
                  <a:t>La</a:t>
                </a:r>
                <a:r>
                  <a:rPr lang="es-MX" sz="1100" i="1" baseline="0">
                    <a:solidFill>
                      <a:schemeClr val="tx1"/>
                    </a:solidFill>
                    <a:effectLst/>
                    <a:latin typeface="+mn-lt"/>
                    <a:ea typeface="+mn-ea"/>
                    <a:cs typeface="+mn-cs"/>
                  </a:rPr>
                  <a:t> calculadora ha contrastado de manera cualitativa la afección de las medidas en la salud de la población.</a:t>
                </a:r>
              </a:p>
            </xdr:txBody>
          </xdr:sp>
          <xdr:sp macro="" textlink="">
            <xdr:nvSpPr>
              <xdr:cNvPr id="25" name="CuadroTexto 24">
                <a:extLst>
                  <a:ext uri="{FF2B5EF4-FFF2-40B4-BE49-F238E27FC236}">
                    <a16:creationId xmlns:a16="http://schemas.microsoft.com/office/drawing/2014/main" id="{00000000-0008-0000-0800-000019000000}"/>
                  </a:ext>
                </a:extLst>
              </xdr:cNvPr>
              <xdr:cNvSpPr txBox="1"/>
            </xdr:nvSpPr>
            <xdr:spPr>
              <a:xfrm>
                <a:off x="12773025" y="3305175"/>
                <a:ext cx="400609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generarán, </a:t>
                </a:r>
                <a:endParaRPr lang="es-ES" sz="1400" b="1">
                  <a:solidFill>
                    <a:schemeClr val="accent6">
                      <a:lumMod val="50000"/>
                    </a:schemeClr>
                  </a:solidFill>
                </a:endParaRPr>
              </a:p>
            </xdr:txBody>
          </xdr:sp>
          <xdr:sp macro="" textlink="COBENEFICIOS!K320">
            <xdr:nvSpPr>
              <xdr:cNvPr id="27" name="Rectángulo 26">
                <a:extLst>
                  <a:ext uri="{FF2B5EF4-FFF2-40B4-BE49-F238E27FC236}">
                    <a16:creationId xmlns:a16="http://schemas.microsoft.com/office/drawing/2014/main" id="{00000000-0008-0000-0800-00001B000000}"/>
                  </a:ext>
                </a:extLst>
              </xdr:cNvPr>
              <xdr:cNvSpPr/>
            </xdr:nvSpPr>
            <xdr:spPr>
              <a:xfrm>
                <a:off x="12982574" y="3648075"/>
                <a:ext cx="3495675" cy="428625"/>
              </a:xfrm>
              <a:prstGeom prst="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C43D54F-8915-46EB-9C7E-060DEA8CD6E2}" type="TxLink">
                  <a:rPr lang="en-US" sz="1400" b="1" i="0" u="none" strike="noStrike">
                    <a:solidFill>
                      <a:srgbClr val="000000"/>
                    </a:solidFill>
                    <a:latin typeface="Calibri"/>
                    <a:cs typeface="Calibri"/>
                  </a:rPr>
                  <a:pPr algn="ctr"/>
                  <a:t>386.972,87</a:t>
                </a:fld>
                <a:endParaRPr lang="es-ES" sz="2400" b="1">
                  <a:solidFill>
                    <a:schemeClr val="accent6">
                      <a:lumMod val="50000"/>
                    </a:schemeClr>
                  </a:solidFill>
                </a:endParaRPr>
              </a:p>
            </xdr:txBody>
          </xdr:sp>
          <xdr:sp macro="" textlink="">
            <xdr:nvSpPr>
              <xdr:cNvPr id="34" name="CuadroTexto 33">
                <a:extLst>
                  <a:ext uri="{FF2B5EF4-FFF2-40B4-BE49-F238E27FC236}">
                    <a16:creationId xmlns:a16="http://schemas.microsoft.com/office/drawing/2014/main" id="{00000000-0008-0000-0800-000022000000}"/>
                  </a:ext>
                </a:extLst>
              </xdr:cNvPr>
              <xdr:cNvSpPr txBox="1"/>
            </xdr:nvSpPr>
            <xdr:spPr>
              <a:xfrm>
                <a:off x="14011275" y="4143375"/>
                <a:ext cx="14520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empleos en 2050</a:t>
                </a:r>
              </a:p>
            </xdr:txBody>
          </xdr:sp>
        </xdr:grpSp>
        <xdr:sp macro="" textlink="">
          <xdr:nvSpPr>
            <xdr:cNvPr id="57" name="Rectángulo 56">
              <a:extLst>
                <a:ext uri="{FF2B5EF4-FFF2-40B4-BE49-F238E27FC236}">
                  <a16:creationId xmlns:a16="http://schemas.microsoft.com/office/drawing/2014/main" id="{00000000-0008-0000-0800-000039000000}"/>
                </a:ext>
              </a:extLst>
            </xdr:cNvPr>
            <xdr:cNvSpPr/>
          </xdr:nvSpPr>
          <xdr:spPr>
            <a:xfrm>
              <a:off x="12944475" y="4552950"/>
              <a:ext cx="3638550" cy="914400"/>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59" name="CuadroTexto 58">
            <a:extLst>
              <a:ext uri="{FF2B5EF4-FFF2-40B4-BE49-F238E27FC236}">
                <a16:creationId xmlns:a16="http://schemas.microsoft.com/office/drawing/2014/main" id="{00000000-0008-0000-0800-00003B000000}"/>
              </a:ext>
            </a:extLst>
          </xdr:cNvPr>
          <xdr:cNvSpPr txBox="1"/>
        </xdr:nvSpPr>
        <xdr:spPr>
          <a:xfrm>
            <a:off x="12973050" y="3762375"/>
            <a:ext cx="12667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aproximadamente</a:t>
            </a:r>
          </a:p>
        </xdr:txBody>
      </xdr:sp>
    </xdr:grpSp>
    <xdr:clientData/>
  </xdr:twoCellAnchor>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714" name="Imagen 48">
              <a:extLst>
                <a:ext uri="{FF2B5EF4-FFF2-40B4-BE49-F238E27FC236}">
                  <a16:creationId xmlns:a16="http://schemas.microsoft.com/office/drawing/2014/main" id="{00000000-0008-0000-0800-000022180100}"/>
                </a:ext>
              </a:extLst>
            </xdr:cNvPr>
            <xdr:cNvPicPr>
              <a:picLocks noChangeAspect="1" noChangeArrowheads="1"/>
              <a:extLst>
                <a:ext uri="{84589F7E-364E-4C9E-8A38-B11213B215E9}">
                  <a14:cameraTool cellRange="RESULTADOS_COBENEFICIOS_CA!$D$79" spid="_x0000_s508294"/>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922" name="Imagen 48">
              <a:extLst>
                <a:ext uri="{FF2B5EF4-FFF2-40B4-BE49-F238E27FC236}">
                  <a16:creationId xmlns:a16="http://schemas.microsoft.com/office/drawing/2014/main" id="{00000000-0008-0000-0800-0000F2180100}"/>
                </a:ext>
              </a:extLst>
            </xdr:cNvPr>
            <xdr:cNvPicPr>
              <a:picLocks noChangeAspect="1" noChangeArrowheads="1"/>
              <a:extLst>
                <a:ext uri="{84589F7E-364E-4C9E-8A38-B11213B215E9}">
                  <a14:cameraTool cellRange="RESULTADOS_COBENEFICIOS_CA!$D$79" spid="_x0000_s50829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923" name="Picture 1267">
              <a:extLst>
                <a:ext uri="{FF2B5EF4-FFF2-40B4-BE49-F238E27FC236}">
                  <a16:creationId xmlns:a16="http://schemas.microsoft.com/office/drawing/2014/main" id="{00000000-0008-0000-0800-0000F3180100}"/>
                </a:ext>
              </a:extLst>
            </xdr:cNvPr>
            <xdr:cNvPicPr>
              <a:picLocks noChangeAspect="1" noChangeArrowheads="1"/>
              <a:extLst>
                <a:ext uri="{84589F7E-364E-4C9E-8A38-B11213B215E9}">
                  <a14:cameraTool cellRange="RESULTADOS_COBENEFICIOS_CA!$D$79" spid="_x0000_s508296"/>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xdr:col>
      <xdr:colOff>571500</xdr:colOff>
      <xdr:row>31</xdr:row>
      <xdr:rowOff>168965</xdr:rowOff>
    </xdr:from>
    <xdr:to>
      <xdr:col>2</xdr:col>
      <xdr:colOff>57978</xdr:colOff>
      <xdr:row>33</xdr:row>
      <xdr:rowOff>36443</xdr:rowOff>
    </xdr:to>
    <xdr:pic>
      <xdr:nvPicPr>
        <xdr:cNvPr id="71904" name="Gráfico 71903" descr="Signo de intercalación hacia la derecha con relleno sólido">
          <a:extLst>
            <a:ext uri="{FF2B5EF4-FFF2-40B4-BE49-F238E27FC236}">
              <a16:creationId xmlns:a16="http://schemas.microsoft.com/office/drawing/2014/main" id="{00000000-0008-0000-0800-0000E01801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952625" y="7788965"/>
          <a:ext cx="248478" cy="248478"/>
        </a:xfrm>
        <a:prstGeom prst="rect">
          <a:avLst/>
        </a:prstGeom>
      </xdr:spPr>
    </xdr:pic>
    <xdr:clientData/>
  </xdr:twoCellAnchor>
  <xdr:oneCellAnchor>
    <xdr:from>
      <xdr:col>2</xdr:col>
      <xdr:colOff>0</xdr:colOff>
      <xdr:row>34</xdr:row>
      <xdr:rowOff>28575</xdr:rowOff>
    </xdr:from>
    <xdr:ext cx="10559142" cy="819150"/>
    <xdr:sp macro="" textlink="">
      <xdr:nvSpPr>
        <xdr:cNvPr id="71905" name="CuadroTexto 78">
          <a:extLst>
            <a:ext uri="{FF2B5EF4-FFF2-40B4-BE49-F238E27FC236}">
              <a16:creationId xmlns:a16="http://schemas.microsoft.com/office/drawing/2014/main" id="{00000000-0008-0000-0800-0000E1180100}"/>
            </a:ext>
          </a:extLst>
        </xdr:cNvPr>
        <xdr:cNvSpPr txBox="1"/>
      </xdr:nvSpPr>
      <xdr:spPr>
        <a:xfrm>
          <a:off x="2143125" y="6505575"/>
          <a:ext cx="10559142" cy="819150"/>
        </a:xfrm>
        <a:prstGeom prst="rect">
          <a:avLst/>
        </a:prstGeom>
        <a:solidFill>
          <a:srgbClr val="ED7D31">
            <a:lumMod val="20000"/>
            <a:lumOff val="80000"/>
          </a:srgbClr>
        </a:solidFill>
        <a:ln w="6350">
          <a:solidFill>
            <a:srgbClr val="ED7D31">
              <a:lumMod val="75000"/>
            </a:srgbClr>
          </a:solidFill>
          <a:prstDash val="solid"/>
        </a:ln>
        <a:effectLst/>
      </xdr:spPr>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ysClr val="windowText" lastClr="000000"/>
              </a:solidFill>
              <a:effectLst/>
              <a:uLnTx/>
              <a:uFillTx/>
              <a:latin typeface="+mn-lt"/>
              <a:ea typeface="+mn-ea"/>
              <a:cs typeface="+mn-cs"/>
            </a:rPr>
            <a:t>La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metodología propuesta </a:t>
          </a:r>
          <a:r>
            <a:rPr kumimoji="0" lang="es-ES" sz="1200" b="0" i="0" u="none" strike="noStrike" kern="0" cap="none" spc="0" normalizeH="0" baseline="0" noProof="0">
              <a:ln>
                <a:noFill/>
              </a:ln>
              <a:solidFill>
                <a:sysClr val="windowText" lastClr="000000"/>
              </a:solidFill>
              <a:effectLst/>
              <a:uLnTx/>
              <a:uFillTx/>
              <a:latin typeface="+mn-lt"/>
              <a:ea typeface="+mn-ea"/>
              <a:cs typeface="+mn-cs"/>
            </a:rPr>
            <a:t>para este módulo de cobeneficios se divide en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3</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secciones</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calidad del aire</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salud</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y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generación de empleos</a:t>
          </a:r>
          <a:r>
            <a:rPr kumimoji="0" lang="es-ES" sz="1200" b="0" i="0" u="none" strike="noStrike" kern="0" cap="none" spc="0" normalizeH="0" baseline="0" noProof="0">
              <a:ln>
                <a:noFill/>
              </a:ln>
              <a:solidFill>
                <a:sysClr val="windowText" lastClr="000000"/>
              </a:solidFill>
              <a:effectLst/>
              <a:uLnTx/>
              <a:uFillTx/>
              <a:latin typeface="+mn-lt"/>
              <a:ea typeface="+mn-ea"/>
              <a:cs typeface="+mn-cs"/>
            </a:rPr>
            <a:t>. Cabe mencionar que, tanto los beneficios obtenidos por la mejora de la calidad del aire y por tanto, en la salud de la población son resultado de la reducción de la quema de combustibles fósiles en los diferentes sectores integrados en la Calculadora Colombiana de Carbono 2050.</a:t>
          </a:r>
        </a:p>
      </xdr:txBody>
    </xdr:sp>
    <xdr:clientData/>
  </xdr:oneCellAnchor>
  <xdr:twoCellAnchor>
    <xdr:from>
      <xdr:col>2</xdr:col>
      <xdr:colOff>0</xdr:colOff>
      <xdr:row>40</xdr:row>
      <xdr:rowOff>0</xdr:rowOff>
    </xdr:from>
    <xdr:to>
      <xdr:col>15</xdr:col>
      <xdr:colOff>685801</xdr:colOff>
      <xdr:row>47</xdr:row>
      <xdr:rowOff>65135</xdr:rowOff>
    </xdr:to>
    <xdr:sp macro="" textlink="">
      <xdr:nvSpPr>
        <xdr:cNvPr id="71909" name="Rectángulo: esquinas redondeadas 304">
          <a:extLst>
            <a:ext uri="{FF2B5EF4-FFF2-40B4-BE49-F238E27FC236}">
              <a16:creationId xmlns:a16="http://schemas.microsoft.com/office/drawing/2014/main" id="{00000000-0008-0000-0800-0000E5180100}"/>
            </a:ext>
            <a:ext uri="{147F2762-F138-4A5C-976F-8EAC2B608ADB}">
              <a16:predDERef xmlns:a16="http://schemas.microsoft.com/office/drawing/2014/main" pred="{00000000-0008-0000-0800-0000E1180100}"/>
            </a:ext>
          </a:extLst>
        </xdr:cNvPr>
        <xdr:cNvSpPr/>
      </xdr:nvSpPr>
      <xdr:spPr>
        <a:xfrm>
          <a:off x="2143125" y="7620000"/>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4762</xdr:colOff>
      <xdr:row>40</xdr:row>
      <xdr:rowOff>4763</xdr:rowOff>
    </xdr:from>
    <xdr:to>
      <xdr:col>2</xdr:col>
      <xdr:colOff>681037</xdr:colOff>
      <xdr:row>47</xdr:row>
      <xdr:rowOff>23813</xdr:rowOff>
    </xdr:to>
    <xdr:sp macro="" textlink="">
      <xdr:nvSpPr>
        <xdr:cNvPr id="71911" name="CuadroTexto 71910">
          <a:extLst>
            <a:ext uri="{FF2B5EF4-FFF2-40B4-BE49-F238E27FC236}">
              <a16:creationId xmlns:a16="http://schemas.microsoft.com/office/drawing/2014/main" id="{00000000-0008-0000-0800-0000E7180100}"/>
            </a:ext>
            <a:ext uri="{147F2762-F138-4A5C-976F-8EAC2B608ADB}">
              <a16:predDERef xmlns:a16="http://schemas.microsoft.com/office/drawing/2014/main" pred="{00000000-0008-0000-0800-0000E6180100}"/>
            </a:ext>
          </a:extLst>
        </xdr:cNvPr>
        <xdr:cNvSpPr txBox="1"/>
      </xdr:nvSpPr>
      <xdr:spPr>
        <a:xfrm rot="16200000">
          <a:off x="1809750" y="7962900"/>
          <a:ext cx="1352550" cy="676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s-ES" sz="1600" b="1">
              <a:solidFill>
                <a:schemeClr val="accent2">
                  <a:lumMod val="75000"/>
                </a:schemeClr>
              </a:solidFill>
            </a:rPr>
            <a:t>Calidad</a:t>
          </a:r>
          <a:r>
            <a:rPr lang="es-ES" sz="1600" b="1" baseline="0">
              <a:solidFill>
                <a:schemeClr val="accent2">
                  <a:lumMod val="75000"/>
                </a:schemeClr>
              </a:solidFill>
            </a:rPr>
            <a:t> </a:t>
          </a:r>
        </a:p>
        <a:p>
          <a:pPr algn="ctr"/>
          <a:r>
            <a:rPr lang="es-ES" sz="1600" b="1" baseline="0">
              <a:solidFill>
                <a:schemeClr val="accent2">
                  <a:lumMod val="75000"/>
                </a:schemeClr>
              </a:solidFill>
            </a:rPr>
            <a:t>del aire</a:t>
          </a:r>
          <a:endParaRPr lang="es-ES" sz="1600" b="1">
            <a:solidFill>
              <a:schemeClr val="accent2">
                <a:lumMod val="75000"/>
              </a:schemeClr>
            </a:solidFill>
          </a:endParaRPr>
        </a:p>
      </xdr:txBody>
    </xdr:sp>
    <xdr:clientData/>
  </xdr:twoCellAnchor>
  <xdr:twoCellAnchor>
    <xdr:from>
      <xdr:col>14</xdr:col>
      <xdr:colOff>333375</xdr:colOff>
      <xdr:row>39</xdr:row>
      <xdr:rowOff>171450</xdr:rowOff>
    </xdr:from>
    <xdr:to>
      <xdr:col>16</xdr:col>
      <xdr:colOff>257175</xdr:colOff>
      <xdr:row>47</xdr:row>
      <xdr:rowOff>95250</xdr:rowOff>
    </xdr:to>
    <xdr:sp macro="" textlink="">
      <xdr:nvSpPr>
        <xdr:cNvPr id="71913" name="Diagrama de flujo: conector 71912">
          <a:extLst>
            <a:ext uri="{FF2B5EF4-FFF2-40B4-BE49-F238E27FC236}">
              <a16:creationId xmlns:a16="http://schemas.microsoft.com/office/drawing/2014/main" id="{00000000-0008-0000-0800-0000E9180100}"/>
            </a:ext>
          </a:extLst>
        </xdr:cNvPr>
        <xdr:cNvSpPr/>
      </xdr:nvSpPr>
      <xdr:spPr>
        <a:xfrm>
          <a:off x="11620500" y="7600950"/>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14</xdr:col>
      <xdr:colOff>619126</xdr:colOff>
      <xdr:row>41</xdr:row>
      <xdr:rowOff>28576</xdr:rowOff>
    </xdr:from>
    <xdr:to>
      <xdr:col>16</xdr:col>
      <xdr:colOff>57150</xdr:colOff>
      <xdr:row>46</xdr:row>
      <xdr:rowOff>38100</xdr:rowOff>
    </xdr:to>
    <xdr:pic>
      <xdr:nvPicPr>
        <xdr:cNvPr id="71924" name="Gráfico 19" descr="Ventoso con relleno sólido">
          <a:extLst>
            <a:ext uri="{FF2B5EF4-FFF2-40B4-BE49-F238E27FC236}">
              <a16:creationId xmlns:a16="http://schemas.microsoft.com/office/drawing/2014/main" id="{00000000-0008-0000-0800-0000F41801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1906251" y="7839076"/>
          <a:ext cx="962024" cy="962024"/>
        </a:xfrm>
        <a:prstGeom prst="rect">
          <a:avLst/>
        </a:prstGeom>
      </xdr:spPr>
    </xdr:pic>
    <xdr:clientData/>
  </xdr:twoCellAnchor>
  <xdr:twoCellAnchor>
    <xdr:from>
      <xdr:col>1</xdr:col>
      <xdr:colOff>733425</xdr:colOff>
      <xdr:row>49</xdr:row>
      <xdr:rowOff>9525</xdr:rowOff>
    </xdr:from>
    <xdr:to>
      <xdr:col>15</xdr:col>
      <xdr:colOff>657226</xdr:colOff>
      <xdr:row>56</xdr:row>
      <xdr:rowOff>74660</xdr:rowOff>
    </xdr:to>
    <xdr:sp macro="" textlink="">
      <xdr:nvSpPr>
        <xdr:cNvPr id="71915" name="Rectángulo: esquinas redondeadas 304">
          <a:extLst>
            <a:ext uri="{FF2B5EF4-FFF2-40B4-BE49-F238E27FC236}">
              <a16:creationId xmlns:a16="http://schemas.microsoft.com/office/drawing/2014/main" id="{00000000-0008-0000-0800-0000EB180100}"/>
            </a:ext>
          </a:extLst>
        </xdr:cNvPr>
        <xdr:cNvSpPr/>
      </xdr:nvSpPr>
      <xdr:spPr>
        <a:xfrm>
          <a:off x="2114550" y="9344025"/>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371475</xdr:colOff>
      <xdr:row>48</xdr:row>
      <xdr:rowOff>161925</xdr:rowOff>
    </xdr:from>
    <xdr:to>
      <xdr:col>16</xdr:col>
      <xdr:colOff>295275</xdr:colOff>
      <xdr:row>56</xdr:row>
      <xdr:rowOff>85725</xdr:rowOff>
    </xdr:to>
    <xdr:sp macro="" textlink="">
      <xdr:nvSpPr>
        <xdr:cNvPr id="71906" name="Diagrama de flujo: conector 71905">
          <a:extLst>
            <a:ext uri="{FF2B5EF4-FFF2-40B4-BE49-F238E27FC236}">
              <a16:creationId xmlns:a16="http://schemas.microsoft.com/office/drawing/2014/main" id="{00000000-0008-0000-0800-0000E2180100}"/>
            </a:ext>
          </a:extLst>
        </xdr:cNvPr>
        <xdr:cNvSpPr/>
      </xdr:nvSpPr>
      <xdr:spPr>
        <a:xfrm>
          <a:off x="11658600" y="9305925"/>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58</xdr:row>
      <xdr:rowOff>28575</xdr:rowOff>
    </xdr:from>
    <xdr:to>
      <xdr:col>15</xdr:col>
      <xdr:colOff>685801</xdr:colOff>
      <xdr:row>65</xdr:row>
      <xdr:rowOff>93710</xdr:rowOff>
    </xdr:to>
    <xdr:sp macro="" textlink="">
      <xdr:nvSpPr>
        <xdr:cNvPr id="71920" name="Rectángulo: esquinas redondeadas 304">
          <a:extLst>
            <a:ext uri="{FF2B5EF4-FFF2-40B4-BE49-F238E27FC236}">
              <a16:creationId xmlns:a16="http://schemas.microsoft.com/office/drawing/2014/main" id="{00000000-0008-0000-0800-0000F0180100}"/>
            </a:ext>
          </a:extLst>
        </xdr:cNvPr>
        <xdr:cNvSpPr/>
      </xdr:nvSpPr>
      <xdr:spPr>
        <a:xfrm>
          <a:off x="2143125" y="11077575"/>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400050</xdr:colOff>
      <xdr:row>57</xdr:row>
      <xdr:rowOff>180975</xdr:rowOff>
    </xdr:from>
    <xdr:to>
      <xdr:col>16</xdr:col>
      <xdr:colOff>323850</xdr:colOff>
      <xdr:row>65</xdr:row>
      <xdr:rowOff>104775</xdr:rowOff>
    </xdr:to>
    <xdr:sp macro="" textlink="">
      <xdr:nvSpPr>
        <xdr:cNvPr id="71918" name="Diagrama de flujo: conector 71907">
          <a:extLst>
            <a:ext uri="{FF2B5EF4-FFF2-40B4-BE49-F238E27FC236}">
              <a16:creationId xmlns:a16="http://schemas.microsoft.com/office/drawing/2014/main" id="{00000000-0008-0000-0800-0000EE180100}"/>
            </a:ext>
          </a:extLst>
        </xdr:cNvPr>
        <xdr:cNvSpPr/>
      </xdr:nvSpPr>
      <xdr:spPr>
        <a:xfrm>
          <a:off x="11687175" y="11039475"/>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14</xdr:col>
      <xdr:colOff>647700</xdr:colOff>
      <xdr:row>49</xdr:row>
      <xdr:rowOff>161925</xdr:rowOff>
    </xdr:from>
    <xdr:to>
      <xdr:col>16</xdr:col>
      <xdr:colOff>95249</xdr:colOff>
      <xdr:row>54</xdr:row>
      <xdr:rowOff>180974</xdr:rowOff>
    </xdr:to>
    <xdr:pic>
      <xdr:nvPicPr>
        <xdr:cNvPr id="71917" name="Gráfico 42" descr="Pulmones con relleno sólido">
          <a:extLst>
            <a:ext uri="{FF2B5EF4-FFF2-40B4-BE49-F238E27FC236}">
              <a16:creationId xmlns:a16="http://schemas.microsoft.com/office/drawing/2014/main" id="{00000000-0008-0000-0800-0000ED1801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934825" y="9496425"/>
          <a:ext cx="971549" cy="971549"/>
        </a:xfrm>
        <a:prstGeom prst="rect">
          <a:avLst/>
        </a:prstGeom>
      </xdr:spPr>
    </xdr:pic>
    <xdr:clientData/>
  </xdr:twoCellAnchor>
  <xdr:twoCellAnchor editAs="oneCell">
    <xdr:from>
      <xdr:col>14</xdr:col>
      <xdr:colOff>695325</xdr:colOff>
      <xdr:row>59</xdr:row>
      <xdr:rowOff>47625</xdr:rowOff>
    </xdr:from>
    <xdr:to>
      <xdr:col>16</xdr:col>
      <xdr:colOff>38100</xdr:colOff>
      <xdr:row>63</xdr:row>
      <xdr:rowOff>152400</xdr:rowOff>
    </xdr:to>
    <xdr:pic>
      <xdr:nvPicPr>
        <xdr:cNvPr id="71921" name="Gráfico 71931" descr="Maletín con relleno sólido">
          <a:extLst>
            <a:ext uri="{FF2B5EF4-FFF2-40B4-BE49-F238E27FC236}">
              <a16:creationId xmlns:a16="http://schemas.microsoft.com/office/drawing/2014/main" id="{00000000-0008-0000-0800-0000F11801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11982450" y="11287125"/>
          <a:ext cx="866775" cy="866775"/>
        </a:xfrm>
        <a:prstGeom prst="rect">
          <a:avLst/>
        </a:prstGeom>
      </xdr:spPr>
    </xdr:pic>
    <xdr:clientData/>
  </xdr:twoCellAnchor>
  <xdr:twoCellAnchor>
    <xdr:from>
      <xdr:col>1</xdr:col>
      <xdr:colOff>742950</xdr:colOff>
      <xdr:row>48</xdr:row>
      <xdr:rowOff>161925</xdr:rowOff>
    </xdr:from>
    <xdr:to>
      <xdr:col>2</xdr:col>
      <xdr:colOff>657225</xdr:colOff>
      <xdr:row>56</xdr:row>
      <xdr:rowOff>76200</xdr:rowOff>
    </xdr:to>
    <xdr:sp macro="" textlink="">
      <xdr:nvSpPr>
        <xdr:cNvPr id="39" name="CuadroTexto 38">
          <a:extLst>
            <a:ext uri="{FF2B5EF4-FFF2-40B4-BE49-F238E27FC236}">
              <a16:creationId xmlns:a16="http://schemas.microsoft.com/office/drawing/2014/main" id="{00000000-0008-0000-0800-000027000000}"/>
            </a:ext>
            <a:ext uri="{147F2762-F138-4A5C-976F-8EAC2B608ADB}">
              <a16:predDERef xmlns:a16="http://schemas.microsoft.com/office/drawing/2014/main" pred="{00432E60-7390-4BA1-8829-6B920603789E}"/>
            </a:ext>
          </a:extLst>
        </xdr:cNvPr>
        <xdr:cNvSpPr txBox="1"/>
      </xdr:nvSpPr>
      <xdr:spPr>
        <a:xfrm rot="16200000">
          <a:off x="1743075" y="9686925"/>
          <a:ext cx="1438275" cy="67627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s-ES" sz="1600" b="1">
              <a:solidFill>
                <a:schemeClr val="accent2">
                  <a:lumMod val="75000"/>
                </a:schemeClr>
              </a:solidFill>
            </a:rPr>
            <a:t>Mejora de</a:t>
          </a:r>
        </a:p>
        <a:p>
          <a:pPr algn="ctr"/>
          <a:r>
            <a:rPr lang="es-ES" sz="1600" b="1">
              <a:solidFill>
                <a:schemeClr val="accent2">
                  <a:lumMod val="75000"/>
                </a:schemeClr>
              </a:solidFill>
            </a:rPr>
            <a:t>la</a:t>
          </a:r>
          <a:r>
            <a:rPr lang="es-ES" sz="1600" b="1" baseline="0">
              <a:solidFill>
                <a:schemeClr val="accent2">
                  <a:lumMod val="75000"/>
                </a:schemeClr>
              </a:solidFill>
            </a:rPr>
            <a:t> salud</a:t>
          </a:r>
          <a:endParaRPr lang="es-ES" sz="1600" b="1">
            <a:solidFill>
              <a:schemeClr val="accent2">
                <a:lumMod val="75000"/>
              </a:schemeClr>
            </a:solidFill>
          </a:endParaRPr>
        </a:p>
      </xdr:txBody>
    </xdr:sp>
    <xdr:clientData/>
  </xdr:twoCellAnchor>
  <xdr:twoCellAnchor>
    <xdr:from>
      <xdr:col>2</xdr:col>
      <xdr:colOff>28575</xdr:colOff>
      <xdr:row>58</xdr:row>
      <xdr:rowOff>47625</xdr:rowOff>
    </xdr:from>
    <xdr:to>
      <xdr:col>2</xdr:col>
      <xdr:colOff>704850</xdr:colOff>
      <xdr:row>65</xdr:row>
      <xdr:rowOff>66675</xdr:rowOff>
    </xdr:to>
    <xdr:sp macro="" textlink="">
      <xdr:nvSpPr>
        <xdr:cNvPr id="51" name="CuadroTexto 50">
          <a:extLst>
            <a:ext uri="{FF2B5EF4-FFF2-40B4-BE49-F238E27FC236}">
              <a16:creationId xmlns:a16="http://schemas.microsoft.com/office/drawing/2014/main" id="{00000000-0008-0000-0800-000033000000}"/>
            </a:ext>
            <a:ext uri="{147F2762-F138-4A5C-976F-8EAC2B608ADB}">
              <a16:predDERef xmlns:a16="http://schemas.microsoft.com/office/drawing/2014/main" pred="{E386BE44-0C5B-4C54-B688-2972A3B0D9EC}"/>
            </a:ext>
          </a:extLst>
        </xdr:cNvPr>
        <xdr:cNvSpPr txBox="1"/>
      </xdr:nvSpPr>
      <xdr:spPr>
        <a:xfrm rot="16200000">
          <a:off x="1833563" y="11434762"/>
          <a:ext cx="1352550" cy="67627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s-ES" sz="1600" b="1">
              <a:solidFill>
                <a:schemeClr val="accent2">
                  <a:lumMod val="75000"/>
                </a:schemeClr>
              </a:solidFill>
            </a:rPr>
            <a:t>Creación</a:t>
          </a:r>
          <a:r>
            <a:rPr lang="es-ES" sz="1600" b="1" baseline="0">
              <a:solidFill>
                <a:schemeClr val="accent2">
                  <a:lumMod val="75000"/>
                </a:schemeClr>
              </a:solidFill>
            </a:rPr>
            <a:t> de</a:t>
          </a:r>
        </a:p>
        <a:p>
          <a:pPr algn="ctr"/>
          <a:r>
            <a:rPr lang="es-ES" sz="1600" b="1" baseline="0">
              <a:solidFill>
                <a:schemeClr val="accent2">
                  <a:lumMod val="75000"/>
                </a:schemeClr>
              </a:solidFill>
            </a:rPr>
            <a:t>empleos</a:t>
          </a:r>
        </a:p>
      </xdr:txBody>
    </xdr:sp>
    <xdr:clientData/>
  </xdr:twoCellAnchor>
  <xdr:twoCellAnchor>
    <xdr:from>
      <xdr:col>9</xdr:col>
      <xdr:colOff>-1</xdr:colOff>
      <xdr:row>3</xdr:row>
      <xdr:rowOff>104775</xdr:rowOff>
    </xdr:from>
    <xdr:to>
      <xdr:col>14</xdr:col>
      <xdr:colOff>9524</xdr:colOff>
      <xdr:row>28</xdr:row>
      <xdr:rowOff>93889</xdr:rowOff>
    </xdr:to>
    <xdr:grpSp>
      <xdr:nvGrpSpPr>
        <xdr:cNvPr id="71934" name="Grupo 71933">
          <a:hlinkClick xmlns:r="http://schemas.openxmlformats.org/officeDocument/2006/relationships" r:id="rId37"/>
          <a:extLst>
            <a:ext uri="{FF2B5EF4-FFF2-40B4-BE49-F238E27FC236}">
              <a16:creationId xmlns:a16="http://schemas.microsoft.com/office/drawing/2014/main" id="{00000000-0008-0000-0800-0000FE180100}"/>
            </a:ext>
          </a:extLst>
        </xdr:cNvPr>
        <xdr:cNvGrpSpPr/>
      </xdr:nvGrpSpPr>
      <xdr:grpSpPr>
        <a:xfrm>
          <a:off x="7477124" y="676275"/>
          <a:ext cx="3819525" cy="4751614"/>
          <a:chOff x="7483928" y="676275"/>
          <a:chExt cx="3819525" cy="4751614"/>
        </a:xfrm>
      </xdr:grpSpPr>
      <xdr:grpSp>
        <xdr:nvGrpSpPr>
          <xdr:cNvPr id="28" name="Grupo 27">
            <a:extLst>
              <a:ext uri="{FF2B5EF4-FFF2-40B4-BE49-F238E27FC236}">
                <a16:creationId xmlns:a16="http://schemas.microsoft.com/office/drawing/2014/main" id="{00000000-0008-0000-0800-00001C000000}"/>
              </a:ext>
            </a:extLst>
          </xdr:cNvPr>
          <xdr:cNvGrpSpPr/>
        </xdr:nvGrpSpPr>
        <xdr:grpSpPr>
          <a:xfrm>
            <a:off x="7483928" y="676275"/>
            <a:ext cx="3819525" cy="1219200"/>
            <a:chOff x="2133599" y="1447800"/>
            <a:chExt cx="3819525" cy="1219200"/>
          </a:xfrm>
        </xdr:grpSpPr>
        <xdr:sp macro="" textlink="">
          <xdr:nvSpPr>
            <xdr:cNvPr id="29" name="Rectángulo 28">
              <a:extLst>
                <a:ext uri="{FF2B5EF4-FFF2-40B4-BE49-F238E27FC236}">
                  <a16:creationId xmlns:a16="http://schemas.microsoft.com/office/drawing/2014/main" id="{00000000-0008-0000-0800-00001D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0" name="Triángulo isósceles 29">
              <a:extLst>
                <a:ext uri="{FF2B5EF4-FFF2-40B4-BE49-F238E27FC236}">
                  <a16:creationId xmlns:a16="http://schemas.microsoft.com/office/drawing/2014/main" id="{00000000-0008-0000-0800-00001E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35" name="CuadroTexto 34">
            <a:extLst>
              <a:ext uri="{FF2B5EF4-FFF2-40B4-BE49-F238E27FC236}">
                <a16:creationId xmlns:a16="http://schemas.microsoft.com/office/drawing/2014/main" id="{00000000-0008-0000-0800-000023000000}"/>
              </a:ext>
            </a:extLst>
          </xdr:cNvPr>
          <xdr:cNvSpPr txBox="1"/>
        </xdr:nvSpPr>
        <xdr:spPr>
          <a:xfrm>
            <a:off x="7655379" y="885825"/>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MEJORA</a:t>
            </a:r>
            <a:r>
              <a:rPr lang="es-ES" sz="1600" b="1" baseline="0">
                <a:solidFill>
                  <a:schemeClr val="bg1"/>
                </a:solidFill>
              </a:rPr>
              <a:t> DE LA </a:t>
            </a:r>
            <a:r>
              <a:rPr lang="es-ES" sz="1600" b="1">
                <a:solidFill>
                  <a:schemeClr val="bg1"/>
                </a:solidFill>
              </a:rPr>
              <a:t>SALUD</a:t>
            </a:r>
          </a:p>
        </xdr:txBody>
      </xdr:sp>
      <xdr:sp macro="" textlink="">
        <xdr:nvSpPr>
          <xdr:cNvPr id="20" name="CuadroTexto 19">
            <a:extLst>
              <a:ext uri="{FF2B5EF4-FFF2-40B4-BE49-F238E27FC236}">
                <a16:creationId xmlns:a16="http://schemas.microsoft.com/office/drawing/2014/main" id="{00000000-0008-0000-0800-000014000000}"/>
              </a:ext>
            </a:extLst>
          </xdr:cNvPr>
          <xdr:cNvSpPr txBox="1"/>
        </xdr:nvSpPr>
        <xdr:spPr>
          <a:xfrm>
            <a:off x="7550604" y="3324225"/>
            <a:ext cx="32019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a:t>
            </a:r>
            <a:endParaRPr lang="es-ES" sz="1400" b="1">
              <a:solidFill>
                <a:schemeClr val="accent6">
                  <a:lumMod val="50000"/>
                </a:schemeClr>
              </a:solidFill>
            </a:endParaRPr>
          </a:p>
        </xdr:txBody>
      </xdr:sp>
      <xdr:sp macro="" textlink="">
        <xdr:nvSpPr>
          <xdr:cNvPr id="23" name="CuadroTexto 22">
            <a:extLst>
              <a:ext uri="{FF2B5EF4-FFF2-40B4-BE49-F238E27FC236}">
                <a16:creationId xmlns:a16="http://schemas.microsoft.com/office/drawing/2014/main" id="{00000000-0008-0000-0800-000017000000}"/>
              </a:ext>
            </a:extLst>
          </xdr:cNvPr>
          <xdr:cNvSpPr txBox="1"/>
        </xdr:nvSpPr>
        <xdr:spPr>
          <a:xfrm>
            <a:off x="7541079" y="1418062"/>
            <a:ext cx="3038475"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Los</a:t>
            </a:r>
            <a:r>
              <a:rPr lang="es-MX" sz="1100" i="1" baseline="0">
                <a:solidFill>
                  <a:schemeClr val="tx1"/>
                </a:solidFill>
                <a:effectLst/>
                <a:latin typeface="+mn-lt"/>
                <a:ea typeface="+mn-ea"/>
                <a:cs typeface="+mn-cs"/>
              </a:rPr>
              <a:t> beneficios que de la relación de escenarios seleccionada en las medidas de mitigación de la presente calculadora están principalmente relacionadas con la mejora de la salid por mejoras en </a:t>
            </a:r>
            <a:r>
              <a:rPr lang="es-MX" sz="1100" b="1" i="1" baseline="0">
                <a:solidFill>
                  <a:schemeClr val="accent6">
                    <a:lumMod val="50000"/>
                  </a:schemeClr>
                </a:solidFill>
                <a:effectLst/>
                <a:latin typeface="+mn-lt"/>
                <a:ea typeface="+mn-ea"/>
                <a:cs typeface="+mn-cs"/>
              </a:rPr>
              <a:t>calidad del aire</a:t>
            </a:r>
            <a:r>
              <a:rPr lang="es-MX" sz="1100" i="1" baseline="0">
                <a:solidFill>
                  <a:schemeClr val="tx1"/>
                </a:solidFill>
                <a:effectLst/>
                <a:latin typeface="+mn-lt"/>
                <a:ea typeface="+mn-ea"/>
                <a:cs typeface="+mn-cs"/>
              </a:rPr>
              <a:t>, mejoras en las </a:t>
            </a:r>
            <a:r>
              <a:rPr lang="es-MX" sz="1100" b="1" i="1" baseline="0">
                <a:solidFill>
                  <a:schemeClr val="accent6">
                    <a:lumMod val="50000"/>
                  </a:schemeClr>
                </a:solidFill>
                <a:effectLst/>
                <a:latin typeface="+mn-lt"/>
                <a:ea typeface="+mn-ea"/>
                <a:cs typeface="+mn-cs"/>
              </a:rPr>
              <a:t>condiciones higiénico sanitarias</a:t>
            </a:r>
            <a:r>
              <a:rPr lang="es-MX" sz="1100" i="1" baseline="0">
                <a:solidFill>
                  <a:schemeClr val="tx1"/>
                </a:solidFill>
                <a:effectLst/>
                <a:latin typeface="+mn-lt"/>
                <a:ea typeface="+mn-ea"/>
                <a:cs typeface="+mn-cs"/>
              </a:rPr>
              <a:t> y en los beneficios de la salud asociados a la </a:t>
            </a:r>
            <a:r>
              <a:rPr lang="es-MX" sz="1100" b="1" i="1" baseline="0">
                <a:solidFill>
                  <a:schemeClr val="accent6">
                    <a:lumMod val="50000"/>
                  </a:schemeClr>
                </a:solidFill>
                <a:effectLst/>
                <a:latin typeface="+mn-lt"/>
                <a:ea typeface="+mn-ea"/>
                <a:cs typeface="+mn-cs"/>
              </a:rPr>
              <a:t>conservación de bosques</a:t>
            </a:r>
            <a:r>
              <a:rPr lang="es-MX" sz="1100" i="1" baseline="0">
                <a:solidFill>
                  <a:schemeClr val="tx1"/>
                </a:solidFill>
                <a:effectLst/>
                <a:latin typeface="+mn-lt"/>
                <a:ea typeface="+mn-ea"/>
                <a:cs typeface="+mn-cs"/>
              </a:rPr>
              <a:t>. </a:t>
            </a:r>
            <a:r>
              <a:rPr lang="es-MX" sz="1100" i="1">
                <a:solidFill>
                  <a:schemeClr val="tx1"/>
                </a:solidFill>
                <a:effectLst/>
                <a:latin typeface="+mn-lt"/>
                <a:ea typeface="+mn-ea"/>
                <a:cs typeface="+mn-cs"/>
              </a:rPr>
              <a:t>La</a:t>
            </a:r>
            <a:r>
              <a:rPr lang="es-MX" sz="1100" i="1" baseline="0">
                <a:solidFill>
                  <a:schemeClr val="tx1"/>
                </a:solidFill>
                <a:effectLst/>
                <a:latin typeface="+mn-lt"/>
                <a:ea typeface="+mn-ea"/>
                <a:cs typeface="+mn-cs"/>
              </a:rPr>
              <a:t> calculadora ha contrastado de manera cualitativa la afección de las medidas en la salud de la población.</a:t>
            </a:r>
          </a:p>
        </xdr:txBody>
      </xdr:sp>
      <xdr:sp macro="" textlink="RESULTADOS_COBENEFICIOS_SALUD!C84">
        <xdr:nvSpPr>
          <xdr:cNvPr id="26" name="Rectángulo 25">
            <a:extLst>
              <a:ext uri="{FF2B5EF4-FFF2-40B4-BE49-F238E27FC236}">
                <a16:creationId xmlns:a16="http://schemas.microsoft.com/office/drawing/2014/main" id="{00000000-0008-0000-0800-00001A000000}"/>
              </a:ext>
            </a:extLst>
          </xdr:cNvPr>
          <xdr:cNvSpPr/>
        </xdr:nvSpPr>
        <xdr:spPr>
          <a:xfrm>
            <a:off x="7617278" y="3695700"/>
            <a:ext cx="3514725" cy="54972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fld id="{395286FF-B83F-4DDA-9432-122EAC72D815}" type="TxLink">
              <a:rPr lang="en-US" sz="1100" b="1" i="0" u="none" strike="noStrike">
                <a:solidFill>
                  <a:srgbClr val="3F3F3F"/>
                </a:solidFill>
                <a:latin typeface="Calibri"/>
                <a:cs typeface="Calibri"/>
              </a:rPr>
              <a:pPr algn="ctr"/>
              <a:t>No se producen beneficios sobre la salud</a:t>
            </a:fld>
            <a:endParaRPr lang="es-ES" sz="1100"/>
          </a:p>
        </xdr:txBody>
      </xdr:sp>
      <xdr:sp macro="" textlink="">
        <xdr:nvSpPr>
          <xdr:cNvPr id="21" name="Rectángulo 20">
            <a:hlinkClick xmlns:r="http://schemas.openxmlformats.org/officeDocument/2006/relationships" r:id="rId37"/>
            <a:extLst>
              <a:ext uri="{FF2B5EF4-FFF2-40B4-BE49-F238E27FC236}">
                <a16:creationId xmlns:a16="http://schemas.microsoft.com/office/drawing/2014/main" id="{00000000-0008-0000-0800-000015000000}"/>
              </a:ext>
            </a:extLst>
          </xdr:cNvPr>
          <xdr:cNvSpPr/>
        </xdr:nvSpPr>
        <xdr:spPr>
          <a:xfrm>
            <a:off x="7609115" y="4513489"/>
            <a:ext cx="3638550" cy="914400"/>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clientData/>
  </xdr:twoCellAnchor>
  <xdr:twoCellAnchor>
    <xdr:from>
      <xdr:col>2</xdr:col>
      <xdr:colOff>695325</xdr:colOff>
      <xdr:row>40</xdr:row>
      <xdr:rowOff>114300</xdr:rowOff>
    </xdr:from>
    <xdr:to>
      <xdr:col>14</xdr:col>
      <xdr:colOff>90207</xdr:colOff>
      <xdr:row>47</xdr:row>
      <xdr:rowOff>23758</xdr:rowOff>
    </xdr:to>
    <xdr:sp macro="" textlink="">
      <xdr:nvSpPr>
        <xdr:cNvPr id="71912" name="CuadroTexto 71907">
          <a:extLst>
            <a:ext uri="{FF2B5EF4-FFF2-40B4-BE49-F238E27FC236}">
              <a16:creationId xmlns:a16="http://schemas.microsoft.com/office/drawing/2014/main" id="{00000000-0008-0000-0800-0000E8180100}"/>
            </a:ext>
          </a:extLst>
        </xdr:cNvPr>
        <xdr:cNvSpPr txBox="1"/>
      </xdr:nvSpPr>
      <xdr:spPr>
        <a:xfrm rot="10800000" flipH="1" flipV="1">
          <a:off x="2838450" y="7734300"/>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a:ln>
                <a:noFill/>
              </a:ln>
              <a:solidFill>
                <a:sysClr val="windowText" lastClr="000000"/>
              </a:solidFill>
              <a:effectLst/>
              <a:uLnTx/>
              <a:uFillTx/>
              <a:latin typeface="+mn-lt"/>
              <a:ea typeface="+mn-ea"/>
              <a:cs typeface="+mn-cs"/>
            </a:rPr>
            <a:t>La </a:t>
          </a:r>
          <a:r>
            <a:rPr kumimoji="0" lang="es-ES" sz="1200" b="1" i="0" u="none" strike="noStrike" kern="0" cap="none" spc="0" normalizeH="0" baseline="0">
              <a:ln>
                <a:noFill/>
              </a:ln>
              <a:solidFill>
                <a:schemeClr val="accent2">
                  <a:lumMod val="75000"/>
                </a:schemeClr>
              </a:solidFill>
              <a:effectLst/>
              <a:uLnTx/>
              <a:uFillTx/>
              <a:latin typeface="+mn-lt"/>
              <a:ea typeface="+mn-ea"/>
              <a:cs typeface="+mn-cs"/>
            </a:rPr>
            <a:t>influencia de las medidas de mitigación sobre la calidad del aire </a:t>
          </a:r>
          <a:r>
            <a:rPr kumimoji="0" lang="es-ES" sz="1200" b="0" i="0" u="none" strike="noStrike" kern="0" cap="none" spc="0" normalizeH="0" baseline="0">
              <a:ln>
                <a:noFill/>
              </a:ln>
              <a:solidFill>
                <a:sysClr val="windowText" lastClr="000000"/>
              </a:solidFill>
              <a:effectLst/>
              <a:uLnTx/>
              <a:uFillTx/>
              <a:latin typeface="+mn-lt"/>
              <a:ea typeface="+mn-ea"/>
              <a:cs typeface="+mn-cs"/>
            </a:rPr>
            <a:t>será indicada mediante una escala de colores acompañadas de expresiones que indican el significado de éstos. En función de las trayectorias seleccionadas para cada una de las medidas se mostrarán los resultados globales de la relación de medidas seleccionadas. Para conocer los resultados específicos de cada sector y medida se necesita hacer click sobre el botón del cuadrado correspondiente a calidad del aire. </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a:ln>
                <a:noFill/>
              </a:ln>
              <a:solidFill>
                <a:sysClr val="windowText" lastClr="000000"/>
              </a:solidFill>
              <a:effectLst/>
              <a:uLnTx/>
              <a:uFillTx/>
              <a:latin typeface="+mn-lt"/>
              <a:ea typeface="+mn-ea"/>
              <a:cs typeface="+mn-cs"/>
            </a:rPr>
            <a:t>Las trayectorias son clasificadas en las siguientes 4 categorías: No afecta la calidad del aire, Empeora la calidad del aire, Mejora la calidad del aire y Mejora considerablemente la calidad del aire. </a:t>
          </a:r>
        </a:p>
      </xdr:txBody>
    </xdr:sp>
    <xdr:clientData/>
  </xdr:twoCellAnchor>
  <xdr:twoCellAnchor>
    <xdr:from>
      <xdr:col>3</xdr:col>
      <xdr:colOff>161925</xdr:colOff>
      <xdr:row>49</xdr:row>
      <xdr:rowOff>28575</xdr:rowOff>
    </xdr:from>
    <xdr:to>
      <xdr:col>14</xdr:col>
      <xdr:colOff>318807</xdr:colOff>
      <xdr:row>55</xdr:row>
      <xdr:rowOff>128533</xdr:rowOff>
    </xdr:to>
    <xdr:sp macro="" textlink="">
      <xdr:nvSpPr>
        <xdr:cNvPr id="71916" name="CuadroTexto 71908">
          <a:extLst>
            <a:ext uri="{FF2B5EF4-FFF2-40B4-BE49-F238E27FC236}">
              <a16:creationId xmlns:a16="http://schemas.microsoft.com/office/drawing/2014/main" id="{00000000-0008-0000-0800-0000EC180100}"/>
            </a:ext>
          </a:extLst>
        </xdr:cNvPr>
        <xdr:cNvSpPr txBox="1"/>
      </xdr:nvSpPr>
      <xdr:spPr>
        <a:xfrm rot="10800000" flipH="1" flipV="1">
          <a:off x="3067050" y="9363075"/>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1" i="0" u="none" strike="noStrike" kern="0" cap="none" spc="0" normalizeH="0" baseline="0">
              <a:ln>
                <a:noFill/>
              </a:ln>
              <a:solidFill>
                <a:schemeClr val="accent2">
                  <a:lumMod val="75000"/>
                </a:schemeClr>
              </a:solidFill>
              <a:effectLst/>
              <a:uLnTx/>
              <a:uFillTx/>
              <a:latin typeface="+mn-lt"/>
              <a:ea typeface="+mn-ea"/>
              <a:cs typeface="+mn-cs"/>
            </a:rPr>
            <a:t>La mejora de la calidad del aire, las condiciones higiénico-sanitarias y la conservación de bosques, tienen relaciones directas con diferentes tipos de enfermedades</a:t>
          </a:r>
          <a:r>
            <a:rPr kumimoji="0" lang="es-ES" sz="1200" b="0" i="0" u="none" strike="noStrike" kern="0" cap="none" spc="0" normalizeH="0" baseline="0">
              <a:ln>
                <a:noFill/>
              </a:ln>
              <a:solidFill>
                <a:sysClr val="windowText" lastClr="000000"/>
              </a:solidFill>
              <a:effectLst/>
              <a:uLnTx/>
              <a:uFillTx/>
              <a:latin typeface="+mn-lt"/>
              <a:ea typeface="+mn-ea"/>
              <a:cs typeface="+mn-cs"/>
            </a:rPr>
            <a:t>. Por lo que, dependiendo de la influencia de las medidas en estos dos aspectos serán relacionadas con unas u otro tipo de enfermedades y/o muertes evitadas por la exposición a los contaminantes atmosféricos. </a:t>
          </a:r>
          <a:endParaRPr lang="es-ES" sz="1100"/>
        </a:p>
      </xdr:txBody>
    </xdr:sp>
    <xdr:clientData/>
  </xdr:twoCellAnchor>
  <xdr:twoCellAnchor>
    <xdr:from>
      <xdr:col>3</xdr:col>
      <xdr:colOff>190500</xdr:colOff>
      <xdr:row>58</xdr:row>
      <xdr:rowOff>85725</xdr:rowOff>
    </xdr:from>
    <xdr:to>
      <xdr:col>14</xdr:col>
      <xdr:colOff>347382</xdr:colOff>
      <xdr:row>64</xdr:row>
      <xdr:rowOff>185683</xdr:rowOff>
    </xdr:to>
    <xdr:sp macro="" textlink="">
      <xdr:nvSpPr>
        <xdr:cNvPr id="71926" name="CuadroTexto 71911">
          <a:extLst>
            <a:ext uri="{FF2B5EF4-FFF2-40B4-BE49-F238E27FC236}">
              <a16:creationId xmlns:a16="http://schemas.microsoft.com/office/drawing/2014/main" id="{00000000-0008-0000-0800-0000F6180100}"/>
            </a:ext>
          </a:extLst>
        </xdr:cNvPr>
        <xdr:cNvSpPr txBox="1"/>
      </xdr:nvSpPr>
      <xdr:spPr>
        <a:xfrm rot="10800000" flipH="1" flipV="1">
          <a:off x="3095625" y="11134725"/>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Los costos asociados a cada medida son traducidos en generación de empleos por sector. Estos </a:t>
          </a:r>
          <a:r>
            <a:rPr lang="es-ES" sz="1100" b="1">
              <a:solidFill>
                <a:schemeClr val="accent2">
                  <a:lumMod val="75000"/>
                </a:schemeClr>
              </a:solidFill>
              <a:effectLst/>
              <a:latin typeface="+mn-lt"/>
              <a:ea typeface="+mn-ea"/>
              <a:cs typeface="+mn-cs"/>
            </a:rPr>
            <a:t>empleos</a:t>
          </a:r>
          <a:r>
            <a:rPr lang="es-ES" sz="1100">
              <a:solidFill>
                <a:schemeClr val="dk1"/>
              </a:solidFill>
              <a:effectLst/>
              <a:latin typeface="+mn-lt"/>
              <a:ea typeface="+mn-ea"/>
              <a:cs typeface="+mn-cs"/>
            </a:rPr>
            <a:t> se desagregan en 3 tipos: </a:t>
          </a:r>
          <a:r>
            <a:rPr lang="es-ES" sz="1100" b="1">
              <a:solidFill>
                <a:schemeClr val="accent2">
                  <a:lumMod val="75000"/>
                </a:schemeClr>
              </a:solidFill>
              <a:effectLst/>
              <a:latin typeface="+mn-lt"/>
              <a:ea typeface="+mn-ea"/>
              <a:cs typeface="+mn-cs"/>
            </a:rPr>
            <a:t>directos, indirectos e inducidos</a:t>
          </a:r>
          <a:r>
            <a:rPr lang="es-ES" sz="1100">
              <a:solidFill>
                <a:schemeClr val="dk1"/>
              </a:solidFill>
              <a:effectLst/>
              <a:latin typeface="+mn-lt"/>
              <a:ea typeface="+mn-ea"/>
              <a:cs typeface="+mn-cs"/>
            </a:rPr>
            <a:t>. </a:t>
          </a:r>
          <a:endParaRPr lang="es-ES" sz="1100"/>
        </a:p>
      </xdr:txBody>
    </xdr:sp>
    <xdr:clientData/>
  </xdr:twoCellAnchor>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8857" name="Imagen 48">
              <a:extLst>
                <a:ext uri="{FF2B5EF4-FFF2-40B4-BE49-F238E27FC236}">
                  <a16:creationId xmlns:a16="http://schemas.microsoft.com/office/drawing/2014/main" id="{00000000-0008-0000-0800-000099220000}"/>
                </a:ext>
              </a:extLst>
            </xdr:cNvPr>
            <xdr:cNvPicPr>
              <a:picLocks noChangeAspect="1" noChangeArrowheads="1"/>
              <a:extLst>
                <a:ext uri="{84589F7E-364E-4C9E-8A38-B11213B215E9}">
                  <a14:cameraTool cellRange="RESULTADOS_COBENEFICIOS_CA!$D$79" spid="_x0000_s508297"/>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8858" name="Picture 666">
              <a:extLst>
                <a:ext uri="{FF2B5EF4-FFF2-40B4-BE49-F238E27FC236}">
                  <a16:creationId xmlns:a16="http://schemas.microsoft.com/office/drawing/2014/main" id="{00000000-0008-0000-0800-00009A220000}"/>
                </a:ext>
              </a:extLst>
            </xdr:cNvPr>
            <xdr:cNvPicPr>
              <a:picLocks noChangeAspect="1" noChangeArrowheads="1"/>
              <a:extLst>
                <a:ext uri="{84589F7E-364E-4C9E-8A38-B11213B215E9}">
                  <a14:cameraTool cellRange="RESULTADOS_COBENEFICIOS_CA!$D$79" spid="_x0000_s508298"/>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0" name="Imagen 48">
              <a:extLst>
                <a:ext uri="{FF2B5EF4-FFF2-40B4-BE49-F238E27FC236}">
                  <a16:creationId xmlns:a16="http://schemas.microsoft.com/office/drawing/2014/main" id="{00000000-0008-0000-0800-0000A2D40100}"/>
                </a:ext>
              </a:extLst>
            </xdr:cNvPr>
            <xdr:cNvPicPr>
              <a:picLocks noChangeAspect="1" noChangeArrowheads="1"/>
              <a:extLst>
                <a:ext uri="{84589F7E-364E-4C9E-8A38-B11213B215E9}">
                  <a14:cameraTool cellRange="RESULTADOS_COBENEFICIOS_CA!$D$79" spid="_x0000_s508299"/>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1" name="Picture 1187">
              <a:extLst>
                <a:ext uri="{FF2B5EF4-FFF2-40B4-BE49-F238E27FC236}">
                  <a16:creationId xmlns:a16="http://schemas.microsoft.com/office/drawing/2014/main" id="{00000000-0008-0000-0800-0000A3D40100}"/>
                </a:ext>
              </a:extLst>
            </xdr:cNvPr>
            <xdr:cNvPicPr>
              <a:picLocks noChangeAspect="1" noChangeArrowheads="1"/>
              <a:extLst>
                <a:ext uri="{84589F7E-364E-4C9E-8A38-B11213B215E9}">
                  <a14:cameraTool cellRange="RESULTADOS_COBENEFICIOS_CA!$D$79" spid="_x0000_s50830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2" name="Picture 1188">
              <a:extLst>
                <a:ext uri="{FF2B5EF4-FFF2-40B4-BE49-F238E27FC236}">
                  <a16:creationId xmlns:a16="http://schemas.microsoft.com/office/drawing/2014/main" id="{00000000-0008-0000-0800-0000A4D40100}"/>
                </a:ext>
              </a:extLst>
            </xdr:cNvPr>
            <xdr:cNvPicPr>
              <a:picLocks noChangeAspect="1" noChangeArrowheads="1"/>
              <a:extLst>
                <a:ext uri="{84589F7E-364E-4C9E-8A38-B11213B215E9}">
                  <a14:cameraTool cellRange="RESULTADOS_COBENEFICIOS_CA!$D$79" spid="_x0000_s50830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3" name="Picture 1267">
              <a:extLst>
                <a:ext uri="{FF2B5EF4-FFF2-40B4-BE49-F238E27FC236}">
                  <a16:creationId xmlns:a16="http://schemas.microsoft.com/office/drawing/2014/main" id="{00000000-0008-0000-0800-0000A5D40100}"/>
                </a:ext>
              </a:extLst>
            </xdr:cNvPr>
            <xdr:cNvPicPr>
              <a:picLocks noChangeAspect="1" noChangeArrowheads="1"/>
              <a:extLst>
                <a:ext uri="{84589F7E-364E-4C9E-8A38-B11213B215E9}">
                  <a14:cameraTool cellRange="RESULTADOS_COBENEFICIOS_CA!$D$79" spid="_x0000_s508302"/>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4" name="Picture 1190">
              <a:extLst>
                <a:ext uri="{FF2B5EF4-FFF2-40B4-BE49-F238E27FC236}">
                  <a16:creationId xmlns:a16="http://schemas.microsoft.com/office/drawing/2014/main" id="{00000000-0008-0000-0800-0000A6D40100}"/>
                </a:ext>
              </a:extLst>
            </xdr:cNvPr>
            <xdr:cNvPicPr>
              <a:picLocks noChangeAspect="1" noChangeArrowheads="1"/>
              <a:extLst>
                <a:ext uri="{84589F7E-364E-4C9E-8A38-B11213B215E9}">
                  <a14:cameraTool cellRange="RESULTADOS_COBENEFICIOS_CA!$D$79" spid="_x0000_s508303"/>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5" name="Picture 666">
              <a:extLst>
                <a:ext uri="{FF2B5EF4-FFF2-40B4-BE49-F238E27FC236}">
                  <a16:creationId xmlns:a16="http://schemas.microsoft.com/office/drawing/2014/main" id="{00000000-0008-0000-0800-0000A7D40100}"/>
                </a:ext>
              </a:extLst>
            </xdr:cNvPr>
            <xdr:cNvPicPr>
              <a:picLocks noChangeAspect="1" noChangeArrowheads="1"/>
              <a:extLst>
                <a:ext uri="{84589F7E-364E-4C9E-8A38-B11213B215E9}">
                  <a14:cameraTool cellRange="RESULTADOS_COBENEFICIOS_CA!$D$79" spid="_x0000_s508304"/>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6" name="Picture 1192">
              <a:extLst>
                <a:ext uri="{FF2B5EF4-FFF2-40B4-BE49-F238E27FC236}">
                  <a16:creationId xmlns:a16="http://schemas.microsoft.com/office/drawing/2014/main" id="{00000000-0008-0000-0800-0000A8D40100}"/>
                </a:ext>
              </a:extLst>
            </xdr:cNvPr>
            <xdr:cNvPicPr>
              <a:picLocks noChangeAspect="1" noChangeArrowheads="1"/>
              <a:extLst>
                <a:ext uri="{84589F7E-364E-4C9E-8A38-B11213B215E9}">
                  <a14:cameraTool cellRange="RESULTADOS_COBENEFICIOS_CA!$D$79" spid="_x0000_s50830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7" name="Picture 1193">
              <a:extLst>
                <a:ext uri="{FF2B5EF4-FFF2-40B4-BE49-F238E27FC236}">
                  <a16:creationId xmlns:a16="http://schemas.microsoft.com/office/drawing/2014/main" id="{00000000-0008-0000-0800-0000A9D40100}"/>
                </a:ext>
              </a:extLst>
            </xdr:cNvPr>
            <xdr:cNvPicPr>
              <a:picLocks noChangeAspect="1" noChangeArrowheads="1"/>
              <a:extLst>
                <a:ext uri="{84589F7E-364E-4C9E-8A38-B11213B215E9}">
                  <a14:cameraTool cellRange="RESULTADOS_COBENEFICIOS_CA!$D$79" spid="_x0000_s508306"/>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8" name="Picture 1194">
              <a:extLst>
                <a:ext uri="{FF2B5EF4-FFF2-40B4-BE49-F238E27FC236}">
                  <a16:creationId xmlns:a16="http://schemas.microsoft.com/office/drawing/2014/main" id="{00000000-0008-0000-0800-0000AAD40100}"/>
                </a:ext>
              </a:extLst>
            </xdr:cNvPr>
            <xdr:cNvPicPr>
              <a:picLocks noChangeAspect="1" noChangeArrowheads="1"/>
              <a:extLst>
                <a:ext uri="{84589F7E-364E-4C9E-8A38-B11213B215E9}">
                  <a14:cameraTool cellRange="RESULTADOS_COBENEFICIOS_CA!$D$79" spid="_x0000_s508307"/>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9" name="Picture 1195">
              <a:extLst>
                <a:ext uri="{FF2B5EF4-FFF2-40B4-BE49-F238E27FC236}">
                  <a16:creationId xmlns:a16="http://schemas.microsoft.com/office/drawing/2014/main" id="{00000000-0008-0000-0800-0000ABD40100}"/>
                </a:ext>
              </a:extLst>
            </xdr:cNvPr>
            <xdr:cNvPicPr>
              <a:picLocks noChangeAspect="1" noChangeArrowheads="1"/>
              <a:extLst>
                <a:ext uri="{84589F7E-364E-4C9E-8A38-B11213B215E9}">
                  <a14:cameraTool cellRange="RESULTADOS_COBENEFICIOS_CA!$D$79" spid="_x0000_s508308"/>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80" name="Picture 1196">
              <a:extLst>
                <a:ext uri="{FF2B5EF4-FFF2-40B4-BE49-F238E27FC236}">
                  <a16:creationId xmlns:a16="http://schemas.microsoft.com/office/drawing/2014/main" id="{00000000-0008-0000-0800-0000ACD40100}"/>
                </a:ext>
              </a:extLst>
            </xdr:cNvPr>
            <xdr:cNvPicPr>
              <a:picLocks noChangeAspect="1" noChangeArrowheads="1"/>
              <a:extLst>
                <a:ext uri="{84589F7E-364E-4C9E-8A38-B11213B215E9}">
                  <a14:cameraTool cellRange="RESULTADOS_COBENEFICIOS_CA!$D$79" spid="_x0000_s508309"/>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81" name="Picture 1197">
              <a:extLst>
                <a:ext uri="{FF2B5EF4-FFF2-40B4-BE49-F238E27FC236}">
                  <a16:creationId xmlns:a16="http://schemas.microsoft.com/office/drawing/2014/main" id="{00000000-0008-0000-0800-0000ADD40100}"/>
                </a:ext>
              </a:extLst>
            </xdr:cNvPr>
            <xdr:cNvPicPr>
              <a:picLocks noChangeAspect="1" noChangeArrowheads="1"/>
              <a:extLst>
                <a:ext uri="{84589F7E-364E-4C9E-8A38-B11213B215E9}">
                  <a14:cameraTool cellRange="RESULTADOS_COBENEFICIOS_CA!$D$79" spid="_x0000_s508310"/>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1</xdr:col>
      <xdr:colOff>85725</xdr:colOff>
      <xdr:row>3</xdr:row>
      <xdr:rowOff>57150</xdr:rowOff>
    </xdr:from>
    <xdr:to>
      <xdr:col>1</xdr:col>
      <xdr:colOff>476251</xdr:colOff>
      <xdr:row>5</xdr:row>
      <xdr:rowOff>66676</xdr:rowOff>
    </xdr:to>
    <xdr:pic>
      <xdr:nvPicPr>
        <xdr:cNvPr id="22" name="Gráfico 19" descr="Ventoso con relleno sólido">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6850" y="3867150"/>
          <a:ext cx="390526" cy="390526"/>
        </a:xfrm>
        <a:prstGeom prst="rect">
          <a:avLst/>
        </a:prstGeom>
      </xdr:spPr>
    </xdr:pic>
    <xdr:clientData/>
  </xdr:twoCellAnchor>
  <xdr:twoCellAnchor>
    <xdr:from>
      <xdr:col>0</xdr:col>
      <xdr:colOff>0</xdr:colOff>
      <xdr:row>0</xdr:row>
      <xdr:rowOff>0</xdr:rowOff>
    </xdr:from>
    <xdr:to>
      <xdr:col>1</xdr:col>
      <xdr:colOff>0</xdr:colOff>
      <xdr:row>1</xdr:row>
      <xdr:rowOff>137514</xdr:rowOff>
    </xdr:to>
    <xdr:grpSp>
      <xdr:nvGrpSpPr>
        <xdr:cNvPr id="20" name="Grupo 19">
          <a:hlinkClick xmlns:r="http://schemas.openxmlformats.org/officeDocument/2006/relationships" r:id="rId3"/>
          <a:extLst>
            <a:ext uri="{FF2B5EF4-FFF2-40B4-BE49-F238E27FC236}">
              <a16:creationId xmlns:a16="http://schemas.microsoft.com/office/drawing/2014/main" id="{00000000-0008-0000-0900-000014000000}"/>
            </a:ext>
          </a:extLst>
        </xdr:cNvPr>
        <xdr:cNvGrpSpPr/>
      </xdr:nvGrpSpPr>
      <xdr:grpSpPr>
        <a:xfrm>
          <a:off x="0" y="0"/>
          <a:ext cx="1381125" cy="328014"/>
          <a:chOff x="91104" y="65606"/>
          <a:chExt cx="1192701" cy="328014"/>
        </a:xfrm>
      </xdr:grpSpPr>
      <xdr:sp macro="" textlink="">
        <xdr:nvSpPr>
          <xdr:cNvPr id="21" name="Rectángulo 20">
            <a:extLst>
              <a:ext uri="{FF2B5EF4-FFF2-40B4-BE49-F238E27FC236}">
                <a16:creationId xmlns:a16="http://schemas.microsoft.com/office/drawing/2014/main" id="{00000000-0008-0000-09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4" name="Grupo 23">
          <a:hlinkClick xmlns:r="http://schemas.openxmlformats.org/officeDocument/2006/relationships" r:id="rId6"/>
          <a:extLst>
            <a:ext uri="{FF2B5EF4-FFF2-40B4-BE49-F238E27FC236}">
              <a16:creationId xmlns:a16="http://schemas.microsoft.com/office/drawing/2014/main" id="{00000000-0008-0000-0900-000018000000}"/>
            </a:ext>
          </a:extLst>
        </xdr:cNvPr>
        <xdr:cNvGrpSpPr/>
      </xdr:nvGrpSpPr>
      <xdr:grpSpPr>
        <a:xfrm>
          <a:off x="0" y="4710117"/>
          <a:ext cx="1295400" cy="638178"/>
          <a:chOff x="0" y="3671892"/>
          <a:chExt cx="1295400" cy="638178"/>
        </a:xfrm>
      </xdr:grpSpPr>
      <xdr:sp macro="" textlink="">
        <xdr:nvSpPr>
          <xdr:cNvPr id="25" name="Rectángulo: esquinas superiores redondeadas 24">
            <a:extLst>
              <a:ext uri="{FF2B5EF4-FFF2-40B4-BE49-F238E27FC236}">
                <a16:creationId xmlns:a16="http://schemas.microsoft.com/office/drawing/2014/main" id="{00000000-0008-0000-0900-00001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6" name="Gráfico 25" descr="Información con relleno sólido">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7" name="Grupo 26">
          <a:hlinkClick xmlns:r="http://schemas.openxmlformats.org/officeDocument/2006/relationships" r:id="rId9"/>
          <a:extLst>
            <a:ext uri="{FF2B5EF4-FFF2-40B4-BE49-F238E27FC236}">
              <a16:creationId xmlns:a16="http://schemas.microsoft.com/office/drawing/2014/main" id="{00000000-0008-0000-0900-00001B000000}"/>
            </a:ext>
          </a:extLst>
        </xdr:cNvPr>
        <xdr:cNvGrpSpPr/>
      </xdr:nvGrpSpPr>
      <xdr:grpSpPr>
        <a:xfrm>
          <a:off x="0" y="3760792"/>
          <a:ext cx="1304926" cy="638178"/>
          <a:chOff x="0" y="2767017"/>
          <a:chExt cx="1304926" cy="638178"/>
        </a:xfrm>
      </xdr:grpSpPr>
      <xdr:sp macro="" textlink="">
        <xdr:nvSpPr>
          <xdr:cNvPr id="28" name="Rectángulo: esquinas superiores redondeadas 27">
            <a:extLst>
              <a:ext uri="{FF2B5EF4-FFF2-40B4-BE49-F238E27FC236}">
                <a16:creationId xmlns:a16="http://schemas.microsoft.com/office/drawing/2014/main" id="{00000000-0008-0000-0900-00001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9" name="Gráfico 28" descr="Gráfico de barras con relleno sólido">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0900-00001E000000}"/>
            </a:ext>
          </a:extLst>
        </xdr:cNvPr>
        <xdr:cNvGrpSpPr/>
      </xdr:nvGrpSpPr>
      <xdr:grpSpPr>
        <a:xfrm>
          <a:off x="0" y="2811467"/>
          <a:ext cx="1323975" cy="638178"/>
          <a:chOff x="0" y="1862142"/>
          <a:chExt cx="1323975" cy="638178"/>
        </a:xfrm>
      </xdr:grpSpPr>
      <xdr:sp macro="" textlink="">
        <xdr:nvSpPr>
          <xdr:cNvPr id="31" name="Rectángulo: esquinas superiores redondeadas 30">
            <a:extLst>
              <a:ext uri="{FF2B5EF4-FFF2-40B4-BE49-F238E27FC236}">
                <a16:creationId xmlns:a16="http://schemas.microsoft.com/office/drawing/2014/main" id="{00000000-0008-0000-0900-00001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3" name="Grupo 32">
          <a:hlinkClick xmlns:r="http://schemas.openxmlformats.org/officeDocument/2006/relationships" r:id="rId15"/>
          <a:extLst>
            <a:ext uri="{FF2B5EF4-FFF2-40B4-BE49-F238E27FC236}">
              <a16:creationId xmlns:a16="http://schemas.microsoft.com/office/drawing/2014/main" id="{00000000-0008-0000-0900-000021000000}"/>
            </a:ext>
          </a:extLst>
        </xdr:cNvPr>
        <xdr:cNvGrpSpPr/>
      </xdr:nvGrpSpPr>
      <xdr:grpSpPr>
        <a:xfrm>
          <a:off x="0" y="1862142"/>
          <a:ext cx="1295400" cy="638178"/>
          <a:chOff x="0" y="1862142"/>
          <a:chExt cx="1295400" cy="638178"/>
        </a:xfrm>
      </xdr:grpSpPr>
      <xdr:sp macro="" textlink="">
        <xdr:nvSpPr>
          <xdr:cNvPr id="34" name="Rectángulo: esquinas superiores redondeadas 33">
            <a:extLst>
              <a:ext uri="{FF2B5EF4-FFF2-40B4-BE49-F238E27FC236}">
                <a16:creationId xmlns:a16="http://schemas.microsoft.com/office/drawing/2014/main" id="{00000000-0008-0000-09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5" name="Gráfico 34" descr="Lista con relleno sólido">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6" name="Grupo 35">
          <a:hlinkClick xmlns:r="http://schemas.openxmlformats.org/officeDocument/2006/relationships" r:id="rId18"/>
          <a:extLst>
            <a:ext uri="{FF2B5EF4-FFF2-40B4-BE49-F238E27FC236}">
              <a16:creationId xmlns:a16="http://schemas.microsoft.com/office/drawing/2014/main" id="{00000000-0008-0000-0900-000024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09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2657475</xdr:colOff>
      <xdr:row>1</xdr:row>
      <xdr:rowOff>142875</xdr:rowOff>
    </xdr:from>
    <xdr:to>
      <xdr:col>3</xdr:col>
      <xdr:colOff>3867150</xdr:colOff>
      <xdr:row>4</xdr:row>
      <xdr:rowOff>20412</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0900-000027000000}"/>
            </a:ext>
          </a:extLst>
        </xdr:cNvPr>
        <xdr:cNvGrpSpPr/>
      </xdr:nvGrpSpPr>
      <xdr:grpSpPr>
        <a:xfrm>
          <a:off x="10801350" y="333375"/>
          <a:ext cx="1209675" cy="449037"/>
          <a:chOff x="760639" y="1152525"/>
          <a:chExt cx="1258661" cy="449037"/>
        </a:xfrm>
      </xdr:grpSpPr>
      <xdr:sp macro="" textlink="">
        <xdr:nvSpPr>
          <xdr:cNvPr id="40" name="Rectángulo: esquinas redondeadas 39">
            <a:extLst>
              <a:ext uri="{FF2B5EF4-FFF2-40B4-BE49-F238E27FC236}">
                <a16:creationId xmlns:a16="http://schemas.microsoft.com/office/drawing/2014/main" id="{00000000-0008-0000-0900-000028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41" name="Gráfico 40" descr="Flecha: giro a la izquierda con relleno sólido">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19050</xdr:colOff>
      <xdr:row>3</xdr:row>
      <xdr:rowOff>76200</xdr:rowOff>
    </xdr:from>
    <xdr:to>
      <xdr:col>1</xdr:col>
      <xdr:colOff>488175</xdr:colOff>
      <xdr:row>5</xdr:row>
      <xdr:rowOff>164325</xdr:rowOff>
    </xdr:to>
    <xdr:pic>
      <xdr:nvPicPr>
        <xdr:cNvPr id="124" name="Gráfico 22" descr="Pulmones con relleno sólido">
          <a:extLst>
            <a:ext uri="{FF2B5EF4-FFF2-40B4-BE49-F238E27FC236}">
              <a16:creationId xmlns:a16="http://schemas.microsoft.com/office/drawing/2014/main" id="{00000000-0008-0000-0A00-00007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00175" y="647700"/>
          <a:ext cx="469125" cy="469125"/>
        </a:xfrm>
        <a:prstGeom prst="rect">
          <a:avLst/>
        </a:prstGeom>
      </xdr:spPr>
    </xdr:pic>
    <xdr:clientData/>
  </xdr:twoCellAnchor>
  <xdr:twoCellAnchor>
    <xdr:from>
      <xdr:col>0</xdr:col>
      <xdr:colOff>0</xdr:colOff>
      <xdr:row>0</xdr:row>
      <xdr:rowOff>0</xdr:rowOff>
    </xdr:from>
    <xdr:to>
      <xdr:col>1</xdr:col>
      <xdr:colOff>0</xdr:colOff>
      <xdr:row>1</xdr:row>
      <xdr:rowOff>137514</xdr:rowOff>
    </xdr:to>
    <xdr:grpSp>
      <xdr:nvGrpSpPr>
        <xdr:cNvPr id="120" name="Grupo 119">
          <a:hlinkClick xmlns:r="http://schemas.openxmlformats.org/officeDocument/2006/relationships" r:id="rId3"/>
          <a:extLst>
            <a:ext uri="{FF2B5EF4-FFF2-40B4-BE49-F238E27FC236}">
              <a16:creationId xmlns:a16="http://schemas.microsoft.com/office/drawing/2014/main" id="{00000000-0008-0000-0A00-000078000000}"/>
            </a:ext>
          </a:extLst>
        </xdr:cNvPr>
        <xdr:cNvGrpSpPr/>
      </xdr:nvGrpSpPr>
      <xdr:grpSpPr>
        <a:xfrm>
          <a:off x="0" y="0"/>
          <a:ext cx="1381125" cy="328014"/>
          <a:chOff x="91104" y="65606"/>
          <a:chExt cx="1192701" cy="328014"/>
        </a:xfrm>
      </xdr:grpSpPr>
      <xdr:sp macro="" textlink="">
        <xdr:nvSpPr>
          <xdr:cNvPr id="121" name="Rectángulo 120">
            <a:extLst>
              <a:ext uri="{FF2B5EF4-FFF2-40B4-BE49-F238E27FC236}">
                <a16:creationId xmlns:a16="http://schemas.microsoft.com/office/drawing/2014/main" id="{00000000-0008-0000-0A00-00007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2" name="Gráfico 121" descr="Hogar con relleno sólido">
            <a:extLst>
              <a:ext uri="{FF2B5EF4-FFF2-40B4-BE49-F238E27FC236}">
                <a16:creationId xmlns:a16="http://schemas.microsoft.com/office/drawing/2014/main" id="{00000000-0008-0000-0A00-00007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3" name="Grupo 122">
          <a:hlinkClick xmlns:r="http://schemas.openxmlformats.org/officeDocument/2006/relationships" r:id="rId6"/>
          <a:extLst>
            <a:ext uri="{FF2B5EF4-FFF2-40B4-BE49-F238E27FC236}">
              <a16:creationId xmlns:a16="http://schemas.microsoft.com/office/drawing/2014/main" id="{00000000-0008-0000-0A00-00007B000000}"/>
            </a:ext>
          </a:extLst>
        </xdr:cNvPr>
        <xdr:cNvGrpSpPr/>
      </xdr:nvGrpSpPr>
      <xdr:grpSpPr>
        <a:xfrm>
          <a:off x="0" y="4710117"/>
          <a:ext cx="1295400" cy="638178"/>
          <a:chOff x="0" y="3671892"/>
          <a:chExt cx="1295400" cy="638178"/>
        </a:xfrm>
      </xdr:grpSpPr>
      <xdr:sp macro="" textlink="">
        <xdr:nvSpPr>
          <xdr:cNvPr id="125" name="Rectángulo: esquinas superiores redondeadas 124">
            <a:extLst>
              <a:ext uri="{FF2B5EF4-FFF2-40B4-BE49-F238E27FC236}">
                <a16:creationId xmlns:a16="http://schemas.microsoft.com/office/drawing/2014/main" id="{00000000-0008-0000-0A00-00007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26" name="Gráfico 125" descr="Información con relleno sólido">
            <a:extLst>
              <a:ext uri="{FF2B5EF4-FFF2-40B4-BE49-F238E27FC236}">
                <a16:creationId xmlns:a16="http://schemas.microsoft.com/office/drawing/2014/main" id="{00000000-0008-0000-0A00-00007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27" name="Grupo 126">
          <a:hlinkClick xmlns:r="http://schemas.openxmlformats.org/officeDocument/2006/relationships" r:id="rId9"/>
          <a:extLst>
            <a:ext uri="{FF2B5EF4-FFF2-40B4-BE49-F238E27FC236}">
              <a16:creationId xmlns:a16="http://schemas.microsoft.com/office/drawing/2014/main" id="{00000000-0008-0000-0A00-00007F000000}"/>
            </a:ext>
          </a:extLst>
        </xdr:cNvPr>
        <xdr:cNvGrpSpPr/>
      </xdr:nvGrpSpPr>
      <xdr:grpSpPr>
        <a:xfrm>
          <a:off x="0" y="3760792"/>
          <a:ext cx="1304926" cy="638178"/>
          <a:chOff x="0" y="2767017"/>
          <a:chExt cx="1304926" cy="638178"/>
        </a:xfrm>
      </xdr:grpSpPr>
      <xdr:sp macro="" textlink="">
        <xdr:nvSpPr>
          <xdr:cNvPr id="128" name="Rectángulo: esquinas superiores redondeadas 127">
            <a:extLst>
              <a:ext uri="{FF2B5EF4-FFF2-40B4-BE49-F238E27FC236}">
                <a16:creationId xmlns:a16="http://schemas.microsoft.com/office/drawing/2014/main" id="{00000000-0008-0000-0A00-00008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29" name="Gráfico 128" descr="Gráfico de barras con relleno sólido">
            <a:extLst>
              <a:ext uri="{FF2B5EF4-FFF2-40B4-BE49-F238E27FC236}">
                <a16:creationId xmlns:a16="http://schemas.microsoft.com/office/drawing/2014/main" id="{00000000-0008-0000-0A00-00008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30" name="Grupo 129">
          <a:hlinkClick xmlns:r="http://schemas.openxmlformats.org/officeDocument/2006/relationships" r:id="rId12"/>
          <a:extLst>
            <a:ext uri="{FF2B5EF4-FFF2-40B4-BE49-F238E27FC236}">
              <a16:creationId xmlns:a16="http://schemas.microsoft.com/office/drawing/2014/main" id="{00000000-0008-0000-0A00-000082000000}"/>
            </a:ext>
          </a:extLst>
        </xdr:cNvPr>
        <xdr:cNvGrpSpPr/>
      </xdr:nvGrpSpPr>
      <xdr:grpSpPr>
        <a:xfrm>
          <a:off x="0" y="2811467"/>
          <a:ext cx="1323975" cy="638178"/>
          <a:chOff x="0" y="1862142"/>
          <a:chExt cx="1323975" cy="638178"/>
        </a:xfrm>
      </xdr:grpSpPr>
      <xdr:sp macro="" textlink="">
        <xdr:nvSpPr>
          <xdr:cNvPr id="131" name="Rectángulo: esquinas superiores redondeadas 130">
            <a:extLst>
              <a:ext uri="{FF2B5EF4-FFF2-40B4-BE49-F238E27FC236}">
                <a16:creationId xmlns:a16="http://schemas.microsoft.com/office/drawing/2014/main" id="{00000000-0008-0000-0A00-00008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2" name="Gráfico 131" descr="Alternar con relleno sólido">
            <a:extLst>
              <a:ext uri="{FF2B5EF4-FFF2-40B4-BE49-F238E27FC236}">
                <a16:creationId xmlns:a16="http://schemas.microsoft.com/office/drawing/2014/main" id="{00000000-0008-0000-0A00-00008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33" name="Grupo 132">
          <a:hlinkClick xmlns:r="http://schemas.openxmlformats.org/officeDocument/2006/relationships" r:id="rId15"/>
          <a:extLst>
            <a:ext uri="{FF2B5EF4-FFF2-40B4-BE49-F238E27FC236}">
              <a16:creationId xmlns:a16="http://schemas.microsoft.com/office/drawing/2014/main" id="{00000000-0008-0000-0A00-000085000000}"/>
            </a:ext>
          </a:extLst>
        </xdr:cNvPr>
        <xdr:cNvGrpSpPr/>
      </xdr:nvGrpSpPr>
      <xdr:grpSpPr>
        <a:xfrm>
          <a:off x="0" y="1862142"/>
          <a:ext cx="1295400" cy="638178"/>
          <a:chOff x="0" y="1862142"/>
          <a:chExt cx="1295400" cy="638178"/>
        </a:xfrm>
      </xdr:grpSpPr>
      <xdr:sp macro="" textlink="">
        <xdr:nvSpPr>
          <xdr:cNvPr id="134" name="Rectángulo: esquinas superiores redondeadas 133">
            <a:extLst>
              <a:ext uri="{FF2B5EF4-FFF2-40B4-BE49-F238E27FC236}">
                <a16:creationId xmlns:a16="http://schemas.microsoft.com/office/drawing/2014/main" id="{00000000-0008-0000-0A00-00008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35" name="Gráfico 134" descr="Lista con relleno sólido">
            <a:extLst>
              <a:ext uri="{FF2B5EF4-FFF2-40B4-BE49-F238E27FC236}">
                <a16:creationId xmlns:a16="http://schemas.microsoft.com/office/drawing/2014/main" id="{00000000-0008-0000-0A00-000087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36" name="Grupo 135">
          <a:hlinkClick xmlns:r="http://schemas.openxmlformats.org/officeDocument/2006/relationships" r:id="rId18"/>
          <a:extLst>
            <a:ext uri="{FF2B5EF4-FFF2-40B4-BE49-F238E27FC236}">
              <a16:creationId xmlns:a16="http://schemas.microsoft.com/office/drawing/2014/main" id="{00000000-0008-0000-0A00-000088000000}"/>
            </a:ext>
          </a:extLst>
        </xdr:cNvPr>
        <xdr:cNvGrpSpPr/>
      </xdr:nvGrpSpPr>
      <xdr:grpSpPr>
        <a:xfrm>
          <a:off x="0" y="6477000"/>
          <a:ext cx="1240383" cy="416889"/>
          <a:chOff x="28575" y="6381750"/>
          <a:chExt cx="1240383" cy="416889"/>
        </a:xfrm>
      </xdr:grpSpPr>
      <xdr:pic>
        <xdr:nvPicPr>
          <xdr:cNvPr id="137" name="Gráfico 136" descr="Engranaje único con relleno sólido">
            <a:extLst>
              <a:ext uri="{FF2B5EF4-FFF2-40B4-BE49-F238E27FC236}">
                <a16:creationId xmlns:a16="http://schemas.microsoft.com/office/drawing/2014/main" id="{00000000-0008-0000-0A00-00008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138" name="CuadroTexto 137">
            <a:extLst>
              <a:ext uri="{FF2B5EF4-FFF2-40B4-BE49-F238E27FC236}">
                <a16:creationId xmlns:a16="http://schemas.microsoft.com/office/drawing/2014/main" id="{00000000-0008-0000-0A00-00008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5</xdr:col>
      <xdr:colOff>1019175</xdr:colOff>
      <xdr:row>2</xdr:row>
      <xdr:rowOff>9525</xdr:rowOff>
    </xdr:from>
    <xdr:to>
      <xdr:col>5</xdr:col>
      <xdr:colOff>2228850</xdr:colOff>
      <xdr:row>4</xdr:row>
      <xdr:rowOff>77562</xdr:rowOff>
    </xdr:to>
    <xdr:grpSp>
      <xdr:nvGrpSpPr>
        <xdr:cNvPr id="3" name="Grupo 2">
          <a:hlinkClick xmlns:r="http://schemas.openxmlformats.org/officeDocument/2006/relationships" r:id="rId21"/>
          <a:extLst>
            <a:ext uri="{FF2B5EF4-FFF2-40B4-BE49-F238E27FC236}">
              <a16:creationId xmlns:a16="http://schemas.microsoft.com/office/drawing/2014/main" id="{00000000-0008-0000-0A00-000003000000}"/>
            </a:ext>
          </a:extLst>
        </xdr:cNvPr>
        <xdr:cNvGrpSpPr/>
      </xdr:nvGrpSpPr>
      <xdr:grpSpPr>
        <a:xfrm>
          <a:off x="16497300" y="390525"/>
          <a:ext cx="1209675" cy="449037"/>
          <a:chOff x="760639" y="1152525"/>
          <a:chExt cx="1258661" cy="449037"/>
        </a:xfrm>
      </xdr:grpSpPr>
      <xdr:sp macro="" textlink="">
        <xdr:nvSpPr>
          <xdr:cNvPr id="4" name="Rectángulo: esquinas redondeadas 3">
            <a:extLst>
              <a:ext uri="{FF2B5EF4-FFF2-40B4-BE49-F238E27FC236}">
                <a16:creationId xmlns:a16="http://schemas.microsoft.com/office/drawing/2014/main" id="{00000000-0008-0000-0A00-000004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5" name="Gráfico 4" descr="Flecha: giro a la izquierda con relleno sólido">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B00-000002000000}"/>
            </a:ext>
          </a:extLst>
        </xdr:cNvPr>
        <xdr:cNvGrpSpPr/>
      </xdr:nvGrpSpPr>
      <xdr:grpSpPr>
        <a:xfrm>
          <a:off x="0" y="0"/>
          <a:ext cx="1381125" cy="328014"/>
          <a:chOff x="91104" y="65606"/>
          <a:chExt cx="1192701" cy="328014"/>
        </a:xfrm>
      </xdr:grpSpPr>
      <xdr:sp macro="" textlink="">
        <xdr:nvSpPr>
          <xdr:cNvPr id="3" name="Rectángulo 2">
            <a:extLst>
              <a:ext uri="{FF2B5EF4-FFF2-40B4-BE49-F238E27FC236}">
                <a16:creationId xmlns:a16="http://schemas.microsoft.com/office/drawing/2014/main" id="{00000000-0008-0000-0B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B00-000005000000}"/>
            </a:ext>
          </a:extLst>
        </xdr:cNvPr>
        <xdr:cNvGrpSpPr/>
      </xdr:nvGrpSpPr>
      <xdr:grpSpPr>
        <a:xfrm>
          <a:off x="0" y="4710117"/>
          <a:ext cx="1295400" cy="638178"/>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B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B00-000008000000}"/>
            </a:ext>
          </a:extLst>
        </xdr:cNvPr>
        <xdr:cNvGrpSpPr/>
      </xdr:nvGrpSpPr>
      <xdr:grpSpPr>
        <a:xfrm>
          <a:off x="0" y="3760792"/>
          <a:ext cx="1304926" cy="63817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B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B00-00000B000000}"/>
            </a:ext>
          </a:extLst>
        </xdr:cNvPr>
        <xdr:cNvGrpSpPr/>
      </xdr:nvGrpSpPr>
      <xdr:grpSpPr>
        <a:xfrm>
          <a:off x="0" y="2811467"/>
          <a:ext cx="1323975" cy="63817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B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B00-00000E000000}"/>
            </a:ext>
          </a:extLst>
        </xdr:cNvPr>
        <xdr:cNvGrpSpPr/>
      </xdr:nvGrpSpPr>
      <xdr:grpSpPr>
        <a:xfrm>
          <a:off x="0" y="1862142"/>
          <a:ext cx="1295400" cy="638178"/>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B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B00-000011000000}"/>
            </a:ext>
          </a:extLst>
        </xdr:cNvPr>
        <xdr:cNvGrpSpPr/>
      </xdr:nvGrpSpPr>
      <xdr:grpSpPr>
        <a:xfrm>
          <a:off x="0" y="6477000"/>
          <a:ext cx="1240383" cy="41688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B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xdr:col>
      <xdr:colOff>28575</xdr:colOff>
      <xdr:row>3</xdr:row>
      <xdr:rowOff>85725</xdr:rowOff>
    </xdr:from>
    <xdr:to>
      <xdr:col>1</xdr:col>
      <xdr:colOff>438150</xdr:colOff>
      <xdr:row>5</xdr:row>
      <xdr:rowOff>114300</xdr:rowOff>
    </xdr:to>
    <xdr:pic>
      <xdr:nvPicPr>
        <xdr:cNvPr id="21" name="Gráfico 20" descr="Maletín con relleno sólido">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409700" y="657225"/>
          <a:ext cx="409575" cy="409575"/>
        </a:xfrm>
        <a:prstGeom prst="rect">
          <a:avLst/>
        </a:prstGeom>
      </xdr:spPr>
    </xdr:pic>
    <xdr:clientData/>
  </xdr:twoCellAnchor>
  <xdr:twoCellAnchor>
    <xdr:from>
      <xdr:col>9</xdr:col>
      <xdr:colOff>219075</xdr:colOff>
      <xdr:row>2</xdr:row>
      <xdr:rowOff>9525</xdr:rowOff>
    </xdr:from>
    <xdr:to>
      <xdr:col>10</xdr:col>
      <xdr:colOff>666750</xdr:colOff>
      <xdr:row>4</xdr:row>
      <xdr:rowOff>77562</xdr:rowOff>
    </xdr:to>
    <xdr:grpSp>
      <xdr:nvGrpSpPr>
        <xdr:cNvPr id="20" name="Grupo 19">
          <a:hlinkClick xmlns:r="http://schemas.openxmlformats.org/officeDocument/2006/relationships" r:id="rId21"/>
          <a:extLst>
            <a:ext uri="{FF2B5EF4-FFF2-40B4-BE49-F238E27FC236}">
              <a16:creationId xmlns:a16="http://schemas.microsoft.com/office/drawing/2014/main" id="{00000000-0008-0000-0B00-000014000000}"/>
            </a:ext>
          </a:extLst>
        </xdr:cNvPr>
        <xdr:cNvGrpSpPr/>
      </xdr:nvGrpSpPr>
      <xdr:grpSpPr>
        <a:xfrm>
          <a:off x="14197013" y="390525"/>
          <a:ext cx="1316831" cy="449037"/>
          <a:chOff x="760639" y="1152525"/>
          <a:chExt cx="1258661" cy="449037"/>
        </a:xfrm>
      </xdr:grpSpPr>
      <xdr:sp macro="" textlink="">
        <xdr:nvSpPr>
          <xdr:cNvPr id="22" name="Rectángulo: esquinas redondeadas 21">
            <a:extLst>
              <a:ext uri="{FF2B5EF4-FFF2-40B4-BE49-F238E27FC236}">
                <a16:creationId xmlns:a16="http://schemas.microsoft.com/office/drawing/2014/main" id="{00000000-0008-0000-0B00-000016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23" name="Gráfico 22" descr="Flecha: giro a la izquierda con relleno sólido">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142875</xdr:colOff>
      <xdr:row>0</xdr:row>
      <xdr:rowOff>72804</xdr:rowOff>
    </xdr:from>
    <xdr:to>
      <xdr:col>3</xdr:col>
      <xdr:colOff>2007054</xdr:colOff>
      <xdr:row>0</xdr:row>
      <xdr:rowOff>523876</xdr:rowOff>
    </xdr:to>
    <xdr:grpSp>
      <xdr:nvGrpSpPr>
        <xdr:cNvPr id="8" name="Grupo 7">
          <a:hlinkClick xmlns:r="http://schemas.openxmlformats.org/officeDocument/2006/relationships" r:id="rId1"/>
          <a:extLst>
            <a:ext uri="{FF2B5EF4-FFF2-40B4-BE49-F238E27FC236}">
              <a16:creationId xmlns:a16="http://schemas.microsoft.com/office/drawing/2014/main" id="{00000000-0008-0000-0C00-000008000000}"/>
            </a:ext>
          </a:extLst>
        </xdr:cNvPr>
        <xdr:cNvGrpSpPr/>
      </xdr:nvGrpSpPr>
      <xdr:grpSpPr>
        <a:xfrm>
          <a:off x="8751094" y="72804"/>
          <a:ext cx="1864179" cy="451072"/>
          <a:chOff x="2408463" y="93214"/>
          <a:chExt cx="1768929" cy="451072"/>
        </a:xfrm>
      </xdr:grpSpPr>
      <xdr:sp macro="" textlink="">
        <xdr:nvSpPr>
          <xdr:cNvPr id="9" name="Rectángulo: esquinas redondeadas 8">
            <a:extLst>
              <a:ext uri="{FF2B5EF4-FFF2-40B4-BE49-F238E27FC236}">
                <a16:creationId xmlns:a16="http://schemas.microsoft.com/office/drawing/2014/main" id="{00000000-0008-0000-0C00-000009000000}"/>
              </a:ext>
            </a:extLst>
          </xdr:cNvPr>
          <xdr:cNvSpPr/>
        </xdr:nvSpPr>
        <xdr:spPr>
          <a:xfrm>
            <a:off x="2408463" y="9524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TRAYECTORIAS</a:t>
            </a:r>
          </a:p>
        </xdr:txBody>
      </xdr:sp>
      <xdr:pic>
        <xdr:nvPicPr>
          <xdr:cNvPr id="10" name="Gráfico 9" descr="Lista con relleno sólido">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578679" y="93214"/>
            <a:ext cx="504825" cy="399425"/>
          </a:xfrm>
          <a:prstGeom prst="rect">
            <a:avLst/>
          </a:prstGeom>
        </xdr:spPr>
      </xdr:pic>
    </xdr:grpSp>
    <xdr:clientData/>
  </xdr:twoCellAnchor>
  <xdr:twoCellAnchor>
    <xdr:from>
      <xdr:col>3</xdr:col>
      <xdr:colOff>2428421</xdr:colOff>
      <xdr:row>0</xdr:row>
      <xdr:rowOff>74839</xdr:rowOff>
    </xdr:from>
    <xdr:to>
      <xdr:col>4</xdr:col>
      <xdr:colOff>1244600</xdr:colOff>
      <xdr:row>0</xdr:row>
      <xdr:rowOff>523876</xdr:rowOff>
    </xdr:to>
    <xdr:grpSp>
      <xdr:nvGrpSpPr>
        <xdr:cNvPr id="11" name="Grupo 10">
          <a:hlinkClick xmlns:r="http://schemas.openxmlformats.org/officeDocument/2006/relationships" r:id="rId4"/>
          <a:extLst>
            <a:ext uri="{FF2B5EF4-FFF2-40B4-BE49-F238E27FC236}">
              <a16:creationId xmlns:a16="http://schemas.microsoft.com/office/drawing/2014/main" id="{00000000-0008-0000-0C00-00000B000000}"/>
            </a:ext>
          </a:extLst>
        </xdr:cNvPr>
        <xdr:cNvGrpSpPr/>
      </xdr:nvGrpSpPr>
      <xdr:grpSpPr>
        <a:xfrm>
          <a:off x="11036640" y="74839"/>
          <a:ext cx="1864179" cy="449037"/>
          <a:chOff x="4411435" y="111578"/>
          <a:chExt cx="1768929" cy="449037"/>
        </a:xfrm>
      </xdr:grpSpPr>
      <xdr:sp macro="" textlink="">
        <xdr:nvSpPr>
          <xdr:cNvPr id="12" name="Rectángulo: esquinas redondeadas 11">
            <a:extLst>
              <a:ext uri="{FF2B5EF4-FFF2-40B4-BE49-F238E27FC236}">
                <a16:creationId xmlns:a16="http://schemas.microsoft.com/office/drawing/2014/main" id="{00000000-0008-0000-0C00-00000C000000}"/>
              </a:ext>
            </a:extLst>
          </xdr:cNvPr>
          <xdr:cNvSpPr/>
        </xdr:nvSpPr>
        <xdr:spPr>
          <a:xfrm>
            <a:off x="4411435" y="111578"/>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ESCENARIOS</a:t>
            </a:r>
          </a:p>
        </xdr:txBody>
      </xdr:sp>
      <xdr:pic>
        <xdr:nvPicPr>
          <xdr:cNvPr id="13" name="Gráfico 12" descr="Alternar con relleno sólido">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92535" y="117254"/>
            <a:ext cx="495300" cy="420237"/>
          </a:xfrm>
          <a:prstGeom prst="rect">
            <a:avLst/>
          </a:prstGeom>
        </xdr:spPr>
      </xdr:pic>
    </xdr:grpSp>
    <xdr:clientData/>
  </xdr:twoCellAnchor>
  <xdr:twoCellAnchor>
    <xdr:from>
      <xdr:col>4</xdr:col>
      <xdr:colOff>1665967</xdr:colOff>
      <xdr:row>0</xdr:row>
      <xdr:rowOff>47625</xdr:rowOff>
    </xdr:from>
    <xdr:to>
      <xdr:col>5</xdr:col>
      <xdr:colOff>482146</xdr:colOff>
      <xdr:row>0</xdr:row>
      <xdr:rowOff>523876</xdr:rowOff>
    </xdr:to>
    <xdr:grpSp>
      <xdr:nvGrpSpPr>
        <xdr:cNvPr id="14" name="Grupo 13">
          <a:hlinkClick xmlns:r="http://schemas.openxmlformats.org/officeDocument/2006/relationships" r:id="rId7"/>
          <a:extLst>
            <a:ext uri="{FF2B5EF4-FFF2-40B4-BE49-F238E27FC236}">
              <a16:creationId xmlns:a16="http://schemas.microsoft.com/office/drawing/2014/main" id="{00000000-0008-0000-0C00-00000E000000}"/>
            </a:ext>
          </a:extLst>
        </xdr:cNvPr>
        <xdr:cNvGrpSpPr/>
      </xdr:nvGrpSpPr>
      <xdr:grpSpPr>
        <a:xfrm>
          <a:off x="13322186" y="47625"/>
          <a:ext cx="1864179" cy="476251"/>
          <a:chOff x="6400799" y="95251"/>
          <a:chExt cx="1768929" cy="476251"/>
        </a:xfrm>
      </xdr:grpSpPr>
      <xdr:sp macro="" textlink="">
        <xdr:nvSpPr>
          <xdr:cNvPr id="15" name="Rectángulo: esquinas redondeadas 14">
            <a:extLst>
              <a:ext uri="{FF2B5EF4-FFF2-40B4-BE49-F238E27FC236}">
                <a16:creationId xmlns:a16="http://schemas.microsoft.com/office/drawing/2014/main" id="{00000000-0008-0000-0C00-00000F000000}"/>
              </a:ext>
            </a:extLst>
          </xdr:cNvPr>
          <xdr:cNvSpPr/>
        </xdr:nvSpPr>
        <xdr:spPr>
          <a:xfrm>
            <a:off x="6400799" y="11429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RESULTADOS</a:t>
            </a:r>
          </a:p>
        </xdr:txBody>
      </xdr:sp>
      <xdr:pic>
        <xdr:nvPicPr>
          <xdr:cNvPr id="16" name="Gráfico 15" descr="Gráfico de barras con relleno sólido">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47214" y="95251"/>
            <a:ext cx="476251" cy="476251"/>
          </a:xfrm>
          <a:prstGeom prst="rect">
            <a:avLst/>
          </a:prstGeom>
        </xdr:spPr>
      </xdr:pic>
    </xdr:grpSp>
    <xdr:clientData/>
  </xdr:twoCellAnchor>
  <xdr:twoCellAnchor>
    <xdr:from>
      <xdr:col>5</xdr:col>
      <xdr:colOff>903514</xdr:colOff>
      <xdr:row>0</xdr:row>
      <xdr:rowOff>74839</xdr:rowOff>
    </xdr:from>
    <xdr:to>
      <xdr:col>5</xdr:col>
      <xdr:colOff>2672443</xdr:colOff>
      <xdr:row>0</xdr:row>
      <xdr:rowOff>523876</xdr:rowOff>
    </xdr:to>
    <xdr:grpSp>
      <xdr:nvGrpSpPr>
        <xdr:cNvPr id="17" name="Grupo 16">
          <a:hlinkClick xmlns:r="http://schemas.openxmlformats.org/officeDocument/2006/relationships" r:id="rId10"/>
          <a:extLst>
            <a:ext uri="{FF2B5EF4-FFF2-40B4-BE49-F238E27FC236}">
              <a16:creationId xmlns:a16="http://schemas.microsoft.com/office/drawing/2014/main" id="{00000000-0008-0000-0C00-000011000000}"/>
            </a:ext>
          </a:extLst>
        </xdr:cNvPr>
        <xdr:cNvGrpSpPr/>
      </xdr:nvGrpSpPr>
      <xdr:grpSpPr>
        <a:xfrm>
          <a:off x="15607733" y="74839"/>
          <a:ext cx="1768929" cy="449037"/>
          <a:chOff x="8417377" y="89806"/>
          <a:chExt cx="1768929" cy="449037"/>
        </a:xfrm>
      </xdr:grpSpPr>
      <xdr:sp macro="" textlink="">
        <xdr:nvSpPr>
          <xdr:cNvPr id="18" name="Rectángulo: esquinas redondeadas 17">
            <a:extLst>
              <a:ext uri="{FF2B5EF4-FFF2-40B4-BE49-F238E27FC236}">
                <a16:creationId xmlns:a16="http://schemas.microsoft.com/office/drawing/2014/main" id="{00000000-0008-0000-0C00-000012000000}"/>
              </a:ext>
            </a:extLst>
          </xdr:cNvPr>
          <xdr:cNvSpPr/>
        </xdr:nvSpPr>
        <xdr:spPr>
          <a:xfrm>
            <a:off x="8417377" y="89806"/>
            <a:ext cx="1768929" cy="449037"/>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INFORMACIÓN</a:t>
            </a:r>
          </a:p>
        </xdr:txBody>
      </xdr:sp>
      <xdr:pic>
        <xdr:nvPicPr>
          <xdr:cNvPr id="19" name="Gráfico 18" descr="Información con relleno sólido">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661071" y="108857"/>
            <a:ext cx="495300" cy="405166"/>
          </a:xfrm>
          <a:prstGeom prst="rect">
            <a:avLst/>
          </a:prstGeom>
        </xdr:spPr>
      </xdr:pic>
    </xdr:grpSp>
    <xdr:clientData/>
  </xdr:twoCellAnchor>
  <xdr:twoCellAnchor>
    <xdr:from>
      <xdr:col>0</xdr:col>
      <xdr:colOff>104775</xdr:colOff>
      <xdr:row>0</xdr:row>
      <xdr:rowOff>114300</xdr:rowOff>
    </xdr:from>
    <xdr:to>
      <xdr:col>1</xdr:col>
      <xdr:colOff>723900</xdr:colOff>
      <xdr:row>0</xdr:row>
      <xdr:rowOff>442314</xdr:rowOff>
    </xdr:to>
    <xdr:grpSp>
      <xdr:nvGrpSpPr>
        <xdr:cNvPr id="20" name="Grupo 19">
          <a:hlinkClick xmlns:r="http://schemas.openxmlformats.org/officeDocument/2006/relationships" r:id="rId13"/>
          <a:extLst>
            <a:ext uri="{FF2B5EF4-FFF2-40B4-BE49-F238E27FC236}">
              <a16:creationId xmlns:a16="http://schemas.microsoft.com/office/drawing/2014/main" id="{00000000-0008-0000-0C00-000014000000}"/>
            </a:ext>
          </a:extLst>
        </xdr:cNvPr>
        <xdr:cNvGrpSpPr/>
      </xdr:nvGrpSpPr>
      <xdr:grpSpPr>
        <a:xfrm>
          <a:off x="104775" y="114300"/>
          <a:ext cx="1381125" cy="328014"/>
          <a:chOff x="91104" y="65606"/>
          <a:chExt cx="1192701" cy="328014"/>
        </a:xfrm>
      </xdr:grpSpPr>
      <xdr:sp macro="" textlink="">
        <xdr:nvSpPr>
          <xdr:cNvPr id="21" name="Rectángulo 20">
            <a:extLst>
              <a:ext uri="{FF2B5EF4-FFF2-40B4-BE49-F238E27FC236}">
                <a16:creationId xmlns:a16="http://schemas.microsoft.com/office/drawing/2014/main" id="{00000000-0008-0000-0C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2" name="Gráfico 21" descr="Hogar con relleno sólido">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1104" y="65606"/>
            <a:ext cx="331304" cy="328014"/>
          </a:xfrm>
          <a:prstGeom prst="rect">
            <a:avLst/>
          </a:prstGeom>
        </xdr:spPr>
      </xdr:pic>
    </xdr:grpSp>
    <xdr:clientData/>
  </xdr:twoCellAnchor>
  <xdr:twoCellAnchor>
    <xdr:from>
      <xdr:col>0</xdr:col>
      <xdr:colOff>760639</xdr:colOff>
      <xdr:row>3</xdr:row>
      <xdr:rowOff>142875</xdr:rowOff>
    </xdr:from>
    <xdr:to>
      <xdr:col>1</xdr:col>
      <xdr:colOff>1257300</xdr:colOff>
      <xdr:row>6</xdr:row>
      <xdr:rowOff>20412</xdr:rowOff>
    </xdr:to>
    <xdr:grpSp>
      <xdr:nvGrpSpPr>
        <xdr:cNvPr id="4" name="Grupo 3">
          <a:hlinkClick xmlns:r="http://schemas.openxmlformats.org/officeDocument/2006/relationships" r:id="rId1"/>
          <a:extLst>
            <a:ext uri="{FF2B5EF4-FFF2-40B4-BE49-F238E27FC236}">
              <a16:creationId xmlns:a16="http://schemas.microsoft.com/office/drawing/2014/main" id="{00000000-0008-0000-0C00-000004000000}"/>
            </a:ext>
          </a:extLst>
        </xdr:cNvPr>
        <xdr:cNvGrpSpPr/>
      </xdr:nvGrpSpPr>
      <xdr:grpSpPr>
        <a:xfrm>
          <a:off x="760639" y="1154906"/>
          <a:ext cx="1258661" cy="449037"/>
          <a:chOff x="760639" y="1152525"/>
          <a:chExt cx="1258661" cy="449037"/>
        </a:xfrm>
      </xdr:grpSpPr>
      <xdr:sp macro="" textlink="">
        <xdr:nvSpPr>
          <xdr:cNvPr id="25" name="Rectángulo: esquinas redondeadas 24">
            <a:extLst>
              <a:ext uri="{FF2B5EF4-FFF2-40B4-BE49-F238E27FC236}">
                <a16:creationId xmlns:a16="http://schemas.microsoft.com/office/drawing/2014/main" id="{00000000-0008-0000-0C00-000019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3" name="Gráfico 2" descr="Flecha: giro a la izquierda con relleno sólido">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rot="5400000">
            <a:off x="1552575" y="1162051"/>
            <a:ext cx="419100" cy="419100"/>
          </a:xfrm>
          <a:prstGeom prst="rect">
            <a:avLst/>
          </a:prstGeom>
        </xdr:spPr>
      </xdr:pic>
    </xdr:grpSp>
    <xdr:clientData/>
  </xdr:twoCellAnchor>
  <xdr:twoCellAnchor editAs="oneCell">
    <xdr:from>
      <xdr:col>0</xdr:col>
      <xdr:colOff>257175</xdr:colOff>
      <xdr:row>6</xdr:row>
      <xdr:rowOff>104775</xdr:rowOff>
    </xdr:from>
    <xdr:to>
      <xdr:col>0</xdr:col>
      <xdr:colOff>665136</xdr:colOff>
      <xdr:row>8</xdr:row>
      <xdr:rowOff>132177</xdr:rowOff>
    </xdr:to>
    <xdr:pic>
      <xdr:nvPicPr>
        <xdr:cNvPr id="23" name="Gráfico 4" descr="Batería en carga con relleno sólido">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57175" y="1685925"/>
          <a:ext cx="419391" cy="408402"/>
        </a:xfrm>
        <a:prstGeom prst="rect">
          <a:avLst/>
        </a:prstGeom>
      </xdr:spPr>
    </xdr:pic>
    <xdr:clientData/>
  </xdr:twoCellAnchor>
  <xdr:twoCellAnchor editAs="oneCell">
    <xdr:from>
      <xdr:col>0</xdr:col>
      <xdr:colOff>271830</xdr:colOff>
      <xdr:row>10</xdr:row>
      <xdr:rowOff>32238</xdr:rowOff>
    </xdr:from>
    <xdr:to>
      <xdr:col>0</xdr:col>
      <xdr:colOff>668948</xdr:colOff>
      <xdr:row>12</xdr:row>
      <xdr:rowOff>53849</xdr:rowOff>
    </xdr:to>
    <xdr:pic>
      <xdr:nvPicPr>
        <xdr:cNvPr id="24" name="Gráfico 23" descr="Alta tensión con relleno sólido">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71830" y="2565888"/>
          <a:ext cx="397118" cy="396896"/>
        </a:xfrm>
        <a:prstGeom prst="rect">
          <a:avLst/>
        </a:prstGeom>
      </xdr:spPr>
    </xdr:pic>
    <xdr:clientData/>
  </xdr:twoCellAnchor>
  <xdr:twoCellAnchor editAs="oneCell">
    <xdr:from>
      <xdr:col>0</xdr:col>
      <xdr:colOff>296009</xdr:colOff>
      <xdr:row>14</xdr:row>
      <xdr:rowOff>80596</xdr:rowOff>
    </xdr:from>
    <xdr:to>
      <xdr:col>0</xdr:col>
      <xdr:colOff>668947</xdr:colOff>
      <xdr:row>16</xdr:row>
      <xdr:rowOff>41518</xdr:rowOff>
    </xdr:to>
    <xdr:pic>
      <xdr:nvPicPr>
        <xdr:cNvPr id="26" name="Gráfico 25" descr="Producción con relleno sólido">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96009" y="4138246"/>
          <a:ext cx="382463" cy="341922"/>
        </a:xfrm>
        <a:prstGeom prst="rect">
          <a:avLst/>
        </a:prstGeom>
      </xdr:spPr>
    </xdr:pic>
    <xdr:clientData/>
  </xdr:twoCellAnchor>
  <xdr:twoCellAnchor editAs="oneCell">
    <xdr:from>
      <xdr:col>0</xdr:col>
      <xdr:colOff>127978</xdr:colOff>
      <xdr:row>22</xdr:row>
      <xdr:rowOff>0</xdr:rowOff>
    </xdr:from>
    <xdr:to>
      <xdr:col>0</xdr:col>
      <xdr:colOff>495788</xdr:colOff>
      <xdr:row>23</xdr:row>
      <xdr:rowOff>152399</xdr:rowOff>
    </xdr:to>
    <xdr:pic>
      <xdr:nvPicPr>
        <xdr:cNvPr id="27" name="Gráfico 26" descr="Basura con relleno sólido">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27978" y="5200650"/>
          <a:ext cx="367810" cy="342899"/>
        </a:xfrm>
        <a:prstGeom prst="rect">
          <a:avLst/>
        </a:prstGeom>
      </xdr:spPr>
    </xdr:pic>
    <xdr:clientData/>
  </xdr:twoCellAnchor>
  <xdr:twoCellAnchor editAs="oneCell">
    <xdr:from>
      <xdr:col>0</xdr:col>
      <xdr:colOff>137905</xdr:colOff>
      <xdr:row>30</xdr:row>
      <xdr:rowOff>18222</xdr:rowOff>
    </xdr:from>
    <xdr:to>
      <xdr:col>0</xdr:col>
      <xdr:colOff>594029</xdr:colOff>
      <xdr:row>32</xdr:row>
      <xdr:rowOff>91523</xdr:rowOff>
    </xdr:to>
    <xdr:pic>
      <xdr:nvPicPr>
        <xdr:cNvPr id="29" name="Gráfico 28" descr="Escena suburbana con relleno sólido">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37905" y="10686222"/>
          <a:ext cx="448504" cy="444776"/>
        </a:xfrm>
        <a:prstGeom prst="rect">
          <a:avLst/>
        </a:prstGeom>
      </xdr:spPr>
    </xdr:pic>
    <xdr:clientData/>
  </xdr:twoCellAnchor>
  <xdr:twoCellAnchor editAs="oneCell">
    <xdr:from>
      <xdr:col>0</xdr:col>
      <xdr:colOff>85725</xdr:colOff>
      <xdr:row>46</xdr:row>
      <xdr:rowOff>1666875</xdr:rowOff>
    </xdr:from>
    <xdr:to>
      <xdr:col>0</xdr:col>
      <xdr:colOff>629644</xdr:colOff>
      <xdr:row>49</xdr:row>
      <xdr:rowOff>168054</xdr:rowOff>
    </xdr:to>
    <xdr:pic>
      <xdr:nvPicPr>
        <xdr:cNvPr id="30" name="Gráfico 29" descr="Coche eléctrico con relleno sólido">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85725" y="23060025"/>
          <a:ext cx="536299" cy="543340"/>
        </a:xfrm>
        <a:prstGeom prst="rect">
          <a:avLst/>
        </a:prstGeom>
      </xdr:spPr>
    </xdr:pic>
    <xdr:clientData/>
  </xdr:twoCellAnchor>
  <xdr:twoCellAnchor editAs="oneCell">
    <xdr:from>
      <xdr:col>0</xdr:col>
      <xdr:colOff>200025</xdr:colOff>
      <xdr:row>60</xdr:row>
      <xdr:rowOff>152400</xdr:rowOff>
    </xdr:from>
    <xdr:to>
      <xdr:col>0</xdr:col>
      <xdr:colOff>648529</xdr:colOff>
      <xdr:row>60</xdr:row>
      <xdr:rowOff>588031</xdr:rowOff>
    </xdr:to>
    <xdr:pic>
      <xdr:nvPicPr>
        <xdr:cNvPr id="31" name="Gráfico 30" descr="Cultivos con relleno sólido">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00025" y="26374725"/>
          <a:ext cx="448504" cy="452231"/>
        </a:xfrm>
        <a:prstGeom prst="rect">
          <a:avLst/>
        </a:prstGeom>
      </xdr:spPr>
    </xdr:pic>
    <xdr:clientData/>
  </xdr:twoCellAnchor>
  <xdr:twoCellAnchor editAs="oneCell">
    <xdr:from>
      <xdr:col>0</xdr:col>
      <xdr:colOff>238125</xdr:colOff>
      <xdr:row>67</xdr:row>
      <xdr:rowOff>92106</xdr:rowOff>
    </xdr:from>
    <xdr:to>
      <xdr:col>0</xdr:col>
      <xdr:colOff>667825</xdr:colOff>
      <xdr:row>69</xdr:row>
      <xdr:rowOff>130038</xdr:rowOff>
    </xdr:to>
    <xdr:pic>
      <xdr:nvPicPr>
        <xdr:cNvPr id="32" name="Gráfico 31" descr="Vaca con relleno sólido">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38125" y="27457431"/>
          <a:ext cx="414460" cy="413217"/>
        </a:xfrm>
        <a:prstGeom prst="rect">
          <a:avLst/>
        </a:prstGeom>
      </xdr:spPr>
    </xdr:pic>
    <xdr:clientData/>
  </xdr:twoCellAnchor>
  <xdr:twoCellAnchor editAs="oneCell">
    <xdr:from>
      <xdr:col>0</xdr:col>
      <xdr:colOff>190500</xdr:colOff>
      <xdr:row>73</xdr:row>
      <xdr:rowOff>128793</xdr:rowOff>
    </xdr:from>
    <xdr:to>
      <xdr:col>0</xdr:col>
      <xdr:colOff>627574</xdr:colOff>
      <xdr:row>76</xdr:row>
      <xdr:rowOff>19794</xdr:rowOff>
    </xdr:to>
    <xdr:pic>
      <xdr:nvPicPr>
        <xdr:cNvPr id="33" name="Gráfico 32" descr="Selva tropical con relleno sólido">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90500" y="40029018"/>
          <a:ext cx="448504" cy="44726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1009650</xdr:colOff>
      <xdr:row>8</xdr:row>
      <xdr:rowOff>147638</xdr:rowOff>
    </xdr:from>
    <xdr:to>
      <xdr:col>2</xdr:col>
      <xdr:colOff>4314825</xdr:colOff>
      <xdr:row>25</xdr:row>
      <xdr:rowOff>90488</xdr:rowOff>
    </xdr:to>
    <xdr:grpSp>
      <xdr:nvGrpSpPr>
        <xdr:cNvPr id="11" name="Grupo 10">
          <a:hlinkClick xmlns:r="http://schemas.openxmlformats.org/officeDocument/2006/relationships" r:id="rId1"/>
          <a:extLst>
            <a:ext uri="{FF2B5EF4-FFF2-40B4-BE49-F238E27FC236}">
              <a16:creationId xmlns:a16="http://schemas.microsoft.com/office/drawing/2014/main" id="{00000000-0008-0000-0D00-00000B000000}"/>
            </a:ext>
          </a:extLst>
        </xdr:cNvPr>
        <xdr:cNvGrpSpPr/>
      </xdr:nvGrpSpPr>
      <xdr:grpSpPr>
        <a:xfrm>
          <a:off x="2747963" y="1671638"/>
          <a:ext cx="3305175" cy="3181350"/>
          <a:chOff x="2743200" y="1671638"/>
          <a:chExt cx="3305175" cy="3181350"/>
        </a:xfrm>
      </xdr:grpSpPr>
      <xdr:pic>
        <xdr:nvPicPr>
          <xdr:cNvPr id="15" name="Gráfico 14" descr="Piezas de rompecabezas con relleno sólido">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67025" y="1671638"/>
            <a:ext cx="2805150" cy="2805150"/>
          </a:xfrm>
          <a:prstGeom prst="rect">
            <a:avLst/>
          </a:prstGeom>
        </xdr:spPr>
      </xdr:pic>
      <xdr:sp macro="" textlink="">
        <xdr:nvSpPr>
          <xdr:cNvPr id="17" name="Rectángulo 16">
            <a:extLst>
              <a:ext uri="{FF2B5EF4-FFF2-40B4-BE49-F238E27FC236}">
                <a16:creationId xmlns:a16="http://schemas.microsoft.com/office/drawing/2014/main" id="{00000000-0008-0000-0D00-000011000000}"/>
              </a:ext>
            </a:extLst>
          </xdr:cNvPr>
          <xdr:cNvSpPr/>
        </xdr:nvSpPr>
        <xdr:spPr>
          <a:xfrm>
            <a:off x="2743200" y="2081213"/>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GENERALES</a:t>
            </a:r>
          </a:p>
        </xdr:txBody>
      </xdr:sp>
    </xdr:grpSp>
    <xdr:clientData/>
  </xdr:twoCellAnchor>
  <xdr:twoCellAnchor>
    <xdr:from>
      <xdr:col>2</xdr:col>
      <xdr:colOff>5295900</xdr:colOff>
      <xdr:row>10</xdr:row>
      <xdr:rowOff>176213</xdr:rowOff>
    </xdr:from>
    <xdr:to>
      <xdr:col>7</xdr:col>
      <xdr:colOff>238125</xdr:colOff>
      <xdr:row>25</xdr:row>
      <xdr:rowOff>90488</xdr:rowOff>
    </xdr:to>
    <xdr:grpSp>
      <xdr:nvGrpSpPr>
        <xdr:cNvPr id="19" name="Grupo 18">
          <a:hlinkClick xmlns:r="http://schemas.openxmlformats.org/officeDocument/2006/relationships" r:id="rId4"/>
          <a:extLst>
            <a:ext uri="{FF2B5EF4-FFF2-40B4-BE49-F238E27FC236}">
              <a16:creationId xmlns:a16="http://schemas.microsoft.com/office/drawing/2014/main" id="{00000000-0008-0000-0D00-000013000000}"/>
            </a:ext>
          </a:extLst>
        </xdr:cNvPr>
        <xdr:cNvGrpSpPr/>
      </xdr:nvGrpSpPr>
      <xdr:grpSpPr>
        <a:xfrm>
          <a:off x="7034213" y="2081213"/>
          <a:ext cx="3312318" cy="2771775"/>
          <a:chOff x="6962775" y="1471613"/>
          <a:chExt cx="3305175" cy="2771775"/>
        </a:xfrm>
      </xdr:grpSpPr>
      <xdr:pic>
        <xdr:nvPicPr>
          <xdr:cNvPr id="13" name="Gráfico 12" descr="Rompecabezas con relleno sólido">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219949" y="1563253"/>
            <a:ext cx="2905125" cy="2147606"/>
          </a:xfrm>
          <a:prstGeom prst="rect">
            <a:avLst/>
          </a:prstGeom>
        </xdr:spPr>
      </xdr:pic>
      <xdr:sp macro="" textlink="">
        <xdr:nvSpPr>
          <xdr:cNvPr id="36" name="Rectángulo 35">
            <a:extLst>
              <a:ext uri="{FF2B5EF4-FFF2-40B4-BE49-F238E27FC236}">
                <a16:creationId xmlns:a16="http://schemas.microsoft.com/office/drawing/2014/main" id="{00000000-0008-0000-0D00-000024000000}"/>
              </a:ext>
            </a:extLst>
          </xdr:cNvPr>
          <xdr:cNvSpPr/>
        </xdr:nvSpPr>
        <xdr:spPr>
          <a:xfrm>
            <a:off x="6962775" y="1471613"/>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SECTORIALES</a:t>
            </a:r>
          </a:p>
        </xdr:txBody>
      </xdr:sp>
    </xdr:grpSp>
    <xdr:clientData/>
  </xdr:twoCellAnchor>
  <xdr:twoCellAnchor>
    <xdr:from>
      <xdr:col>2</xdr:col>
      <xdr:colOff>2171700</xdr:colOff>
      <xdr:row>0</xdr:row>
      <xdr:rowOff>123825</xdr:rowOff>
    </xdr:from>
    <xdr:to>
      <xdr:col>6</xdr:col>
      <xdr:colOff>352425</xdr:colOff>
      <xdr:row>3</xdr:row>
      <xdr:rowOff>114300</xdr:rowOff>
    </xdr:to>
    <xdr:sp macro="" textlink="">
      <xdr:nvSpPr>
        <xdr:cNvPr id="38" name="Rectángulo: esquinas redondeadas 37">
          <a:extLst>
            <a:ext uri="{FF2B5EF4-FFF2-40B4-BE49-F238E27FC236}">
              <a16:creationId xmlns:a16="http://schemas.microsoft.com/office/drawing/2014/main" id="{00000000-0008-0000-0D00-000026000000}"/>
            </a:ext>
          </a:extLst>
        </xdr:cNvPr>
        <xdr:cNvSpPr/>
      </xdr:nvSpPr>
      <xdr:spPr>
        <a:xfrm>
          <a:off x="3867150" y="1238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TIPO DE RESULTADOS</a:t>
          </a:r>
          <a:r>
            <a:rPr lang="es-ES" sz="2800" b="1" baseline="0"/>
            <a:t> </a:t>
          </a:r>
          <a:endParaRPr lang="es-ES" sz="2800" b="1"/>
        </a:p>
      </xdr:txBody>
    </xdr:sp>
    <xdr:clientData/>
  </xdr:twoCellAnchor>
  <xdr:twoCellAnchor>
    <xdr:from>
      <xdr:col>0</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0D00-000018000000}"/>
            </a:ext>
          </a:extLst>
        </xdr:cNvPr>
        <xdr:cNvGrpSpPr/>
      </xdr:nvGrpSpPr>
      <xdr:grpSpPr>
        <a:xfrm>
          <a:off x="0" y="0"/>
          <a:ext cx="1381125" cy="328014"/>
          <a:chOff x="91104" y="65606"/>
          <a:chExt cx="1192701" cy="328014"/>
        </a:xfrm>
      </xdr:grpSpPr>
      <xdr:sp macro="" textlink="">
        <xdr:nvSpPr>
          <xdr:cNvPr id="25" name="Rectángulo 24">
            <a:extLst>
              <a:ext uri="{FF2B5EF4-FFF2-40B4-BE49-F238E27FC236}">
                <a16:creationId xmlns:a16="http://schemas.microsoft.com/office/drawing/2014/main" id="{00000000-0008-0000-0D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0D00-00001B000000}"/>
            </a:ext>
          </a:extLst>
        </xdr:cNvPr>
        <xdr:cNvGrpSpPr/>
      </xdr:nvGrpSpPr>
      <xdr:grpSpPr>
        <a:xfrm>
          <a:off x="0" y="4710117"/>
          <a:ext cx="1295400" cy="638178"/>
          <a:chOff x="0" y="3671892"/>
          <a:chExt cx="1295400" cy="638178"/>
        </a:xfrm>
      </xdr:grpSpPr>
      <xdr:sp macro="" textlink="">
        <xdr:nvSpPr>
          <xdr:cNvPr id="28" name="Rectángulo: esquinas superiores redondeadas 27">
            <a:extLst>
              <a:ext uri="{FF2B5EF4-FFF2-40B4-BE49-F238E27FC236}">
                <a16:creationId xmlns:a16="http://schemas.microsoft.com/office/drawing/2014/main" id="{00000000-0008-0000-0D00-00001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9" name="Gráfico 28" descr="Información con relleno sólido">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0D00-00001E000000}"/>
            </a:ext>
          </a:extLst>
        </xdr:cNvPr>
        <xdr:cNvGrpSpPr/>
      </xdr:nvGrpSpPr>
      <xdr:grpSpPr>
        <a:xfrm>
          <a:off x="0" y="3760792"/>
          <a:ext cx="1304926" cy="638178"/>
          <a:chOff x="0" y="2767017"/>
          <a:chExt cx="1304926" cy="638178"/>
        </a:xfrm>
      </xdr:grpSpPr>
      <xdr:sp macro="" textlink="">
        <xdr:nvSpPr>
          <xdr:cNvPr id="31" name="Rectángulo: esquinas superiores redondeadas 30">
            <a:extLst>
              <a:ext uri="{FF2B5EF4-FFF2-40B4-BE49-F238E27FC236}">
                <a16:creationId xmlns:a16="http://schemas.microsoft.com/office/drawing/2014/main" id="{00000000-0008-0000-0D00-00001F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2" name="Gráfico 31" descr="Gráfico de barras con relleno sólido">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0D00-000021000000}"/>
            </a:ext>
          </a:extLst>
        </xdr:cNvPr>
        <xdr:cNvGrpSpPr/>
      </xdr:nvGrpSpPr>
      <xdr:grpSpPr>
        <a:xfrm>
          <a:off x="0" y="2811467"/>
          <a:ext cx="1323975" cy="638178"/>
          <a:chOff x="0" y="1862142"/>
          <a:chExt cx="1323975" cy="638178"/>
        </a:xfrm>
      </xdr:grpSpPr>
      <xdr:sp macro="" textlink="">
        <xdr:nvSpPr>
          <xdr:cNvPr id="34" name="Rectángulo: esquinas superiores redondeadas 33">
            <a:extLst>
              <a:ext uri="{FF2B5EF4-FFF2-40B4-BE49-F238E27FC236}">
                <a16:creationId xmlns:a16="http://schemas.microsoft.com/office/drawing/2014/main" id="{00000000-0008-0000-0D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5" name="Gráfico 34" descr="Alternar con relleno sólido">
            <a:extLst>
              <a:ext uri="{FF2B5EF4-FFF2-40B4-BE49-F238E27FC236}">
                <a16:creationId xmlns:a16="http://schemas.microsoft.com/office/drawing/2014/main" id="{00000000-0008-0000-0D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7" name="Grupo 36">
          <a:hlinkClick xmlns:r="http://schemas.openxmlformats.org/officeDocument/2006/relationships" r:id="rId19"/>
          <a:extLst>
            <a:ext uri="{FF2B5EF4-FFF2-40B4-BE49-F238E27FC236}">
              <a16:creationId xmlns:a16="http://schemas.microsoft.com/office/drawing/2014/main" id="{00000000-0008-0000-0D00-000025000000}"/>
            </a:ext>
          </a:extLst>
        </xdr:cNvPr>
        <xdr:cNvGrpSpPr/>
      </xdr:nvGrpSpPr>
      <xdr:grpSpPr>
        <a:xfrm>
          <a:off x="0" y="1862142"/>
          <a:ext cx="1295400" cy="638178"/>
          <a:chOff x="0" y="1862142"/>
          <a:chExt cx="1295400" cy="638178"/>
        </a:xfrm>
      </xdr:grpSpPr>
      <xdr:sp macro="" textlink="">
        <xdr:nvSpPr>
          <xdr:cNvPr id="39" name="Rectángulo: esquinas superiores redondeadas 38">
            <a:extLst>
              <a:ext uri="{FF2B5EF4-FFF2-40B4-BE49-F238E27FC236}">
                <a16:creationId xmlns:a16="http://schemas.microsoft.com/office/drawing/2014/main" id="{00000000-0008-0000-0D00-000027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0" name="Gráfico 39" descr="Lista con relleno sólido">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1" name="Grupo 40">
          <a:hlinkClick xmlns:r="http://schemas.openxmlformats.org/officeDocument/2006/relationships" r:id="rId22"/>
          <a:extLst>
            <a:ext uri="{FF2B5EF4-FFF2-40B4-BE49-F238E27FC236}">
              <a16:creationId xmlns:a16="http://schemas.microsoft.com/office/drawing/2014/main" id="{00000000-0008-0000-0D00-000029000000}"/>
            </a:ext>
          </a:extLst>
        </xdr:cNvPr>
        <xdr:cNvGrpSpPr/>
      </xdr:nvGrpSpPr>
      <xdr:grpSpPr>
        <a:xfrm>
          <a:off x="0" y="6477000"/>
          <a:ext cx="1240383" cy="416889"/>
          <a:chOff x="28575" y="6381750"/>
          <a:chExt cx="1240383" cy="416889"/>
        </a:xfrm>
      </xdr:grpSpPr>
      <xdr:pic>
        <xdr:nvPicPr>
          <xdr:cNvPr id="43" name="Gráfico 42" descr="Engranaje único con relleno sólido">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44" name="CuadroTexto 43">
            <a:extLst>
              <a:ext uri="{FF2B5EF4-FFF2-40B4-BE49-F238E27FC236}">
                <a16:creationId xmlns:a16="http://schemas.microsoft.com/office/drawing/2014/main" id="{00000000-0008-0000-0D00-00002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9</xdr:col>
      <xdr:colOff>542925</xdr:colOff>
      <xdr:row>10</xdr:row>
      <xdr:rowOff>147638</xdr:rowOff>
    </xdr:from>
    <xdr:to>
      <xdr:col>14</xdr:col>
      <xdr:colOff>38100</xdr:colOff>
      <xdr:row>25</xdr:row>
      <xdr:rowOff>61913</xdr:rowOff>
    </xdr:to>
    <xdr:grpSp>
      <xdr:nvGrpSpPr>
        <xdr:cNvPr id="12" name="Grupo 11">
          <a:hlinkClick xmlns:r="http://schemas.openxmlformats.org/officeDocument/2006/relationships" r:id="rId25"/>
          <a:extLst>
            <a:ext uri="{FF2B5EF4-FFF2-40B4-BE49-F238E27FC236}">
              <a16:creationId xmlns:a16="http://schemas.microsoft.com/office/drawing/2014/main" id="{00000000-0008-0000-0D00-00000C000000}"/>
            </a:ext>
          </a:extLst>
        </xdr:cNvPr>
        <xdr:cNvGrpSpPr/>
      </xdr:nvGrpSpPr>
      <xdr:grpSpPr>
        <a:xfrm>
          <a:off x="12175331" y="2052638"/>
          <a:ext cx="3305175" cy="2771775"/>
          <a:chOff x="12353925" y="2128838"/>
          <a:chExt cx="3305175" cy="2771775"/>
        </a:xfrm>
      </xdr:grpSpPr>
      <xdr:sp macro="" textlink="">
        <xdr:nvSpPr>
          <xdr:cNvPr id="10" name="Rectángulo 9">
            <a:extLst>
              <a:ext uri="{FF2B5EF4-FFF2-40B4-BE49-F238E27FC236}">
                <a16:creationId xmlns:a16="http://schemas.microsoft.com/office/drawing/2014/main" id="{00000000-0008-0000-0D00-00000A000000}"/>
              </a:ext>
            </a:extLst>
          </xdr:cNvPr>
          <xdr:cNvSpPr/>
        </xdr:nvSpPr>
        <xdr:spPr>
          <a:xfrm>
            <a:off x="12353925" y="2128838"/>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COBENEFICIOS</a:t>
            </a:r>
          </a:p>
        </xdr:txBody>
      </xdr:sp>
      <xdr:grpSp>
        <xdr:nvGrpSpPr>
          <xdr:cNvPr id="9" name="Grupo 8">
            <a:extLst>
              <a:ext uri="{FF2B5EF4-FFF2-40B4-BE49-F238E27FC236}">
                <a16:creationId xmlns:a16="http://schemas.microsoft.com/office/drawing/2014/main" id="{00000000-0008-0000-0D00-000009000000}"/>
              </a:ext>
            </a:extLst>
          </xdr:cNvPr>
          <xdr:cNvGrpSpPr/>
        </xdr:nvGrpSpPr>
        <xdr:grpSpPr>
          <a:xfrm>
            <a:off x="12877800" y="2133599"/>
            <a:ext cx="2190751" cy="2257425"/>
            <a:chOff x="13735051" y="2381250"/>
            <a:chExt cx="1143000" cy="1171574"/>
          </a:xfrm>
        </xdr:grpSpPr>
        <xdr:pic>
          <xdr:nvPicPr>
            <xdr:cNvPr id="2" name="Gráfico 37" descr="Ventoso con relleno sólido">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3801725" y="2914650"/>
              <a:ext cx="390526" cy="390526"/>
            </a:xfrm>
            <a:prstGeom prst="rect">
              <a:avLst/>
            </a:prstGeom>
          </xdr:spPr>
        </xdr:pic>
        <xdr:pic>
          <xdr:nvPicPr>
            <xdr:cNvPr id="3" name="Gráfico 42" descr="Pulmones con relleno sólido">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4058900" y="2381250"/>
              <a:ext cx="469125" cy="469125"/>
            </a:xfrm>
            <a:prstGeom prst="rect">
              <a:avLst/>
            </a:prstGeom>
          </xdr:spPr>
        </xdr:pic>
        <xdr:pic>
          <xdr:nvPicPr>
            <xdr:cNvPr id="4" name="Gráfico 3" descr="Maletín con relleno sólido">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4439900" y="2971800"/>
              <a:ext cx="409575" cy="409575"/>
            </a:xfrm>
            <a:prstGeom prst="rect">
              <a:avLst/>
            </a:prstGeom>
          </xdr:spPr>
        </xdr:pic>
        <xdr:pic>
          <xdr:nvPicPr>
            <xdr:cNvPr id="6" name="Gráfico 5" descr="Flecha: curva con sentido de las agujas del reloj con relleno sólido">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3099727">
              <a:off x="13735051" y="2590798"/>
              <a:ext cx="400050" cy="400050"/>
            </a:xfrm>
            <a:prstGeom prst="rect">
              <a:avLst/>
            </a:prstGeom>
          </xdr:spPr>
        </xdr:pic>
        <xdr:pic>
          <xdr:nvPicPr>
            <xdr:cNvPr id="7" name="Gráfico 6" descr="Flecha: curva con sentido de las agujas del reloj con relleno sólido">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10800000">
              <a:off x="14478001" y="2600324"/>
              <a:ext cx="400050" cy="400050"/>
            </a:xfrm>
            <a:prstGeom prst="rect">
              <a:avLst/>
            </a:prstGeom>
          </xdr:spPr>
        </xdr:pic>
        <xdr:pic>
          <xdr:nvPicPr>
            <xdr:cNvPr id="8" name="Gráfico 7" descr="Flecha: curva con sentido de las agujas del reloj con relleno sólido">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18145304">
              <a:off x="14068425" y="3152774"/>
              <a:ext cx="400050" cy="400050"/>
            </a:xfrm>
            <a:prstGeom prst="rect">
              <a:avLst/>
            </a:prstGeom>
          </xdr:spPr>
        </xdr:pic>
      </xdr:grpSp>
    </xdr:grp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2009778</xdr:colOff>
      <xdr:row>8</xdr:row>
      <xdr:rowOff>35082</xdr:rowOff>
    </xdr:to>
    <xdr:grpSp>
      <xdr:nvGrpSpPr>
        <xdr:cNvPr id="106" name="Grupo 105">
          <a:extLst>
            <a:ext uri="{FF2B5EF4-FFF2-40B4-BE49-F238E27FC236}">
              <a16:creationId xmlns:a16="http://schemas.microsoft.com/office/drawing/2014/main" id="{00000000-0008-0000-0E00-00006A000000}"/>
            </a:ext>
          </a:extLst>
        </xdr:cNvPr>
        <xdr:cNvGrpSpPr/>
      </xdr:nvGrpSpPr>
      <xdr:grpSpPr>
        <a:xfrm>
          <a:off x="1387929" y="190500"/>
          <a:ext cx="2009778" cy="1368582"/>
          <a:chOff x="1257299" y="33960"/>
          <a:chExt cx="2009778" cy="1582925"/>
        </a:xfrm>
      </xdr:grpSpPr>
      <xdr:sp macro="" textlink="">
        <xdr:nvSpPr>
          <xdr:cNvPr id="107" name="Rectángulo: esquinas superiores redondeadas 106">
            <a:extLst>
              <a:ext uri="{FF2B5EF4-FFF2-40B4-BE49-F238E27FC236}">
                <a16:creationId xmlns:a16="http://schemas.microsoft.com/office/drawing/2014/main" id="{00000000-0008-0000-0E00-00006B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Tipo de resultado</a:t>
            </a:r>
          </a:p>
        </xdr:txBody>
      </xdr:sp>
      <xdr:sp macro="" textlink="">
        <xdr:nvSpPr>
          <xdr:cNvPr id="108" name="Rectángulo 107">
            <a:hlinkClick xmlns:r="http://schemas.openxmlformats.org/officeDocument/2006/relationships" r:id="rId1"/>
            <a:extLst>
              <a:ext uri="{FF2B5EF4-FFF2-40B4-BE49-F238E27FC236}">
                <a16:creationId xmlns:a16="http://schemas.microsoft.com/office/drawing/2014/main" id="{00000000-0008-0000-0E00-00006C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RESULTADOS GENERALES</a:t>
            </a:r>
          </a:p>
        </xdr:txBody>
      </xdr:sp>
      <xdr:sp macro="" textlink="">
        <xdr:nvSpPr>
          <xdr:cNvPr id="109" name="Rectángulo 108">
            <a:hlinkClick xmlns:r="http://schemas.openxmlformats.org/officeDocument/2006/relationships" r:id="rId2"/>
            <a:extLst>
              <a:ext uri="{FF2B5EF4-FFF2-40B4-BE49-F238E27FC236}">
                <a16:creationId xmlns:a16="http://schemas.microsoft.com/office/drawing/2014/main" id="{00000000-0008-0000-0E00-00006D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RESULTADOS</a:t>
            </a:r>
            <a:r>
              <a:rPr lang="es-ES" sz="1000" b="0" baseline="0">
                <a:solidFill>
                  <a:schemeClr val="accent6">
                    <a:lumMod val="50000"/>
                  </a:schemeClr>
                </a:solidFill>
              </a:rPr>
              <a:t> SECTORIALES</a:t>
            </a:r>
            <a:endParaRPr lang="es-ES" sz="1000" b="0">
              <a:solidFill>
                <a:schemeClr val="accent6">
                  <a:lumMod val="50000"/>
                </a:schemeClr>
              </a:solidFill>
            </a:endParaRP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3" name="Grupo 52">
          <a:hlinkClick xmlns:r="http://schemas.openxmlformats.org/officeDocument/2006/relationships" r:id="rId3"/>
          <a:extLst>
            <a:ext uri="{FF2B5EF4-FFF2-40B4-BE49-F238E27FC236}">
              <a16:creationId xmlns:a16="http://schemas.microsoft.com/office/drawing/2014/main" id="{00000000-0008-0000-0E00-000035000000}"/>
            </a:ext>
          </a:extLst>
        </xdr:cNvPr>
        <xdr:cNvGrpSpPr/>
      </xdr:nvGrpSpPr>
      <xdr:grpSpPr>
        <a:xfrm>
          <a:off x="0" y="0"/>
          <a:ext cx="1387929" cy="328014"/>
          <a:chOff x="91104" y="65606"/>
          <a:chExt cx="1192701" cy="328014"/>
        </a:xfrm>
      </xdr:grpSpPr>
      <xdr:sp macro="" textlink="">
        <xdr:nvSpPr>
          <xdr:cNvPr id="54" name="Rectángulo 53">
            <a:extLst>
              <a:ext uri="{FF2B5EF4-FFF2-40B4-BE49-F238E27FC236}">
                <a16:creationId xmlns:a16="http://schemas.microsoft.com/office/drawing/2014/main" id="{00000000-0008-0000-0E00-00003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5" name="Gráfico 54" descr="Hogar con relleno sólido">
            <a:extLst>
              <a:ext uri="{FF2B5EF4-FFF2-40B4-BE49-F238E27FC236}">
                <a16:creationId xmlns:a16="http://schemas.microsoft.com/office/drawing/2014/main" id="{00000000-0008-0000-0E00-00003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6" name="Grupo 55">
          <a:hlinkClick xmlns:r="http://schemas.openxmlformats.org/officeDocument/2006/relationships" r:id="rId6"/>
          <a:extLst>
            <a:ext uri="{FF2B5EF4-FFF2-40B4-BE49-F238E27FC236}">
              <a16:creationId xmlns:a16="http://schemas.microsoft.com/office/drawing/2014/main" id="{00000000-0008-0000-0E00-000038000000}"/>
            </a:ext>
          </a:extLst>
        </xdr:cNvPr>
        <xdr:cNvGrpSpPr/>
      </xdr:nvGrpSpPr>
      <xdr:grpSpPr>
        <a:xfrm>
          <a:off x="0" y="4710117"/>
          <a:ext cx="1295400" cy="638178"/>
          <a:chOff x="0" y="3671892"/>
          <a:chExt cx="1295400" cy="638178"/>
        </a:xfrm>
      </xdr:grpSpPr>
      <xdr:sp macro="" textlink="">
        <xdr:nvSpPr>
          <xdr:cNvPr id="57" name="Rectángulo: esquinas superiores redondeadas 56">
            <a:extLst>
              <a:ext uri="{FF2B5EF4-FFF2-40B4-BE49-F238E27FC236}">
                <a16:creationId xmlns:a16="http://schemas.microsoft.com/office/drawing/2014/main" id="{00000000-0008-0000-0E00-00003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58" name="Gráfico 57" descr="Información con relleno sólido">
            <a:extLst>
              <a:ext uri="{FF2B5EF4-FFF2-40B4-BE49-F238E27FC236}">
                <a16:creationId xmlns:a16="http://schemas.microsoft.com/office/drawing/2014/main" id="{00000000-0008-0000-0E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59" name="Grupo 58">
          <a:hlinkClick xmlns:r="http://schemas.openxmlformats.org/officeDocument/2006/relationships" r:id="rId9"/>
          <a:extLst>
            <a:ext uri="{FF2B5EF4-FFF2-40B4-BE49-F238E27FC236}">
              <a16:creationId xmlns:a16="http://schemas.microsoft.com/office/drawing/2014/main" id="{00000000-0008-0000-0E00-00003B000000}"/>
            </a:ext>
          </a:extLst>
        </xdr:cNvPr>
        <xdr:cNvGrpSpPr/>
      </xdr:nvGrpSpPr>
      <xdr:grpSpPr>
        <a:xfrm>
          <a:off x="0" y="3760792"/>
          <a:ext cx="1453490" cy="638178"/>
          <a:chOff x="0" y="2767017"/>
          <a:chExt cx="1295400" cy="638178"/>
        </a:xfrm>
      </xdr:grpSpPr>
      <xdr:sp macro="" textlink="">
        <xdr:nvSpPr>
          <xdr:cNvPr id="60" name="Rectángulo: esquinas superiores redondeadas 59">
            <a:extLst>
              <a:ext uri="{FF2B5EF4-FFF2-40B4-BE49-F238E27FC236}">
                <a16:creationId xmlns:a16="http://schemas.microsoft.com/office/drawing/2014/main" id="{00000000-0008-0000-0E00-00003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61" name="Gráfico 60" descr="Gráfico de barras con relleno sólido">
            <a:extLst>
              <a:ext uri="{FF2B5EF4-FFF2-40B4-BE49-F238E27FC236}">
                <a16:creationId xmlns:a16="http://schemas.microsoft.com/office/drawing/2014/main" id="{00000000-0008-0000-0E00-00003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62" name="Grupo 61">
          <a:hlinkClick xmlns:r="http://schemas.openxmlformats.org/officeDocument/2006/relationships" r:id="rId12"/>
          <a:extLst>
            <a:ext uri="{FF2B5EF4-FFF2-40B4-BE49-F238E27FC236}">
              <a16:creationId xmlns:a16="http://schemas.microsoft.com/office/drawing/2014/main" id="{00000000-0008-0000-0E00-00003E000000}"/>
            </a:ext>
          </a:extLst>
        </xdr:cNvPr>
        <xdr:cNvGrpSpPr/>
      </xdr:nvGrpSpPr>
      <xdr:grpSpPr>
        <a:xfrm>
          <a:off x="0" y="2811467"/>
          <a:ext cx="1323975" cy="638178"/>
          <a:chOff x="0" y="1862142"/>
          <a:chExt cx="1323975" cy="638178"/>
        </a:xfrm>
      </xdr:grpSpPr>
      <xdr:sp macro="" textlink="">
        <xdr:nvSpPr>
          <xdr:cNvPr id="63" name="Rectángulo: esquinas superiores redondeadas 62">
            <a:extLst>
              <a:ext uri="{FF2B5EF4-FFF2-40B4-BE49-F238E27FC236}">
                <a16:creationId xmlns:a16="http://schemas.microsoft.com/office/drawing/2014/main" id="{00000000-0008-0000-0E00-00003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64" name="Gráfico 63" descr="Alternar con relleno sólido">
            <a:extLst>
              <a:ext uri="{FF2B5EF4-FFF2-40B4-BE49-F238E27FC236}">
                <a16:creationId xmlns:a16="http://schemas.microsoft.com/office/drawing/2014/main" id="{00000000-0008-0000-0E00-00004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65" name="Grupo 64">
          <a:hlinkClick xmlns:r="http://schemas.openxmlformats.org/officeDocument/2006/relationships" r:id="rId15"/>
          <a:extLst>
            <a:ext uri="{FF2B5EF4-FFF2-40B4-BE49-F238E27FC236}">
              <a16:creationId xmlns:a16="http://schemas.microsoft.com/office/drawing/2014/main" id="{00000000-0008-0000-0E00-000041000000}"/>
            </a:ext>
          </a:extLst>
        </xdr:cNvPr>
        <xdr:cNvGrpSpPr/>
      </xdr:nvGrpSpPr>
      <xdr:grpSpPr>
        <a:xfrm>
          <a:off x="0" y="1862142"/>
          <a:ext cx="1295400" cy="638178"/>
          <a:chOff x="0" y="1862142"/>
          <a:chExt cx="1295400" cy="638178"/>
        </a:xfrm>
      </xdr:grpSpPr>
      <xdr:sp macro="" textlink="">
        <xdr:nvSpPr>
          <xdr:cNvPr id="66" name="Rectángulo: esquinas superiores redondeadas 65">
            <a:extLst>
              <a:ext uri="{FF2B5EF4-FFF2-40B4-BE49-F238E27FC236}">
                <a16:creationId xmlns:a16="http://schemas.microsoft.com/office/drawing/2014/main" id="{00000000-0008-0000-0E00-00004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67" name="Gráfico 66" descr="Lista con relleno sólido">
            <a:extLst>
              <a:ext uri="{FF2B5EF4-FFF2-40B4-BE49-F238E27FC236}">
                <a16:creationId xmlns:a16="http://schemas.microsoft.com/office/drawing/2014/main" id="{00000000-0008-0000-0E00-00004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3</xdr:col>
      <xdr:colOff>142873</xdr:colOff>
      <xdr:row>1</xdr:row>
      <xdr:rowOff>123824</xdr:rowOff>
    </xdr:from>
    <xdr:to>
      <xdr:col>4</xdr:col>
      <xdr:colOff>200024</xdr:colOff>
      <xdr:row>4</xdr:row>
      <xdr:rowOff>152399</xdr:rowOff>
    </xdr:to>
    <xdr:grpSp>
      <xdr:nvGrpSpPr>
        <xdr:cNvPr id="7" name="Grupo 6">
          <a:extLst>
            <a:ext uri="{FF2B5EF4-FFF2-40B4-BE49-F238E27FC236}">
              <a16:creationId xmlns:a16="http://schemas.microsoft.com/office/drawing/2014/main" id="{00000000-0008-0000-0E00-000007000000}"/>
            </a:ext>
          </a:extLst>
        </xdr:cNvPr>
        <xdr:cNvGrpSpPr/>
      </xdr:nvGrpSpPr>
      <xdr:grpSpPr>
        <a:xfrm>
          <a:off x="4102552" y="314324"/>
          <a:ext cx="819151" cy="600075"/>
          <a:chOff x="4552948" y="1857374"/>
          <a:chExt cx="819151" cy="600075"/>
        </a:xfrm>
      </xdr:grpSpPr>
      <xdr:pic>
        <xdr:nvPicPr>
          <xdr:cNvPr id="5" name="Gráfico 4" descr="Nube con relleno sólido">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552948" y="1857374"/>
            <a:ext cx="600075" cy="600075"/>
          </a:xfrm>
          <a:prstGeom prst="rect">
            <a:avLst/>
          </a:prstGeom>
        </xdr:spPr>
      </xdr:pic>
      <xdr:sp macro="" textlink="">
        <xdr:nvSpPr>
          <xdr:cNvPr id="6" name="CuadroTexto 5">
            <a:extLst>
              <a:ext uri="{FF2B5EF4-FFF2-40B4-BE49-F238E27FC236}">
                <a16:creationId xmlns:a16="http://schemas.microsoft.com/office/drawing/2014/main" id="{00000000-0008-0000-0E00-000006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301626</xdr:colOff>
      <xdr:row>18</xdr:row>
      <xdr:rowOff>187325</xdr:rowOff>
    </xdr:from>
    <xdr:to>
      <xdr:col>4</xdr:col>
      <xdr:colOff>2118</xdr:colOff>
      <xdr:row>21</xdr:row>
      <xdr:rowOff>53764</xdr:rowOff>
    </xdr:to>
    <xdr:pic>
      <xdr:nvPicPr>
        <xdr:cNvPr id="11" name="Gráfico 10" descr="Torre eléctrica con relleno sólido">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4340226" y="3692525"/>
          <a:ext cx="491067" cy="439209"/>
        </a:xfrm>
        <a:prstGeom prst="rect">
          <a:avLst/>
        </a:prstGeom>
      </xdr:spPr>
    </xdr:pic>
    <xdr:clientData/>
  </xdr:twoCellAnchor>
  <xdr:twoCellAnchor editAs="oneCell">
    <xdr:from>
      <xdr:col>3</xdr:col>
      <xdr:colOff>358775</xdr:colOff>
      <xdr:row>36</xdr:row>
      <xdr:rowOff>20108</xdr:rowOff>
    </xdr:from>
    <xdr:to>
      <xdr:col>4</xdr:col>
      <xdr:colOff>57785</xdr:colOff>
      <xdr:row>38</xdr:row>
      <xdr:rowOff>59478</xdr:rowOff>
    </xdr:to>
    <xdr:pic>
      <xdr:nvPicPr>
        <xdr:cNvPr id="32" name="Gráfico 31" descr="Bombilla fluorescente con relleno sólido">
          <a:extLst>
            <a:ext uri="{FF2B5EF4-FFF2-40B4-BE49-F238E27FC236}">
              <a16:creationId xmlns:a16="http://schemas.microsoft.com/office/drawing/2014/main" id="{00000000-0008-0000-0E00-000020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4397375" y="6903508"/>
          <a:ext cx="491067" cy="465667"/>
        </a:xfrm>
        <a:prstGeom prst="rect">
          <a:avLst/>
        </a:prstGeom>
      </xdr:spPr>
    </xdr:pic>
    <xdr:clientData/>
  </xdr:twoCellAnchor>
  <xdr:twoCellAnchor>
    <xdr:from>
      <xdr:col>3</xdr:col>
      <xdr:colOff>372840</xdr:colOff>
      <xdr:row>4</xdr:row>
      <xdr:rowOff>171450</xdr:rowOff>
    </xdr:from>
    <xdr:to>
      <xdr:col>15</xdr:col>
      <xdr:colOff>287114</xdr:colOff>
      <xdr:row>19</xdr:row>
      <xdr:rowOff>171450</xdr:rowOff>
    </xdr:to>
    <xdr:graphicFrame macro="">
      <xdr:nvGraphicFramePr>
        <xdr:cNvPr id="112" name="Gráfico 23">
          <a:extLst>
            <a:ext uri="{FF2B5EF4-FFF2-40B4-BE49-F238E27FC236}">
              <a16:creationId xmlns:a16="http://schemas.microsoft.com/office/drawing/2014/main" id="{00000000-0008-0000-0E00-00007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108857</xdr:colOff>
      <xdr:row>21</xdr:row>
      <xdr:rowOff>141515</xdr:rowOff>
    </xdr:from>
    <xdr:to>
      <xdr:col>15</xdr:col>
      <xdr:colOff>315685</xdr:colOff>
      <xdr:row>37</xdr:row>
      <xdr:rowOff>130629</xdr:rowOff>
    </xdr:to>
    <xdr:graphicFrame macro="">
      <xdr:nvGraphicFramePr>
        <xdr:cNvPr id="16" name="Gráfico 23">
          <a:extLst>
            <a:ext uri="{FF2B5EF4-FFF2-40B4-BE49-F238E27FC236}">
              <a16:creationId xmlns:a16="http://schemas.microsoft.com/office/drawing/2014/main" id="{00000000-0008-0000-0E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349250</xdr:colOff>
      <xdr:row>39</xdr:row>
      <xdr:rowOff>0</xdr:rowOff>
    </xdr:from>
    <xdr:to>
      <xdr:col>15</xdr:col>
      <xdr:colOff>263524</xdr:colOff>
      <xdr:row>54</xdr:row>
      <xdr:rowOff>163285</xdr:rowOff>
    </xdr:to>
    <xdr:graphicFrame macro="">
      <xdr:nvGraphicFramePr>
        <xdr:cNvPr id="9" name="Gráfico 23">
          <a:extLst>
            <a:ext uri="{FF2B5EF4-FFF2-40B4-BE49-F238E27FC236}">
              <a16:creationId xmlns:a16="http://schemas.microsoft.com/office/drawing/2014/main" id="{00000000-0008-0000-0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xdr:col>
      <xdr:colOff>355599</xdr:colOff>
      <xdr:row>59</xdr:row>
      <xdr:rowOff>139700</xdr:rowOff>
    </xdr:from>
    <xdr:to>
      <xdr:col>15</xdr:col>
      <xdr:colOff>304800</xdr:colOff>
      <xdr:row>75</xdr:row>
      <xdr:rowOff>130628</xdr:rowOff>
    </xdr:to>
    <xdr:graphicFrame macro="">
      <xdr:nvGraphicFramePr>
        <xdr:cNvPr id="10" name="Gráfico 23">
          <a:extLst>
            <a:ext uri="{FF2B5EF4-FFF2-40B4-BE49-F238E27FC236}">
              <a16:creationId xmlns:a16="http://schemas.microsoft.com/office/drawing/2014/main" id="{00000000-0008-0000-0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xdr:col>
      <xdr:colOff>330200</xdr:colOff>
      <xdr:row>97</xdr:row>
      <xdr:rowOff>139700</xdr:rowOff>
    </xdr:from>
    <xdr:to>
      <xdr:col>15</xdr:col>
      <xdr:colOff>217714</xdr:colOff>
      <xdr:row>115</xdr:row>
      <xdr:rowOff>65314</xdr:rowOff>
    </xdr:to>
    <xdr:graphicFrame macro="">
      <xdr:nvGraphicFramePr>
        <xdr:cNvPr id="4" name="Gráfico 2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9"/>
          <a:extLst>
            <a:ext uri="{FF2B5EF4-FFF2-40B4-BE49-F238E27FC236}">
              <a16:creationId xmlns:a16="http://schemas.microsoft.com/office/drawing/2014/main" id="{00000000-0008-0000-0E00-00001F000000}"/>
            </a:ext>
          </a:extLst>
        </xdr:cNvPr>
        <xdr:cNvGrpSpPr/>
      </xdr:nvGrpSpPr>
      <xdr:grpSpPr>
        <a:xfrm>
          <a:off x="0" y="6477000"/>
          <a:ext cx="1240383" cy="416889"/>
          <a:chOff x="28575" y="6381750"/>
          <a:chExt cx="1240383" cy="416889"/>
        </a:xfrm>
      </xdr:grpSpPr>
      <xdr:pic>
        <xdr:nvPicPr>
          <xdr:cNvPr id="34" name="Gráfico 33" descr="Engranaje único con relleno sólido">
            <a:extLst>
              <a:ext uri="{FF2B5EF4-FFF2-40B4-BE49-F238E27FC236}">
                <a16:creationId xmlns:a16="http://schemas.microsoft.com/office/drawing/2014/main" id="{00000000-0008-0000-0E00-00002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575" y="6381750"/>
            <a:ext cx="409575" cy="416889"/>
          </a:xfrm>
          <a:prstGeom prst="rect">
            <a:avLst/>
          </a:prstGeom>
        </xdr:spPr>
      </xdr:pic>
      <xdr:sp macro="" textlink="">
        <xdr:nvSpPr>
          <xdr:cNvPr id="35" name="CuadroTexto 34">
            <a:extLst>
              <a:ext uri="{FF2B5EF4-FFF2-40B4-BE49-F238E27FC236}">
                <a16:creationId xmlns:a16="http://schemas.microsoft.com/office/drawing/2014/main" id="{00000000-0008-0000-0E00-00002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23</xdr:col>
      <xdr:colOff>257175</xdr:colOff>
      <xdr:row>0</xdr:row>
      <xdr:rowOff>63500</xdr:rowOff>
    </xdr:from>
    <xdr:to>
      <xdr:col>27</xdr:col>
      <xdr:colOff>8703</xdr:colOff>
      <xdr:row>3</xdr:row>
      <xdr:rowOff>168275</xdr:rowOff>
    </xdr:to>
    <xdr:grpSp>
      <xdr:nvGrpSpPr>
        <xdr:cNvPr id="36" name="Grupo 35">
          <a:extLst>
            <a:ext uri="{FF2B5EF4-FFF2-40B4-BE49-F238E27FC236}">
              <a16:creationId xmlns:a16="http://schemas.microsoft.com/office/drawing/2014/main" id="{00000000-0008-0000-0E00-000024000000}"/>
            </a:ext>
          </a:extLst>
        </xdr:cNvPr>
        <xdr:cNvGrpSpPr/>
      </xdr:nvGrpSpPr>
      <xdr:grpSpPr>
        <a:xfrm>
          <a:off x="22491246" y="63500"/>
          <a:ext cx="3888100" cy="676275"/>
          <a:chOff x="13134975" y="514350"/>
          <a:chExt cx="3717103" cy="917387"/>
        </a:xfrm>
      </xdr:grpSpPr>
      <xdr:pic>
        <xdr:nvPicPr>
          <xdr:cNvPr id="37" name="Imagen 36">
            <a:extLst>
              <a:ext uri="{FF2B5EF4-FFF2-40B4-BE49-F238E27FC236}">
                <a16:creationId xmlns:a16="http://schemas.microsoft.com/office/drawing/2014/main" id="{00000000-0008-0000-0E00-000025000000}"/>
              </a:ext>
            </a:extLst>
          </xdr:cNvPr>
          <xdr:cNvPicPr>
            <a:picLocks noChangeAspect="1"/>
          </xdr:cNvPicPr>
        </xdr:nvPicPr>
        <xdr:blipFill>
          <a:blip xmlns:r="http://schemas.openxmlformats.org/officeDocument/2006/relationships" r:embed="rId32"/>
          <a:stretch>
            <a:fillRect/>
          </a:stretch>
        </xdr:blipFill>
        <xdr:spPr>
          <a:xfrm>
            <a:off x="13134975" y="1085850"/>
            <a:ext cx="3717103" cy="345887"/>
          </a:xfrm>
          <a:prstGeom prst="rect">
            <a:avLst/>
          </a:prstGeom>
        </xdr:spPr>
      </xdr:pic>
      <xdr:pic>
        <xdr:nvPicPr>
          <xdr:cNvPr id="38" name="Imagen 37">
            <a:hlinkClick xmlns:r="http://schemas.openxmlformats.org/officeDocument/2006/relationships" r:id="rId33"/>
            <a:extLst>
              <a:ext uri="{FF2B5EF4-FFF2-40B4-BE49-F238E27FC236}">
                <a16:creationId xmlns:a16="http://schemas.microsoft.com/office/drawing/2014/main" id="{00000000-0008-0000-0E00-000026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3916025" y="514350"/>
            <a:ext cx="2849886" cy="484633"/>
          </a:xfrm>
          <a:prstGeom prst="rect">
            <a:avLst/>
          </a:prstGeom>
        </xdr:spPr>
      </xdr:pic>
    </xdr:grpSp>
    <xdr:clientData/>
  </xdr:twoCellAnchor>
  <xdr:twoCellAnchor editAs="oneCell">
    <xdr:from>
      <xdr:col>3</xdr:col>
      <xdr:colOff>414864</xdr:colOff>
      <xdr:row>57</xdr:row>
      <xdr:rowOff>67733</xdr:rowOff>
    </xdr:from>
    <xdr:to>
      <xdr:col>4</xdr:col>
      <xdr:colOff>53760</xdr:colOff>
      <xdr:row>59</xdr:row>
      <xdr:rowOff>76199</xdr:rowOff>
    </xdr:to>
    <xdr:pic>
      <xdr:nvPicPr>
        <xdr:cNvPr id="3" name="Gráfico 2" descr="Barril de petróleo con relleno sólido">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4453464" y="10905066"/>
          <a:ext cx="423333" cy="423333"/>
        </a:xfrm>
        <a:prstGeom prst="rect">
          <a:avLst/>
        </a:prstGeom>
      </xdr:spPr>
    </xdr:pic>
    <xdr:clientData/>
  </xdr:twoCellAnchor>
  <xdr:twoCellAnchor editAs="oneCell">
    <xdr:from>
      <xdr:col>3</xdr:col>
      <xdr:colOff>380999</xdr:colOff>
      <xdr:row>95</xdr:row>
      <xdr:rowOff>42334</xdr:rowOff>
    </xdr:from>
    <xdr:to>
      <xdr:col>3</xdr:col>
      <xdr:colOff>758824</xdr:colOff>
      <xdr:row>97</xdr:row>
      <xdr:rowOff>22437</xdr:rowOff>
    </xdr:to>
    <xdr:pic>
      <xdr:nvPicPr>
        <xdr:cNvPr id="8" name="Gráfico 7" descr="Alta tensión con relleno sólido">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4419599" y="14461067"/>
          <a:ext cx="406400" cy="406400"/>
        </a:xfrm>
        <a:prstGeom prst="rect">
          <a:avLst/>
        </a:prstGeom>
      </xdr:spPr>
    </xdr:pic>
    <xdr:clientData/>
  </xdr:twoCellAnchor>
  <xdr:twoCellAnchor>
    <xdr:from>
      <xdr:col>3</xdr:col>
      <xdr:colOff>384627</xdr:colOff>
      <xdr:row>77</xdr:row>
      <xdr:rowOff>124691</xdr:rowOff>
    </xdr:from>
    <xdr:to>
      <xdr:col>15</xdr:col>
      <xdr:colOff>339436</xdr:colOff>
      <xdr:row>95</xdr:row>
      <xdr:rowOff>152399</xdr:rowOff>
    </xdr:to>
    <xdr:graphicFrame macro="">
      <xdr:nvGraphicFramePr>
        <xdr:cNvPr id="2" name="Gráfico 23">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oneCellAnchor>
    <xdr:from>
      <xdr:col>3</xdr:col>
      <xdr:colOff>414864</xdr:colOff>
      <xdr:row>75</xdr:row>
      <xdr:rowOff>67733</xdr:rowOff>
    </xdr:from>
    <xdr:ext cx="417175" cy="424102"/>
    <xdr:pic>
      <xdr:nvPicPr>
        <xdr:cNvPr id="41" name="Gráfico 40" descr="Barril de petróleo con relleno sólido">
          <a:extLst>
            <a:ext uri="{FF2B5EF4-FFF2-40B4-BE49-F238E27FC236}">
              <a16:creationId xmlns:a16="http://schemas.microsoft.com/office/drawing/2014/main" id="{00000000-0008-0000-0E00-000029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4460391" y="10708024"/>
          <a:ext cx="417175" cy="424102"/>
        </a:xfrm>
        <a:prstGeom prst="rect">
          <a:avLst/>
        </a:prstGeom>
      </xdr:spPr>
    </xdr:pic>
    <xdr:clientData/>
  </xdr:oneCellAnchor>
  <xdr:oneCellAnchor>
    <xdr:from>
      <xdr:col>2</xdr:col>
      <xdr:colOff>443295</xdr:colOff>
      <xdr:row>8</xdr:row>
      <xdr:rowOff>104959</xdr:rowOff>
    </xdr:from>
    <xdr:ext cx="233205" cy="1178592"/>
    <xdr:sp macro="" textlink="">
      <xdr:nvSpPr>
        <xdr:cNvPr id="12" name="CuadroTexto 11">
          <a:extLst>
            <a:ext uri="{FF2B5EF4-FFF2-40B4-BE49-F238E27FC236}">
              <a16:creationId xmlns:a16="http://schemas.microsoft.com/office/drawing/2014/main" id="{00000000-0008-0000-0E00-00000C000000}"/>
            </a:ext>
          </a:extLst>
        </xdr:cNvPr>
        <xdr:cNvSpPr txBox="1"/>
      </xdr:nvSpPr>
      <xdr:spPr>
        <a:xfrm rot="16200000">
          <a:off x="3399602" y="2101652"/>
          <a:ext cx="117859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 nacionales</a:t>
          </a:r>
        </a:p>
      </xdr:txBody>
    </xdr:sp>
    <xdr:clientData/>
  </xdr:oneCellAnchor>
  <xdr:oneCellAnchor>
    <xdr:from>
      <xdr:col>2</xdr:col>
      <xdr:colOff>352436</xdr:colOff>
      <xdr:row>24</xdr:row>
      <xdr:rowOff>158340</xdr:rowOff>
    </xdr:from>
    <xdr:ext cx="233205" cy="1668855"/>
    <xdr:sp macro="" textlink="">
      <xdr:nvSpPr>
        <xdr:cNvPr id="13" name="CuadroTexto 12">
          <a:extLst>
            <a:ext uri="{FF2B5EF4-FFF2-40B4-BE49-F238E27FC236}">
              <a16:creationId xmlns:a16="http://schemas.microsoft.com/office/drawing/2014/main" id="{00000000-0008-0000-0E00-00000D000000}"/>
            </a:ext>
          </a:extLst>
        </xdr:cNvPr>
        <xdr:cNvSpPr txBox="1"/>
      </xdr:nvSpPr>
      <xdr:spPr>
        <a:xfrm rot="16200000">
          <a:off x="3063611" y="5448165"/>
          <a:ext cx="166885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Generación energética nacional</a:t>
          </a:r>
          <a:endParaRPr lang="es-ES" sz="900">
            <a:solidFill>
              <a:schemeClr val="bg1">
                <a:lumMod val="50000"/>
              </a:schemeClr>
            </a:solidFill>
            <a:effectLst/>
          </a:endParaRPr>
        </a:p>
      </xdr:txBody>
    </xdr:sp>
    <xdr:clientData/>
  </xdr:oneCellAnchor>
  <xdr:oneCellAnchor>
    <xdr:from>
      <xdr:col>2</xdr:col>
      <xdr:colOff>361963</xdr:colOff>
      <xdr:row>41</xdr:row>
      <xdr:rowOff>50055</xdr:rowOff>
    </xdr:from>
    <xdr:ext cx="233205" cy="1580626"/>
    <xdr:sp macro="" textlink="">
      <xdr:nvSpPr>
        <xdr:cNvPr id="14" name="CuadroTexto 13">
          <a:extLst>
            <a:ext uri="{FF2B5EF4-FFF2-40B4-BE49-F238E27FC236}">
              <a16:creationId xmlns:a16="http://schemas.microsoft.com/office/drawing/2014/main" id="{00000000-0008-0000-0E00-00000E000000}"/>
            </a:ext>
          </a:extLst>
        </xdr:cNvPr>
        <xdr:cNvSpPr txBox="1"/>
      </xdr:nvSpPr>
      <xdr:spPr>
        <a:xfrm rot="16200000">
          <a:off x="3117253" y="8581890"/>
          <a:ext cx="158062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Demanda energética nacional</a:t>
          </a:r>
          <a:endParaRPr lang="es-ES" sz="900">
            <a:solidFill>
              <a:schemeClr val="bg1">
                <a:lumMod val="50000"/>
              </a:schemeClr>
            </a:solidFill>
            <a:effectLst/>
          </a:endParaRPr>
        </a:p>
      </xdr:txBody>
    </xdr:sp>
    <xdr:clientData/>
  </xdr:oneCellAnchor>
  <xdr:oneCellAnchor>
    <xdr:from>
      <xdr:col>2</xdr:col>
      <xdr:colOff>504839</xdr:colOff>
      <xdr:row>61</xdr:row>
      <xdr:rowOff>57698</xdr:rowOff>
    </xdr:from>
    <xdr:ext cx="233205" cy="1925207"/>
    <xdr:sp macro="" textlink="">
      <xdr:nvSpPr>
        <xdr:cNvPr id="15" name="CuadroTexto 14">
          <a:extLst>
            <a:ext uri="{FF2B5EF4-FFF2-40B4-BE49-F238E27FC236}">
              <a16:creationId xmlns:a16="http://schemas.microsoft.com/office/drawing/2014/main" id="{00000000-0008-0000-0E00-00000F000000}"/>
            </a:ext>
          </a:extLst>
        </xdr:cNvPr>
        <xdr:cNvSpPr txBox="1"/>
      </xdr:nvSpPr>
      <xdr:spPr>
        <a:xfrm rot="16200000">
          <a:off x="3087838" y="12619449"/>
          <a:ext cx="192520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de combustibles por sector</a:t>
          </a:r>
          <a:endParaRPr lang="es-ES" sz="900">
            <a:solidFill>
              <a:schemeClr val="bg1">
                <a:lumMod val="50000"/>
              </a:schemeClr>
            </a:solidFill>
            <a:effectLst/>
          </a:endParaRPr>
        </a:p>
      </xdr:txBody>
    </xdr:sp>
    <xdr:clientData/>
  </xdr:oneCellAnchor>
  <xdr:oneCellAnchor>
    <xdr:from>
      <xdr:col>3</xdr:col>
      <xdr:colOff>9540</xdr:colOff>
      <xdr:row>78</xdr:row>
      <xdr:rowOff>12008</xdr:rowOff>
    </xdr:from>
    <xdr:ext cx="233205" cy="2569037"/>
    <xdr:sp macro="" textlink="">
      <xdr:nvSpPr>
        <xdr:cNvPr id="17" name="CuadroTexto 16">
          <a:extLst>
            <a:ext uri="{FF2B5EF4-FFF2-40B4-BE49-F238E27FC236}">
              <a16:creationId xmlns:a16="http://schemas.microsoft.com/office/drawing/2014/main" id="{00000000-0008-0000-0E00-000011000000}"/>
            </a:ext>
          </a:extLst>
        </xdr:cNvPr>
        <xdr:cNvSpPr txBox="1"/>
      </xdr:nvSpPr>
      <xdr:spPr>
        <a:xfrm rot="16200000">
          <a:off x="2784974" y="16181799"/>
          <a:ext cx="256903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de combustibles por tipo de combustible</a:t>
          </a:r>
          <a:endParaRPr lang="es-ES" sz="900">
            <a:solidFill>
              <a:schemeClr val="bg1">
                <a:lumMod val="50000"/>
              </a:schemeClr>
            </a:solidFill>
            <a:effectLst/>
          </a:endParaRPr>
        </a:p>
      </xdr:txBody>
    </xdr:sp>
    <xdr:clientData/>
  </xdr:oneCellAnchor>
  <xdr:oneCellAnchor>
    <xdr:from>
      <xdr:col>2</xdr:col>
      <xdr:colOff>495306</xdr:colOff>
      <xdr:row>102</xdr:row>
      <xdr:rowOff>80620</xdr:rowOff>
    </xdr:from>
    <xdr:ext cx="233205" cy="1057918"/>
    <xdr:sp macro="" textlink="">
      <xdr:nvSpPr>
        <xdr:cNvPr id="18" name="CuadroTexto 17">
          <a:extLst>
            <a:ext uri="{FF2B5EF4-FFF2-40B4-BE49-F238E27FC236}">
              <a16:creationId xmlns:a16="http://schemas.microsoft.com/office/drawing/2014/main" id="{00000000-0008-0000-0E00-000012000000}"/>
            </a:ext>
          </a:extLst>
        </xdr:cNvPr>
        <xdr:cNvSpPr txBox="1"/>
      </xdr:nvSpPr>
      <xdr:spPr>
        <a:xfrm rot="16200000">
          <a:off x="3511950" y="20114476"/>
          <a:ext cx="105791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eléctrico</a:t>
          </a:r>
          <a:endParaRPr lang="es-ES" sz="900">
            <a:solidFill>
              <a:schemeClr val="bg1">
                <a:lumMod val="50000"/>
              </a:schemeClr>
            </a:solidFill>
            <a:effectLst/>
          </a:endParaRPr>
        </a:p>
      </xdr:txBody>
    </xdr:sp>
    <xdr:clientData/>
  </xdr:oneCellAnchor>
  <xdr:twoCellAnchor>
    <xdr:from>
      <xdr:col>16</xdr:col>
      <xdr:colOff>57150</xdr:colOff>
      <xdr:row>0</xdr:row>
      <xdr:rowOff>28575</xdr:rowOff>
    </xdr:from>
    <xdr:to>
      <xdr:col>18</xdr:col>
      <xdr:colOff>1009650</xdr:colOff>
      <xdr:row>2</xdr:row>
      <xdr:rowOff>114300</xdr:rowOff>
    </xdr:to>
    <xdr:grpSp>
      <xdr:nvGrpSpPr>
        <xdr:cNvPr id="19" name="Grupo 18">
          <a:extLst>
            <a:ext uri="{FF2B5EF4-FFF2-40B4-BE49-F238E27FC236}">
              <a16:creationId xmlns:a16="http://schemas.microsoft.com/office/drawing/2014/main" id="{00000000-0008-0000-0E00-000013000000}"/>
            </a:ext>
          </a:extLst>
        </xdr:cNvPr>
        <xdr:cNvGrpSpPr/>
      </xdr:nvGrpSpPr>
      <xdr:grpSpPr>
        <a:xfrm>
          <a:off x="14766471" y="28575"/>
          <a:ext cx="2830286" cy="466725"/>
          <a:chOff x="15497175" y="542925"/>
          <a:chExt cx="2828925" cy="466725"/>
        </a:xfrm>
      </xdr:grpSpPr>
      <xdr:grpSp>
        <xdr:nvGrpSpPr>
          <xdr:cNvPr id="20" name="Grupo 19">
            <a:extLst>
              <a:ext uri="{FF2B5EF4-FFF2-40B4-BE49-F238E27FC236}">
                <a16:creationId xmlns:a16="http://schemas.microsoft.com/office/drawing/2014/main" id="{00000000-0008-0000-0E00-000014000000}"/>
              </a:ext>
            </a:extLst>
          </xdr:cNvPr>
          <xdr:cNvGrpSpPr/>
        </xdr:nvGrpSpPr>
        <xdr:grpSpPr>
          <a:xfrm>
            <a:off x="15554325" y="628650"/>
            <a:ext cx="2771775" cy="314325"/>
            <a:chOff x="15621000" y="190500"/>
            <a:chExt cx="2771775" cy="314325"/>
          </a:xfrm>
        </xdr:grpSpPr>
        <xdr:sp macro="" textlink="">
          <xdr:nvSpPr>
            <xdr:cNvPr id="22" name="Elipse 21">
              <a:extLst>
                <a:ext uri="{FF2B5EF4-FFF2-40B4-BE49-F238E27FC236}">
                  <a16:creationId xmlns:a16="http://schemas.microsoft.com/office/drawing/2014/main" id="{00000000-0008-0000-0E00-000016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3" name="Rectángulo: esquinas redondeadas 22">
              <a:extLst>
                <a:ext uri="{FF2B5EF4-FFF2-40B4-BE49-F238E27FC236}">
                  <a16:creationId xmlns:a16="http://schemas.microsoft.com/office/drawing/2014/main" id="{00000000-0008-0000-0E00-000017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21" name="Gráfico 20" descr="Información con relleno sólido">
            <a:hlinkClick xmlns:r="http://schemas.openxmlformats.org/officeDocument/2006/relationships" r:id="rId40"/>
            <a:extLst>
              <a:ext uri="{FF2B5EF4-FFF2-40B4-BE49-F238E27FC236}">
                <a16:creationId xmlns:a16="http://schemas.microsoft.com/office/drawing/2014/main" id="{00000000-0008-0000-0E00-000015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15497175" y="542925"/>
            <a:ext cx="466725" cy="466725"/>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0" name="Grupo 19">
          <a:extLst>
            <a:ext uri="{FF2B5EF4-FFF2-40B4-BE49-F238E27FC236}">
              <a16:creationId xmlns:a16="http://schemas.microsoft.com/office/drawing/2014/main" id="{00000000-0008-0000-0F00-000014000000}"/>
            </a:ext>
          </a:extLst>
        </xdr:cNvPr>
        <xdr:cNvGrpSpPr/>
      </xdr:nvGrpSpPr>
      <xdr:grpSpPr>
        <a:xfrm>
          <a:off x="1381125" y="2007374"/>
          <a:ext cx="0" cy="1059675"/>
          <a:chOff x="1428750" y="2045474"/>
          <a:chExt cx="1226325" cy="1097775"/>
        </a:xfrm>
      </xdr:grpSpPr>
      <xdr:pic>
        <xdr:nvPicPr>
          <xdr:cNvPr id="21" name="Gráfico 20" descr="Piezas de rompecabezas con relleno sólido">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22" name="CuadroTexto 21">
            <a:extLst>
              <a:ext uri="{FF2B5EF4-FFF2-40B4-BE49-F238E27FC236}">
                <a16:creationId xmlns:a16="http://schemas.microsoft.com/office/drawing/2014/main" id="{00000000-0008-0000-0F00-000016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2</xdr:col>
      <xdr:colOff>190500</xdr:colOff>
      <xdr:row>2</xdr:row>
      <xdr:rowOff>123825</xdr:rowOff>
    </xdr:from>
    <xdr:to>
      <xdr:col>6</xdr:col>
      <xdr:colOff>285750</xdr:colOff>
      <xdr:row>15</xdr:row>
      <xdr:rowOff>57149</xdr:rowOff>
    </xdr:to>
    <xdr:grpSp>
      <xdr:nvGrpSpPr>
        <xdr:cNvPr id="2" name="Grupo 1">
          <a:hlinkClick xmlns:r="http://schemas.openxmlformats.org/officeDocument/2006/relationships" r:id="rId3"/>
          <a:extLst>
            <a:ext uri="{FF2B5EF4-FFF2-40B4-BE49-F238E27FC236}">
              <a16:creationId xmlns:a16="http://schemas.microsoft.com/office/drawing/2014/main" id="{00000000-0008-0000-0F00-000002000000}"/>
            </a:ext>
          </a:extLst>
        </xdr:cNvPr>
        <xdr:cNvGrpSpPr/>
      </xdr:nvGrpSpPr>
      <xdr:grpSpPr>
        <a:xfrm>
          <a:off x="3619500" y="504825"/>
          <a:ext cx="2893219" cy="2409824"/>
          <a:chOff x="3619500" y="504825"/>
          <a:chExt cx="2895600" cy="2409824"/>
        </a:xfrm>
      </xdr:grpSpPr>
      <xdr:pic>
        <xdr:nvPicPr>
          <xdr:cNvPr id="68" name="Gráfico 67" descr="Gráfico de barras con relleno sólido">
            <a:extLst>
              <a:ext uri="{FF2B5EF4-FFF2-40B4-BE49-F238E27FC236}">
                <a16:creationId xmlns:a16="http://schemas.microsoft.com/office/drawing/2014/main" id="{00000000-0008-0000-0F00-00004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943350" y="504825"/>
            <a:ext cx="2219324" cy="2409824"/>
          </a:xfrm>
          <a:prstGeom prst="rect">
            <a:avLst/>
          </a:prstGeom>
        </xdr:spPr>
      </xdr:pic>
      <xdr:grpSp>
        <xdr:nvGrpSpPr>
          <xdr:cNvPr id="30" name="Grupo 29">
            <a:extLst>
              <a:ext uri="{FF2B5EF4-FFF2-40B4-BE49-F238E27FC236}">
                <a16:creationId xmlns:a16="http://schemas.microsoft.com/office/drawing/2014/main" id="{00000000-0008-0000-0F00-00001E000000}"/>
              </a:ext>
            </a:extLst>
          </xdr:cNvPr>
          <xdr:cNvGrpSpPr/>
        </xdr:nvGrpSpPr>
        <xdr:grpSpPr>
          <a:xfrm>
            <a:off x="3619500" y="733424"/>
            <a:ext cx="2895600" cy="1685925"/>
            <a:chOff x="1885950" y="438149"/>
            <a:chExt cx="3143250" cy="1685925"/>
          </a:xfrm>
        </xdr:grpSpPr>
        <xdr:sp macro="" textlink="">
          <xdr:nvSpPr>
            <xdr:cNvPr id="31" name="Rectángulo 30">
              <a:extLst>
                <a:ext uri="{FF2B5EF4-FFF2-40B4-BE49-F238E27FC236}">
                  <a16:creationId xmlns:a16="http://schemas.microsoft.com/office/drawing/2014/main" id="{00000000-0008-0000-0F00-00001F000000}"/>
                </a:ext>
              </a:extLst>
            </xdr:cNvPr>
            <xdr:cNvSpPr/>
          </xdr:nvSpPr>
          <xdr:spPr>
            <a:xfrm>
              <a:off x="1885950" y="43814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 </a:t>
              </a:r>
            </a:p>
            <a:p>
              <a:pPr algn="ctr"/>
              <a:r>
                <a:rPr lang="es-ES" sz="1400" b="1">
                  <a:solidFill>
                    <a:schemeClr val="accent6">
                      <a:lumMod val="50000"/>
                    </a:schemeClr>
                  </a:solidFill>
                </a:rPr>
                <a:t>Combustibles fósiles y Bioenergía</a:t>
              </a:r>
            </a:p>
          </xdr:txBody>
        </xdr:sp>
        <xdr:pic>
          <xdr:nvPicPr>
            <xdr:cNvPr id="32" name="Gráfico 31" descr="Batería en carga con relleno sólido">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026506" y="629242"/>
              <a:ext cx="990600" cy="987078"/>
            </a:xfrm>
            <a:prstGeom prst="rect">
              <a:avLst/>
            </a:prstGeom>
          </xdr:spPr>
        </xdr:pic>
      </xdr:grpSp>
    </xdr:grpSp>
    <xdr:clientData/>
  </xdr:twoCellAnchor>
  <xdr:twoCellAnchor>
    <xdr:from>
      <xdr:col>7</xdr:col>
      <xdr:colOff>85725</xdr:colOff>
      <xdr:row>2</xdr:row>
      <xdr:rowOff>114300</xdr:rowOff>
    </xdr:from>
    <xdr:to>
      <xdr:col>11</xdr:col>
      <xdr:colOff>180975</xdr:colOff>
      <xdr:row>15</xdr:row>
      <xdr:rowOff>47624</xdr:rowOff>
    </xdr:to>
    <xdr:grpSp>
      <xdr:nvGrpSpPr>
        <xdr:cNvPr id="8" name="Grupo 7">
          <a:hlinkClick xmlns:r="http://schemas.openxmlformats.org/officeDocument/2006/relationships" r:id="rId8"/>
          <a:extLst>
            <a:ext uri="{FF2B5EF4-FFF2-40B4-BE49-F238E27FC236}">
              <a16:creationId xmlns:a16="http://schemas.microsoft.com/office/drawing/2014/main" id="{00000000-0008-0000-0F00-000008000000}"/>
            </a:ext>
          </a:extLst>
        </xdr:cNvPr>
        <xdr:cNvGrpSpPr/>
      </xdr:nvGrpSpPr>
      <xdr:grpSpPr>
        <a:xfrm>
          <a:off x="7074694" y="495300"/>
          <a:ext cx="3143250" cy="2409824"/>
          <a:chOff x="7077075" y="495300"/>
          <a:chExt cx="3143250" cy="2409824"/>
        </a:xfrm>
      </xdr:grpSpPr>
      <xdr:pic>
        <xdr:nvPicPr>
          <xdr:cNvPr id="65" name="Gráfico 64" descr="Gráfico de barras con relleno sólido">
            <a:extLst>
              <a:ext uri="{FF2B5EF4-FFF2-40B4-BE49-F238E27FC236}">
                <a16:creationId xmlns:a16="http://schemas.microsoft.com/office/drawing/2014/main" id="{00000000-0008-0000-0F00-00004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48550" y="495300"/>
            <a:ext cx="2409824" cy="2409824"/>
          </a:xfrm>
          <a:prstGeom prst="rect">
            <a:avLst/>
          </a:prstGeom>
        </xdr:spPr>
      </xdr:pic>
      <xdr:grpSp>
        <xdr:nvGrpSpPr>
          <xdr:cNvPr id="33" name="Grupo 32">
            <a:extLst>
              <a:ext uri="{FF2B5EF4-FFF2-40B4-BE49-F238E27FC236}">
                <a16:creationId xmlns:a16="http://schemas.microsoft.com/office/drawing/2014/main" id="{00000000-0008-0000-0F00-000021000000}"/>
              </a:ext>
            </a:extLst>
          </xdr:cNvPr>
          <xdr:cNvGrpSpPr/>
        </xdr:nvGrpSpPr>
        <xdr:grpSpPr>
          <a:xfrm>
            <a:off x="7077075" y="733424"/>
            <a:ext cx="3143250" cy="1685925"/>
            <a:chOff x="5591175" y="438149"/>
            <a:chExt cx="3143250" cy="1685925"/>
          </a:xfrm>
        </xdr:grpSpPr>
        <xdr:sp macro="" textlink="">
          <xdr:nvSpPr>
            <xdr:cNvPr id="34" name="Rectángulo 33">
              <a:extLst>
                <a:ext uri="{FF2B5EF4-FFF2-40B4-BE49-F238E27FC236}">
                  <a16:creationId xmlns:a16="http://schemas.microsoft.com/office/drawing/2014/main" id="{00000000-0008-0000-0F00-000022000000}"/>
                </a:ext>
              </a:extLst>
            </xdr:cNvPr>
            <xdr:cNvSpPr/>
          </xdr:nvSpPr>
          <xdr:spPr>
            <a:xfrm>
              <a:off x="5591175" y="43814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a:t>
              </a:r>
              <a:r>
                <a:rPr lang="es-ES" sz="2800" b="1" baseline="0">
                  <a:solidFill>
                    <a:schemeClr val="accent6">
                      <a:lumMod val="50000"/>
                    </a:schemeClr>
                  </a:solidFill>
                </a:rPr>
                <a:t> </a:t>
              </a:r>
            </a:p>
            <a:p>
              <a:pPr algn="ctr"/>
              <a:r>
                <a:rPr lang="es-ES" sz="1600" b="1" baseline="0">
                  <a:solidFill>
                    <a:schemeClr val="accent6">
                      <a:lumMod val="50000"/>
                    </a:schemeClr>
                  </a:solidFill>
                </a:rPr>
                <a:t>Electricidad y Autogeneración</a:t>
              </a:r>
              <a:endParaRPr lang="es-ES" sz="1600" b="1">
                <a:solidFill>
                  <a:schemeClr val="accent6">
                    <a:lumMod val="50000"/>
                  </a:schemeClr>
                </a:solidFill>
              </a:endParaRPr>
            </a:p>
          </xdr:txBody>
        </xdr:sp>
        <xdr:pic>
          <xdr:nvPicPr>
            <xdr:cNvPr id="35" name="Gráfico 34" descr="Alta tensión con relleno sólido">
              <a:extLst>
                <a:ext uri="{FF2B5EF4-FFF2-40B4-BE49-F238E27FC236}">
                  <a16:creationId xmlns:a16="http://schemas.microsoft.com/office/drawing/2014/main" id="{00000000-0008-0000-0F00-00002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677025" y="559364"/>
              <a:ext cx="971550" cy="971007"/>
            </a:xfrm>
            <a:prstGeom prst="rect">
              <a:avLst/>
            </a:prstGeom>
          </xdr:spPr>
        </xdr:pic>
      </xdr:grpSp>
    </xdr:grpSp>
    <xdr:clientData/>
  </xdr:twoCellAnchor>
  <xdr:twoCellAnchor>
    <xdr:from>
      <xdr:col>11</xdr:col>
      <xdr:colOff>742950</xdr:colOff>
      <xdr:row>24</xdr:row>
      <xdr:rowOff>171450</xdr:rowOff>
    </xdr:from>
    <xdr:to>
      <xdr:col>16</xdr:col>
      <xdr:colOff>76200</xdr:colOff>
      <xdr:row>37</xdr:row>
      <xdr:rowOff>104774</xdr:rowOff>
    </xdr:to>
    <xdr:grpSp>
      <xdr:nvGrpSpPr>
        <xdr:cNvPr id="7" name="Grupo 6">
          <a:hlinkClick xmlns:r="http://schemas.openxmlformats.org/officeDocument/2006/relationships" r:id="rId11"/>
          <a:extLst>
            <a:ext uri="{FF2B5EF4-FFF2-40B4-BE49-F238E27FC236}">
              <a16:creationId xmlns:a16="http://schemas.microsoft.com/office/drawing/2014/main" id="{00000000-0008-0000-0F00-000007000000}"/>
            </a:ext>
          </a:extLst>
        </xdr:cNvPr>
        <xdr:cNvGrpSpPr/>
      </xdr:nvGrpSpPr>
      <xdr:grpSpPr>
        <a:xfrm>
          <a:off x="10779919" y="4743450"/>
          <a:ext cx="3143250" cy="2409824"/>
          <a:chOff x="10782300" y="4743450"/>
          <a:chExt cx="3143250" cy="2409824"/>
        </a:xfrm>
      </xdr:grpSpPr>
      <xdr:pic>
        <xdr:nvPicPr>
          <xdr:cNvPr id="64" name="Gráfico 63" descr="Gráfico de barras con relleno sólido">
            <a:extLst>
              <a:ext uri="{FF2B5EF4-FFF2-40B4-BE49-F238E27FC236}">
                <a16:creationId xmlns:a16="http://schemas.microsoft.com/office/drawing/2014/main" id="{00000000-0008-0000-0F00-00004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25200" y="4743450"/>
            <a:ext cx="2409824" cy="2409824"/>
          </a:xfrm>
          <a:prstGeom prst="rect">
            <a:avLst/>
          </a:prstGeom>
        </xdr:spPr>
      </xdr:pic>
      <xdr:grpSp>
        <xdr:nvGrpSpPr>
          <xdr:cNvPr id="39" name="Grupo 38">
            <a:extLst>
              <a:ext uri="{FF2B5EF4-FFF2-40B4-BE49-F238E27FC236}">
                <a16:creationId xmlns:a16="http://schemas.microsoft.com/office/drawing/2014/main" id="{00000000-0008-0000-0F00-000027000000}"/>
              </a:ext>
            </a:extLst>
          </xdr:cNvPr>
          <xdr:cNvGrpSpPr/>
        </xdr:nvGrpSpPr>
        <xdr:grpSpPr>
          <a:xfrm>
            <a:off x="10782300" y="5072062"/>
            <a:ext cx="3143250" cy="1685925"/>
            <a:chOff x="9296400" y="4776787"/>
            <a:chExt cx="3143250" cy="1685925"/>
          </a:xfrm>
        </xdr:grpSpPr>
        <xdr:sp macro="" textlink="">
          <xdr:nvSpPr>
            <xdr:cNvPr id="40" name="Rectángulo 39">
              <a:extLst>
                <a:ext uri="{FF2B5EF4-FFF2-40B4-BE49-F238E27FC236}">
                  <a16:creationId xmlns:a16="http://schemas.microsoft.com/office/drawing/2014/main" id="{00000000-0008-0000-0F00-000028000000}"/>
                </a:ext>
              </a:extLst>
            </xdr:cNvPr>
            <xdr:cNvSpPr/>
          </xdr:nvSpPr>
          <xdr:spPr>
            <a:xfrm>
              <a:off x="9296400"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BOSQUES</a:t>
              </a:r>
            </a:p>
          </xdr:txBody>
        </xdr:sp>
        <xdr:pic>
          <xdr:nvPicPr>
            <xdr:cNvPr id="41" name="Gráfico 40" descr="Selva tropical con relleno sólido">
              <a:extLst>
                <a:ext uri="{FF2B5EF4-FFF2-40B4-BE49-F238E27FC236}">
                  <a16:creationId xmlns:a16="http://schemas.microsoft.com/office/drawing/2014/main" id="{00000000-0008-0000-0F00-00002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296525" y="4902383"/>
              <a:ext cx="1162050" cy="1158829"/>
            </a:xfrm>
            <a:prstGeom prst="rect">
              <a:avLst/>
            </a:prstGeom>
          </xdr:spPr>
        </xdr:pic>
      </xdr:grpSp>
    </xdr:grpSp>
    <xdr:clientData/>
  </xdr:twoCellAnchor>
  <xdr:twoCellAnchor>
    <xdr:from>
      <xdr:col>2</xdr:col>
      <xdr:colOff>190500</xdr:colOff>
      <xdr:row>24</xdr:row>
      <xdr:rowOff>180975</xdr:rowOff>
    </xdr:from>
    <xdr:to>
      <xdr:col>6</xdr:col>
      <xdr:colOff>285750</xdr:colOff>
      <xdr:row>37</xdr:row>
      <xdr:rowOff>114299</xdr:rowOff>
    </xdr:to>
    <xdr:grpSp>
      <xdr:nvGrpSpPr>
        <xdr:cNvPr id="5" name="Grupo 4">
          <a:hlinkClick xmlns:r="http://schemas.openxmlformats.org/officeDocument/2006/relationships" r:id="rId14"/>
          <a:extLst>
            <a:ext uri="{FF2B5EF4-FFF2-40B4-BE49-F238E27FC236}">
              <a16:creationId xmlns:a16="http://schemas.microsoft.com/office/drawing/2014/main" id="{00000000-0008-0000-0F00-000005000000}"/>
            </a:ext>
          </a:extLst>
        </xdr:cNvPr>
        <xdr:cNvGrpSpPr/>
      </xdr:nvGrpSpPr>
      <xdr:grpSpPr>
        <a:xfrm>
          <a:off x="3619500" y="4752975"/>
          <a:ext cx="2893219" cy="2409824"/>
          <a:chOff x="3619500" y="4752975"/>
          <a:chExt cx="2895600" cy="2409824"/>
        </a:xfrm>
      </xdr:grpSpPr>
      <xdr:pic>
        <xdr:nvPicPr>
          <xdr:cNvPr id="70" name="Gráfico 69" descr="Gráfico de barras con relleno sólido">
            <a:extLst>
              <a:ext uri="{FF2B5EF4-FFF2-40B4-BE49-F238E27FC236}">
                <a16:creationId xmlns:a16="http://schemas.microsoft.com/office/drawing/2014/main" id="{00000000-0008-0000-0F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943350" y="4752975"/>
            <a:ext cx="2228849" cy="2409824"/>
          </a:xfrm>
          <a:prstGeom prst="rect">
            <a:avLst/>
          </a:prstGeom>
        </xdr:spPr>
      </xdr:pic>
      <xdr:grpSp>
        <xdr:nvGrpSpPr>
          <xdr:cNvPr id="42" name="Grupo 41">
            <a:extLst>
              <a:ext uri="{FF2B5EF4-FFF2-40B4-BE49-F238E27FC236}">
                <a16:creationId xmlns:a16="http://schemas.microsoft.com/office/drawing/2014/main" id="{00000000-0008-0000-0F00-00002A000000}"/>
              </a:ext>
            </a:extLst>
          </xdr:cNvPr>
          <xdr:cNvGrpSpPr/>
        </xdr:nvGrpSpPr>
        <xdr:grpSpPr>
          <a:xfrm>
            <a:off x="3619500" y="5072062"/>
            <a:ext cx="2895600" cy="1685925"/>
            <a:chOff x="1885950" y="4776787"/>
            <a:chExt cx="3143250" cy="1685925"/>
          </a:xfrm>
        </xdr:grpSpPr>
        <xdr:sp macro="" textlink="">
          <xdr:nvSpPr>
            <xdr:cNvPr id="43" name="Rectángulo 42">
              <a:extLst>
                <a:ext uri="{FF2B5EF4-FFF2-40B4-BE49-F238E27FC236}">
                  <a16:creationId xmlns:a16="http://schemas.microsoft.com/office/drawing/2014/main" id="{00000000-0008-0000-0F00-00002B000000}"/>
                </a:ext>
              </a:extLst>
            </xdr:cNvPr>
            <xdr:cNvSpPr/>
          </xdr:nvSpPr>
          <xdr:spPr>
            <a:xfrm>
              <a:off x="1885950"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AGRICULTURA</a:t>
              </a:r>
            </a:p>
          </xdr:txBody>
        </xdr:sp>
        <xdr:pic>
          <xdr:nvPicPr>
            <xdr:cNvPr id="44" name="Gráfico 43" descr="Cultivos con relleno sólido">
              <a:extLst>
                <a:ext uri="{FF2B5EF4-FFF2-40B4-BE49-F238E27FC236}">
                  <a16:creationId xmlns:a16="http://schemas.microsoft.com/office/drawing/2014/main" id="{00000000-0008-0000-0F00-00002C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876550" y="4889509"/>
              <a:ext cx="1162050" cy="1171706"/>
            </a:xfrm>
            <a:prstGeom prst="rect">
              <a:avLst/>
            </a:prstGeom>
          </xdr:spPr>
        </xdr:pic>
      </xdr:grpSp>
    </xdr:grpSp>
    <xdr:clientData/>
  </xdr:twoCellAnchor>
  <xdr:twoCellAnchor>
    <xdr:from>
      <xdr:col>2</xdr:col>
      <xdr:colOff>190500</xdr:colOff>
      <xdr:row>13</xdr:row>
      <xdr:rowOff>142875</xdr:rowOff>
    </xdr:from>
    <xdr:to>
      <xdr:col>6</xdr:col>
      <xdr:colOff>285750</xdr:colOff>
      <xdr:row>26</xdr:row>
      <xdr:rowOff>76199</xdr:rowOff>
    </xdr:to>
    <xdr:grpSp>
      <xdr:nvGrpSpPr>
        <xdr:cNvPr id="75" name="Grupo 74">
          <a:hlinkClick xmlns:r="http://schemas.openxmlformats.org/officeDocument/2006/relationships" r:id="rId17"/>
          <a:extLst>
            <a:ext uri="{FF2B5EF4-FFF2-40B4-BE49-F238E27FC236}">
              <a16:creationId xmlns:a16="http://schemas.microsoft.com/office/drawing/2014/main" id="{00000000-0008-0000-0F00-00004B000000}"/>
            </a:ext>
          </a:extLst>
        </xdr:cNvPr>
        <xdr:cNvGrpSpPr/>
      </xdr:nvGrpSpPr>
      <xdr:grpSpPr>
        <a:xfrm>
          <a:off x="3619500" y="2619375"/>
          <a:ext cx="2893219" cy="2409824"/>
          <a:chOff x="1885950" y="2619375"/>
          <a:chExt cx="3143250" cy="2409824"/>
        </a:xfrm>
      </xdr:grpSpPr>
      <xdr:pic>
        <xdr:nvPicPr>
          <xdr:cNvPr id="69" name="Gráfico 68" descr="Gráfico de barras con relleno sólido">
            <a:extLst>
              <a:ext uri="{FF2B5EF4-FFF2-40B4-BE49-F238E27FC236}">
                <a16:creationId xmlns:a16="http://schemas.microsoft.com/office/drawing/2014/main" id="{00000000-0008-0000-0F00-00004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266950" y="2619375"/>
            <a:ext cx="2409824" cy="2409824"/>
          </a:xfrm>
          <a:prstGeom prst="rect">
            <a:avLst/>
          </a:prstGeom>
        </xdr:spPr>
      </xdr:pic>
      <xdr:grpSp>
        <xdr:nvGrpSpPr>
          <xdr:cNvPr id="45" name="Grupo 44">
            <a:extLst>
              <a:ext uri="{FF2B5EF4-FFF2-40B4-BE49-F238E27FC236}">
                <a16:creationId xmlns:a16="http://schemas.microsoft.com/office/drawing/2014/main" id="{00000000-0008-0000-0F00-00002D000000}"/>
              </a:ext>
            </a:extLst>
          </xdr:cNvPr>
          <xdr:cNvGrpSpPr/>
        </xdr:nvGrpSpPr>
        <xdr:grpSpPr>
          <a:xfrm>
            <a:off x="1885950" y="2902743"/>
            <a:ext cx="3143250" cy="1685925"/>
            <a:chOff x="1885950" y="2607468"/>
            <a:chExt cx="3143250" cy="1685925"/>
          </a:xfrm>
        </xdr:grpSpPr>
        <xdr:sp macro="" textlink="">
          <xdr:nvSpPr>
            <xdr:cNvPr id="46" name="Rectángulo 45">
              <a:extLst>
                <a:ext uri="{FF2B5EF4-FFF2-40B4-BE49-F238E27FC236}">
                  <a16:creationId xmlns:a16="http://schemas.microsoft.com/office/drawing/2014/main" id="{00000000-0008-0000-0F00-00002E000000}"/>
                </a:ext>
              </a:extLst>
            </xdr:cNvPr>
            <xdr:cNvSpPr/>
          </xdr:nvSpPr>
          <xdr:spPr>
            <a:xfrm>
              <a:off x="1885950" y="2607468"/>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RESIDUOS</a:t>
              </a:r>
            </a:p>
          </xdr:txBody>
        </xdr:sp>
        <xdr:pic>
          <xdr:nvPicPr>
            <xdr:cNvPr id="47" name="Gráfico 46" descr="Basura con relleno sólido">
              <a:extLst>
                <a:ext uri="{FF2B5EF4-FFF2-40B4-BE49-F238E27FC236}">
                  <a16:creationId xmlns:a16="http://schemas.microsoft.com/office/drawing/2014/main" id="{00000000-0008-0000-0F00-00002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962274" y="2789253"/>
              <a:ext cx="1019176" cy="971189"/>
            </a:xfrm>
            <a:prstGeom prst="rect">
              <a:avLst/>
            </a:prstGeom>
          </xdr:spPr>
        </xdr:pic>
      </xdr:grpSp>
    </xdr:grpSp>
    <xdr:clientData/>
  </xdr:twoCellAnchor>
  <xdr:twoCellAnchor>
    <xdr:from>
      <xdr:col>7</xdr:col>
      <xdr:colOff>85725</xdr:colOff>
      <xdr:row>13</xdr:row>
      <xdr:rowOff>114300</xdr:rowOff>
    </xdr:from>
    <xdr:to>
      <xdr:col>11</xdr:col>
      <xdr:colOff>180975</xdr:colOff>
      <xdr:row>26</xdr:row>
      <xdr:rowOff>9524</xdr:rowOff>
    </xdr:to>
    <xdr:grpSp>
      <xdr:nvGrpSpPr>
        <xdr:cNvPr id="9" name="Grupo 8">
          <a:hlinkClick xmlns:r="http://schemas.openxmlformats.org/officeDocument/2006/relationships" r:id="rId20"/>
          <a:extLst>
            <a:ext uri="{FF2B5EF4-FFF2-40B4-BE49-F238E27FC236}">
              <a16:creationId xmlns:a16="http://schemas.microsoft.com/office/drawing/2014/main" id="{00000000-0008-0000-0F00-000009000000}"/>
            </a:ext>
          </a:extLst>
        </xdr:cNvPr>
        <xdr:cNvGrpSpPr/>
      </xdr:nvGrpSpPr>
      <xdr:grpSpPr>
        <a:xfrm>
          <a:off x="7074694" y="2590800"/>
          <a:ext cx="3143250" cy="2371724"/>
          <a:chOff x="7077075" y="2590800"/>
          <a:chExt cx="3143250" cy="2371724"/>
        </a:xfrm>
      </xdr:grpSpPr>
      <xdr:pic>
        <xdr:nvPicPr>
          <xdr:cNvPr id="66" name="Gráfico 65" descr="Gráfico de barras con relleno sólido">
            <a:extLst>
              <a:ext uri="{FF2B5EF4-FFF2-40B4-BE49-F238E27FC236}">
                <a16:creationId xmlns:a16="http://schemas.microsoft.com/office/drawing/2014/main" id="{00000000-0008-0000-0F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10450" y="2590800"/>
            <a:ext cx="2409824" cy="2371724"/>
          </a:xfrm>
          <a:prstGeom prst="rect">
            <a:avLst/>
          </a:prstGeom>
        </xdr:spPr>
      </xdr:pic>
      <xdr:grpSp>
        <xdr:nvGrpSpPr>
          <xdr:cNvPr id="48" name="Grupo 47">
            <a:extLst>
              <a:ext uri="{FF2B5EF4-FFF2-40B4-BE49-F238E27FC236}">
                <a16:creationId xmlns:a16="http://schemas.microsoft.com/office/drawing/2014/main" id="{00000000-0008-0000-0F00-000030000000}"/>
              </a:ext>
            </a:extLst>
          </xdr:cNvPr>
          <xdr:cNvGrpSpPr/>
        </xdr:nvGrpSpPr>
        <xdr:grpSpPr>
          <a:xfrm>
            <a:off x="7077075" y="2902743"/>
            <a:ext cx="3143250" cy="1685925"/>
            <a:chOff x="5591175" y="2607468"/>
            <a:chExt cx="3143250" cy="1685925"/>
          </a:xfrm>
        </xdr:grpSpPr>
        <xdr:sp macro="" textlink="">
          <xdr:nvSpPr>
            <xdr:cNvPr id="49" name="Rectángulo 48">
              <a:extLst>
                <a:ext uri="{FF2B5EF4-FFF2-40B4-BE49-F238E27FC236}">
                  <a16:creationId xmlns:a16="http://schemas.microsoft.com/office/drawing/2014/main" id="{00000000-0008-0000-0F00-000031000000}"/>
                </a:ext>
              </a:extLst>
            </xdr:cNvPr>
            <xdr:cNvSpPr/>
          </xdr:nvSpPr>
          <xdr:spPr>
            <a:xfrm>
              <a:off x="5591175" y="2607468"/>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EDIFICACIONES</a:t>
              </a:r>
            </a:p>
          </xdr:txBody>
        </xdr:sp>
        <xdr:pic>
          <xdr:nvPicPr>
            <xdr:cNvPr id="50" name="Gráfico 49" descr="Escena suburbana con relleno sólido">
              <a:extLst>
                <a:ext uri="{FF2B5EF4-FFF2-40B4-BE49-F238E27FC236}">
                  <a16:creationId xmlns:a16="http://schemas.microsoft.com/office/drawing/2014/main" id="{00000000-0008-0000-0F00-00003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6505575" y="2682457"/>
              <a:ext cx="1162050" cy="1152391"/>
            </a:xfrm>
            <a:prstGeom prst="rect">
              <a:avLst/>
            </a:prstGeom>
          </xdr:spPr>
        </xdr:pic>
      </xdr:grpSp>
    </xdr:grpSp>
    <xdr:clientData/>
  </xdr:twoCellAnchor>
  <xdr:twoCellAnchor>
    <xdr:from>
      <xdr:col>11</xdr:col>
      <xdr:colOff>742950</xdr:colOff>
      <xdr:row>13</xdr:row>
      <xdr:rowOff>66675</xdr:rowOff>
    </xdr:from>
    <xdr:to>
      <xdr:col>16</xdr:col>
      <xdr:colOff>76200</xdr:colOff>
      <xdr:row>25</xdr:row>
      <xdr:rowOff>190499</xdr:rowOff>
    </xdr:to>
    <xdr:grpSp>
      <xdr:nvGrpSpPr>
        <xdr:cNvPr id="4" name="Grupo 3">
          <a:hlinkClick xmlns:r="http://schemas.openxmlformats.org/officeDocument/2006/relationships" r:id="rId23"/>
          <a:extLst>
            <a:ext uri="{FF2B5EF4-FFF2-40B4-BE49-F238E27FC236}">
              <a16:creationId xmlns:a16="http://schemas.microsoft.com/office/drawing/2014/main" id="{00000000-0008-0000-0F00-000004000000}"/>
            </a:ext>
          </a:extLst>
        </xdr:cNvPr>
        <xdr:cNvGrpSpPr/>
      </xdr:nvGrpSpPr>
      <xdr:grpSpPr>
        <a:xfrm>
          <a:off x="10779919" y="2543175"/>
          <a:ext cx="3143250" cy="2409824"/>
          <a:chOff x="10782300" y="2543175"/>
          <a:chExt cx="3143250" cy="2409824"/>
        </a:xfrm>
      </xdr:grpSpPr>
      <xdr:pic>
        <xdr:nvPicPr>
          <xdr:cNvPr id="63" name="Gráfico 62" descr="Gráfico de barras con relleno sólido">
            <a:extLst>
              <a:ext uri="{FF2B5EF4-FFF2-40B4-BE49-F238E27FC236}">
                <a16:creationId xmlns:a16="http://schemas.microsoft.com/office/drawing/2014/main" id="{00000000-0008-0000-0F00-00003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44250" y="2543175"/>
            <a:ext cx="2409824" cy="2409824"/>
          </a:xfrm>
          <a:prstGeom prst="rect">
            <a:avLst/>
          </a:prstGeom>
        </xdr:spPr>
      </xdr:pic>
      <xdr:sp macro="" textlink="">
        <xdr:nvSpPr>
          <xdr:cNvPr id="52" name="Rectángulo 51">
            <a:extLst>
              <a:ext uri="{FF2B5EF4-FFF2-40B4-BE49-F238E27FC236}">
                <a16:creationId xmlns:a16="http://schemas.microsoft.com/office/drawing/2014/main" id="{00000000-0008-0000-0F00-000034000000}"/>
              </a:ext>
            </a:extLst>
          </xdr:cNvPr>
          <xdr:cNvSpPr/>
        </xdr:nvSpPr>
        <xdr:spPr>
          <a:xfrm>
            <a:off x="10782300" y="2902743"/>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0F00-000035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1649075" y="2827530"/>
            <a:ext cx="1304925" cy="1322058"/>
          </a:xfrm>
          <a:prstGeom prst="rect">
            <a:avLst/>
          </a:prstGeom>
        </xdr:spPr>
      </xdr:pic>
    </xdr:grpSp>
    <xdr:clientData/>
  </xdr:twoCellAnchor>
  <xdr:twoCellAnchor>
    <xdr:from>
      <xdr:col>7</xdr:col>
      <xdr:colOff>85725</xdr:colOff>
      <xdr:row>25</xdr:row>
      <xdr:rowOff>9525</xdr:rowOff>
    </xdr:from>
    <xdr:to>
      <xdr:col>11</xdr:col>
      <xdr:colOff>180975</xdr:colOff>
      <xdr:row>37</xdr:row>
      <xdr:rowOff>133349</xdr:rowOff>
    </xdr:to>
    <xdr:grpSp>
      <xdr:nvGrpSpPr>
        <xdr:cNvPr id="6" name="Grupo 5">
          <a:hlinkClick xmlns:r="http://schemas.openxmlformats.org/officeDocument/2006/relationships" r:id="rId26"/>
          <a:extLst>
            <a:ext uri="{FF2B5EF4-FFF2-40B4-BE49-F238E27FC236}">
              <a16:creationId xmlns:a16="http://schemas.microsoft.com/office/drawing/2014/main" id="{00000000-0008-0000-0F00-000006000000}"/>
            </a:ext>
          </a:extLst>
        </xdr:cNvPr>
        <xdr:cNvGrpSpPr/>
      </xdr:nvGrpSpPr>
      <xdr:grpSpPr>
        <a:xfrm>
          <a:off x="7074694" y="4772025"/>
          <a:ext cx="3143250" cy="2409824"/>
          <a:chOff x="7077075" y="4772025"/>
          <a:chExt cx="3143250" cy="2409824"/>
        </a:xfrm>
      </xdr:grpSpPr>
      <xdr:pic>
        <xdr:nvPicPr>
          <xdr:cNvPr id="67" name="Gráfico 66" descr="Gráfico de barras con relleno sólido">
            <a:extLst>
              <a:ext uri="{FF2B5EF4-FFF2-40B4-BE49-F238E27FC236}">
                <a16:creationId xmlns:a16="http://schemas.microsoft.com/office/drawing/2014/main" id="{00000000-0008-0000-0F00-00004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00925" y="4772025"/>
            <a:ext cx="2409824" cy="2409824"/>
          </a:xfrm>
          <a:prstGeom prst="rect">
            <a:avLst/>
          </a:prstGeom>
        </xdr:spPr>
      </xdr:pic>
      <xdr:grpSp>
        <xdr:nvGrpSpPr>
          <xdr:cNvPr id="54" name="Grupo 53">
            <a:extLst>
              <a:ext uri="{FF2B5EF4-FFF2-40B4-BE49-F238E27FC236}">
                <a16:creationId xmlns:a16="http://schemas.microsoft.com/office/drawing/2014/main" id="{00000000-0008-0000-0F00-000036000000}"/>
              </a:ext>
            </a:extLst>
          </xdr:cNvPr>
          <xdr:cNvGrpSpPr/>
        </xdr:nvGrpSpPr>
        <xdr:grpSpPr>
          <a:xfrm>
            <a:off x="7077075" y="5072062"/>
            <a:ext cx="3143250" cy="1685925"/>
            <a:chOff x="5591175" y="4776787"/>
            <a:chExt cx="3143250" cy="1685925"/>
          </a:xfrm>
        </xdr:grpSpPr>
        <xdr:sp macro="" textlink="">
          <xdr:nvSpPr>
            <xdr:cNvPr id="55" name="Rectángulo 54">
              <a:extLst>
                <a:ext uri="{FF2B5EF4-FFF2-40B4-BE49-F238E27FC236}">
                  <a16:creationId xmlns:a16="http://schemas.microsoft.com/office/drawing/2014/main" id="{00000000-0008-0000-0F00-000037000000}"/>
                </a:ext>
              </a:extLst>
            </xdr:cNvPr>
            <xdr:cNvSpPr/>
          </xdr:nvSpPr>
          <xdr:spPr>
            <a:xfrm>
              <a:off x="5591175"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GANADERÍA</a:t>
              </a:r>
            </a:p>
          </xdr:txBody>
        </xdr:sp>
        <xdr:pic>
          <xdr:nvPicPr>
            <xdr:cNvPr id="56" name="Gráfico 55" descr="Vaca con relleno sólido">
              <a:extLst>
                <a:ext uri="{FF2B5EF4-FFF2-40B4-BE49-F238E27FC236}">
                  <a16:creationId xmlns:a16="http://schemas.microsoft.com/office/drawing/2014/main" id="{00000000-0008-0000-0F00-000038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6648450" y="4936921"/>
              <a:ext cx="1238250" cy="1234536"/>
            </a:xfrm>
            <a:prstGeom prst="rect">
              <a:avLst/>
            </a:prstGeom>
          </xdr:spPr>
        </xdr:pic>
      </xdr:grpSp>
    </xdr:grpSp>
    <xdr:clientData/>
  </xdr:twoCellAnchor>
  <xdr:twoCellAnchor>
    <xdr:from>
      <xdr:col>5</xdr:col>
      <xdr:colOff>466725</xdr:colOff>
      <xdr:row>0</xdr:row>
      <xdr:rowOff>66675</xdr:rowOff>
    </xdr:from>
    <xdr:to>
      <xdr:col>13</xdr:col>
      <xdr:colOff>152400</xdr:colOff>
      <xdr:row>3</xdr:row>
      <xdr:rowOff>57150</xdr:rowOff>
    </xdr:to>
    <xdr:sp macro="" textlink="">
      <xdr:nvSpPr>
        <xdr:cNvPr id="57" name="Rectángulo: esquinas redondeadas 56">
          <a:extLst>
            <a:ext uri="{FF2B5EF4-FFF2-40B4-BE49-F238E27FC236}">
              <a16:creationId xmlns:a16="http://schemas.microsoft.com/office/drawing/2014/main" id="{00000000-0008-0000-0F00-000039000000}"/>
            </a:ext>
          </a:extLst>
        </xdr:cNvPr>
        <xdr:cNvSpPr/>
      </xdr:nvSpPr>
      <xdr:spPr>
        <a:xfrm>
          <a:off x="4448175" y="6667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RESULTADOS</a:t>
          </a:r>
          <a:r>
            <a:rPr lang="es-ES" sz="2800" b="1" baseline="0"/>
            <a:t> POR SECTOR</a:t>
          </a:r>
          <a:endParaRPr lang="es-ES" sz="2800" b="1"/>
        </a:p>
      </xdr:txBody>
    </xdr:sp>
    <xdr:clientData/>
  </xdr:twoCellAnchor>
  <xdr:twoCellAnchor>
    <xdr:from>
      <xdr:col>12</xdr:col>
      <xdr:colOff>38100</xdr:colOff>
      <xdr:row>2</xdr:row>
      <xdr:rowOff>9527</xdr:rowOff>
    </xdr:from>
    <xdr:to>
      <xdr:col>16</xdr:col>
      <xdr:colOff>133350</xdr:colOff>
      <xdr:row>14</xdr:row>
      <xdr:rowOff>133351</xdr:rowOff>
    </xdr:to>
    <xdr:grpSp>
      <xdr:nvGrpSpPr>
        <xdr:cNvPr id="3" name="Grupo 2">
          <a:hlinkClick xmlns:r="http://schemas.openxmlformats.org/officeDocument/2006/relationships" r:id="rId29"/>
          <a:extLst>
            <a:ext uri="{FF2B5EF4-FFF2-40B4-BE49-F238E27FC236}">
              <a16:creationId xmlns:a16="http://schemas.microsoft.com/office/drawing/2014/main" id="{00000000-0008-0000-0F00-000003000000}"/>
            </a:ext>
          </a:extLst>
        </xdr:cNvPr>
        <xdr:cNvGrpSpPr/>
      </xdr:nvGrpSpPr>
      <xdr:grpSpPr>
        <a:xfrm>
          <a:off x="10837069" y="390527"/>
          <a:ext cx="3143250" cy="2409824"/>
          <a:chOff x="10839450" y="390527"/>
          <a:chExt cx="3143250" cy="2409824"/>
        </a:xfrm>
      </xdr:grpSpPr>
      <xdr:pic>
        <xdr:nvPicPr>
          <xdr:cNvPr id="61" name="Gráfico 60" descr="Gráfico de barras con relleno sólido">
            <a:extLst>
              <a:ext uri="{FF2B5EF4-FFF2-40B4-BE49-F238E27FC236}">
                <a16:creationId xmlns:a16="http://schemas.microsoft.com/office/drawing/2014/main" id="{00000000-0008-0000-0F00-00003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44251" y="390527"/>
            <a:ext cx="2409824" cy="2409824"/>
          </a:xfrm>
          <a:prstGeom prst="rect">
            <a:avLst/>
          </a:prstGeom>
        </xdr:spPr>
      </xdr:pic>
      <xdr:grpSp>
        <xdr:nvGrpSpPr>
          <xdr:cNvPr id="36" name="Grupo 35">
            <a:extLst>
              <a:ext uri="{FF2B5EF4-FFF2-40B4-BE49-F238E27FC236}">
                <a16:creationId xmlns:a16="http://schemas.microsoft.com/office/drawing/2014/main" id="{00000000-0008-0000-0F00-000024000000}"/>
              </a:ext>
            </a:extLst>
          </xdr:cNvPr>
          <xdr:cNvGrpSpPr/>
        </xdr:nvGrpSpPr>
        <xdr:grpSpPr>
          <a:xfrm>
            <a:off x="10839450" y="714374"/>
            <a:ext cx="3143250" cy="1685925"/>
            <a:chOff x="9353550" y="419099"/>
            <a:chExt cx="3143250" cy="1685925"/>
          </a:xfrm>
        </xdr:grpSpPr>
        <xdr:sp macro="" textlink="">
          <xdr:nvSpPr>
            <xdr:cNvPr id="37" name="Rectángulo 36">
              <a:extLst>
                <a:ext uri="{FF2B5EF4-FFF2-40B4-BE49-F238E27FC236}">
                  <a16:creationId xmlns:a16="http://schemas.microsoft.com/office/drawing/2014/main" id="{00000000-0008-0000-0F00-000025000000}"/>
                </a:ext>
              </a:extLst>
            </xdr:cNvPr>
            <xdr:cNvSpPr/>
          </xdr:nvSpPr>
          <xdr:spPr>
            <a:xfrm>
              <a:off x="9353550" y="41909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INDUSTRIA</a:t>
              </a:r>
            </a:p>
          </xdr:txBody>
        </xdr:sp>
        <xdr:pic>
          <xdr:nvPicPr>
            <xdr:cNvPr id="38" name="Gráfico 37" descr="Producción con relleno sólido">
              <a:extLst>
                <a:ext uri="{FF2B5EF4-FFF2-40B4-BE49-F238E27FC236}">
                  <a16:creationId xmlns:a16="http://schemas.microsoft.com/office/drawing/2014/main" id="{00000000-0008-0000-0F00-000026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0344150" y="682888"/>
              <a:ext cx="1143000" cy="1021842"/>
            </a:xfrm>
            <a:prstGeom prst="rect">
              <a:avLst/>
            </a:prstGeom>
          </xdr:spPr>
        </xdr:pic>
      </xdr:grpSp>
    </xdr:grpSp>
    <xdr:clientData/>
  </xdr:twoCellAnchor>
  <xdr:twoCellAnchor>
    <xdr:from>
      <xdr:col>1</xdr:col>
      <xdr:colOff>0</xdr:colOff>
      <xdr:row>1</xdr:row>
      <xdr:rowOff>0</xdr:rowOff>
    </xdr:from>
    <xdr:to>
      <xdr:col>1</xdr:col>
      <xdr:colOff>2009778</xdr:colOff>
      <xdr:row>8</xdr:row>
      <xdr:rowOff>35082</xdr:rowOff>
    </xdr:to>
    <xdr:grpSp>
      <xdr:nvGrpSpPr>
        <xdr:cNvPr id="142" name="Grupo 141">
          <a:extLst>
            <a:ext uri="{FF2B5EF4-FFF2-40B4-BE49-F238E27FC236}">
              <a16:creationId xmlns:a16="http://schemas.microsoft.com/office/drawing/2014/main" id="{00000000-0008-0000-0F00-00008E000000}"/>
            </a:ext>
          </a:extLst>
        </xdr:cNvPr>
        <xdr:cNvGrpSpPr/>
      </xdr:nvGrpSpPr>
      <xdr:grpSpPr>
        <a:xfrm>
          <a:off x="1381125" y="190500"/>
          <a:ext cx="2009778" cy="1368582"/>
          <a:chOff x="1257299" y="33960"/>
          <a:chExt cx="2009778" cy="1582925"/>
        </a:xfrm>
      </xdr:grpSpPr>
      <xdr:sp macro="" textlink="">
        <xdr:nvSpPr>
          <xdr:cNvPr id="143" name="Rectángulo: esquinas superiores redondeadas 142">
            <a:extLst>
              <a:ext uri="{FF2B5EF4-FFF2-40B4-BE49-F238E27FC236}">
                <a16:creationId xmlns:a16="http://schemas.microsoft.com/office/drawing/2014/main" id="{00000000-0008-0000-0F00-00008F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Tipo de resultado</a:t>
            </a:r>
          </a:p>
        </xdr:txBody>
      </xdr:sp>
      <xdr:sp macro="" textlink="">
        <xdr:nvSpPr>
          <xdr:cNvPr id="144" name="Rectángulo 143">
            <a:hlinkClick xmlns:r="http://schemas.openxmlformats.org/officeDocument/2006/relationships" r:id="rId32"/>
            <a:extLst>
              <a:ext uri="{FF2B5EF4-FFF2-40B4-BE49-F238E27FC236}">
                <a16:creationId xmlns:a16="http://schemas.microsoft.com/office/drawing/2014/main" id="{00000000-0008-0000-0F00-00009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RESULTADOS GENERALES</a:t>
            </a:r>
          </a:p>
        </xdr:txBody>
      </xdr:sp>
      <xdr:sp macro="" textlink="">
        <xdr:nvSpPr>
          <xdr:cNvPr id="145" name="Rectángulo 144">
            <a:hlinkClick xmlns:r="http://schemas.openxmlformats.org/officeDocument/2006/relationships" r:id="rId33"/>
            <a:extLst>
              <a:ext uri="{FF2B5EF4-FFF2-40B4-BE49-F238E27FC236}">
                <a16:creationId xmlns:a16="http://schemas.microsoft.com/office/drawing/2014/main" id="{00000000-0008-0000-0F00-000091000000}"/>
              </a:ext>
            </a:extLst>
          </xdr:cNvPr>
          <xdr:cNvSpPr/>
        </xdr:nvSpPr>
        <xdr:spPr>
          <a:xfrm>
            <a:off x="1323975" y="1107072"/>
            <a:ext cx="1876426" cy="50981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RESULTADOS</a:t>
            </a:r>
            <a:r>
              <a:rPr lang="es-ES" sz="1000" b="1" baseline="0">
                <a:solidFill>
                  <a:schemeClr val="accent6">
                    <a:lumMod val="50000"/>
                  </a:schemeClr>
                </a:solidFill>
              </a:rPr>
              <a:t> SECTORIALES</a:t>
            </a:r>
            <a:endParaRPr lang="es-ES" sz="1000" b="1">
              <a:solidFill>
                <a:schemeClr val="accent6">
                  <a:lumMod val="50000"/>
                </a:schemeClr>
              </a:solidFill>
            </a:endParaRP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87" name="Grupo 86">
          <a:hlinkClick xmlns:r="http://schemas.openxmlformats.org/officeDocument/2006/relationships" r:id="rId34"/>
          <a:extLst>
            <a:ext uri="{FF2B5EF4-FFF2-40B4-BE49-F238E27FC236}">
              <a16:creationId xmlns:a16="http://schemas.microsoft.com/office/drawing/2014/main" id="{00000000-0008-0000-0F00-000057000000}"/>
            </a:ext>
          </a:extLst>
        </xdr:cNvPr>
        <xdr:cNvGrpSpPr/>
      </xdr:nvGrpSpPr>
      <xdr:grpSpPr>
        <a:xfrm>
          <a:off x="0" y="0"/>
          <a:ext cx="1381125" cy="328014"/>
          <a:chOff x="91104" y="65606"/>
          <a:chExt cx="1192701" cy="328014"/>
        </a:xfrm>
      </xdr:grpSpPr>
      <xdr:sp macro="" textlink="">
        <xdr:nvSpPr>
          <xdr:cNvPr id="88" name="Rectángulo 87">
            <a:extLst>
              <a:ext uri="{FF2B5EF4-FFF2-40B4-BE49-F238E27FC236}">
                <a16:creationId xmlns:a16="http://schemas.microsoft.com/office/drawing/2014/main" id="{00000000-0008-0000-0F00-00005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9" name="Gráfico 88" descr="Hogar con relleno sólido">
            <a:extLst>
              <a:ext uri="{FF2B5EF4-FFF2-40B4-BE49-F238E27FC236}">
                <a16:creationId xmlns:a16="http://schemas.microsoft.com/office/drawing/2014/main" id="{00000000-0008-0000-0F00-000059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90" name="Grupo 89">
          <a:hlinkClick xmlns:r="http://schemas.openxmlformats.org/officeDocument/2006/relationships" r:id="rId37"/>
          <a:extLst>
            <a:ext uri="{FF2B5EF4-FFF2-40B4-BE49-F238E27FC236}">
              <a16:creationId xmlns:a16="http://schemas.microsoft.com/office/drawing/2014/main" id="{00000000-0008-0000-0F00-00005A000000}"/>
            </a:ext>
          </a:extLst>
        </xdr:cNvPr>
        <xdr:cNvGrpSpPr/>
      </xdr:nvGrpSpPr>
      <xdr:grpSpPr>
        <a:xfrm>
          <a:off x="0" y="4710117"/>
          <a:ext cx="1295400" cy="638178"/>
          <a:chOff x="0" y="3671892"/>
          <a:chExt cx="1295400" cy="638178"/>
        </a:xfrm>
      </xdr:grpSpPr>
      <xdr:sp macro="" textlink="">
        <xdr:nvSpPr>
          <xdr:cNvPr id="91" name="Rectángulo: esquinas superiores redondeadas 90">
            <a:extLst>
              <a:ext uri="{FF2B5EF4-FFF2-40B4-BE49-F238E27FC236}">
                <a16:creationId xmlns:a16="http://schemas.microsoft.com/office/drawing/2014/main" id="{00000000-0008-0000-0F00-00005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92" name="Gráfico 91" descr="Información con relleno sólido">
            <a:extLst>
              <a:ext uri="{FF2B5EF4-FFF2-40B4-BE49-F238E27FC236}">
                <a16:creationId xmlns:a16="http://schemas.microsoft.com/office/drawing/2014/main" id="{00000000-0008-0000-0F00-00005C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93" name="Grupo 92">
          <a:hlinkClick xmlns:r="http://schemas.openxmlformats.org/officeDocument/2006/relationships" r:id="rId40"/>
          <a:extLst>
            <a:ext uri="{FF2B5EF4-FFF2-40B4-BE49-F238E27FC236}">
              <a16:creationId xmlns:a16="http://schemas.microsoft.com/office/drawing/2014/main" id="{00000000-0008-0000-0F00-00005D000000}"/>
            </a:ext>
          </a:extLst>
        </xdr:cNvPr>
        <xdr:cNvGrpSpPr/>
      </xdr:nvGrpSpPr>
      <xdr:grpSpPr>
        <a:xfrm>
          <a:off x="0" y="3760792"/>
          <a:ext cx="1446686" cy="638178"/>
          <a:chOff x="0" y="2767017"/>
          <a:chExt cx="1295400" cy="638178"/>
        </a:xfrm>
      </xdr:grpSpPr>
      <xdr:sp macro="" textlink="">
        <xdr:nvSpPr>
          <xdr:cNvPr id="94" name="Rectángulo: esquinas superiores redondeadas 93">
            <a:extLst>
              <a:ext uri="{FF2B5EF4-FFF2-40B4-BE49-F238E27FC236}">
                <a16:creationId xmlns:a16="http://schemas.microsoft.com/office/drawing/2014/main" id="{00000000-0008-0000-0F00-00005E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95" name="Gráfico 94" descr="Gráfico de barras con relleno sólido">
            <a:extLst>
              <a:ext uri="{FF2B5EF4-FFF2-40B4-BE49-F238E27FC236}">
                <a16:creationId xmlns:a16="http://schemas.microsoft.com/office/drawing/2014/main" id="{00000000-0008-0000-0F00-00005F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96" name="Grupo 95">
          <a:hlinkClick xmlns:r="http://schemas.openxmlformats.org/officeDocument/2006/relationships" r:id="rId43"/>
          <a:extLst>
            <a:ext uri="{FF2B5EF4-FFF2-40B4-BE49-F238E27FC236}">
              <a16:creationId xmlns:a16="http://schemas.microsoft.com/office/drawing/2014/main" id="{00000000-0008-0000-0F00-000060000000}"/>
            </a:ext>
          </a:extLst>
        </xdr:cNvPr>
        <xdr:cNvGrpSpPr/>
      </xdr:nvGrpSpPr>
      <xdr:grpSpPr>
        <a:xfrm>
          <a:off x="0" y="2811467"/>
          <a:ext cx="1323975" cy="638178"/>
          <a:chOff x="0" y="1862142"/>
          <a:chExt cx="1323975" cy="638178"/>
        </a:xfrm>
      </xdr:grpSpPr>
      <xdr:sp macro="" textlink="">
        <xdr:nvSpPr>
          <xdr:cNvPr id="97" name="Rectángulo: esquinas superiores redondeadas 96">
            <a:extLst>
              <a:ext uri="{FF2B5EF4-FFF2-40B4-BE49-F238E27FC236}">
                <a16:creationId xmlns:a16="http://schemas.microsoft.com/office/drawing/2014/main" id="{00000000-0008-0000-0F00-000061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98" name="Gráfico 97" descr="Alternar con relleno sólido">
            <a:extLst>
              <a:ext uri="{FF2B5EF4-FFF2-40B4-BE49-F238E27FC236}">
                <a16:creationId xmlns:a16="http://schemas.microsoft.com/office/drawing/2014/main" id="{00000000-0008-0000-0F00-000062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99" name="Grupo 98">
          <a:hlinkClick xmlns:r="http://schemas.openxmlformats.org/officeDocument/2006/relationships" r:id="rId46"/>
          <a:extLst>
            <a:ext uri="{FF2B5EF4-FFF2-40B4-BE49-F238E27FC236}">
              <a16:creationId xmlns:a16="http://schemas.microsoft.com/office/drawing/2014/main" id="{00000000-0008-0000-0F00-000063000000}"/>
            </a:ext>
          </a:extLst>
        </xdr:cNvPr>
        <xdr:cNvGrpSpPr/>
      </xdr:nvGrpSpPr>
      <xdr:grpSpPr>
        <a:xfrm>
          <a:off x="0" y="1862142"/>
          <a:ext cx="1295400" cy="638178"/>
          <a:chOff x="0" y="1862142"/>
          <a:chExt cx="1295400" cy="638178"/>
        </a:xfrm>
      </xdr:grpSpPr>
      <xdr:sp macro="" textlink="">
        <xdr:nvSpPr>
          <xdr:cNvPr id="100" name="Rectángulo: esquinas superiores redondeadas 99">
            <a:extLst>
              <a:ext uri="{FF2B5EF4-FFF2-40B4-BE49-F238E27FC236}">
                <a16:creationId xmlns:a16="http://schemas.microsoft.com/office/drawing/2014/main" id="{00000000-0008-0000-0F00-000064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01" name="Gráfico 100" descr="Lista con relleno sólido">
            <a:extLst>
              <a:ext uri="{FF2B5EF4-FFF2-40B4-BE49-F238E27FC236}">
                <a16:creationId xmlns:a16="http://schemas.microsoft.com/office/drawing/2014/main" id="{00000000-0008-0000-0F00-000065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71" name="Grupo 70">
          <a:hlinkClick xmlns:r="http://schemas.openxmlformats.org/officeDocument/2006/relationships" r:id="rId49"/>
          <a:extLst>
            <a:ext uri="{FF2B5EF4-FFF2-40B4-BE49-F238E27FC236}">
              <a16:creationId xmlns:a16="http://schemas.microsoft.com/office/drawing/2014/main" id="{00000000-0008-0000-0F00-000047000000}"/>
            </a:ext>
          </a:extLst>
        </xdr:cNvPr>
        <xdr:cNvGrpSpPr/>
      </xdr:nvGrpSpPr>
      <xdr:grpSpPr>
        <a:xfrm>
          <a:off x="0" y="6477000"/>
          <a:ext cx="1240383" cy="416889"/>
          <a:chOff x="28575" y="6381750"/>
          <a:chExt cx="1240383" cy="416889"/>
        </a:xfrm>
      </xdr:grpSpPr>
      <xdr:pic>
        <xdr:nvPicPr>
          <xdr:cNvPr id="72" name="Gráfico 71" descr="Engranaje único con relleno sólido">
            <a:extLst>
              <a:ext uri="{FF2B5EF4-FFF2-40B4-BE49-F238E27FC236}">
                <a16:creationId xmlns:a16="http://schemas.microsoft.com/office/drawing/2014/main" id="{00000000-0008-0000-0F00-000048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575" y="6381750"/>
            <a:ext cx="409575" cy="416889"/>
          </a:xfrm>
          <a:prstGeom prst="rect">
            <a:avLst/>
          </a:prstGeom>
        </xdr:spPr>
      </xdr:pic>
      <xdr:sp macro="" textlink="">
        <xdr:nvSpPr>
          <xdr:cNvPr id="73" name="CuadroTexto 72">
            <a:extLst>
              <a:ext uri="{FF2B5EF4-FFF2-40B4-BE49-F238E27FC236}">
                <a16:creationId xmlns:a16="http://schemas.microsoft.com/office/drawing/2014/main" id="{00000000-0008-0000-0F00-00004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xdr:colOff>
      <xdr:row>6</xdr:row>
      <xdr:rowOff>0</xdr:rowOff>
    </xdr:from>
    <xdr:to>
      <xdr:col>17</xdr:col>
      <xdr:colOff>0</xdr:colOff>
      <xdr:row>22</xdr:row>
      <xdr:rowOff>167640</xdr:rowOff>
    </xdr:to>
    <xdr:graphicFrame macro="">
      <xdr:nvGraphicFramePr>
        <xdr:cNvPr id="75" name="Gráfico 23">
          <a:extLst>
            <a:ext uri="{FF2B5EF4-FFF2-40B4-BE49-F238E27FC236}">
              <a16:creationId xmlns:a16="http://schemas.microsoft.com/office/drawing/2014/main" id="{00000000-0008-0000-10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26</xdr:row>
      <xdr:rowOff>0</xdr:rowOff>
    </xdr:from>
    <xdr:to>
      <xdr:col>16</xdr:col>
      <xdr:colOff>762000</xdr:colOff>
      <xdr:row>42</xdr:row>
      <xdr:rowOff>167640</xdr:rowOff>
    </xdr:to>
    <xdr:graphicFrame macro="">
      <xdr:nvGraphicFramePr>
        <xdr:cNvPr id="53" name="Gráfico 23">
          <a:extLst>
            <a:ext uri="{FF2B5EF4-FFF2-40B4-BE49-F238E27FC236}">
              <a16:creationId xmlns:a16="http://schemas.microsoft.com/office/drawing/2014/main" id="{00000000-0008-0000-10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102374</xdr:rowOff>
    </xdr:from>
    <xdr:to>
      <xdr:col>1</xdr:col>
      <xdr:colOff>0</xdr:colOff>
      <xdr:row>16</xdr:row>
      <xdr:rowOff>19049</xdr:rowOff>
    </xdr:to>
    <xdr:grpSp>
      <xdr:nvGrpSpPr>
        <xdr:cNvPr id="3" name="Grupo 2">
          <a:extLst>
            <a:ext uri="{FF2B5EF4-FFF2-40B4-BE49-F238E27FC236}">
              <a16:creationId xmlns:a16="http://schemas.microsoft.com/office/drawing/2014/main" id="{00000000-0008-0000-1000-000003000000}"/>
            </a:ext>
          </a:extLst>
        </xdr:cNvPr>
        <xdr:cNvGrpSpPr/>
      </xdr:nvGrpSpPr>
      <xdr:grpSpPr>
        <a:xfrm>
          <a:off x="1381125" y="2007374"/>
          <a:ext cx="0" cy="1059675"/>
          <a:chOff x="1428750" y="2045474"/>
          <a:chExt cx="1226325" cy="1097775"/>
        </a:xfrm>
      </xdr:grpSpPr>
      <xdr:pic>
        <xdr:nvPicPr>
          <xdr:cNvPr id="4" name="Gráfico 3" descr="Piezas de rompecabezas con relleno sólido">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57300" y="2045474"/>
            <a:ext cx="1097775" cy="1097775"/>
          </a:xfrm>
          <a:prstGeom prst="rect">
            <a:avLst/>
          </a:prstGeom>
        </xdr:spPr>
      </xdr:pic>
      <xdr:sp macro="" textlink="">
        <xdr:nvSpPr>
          <xdr:cNvPr id="5" name="CuadroTexto 4">
            <a:extLst>
              <a:ext uri="{FF2B5EF4-FFF2-40B4-BE49-F238E27FC236}">
                <a16:creationId xmlns:a16="http://schemas.microsoft.com/office/drawing/2014/main" id="{00000000-0008-0000-1000-000005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6" name="Grupo 5">
          <a:hlinkClick xmlns:r="http://schemas.openxmlformats.org/officeDocument/2006/relationships" r:id="rId5"/>
          <a:extLst>
            <a:ext uri="{FF2B5EF4-FFF2-40B4-BE49-F238E27FC236}">
              <a16:creationId xmlns:a16="http://schemas.microsoft.com/office/drawing/2014/main" id="{00000000-0008-0000-1000-000006000000}"/>
            </a:ext>
          </a:extLst>
        </xdr:cNvPr>
        <xdr:cNvGrpSpPr/>
      </xdr:nvGrpSpPr>
      <xdr:grpSpPr>
        <a:xfrm>
          <a:off x="0" y="0"/>
          <a:ext cx="1381125" cy="328014"/>
          <a:chOff x="91104" y="65606"/>
          <a:chExt cx="1192701" cy="328014"/>
        </a:xfrm>
      </xdr:grpSpPr>
      <xdr:sp macro="" textlink="">
        <xdr:nvSpPr>
          <xdr:cNvPr id="7" name="Rectángulo 6">
            <a:extLst>
              <a:ext uri="{FF2B5EF4-FFF2-40B4-BE49-F238E27FC236}">
                <a16:creationId xmlns:a16="http://schemas.microsoft.com/office/drawing/2014/main" id="{00000000-0008-0000-1000-00000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 name="Gráfico 7" descr="Hogar con relleno sólido">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9" name="Grupo 8">
          <a:hlinkClick xmlns:r="http://schemas.openxmlformats.org/officeDocument/2006/relationships" r:id="rId8"/>
          <a:extLst>
            <a:ext uri="{FF2B5EF4-FFF2-40B4-BE49-F238E27FC236}">
              <a16:creationId xmlns:a16="http://schemas.microsoft.com/office/drawing/2014/main" id="{00000000-0008-0000-1000-000009000000}"/>
            </a:ext>
          </a:extLst>
        </xdr:cNvPr>
        <xdr:cNvGrpSpPr/>
      </xdr:nvGrpSpPr>
      <xdr:grpSpPr>
        <a:xfrm>
          <a:off x="0" y="4710117"/>
          <a:ext cx="1295400" cy="638178"/>
          <a:chOff x="0" y="3671892"/>
          <a:chExt cx="1295400" cy="638178"/>
        </a:xfrm>
      </xdr:grpSpPr>
      <xdr:sp macro="" textlink="">
        <xdr:nvSpPr>
          <xdr:cNvPr id="10" name="Rectángulo: esquinas superiores redondeadas 9">
            <a:extLst>
              <a:ext uri="{FF2B5EF4-FFF2-40B4-BE49-F238E27FC236}">
                <a16:creationId xmlns:a16="http://schemas.microsoft.com/office/drawing/2014/main" id="{00000000-0008-0000-1000-00000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1" name="Gráfico 10" descr="Información con relleno sólido">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2" name="Grupo 11">
          <a:hlinkClick xmlns:r="http://schemas.openxmlformats.org/officeDocument/2006/relationships" r:id="rId11"/>
          <a:extLst>
            <a:ext uri="{FF2B5EF4-FFF2-40B4-BE49-F238E27FC236}">
              <a16:creationId xmlns:a16="http://schemas.microsoft.com/office/drawing/2014/main" id="{00000000-0008-0000-1000-00000C000000}"/>
            </a:ext>
          </a:extLst>
        </xdr:cNvPr>
        <xdr:cNvGrpSpPr/>
      </xdr:nvGrpSpPr>
      <xdr:grpSpPr>
        <a:xfrm>
          <a:off x="0" y="3760792"/>
          <a:ext cx="1446686" cy="638178"/>
          <a:chOff x="0" y="2767017"/>
          <a:chExt cx="1295400" cy="638178"/>
        </a:xfrm>
      </xdr:grpSpPr>
      <xdr:sp macro="" textlink="">
        <xdr:nvSpPr>
          <xdr:cNvPr id="13" name="Rectángulo: esquinas superiores redondeadas 12">
            <a:extLst>
              <a:ext uri="{FF2B5EF4-FFF2-40B4-BE49-F238E27FC236}">
                <a16:creationId xmlns:a16="http://schemas.microsoft.com/office/drawing/2014/main" id="{00000000-0008-0000-1000-00000D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4" name="Gráfico 13" descr="Gráfico de barras con relleno sólido">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5" name="Grupo 14">
          <a:hlinkClick xmlns:r="http://schemas.openxmlformats.org/officeDocument/2006/relationships" r:id="rId14"/>
          <a:extLst>
            <a:ext uri="{FF2B5EF4-FFF2-40B4-BE49-F238E27FC236}">
              <a16:creationId xmlns:a16="http://schemas.microsoft.com/office/drawing/2014/main" id="{00000000-0008-0000-1000-00000F000000}"/>
            </a:ext>
          </a:extLst>
        </xdr:cNvPr>
        <xdr:cNvGrpSpPr/>
      </xdr:nvGrpSpPr>
      <xdr:grpSpPr>
        <a:xfrm>
          <a:off x="0" y="2811467"/>
          <a:ext cx="1323975" cy="638178"/>
          <a:chOff x="0" y="1862142"/>
          <a:chExt cx="1323975" cy="638178"/>
        </a:xfrm>
      </xdr:grpSpPr>
      <xdr:sp macro="" textlink="">
        <xdr:nvSpPr>
          <xdr:cNvPr id="16" name="Rectángulo: esquinas superiores redondeadas 15">
            <a:extLst>
              <a:ext uri="{FF2B5EF4-FFF2-40B4-BE49-F238E27FC236}">
                <a16:creationId xmlns:a16="http://schemas.microsoft.com/office/drawing/2014/main" id="{00000000-0008-0000-1000-000010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7" name="Gráfico 16" descr="Alternar con relleno sólido">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8" name="Grupo 17">
          <a:hlinkClick xmlns:r="http://schemas.openxmlformats.org/officeDocument/2006/relationships" r:id="rId17"/>
          <a:extLst>
            <a:ext uri="{FF2B5EF4-FFF2-40B4-BE49-F238E27FC236}">
              <a16:creationId xmlns:a16="http://schemas.microsoft.com/office/drawing/2014/main" id="{00000000-0008-0000-1000-000012000000}"/>
            </a:ext>
          </a:extLst>
        </xdr:cNvPr>
        <xdr:cNvGrpSpPr/>
      </xdr:nvGrpSpPr>
      <xdr:grpSpPr>
        <a:xfrm>
          <a:off x="0" y="1862142"/>
          <a:ext cx="1295400" cy="638178"/>
          <a:chOff x="0" y="1862142"/>
          <a:chExt cx="1295400" cy="638178"/>
        </a:xfrm>
      </xdr:grpSpPr>
      <xdr:sp macro="" textlink="">
        <xdr:nvSpPr>
          <xdr:cNvPr id="19" name="Rectángulo: esquinas superiores redondeadas 18">
            <a:extLst>
              <a:ext uri="{FF2B5EF4-FFF2-40B4-BE49-F238E27FC236}">
                <a16:creationId xmlns:a16="http://schemas.microsoft.com/office/drawing/2014/main" id="{00000000-0008-0000-1000-00001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20" name="Gráfico 19" descr="Lista con relleno sólido">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22" name="Rectángulo: esquinas superiores redondeadas 21">
          <a:extLst>
            <a:ext uri="{FF2B5EF4-FFF2-40B4-BE49-F238E27FC236}">
              <a16:creationId xmlns:a16="http://schemas.microsoft.com/office/drawing/2014/main" id="{00000000-0008-0000-1000-00001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23" name="Grupo 22">
          <a:hlinkClick xmlns:r="http://schemas.openxmlformats.org/officeDocument/2006/relationships" r:id="rId20"/>
          <a:extLst>
            <a:ext uri="{FF2B5EF4-FFF2-40B4-BE49-F238E27FC236}">
              <a16:creationId xmlns:a16="http://schemas.microsoft.com/office/drawing/2014/main" id="{00000000-0008-0000-1000-000017000000}"/>
            </a:ext>
          </a:extLst>
        </xdr:cNvPr>
        <xdr:cNvGrpSpPr/>
      </xdr:nvGrpSpPr>
      <xdr:grpSpPr>
        <a:xfrm>
          <a:off x="1438275" y="630545"/>
          <a:ext cx="1876426" cy="427462"/>
          <a:chOff x="1438275" y="630545"/>
          <a:chExt cx="1876426" cy="427462"/>
        </a:xfrm>
      </xdr:grpSpPr>
      <xdr:sp macro="" textlink="">
        <xdr:nvSpPr>
          <xdr:cNvPr id="48" name="Rectángulo 47">
            <a:extLst>
              <a:ext uri="{FF2B5EF4-FFF2-40B4-BE49-F238E27FC236}">
                <a16:creationId xmlns:a16="http://schemas.microsoft.com/office/drawing/2014/main" id="{00000000-0008-0000-1000-000030000000}"/>
              </a:ext>
            </a:extLst>
          </xdr:cNvPr>
          <xdr:cNvSpPr/>
        </xdr:nvSpPr>
        <xdr:spPr>
          <a:xfrm>
            <a:off x="1438275" y="630545"/>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ENERGÍA - CFyB</a:t>
            </a:r>
          </a:p>
        </xdr:txBody>
      </xdr:sp>
      <xdr:pic>
        <xdr:nvPicPr>
          <xdr:cNvPr id="49" name="Gráfico 48" descr="Batería en carga con relleno sólido">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24" name="Grupo 23">
          <a:hlinkClick xmlns:r="http://schemas.openxmlformats.org/officeDocument/2006/relationships" r:id="rId23"/>
          <a:extLst>
            <a:ext uri="{FF2B5EF4-FFF2-40B4-BE49-F238E27FC236}">
              <a16:creationId xmlns:a16="http://schemas.microsoft.com/office/drawing/2014/main" id="{00000000-0008-0000-1000-000018000000}"/>
            </a:ext>
          </a:extLst>
        </xdr:cNvPr>
        <xdr:cNvGrpSpPr/>
      </xdr:nvGrpSpPr>
      <xdr:grpSpPr>
        <a:xfrm>
          <a:off x="1438275" y="1227614"/>
          <a:ext cx="1876426" cy="440780"/>
          <a:chOff x="1438275" y="1227614"/>
          <a:chExt cx="1876426" cy="440780"/>
        </a:xfrm>
      </xdr:grpSpPr>
      <xdr:sp macro="" textlink="">
        <xdr:nvSpPr>
          <xdr:cNvPr id="46" name="Rectángulo 45">
            <a:extLst>
              <a:ext uri="{FF2B5EF4-FFF2-40B4-BE49-F238E27FC236}">
                <a16:creationId xmlns:a16="http://schemas.microsoft.com/office/drawing/2014/main" id="{00000000-0008-0000-1000-00002E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a:t>
            </a:r>
            <a:r>
              <a:rPr lang="es-ES" sz="1000" b="0" baseline="0">
                <a:solidFill>
                  <a:schemeClr val="accent6">
                    <a:lumMod val="50000"/>
                  </a:schemeClr>
                </a:solidFill>
              </a:rPr>
              <a:t> EyA</a:t>
            </a:r>
            <a:endParaRPr lang="es-ES" sz="1000" b="0">
              <a:solidFill>
                <a:schemeClr val="accent6">
                  <a:lumMod val="50000"/>
                </a:schemeClr>
              </a:solidFill>
            </a:endParaRPr>
          </a:p>
        </xdr:txBody>
      </xdr:sp>
      <xdr:pic>
        <xdr:nvPicPr>
          <xdr:cNvPr id="47" name="Gráfico 46" descr="Alta tensión con relleno sólido">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25" name="Grupo 24">
          <a:hlinkClick xmlns:r="http://schemas.openxmlformats.org/officeDocument/2006/relationships" r:id="rId26"/>
          <a:extLst>
            <a:ext uri="{FF2B5EF4-FFF2-40B4-BE49-F238E27FC236}">
              <a16:creationId xmlns:a16="http://schemas.microsoft.com/office/drawing/2014/main" id="{00000000-0008-0000-1000-000019000000}"/>
            </a:ext>
          </a:extLst>
        </xdr:cNvPr>
        <xdr:cNvGrpSpPr/>
      </xdr:nvGrpSpPr>
      <xdr:grpSpPr>
        <a:xfrm>
          <a:off x="1438275" y="1853701"/>
          <a:ext cx="1876426" cy="440780"/>
          <a:chOff x="1438275" y="1853701"/>
          <a:chExt cx="1876426" cy="440780"/>
        </a:xfrm>
      </xdr:grpSpPr>
      <xdr:sp macro="" textlink="">
        <xdr:nvSpPr>
          <xdr:cNvPr id="44" name="Rectángulo 43">
            <a:extLst>
              <a:ext uri="{FF2B5EF4-FFF2-40B4-BE49-F238E27FC236}">
                <a16:creationId xmlns:a16="http://schemas.microsoft.com/office/drawing/2014/main" id="{00000000-0008-0000-1000-00002C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5" name="Gráfico 44" descr="Producción con relleno sólido">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26" name="Grupo 25">
          <a:hlinkClick xmlns:r="http://schemas.openxmlformats.org/officeDocument/2006/relationships" r:id="rId29"/>
          <a:extLst>
            <a:ext uri="{FF2B5EF4-FFF2-40B4-BE49-F238E27FC236}">
              <a16:creationId xmlns:a16="http://schemas.microsoft.com/office/drawing/2014/main" id="{00000000-0008-0000-1000-00001A000000}"/>
            </a:ext>
          </a:extLst>
        </xdr:cNvPr>
        <xdr:cNvGrpSpPr/>
      </xdr:nvGrpSpPr>
      <xdr:grpSpPr>
        <a:xfrm>
          <a:off x="1438275" y="2479788"/>
          <a:ext cx="1876426" cy="440780"/>
          <a:chOff x="1438275" y="2479788"/>
          <a:chExt cx="1876426" cy="440780"/>
        </a:xfrm>
      </xdr:grpSpPr>
      <xdr:sp macro="" textlink="">
        <xdr:nvSpPr>
          <xdr:cNvPr id="42" name="Rectángulo 41">
            <a:extLst>
              <a:ext uri="{FF2B5EF4-FFF2-40B4-BE49-F238E27FC236}">
                <a16:creationId xmlns:a16="http://schemas.microsoft.com/office/drawing/2014/main" id="{00000000-0008-0000-1000-00002A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3" name="Gráfico 42" descr="Basura con relleno sólido">
            <a:extLst>
              <a:ext uri="{FF2B5EF4-FFF2-40B4-BE49-F238E27FC236}">
                <a16:creationId xmlns:a16="http://schemas.microsoft.com/office/drawing/2014/main" id="{00000000-0008-0000-1000-00002B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27" name="Grupo 26">
          <a:hlinkClick xmlns:r="http://schemas.openxmlformats.org/officeDocument/2006/relationships" r:id="rId32"/>
          <a:extLst>
            <a:ext uri="{FF2B5EF4-FFF2-40B4-BE49-F238E27FC236}">
              <a16:creationId xmlns:a16="http://schemas.microsoft.com/office/drawing/2014/main" id="{00000000-0008-0000-1000-00001B000000}"/>
            </a:ext>
          </a:extLst>
        </xdr:cNvPr>
        <xdr:cNvGrpSpPr/>
      </xdr:nvGrpSpPr>
      <xdr:grpSpPr>
        <a:xfrm>
          <a:off x="1438275" y="3705160"/>
          <a:ext cx="1876426" cy="543340"/>
          <a:chOff x="1438275" y="3705160"/>
          <a:chExt cx="1876426" cy="543340"/>
        </a:xfrm>
      </xdr:grpSpPr>
      <xdr:sp macro="" textlink="">
        <xdr:nvSpPr>
          <xdr:cNvPr id="40" name="Rectángulo 39">
            <a:extLst>
              <a:ext uri="{FF2B5EF4-FFF2-40B4-BE49-F238E27FC236}">
                <a16:creationId xmlns:a16="http://schemas.microsoft.com/office/drawing/2014/main" id="{00000000-0008-0000-1000-000028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41" name="Gráfico 40" descr="Coche eléctrico con relleno sólido">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28" name="Grupo 27">
          <a:hlinkClick xmlns:r="http://schemas.openxmlformats.org/officeDocument/2006/relationships" r:id="rId35"/>
          <a:extLst>
            <a:ext uri="{FF2B5EF4-FFF2-40B4-BE49-F238E27FC236}">
              <a16:creationId xmlns:a16="http://schemas.microsoft.com/office/drawing/2014/main" id="{00000000-0008-0000-1000-00001C000000}"/>
            </a:ext>
          </a:extLst>
        </xdr:cNvPr>
        <xdr:cNvGrpSpPr/>
      </xdr:nvGrpSpPr>
      <xdr:grpSpPr>
        <a:xfrm>
          <a:off x="1438275" y="3105875"/>
          <a:ext cx="1876426" cy="456411"/>
          <a:chOff x="1438275" y="3105875"/>
          <a:chExt cx="1876426" cy="456411"/>
        </a:xfrm>
      </xdr:grpSpPr>
      <xdr:sp macro="" textlink="">
        <xdr:nvSpPr>
          <xdr:cNvPr id="38" name="Rectángulo 37">
            <a:extLst>
              <a:ext uri="{FF2B5EF4-FFF2-40B4-BE49-F238E27FC236}">
                <a16:creationId xmlns:a16="http://schemas.microsoft.com/office/drawing/2014/main" id="{00000000-0008-0000-1000-000026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39" name="Gráfico 38" descr="Escena suburbana con relleno sólido">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29" name="Grupo 28">
          <a:hlinkClick xmlns:r="http://schemas.openxmlformats.org/officeDocument/2006/relationships" r:id="rId38"/>
          <a:extLst>
            <a:ext uri="{FF2B5EF4-FFF2-40B4-BE49-F238E27FC236}">
              <a16:creationId xmlns:a16="http://schemas.microsoft.com/office/drawing/2014/main" id="{00000000-0008-0000-1000-00001D000000}"/>
            </a:ext>
          </a:extLst>
        </xdr:cNvPr>
        <xdr:cNvGrpSpPr/>
      </xdr:nvGrpSpPr>
      <xdr:grpSpPr>
        <a:xfrm>
          <a:off x="1438275" y="4336296"/>
          <a:ext cx="1876426" cy="462533"/>
          <a:chOff x="1438275" y="4336296"/>
          <a:chExt cx="1876426" cy="462533"/>
        </a:xfrm>
      </xdr:grpSpPr>
      <xdr:sp macro="" textlink="">
        <xdr:nvSpPr>
          <xdr:cNvPr id="36" name="Rectángulo 35">
            <a:extLst>
              <a:ext uri="{FF2B5EF4-FFF2-40B4-BE49-F238E27FC236}">
                <a16:creationId xmlns:a16="http://schemas.microsoft.com/office/drawing/2014/main" id="{00000000-0008-0000-1000-000024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37" name="Gráfico 36" descr="Cultivos con relleno sólido">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30" name="Grupo 29">
          <a:hlinkClick xmlns:r="http://schemas.openxmlformats.org/officeDocument/2006/relationships" r:id="rId41"/>
          <a:extLst>
            <a:ext uri="{FF2B5EF4-FFF2-40B4-BE49-F238E27FC236}">
              <a16:creationId xmlns:a16="http://schemas.microsoft.com/office/drawing/2014/main" id="{00000000-0008-0000-1000-00001E000000}"/>
            </a:ext>
          </a:extLst>
        </xdr:cNvPr>
        <xdr:cNvGrpSpPr/>
      </xdr:nvGrpSpPr>
      <xdr:grpSpPr>
        <a:xfrm>
          <a:off x="1438275" y="4984136"/>
          <a:ext cx="1876426" cy="440780"/>
          <a:chOff x="1438275" y="4984136"/>
          <a:chExt cx="1876426" cy="440780"/>
        </a:xfrm>
      </xdr:grpSpPr>
      <xdr:sp macro="" textlink="">
        <xdr:nvSpPr>
          <xdr:cNvPr id="34" name="Rectángulo 33">
            <a:extLst>
              <a:ext uri="{FF2B5EF4-FFF2-40B4-BE49-F238E27FC236}">
                <a16:creationId xmlns:a16="http://schemas.microsoft.com/office/drawing/2014/main" id="{00000000-0008-0000-1000-000022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35" name="Gráfico 34" descr="Vaca con relleno sólido">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31" name="Grupo 30">
          <a:hlinkClick xmlns:r="http://schemas.openxmlformats.org/officeDocument/2006/relationships" r:id="rId44"/>
          <a:extLst>
            <a:ext uri="{FF2B5EF4-FFF2-40B4-BE49-F238E27FC236}">
              <a16:creationId xmlns:a16="http://schemas.microsoft.com/office/drawing/2014/main" id="{00000000-0008-0000-1000-00001F000000}"/>
            </a:ext>
          </a:extLst>
        </xdr:cNvPr>
        <xdr:cNvGrpSpPr/>
      </xdr:nvGrpSpPr>
      <xdr:grpSpPr>
        <a:xfrm>
          <a:off x="1438275" y="5589039"/>
          <a:ext cx="1876426" cy="461966"/>
          <a:chOff x="1438275" y="5589039"/>
          <a:chExt cx="1876426" cy="461966"/>
        </a:xfrm>
      </xdr:grpSpPr>
      <xdr:sp macro="" textlink="">
        <xdr:nvSpPr>
          <xdr:cNvPr id="32" name="Rectángulo 31">
            <a:extLst>
              <a:ext uri="{FF2B5EF4-FFF2-40B4-BE49-F238E27FC236}">
                <a16:creationId xmlns:a16="http://schemas.microsoft.com/office/drawing/2014/main" id="{00000000-0008-0000-1000-00002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33" name="Gráfico 32" descr="Selva tropical con relleno sólido">
            <a:extLst>
              <a:ext uri="{FF2B5EF4-FFF2-40B4-BE49-F238E27FC236}">
                <a16:creationId xmlns:a16="http://schemas.microsoft.com/office/drawing/2014/main" id="{00000000-0008-0000-1000-000021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828925" y="5589039"/>
            <a:ext cx="448504" cy="447261"/>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57" name="Grupo 56">
          <a:hlinkClick xmlns:r="http://schemas.openxmlformats.org/officeDocument/2006/relationships" r:id="rId47"/>
          <a:extLst>
            <a:ext uri="{FF2B5EF4-FFF2-40B4-BE49-F238E27FC236}">
              <a16:creationId xmlns:a16="http://schemas.microsoft.com/office/drawing/2014/main" id="{00000000-0008-0000-1000-000039000000}"/>
            </a:ext>
          </a:extLst>
        </xdr:cNvPr>
        <xdr:cNvGrpSpPr/>
      </xdr:nvGrpSpPr>
      <xdr:grpSpPr>
        <a:xfrm>
          <a:off x="12265819" y="95250"/>
          <a:ext cx="3171825" cy="495300"/>
          <a:chOff x="12249150" y="19050"/>
          <a:chExt cx="3171825" cy="495300"/>
        </a:xfrm>
      </xdr:grpSpPr>
      <xdr:grpSp>
        <xdr:nvGrpSpPr>
          <xdr:cNvPr id="58" name="Grupo 57">
            <a:extLst>
              <a:ext uri="{FF2B5EF4-FFF2-40B4-BE49-F238E27FC236}">
                <a16:creationId xmlns:a16="http://schemas.microsoft.com/office/drawing/2014/main" id="{00000000-0008-0000-1000-00003A000000}"/>
              </a:ext>
            </a:extLst>
          </xdr:cNvPr>
          <xdr:cNvGrpSpPr/>
        </xdr:nvGrpSpPr>
        <xdr:grpSpPr>
          <a:xfrm>
            <a:off x="12249150" y="66675"/>
            <a:ext cx="3171825" cy="438150"/>
            <a:chOff x="12515849" y="47625"/>
            <a:chExt cx="3171825" cy="438150"/>
          </a:xfrm>
        </xdr:grpSpPr>
        <xdr:sp macro="" textlink="">
          <xdr:nvSpPr>
            <xdr:cNvPr id="60" name="Rectángulo: esquinas redondeadas 59">
              <a:extLst>
                <a:ext uri="{FF2B5EF4-FFF2-40B4-BE49-F238E27FC236}">
                  <a16:creationId xmlns:a16="http://schemas.microsoft.com/office/drawing/2014/main" id="{00000000-0008-0000-1000-00003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1" name="CuadroTexto 60">
              <a:extLst>
                <a:ext uri="{FF2B5EF4-FFF2-40B4-BE49-F238E27FC236}">
                  <a16:creationId xmlns:a16="http://schemas.microsoft.com/office/drawing/2014/main" id="{00000000-0008-0000-1000-00003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Energía</a:t>
              </a:r>
            </a:p>
          </xdr:txBody>
        </xdr:sp>
      </xdr:grpSp>
      <xdr:pic>
        <xdr:nvPicPr>
          <xdr:cNvPr id="59" name="Gráfico 58" descr="Búsqueda de carpetas con relleno sólido">
            <a:extLst>
              <a:ext uri="{FF2B5EF4-FFF2-40B4-BE49-F238E27FC236}">
                <a16:creationId xmlns:a16="http://schemas.microsoft.com/office/drawing/2014/main" id="{00000000-0008-0000-1000-00003B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2" name="Grupo 61">
          <a:hlinkClick xmlns:r="http://schemas.openxmlformats.org/officeDocument/2006/relationships" r:id="rId50"/>
          <a:extLst>
            <a:ext uri="{FF2B5EF4-FFF2-40B4-BE49-F238E27FC236}">
              <a16:creationId xmlns:a16="http://schemas.microsoft.com/office/drawing/2014/main" id="{00000000-0008-0000-1000-00003E000000}"/>
            </a:ext>
          </a:extLst>
        </xdr:cNvPr>
        <xdr:cNvGrpSpPr/>
      </xdr:nvGrpSpPr>
      <xdr:grpSpPr>
        <a:xfrm>
          <a:off x="0" y="6477000"/>
          <a:ext cx="1240383" cy="416889"/>
          <a:chOff x="28575" y="6381750"/>
          <a:chExt cx="1240383" cy="416889"/>
        </a:xfrm>
      </xdr:grpSpPr>
      <xdr:pic>
        <xdr:nvPicPr>
          <xdr:cNvPr id="63" name="Gráfico 62" descr="Engranaje único con relleno sólido">
            <a:extLst>
              <a:ext uri="{FF2B5EF4-FFF2-40B4-BE49-F238E27FC236}">
                <a16:creationId xmlns:a16="http://schemas.microsoft.com/office/drawing/2014/main" id="{00000000-0008-0000-1000-00003F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5" name="CuadroTexto 64">
            <a:extLst>
              <a:ext uri="{FF2B5EF4-FFF2-40B4-BE49-F238E27FC236}">
                <a16:creationId xmlns:a16="http://schemas.microsoft.com/office/drawing/2014/main" id="{00000000-0008-0000-1000-00004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175260</xdr:colOff>
      <xdr:row>2</xdr:row>
      <xdr:rowOff>91440</xdr:rowOff>
    </xdr:from>
    <xdr:to>
      <xdr:col>4</xdr:col>
      <xdr:colOff>243418</xdr:colOff>
      <xdr:row>5</xdr:row>
      <xdr:rowOff>132715</xdr:rowOff>
    </xdr:to>
    <xdr:grpSp>
      <xdr:nvGrpSpPr>
        <xdr:cNvPr id="66" name="Grupo 65">
          <a:extLst>
            <a:ext uri="{FF2B5EF4-FFF2-40B4-BE49-F238E27FC236}">
              <a16:creationId xmlns:a16="http://schemas.microsoft.com/office/drawing/2014/main" id="{00000000-0008-0000-1000-000042000000}"/>
            </a:ext>
          </a:extLst>
        </xdr:cNvPr>
        <xdr:cNvGrpSpPr/>
      </xdr:nvGrpSpPr>
      <xdr:grpSpPr>
        <a:xfrm>
          <a:off x="3961448" y="472440"/>
          <a:ext cx="842064" cy="612775"/>
          <a:chOff x="4552948" y="1857374"/>
          <a:chExt cx="819151" cy="600075"/>
        </a:xfrm>
      </xdr:grpSpPr>
      <xdr:pic>
        <xdr:nvPicPr>
          <xdr:cNvPr id="67" name="Gráfico 66" descr="Nube con relleno sólido">
            <a:extLst>
              <a:ext uri="{FF2B5EF4-FFF2-40B4-BE49-F238E27FC236}">
                <a16:creationId xmlns:a16="http://schemas.microsoft.com/office/drawing/2014/main" id="{00000000-0008-0000-1000-000043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68" name="CuadroTexto 67">
            <a:extLst>
              <a:ext uri="{FF2B5EF4-FFF2-40B4-BE49-F238E27FC236}">
                <a16:creationId xmlns:a16="http://schemas.microsoft.com/office/drawing/2014/main" id="{00000000-0008-0000-1000-000044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301626</xdr:colOff>
      <xdr:row>22</xdr:row>
      <xdr:rowOff>149225</xdr:rowOff>
    </xdr:from>
    <xdr:to>
      <xdr:col>4</xdr:col>
      <xdr:colOff>7833</xdr:colOff>
      <xdr:row>25</xdr:row>
      <xdr:rowOff>4234</xdr:rowOff>
    </xdr:to>
    <xdr:pic>
      <xdr:nvPicPr>
        <xdr:cNvPr id="72" name="Gráfico 71" descr="Torre eléctrica con relleno sólido">
          <a:extLst>
            <a:ext uri="{FF2B5EF4-FFF2-40B4-BE49-F238E27FC236}">
              <a16:creationId xmlns:a16="http://schemas.microsoft.com/office/drawing/2014/main" id="{00000000-0008-0000-1000-000048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187826" y="4340225"/>
          <a:ext cx="498687" cy="426509"/>
        </a:xfrm>
        <a:prstGeom prst="rect">
          <a:avLst/>
        </a:prstGeom>
      </xdr:spPr>
    </xdr:pic>
    <xdr:clientData/>
  </xdr:twoCellAnchor>
  <xdr:twoCellAnchor>
    <xdr:from>
      <xdr:col>3</xdr:col>
      <xdr:colOff>746761</xdr:colOff>
      <xdr:row>46</xdr:row>
      <xdr:rowOff>106680</xdr:rowOff>
    </xdr:from>
    <xdr:to>
      <xdr:col>16</xdr:col>
      <xdr:colOff>731520</xdr:colOff>
      <xdr:row>64</xdr:row>
      <xdr:rowOff>106680</xdr:rowOff>
    </xdr:to>
    <xdr:graphicFrame macro="">
      <xdr:nvGraphicFramePr>
        <xdr:cNvPr id="85" name="Gráfico 23">
          <a:extLst>
            <a:ext uri="{FF2B5EF4-FFF2-40B4-BE49-F238E27FC236}">
              <a16:creationId xmlns:a16="http://schemas.microsoft.com/office/drawing/2014/main" id="{00000000-0008-0000-10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3</xdr:col>
      <xdr:colOff>658091</xdr:colOff>
      <xdr:row>69</xdr:row>
      <xdr:rowOff>173182</xdr:rowOff>
    </xdr:from>
    <xdr:to>
      <xdr:col>16</xdr:col>
      <xdr:colOff>642850</xdr:colOff>
      <xdr:row>87</xdr:row>
      <xdr:rowOff>173182</xdr:rowOff>
    </xdr:to>
    <xdr:graphicFrame macro="">
      <xdr:nvGraphicFramePr>
        <xdr:cNvPr id="2" name="Gráfico 23">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xdr:col>
      <xdr:colOff>658091</xdr:colOff>
      <xdr:row>89</xdr:row>
      <xdr:rowOff>173182</xdr:rowOff>
    </xdr:from>
    <xdr:to>
      <xdr:col>16</xdr:col>
      <xdr:colOff>642850</xdr:colOff>
      <xdr:row>107</xdr:row>
      <xdr:rowOff>173182</xdr:rowOff>
    </xdr:to>
    <xdr:graphicFrame macro="">
      <xdr:nvGraphicFramePr>
        <xdr:cNvPr id="50" name="Gráfico 23">
          <a:extLst>
            <a:ext uri="{FF2B5EF4-FFF2-40B4-BE49-F238E27FC236}">
              <a16:creationId xmlns:a16="http://schemas.microsoft.com/office/drawing/2014/main" id="{00000000-0008-0000-10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3</xdr:col>
      <xdr:colOff>369794</xdr:colOff>
      <xdr:row>67</xdr:row>
      <xdr:rowOff>33617</xdr:rowOff>
    </xdr:from>
    <xdr:to>
      <xdr:col>3</xdr:col>
      <xdr:colOff>717177</xdr:colOff>
      <xdr:row>68</xdr:row>
      <xdr:rowOff>212911</xdr:rowOff>
    </xdr:to>
    <xdr:grpSp>
      <xdr:nvGrpSpPr>
        <xdr:cNvPr id="51" name="Grupo 50">
          <a:extLst>
            <a:ext uri="{FF2B5EF4-FFF2-40B4-BE49-F238E27FC236}">
              <a16:creationId xmlns:a16="http://schemas.microsoft.com/office/drawing/2014/main" id="{00000000-0008-0000-1000-000033000000}"/>
            </a:ext>
          </a:extLst>
        </xdr:cNvPr>
        <xdr:cNvGrpSpPr/>
      </xdr:nvGrpSpPr>
      <xdr:grpSpPr>
        <a:xfrm>
          <a:off x="4155982" y="12868555"/>
          <a:ext cx="347383" cy="369794"/>
          <a:chOff x="4048056" y="14253486"/>
          <a:chExt cx="1207503" cy="1277866"/>
        </a:xfrm>
      </xdr:grpSpPr>
      <xdr:sp macro="" textlink="">
        <xdr:nvSpPr>
          <xdr:cNvPr id="52" name="Forma libre: forma 25">
            <a:extLst>
              <a:ext uri="{FF2B5EF4-FFF2-40B4-BE49-F238E27FC236}">
                <a16:creationId xmlns:a16="http://schemas.microsoft.com/office/drawing/2014/main" id="{00000000-0008-0000-1000-000034000000}"/>
              </a:ext>
            </a:extLst>
          </xdr:cNvPr>
          <xdr:cNvSpPr/>
        </xdr:nvSpPr>
        <xdr:spPr>
          <a:xfrm rot="17327457" flipH="1">
            <a:off x="4225036" y="14417619"/>
            <a:ext cx="1048584" cy="900413"/>
          </a:xfrm>
          <a:custGeom>
            <a:avLst/>
            <a:gdLst>
              <a:gd name="connsiteX0" fmla="*/ 400493 w 400493"/>
              <a:gd name="connsiteY0" fmla="*/ 131669 h 323686"/>
              <a:gd name="connsiteX1" fmla="*/ 243588 w 400493"/>
              <a:gd name="connsiteY1" fmla="*/ 0 h 323686"/>
              <a:gd name="connsiteX2" fmla="*/ 243588 w 400493"/>
              <a:gd name="connsiteY2" fmla="*/ 76807 h 323686"/>
              <a:gd name="connsiteX3" fmla="*/ 0 w 400493"/>
              <a:gd name="connsiteY3" fmla="*/ 323686 h 323686"/>
              <a:gd name="connsiteX4" fmla="*/ 243588 w 400493"/>
              <a:gd name="connsiteY4" fmla="*/ 192017 h 323686"/>
              <a:gd name="connsiteX5" fmla="*/ 243588 w 400493"/>
              <a:gd name="connsiteY5" fmla="*/ 263338 h 323686"/>
              <a:gd name="connsiteX6" fmla="*/ 400493 w 400493"/>
              <a:gd name="connsiteY6" fmla="*/ 131669 h 3236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00493" h="323686">
                <a:moveTo>
                  <a:pt x="400493" y="131669"/>
                </a:moveTo>
                <a:lnTo>
                  <a:pt x="243588" y="0"/>
                </a:lnTo>
                <a:lnTo>
                  <a:pt x="243588" y="76807"/>
                </a:lnTo>
                <a:cubicBezTo>
                  <a:pt x="3292" y="79001"/>
                  <a:pt x="0" y="323686"/>
                  <a:pt x="0" y="323686"/>
                </a:cubicBezTo>
                <a:cubicBezTo>
                  <a:pt x="0" y="323686"/>
                  <a:pt x="51022" y="193663"/>
                  <a:pt x="243588" y="192017"/>
                </a:cubicBezTo>
                <a:lnTo>
                  <a:pt x="243588" y="263338"/>
                </a:lnTo>
                <a:lnTo>
                  <a:pt x="400493" y="131669"/>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sp macro="" textlink="">
        <xdr:nvSpPr>
          <xdr:cNvPr id="54" name="Forma libre: forma 26">
            <a:extLst>
              <a:ext uri="{FF2B5EF4-FFF2-40B4-BE49-F238E27FC236}">
                <a16:creationId xmlns:a16="http://schemas.microsoft.com/office/drawing/2014/main" id="{00000000-0008-0000-1000-000036000000}"/>
              </a:ext>
            </a:extLst>
          </xdr:cNvPr>
          <xdr:cNvSpPr/>
        </xdr:nvSpPr>
        <xdr:spPr>
          <a:xfrm>
            <a:off x="4048056" y="14253486"/>
            <a:ext cx="1207503" cy="1277866"/>
          </a:xfrm>
          <a:custGeom>
            <a:avLst/>
            <a:gdLst>
              <a:gd name="connsiteX0" fmla="*/ 373062 w 405979"/>
              <a:gd name="connsiteY0" fmla="*/ 233164 h 405979"/>
              <a:gd name="connsiteX1" fmla="*/ 373062 w 405979"/>
              <a:gd name="connsiteY1" fmla="*/ 373062 h 405979"/>
              <a:gd name="connsiteX2" fmla="*/ 32917 w 405979"/>
              <a:gd name="connsiteY2" fmla="*/ 373062 h 405979"/>
              <a:gd name="connsiteX3" fmla="*/ 32917 w 405979"/>
              <a:gd name="connsiteY3" fmla="*/ 32917 h 405979"/>
              <a:gd name="connsiteX4" fmla="*/ 277602 w 405979"/>
              <a:gd name="connsiteY4" fmla="*/ 32917 h 405979"/>
              <a:gd name="connsiteX5" fmla="*/ 277602 w 405979"/>
              <a:gd name="connsiteY5" fmla="*/ 0 h 405979"/>
              <a:gd name="connsiteX6" fmla="*/ 0 w 405979"/>
              <a:gd name="connsiteY6" fmla="*/ 0 h 405979"/>
              <a:gd name="connsiteX7" fmla="*/ 0 w 405979"/>
              <a:gd name="connsiteY7" fmla="*/ 405979 h 405979"/>
              <a:gd name="connsiteX8" fmla="*/ 405979 w 405979"/>
              <a:gd name="connsiteY8" fmla="*/ 404334 h 405979"/>
              <a:gd name="connsiteX9" fmla="*/ 405979 w 405979"/>
              <a:gd name="connsiteY9" fmla="*/ 205184 h 4059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405979" h="405979">
                <a:moveTo>
                  <a:pt x="373062" y="233164"/>
                </a:moveTo>
                <a:lnTo>
                  <a:pt x="373062" y="373062"/>
                </a:lnTo>
                <a:lnTo>
                  <a:pt x="32917" y="373062"/>
                </a:lnTo>
                <a:lnTo>
                  <a:pt x="32917" y="32917"/>
                </a:lnTo>
                <a:lnTo>
                  <a:pt x="277602" y="32917"/>
                </a:lnTo>
                <a:lnTo>
                  <a:pt x="277602" y="0"/>
                </a:lnTo>
                <a:lnTo>
                  <a:pt x="0" y="0"/>
                </a:lnTo>
                <a:lnTo>
                  <a:pt x="0" y="405979"/>
                </a:lnTo>
                <a:lnTo>
                  <a:pt x="405979" y="404334"/>
                </a:lnTo>
                <a:lnTo>
                  <a:pt x="405979" y="205184"/>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grpSp>
    <xdr:clientData/>
  </xdr:twoCellAnchor>
  <xdr:twoCellAnchor editAs="oneCell">
    <xdr:from>
      <xdr:col>3</xdr:col>
      <xdr:colOff>358588</xdr:colOff>
      <xdr:row>87</xdr:row>
      <xdr:rowOff>22412</xdr:rowOff>
    </xdr:from>
    <xdr:to>
      <xdr:col>4</xdr:col>
      <xdr:colOff>1679</xdr:colOff>
      <xdr:row>89</xdr:row>
      <xdr:rowOff>14007</xdr:rowOff>
    </xdr:to>
    <xdr:pic>
      <xdr:nvPicPr>
        <xdr:cNvPr id="73" name="Gráfico 22" descr="Compartir con relleno sólido">
          <a:extLst>
            <a:ext uri="{FF2B5EF4-FFF2-40B4-BE49-F238E27FC236}">
              <a16:creationId xmlns:a16="http://schemas.microsoft.com/office/drawing/2014/main" id="{00000000-0008-0000-1000-00004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4134970" y="16719177"/>
          <a:ext cx="414616" cy="417418"/>
        </a:xfrm>
        <a:prstGeom prst="rect">
          <a:avLst/>
        </a:prstGeom>
      </xdr:spPr>
    </xdr:pic>
    <xdr:clientData/>
  </xdr:twoCellAnchor>
  <xdr:oneCellAnchor>
    <xdr:from>
      <xdr:col>2</xdr:col>
      <xdr:colOff>333384</xdr:colOff>
      <xdr:row>8</xdr:row>
      <xdr:rowOff>115589</xdr:rowOff>
    </xdr:from>
    <xdr:ext cx="233205" cy="1521379"/>
    <xdr:sp macro="" textlink="">
      <xdr:nvSpPr>
        <xdr:cNvPr id="55" name="CuadroTexto 54">
          <a:extLst>
            <a:ext uri="{FF2B5EF4-FFF2-40B4-BE49-F238E27FC236}">
              <a16:creationId xmlns:a16="http://schemas.microsoft.com/office/drawing/2014/main" id="{00000000-0008-0000-1000-000037000000}"/>
            </a:ext>
          </a:extLst>
        </xdr:cNvPr>
        <xdr:cNvSpPr txBox="1"/>
      </xdr:nvSpPr>
      <xdr:spPr>
        <a:xfrm rot="16200000">
          <a:off x="3118297" y="2283676"/>
          <a:ext cx="152137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r>
            <a:rPr lang="es-ES" sz="900" baseline="0">
              <a:solidFill>
                <a:schemeClr val="bg1">
                  <a:lumMod val="50000"/>
                </a:schemeClr>
              </a:solidFill>
              <a:effectLst/>
            </a:rPr>
            <a:t> del sector energía</a:t>
          </a:r>
          <a:endParaRPr lang="es-ES" sz="900">
            <a:solidFill>
              <a:schemeClr val="bg1">
                <a:lumMod val="50000"/>
              </a:schemeClr>
            </a:solidFill>
            <a:effectLst/>
          </a:endParaRPr>
        </a:p>
      </xdr:txBody>
    </xdr:sp>
    <xdr:clientData/>
  </xdr:oneCellAnchor>
  <xdr:oneCellAnchor>
    <xdr:from>
      <xdr:col>3</xdr:col>
      <xdr:colOff>5</xdr:colOff>
      <xdr:row>29</xdr:row>
      <xdr:rowOff>9196</xdr:rowOff>
    </xdr:from>
    <xdr:ext cx="233205" cy="1274388"/>
    <xdr:sp macro="" textlink="">
      <xdr:nvSpPr>
        <xdr:cNvPr id="56" name="CuadroTexto 55">
          <a:extLst>
            <a:ext uri="{FF2B5EF4-FFF2-40B4-BE49-F238E27FC236}">
              <a16:creationId xmlns:a16="http://schemas.microsoft.com/office/drawing/2014/main" id="{00000000-0008-0000-1000-000038000000}"/>
            </a:ext>
          </a:extLst>
        </xdr:cNvPr>
        <xdr:cNvSpPr txBox="1"/>
      </xdr:nvSpPr>
      <xdr:spPr>
        <a:xfrm rot="16200000">
          <a:off x="3260839" y="6054287"/>
          <a:ext cx="127438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 </a:t>
          </a:r>
        </a:p>
      </xdr:txBody>
    </xdr:sp>
    <xdr:clientData/>
  </xdr:oneCellAnchor>
  <xdr:oneCellAnchor>
    <xdr:from>
      <xdr:col>2</xdr:col>
      <xdr:colOff>323855</xdr:colOff>
      <xdr:row>50</xdr:row>
      <xdr:rowOff>116814</xdr:rowOff>
    </xdr:from>
    <xdr:ext cx="233205" cy="1155060"/>
    <xdr:sp macro="" textlink="">
      <xdr:nvSpPr>
        <xdr:cNvPr id="64" name="CuadroTexto 63">
          <a:extLst>
            <a:ext uri="{FF2B5EF4-FFF2-40B4-BE49-F238E27FC236}">
              <a16:creationId xmlns:a16="http://schemas.microsoft.com/office/drawing/2014/main" id="{00000000-0008-0000-1000-000040000000}"/>
            </a:ext>
          </a:extLst>
        </xdr:cNvPr>
        <xdr:cNvSpPr txBox="1"/>
      </xdr:nvSpPr>
      <xdr:spPr>
        <a:xfrm rot="16200000">
          <a:off x="3291928" y="10178941"/>
          <a:ext cx="115506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Consumo energético</a:t>
          </a:r>
        </a:p>
      </xdr:txBody>
    </xdr:sp>
    <xdr:clientData/>
  </xdr:oneCellAnchor>
  <xdr:oneCellAnchor>
    <xdr:from>
      <xdr:col>2</xdr:col>
      <xdr:colOff>266706</xdr:colOff>
      <xdr:row>74</xdr:row>
      <xdr:rowOff>27314</xdr:rowOff>
    </xdr:from>
    <xdr:ext cx="233205" cy="1290931"/>
    <xdr:sp macro="" textlink="">
      <xdr:nvSpPr>
        <xdr:cNvPr id="69" name="CuadroTexto 68">
          <a:extLst>
            <a:ext uri="{FF2B5EF4-FFF2-40B4-BE49-F238E27FC236}">
              <a16:creationId xmlns:a16="http://schemas.microsoft.com/office/drawing/2014/main" id="{00000000-0008-0000-1000-000045000000}"/>
            </a:ext>
          </a:extLst>
        </xdr:cNvPr>
        <xdr:cNvSpPr txBox="1"/>
      </xdr:nvSpPr>
      <xdr:spPr>
        <a:xfrm rot="16200000">
          <a:off x="3166843" y="14777002"/>
          <a:ext cx="129093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Excedentes energéticos</a:t>
          </a:r>
        </a:p>
      </xdr:txBody>
    </xdr:sp>
    <xdr:clientData/>
  </xdr:oneCellAnchor>
  <xdr:oneCellAnchor>
    <xdr:from>
      <xdr:col>2</xdr:col>
      <xdr:colOff>340899</xdr:colOff>
      <xdr:row>92</xdr:row>
      <xdr:rowOff>11344</xdr:rowOff>
    </xdr:from>
    <xdr:ext cx="264560" cy="1922229"/>
    <xdr:sp macro="" textlink="">
      <xdr:nvSpPr>
        <xdr:cNvPr id="70" name="CuadroTexto 69">
          <a:extLst>
            <a:ext uri="{FF2B5EF4-FFF2-40B4-BE49-F238E27FC236}">
              <a16:creationId xmlns:a16="http://schemas.microsoft.com/office/drawing/2014/main" id="{00000000-0008-0000-1000-000046000000}"/>
            </a:ext>
          </a:extLst>
        </xdr:cNvPr>
        <xdr:cNvSpPr txBox="1"/>
      </xdr:nvSpPr>
      <xdr:spPr>
        <a:xfrm rot="16200000">
          <a:off x="2941064" y="18537629"/>
          <a:ext cx="19222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1100" b="1">
              <a:solidFill>
                <a:schemeClr val="bg1">
                  <a:lumMod val="50000"/>
                </a:schemeClr>
              </a:solidFill>
              <a:effectLst/>
            </a:rPr>
            <a:t>Requerimientos</a:t>
          </a:r>
          <a:r>
            <a:rPr lang="es-ES" sz="1100">
              <a:solidFill>
                <a:schemeClr val="bg1">
                  <a:lumMod val="50000"/>
                </a:schemeClr>
              </a:solidFill>
              <a:effectLst/>
            </a:rPr>
            <a:t> energéticos</a:t>
          </a:r>
        </a:p>
      </xdr:txBody>
    </xdr:sp>
    <xdr:clientData/>
  </xdr:oneCellAnchor>
  <xdr:twoCellAnchor>
    <xdr:from>
      <xdr:col>18</xdr:col>
      <xdr:colOff>200025</xdr:colOff>
      <xdr:row>0</xdr:row>
      <xdr:rowOff>123825</xdr:rowOff>
    </xdr:from>
    <xdr:to>
      <xdr:col>20</xdr:col>
      <xdr:colOff>685800</xdr:colOff>
      <xdr:row>3</xdr:row>
      <xdr:rowOff>19050</xdr:rowOff>
    </xdr:to>
    <xdr:grpSp>
      <xdr:nvGrpSpPr>
        <xdr:cNvPr id="77" name="Grupo 76">
          <a:extLst>
            <a:ext uri="{FF2B5EF4-FFF2-40B4-BE49-F238E27FC236}">
              <a16:creationId xmlns:a16="http://schemas.microsoft.com/office/drawing/2014/main" id="{00000000-0008-0000-1000-00004D000000}"/>
            </a:ext>
          </a:extLst>
        </xdr:cNvPr>
        <xdr:cNvGrpSpPr/>
      </xdr:nvGrpSpPr>
      <xdr:grpSpPr>
        <a:xfrm>
          <a:off x="15428119" y="123825"/>
          <a:ext cx="2831306" cy="466725"/>
          <a:chOff x="15497175" y="542925"/>
          <a:chExt cx="2828925" cy="466725"/>
        </a:xfrm>
      </xdr:grpSpPr>
      <xdr:grpSp>
        <xdr:nvGrpSpPr>
          <xdr:cNvPr id="76" name="Grupo 75">
            <a:extLst>
              <a:ext uri="{FF2B5EF4-FFF2-40B4-BE49-F238E27FC236}">
                <a16:creationId xmlns:a16="http://schemas.microsoft.com/office/drawing/2014/main" id="{00000000-0008-0000-1000-00004C000000}"/>
              </a:ext>
            </a:extLst>
          </xdr:cNvPr>
          <xdr:cNvGrpSpPr/>
        </xdr:nvGrpSpPr>
        <xdr:grpSpPr>
          <a:xfrm>
            <a:off x="15554325" y="628650"/>
            <a:ext cx="2771775" cy="314325"/>
            <a:chOff x="15621000" y="190500"/>
            <a:chExt cx="2771775" cy="314325"/>
          </a:xfrm>
        </xdr:grpSpPr>
        <xdr:sp macro="" textlink="">
          <xdr:nvSpPr>
            <xdr:cNvPr id="74" name="Elipse 73">
              <a:extLst>
                <a:ext uri="{FF2B5EF4-FFF2-40B4-BE49-F238E27FC236}">
                  <a16:creationId xmlns:a16="http://schemas.microsoft.com/office/drawing/2014/main" id="{00000000-0008-0000-1000-00004A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1" name="Rectángulo: esquinas redondeadas 70">
              <a:extLst>
                <a:ext uri="{FF2B5EF4-FFF2-40B4-BE49-F238E27FC236}">
                  <a16:creationId xmlns:a16="http://schemas.microsoft.com/office/drawing/2014/main" id="{00000000-0008-0000-1000-000047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21" name="Gráfico 20" descr="Información con relleno sólido">
            <a:hlinkClick xmlns:r="http://schemas.openxmlformats.org/officeDocument/2006/relationships" r:id="rId62"/>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15497175" y="542925"/>
            <a:ext cx="466725" cy="466725"/>
          </a:xfrm>
          <a:prstGeom prst="rect">
            <a:avLst/>
          </a:prstGeom>
        </xdr:spPr>
      </xdr:pic>
    </xdr:grpSp>
    <xdr:clientData/>
  </xdr:twoCellAnchor>
</xdr:wsDr>
</file>

<file path=xl/drawings/drawing17.xml><?xml version="1.0" encoding="utf-8"?>
<c:userShapes xmlns:c="http://schemas.openxmlformats.org/drawingml/2006/chart">
  <cdr:relSizeAnchor xmlns:cdr="http://schemas.openxmlformats.org/drawingml/2006/chartDrawing">
    <cdr:from>
      <cdr:x>0.32003</cdr:x>
      <cdr:y>0.90813</cdr:y>
    </cdr:from>
    <cdr:to>
      <cdr:x>0.4328</cdr:x>
      <cdr:y>0.98065</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170238" y="2920206"/>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18.xml><?xml version="1.0" encoding="utf-8"?>
<c:userShapes xmlns:c="http://schemas.openxmlformats.org/drawingml/2006/chart">
  <cdr:relSizeAnchor xmlns:cdr="http://schemas.openxmlformats.org/drawingml/2006/chartDrawing">
    <cdr:from>
      <cdr:x>0.34407</cdr:x>
      <cdr:y>0.91615</cdr:y>
    </cdr:from>
    <cdr:to>
      <cdr:x>0.45684</cdr:x>
      <cdr:y>0.98814</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408362" y="2967831"/>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19.xml><?xml version="1.0" encoding="utf-8"?>
<c:userShapes xmlns:c="http://schemas.openxmlformats.org/drawingml/2006/chart">
  <cdr:relSizeAnchor xmlns:cdr="http://schemas.openxmlformats.org/drawingml/2006/chartDrawing">
    <cdr:from>
      <cdr:x>0.34539</cdr:x>
      <cdr:y>0.91065</cdr:y>
    </cdr:from>
    <cdr:to>
      <cdr:x>0.4582</cdr:x>
      <cdr:y>0.97866</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420269" y="3122613"/>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0.xml><?xml version="1.0" encoding="utf-8"?>
<c:userShapes xmlns:c="http://schemas.openxmlformats.org/drawingml/2006/chart">
  <cdr:relSizeAnchor xmlns:cdr="http://schemas.openxmlformats.org/drawingml/2006/chartDrawing">
    <cdr:from>
      <cdr:x>0.32375</cdr:x>
      <cdr:y>0.91412</cdr:y>
    </cdr:from>
    <cdr:to>
      <cdr:x>0.43655</cdr:x>
      <cdr:y>0.98213</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205956" y="3134518"/>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1.xml><?xml version="1.0" encoding="utf-8"?>
<c:userShapes xmlns:c="http://schemas.openxmlformats.org/drawingml/2006/chart">
  <cdr:relSizeAnchor xmlns:cdr="http://schemas.openxmlformats.org/drawingml/2006/chartDrawing">
    <cdr:from>
      <cdr:x>0.31894</cdr:x>
      <cdr:y>0.89329</cdr:y>
    </cdr:from>
    <cdr:to>
      <cdr:x>0.43175</cdr:x>
      <cdr:y>0.9613</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158331" y="3063081"/>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2.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1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1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1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1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1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1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1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1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1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1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1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1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54" name="Grupo 53">
          <a:hlinkClick xmlns:r="http://schemas.openxmlformats.org/officeDocument/2006/relationships" r:id="rId18"/>
          <a:extLst>
            <a:ext uri="{FF2B5EF4-FFF2-40B4-BE49-F238E27FC236}">
              <a16:creationId xmlns:a16="http://schemas.microsoft.com/office/drawing/2014/main" id="{00000000-0008-0000-1100-000036000000}"/>
            </a:ext>
          </a:extLst>
        </xdr:cNvPr>
        <xdr:cNvGrpSpPr/>
      </xdr:nvGrpSpPr>
      <xdr:grpSpPr>
        <a:xfrm>
          <a:off x="12253913" y="95250"/>
          <a:ext cx="3171825" cy="495300"/>
          <a:chOff x="12249150" y="19050"/>
          <a:chExt cx="3171825" cy="495300"/>
        </a:xfrm>
      </xdr:grpSpPr>
      <xdr:grpSp>
        <xdr:nvGrpSpPr>
          <xdr:cNvPr id="55" name="Grupo 54">
            <a:extLst>
              <a:ext uri="{FF2B5EF4-FFF2-40B4-BE49-F238E27FC236}">
                <a16:creationId xmlns:a16="http://schemas.microsoft.com/office/drawing/2014/main" id="{00000000-0008-0000-1100-000037000000}"/>
              </a:ext>
            </a:extLst>
          </xdr:cNvPr>
          <xdr:cNvGrpSpPr/>
        </xdr:nvGrpSpPr>
        <xdr:grpSpPr>
          <a:xfrm>
            <a:off x="12249150" y="66675"/>
            <a:ext cx="3171825" cy="438150"/>
            <a:chOff x="12515849" y="47625"/>
            <a:chExt cx="3171825" cy="438150"/>
          </a:xfrm>
        </xdr:grpSpPr>
        <xdr:sp macro="" textlink="">
          <xdr:nvSpPr>
            <xdr:cNvPr id="57" name="Rectángulo: esquinas redondeadas 56">
              <a:extLst>
                <a:ext uri="{FF2B5EF4-FFF2-40B4-BE49-F238E27FC236}">
                  <a16:creationId xmlns:a16="http://schemas.microsoft.com/office/drawing/2014/main" id="{00000000-0008-0000-1100-000039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1100-00003A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Electricidad</a:t>
              </a:r>
            </a:p>
          </xdr:txBody>
        </xdr:sp>
      </xdr:grpSp>
      <xdr:pic>
        <xdr:nvPicPr>
          <xdr:cNvPr id="56" name="Gráfico 55" descr="Búsqueda de carpetas con relleno sólido">
            <a:extLst>
              <a:ext uri="{FF2B5EF4-FFF2-40B4-BE49-F238E27FC236}">
                <a16:creationId xmlns:a16="http://schemas.microsoft.com/office/drawing/2014/main" id="{00000000-0008-0000-1100-000038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61" name="Grupo 60">
          <a:hlinkClick xmlns:r="http://schemas.openxmlformats.org/officeDocument/2006/relationships" r:id="rId9"/>
          <a:extLst>
            <a:ext uri="{FF2B5EF4-FFF2-40B4-BE49-F238E27FC236}">
              <a16:creationId xmlns:a16="http://schemas.microsoft.com/office/drawing/2014/main" id="{00000000-0008-0000-1100-00003D000000}"/>
            </a:ext>
          </a:extLst>
        </xdr:cNvPr>
        <xdr:cNvGrpSpPr/>
      </xdr:nvGrpSpPr>
      <xdr:grpSpPr>
        <a:xfrm>
          <a:off x="0" y="3760792"/>
          <a:ext cx="1446686" cy="638178"/>
          <a:chOff x="0" y="2767017"/>
          <a:chExt cx="1295400" cy="638178"/>
        </a:xfrm>
      </xdr:grpSpPr>
      <xdr:sp macro="" textlink="">
        <xdr:nvSpPr>
          <xdr:cNvPr id="62" name="Rectángulo: esquinas superiores redondeadas 61">
            <a:extLst>
              <a:ext uri="{FF2B5EF4-FFF2-40B4-BE49-F238E27FC236}">
                <a16:creationId xmlns:a16="http://schemas.microsoft.com/office/drawing/2014/main" id="{00000000-0008-0000-1100-00003E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63" name="Gráfico 62" descr="Gráfico de barras con relleno sólido">
            <a:extLst>
              <a:ext uri="{FF2B5EF4-FFF2-40B4-BE49-F238E27FC236}">
                <a16:creationId xmlns:a16="http://schemas.microsoft.com/office/drawing/2014/main" id="{00000000-0008-0000-1100-00003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64" name="Rectángulo: esquinas superiores redondeadas 63">
          <a:extLst>
            <a:ext uri="{FF2B5EF4-FFF2-40B4-BE49-F238E27FC236}">
              <a16:creationId xmlns:a16="http://schemas.microsoft.com/office/drawing/2014/main" id="{00000000-0008-0000-1100-000040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65" name="Grupo 64">
          <a:hlinkClick xmlns:r="http://schemas.openxmlformats.org/officeDocument/2006/relationships" r:id="rId21"/>
          <a:extLst>
            <a:ext uri="{FF2B5EF4-FFF2-40B4-BE49-F238E27FC236}">
              <a16:creationId xmlns:a16="http://schemas.microsoft.com/office/drawing/2014/main" id="{00000000-0008-0000-1100-000041000000}"/>
            </a:ext>
          </a:extLst>
        </xdr:cNvPr>
        <xdr:cNvGrpSpPr/>
      </xdr:nvGrpSpPr>
      <xdr:grpSpPr>
        <a:xfrm>
          <a:off x="1438275" y="630545"/>
          <a:ext cx="1876426" cy="427462"/>
          <a:chOff x="1438275" y="630545"/>
          <a:chExt cx="1876426" cy="427462"/>
        </a:xfrm>
      </xdr:grpSpPr>
      <xdr:sp macro="" textlink="">
        <xdr:nvSpPr>
          <xdr:cNvPr id="66" name="Rectángulo 65">
            <a:extLst>
              <a:ext uri="{FF2B5EF4-FFF2-40B4-BE49-F238E27FC236}">
                <a16:creationId xmlns:a16="http://schemas.microsoft.com/office/drawing/2014/main" id="{00000000-0008-0000-1100-000042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67" name="Gráfico 66" descr="Batería en carga con relleno sólido">
            <a:extLst>
              <a:ext uri="{FF2B5EF4-FFF2-40B4-BE49-F238E27FC236}">
                <a16:creationId xmlns:a16="http://schemas.microsoft.com/office/drawing/2014/main" id="{00000000-0008-0000-1100-00004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68" name="Grupo 67">
          <a:hlinkClick xmlns:r="http://schemas.openxmlformats.org/officeDocument/2006/relationships" r:id="rId24"/>
          <a:extLst>
            <a:ext uri="{FF2B5EF4-FFF2-40B4-BE49-F238E27FC236}">
              <a16:creationId xmlns:a16="http://schemas.microsoft.com/office/drawing/2014/main" id="{00000000-0008-0000-1100-000044000000}"/>
            </a:ext>
          </a:extLst>
        </xdr:cNvPr>
        <xdr:cNvGrpSpPr/>
      </xdr:nvGrpSpPr>
      <xdr:grpSpPr>
        <a:xfrm>
          <a:off x="1438275" y="1227614"/>
          <a:ext cx="1876426" cy="440780"/>
          <a:chOff x="1438275" y="1227614"/>
          <a:chExt cx="1876426" cy="440780"/>
        </a:xfrm>
      </xdr:grpSpPr>
      <xdr:sp macro="" textlink="">
        <xdr:nvSpPr>
          <xdr:cNvPr id="69" name="Rectángulo 68">
            <a:extLst>
              <a:ext uri="{FF2B5EF4-FFF2-40B4-BE49-F238E27FC236}">
                <a16:creationId xmlns:a16="http://schemas.microsoft.com/office/drawing/2014/main" id="{00000000-0008-0000-1100-000045000000}"/>
              </a:ext>
            </a:extLst>
          </xdr:cNvPr>
          <xdr:cNvSpPr/>
        </xdr:nvSpPr>
        <xdr:spPr>
          <a:xfrm>
            <a:off x="1438275" y="1227614"/>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ENERGÍA</a:t>
            </a:r>
            <a:r>
              <a:rPr lang="es-ES" sz="1000" b="1" baseline="0">
                <a:solidFill>
                  <a:schemeClr val="accent6">
                    <a:lumMod val="50000"/>
                  </a:schemeClr>
                </a:solidFill>
              </a:rPr>
              <a:t> - EyA</a:t>
            </a:r>
            <a:endParaRPr lang="es-ES" sz="1000" b="1">
              <a:solidFill>
                <a:schemeClr val="accent6">
                  <a:lumMod val="50000"/>
                </a:schemeClr>
              </a:solidFill>
            </a:endParaRPr>
          </a:p>
        </xdr:txBody>
      </xdr:sp>
      <xdr:pic>
        <xdr:nvPicPr>
          <xdr:cNvPr id="70" name="Gráfico 69" descr="Alta tensión con relleno sólido">
            <a:extLst>
              <a:ext uri="{FF2B5EF4-FFF2-40B4-BE49-F238E27FC236}">
                <a16:creationId xmlns:a16="http://schemas.microsoft.com/office/drawing/2014/main" id="{00000000-0008-0000-1100-00004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71" name="Grupo 70">
          <a:hlinkClick xmlns:r="http://schemas.openxmlformats.org/officeDocument/2006/relationships" r:id="rId27"/>
          <a:extLst>
            <a:ext uri="{FF2B5EF4-FFF2-40B4-BE49-F238E27FC236}">
              <a16:creationId xmlns:a16="http://schemas.microsoft.com/office/drawing/2014/main" id="{00000000-0008-0000-1100-000047000000}"/>
            </a:ext>
          </a:extLst>
        </xdr:cNvPr>
        <xdr:cNvGrpSpPr/>
      </xdr:nvGrpSpPr>
      <xdr:grpSpPr>
        <a:xfrm>
          <a:off x="1438275" y="1853701"/>
          <a:ext cx="1876426" cy="440780"/>
          <a:chOff x="1438275" y="1853701"/>
          <a:chExt cx="1876426" cy="440780"/>
        </a:xfrm>
      </xdr:grpSpPr>
      <xdr:sp macro="" textlink="">
        <xdr:nvSpPr>
          <xdr:cNvPr id="72" name="Rectángulo 71">
            <a:extLst>
              <a:ext uri="{FF2B5EF4-FFF2-40B4-BE49-F238E27FC236}">
                <a16:creationId xmlns:a16="http://schemas.microsoft.com/office/drawing/2014/main" id="{00000000-0008-0000-1100-000048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73" name="Gráfico 72" descr="Producción con relleno sólido">
            <a:extLst>
              <a:ext uri="{FF2B5EF4-FFF2-40B4-BE49-F238E27FC236}">
                <a16:creationId xmlns:a16="http://schemas.microsoft.com/office/drawing/2014/main" id="{00000000-0008-0000-1100-000049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74" name="Grupo 73">
          <a:hlinkClick xmlns:r="http://schemas.openxmlformats.org/officeDocument/2006/relationships" r:id="rId30"/>
          <a:extLst>
            <a:ext uri="{FF2B5EF4-FFF2-40B4-BE49-F238E27FC236}">
              <a16:creationId xmlns:a16="http://schemas.microsoft.com/office/drawing/2014/main" id="{00000000-0008-0000-1100-00004A000000}"/>
            </a:ext>
          </a:extLst>
        </xdr:cNvPr>
        <xdr:cNvGrpSpPr/>
      </xdr:nvGrpSpPr>
      <xdr:grpSpPr>
        <a:xfrm>
          <a:off x="1438275" y="2479788"/>
          <a:ext cx="1876426" cy="440780"/>
          <a:chOff x="1438275" y="2479788"/>
          <a:chExt cx="1876426" cy="440780"/>
        </a:xfrm>
      </xdr:grpSpPr>
      <xdr:sp macro="" textlink="">
        <xdr:nvSpPr>
          <xdr:cNvPr id="75" name="Rectángulo 74">
            <a:extLst>
              <a:ext uri="{FF2B5EF4-FFF2-40B4-BE49-F238E27FC236}">
                <a16:creationId xmlns:a16="http://schemas.microsoft.com/office/drawing/2014/main" id="{00000000-0008-0000-1100-00004B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76" name="Gráfico 75" descr="Basura con relleno sólido">
            <a:extLst>
              <a:ext uri="{FF2B5EF4-FFF2-40B4-BE49-F238E27FC236}">
                <a16:creationId xmlns:a16="http://schemas.microsoft.com/office/drawing/2014/main" id="{00000000-0008-0000-1100-00004C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77" name="Grupo 76">
          <a:hlinkClick xmlns:r="http://schemas.openxmlformats.org/officeDocument/2006/relationships" r:id="rId33"/>
          <a:extLst>
            <a:ext uri="{FF2B5EF4-FFF2-40B4-BE49-F238E27FC236}">
              <a16:creationId xmlns:a16="http://schemas.microsoft.com/office/drawing/2014/main" id="{00000000-0008-0000-1100-00004D000000}"/>
            </a:ext>
          </a:extLst>
        </xdr:cNvPr>
        <xdr:cNvGrpSpPr/>
      </xdr:nvGrpSpPr>
      <xdr:grpSpPr>
        <a:xfrm>
          <a:off x="1438275" y="3705160"/>
          <a:ext cx="1876426" cy="543340"/>
          <a:chOff x="1438275" y="3705160"/>
          <a:chExt cx="1876426" cy="543340"/>
        </a:xfrm>
      </xdr:grpSpPr>
      <xdr:sp macro="" textlink="">
        <xdr:nvSpPr>
          <xdr:cNvPr id="78" name="Rectángulo 77">
            <a:extLst>
              <a:ext uri="{FF2B5EF4-FFF2-40B4-BE49-F238E27FC236}">
                <a16:creationId xmlns:a16="http://schemas.microsoft.com/office/drawing/2014/main" id="{00000000-0008-0000-1100-00004E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79" name="Gráfico 78" descr="Coche eléctrico con relleno sólido">
            <a:extLst>
              <a:ext uri="{FF2B5EF4-FFF2-40B4-BE49-F238E27FC236}">
                <a16:creationId xmlns:a16="http://schemas.microsoft.com/office/drawing/2014/main" id="{00000000-0008-0000-1100-00004F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80" name="Grupo 79">
          <a:hlinkClick xmlns:r="http://schemas.openxmlformats.org/officeDocument/2006/relationships" r:id="rId36"/>
          <a:extLst>
            <a:ext uri="{FF2B5EF4-FFF2-40B4-BE49-F238E27FC236}">
              <a16:creationId xmlns:a16="http://schemas.microsoft.com/office/drawing/2014/main" id="{00000000-0008-0000-1100-000050000000}"/>
            </a:ext>
          </a:extLst>
        </xdr:cNvPr>
        <xdr:cNvGrpSpPr/>
      </xdr:nvGrpSpPr>
      <xdr:grpSpPr>
        <a:xfrm>
          <a:off x="1438275" y="3105875"/>
          <a:ext cx="1876426" cy="456411"/>
          <a:chOff x="1438275" y="3105875"/>
          <a:chExt cx="1876426" cy="456411"/>
        </a:xfrm>
      </xdr:grpSpPr>
      <xdr:sp macro="" textlink="">
        <xdr:nvSpPr>
          <xdr:cNvPr id="81" name="Rectángulo 80">
            <a:extLst>
              <a:ext uri="{FF2B5EF4-FFF2-40B4-BE49-F238E27FC236}">
                <a16:creationId xmlns:a16="http://schemas.microsoft.com/office/drawing/2014/main" id="{00000000-0008-0000-1100-000051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82" name="Gráfico 81" descr="Escena suburbana con relleno sólido">
            <a:extLst>
              <a:ext uri="{FF2B5EF4-FFF2-40B4-BE49-F238E27FC236}">
                <a16:creationId xmlns:a16="http://schemas.microsoft.com/office/drawing/2014/main" id="{00000000-0008-0000-1100-000052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83" name="Grupo 82">
          <a:hlinkClick xmlns:r="http://schemas.openxmlformats.org/officeDocument/2006/relationships" r:id="rId39"/>
          <a:extLst>
            <a:ext uri="{FF2B5EF4-FFF2-40B4-BE49-F238E27FC236}">
              <a16:creationId xmlns:a16="http://schemas.microsoft.com/office/drawing/2014/main" id="{00000000-0008-0000-1100-000053000000}"/>
            </a:ext>
          </a:extLst>
        </xdr:cNvPr>
        <xdr:cNvGrpSpPr/>
      </xdr:nvGrpSpPr>
      <xdr:grpSpPr>
        <a:xfrm>
          <a:off x="1438275" y="4336296"/>
          <a:ext cx="1876426" cy="462533"/>
          <a:chOff x="1438275" y="4336296"/>
          <a:chExt cx="1876426" cy="462533"/>
        </a:xfrm>
      </xdr:grpSpPr>
      <xdr:sp macro="" textlink="">
        <xdr:nvSpPr>
          <xdr:cNvPr id="84" name="Rectángulo 83">
            <a:extLst>
              <a:ext uri="{FF2B5EF4-FFF2-40B4-BE49-F238E27FC236}">
                <a16:creationId xmlns:a16="http://schemas.microsoft.com/office/drawing/2014/main" id="{00000000-0008-0000-1100-000054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85" name="Gráfico 84" descr="Cultivos con relleno sólido">
            <a:extLst>
              <a:ext uri="{FF2B5EF4-FFF2-40B4-BE49-F238E27FC236}">
                <a16:creationId xmlns:a16="http://schemas.microsoft.com/office/drawing/2014/main" id="{00000000-0008-0000-1100-000055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86" name="Grupo 85">
          <a:hlinkClick xmlns:r="http://schemas.openxmlformats.org/officeDocument/2006/relationships" r:id="rId42"/>
          <a:extLst>
            <a:ext uri="{FF2B5EF4-FFF2-40B4-BE49-F238E27FC236}">
              <a16:creationId xmlns:a16="http://schemas.microsoft.com/office/drawing/2014/main" id="{00000000-0008-0000-1100-000056000000}"/>
            </a:ext>
          </a:extLst>
        </xdr:cNvPr>
        <xdr:cNvGrpSpPr/>
      </xdr:nvGrpSpPr>
      <xdr:grpSpPr>
        <a:xfrm>
          <a:off x="1438275" y="4984136"/>
          <a:ext cx="1876426" cy="440780"/>
          <a:chOff x="1438275" y="4984136"/>
          <a:chExt cx="1876426" cy="440780"/>
        </a:xfrm>
      </xdr:grpSpPr>
      <xdr:sp macro="" textlink="">
        <xdr:nvSpPr>
          <xdr:cNvPr id="87" name="Rectángulo 86">
            <a:extLst>
              <a:ext uri="{FF2B5EF4-FFF2-40B4-BE49-F238E27FC236}">
                <a16:creationId xmlns:a16="http://schemas.microsoft.com/office/drawing/2014/main" id="{00000000-0008-0000-1100-000057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88" name="Gráfico 87" descr="Vaca con relleno sólido">
            <a:extLst>
              <a:ext uri="{FF2B5EF4-FFF2-40B4-BE49-F238E27FC236}">
                <a16:creationId xmlns:a16="http://schemas.microsoft.com/office/drawing/2014/main" id="{00000000-0008-0000-1100-000058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89" name="Grupo 88">
          <a:hlinkClick xmlns:r="http://schemas.openxmlformats.org/officeDocument/2006/relationships" r:id="rId45"/>
          <a:extLst>
            <a:ext uri="{FF2B5EF4-FFF2-40B4-BE49-F238E27FC236}">
              <a16:creationId xmlns:a16="http://schemas.microsoft.com/office/drawing/2014/main" id="{00000000-0008-0000-1100-000059000000}"/>
            </a:ext>
          </a:extLst>
        </xdr:cNvPr>
        <xdr:cNvGrpSpPr/>
      </xdr:nvGrpSpPr>
      <xdr:grpSpPr>
        <a:xfrm>
          <a:off x="1438275" y="5589039"/>
          <a:ext cx="1876426" cy="461966"/>
          <a:chOff x="1438275" y="5589039"/>
          <a:chExt cx="1876426" cy="461966"/>
        </a:xfrm>
      </xdr:grpSpPr>
      <xdr:sp macro="" textlink="">
        <xdr:nvSpPr>
          <xdr:cNvPr id="90" name="Rectángulo 89">
            <a:extLst>
              <a:ext uri="{FF2B5EF4-FFF2-40B4-BE49-F238E27FC236}">
                <a16:creationId xmlns:a16="http://schemas.microsoft.com/office/drawing/2014/main" id="{00000000-0008-0000-1100-00005A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91" name="Gráfico 90" descr="Selva tropical con relleno sólido">
            <a:extLst>
              <a:ext uri="{FF2B5EF4-FFF2-40B4-BE49-F238E27FC236}">
                <a16:creationId xmlns:a16="http://schemas.microsoft.com/office/drawing/2014/main" id="{00000000-0008-0000-1100-00005B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92" name="Grupo 91">
          <a:hlinkClick xmlns:r="http://schemas.openxmlformats.org/officeDocument/2006/relationships" r:id="rId48"/>
          <a:extLst>
            <a:ext uri="{FF2B5EF4-FFF2-40B4-BE49-F238E27FC236}">
              <a16:creationId xmlns:a16="http://schemas.microsoft.com/office/drawing/2014/main" id="{00000000-0008-0000-1100-00005C000000}"/>
            </a:ext>
          </a:extLst>
        </xdr:cNvPr>
        <xdr:cNvGrpSpPr/>
      </xdr:nvGrpSpPr>
      <xdr:grpSpPr>
        <a:xfrm>
          <a:off x="0" y="6477000"/>
          <a:ext cx="1240383" cy="416889"/>
          <a:chOff x="28575" y="6381750"/>
          <a:chExt cx="1240383" cy="416889"/>
        </a:xfrm>
      </xdr:grpSpPr>
      <xdr:pic>
        <xdr:nvPicPr>
          <xdr:cNvPr id="93" name="Gráfico 92" descr="Engranaje único con relleno sólido">
            <a:extLst>
              <a:ext uri="{FF2B5EF4-FFF2-40B4-BE49-F238E27FC236}">
                <a16:creationId xmlns:a16="http://schemas.microsoft.com/office/drawing/2014/main" id="{00000000-0008-0000-1100-00005D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94" name="CuadroTexto 93">
            <a:extLst>
              <a:ext uri="{FF2B5EF4-FFF2-40B4-BE49-F238E27FC236}">
                <a16:creationId xmlns:a16="http://schemas.microsoft.com/office/drawing/2014/main" id="{00000000-0008-0000-1100-00005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190500</xdr:colOff>
      <xdr:row>2</xdr:row>
      <xdr:rowOff>83820</xdr:rowOff>
    </xdr:from>
    <xdr:to>
      <xdr:col>4</xdr:col>
      <xdr:colOff>258658</xdr:colOff>
      <xdr:row>5</xdr:row>
      <xdr:rowOff>125095</xdr:rowOff>
    </xdr:to>
    <xdr:grpSp>
      <xdr:nvGrpSpPr>
        <xdr:cNvPr id="95" name="Grupo 94">
          <a:extLst>
            <a:ext uri="{FF2B5EF4-FFF2-40B4-BE49-F238E27FC236}">
              <a16:creationId xmlns:a16="http://schemas.microsoft.com/office/drawing/2014/main" id="{00000000-0008-0000-1100-00005F000000}"/>
            </a:ext>
          </a:extLst>
        </xdr:cNvPr>
        <xdr:cNvGrpSpPr/>
      </xdr:nvGrpSpPr>
      <xdr:grpSpPr>
        <a:xfrm>
          <a:off x="3976688" y="464820"/>
          <a:ext cx="830158" cy="612775"/>
          <a:chOff x="4552948" y="1857374"/>
          <a:chExt cx="819151" cy="600075"/>
        </a:xfrm>
      </xdr:grpSpPr>
      <xdr:pic>
        <xdr:nvPicPr>
          <xdr:cNvPr id="96" name="Gráfico 95" descr="Nube con relleno sólido">
            <a:extLst>
              <a:ext uri="{FF2B5EF4-FFF2-40B4-BE49-F238E27FC236}">
                <a16:creationId xmlns:a16="http://schemas.microsoft.com/office/drawing/2014/main" id="{00000000-0008-0000-1100-00006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97" name="CuadroTexto 96">
            <a:extLst>
              <a:ext uri="{FF2B5EF4-FFF2-40B4-BE49-F238E27FC236}">
                <a16:creationId xmlns:a16="http://schemas.microsoft.com/office/drawing/2014/main" id="{00000000-0008-0000-1100-000061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4</xdr:col>
      <xdr:colOff>0</xdr:colOff>
      <xdr:row>6</xdr:row>
      <xdr:rowOff>0</xdr:rowOff>
    </xdr:from>
    <xdr:to>
      <xdr:col>17</xdr:col>
      <xdr:colOff>592817</xdr:colOff>
      <xdr:row>22</xdr:row>
      <xdr:rowOff>81642</xdr:rowOff>
    </xdr:to>
    <xdr:graphicFrame macro="">
      <xdr:nvGraphicFramePr>
        <xdr:cNvPr id="29" name="Gráfico 23">
          <a:extLst>
            <a:ext uri="{FF2B5EF4-FFF2-40B4-BE49-F238E27FC236}">
              <a16:creationId xmlns:a16="http://schemas.microsoft.com/office/drawing/2014/main" id="{00000000-0008-0000-11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xdr:col>
      <xdr:colOff>0</xdr:colOff>
      <xdr:row>27</xdr:row>
      <xdr:rowOff>44826</xdr:rowOff>
    </xdr:from>
    <xdr:to>
      <xdr:col>17</xdr:col>
      <xdr:colOff>592817</xdr:colOff>
      <xdr:row>43</xdr:row>
      <xdr:rowOff>156948</xdr:rowOff>
    </xdr:to>
    <xdr:graphicFrame macro="">
      <xdr:nvGraphicFramePr>
        <xdr:cNvPr id="35" name="Gráfico 23">
          <a:extLst>
            <a:ext uri="{FF2B5EF4-FFF2-40B4-BE49-F238E27FC236}">
              <a16:creationId xmlns:a16="http://schemas.microsoft.com/office/drawing/2014/main" id="{00000000-0008-0000-11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3</xdr:col>
      <xdr:colOff>624840</xdr:colOff>
      <xdr:row>53</xdr:row>
      <xdr:rowOff>30480</xdr:rowOff>
    </xdr:from>
    <xdr:to>
      <xdr:col>17</xdr:col>
      <xdr:colOff>425177</xdr:colOff>
      <xdr:row>70</xdr:row>
      <xdr:rowOff>173082</xdr:rowOff>
    </xdr:to>
    <xdr:graphicFrame macro="">
      <xdr:nvGraphicFramePr>
        <xdr:cNvPr id="223" name="Gráfico 23">
          <a:extLst>
            <a:ext uri="{FF2B5EF4-FFF2-40B4-BE49-F238E27FC236}">
              <a16:creationId xmlns:a16="http://schemas.microsoft.com/office/drawing/2014/main" id="{00000000-0008-0000-1100-0000D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editAs="oneCell">
    <xdr:from>
      <xdr:col>3</xdr:col>
      <xdr:colOff>368300</xdr:colOff>
      <xdr:row>23</xdr:row>
      <xdr:rowOff>0</xdr:rowOff>
    </xdr:from>
    <xdr:to>
      <xdr:col>4</xdr:col>
      <xdr:colOff>62865</xdr:colOff>
      <xdr:row>25</xdr:row>
      <xdr:rowOff>25400</xdr:rowOff>
    </xdr:to>
    <xdr:pic>
      <xdr:nvPicPr>
        <xdr:cNvPr id="207" name="Gráfico 49" descr="Torre eléctrica con relleno sólido">
          <a:extLst>
            <a:ext uri="{FF2B5EF4-FFF2-40B4-BE49-F238E27FC236}">
              <a16:creationId xmlns:a16="http://schemas.microsoft.com/office/drawing/2014/main" id="{00000000-0008-0000-1100-0000CF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267200" y="4381500"/>
          <a:ext cx="485140" cy="412115"/>
        </a:xfrm>
        <a:prstGeom prst="rect">
          <a:avLst/>
        </a:prstGeom>
      </xdr:spPr>
    </xdr:pic>
    <xdr:clientData/>
  </xdr:twoCellAnchor>
  <xdr:twoCellAnchor editAs="oneCell">
    <xdr:from>
      <xdr:col>3</xdr:col>
      <xdr:colOff>322173</xdr:colOff>
      <xdr:row>72</xdr:row>
      <xdr:rowOff>52669</xdr:rowOff>
    </xdr:from>
    <xdr:to>
      <xdr:col>3</xdr:col>
      <xdr:colOff>736789</xdr:colOff>
      <xdr:row>74</xdr:row>
      <xdr:rowOff>41462</xdr:rowOff>
    </xdr:to>
    <xdr:pic>
      <xdr:nvPicPr>
        <xdr:cNvPr id="40" name="Gráfico 22" descr="Compartir con relleno sólido">
          <a:extLst>
            <a:ext uri="{FF2B5EF4-FFF2-40B4-BE49-F238E27FC236}">
              <a16:creationId xmlns:a16="http://schemas.microsoft.com/office/drawing/2014/main" id="{00000000-0008-0000-1100-000028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103598" y="13844869"/>
          <a:ext cx="414616" cy="417418"/>
        </a:xfrm>
        <a:prstGeom prst="rect">
          <a:avLst/>
        </a:prstGeom>
      </xdr:spPr>
    </xdr:pic>
    <xdr:clientData/>
  </xdr:twoCellAnchor>
  <xdr:twoCellAnchor>
    <xdr:from>
      <xdr:col>3</xdr:col>
      <xdr:colOff>332815</xdr:colOff>
      <xdr:row>49</xdr:row>
      <xdr:rowOff>63874</xdr:rowOff>
    </xdr:from>
    <xdr:to>
      <xdr:col>3</xdr:col>
      <xdr:colOff>680198</xdr:colOff>
      <xdr:row>51</xdr:row>
      <xdr:rowOff>5043</xdr:rowOff>
    </xdr:to>
    <xdr:grpSp>
      <xdr:nvGrpSpPr>
        <xdr:cNvPr id="20" name="Grupo 19">
          <a:extLst>
            <a:ext uri="{FF2B5EF4-FFF2-40B4-BE49-F238E27FC236}">
              <a16:creationId xmlns:a16="http://schemas.microsoft.com/office/drawing/2014/main" id="{00000000-0008-0000-1100-000014000000}"/>
            </a:ext>
          </a:extLst>
        </xdr:cNvPr>
        <xdr:cNvGrpSpPr/>
      </xdr:nvGrpSpPr>
      <xdr:grpSpPr>
        <a:xfrm>
          <a:off x="4119003" y="9422187"/>
          <a:ext cx="347383" cy="369794"/>
          <a:chOff x="4048056" y="14253486"/>
          <a:chExt cx="1207503" cy="1277866"/>
        </a:xfrm>
      </xdr:grpSpPr>
      <xdr:sp macro="" textlink="">
        <xdr:nvSpPr>
          <xdr:cNvPr id="60" name="Forma libre: forma 25">
            <a:extLst>
              <a:ext uri="{FF2B5EF4-FFF2-40B4-BE49-F238E27FC236}">
                <a16:creationId xmlns:a16="http://schemas.microsoft.com/office/drawing/2014/main" id="{00000000-0008-0000-1100-00003C000000}"/>
              </a:ext>
            </a:extLst>
          </xdr:cNvPr>
          <xdr:cNvSpPr/>
        </xdr:nvSpPr>
        <xdr:spPr>
          <a:xfrm rot="17327457" flipH="1">
            <a:off x="4225036" y="14417619"/>
            <a:ext cx="1048584" cy="900413"/>
          </a:xfrm>
          <a:custGeom>
            <a:avLst/>
            <a:gdLst>
              <a:gd name="connsiteX0" fmla="*/ 400493 w 400493"/>
              <a:gd name="connsiteY0" fmla="*/ 131669 h 323686"/>
              <a:gd name="connsiteX1" fmla="*/ 243588 w 400493"/>
              <a:gd name="connsiteY1" fmla="*/ 0 h 323686"/>
              <a:gd name="connsiteX2" fmla="*/ 243588 w 400493"/>
              <a:gd name="connsiteY2" fmla="*/ 76807 h 323686"/>
              <a:gd name="connsiteX3" fmla="*/ 0 w 400493"/>
              <a:gd name="connsiteY3" fmla="*/ 323686 h 323686"/>
              <a:gd name="connsiteX4" fmla="*/ 243588 w 400493"/>
              <a:gd name="connsiteY4" fmla="*/ 192017 h 323686"/>
              <a:gd name="connsiteX5" fmla="*/ 243588 w 400493"/>
              <a:gd name="connsiteY5" fmla="*/ 263338 h 323686"/>
              <a:gd name="connsiteX6" fmla="*/ 400493 w 400493"/>
              <a:gd name="connsiteY6" fmla="*/ 131669 h 3236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00493" h="323686">
                <a:moveTo>
                  <a:pt x="400493" y="131669"/>
                </a:moveTo>
                <a:lnTo>
                  <a:pt x="243588" y="0"/>
                </a:lnTo>
                <a:lnTo>
                  <a:pt x="243588" y="76807"/>
                </a:lnTo>
                <a:cubicBezTo>
                  <a:pt x="3292" y="79001"/>
                  <a:pt x="0" y="323686"/>
                  <a:pt x="0" y="323686"/>
                </a:cubicBezTo>
                <a:cubicBezTo>
                  <a:pt x="0" y="323686"/>
                  <a:pt x="51022" y="193663"/>
                  <a:pt x="243588" y="192017"/>
                </a:cubicBezTo>
                <a:lnTo>
                  <a:pt x="243588" y="263338"/>
                </a:lnTo>
                <a:lnTo>
                  <a:pt x="400493" y="131669"/>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sp macro="" textlink="">
        <xdr:nvSpPr>
          <xdr:cNvPr id="49" name="Forma libre: forma 26">
            <a:extLst>
              <a:ext uri="{FF2B5EF4-FFF2-40B4-BE49-F238E27FC236}">
                <a16:creationId xmlns:a16="http://schemas.microsoft.com/office/drawing/2014/main" id="{00000000-0008-0000-1100-000031000000}"/>
              </a:ext>
            </a:extLst>
          </xdr:cNvPr>
          <xdr:cNvSpPr/>
        </xdr:nvSpPr>
        <xdr:spPr>
          <a:xfrm>
            <a:off x="4048056" y="14253486"/>
            <a:ext cx="1207503" cy="1277866"/>
          </a:xfrm>
          <a:custGeom>
            <a:avLst/>
            <a:gdLst>
              <a:gd name="connsiteX0" fmla="*/ 373062 w 405979"/>
              <a:gd name="connsiteY0" fmla="*/ 233164 h 405979"/>
              <a:gd name="connsiteX1" fmla="*/ 373062 w 405979"/>
              <a:gd name="connsiteY1" fmla="*/ 373062 h 405979"/>
              <a:gd name="connsiteX2" fmla="*/ 32917 w 405979"/>
              <a:gd name="connsiteY2" fmla="*/ 373062 h 405979"/>
              <a:gd name="connsiteX3" fmla="*/ 32917 w 405979"/>
              <a:gd name="connsiteY3" fmla="*/ 32917 h 405979"/>
              <a:gd name="connsiteX4" fmla="*/ 277602 w 405979"/>
              <a:gd name="connsiteY4" fmla="*/ 32917 h 405979"/>
              <a:gd name="connsiteX5" fmla="*/ 277602 w 405979"/>
              <a:gd name="connsiteY5" fmla="*/ 0 h 405979"/>
              <a:gd name="connsiteX6" fmla="*/ 0 w 405979"/>
              <a:gd name="connsiteY6" fmla="*/ 0 h 405979"/>
              <a:gd name="connsiteX7" fmla="*/ 0 w 405979"/>
              <a:gd name="connsiteY7" fmla="*/ 405979 h 405979"/>
              <a:gd name="connsiteX8" fmla="*/ 405979 w 405979"/>
              <a:gd name="connsiteY8" fmla="*/ 404334 h 405979"/>
              <a:gd name="connsiteX9" fmla="*/ 405979 w 405979"/>
              <a:gd name="connsiteY9" fmla="*/ 205184 h 4059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405979" h="405979">
                <a:moveTo>
                  <a:pt x="373062" y="233164"/>
                </a:moveTo>
                <a:lnTo>
                  <a:pt x="373062" y="373062"/>
                </a:lnTo>
                <a:lnTo>
                  <a:pt x="32917" y="373062"/>
                </a:lnTo>
                <a:lnTo>
                  <a:pt x="32917" y="32917"/>
                </a:lnTo>
                <a:lnTo>
                  <a:pt x="277602" y="32917"/>
                </a:lnTo>
                <a:lnTo>
                  <a:pt x="277602" y="0"/>
                </a:lnTo>
                <a:lnTo>
                  <a:pt x="0" y="0"/>
                </a:lnTo>
                <a:lnTo>
                  <a:pt x="0" y="405979"/>
                </a:lnTo>
                <a:lnTo>
                  <a:pt x="405979" y="404334"/>
                </a:lnTo>
                <a:lnTo>
                  <a:pt x="405979" y="205184"/>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grpSp>
    <xdr:clientData/>
  </xdr:twoCellAnchor>
  <xdr:twoCellAnchor>
    <xdr:from>
      <xdr:col>3</xdr:col>
      <xdr:colOff>721179</xdr:colOff>
      <xdr:row>76</xdr:row>
      <xdr:rowOff>40821</xdr:rowOff>
    </xdr:from>
    <xdr:to>
      <xdr:col>17</xdr:col>
      <xdr:colOff>521516</xdr:colOff>
      <xdr:row>93</xdr:row>
      <xdr:rowOff>183423</xdr:rowOff>
    </xdr:to>
    <xdr:graphicFrame macro="">
      <xdr:nvGraphicFramePr>
        <xdr:cNvPr id="21" name="Gráfico 23">
          <a:extLst>
            <a:ext uri="{FF2B5EF4-FFF2-40B4-BE49-F238E27FC236}">
              <a16:creationId xmlns:a16="http://schemas.microsoft.com/office/drawing/2014/main" id="{00000000-0008-0000-1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oneCellAnchor>
    <xdr:from>
      <xdr:col>2</xdr:col>
      <xdr:colOff>314333</xdr:colOff>
      <xdr:row>9</xdr:row>
      <xdr:rowOff>73771</xdr:rowOff>
    </xdr:from>
    <xdr:ext cx="233205" cy="1143390"/>
    <xdr:sp macro="" textlink="">
      <xdr:nvSpPr>
        <xdr:cNvPr id="22" name="CuadroTexto 21">
          <a:extLst>
            <a:ext uri="{FF2B5EF4-FFF2-40B4-BE49-F238E27FC236}">
              <a16:creationId xmlns:a16="http://schemas.microsoft.com/office/drawing/2014/main" id="{00000000-0008-0000-1100-000016000000}"/>
            </a:ext>
          </a:extLst>
        </xdr:cNvPr>
        <xdr:cNvSpPr txBox="1"/>
      </xdr:nvSpPr>
      <xdr:spPr>
        <a:xfrm rot="16200000">
          <a:off x="3288241" y="2243363"/>
          <a:ext cx="114339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r>
            <a:rPr lang="es-ES" sz="900" baseline="0">
              <a:solidFill>
                <a:schemeClr val="bg1">
                  <a:lumMod val="50000"/>
                </a:schemeClr>
              </a:solidFill>
              <a:effectLst/>
            </a:rPr>
            <a:t> del sector</a:t>
          </a:r>
          <a:endParaRPr lang="es-ES" sz="900">
            <a:solidFill>
              <a:schemeClr val="bg1">
                <a:lumMod val="50000"/>
              </a:schemeClr>
            </a:solidFill>
            <a:effectLst/>
          </a:endParaRPr>
        </a:p>
      </xdr:txBody>
    </xdr:sp>
    <xdr:clientData/>
  </xdr:oneCellAnchor>
  <xdr:oneCellAnchor>
    <xdr:from>
      <xdr:col>3</xdr:col>
      <xdr:colOff>6</xdr:colOff>
      <xdr:row>30</xdr:row>
      <xdr:rowOff>20226</xdr:rowOff>
    </xdr:from>
    <xdr:ext cx="233205" cy="1274388"/>
    <xdr:sp macro="" textlink="">
      <xdr:nvSpPr>
        <xdr:cNvPr id="23" name="CuadroTexto 22">
          <a:extLst>
            <a:ext uri="{FF2B5EF4-FFF2-40B4-BE49-F238E27FC236}">
              <a16:creationId xmlns:a16="http://schemas.microsoft.com/office/drawing/2014/main" id="{00000000-0008-0000-1100-000017000000}"/>
            </a:ext>
          </a:extLst>
        </xdr:cNvPr>
        <xdr:cNvSpPr txBox="1"/>
      </xdr:nvSpPr>
      <xdr:spPr>
        <a:xfrm rot="16200000">
          <a:off x="3260840" y="6255817"/>
          <a:ext cx="127438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a:t>
          </a:r>
          <a:r>
            <a:rPr lang="es-ES" sz="900" baseline="0">
              <a:solidFill>
                <a:schemeClr val="bg1">
                  <a:lumMod val="50000"/>
                </a:schemeClr>
              </a:solidFill>
              <a:effectLst/>
            </a:rPr>
            <a:t> energética </a:t>
          </a:r>
          <a:endParaRPr lang="es-ES" sz="900">
            <a:solidFill>
              <a:schemeClr val="bg1">
                <a:lumMod val="50000"/>
              </a:schemeClr>
            </a:solidFill>
            <a:effectLst/>
          </a:endParaRPr>
        </a:p>
      </xdr:txBody>
    </xdr:sp>
    <xdr:clientData/>
  </xdr:oneCellAnchor>
  <xdr:oneCellAnchor>
    <xdr:from>
      <xdr:col>2</xdr:col>
      <xdr:colOff>342906</xdr:colOff>
      <xdr:row>56</xdr:row>
      <xdr:rowOff>31004</xdr:rowOff>
    </xdr:from>
    <xdr:ext cx="233205" cy="1290931"/>
    <xdr:sp macro="" textlink="">
      <xdr:nvSpPr>
        <xdr:cNvPr id="24" name="CuadroTexto 23">
          <a:extLst>
            <a:ext uri="{FF2B5EF4-FFF2-40B4-BE49-F238E27FC236}">
              <a16:creationId xmlns:a16="http://schemas.microsoft.com/office/drawing/2014/main" id="{00000000-0008-0000-1100-000018000000}"/>
            </a:ext>
          </a:extLst>
        </xdr:cNvPr>
        <xdr:cNvSpPr txBox="1"/>
      </xdr:nvSpPr>
      <xdr:spPr>
        <a:xfrm rot="16200000">
          <a:off x="3243043" y="11304067"/>
          <a:ext cx="129093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Excedentes</a:t>
          </a:r>
          <a:r>
            <a:rPr lang="es-ES" sz="900" baseline="0">
              <a:solidFill>
                <a:schemeClr val="bg1">
                  <a:lumMod val="50000"/>
                </a:schemeClr>
              </a:solidFill>
              <a:effectLst/>
            </a:rPr>
            <a:t> energéticos</a:t>
          </a:r>
          <a:endParaRPr lang="es-ES" sz="900">
            <a:solidFill>
              <a:schemeClr val="bg1">
                <a:lumMod val="50000"/>
              </a:schemeClr>
            </a:solidFill>
            <a:effectLst/>
          </a:endParaRPr>
        </a:p>
      </xdr:txBody>
    </xdr:sp>
    <xdr:clientData/>
  </xdr:oneCellAnchor>
  <xdr:oneCellAnchor>
    <xdr:from>
      <xdr:col>3</xdr:col>
      <xdr:colOff>6</xdr:colOff>
      <xdr:row>78</xdr:row>
      <xdr:rowOff>114296</xdr:rowOff>
    </xdr:from>
    <xdr:ext cx="233205" cy="1505348"/>
    <xdr:sp macro="" textlink="">
      <xdr:nvSpPr>
        <xdr:cNvPr id="25" name="CuadroTexto 24">
          <a:extLst>
            <a:ext uri="{FF2B5EF4-FFF2-40B4-BE49-F238E27FC236}">
              <a16:creationId xmlns:a16="http://schemas.microsoft.com/office/drawing/2014/main" id="{00000000-0008-0000-1100-000019000000}"/>
            </a:ext>
          </a:extLst>
        </xdr:cNvPr>
        <xdr:cNvSpPr txBox="1"/>
      </xdr:nvSpPr>
      <xdr:spPr>
        <a:xfrm rot="16200000">
          <a:off x="3145360" y="15733192"/>
          <a:ext cx="150534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Requerimientos</a:t>
          </a:r>
          <a:r>
            <a:rPr lang="es-ES" sz="900" baseline="0">
              <a:solidFill>
                <a:schemeClr val="bg1">
                  <a:lumMod val="50000"/>
                </a:schemeClr>
              </a:solidFill>
              <a:effectLst/>
            </a:rPr>
            <a:t> energéticos</a:t>
          </a:r>
          <a:endParaRPr lang="es-ES" sz="900">
            <a:solidFill>
              <a:schemeClr val="bg1">
                <a:lumMod val="50000"/>
              </a:schemeClr>
            </a:solidFill>
            <a:effectLst/>
          </a:endParaRPr>
        </a:p>
      </xdr:txBody>
    </xdr:sp>
    <xdr:clientData/>
  </xdr:oneCellAnchor>
  <xdr:oneCellAnchor>
    <xdr:from>
      <xdr:col>9</xdr:col>
      <xdr:colOff>2108</xdr:colOff>
      <xdr:row>20</xdr:row>
      <xdr:rowOff>150292</xdr:rowOff>
    </xdr:from>
    <xdr:ext cx="1117101" cy="233205"/>
    <xdr:sp macro="" textlink="">
      <xdr:nvSpPr>
        <xdr:cNvPr id="27" name="CuadroTexto 26">
          <a:extLst>
            <a:ext uri="{FF2B5EF4-FFF2-40B4-BE49-F238E27FC236}">
              <a16:creationId xmlns:a16="http://schemas.microsoft.com/office/drawing/2014/main" id="{00000000-0008-0000-1100-00001B000000}"/>
            </a:ext>
          </a:extLst>
        </xdr:cNvPr>
        <xdr:cNvSpPr txBox="1"/>
      </xdr:nvSpPr>
      <xdr:spPr>
        <a:xfrm>
          <a:off x="8355533" y="3960292"/>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390525</xdr:colOff>
      <xdr:row>42</xdr:row>
      <xdr:rowOff>28575</xdr:rowOff>
    </xdr:from>
    <xdr:ext cx="1117101" cy="233205"/>
    <xdr:sp macro="" textlink="">
      <xdr:nvSpPr>
        <xdr:cNvPr id="26" name="CuadroTexto 25">
          <a:extLst>
            <a:ext uri="{FF2B5EF4-FFF2-40B4-BE49-F238E27FC236}">
              <a16:creationId xmlns:a16="http://schemas.microsoft.com/office/drawing/2014/main" id="{00000000-0008-0000-1100-00001A000000}"/>
            </a:ext>
          </a:extLst>
        </xdr:cNvPr>
        <xdr:cNvSpPr txBox="1"/>
      </xdr:nvSpPr>
      <xdr:spPr>
        <a:xfrm>
          <a:off x="7981950" y="8058150"/>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752475</xdr:colOff>
      <xdr:row>69</xdr:row>
      <xdr:rowOff>19050</xdr:rowOff>
    </xdr:from>
    <xdr:ext cx="1117101" cy="233205"/>
    <xdr:sp macro="" textlink="">
      <xdr:nvSpPr>
        <xdr:cNvPr id="33" name="CuadroTexto 32">
          <a:extLst>
            <a:ext uri="{FF2B5EF4-FFF2-40B4-BE49-F238E27FC236}">
              <a16:creationId xmlns:a16="http://schemas.microsoft.com/office/drawing/2014/main" id="{00000000-0008-0000-1100-000021000000}"/>
            </a:ext>
          </a:extLst>
        </xdr:cNvPr>
        <xdr:cNvSpPr txBox="1"/>
      </xdr:nvSpPr>
      <xdr:spPr>
        <a:xfrm>
          <a:off x="8343900" y="13239750"/>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247650</xdr:colOff>
      <xdr:row>91</xdr:row>
      <xdr:rowOff>171450</xdr:rowOff>
    </xdr:from>
    <xdr:ext cx="1117101" cy="233205"/>
    <xdr:sp macro="" textlink="">
      <xdr:nvSpPr>
        <xdr:cNvPr id="34" name="CuadroTexto 33">
          <a:extLst>
            <a:ext uri="{FF2B5EF4-FFF2-40B4-BE49-F238E27FC236}">
              <a16:creationId xmlns:a16="http://schemas.microsoft.com/office/drawing/2014/main" id="{00000000-0008-0000-1100-000022000000}"/>
            </a:ext>
          </a:extLst>
        </xdr:cNvPr>
        <xdr:cNvSpPr txBox="1"/>
      </xdr:nvSpPr>
      <xdr:spPr>
        <a:xfrm>
          <a:off x="7839075" y="17630775"/>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twoCellAnchor>
    <xdr:from>
      <xdr:col>18</xdr:col>
      <xdr:colOff>0</xdr:colOff>
      <xdr:row>1</xdr:row>
      <xdr:rowOff>0</xdr:rowOff>
    </xdr:from>
    <xdr:to>
      <xdr:col>19</xdr:col>
      <xdr:colOff>1838325</xdr:colOff>
      <xdr:row>3</xdr:row>
      <xdr:rowOff>85725</xdr:rowOff>
    </xdr:to>
    <xdr:grpSp>
      <xdr:nvGrpSpPr>
        <xdr:cNvPr id="28" name="Grupo 27">
          <a:extLst>
            <a:ext uri="{FF2B5EF4-FFF2-40B4-BE49-F238E27FC236}">
              <a16:creationId xmlns:a16="http://schemas.microsoft.com/office/drawing/2014/main" id="{00000000-0008-0000-1100-00001C000000}"/>
            </a:ext>
          </a:extLst>
        </xdr:cNvPr>
        <xdr:cNvGrpSpPr/>
      </xdr:nvGrpSpPr>
      <xdr:grpSpPr>
        <a:xfrm>
          <a:off x="15216188" y="190500"/>
          <a:ext cx="2826543" cy="466725"/>
          <a:chOff x="15497175" y="542925"/>
          <a:chExt cx="2828925" cy="466725"/>
        </a:xfrm>
      </xdr:grpSpPr>
      <xdr:grpSp>
        <xdr:nvGrpSpPr>
          <xdr:cNvPr id="30" name="Grupo 29">
            <a:extLst>
              <a:ext uri="{FF2B5EF4-FFF2-40B4-BE49-F238E27FC236}">
                <a16:creationId xmlns:a16="http://schemas.microsoft.com/office/drawing/2014/main" id="{00000000-0008-0000-1100-00001E000000}"/>
              </a:ext>
            </a:extLst>
          </xdr:cNvPr>
          <xdr:cNvGrpSpPr/>
        </xdr:nvGrpSpPr>
        <xdr:grpSpPr>
          <a:xfrm>
            <a:off x="15554325" y="628650"/>
            <a:ext cx="2771775" cy="314325"/>
            <a:chOff x="15621000" y="190500"/>
            <a:chExt cx="2771775" cy="314325"/>
          </a:xfrm>
        </xdr:grpSpPr>
        <xdr:sp macro="" textlink="">
          <xdr:nvSpPr>
            <xdr:cNvPr id="32" name="Elipse 31">
              <a:extLst>
                <a:ext uri="{FF2B5EF4-FFF2-40B4-BE49-F238E27FC236}">
                  <a16:creationId xmlns:a16="http://schemas.microsoft.com/office/drawing/2014/main" id="{00000000-0008-0000-1100-000020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6" name="Rectángulo: esquinas redondeadas 35">
              <a:extLst>
                <a:ext uri="{FF2B5EF4-FFF2-40B4-BE49-F238E27FC236}">
                  <a16:creationId xmlns:a16="http://schemas.microsoft.com/office/drawing/2014/main" id="{00000000-0008-0000-1100-000024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31" name="Gráfico 30" descr="Información con relleno sólido">
            <a:hlinkClick xmlns:r="http://schemas.openxmlformats.org/officeDocument/2006/relationships" r:id="rId61"/>
            <a:extLst>
              <a:ext uri="{FF2B5EF4-FFF2-40B4-BE49-F238E27FC236}">
                <a16:creationId xmlns:a16="http://schemas.microsoft.com/office/drawing/2014/main" id="{00000000-0008-0000-1100-00001F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 uri="{96DAC541-7B7A-43D3-8B79-37D633B846F1}">
                <asvg:svgBlip xmlns:asvg="http://schemas.microsoft.com/office/drawing/2016/SVG/main" r:embed="rId63"/>
              </a:ext>
            </a:extLst>
          </a:blip>
          <a:stretch>
            <a:fillRect/>
          </a:stretch>
        </xdr:blipFill>
        <xdr:spPr>
          <a:xfrm>
            <a:off x="15497175" y="542925"/>
            <a:ext cx="466725" cy="466725"/>
          </a:xfrm>
          <a:prstGeom prst="rect">
            <a:avLst/>
          </a:prstGeom>
        </xdr:spPr>
      </xdr:pic>
    </xdr:grp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2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2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2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2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2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2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2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2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2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2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2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2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2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25" name="Grupo 24">
          <a:hlinkClick xmlns:r="http://schemas.openxmlformats.org/officeDocument/2006/relationships" r:id="rId18"/>
          <a:extLst>
            <a:ext uri="{FF2B5EF4-FFF2-40B4-BE49-F238E27FC236}">
              <a16:creationId xmlns:a16="http://schemas.microsoft.com/office/drawing/2014/main" id="{00000000-0008-0000-1200-000019000000}"/>
            </a:ext>
          </a:extLst>
        </xdr:cNvPr>
        <xdr:cNvGrpSpPr/>
      </xdr:nvGrpSpPr>
      <xdr:grpSpPr>
        <a:xfrm>
          <a:off x="12265819" y="95250"/>
          <a:ext cx="3171825" cy="495300"/>
          <a:chOff x="12249150" y="19050"/>
          <a:chExt cx="3171825" cy="495300"/>
        </a:xfrm>
      </xdr:grpSpPr>
      <xdr:grpSp>
        <xdr:nvGrpSpPr>
          <xdr:cNvPr id="26" name="Grupo 25">
            <a:extLst>
              <a:ext uri="{FF2B5EF4-FFF2-40B4-BE49-F238E27FC236}">
                <a16:creationId xmlns:a16="http://schemas.microsoft.com/office/drawing/2014/main" id="{00000000-0008-0000-1200-00001A000000}"/>
              </a:ext>
            </a:extLst>
          </xdr:cNvPr>
          <xdr:cNvGrpSpPr/>
        </xdr:nvGrpSpPr>
        <xdr:grpSpPr>
          <a:xfrm>
            <a:off x="12249150" y="66675"/>
            <a:ext cx="3171825" cy="438150"/>
            <a:chOff x="12515849" y="47625"/>
            <a:chExt cx="3171825" cy="438150"/>
          </a:xfrm>
        </xdr:grpSpPr>
        <xdr:sp macro="" textlink="">
          <xdr:nvSpPr>
            <xdr:cNvPr id="28" name="Rectángulo: esquinas redondeadas 27">
              <a:extLst>
                <a:ext uri="{FF2B5EF4-FFF2-40B4-BE49-F238E27FC236}">
                  <a16:creationId xmlns:a16="http://schemas.microsoft.com/office/drawing/2014/main" id="{00000000-0008-0000-12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200-00001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Industria</a:t>
              </a:r>
            </a:p>
          </xdr:txBody>
        </xdr:sp>
      </xdr:grpSp>
      <xdr:pic>
        <xdr:nvPicPr>
          <xdr:cNvPr id="27" name="Gráfico 26" descr="Búsqueda de carpetas con relleno sólido">
            <a:extLst>
              <a:ext uri="{FF2B5EF4-FFF2-40B4-BE49-F238E27FC236}">
                <a16:creationId xmlns:a16="http://schemas.microsoft.com/office/drawing/2014/main" id="{00000000-0008-0000-1200-00001B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2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2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2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31</xdr:row>
      <xdr:rowOff>145505</xdr:rowOff>
    </xdr:to>
    <xdr:grpSp>
      <xdr:nvGrpSpPr>
        <xdr:cNvPr id="22" name="Grupo 21">
          <a:extLst>
            <a:ext uri="{FF2B5EF4-FFF2-40B4-BE49-F238E27FC236}">
              <a16:creationId xmlns:a16="http://schemas.microsoft.com/office/drawing/2014/main" id="{00000000-0008-0000-1200-000016000000}"/>
            </a:ext>
          </a:extLst>
        </xdr:cNvPr>
        <xdr:cNvGrpSpPr/>
      </xdr:nvGrpSpPr>
      <xdr:grpSpPr>
        <a:xfrm>
          <a:off x="1381125" y="190500"/>
          <a:ext cx="2009778" cy="5860505"/>
          <a:chOff x="1381125" y="190500"/>
          <a:chExt cx="2009778" cy="5860505"/>
        </a:xfrm>
      </xdr:grpSpPr>
      <xdr:sp macro="" textlink="">
        <xdr:nvSpPr>
          <xdr:cNvPr id="35" name="Rectángulo: esquinas superiores redondeadas 34">
            <a:extLst>
              <a:ext uri="{FF2B5EF4-FFF2-40B4-BE49-F238E27FC236}">
                <a16:creationId xmlns:a16="http://schemas.microsoft.com/office/drawing/2014/main" id="{00000000-0008-0000-1200-000023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grpSp>
        <xdr:nvGrpSpPr>
          <xdr:cNvPr id="36" name="Grupo 35">
            <a:hlinkClick xmlns:r="http://schemas.openxmlformats.org/officeDocument/2006/relationships" r:id="rId21"/>
            <a:extLst>
              <a:ext uri="{FF2B5EF4-FFF2-40B4-BE49-F238E27FC236}">
                <a16:creationId xmlns:a16="http://schemas.microsoft.com/office/drawing/2014/main" id="{00000000-0008-0000-1200-000024000000}"/>
              </a:ext>
            </a:extLst>
          </xdr:cNvPr>
          <xdr:cNvGrpSpPr/>
        </xdr:nvGrpSpPr>
        <xdr:grpSpPr>
          <a:xfrm>
            <a:off x="1438275" y="630545"/>
            <a:ext cx="1876426" cy="427462"/>
            <a:chOff x="1438275" y="630545"/>
            <a:chExt cx="1876426" cy="427462"/>
          </a:xfrm>
        </xdr:grpSpPr>
        <xdr:sp macro="" textlink="">
          <xdr:nvSpPr>
            <xdr:cNvPr id="37" name="Rectángulo 36">
              <a:extLst>
                <a:ext uri="{FF2B5EF4-FFF2-40B4-BE49-F238E27FC236}">
                  <a16:creationId xmlns:a16="http://schemas.microsoft.com/office/drawing/2014/main" id="{00000000-0008-0000-1200-000025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a:t>
              </a:r>
              <a:r>
                <a:rPr lang="es-ES" sz="1000" b="0" baseline="0">
                  <a:solidFill>
                    <a:schemeClr val="accent6">
                      <a:lumMod val="50000"/>
                    </a:schemeClr>
                  </a:solidFill>
                </a:rPr>
                <a:t> CFyB</a:t>
              </a:r>
              <a:endParaRPr lang="es-ES" sz="1000" b="0">
                <a:solidFill>
                  <a:schemeClr val="accent6">
                    <a:lumMod val="50000"/>
                  </a:schemeClr>
                </a:solidFill>
              </a:endParaRPr>
            </a:p>
          </xdr:txBody>
        </xdr:sp>
        <xdr:pic>
          <xdr:nvPicPr>
            <xdr:cNvPr id="38" name="Gráfico 37" descr="Batería en carga con relleno sólido">
              <a:extLst>
                <a:ext uri="{FF2B5EF4-FFF2-40B4-BE49-F238E27FC236}">
                  <a16:creationId xmlns:a16="http://schemas.microsoft.com/office/drawing/2014/main" id="{00000000-0008-0000-1200-000026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grpSp>
        <xdr:nvGrpSpPr>
          <xdr:cNvPr id="39" name="Grupo 38">
            <a:hlinkClick xmlns:r="http://schemas.openxmlformats.org/officeDocument/2006/relationships" r:id="rId24"/>
            <a:extLst>
              <a:ext uri="{FF2B5EF4-FFF2-40B4-BE49-F238E27FC236}">
                <a16:creationId xmlns:a16="http://schemas.microsoft.com/office/drawing/2014/main" id="{00000000-0008-0000-1200-000027000000}"/>
              </a:ext>
            </a:extLst>
          </xdr:cNvPr>
          <xdr:cNvGrpSpPr/>
        </xdr:nvGrpSpPr>
        <xdr:grpSpPr>
          <a:xfrm>
            <a:off x="1438275" y="1227614"/>
            <a:ext cx="1876426" cy="440780"/>
            <a:chOff x="1438275" y="1227614"/>
            <a:chExt cx="1876426" cy="440780"/>
          </a:xfrm>
        </xdr:grpSpPr>
        <xdr:sp macro="" textlink="">
          <xdr:nvSpPr>
            <xdr:cNvPr id="40" name="Rectángulo 39">
              <a:extLst>
                <a:ext uri="{FF2B5EF4-FFF2-40B4-BE49-F238E27FC236}">
                  <a16:creationId xmlns:a16="http://schemas.microsoft.com/office/drawing/2014/main" id="{00000000-0008-0000-1200-000028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1" name="Gráfico 40" descr="Alta tensión con relleno sólido">
              <a:extLst>
                <a:ext uri="{FF2B5EF4-FFF2-40B4-BE49-F238E27FC236}">
                  <a16:creationId xmlns:a16="http://schemas.microsoft.com/office/drawing/2014/main" id="{00000000-0008-0000-1200-000029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grpSp>
        <xdr:nvGrpSpPr>
          <xdr:cNvPr id="42" name="Grupo 41">
            <a:hlinkClick xmlns:r="http://schemas.openxmlformats.org/officeDocument/2006/relationships" r:id="rId27"/>
            <a:extLst>
              <a:ext uri="{FF2B5EF4-FFF2-40B4-BE49-F238E27FC236}">
                <a16:creationId xmlns:a16="http://schemas.microsoft.com/office/drawing/2014/main" id="{00000000-0008-0000-1200-00002A000000}"/>
              </a:ext>
            </a:extLst>
          </xdr:cNvPr>
          <xdr:cNvGrpSpPr/>
        </xdr:nvGrpSpPr>
        <xdr:grpSpPr>
          <a:xfrm>
            <a:off x="1438275" y="1853701"/>
            <a:ext cx="1876426" cy="440780"/>
            <a:chOff x="1438275" y="1853701"/>
            <a:chExt cx="1876426" cy="440780"/>
          </a:xfrm>
        </xdr:grpSpPr>
        <xdr:sp macro="" textlink="">
          <xdr:nvSpPr>
            <xdr:cNvPr id="43" name="Rectángulo 42">
              <a:extLst>
                <a:ext uri="{FF2B5EF4-FFF2-40B4-BE49-F238E27FC236}">
                  <a16:creationId xmlns:a16="http://schemas.microsoft.com/office/drawing/2014/main" id="{00000000-0008-0000-1200-00002B000000}"/>
                </a:ext>
              </a:extLst>
            </xdr:cNvPr>
            <xdr:cNvSpPr/>
          </xdr:nvSpPr>
          <xdr:spPr>
            <a:xfrm>
              <a:off x="1438275" y="1853701"/>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INDUSTRIA</a:t>
              </a:r>
            </a:p>
          </xdr:txBody>
        </xdr:sp>
        <xdr:pic>
          <xdr:nvPicPr>
            <xdr:cNvPr id="44" name="Gráfico 43" descr="Producción con relleno sólido">
              <a:extLst>
                <a:ext uri="{FF2B5EF4-FFF2-40B4-BE49-F238E27FC236}">
                  <a16:creationId xmlns:a16="http://schemas.microsoft.com/office/drawing/2014/main" id="{00000000-0008-0000-1200-00002C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grpSp>
        <xdr:nvGrpSpPr>
          <xdr:cNvPr id="45" name="Grupo 44">
            <a:hlinkClick xmlns:r="http://schemas.openxmlformats.org/officeDocument/2006/relationships" r:id="rId30"/>
            <a:extLst>
              <a:ext uri="{FF2B5EF4-FFF2-40B4-BE49-F238E27FC236}">
                <a16:creationId xmlns:a16="http://schemas.microsoft.com/office/drawing/2014/main" id="{00000000-0008-0000-1200-00002D000000}"/>
              </a:ext>
            </a:extLst>
          </xdr:cNvPr>
          <xdr:cNvGrpSpPr/>
        </xdr:nvGrpSpPr>
        <xdr:grpSpPr>
          <a:xfrm>
            <a:off x="1438275" y="2479788"/>
            <a:ext cx="1876426" cy="440780"/>
            <a:chOff x="1438275" y="2479788"/>
            <a:chExt cx="1876426" cy="440780"/>
          </a:xfrm>
        </xdr:grpSpPr>
        <xdr:sp macro="" textlink="">
          <xdr:nvSpPr>
            <xdr:cNvPr id="46" name="Rectángulo 45">
              <a:extLst>
                <a:ext uri="{FF2B5EF4-FFF2-40B4-BE49-F238E27FC236}">
                  <a16:creationId xmlns:a16="http://schemas.microsoft.com/office/drawing/2014/main" id="{00000000-0008-0000-1200-00002E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7" name="Gráfico 46" descr="Basura con relleno sólido">
              <a:extLst>
                <a:ext uri="{FF2B5EF4-FFF2-40B4-BE49-F238E27FC236}">
                  <a16:creationId xmlns:a16="http://schemas.microsoft.com/office/drawing/2014/main" id="{00000000-0008-0000-1200-00002F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grpSp>
        <xdr:nvGrpSpPr>
          <xdr:cNvPr id="48" name="Grupo 47">
            <a:hlinkClick xmlns:r="http://schemas.openxmlformats.org/officeDocument/2006/relationships" r:id="rId33"/>
            <a:extLst>
              <a:ext uri="{FF2B5EF4-FFF2-40B4-BE49-F238E27FC236}">
                <a16:creationId xmlns:a16="http://schemas.microsoft.com/office/drawing/2014/main" id="{00000000-0008-0000-1200-000030000000}"/>
              </a:ext>
            </a:extLst>
          </xdr:cNvPr>
          <xdr:cNvGrpSpPr/>
        </xdr:nvGrpSpPr>
        <xdr:grpSpPr>
          <a:xfrm>
            <a:off x="1438275" y="3705160"/>
            <a:ext cx="1876426" cy="543340"/>
            <a:chOff x="1438275" y="3705160"/>
            <a:chExt cx="1876426" cy="543340"/>
          </a:xfrm>
        </xdr:grpSpPr>
        <xdr:sp macro="" textlink="">
          <xdr:nvSpPr>
            <xdr:cNvPr id="49" name="Rectángulo 48">
              <a:extLst>
                <a:ext uri="{FF2B5EF4-FFF2-40B4-BE49-F238E27FC236}">
                  <a16:creationId xmlns:a16="http://schemas.microsoft.com/office/drawing/2014/main" id="{00000000-0008-0000-1200-000031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0" name="Gráfico 49" descr="Coche eléctrico con relleno sólido">
              <a:extLst>
                <a:ext uri="{FF2B5EF4-FFF2-40B4-BE49-F238E27FC236}">
                  <a16:creationId xmlns:a16="http://schemas.microsoft.com/office/drawing/2014/main" id="{00000000-0008-0000-1200-000032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grpSp>
        <xdr:nvGrpSpPr>
          <xdr:cNvPr id="51" name="Grupo 50">
            <a:hlinkClick xmlns:r="http://schemas.openxmlformats.org/officeDocument/2006/relationships" r:id="rId36"/>
            <a:extLst>
              <a:ext uri="{FF2B5EF4-FFF2-40B4-BE49-F238E27FC236}">
                <a16:creationId xmlns:a16="http://schemas.microsoft.com/office/drawing/2014/main" id="{00000000-0008-0000-1200-000033000000}"/>
              </a:ext>
            </a:extLst>
          </xdr:cNvPr>
          <xdr:cNvGrpSpPr/>
        </xdr:nvGrpSpPr>
        <xdr:grpSpPr>
          <a:xfrm>
            <a:off x="1438275" y="3105875"/>
            <a:ext cx="1876426" cy="456411"/>
            <a:chOff x="1438275" y="3105875"/>
            <a:chExt cx="1876426" cy="456411"/>
          </a:xfrm>
        </xdr:grpSpPr>
        <xdr:sp macro="" textlink="">
          <xdr:nvSpPr>
            <xdr:cNvPr id="52" name="Rectángulo 51">
              <a:extLst>
                <a:ext uri="{FF2B5EF4-FFF2-40B4-BE49-F238E27FC236}">
                  <a16:creationId xmlns:a16="http://schemas.microsoft.com/office/drawing/2014/main" id="{00000000-0008-0000-1200-000034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3" name="Gráfico 52" descr="Escena suburbana con relleno sólido">
              <a:extLst>
                <a:ext uri="{FF2B5EF4-FFF2-40B4-BE49-F238E27FC236}">
                  <a16:creationId xmlns:a16="http://schemas.microsoft.com/office/drawing/2014/main" id="{00000000-0008-0000-1200-000035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grpSp>
        <xdr:nvGrpSpPr>
          <xdr:cNvPr id="54" name="Grupo 53">
            <a:hlinkClick xmlns:r="http://schemas.openxmlformats.org/officeDocument/2006/relationships" r:id="rId39"/>
            <a:extLst>
              <a:ext uri="{FF2B5EF4-FFF2-40B4-BE49-F238E27FC236}">
                <a16:creationId xmlns:a16="http://schemas.microsoft.com/office/drawing/2014/main" id="{00000000-0008-0000-1200-000036000000}"/>
              </a:ext>
            </a:extLst>
          </xdr:cNvPr>
          <xdr:cNvGrpSpPr/>
        </xdr:nvGrpSpPr>
        <xdr:grpSpPr>
          <a:xfrm>
            <a:off x="1438275" y="4336296"/>
            <a:ext cx="1876426" cy="462533"/>
            <a:chOff x="1438275" y="4336296"/>
            <a:chExt cx="1876426" cy="462533"/>
          </a:xfrm>
        </xdr:grpSpPr>
        <xdr:sp macro="" textlink="">
          <xdr:nvSpPr>
            <xdr:cNvPr id="55" name="Rectángulo 54">
              <a:extLst>
                <a:ext uri="{FF2B5EF4-FFF2-40B4-BE49-F238E27FC236}">
                  <a16:creationId xmlns:a16="http://schemas.microsoft.com/office/drawing/2014/main" id="{00000000-0008-0000-1200-000037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6" name="Gráfico 55" descr="Cultivos con relleno sólido">
              <a:extLst>
                <a:ext uri="{FF2B5EF4-FFF2-40B4-BE49-F238E27FC236}">
                  <a16:creationId xmlns:a16="http://schemas.microsoft.com/office/drawing/2014/main" id="{00000000-0008-0000-1200-000038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grpSp>
        <xdr:nvGrpSpPr>
          <xdr:cNvPr id="57" name="Grupo 56">
            <a:hlinkClick xmlns:r="http://schemas.openxmlformats.org/officeDocument/2006/relationships" r:id="rId42"/>
            <a:extLst>
              <a:ext uri="{FF2B5EF4-FFF2-40B4-BE49-F238E27FC236}">
                <a16:creationId xmlns:a16="http://schemas.microsoft.com/office/drawing/2014/main" id="{00000000-0008-0000-1200-000039000000}"/>
              </a:ext>
            </a:extLst>
          </xdr:cNvPr>
          <xdr:cNvGrpSpPr/>
        </xdr:nvGrpSpPr>
        <xdr:grpSpPr>
          <a:xfrm>
            <a:off x="1438275" y="4984136"/>
            <a:ext cx="1876426" cy="440780"/>
            <a:chOff x="1438275" y="4984136"/>
            <a:chExt cx="1876426" cy="440780"/>
          </a:xfrm>
        </xdr:grpSpPr>
        <xdr:sp macro="" textlink="">
          <xdr:nvSpPr>
            <xdr:cNvPr id="58" name="Rectángulo 57">
              <a:extLst>
                <a:ext uri="{FF2B5EF4-FFF2-40B4-BE49-F238E27FC236}">
                  <a16:creationId xmlns:a16="http://schemas.microsoft.com/office/drawing/2014/main" id="{00000000-0008-0000-1200-00003A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59" name="Gráfico 58" descr="Vaca con relleno sólido">
              <a:extLst>
                <a:ext uri="{FF2B5EF4-FFF2-40B4-BE49-F238E27FC236}">
                  <a16:creationId xmlns:a16="http://schemas.microsoft.com/office/drawing/2014/main" id="{00000000-0008-0000-1200-00003B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grpSp>
        <xdr:nvGrpSpPr>
          <xdr:cNvPr id="60" name="Grupo 59">
            <a:hlinkClick xmlns:r="http://schemas.openxmlformats.org/officeDocument/2006/relationships" r:id="rId45"/>
            <a:extLst>
              <a:ext uri="{FF2B5EF4-FFF2-40B4-BE49-F238E27FC236}">
                <a16:creationId xmlns:a16="http://schemas.microsoft.com/office/drawing/2014/main" id="{00000000-0008-0000-1200-00003C000000}"/>
              </a:ext>
            </a:extLst>
          </xdr:cNvPr>
          <xdr:cNvGrpSpPr/>
        </xdr:nvGrpSpPr>
        <xdr:grpSpPr>
          <a:xfrm>
            <a:off x="1438275" y="5589039"/>
            <a:ext cx="1876426" cy="461966"/>
            <a:chOff x="1438275" y="5589039"/>
            <a:chExt cx="1876426" cy="461966"/>
          </a:xfrm>
        </xdr:grpSpPr>
        <xdr:sp macro="" textlink="">
          <xdr:nvSpPr>
            <xdr:cNvPr id="61" name="Rectángulo 60">
              <a:extLst>
                <a:ext uri="{FF2B5EF4-FFF2-40B4-BE49-F238E27FC236}">
                  <a16:creationId xmlns:a16="http://schemas.microsoft.com/office/drawing/2014/main" id="{00000000-0008-0000-1200-00003D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2" name="Gráfico 61" descr="Selva tropical con relleno sólido">
              <a:extLst>
                <a:ext uri="{FF2B5EF4-FFF2-40B4-BE49-F238E27FC236}">
                  <a16:creationId xmlns:a16="http://schemas.microsoft.com/office/drawing/2014/main" id="{00000000-0008-0000-1200-00003E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grpSp>
    <xdr:clientData/>
  </xdr:twoCellAnchor>
  <xdr:twoCellAnchor>
    <xdr:from>
      <xdr:col>3</xdr:col>
      <xdr:colOff>703492</xdr:colOff>
      <xdr:row>5</xdr:row>
      <xdr:rowOff>131990</xdr:rowOff>
    </xdr:from>
    <xdr:to>
      <xdr:col>17</xdr:col>
      <xdr:colOff>552816</xdr:colOff>
      <xdr:row>23</xdr:row>
      <xdr:rowOff>6804</xdr:rowOff>
    </xdr:to>
    <xdr:graphicFrame macro="">
      <xdr:nvGraphicFramePr>
        <xdr:cNvPr id="30" name="Gráfico 23">
          <a:extLst>
            <a:ext uri="{FF2B5EF4-FFF2-40B4-BE49-F238E27FC236}">
              <a16:creationId xmlns:a16="http://schemas.microsoft.com/office/drawing/2014/main" id="{00000000-0008-0000-12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xdr:col>
      <xdr:colOff>676278</xdr:colOff>
      <xdr:row>26</xdr:row>
      <xdr:rowOff>0</xdr:rowOff>
    </xdr:from>
    <xdr:to>
      <xdr:col>17</xdr:col>
      <xdr:colOff>533766</xdr:colOff>
      <xdr:row>43</xdr:row>
      <xdr:rowOff>0</xdr:rowOff>
    </xdr:to>
    <xdr:graphicFrame macro="">
      <xdr:nvGraphicFramePr>
        <xdr:cNvPr id="31" name="Gráfico 23">
          <a:extLst>
            <a:ext uri="{FF2B5EF4-FFF2-40B4-BE49-F238E27FC236}">
              <a16:creationId xmlns:a16="http://schemas.microsoft.com/office/drawing/2014/main" id="{00000000-0008-0000-12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4" name="Grupo 63">
          <a:hlinkClick xmlns:r="http://schemas.openxmlformats.org/officeDocument/2006/relationships" r:id="rId50"/>
          <a:extLst>
            <a:ext uri="{FF2B5EF4-FFF2-40B4-BE49-F238E27FC236}">
              <a16:creationId xmlns:a16="http://schemas.microsoft.com/office/drawing/2014/main" id="{00000000-0008-0000-1200-000040000000}"/>
            </a:ext>
          </a:extLst>
        </xdr:cNvPr>
        <xdr:cNvGrpSpPr/>
      </xdr:nvGrpSpPr>
      <xdr:grpSpPr>
        <a:xfrm>
          <a:off x="0" y="6477000"/>
          <a:ext cx="1240383" cy="416889"/>
          <a:chOff x="28575" y="6381750"/>
          <a:chExt cx="1240383" cy="416889"/>
        </a:xfrm>
      </xdr:grpSpPr>
      <xdr:pic>
        <xdr:nvPicPr>
          <xdr:cNvPr id="65" name="Gráfico 64" descr="Engranaje único con relleno sólido">
            <a:extLst>
              <a:ext uri="{FF2B5EF4-FFF2-40B4-BE49-F238E27FC236}">
                <a16:creationId xmlns:a16="http://schemas.microsoft.com/office/drawing/2014/main" id="{00000000-0008-0000-1200-000041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7" name="CuadroTexto 66">
            <a:extLst>
              <a:ext uri="{FF2B5EF4-FFF2-40B4-BE49-F238E27FC236}">
                <a16:creationId xmlns:a16="http://schemas.microsoft.com/office/drawing/2014/main" id="{00000000-0008-0000-1200-00004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180973</xdr:colOff>
      <xdr:row>2</xdr:row>
      <xdr:rowOff>108584</xdr:rowOff>
    </xdr:from>
    <xdr:to>
      <xdr:col>4</xdr:col>
      <xdr:colOff>238124</xdr:colOff>
      <xdr:row>5</xdr:row>
      <xdr:rowOff>137159</xdr:rowOff>
    </xdr:to>
    <xdr:grpSp>
      <xdr:nvGrpSpPr>
        <xdr:cNvPr id="71" name="Grupo 70">
          <a:extLst>
            <a:ext uri="{FF2B5EF4-FFF2-40B4-BE49-F238E27FC236}">
              <a16:creationId xmlns:a16="http://schemas.microsoft.com/office/drawing/2014/main" id="{00000000-0008-0000-1200-000047000000}"/>
            </a:ext>
          </a:extLst>
        </xdr:cNvPr>
        <xdr:cNvGrpSpPr/>
      </xdr:nvGrpSpPr>
      <xdr:grpSpPr>
        <a:xfrm>
          <a:off x="3967161" y="489584"/>
          <a:ext cx="831057" cy="600075"/>
          <a:chOff x="4552948" y="1857374"/>
          <a:chExt cx="819151" cy="600075"/>
        </a:xfrm>
      </xdr:grpSpPr>
      <xdr:pic>
        <xdr:nvPicPr>
          <xdr:cNvPr id="72" name="Gráfico 71" descr="Nube con relleno sólido">
            <a:extLst>
              <a:ext uri="{FF2B5EF4-FFF2-40B4-BE49-F238E27FC236}">
                <a16:creationId xmlns:a16="http://schemas.microsoft.com/office/drawing/2014/main" id="{00000000-0008-0000-1200-000048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3" name="CuadroTexto 72">
            <a:extLst>
              <a:ext uri="{FF2B5EF4-FFF2-40B4-BE49-F238E27FC236}">
                <a16:creationId xmlns:a16="http://schemas.microsoft.com/office/drawing/2014/main" id="{00000000-0008-0000-1200-000049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366395</xdr:colOff>
      <xdr:row>23</xdr:row>
      <xdr:rowOff>42968</xdr:rowOff>
    </xdr:from>
    <xdr:to>
      <xdr:col>4</xdr:col>
      <xdr:colOff>67310</xdr:colOff>
      <xdr:row>25</xdr:row>
      <xdr:rowOff>126153</xdr:rowOff>
    </xdr:to>
    <xdr:pic>
      <xdr:nvPicPr>
        <xdr:cNvPr id="75" name="Gráfico 74" descr="Bombilla fluorescente con relleno sólido">
          <a:extLst>
            <a:ext uri="{FF2B5EF4-FFF2-40B4-BE49-F238E27FC236}">
              <a16:creationId xmlns:a16="http://schemas.microsoft.com/office/drawing/2014/main" id="{00000000-0008-0000-1200-00004B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252595" y="4424468"/>
          <a:ext cx="495300" cy="462280"/>
        </a:xfrm>
        <a:prstGeom prst="rect">
          <a:avLst/>
        </a:prstGeom>
      </xdr:spPr>
    </xdr:pic>
    <xdr:clientData/>
  </xdr:twoCellAnchor>
  <xdr:oneCellAnchor>
    <xdr:from>
      <xdr:col>3</xdr:col>
      <xdr:colOff>366395</xdr:colOff>
      <xdr:row>43</xdr:row>
      <xdr:rowOff>42968</xdr:rowOff>
    </xdr:from>
    <xdr:ext cx="476522" cy="464185"/>
    <xdr:pic>
      <xdr:nvPicPr>
        <xdr:cNvPr id="20" name="Gráfico 19" descr="Bombilla fluorescente con relleno sólido">
          <a:extLst>
            <a:ext uri="{FF2B5EF4-FFF2-40B4-BE49-F238E27FC236}">
              <a16:creationId xmlns:a16="http://schemas.microsoft.com/office/drawing/2014/main" id="{00000000-0008-0000-1200-00001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162788" y="4424468"/>
          <a:ext cx="476522" cy="464185"/>
        </a:xfrm>
        <a:prstGeom prst="rect">
          <a:avLst/>
        </a:prstGeom>
      </xdr:spPr>
    </xdr:pic>
    <xdr:clientData/>
  </xdr:oneCellAnchor>
  <xdr:twoCellAnchor>
    <xdr:from>
      <xdr:col>3</xdr:col>
      <xdr:colOff>733425</xdr:colOff>
      <xdr:row>47</xdr:row>
      <xdr:rowOff>66675</xdr:rowOff>
    </xdr:from>
    <xdr:to>
      <xdr:col>17</xdr:col>
      <xdr:colOff>594995</xdr:colOff>
      <xdr:row>64</xdr:row>
      <xdr:rowOff>93889</xdr:rowOff>
    </xdr:to>
    <xdr:graphicFrame macro="">
      <xdr:nvGraphicFramePr>
        <xdr:cNvPr id="21" name="Gráfico 23">
          <a:extLst>
            <a:ext uri="{FF2B5EF4-FFF2-40B4-BE49-F238E27FC236}">
              <a16:creationId xmlns:a16="http://schemas.microsoft.com/office/drawing/2014/main" id="{00000000-0008-0000-1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oneCellAnchor>
    <xdr:from>
      <xdr:col>7</xdr:col>
      <xdr:colOff>666750</xdr:colOff>
      <xdr:row>21</xdr:row>
      <xdr:rowOff>47625</xdr:rowOff>
    </xdr:from>
    <xdr:ext cx="1105495" cy="233205"/>
    <xdr:sp macro="" textlink="">
      <xdr:nvSpPr>
        <xdr:cNvPr id="24" name="CuadroTexto 23">
          <a:extLst>
            <a:ext uri="{FF2B5EF4-FFF2-40B4-BE49-F238E27FC236}">
              <a16:creationId xmlns:a16="http://schemas.microsoft.com/office/drawing/2014/main" id="{00000000-0008-0000-1200-000018000000}"/>
            </a:ext>
          </a:extLst>
        </xdr:cNvPr>
        <xdr:cNvSpPr txBox="1"/>
      </xdr:nvSpPr>
      <xdr:spPr>
        <a:xfrm>
          <a:off x="7505700" y="40481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3</xdr:col>
      <xdr:colOff>28577</xdr:colOff>
      <xdr:row>11</xdr:row>
      <xdr:rowOff>175797</xdr:rowOff>
    </xdr:from>
    <xdr:ext cx="233205" cy="655436"/>
    <xdr:sp macro="" textlink="">
      <xdr:nvSpPr>
        <xdr:cNvPr id="68" name="CuadroTexto 67">
          <a:extLst>
            <a:ext uri="{FF2B5EF4-FFF2-40B4-BE49-F238E27FC236}">
              <a16:creationId xmlns:a16="http://schemas.microsoft.com/office/drawing/2014/main" id="{00000000-0008-0000-1200-000044000000}"/>
            </a:ext>
          </a:extLst>
        </xdr:cNvPr>
        <xdr:cNvSpPr txBox="1"/>
      </xdr:nvSpPr>
      <xdr:spPr>
        <a:xfrm rot="16200000">
          <a:off x="3598887" y="2482412"/>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333378</xdr:colOff>
      <xdr:row>30</xdr:row>
      <xdr:rowOff>52487</xdr:rowOff>
    </xdr:from>
    <xdr:ext cx="233205" cy="1160061"/>
    <xdr:sp macro="" textlink="">
      <xdr:nvSpPr>
        <xdr:cNvPr id="70" name="CuadroTexto 69">
          <a:extLst>
            <a:ext uri="{FF2B5EF4-FFF2-40B4-BE49-F238E27FC236}">
              <a16:creationId xmlns:a16="http://schemas.microsoft.com/office/drawing/2014/main" id="{00000000-0008-0000-1200-000046000000}"/>
            </a:ext>
          </a:extLst>
        </xdr:cNvPr>
        <xdr:cNvSpPr txBox="1"/>
      </xdr:nvSpPr>
      <xdr:spPr>
        <a:xfrm rot="16200000">
          <a:off x="3298950" y="6230915"/>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a:t>
          </a:r>
        </a:p>
      </xdr:txBody>
    </xdr:sp>
    <xdr:clientData/>
  </xdr:oneCellAnchor>
  <xdr:oneCellAnchor>
    <xdr:from>
      <xdr:col>3</xdr:col>
      <xdr:colOff>19057</xdr:colOff>
      <xdr:row>47</xdr:row>
      <xdr:rowOff>111316</xdr:rowOff>
    </xdr:from>
    <xdr:ext cx="233205" cy="2309030"/>
    <xdr:sp macro="" textlink="">
      <xdr:nvSpPr>
        <xdr:cNvPr id="74" name="CuadroTexto 73">
          <a:extLst>
            <a:ext uri="{FF2B5EF4-FFF2-40B4-BE49-F238E27FC236}">
              <a16:creationId xmlns:a16="http://schemas.microsoft.com/office/drawing/2014/main" id="{00000000-0008-0000-1200-00004A000000}"/>
            </a:ext>
          </a:extLst>
        </xdr:cNvPr>
        <xdr:cNvSpPr txBox="1"/>
      </xdr:nvSpPr>
      <xdr:spPr>
        <a:xfrm rot="16200000">
          <a:off x="2762570" y="10178928"/>
          <a:ext cx="230903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 tipo</a:t>
          </a:r>
          <a:r>
            <a:rPr lang="es-ES" sz="900" baseline="0">
              <a:solidFill>
                <a:schemeClr val="bg1">
                  <a:lumMod val="50000"/>
                </a:schemeClr>
              </a:solidFill>
              <a:effectLst/>
            </a:rPr>
            <a:t> de combustible</a:t>
          </a:r>
          <a:endParaRPr lang="es-ES" sz="900">
            <a:solidFill>
              <a:schemeClr val="bg1">
                <a:lumMod val="50000"/>
              </a:schemeClr>
            </a:solidFill>
            <a:effectLst/>
          </a:endParaRPr>
        </a:p>
      </xdr:txBody>
    </xdr:sp>
    <xdr:clientData/>
  </xdr:oneCellAnchor>
  <xdr:oneCellAnchor>
    <xdr:from>
      <xdr:col>8</xdr:col>
      <xdr:colOff>47625</xdr:colOff>
      <xdr:row>41</xdr:row>
      <xdr:rowOff>28575</xdr:rowOff>
    </xdr:from>
    <xdr:ext cx="1105495" cy="233205"/>
    <xdr:sp macro="" textlink="">
      <xdr:nvSpPr>
        <xdr:cNvPr id="23" name="CuadroTexto 22">
          <a:extLst>
            <a:ext uri="{FF2B5EF4-FFF2-40B4-BE49-F238E27FC236}">
              <a16:creationId xmlns:a16="http://schemas.microsoft.com/office/drawing/2014/main" id="{00000000-0008-0000-1200-000017000000}"/>
            </a:ext>
          </a:extLst>
        </xdr:cNvPr>
        <xdr:cNvSpPr txBox="1"/>
      </xdr:nvSpPr>
      <xdr:spPr>
        <a:xfrm>
          <a:off x="7648575" y="78676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400050</xdr:colOff>
      <xdr:row>62</xdr:row>
      <xdr:rowOff>85725</xdr:rowOff>
    </xdr:from>
    <xdr:ext cx="1105495" cy="233205"/>
    <xdr:sp macro="" textlink="">
      <xdr:nvSpPr>
        <xdr:cNvPr id="76" name="CuadroTexto 75">
          <a:extLst>
            <a:ext uri="{FF2B5EF4-FFF2-40B4-BE49-F238E27FC236}">
              <a16:creationId xmlns:a16="http://schemas.microsoft.com/office/drawing/2014/main" id="{00000000-0008-0000-1200-00004C000000}"/>
            </a:ext>
          </a:extLst>
        </xdr:cNvPr>
        <xdr:cNvSpPr txBox="1"/>
      </xdr:nvSpPr>
      <xdr:spPr>
        <a:xfrm>
          <a:off x="8001000" y="119729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0</xdr:colOff>
      <xdr:row>1</xdr:row>
      <xdr:rowOff>0</xdr:rowOff>
    </xdr:from>
    <xdr:to>
      <xdr:col>19</xdr:col>
      <xdr:colOff>2066925</xdr:colOff>
      <xdr:row>3</xdr:row>
      <xdr:rowOff>85725</xdr:rowOff>
    </xdr:to>
    <xdr:grpSp>
      <xdr:nvGrpSpPr>
        <xdr:cNvPr id="63" name="Grupo 62">
          <a:extLst>
            <a:ext uri="{FF2B5EF4-FFF2-40B4-BE49-F238E27FC236}">
              <a16:creationId xmlns:a16="http://schemas.microsoft.com/office/drawing/2014/main" id="{00000000-0008-0000-1200-00003F000000}"/>
            </a:ext>
          </a:extLst>
        </xdr:cNvPr>
        <xdr:cNvGrpSpPr/>
      </xdr:nvGrpSpPr>
      <xdr:grpSpPr>
        <a:xfrm>
          <a:off x="15228094" y="190500"/>
          <a:ext cx="2828925" cy="466725"/>
          <a:chOff x="15497175" y="542925"/>
          <a:chExt cx="2828925" cy="466725"/>
        </a:xfrm>
      </xdr:grpSpPr>
      <xdr:grpSp>
        <xdr:nvGrpSpPr>
          <xdr:cNvPr id="66" name="Grupo 65">
            <a:extLst>
              <a:ext uri="{FF2B5EF4-FFF2-40B4-BE49-F238E27FC236}">
                <a16:creationId xmlns:a16="http://schemas.microsoft.com/office/drawing/2014/main" id="{00000000-0008-0000-1200-000042000000}"/>
              </a:ext>
            </a:extLst>
          </xdr:cNvPr>
          <xdr:cNvGrpSpPr/>
        </xdr:nvGrpSpPr>
        <xdr:grpSpPr>
          <a:xfrm>
            <a:off x="15554325" y="628650"/>
            <a:ext cx="2771775" cy="314325"/>
            <a:chOff x="15621000" y="190500"/>
            <a:chExt cx="2771775" cy="314325"/>
          </a:xfrm>
        </xdr:grpSpPr>
        <xdr:sp macro="" textlink="">
          <xdr:nvSpPr>
            <xdr:cNvPr id="77" name="Elipse 76">
              <a:extLst>
                <a:ext uri="{FF2B5EF4-FFF2-40B4-BE49-F238E27FC236}">
                  <a16:creationId xmlns:a16="http://schemas.microsoft.com/office/drawing/2014/main" id="{00000000-0008-0000-1200-00004D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8" name="Rectángulo: esquinas redondeadas 77">
              <a:extLst>
                <a:ext uri="{FF2B5EF4-FFF2-40B4-BE49-F238E27FC236}">
                  <a16:creationId xmlns:a16="http://schemas.microsoft.com/office/drawing/2014/main" id="{00000000-0008-0000-1200-00004E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69" name="Gráfico 68" descr="Información con relleno sólido">
            <a:hlinkClick xmlns:r="http://schemas.openxmlformats.org/officeDocument/2006/relationships" r:id="rId59"/>
            <a:extLst>
              <a:ext uri="{FF2B5EF4-FFF2-40B4-BE49-F238E27FC236}">
                <a16:creationId xmlns:a16="http://schemas.microsoft.com/office/drawing/2014/main" id="{00000000-0008-0000-1200-000045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5497175" y="542925"/>
            <a:ext cx="466725" cy="466725"/>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3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3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3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3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3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3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3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3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3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3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3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3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3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editAs="oneCell">
    <xdr:from>
      <xdr:col>3</xdr:col>
      <xdr:colOff>361950</xdr:colOff>
      <xdr:row>42</xdr:row>
      <xdr:rowOff>161925</xdr:rowOff>
    </xdr:from>
    <xdr:to>
      <xdr:col>4</xdr:col>
      <xdr:colOff>57150</xdr:colOff>
      <xdr:row>45</xdr:row>
      <xdr:rowOff>1</xdr:rowOff>
    </xdr:to>
    <xdr:pic>
      <xdr:nvPicPr>
        <xdr:cNvPr id="21" name="Gráfico 20" descr="Torre eléctrica con relleno sólido">
          <a:extLst>
            <a:ext uri="{FF2B5EF4-FFF2-40B4-BE49-F238E27FC236}">
              <a16:creationId xmlns:a16="http://schemas.microsoft.com/office/drawing/2014/main" id="{00000000-0008-0000-1300-00001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143375" y="8191500"/>
          <a:ext cx="457200" cy="457200"/>
        </a:xfrm>
        <a:prstGeom prst="rect">
          <a:avLst/>
        </a:prstGeom>
      </xdr:spPr>
    </xdr:pic>
    <xdr:clientData/>
  </xdr:twoCellAnchor>
  <xdr:twoCellAnchor>
    <xdr:from>
      <xdr:col>14</xdr:col>
      <xdr:colOff>85725</xdr:colOff>
      <xdr:row>0</xdr:row>
      <xdr:rowOff>95250</xdr:rowOff>
    </xdr:from>
    <xdr:to>
      <xdr:col>18</xdr:col>
      <xdr:colOff>209550</xdr:colOff>
      <xdr:row>3</xdr:row>
      <xdr:rowOff>19050</xdr:rowOff>
    </xdr:to>
    <xdr:grpSp>
      <xdr:nvGrpSpPr>
        <xdr:cNvPr id="25" name="Grupo 24">
          <a:hlinkClick xmlns:r="http://schemas.openxmlformats.org/officeDocument/2006/relationships" r:id="rId20"/>
          <a:extLst>
            <a:ext uri="{FF2B5EF4-FFF2-40B4-BE49-F238E27FC236}">
              <a16:creationId xmlns:a16="http://schemas.microsoft.com/office/drawing/2014/main" id="{00000000-0008-0000-1300-000019000000}"/>
            </a:ext>
          </a:extLst>
        </xdr:cNvPr>
        <xdr:cNvGrpSpPr/>
      </xdr:nvGrpSpPr>
      <xdr:grpSpPr>
        <a:xfrm>
          <a:off x="12253913" y="95250"/>
          <a:ext cx="3171825" cy="495300"/>
          <a:chOff x="12249150" y="19050"/>
          <a:chExt cx="3171825" cy="495300"/>
        </a:xfrm>
      </xdr:grpSpPr>
      <xdr:grpSp>
        <xdr:nvGrpSpPr>
          <xdr:cNvPr id="26" name="Grupo 25">
            <a:extLst>
              <a:ext uri="{FF2B5EF4-FFF2-40B4-BE49-F238E27FC236}">
                <a16:creationId xmlns:a16="http://schemas.microsoft.com/office/drawing/2014/main" id="{00000000-0008-0000-1300-00001A000000}"/>
              </a:ext>
            </a:extLst>
          </xdr:cNvPr>
          <xdr:cNvGrpSpPr/>
        </xdr:nvGrpSpPr>
        <xdr:grpSpPr>
          <a:xfrm>
            <a:off x="12249150" y="66675"/>
            <a:ext cx="3171825" cy="438150"/>
            <a:chOff x="12515849" y="47625"/>
            <a:chExt cx="3171825" cy="438150"/>
          </a:xfrm>
        </xdr:grpSpPr>
        <xdr:sp macro="" textlink="">
          <xdr:nvSpPr>
            <xdr:cNvPr id="28" name="Rectángulo: esquinas redondeadas 27">
              <a:extLst>
                <a:ext uri="{FF2B5EF4-FFF2-40B4-BE49-F238E27FC236}">
                  <a16:creationId xmlns:a16="http://schemas.microsoft.com/office/drawing/2014/main" id="{00000000-0008-0000-13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300-00001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Residuos</a:t>
              </a:r>
            </a:p>
          </xdr:txBody>
        </xdr:sp>
      </xdr:grpSp>
      <xdr:pic>
        <xdr:nvPicPr>
          <xdr:cNvPr id="27" name="Gráfico 26" descr="Búsqueda de carpetas con relleno sólido">
            <a:extLst>
              <a:ext uri="{FF2B5EF4-FFF2-40B4-BE49-F238E27FC236}">
                <a16:creationId xmlns:a16="http://schemas.microsoft.com/office/drawing/2014/main" id="{00000000-0008-0000-1300-00001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30" name="Gráfico 29" descr="Bombilla fluorescente con relleno sólido">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3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3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3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3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3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3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3</xdr:col>
      <xdr:colOff>660400</xdr:colOff>
      <xdr:row>6</xdr:row>
      <xdr:rowOff>0</xdr:rowOff>
    </xdr:from>
    <xdr:to>
      <xdr:col>17</xdr:col>
      <xdr:colOff>531495</xdr:colOff>
      <xdr:row>23</xdr:row>
      <xdr:rowOff>70757</xdr:rowOff>
    </xdr:to>
    <xdr:graphicFrame macro="">
      <xdr:nvGraphicFramePr>
        <xdr:cNvPr id="20" name="Gráfico 23">
          <a:extLst>
            <a:ext uri="{FF2B5EF4-FFF2-40B4-BE49-F238E27FC236}">
              <a16:creationId xmlns:a16="http://schemas.microsoft.com/office/drawing/2014/main" id="{00000000-0008-0000-1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714375</xdr:colOff>
      <xdr:row>26</xdr:row>
      <xdr:rowOff>0</xdr:rowOff>
    </xdr:from>
    <xdr:to>
      <xdr:col>17</xdr:col>
      <xdr:colOff>483870</xdr:colOff>
      <xdr:row>43</xdr:row>
      <xdr:rowOff>99332</xdr:rowOff>
    </xdr:to>
    <xdr:graphicFrame macro="">
      <xdr:nvGraphicFramePr>
        <xdr:cNvPr id="22" name="Gráfico 23">
          <a:extLst>
            <a:ext uri="{FF2B5EF4-FFF2-40B4-BE49-F238E27FC236}">
              <a16:creationId xmlns:a16="http://schemas.microsoft.com/office/drawing/2014/main" id="{00000000-0008-0000-1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xdr:col>
      <xdr:colOff>676275</xdr:colOff>
      <xdr:row>46</xdr:row>
      <xdr:rowOff>104775</xdr:rowOff>
    </xdr:from>
    <xdr:to>
      <xdr:col>17</xdr:col>
      <xdr:colOff>426720</xdr:colOff>
      <xdr:row>64</xdr:row>
      <xdr:rowOff>146957</xdr:rowOff>
    </xdr:to>
    <xdr:graphicFrame macro="">
      <xdr:nvGraphicFramePr>
        <xdr:cNvPr id="23" name="Gráfico 67">
          <a:extLst>
            <a:ext uri="{FF2B5EF4-FFF2-40B4-BE49-F238E27FC236}">
              <a16:creationId xmlns:a16="http://schemas.microsoft.com/office/drawing/2014/main" id="{00000000-0008-0000-1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28"/>
          <a:extLst>
            <a:ext uri="{FF2B5EF4-FFF2-40B4-BE49-F238E27FC236}">
              <a16:creationId xmlns:a16="http://schemas.microsoft.com/office/drawing/2014/main" id="{00000000-0008-0000-13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300-000044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3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182880</xdr:colOff>
      <xdr:row>2</xdr:row>
      <xdr:rowOff>91440</xdr:rowOff>
    </xdr:from>
    <xdr:to>
      <xdr:col>4</xdr:col>
      <xdr:colOff>251038</xdr:colOff>
      <xdr:row>5</xdr:row>
      <xdr:rowOff>132715</xdr:rowOff>
    </xdr:to>
    <xdr:grpSp>
      <xdr:nvGrpSpPr>
        <xdr:cNvPr id="70" name="Grupo 69">
          <a:extLst>
            <a:ext uri="{FF2B5EF4-FFF2-40B4-BE49-F238E27FC236}">
              <a16:creationId xmlns:a16="http://schemas.microsoft.com/office/drawing/2014/main" id="{00000000-0008-0000-1300-000046000000}"/>
            </a:ext>
          </a:extLst>
        </xdr:cNvPr>
        <xdr:cNvGrpSpPr/>
      </xdr:nvGrpSpPr>
      <xdr:grpSpPr>
        <a:xfrm>
          <a:off x="3969068" y="472440"/>
          <a:ext cx="83015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300-000047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3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1</xdr:col>
      <xdr:colOff>0</xdr:colOff>
      <xdr:row>1</xdr:row>
      <xdr:rowOff>0</xdr:rowOff>
    </xdr:from>
    <xdr:to>
      <xdr:col>1</xdr:col>
      <xdr:colOff>2009778</xdr:colOff>
      <xdr:row>31</xdr:row>
      <xdr:rowOff>145505</xdr:rowOff>
    </xdr:to>
    <xdr:grpSp>
      <xdr:nvGrpSpPr>
        <xdr:cNvPr id="144" name="Grupo 143">
          <a:extLst>
            <a:ext uri="{FF2B5EF4-FFF2-40B4-BE49-F238E27FC236}">
              <a16:creationId xmlns:a16="http://schemas.microsoft.com/office/drawing/2014/main" id="{00000000-0008-0000-1300-000090000000}"/>
            </a:ext>
          </a:extLst>
        </xdr:cNvPr>
        <xdr:cNvGrpSpPr/>
      </xdr:nvGrpSpPr>
      <xdr:grpSpPr>
        <a:xfrm>
          <a:off x="1381125" y="190500"/>
          <a:ext cx="2009778" cy="5860505"/>
          <a:chOff x="1381125" y="190500"/>
          <a:chExt cx="2009778" cy="5860505"/>
        </a:xfrm>
      </xdr:grpSpPr>
      <xdr:sp macro="" textlink="">
        <xdr:nvSpPr>
          <xdr:cNvPr id="145" name="Rectángulo: esquinas superiores redondeadas 144">
            <a:extLst>
              <a:ext uri="{FF2B5EF4-FFF2-40B4-BE49-F238E27FC236}">
                <a16:creationId xmlns:a16="http://schemas.microsoft.com/office/drawing/2014/main" id="{00000000-0008-0000-1300-000091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grpSp>
        <xdr:nvGrpSpPr>
          <xdr:cNvPr id="146" name="Grupo 145">
            <a:hlinkClick xmlns:r="http://schemas.openxmlformats.org/officeDocument/2006/relationships" r:id="rId33"/>
            <a:extLst>
              <a:ext uri="{FF2B5EF4-FFF2-40B4-BE49-F238E27FC236}">
                <a16:creationId xmlns:a16="http://schemas.microsoft.com/office/drawing/2014/main" id="{00000000-0008-0000-1300-000092000000}"/>
              </a:ext>
            </a:extLst>
          </xdr:cNvPr>
          <xdr:cNvGrpSpPr/>
        </xdr:nvGrpSpPr>
        <xdr:grpSpPr>
          <a:xfrm>
            <a:off x="1438275" y="630545"/>
            <a:ext cx="1876426" cy="427462"/>
            <a:chOff x="1438275" y="630545"/>
            <a:chExt cx="1876426" cy="427462"/>
          </a:xfrm>
        </xdr:grpSpPr>
        <xdr:sp macro="" textlink="">
          <xdr:nvSpPr>
            <xdr:cNvPr id="171" name="Rectángulo 170">
              <a:extLst>
                <a:ext uri="{FF2B5EF4-FFF2-40B4-BE49-F238E27FC236}">
                  <a16:creationId xmlns:a16="http://schemas.microsoft.com/office/drawing/2014/main" id="{00000000-0008-0000-1300-0000AB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172" name="Gráfico 171" descr="Batería en carga con relleno sólido">
              <a:extLst>
                <a:ext uri="{FF2B5EF4-FFF2-40B4-BE49-F238E27FC236}">
                  <a16:creationId xmlns:a16="http://schemas.microsoft.com/office/drawing/2014/main" id="{00000000-0008-0000-1300-0000AC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815004" y="647700"/>
              <a:ext cx="411771" cy="410307"/>
            </a:xfrm>
            <a:prstGeom prst="rect">
              <a:avLst/>
            </a:prstGeom>
          </xdr:spPr>
        </xdr:pic>
      </xdr:grpSp>
      <xdr:grpSp>
        <xdr:nvGrpSpPr>
          <xdr:cNvPr id="147" name="Grupo 146">
            <a:hlinkClick xmlns:r="http://schemas.openxmlformats.org/officeDocument/2006/relationships" r:id="rId36"/>
            <a:extLst>
              <a:ext uri="{FF2B5EF4-FFF2-40B4-BE49-F238E27FC236}">
                <a16:creationId xmlns:a16="http://schemas.microsoft.com/office/drawing/2014/main" id="{00000000-0008-0000-1300-000093000000}"/>
              </a:ext>
            </a:extLst>
          </xdr:cNvPr>
          <xdr:cNvGrpSpPr/>
        </xdr:nvGrpSpPr>
        <xdr:grpSpPr>
          <a:xfrm>
            <a:off x="1438275" y="1227614"/>
            <a:ext cx="1876426" cy="440780"/>
            <a:chOff x="1438275" y="1227614"/>
            <a:chExt cx="1876426" cy="440780"/>
          </a:xfrm>
        </xdr:grpSpPr>
        <xdr:sp macro="" textlink="">
          <xdr:nvSpPr>
            <xdr:cNvPr id="169" name="Rectángulo 168">
              <a:extLst>
                <a:ext uri="{FF2B5EF4-FFF2-40B4-BE49-F238E27FC236}">
                  <a16:creationId xmlns:a16="http://schemas.microsoft.com/office/drawing/2014/main" id="{00000000-0008-0000-1300-0000A9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EyA</a:t>
              </a:r>
            </a:p>
          </xdr:txBody>
        </xdr:sp>
        <xdr:pic>
          <xdr:nvPicPr>
            <xdr:cNvPr id="170" name="Gráfico 169" descr="Alta tensión con relleno sólido">
              <a:extLst>
                <a:ext uri="{FF2B5EF4-FFF2-40B4-BE49-F238E27FC236}">
                  <a16:creationId xmlns:a16="http://schemas.microsoft.com/office/drawing/2014/main" id="{00000000-0008-0000-1300-0000AA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0134" y="1241913"/>
              <a:ext cx="397118" cy="396896"/>
            </a:xfrm>
            <a:prstGeom prst="rect">
              <a:avLst/>
            </a:prstGeom>
          </xdr:spPr>
        </xdr:pic>
      </xdr:grpSp>
      <xdr:grpSp>
        <xdr:nvGrpSpPr>
          <xdr:cNvPr id="148" name="Grupo 147">
            <a:hlinkClick xmlns:r="http://schemas.openxmlformats.org/officeDocument/2006/relationships" r:id="rId39"/>
            <a:extLst>
              <a:ext uri="{FF2B5EF4-FFF2-40B4-BE49-F238E27FC236}">
                <a16:creationId xmlns:a16="http://schemas.microsoft.com/office/drawing/2014/main" id="{00000000-0008-0000-1300-000094000000}"/>
              </a:ext>
            </a:extLst>
          </xdr:cNvPr>
          <xdr:cNvGrpSpPr/>
        </xdr:nvGrpSpPr>
        <xdr:grpSpPr>
          <a:xfrm>
            <a:off x="1438275" y="1853701"/>
            <a:ext cx="1876426" cy="440780"/>
            <a:chOff x="1438275" y="1853701"/>
            <a:chExt cx="1876426" cy="440780"/>
          </a:xfrm>
        </xdr:grpSpPr>
        <xdr:sp macro="" textlink="">
          <xdr:nvSpPr>
            <xdr:cNvPr id="167" name="Rectángulo 166">
              <a:extLst>
                <a:ext uri="{FF2B5EF4-FFF2-40B4-BE49-F238E27FC236}">
                  <a16:creationId xmlns:a16="http://schemas.microsoft.com/office/drawing/2014/main" id="{00000000-0008-0000-1300-0000A7000000}"/>
                </a:ext>
              </a:extLst>
            </xdr:cNvPr>
            <xdr:cNvSpPr/>
          </xdr:nvSpPr>
          <xdr:spPr>
            <a:xfrm>
              <a:off x="1438275" y="1853701"/>
              <a:ext cx="1876426" cy="440780"/>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168" name="Gráfico 167" descr="Producción con relleno sólido">
              <a:extLst>
                <a:ext uri="{FF2B5EF4-FFF2-40B4-BE49-F238E27FC236}">
                  <a16:creationId xmlns:a16="http://schemas.microsoft.com/office/drawing/2014/main" id="{00000000-0008-0000-1300-0000A8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44313" y="1918921"/>
              <a:ext cx="382463" cy="341922"/>
            </a:xfrm>
            <a:prstGeom prst="rect">
              <a:avLst/>
            </a:prstGeom>
          </xdr:spPr>
        </xdr:pic>
      </xdr:grpSp>
      <xdr:grpSp>
        <xdr:nvGrpSpPr>
          <xdr:cNvPr id="149" name="Grupo 148">
            <a:hlinkClick xmlns:r="http://schemas.openxmlformats.org/officeDocument/2006/relationships" r:id="rId42"/>
            <a:extLst>
              <a:ext uri="{FF2B5EF4-FFF2-40B4-BE49-F238E27FC236}">
                <a16:creationId xmlns:a16="http://schemas.microsoft.com/office/drawing/2014/main" id="{00000000-0008-0000-1300-000095000000}"/>
              </a:ext>
            </a:extLst>
          </xdr:cNvPr>
          <xdr:cNvGrpSpPr/>
        </xdr:nvGrpSpPr>
        <xdr:grpSpPr>
          <a:xfrm>
            <a:off x="1438275" y="2479788"/>
            <a:ext cx="1876426" cy="440780"/>
            <a:chOff x="1438275" y="2479788"/>
            <a:chExt cx="1876426" cy="440780"/>
          </a:xfrm>
        </xdr:grpSpPr>
        <xdr:sp macro="" textlink="">
          <xdr:nvSpPr>
            <xdr:cNvPr id="165" name="Rectángulo 164">
              <a:extLst>
                <a:ext uri="{FF2B5EF4-FFF2-40B4-BE49-F238E27FC236}">
                  <a16:creationId xmlns:a16="http://schemas.microsoft.com/office/drawing/2014/main" id="{00000000-0008-0000-1300-0000A5000000}"/>
                </a:ext>
              </a:extLst>
            </xdr:cNvPr>
            <xdr:cNvSpPr/>
          </xdr:nvSpPr>
          <xdr:spPr>
            <a:xfrm>
              <a:off x="1438275" y="2479788"/>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RESIDUOS</a:t>
              </a:r>
            </a:p>
          </xdr:txBody>
        </xdr:sp>
        <xdr:pic>
          <xdr:nvPicPr>
            <xdr:cNvPr id="166" name="Gráfico 165" descr="Basura con relleno sólido">
              <a:extLst>
                <a:ext uri="{FF2B5EF4-FFF2-40B4-BE49-F238E27FC236}">
                  <a16:creationId xmlns:a16="http://schemas.microsoft.com/office/drawing/2014/main" id="{00000000-0008-0000-1300-0000A6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52128" y="2537313"/>
              <a:ext cx="367810" cy="342899"/>
            </a:xfrm>
            <a:prstGeom prst="rect">
              <a:avLst/>
            </a:prstGeom>
          </xdr:spPr>
        </xdr:pic>
      </xdr:grpSp>
      <xdr:grpSp>
        <xdr:nvGrpSpPr>
          <xdr:cNvPr id="150" name="Grupo 149">
            <a:hlinkClick xmlns:r="http://schemas.openxmlformats.org/officeDocument/2006/relationships" r:id="rId45"/>
            <a:extLst>
              <a:ext uri="{FF2B5EF4-FFF2-40B4-BE49-F238E27FC236}">
                <a16:creationId xmlns:a16="http://schemas.microsoft.com/office/drawing/2014/main" id="{00000000-0008-0000-1300-000096000000}"/>
              </a:ext>
            </a:extLst>
          </xdr:cNvPr>
          <xdr:cNvGrpSpPr/>
        </xdr:nvGrpSpPr>
        <xdr:grpSpPr>
          <a:xfrm>
            <a:off x="1438275" y="3705160"/>
            <a:ext cx="1876426" cy="543340"/>
            <a:chOff x="1438275" y="3705160"/>
            <a:chExt cx="1876426" cy="543340"/>
          </a:xfrm>
        </xdr:grpSpPr>
        <xdr:sp macro="" textlink="">
          <xdr:nvSpPr>
            <xdr:cNvPr id="163" name="Rectángulo 162">
              <a:extLst>
                <a:ext uri="{FF2B5EF4-FFF2-40B4-BE49-F238E27FC236}">
                  <a16:creationId xmlns:a16="http://schemas.microsoft.com/office/drawing/2014/main" id="{00000000-0008-0000-1300-0000A3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164" name="Gráfico 163" descr="Coche eléctrico con relleno sólido">
              <a:extLst>
                <a:ext uri="{FF2B5EF4-FFF2-40B4-BE49-F238E27FC236}">
                  <a16:creationId xmlns:a16="http://schemas.microsoft.com/office/drawing/2014/main" id="{00000000-0008-0000-1300-0000A4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771775" y="3705160"/>
              <a:ext cx="536299" cy="543340"/>
            </a:xfrm>
            <a:prstGeom prst="rect">
              <a:avLst/>
            </a:prstGeom>
          </xdr:spPr>
        </xdr:pic>
      </xdr:grpSp>
      <xdr:grpSp>
        <xdr:nvGrpSpPr>
          <xdr:cNvPr id="151" name="Grupo 150">
            <a:hlinkClick xmlns:r="http://schemas.openxmlformats.org/officeDocument/2006/relationships" r:id="rId48"/>
            <a:extLst>
              <a:ext uri="{FF2B5EF4-FFF2-40B4-BE49-F238E27FC236}">
                <a16:creationId xmlns:a16="http://schemas.microsoft.com/office/drawing/2014/main" id="{00000000-0008-0000-1300-000097000000}"/>
              </a:ext>
            </a:extLst>
          </xdr:cNvPr>
          <xdr:cNvGrpSpPr/>
        </xdr:nvGrpSpPr>
        <xdr:grpSpPr>
          <a:xfrm>
            <a:off x="1438275" y="3105875"/>
            <a:ext cx="1876426" cy="456411"/>
            <a:chOff x="1438275" y="3105875"/>
            <a:chExt cx="1876426" cy="456411"/>
          </a:xfrm>
        </xdr:grpSpPr>
        <xdr:sp macro="" textlink="">
          <xdr:nvSpPr>
            <xdr:cNvPr id="161" name="Rectángulo 160">
              <a:extLst>
                <a:ext uri="{FF2B5EF4-FFF2-40B4-BE49-F238E27FC236}">
                  <a16:creationId xmlns:a16="http://schemas.microsoft.com/office/drawing/2014/main" id="{00000000-0008-0000-1300-0000A1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162" name="Gráfico 161" descr="Escena suburbana con relleno sólido">
              <a:extLst>
                <a:ext uri="{FF2B5EF4-FFF2-40B4-BE49-F238E27FC236}">
                  <a16:creationId xmlns:a16="http://schemas.microsoft.com/office/drawing/2014/main" id="{00000000-0008-0000-1300-0000A2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23955" y="3117510"/>
              <a:ext cx="448504" cy="444776"/>
            </a:xfrm>
            <a:prstGeom prst="rect">
              <a:avLst/>
            </a:prstGeom>
          </xdr:spPr>
        </xdr:pic>
      </xdr:grpSp>
      <xdr:grpSp>
        <xdr:nvGrpSpPr>
          <xdr:cNvPr id="152" name="Grupo 151">
            <a:hlinkClick xmlns:r="http://schemas.openxmlformats.org/officeDocument/2006/relationships" r:id="rId51"/>
            <a:extLst>
              <a:ext uri="{FF2B5EF4-FFF2-40B4-BE49-F238E27FC236}">
                <a16:creationId xmlns:a16="http://schemas.microsoft.com/office/drawing/2014/main" id="{00000000-0008-0000-1300-000098000000}"/>
              </a:ext>
            </a:extLst>
          </xdr:cNvPr>
          <xdr:cNvGrpSpPr/>
        </xdr:nvGrpSpPr>
        <xdr:grpSpPr>
          <a:xfrm>
            <a:off x="1438275" y="4336296"/>
            <a:ext cx="1876426" cy="462533"/>
            <a:chOff x="1438275" y="4336296"/>
            <a:chExt cx="1876426" cy="462533"/>
          </a:xfrm>
        </xdr:grpSpPr>
        <xdr:sp macro="" textlink="">
          <xdr:nvSpPr>
            <xdr:cNvPr id="159" name="Rectángulo 158">
              <a:extLst>
                <a:ext uri="{FF2B5EF4-FFF2-40B4-BE49-F238E27FC236}">
                  <a16:creationId xmlns:a16="http://schemas.microsoft.com/office/drawing/2014/main" id="{00000000-0008-0000-1300-00009F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160" name="Gráfico 159" descr="Cultivos con relleno sólido">
              <a:extLst>
                <a:ext uri="{FF2B5EF4-FFF2-40B4-BE49-F238E27FC236}">
                  <a16:creationId xmlns:a16="http://schemas.microsoft.com/office/drawing/2014/main" id="{00000000-0008-0000-1300-0000A0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 uri="{96DAC541-7B7A-43D3-8B79-37D633B846F1}">
                  <asvg:svgBlip xmlns:asvg="http://schemas.microsoft.com/office/drawing/2016/SVG/main" r:embed="rId53"/>
                </a:ext>
              </a:extLst>
            </a:blip>
            <a:stretch>
              <a:fillRect/>
            </a:stretch>
          </xdr:blipFill>
          <xdr:spPr>
            <a:xfrm>
              <a:off x="2819400" y="4336296"/>
              <a:ext cx="448504" cy="452231"/>
            </a:xfrm>
            <a:prstGeom prst="rect">
              <a:avLst/>
            </a:prstGeom>
          </xdr:spPr>
        </xdr:pic>
      </xdr:grpSp>
      <xdr:grpSp>
        <xdr:nvGrpSpPr>
          <xdr:cNvPr id="153" name="Grupo 152">
            <a:hlinkClick xmlns:r="http://schemas.openxmlformats.org/officeDocument/2006/relationships" r:id="rId54"/>
            <a:extLst>
              <a:ext uri="{FF2B5EF4-FFF2-40B4-BE49-F238E27FC236}">
                <a16:creationId xmlns:a16="http://schemas.microsoft.com/office/drawing/2014/main" id="{00000000-0008-0000-1300-000099000000}"/>
              </a:ext>
            </a:extLst>
          </xdr:cNvPr>
          <xdr:cNvGrpSpPr/>
        </xdr:nvGrpSpPr>
        <xdr:grpSpPr>
          <a:xfrm>
            <a:off x="1438275" y="4984136"/>
            <a:ext cx="1876426" cy="440780"/>
            <a:chOff x="1438275" y="4984136"/>
            <a:chExt cx="1876426" cy="440780"/>
          </a:xfrm>
        </xdr:grpSpPr>
        <xdr:sp macro="" textlink="">
          <xdr:nvSpPr>
            <xdr:cNvPr id="157" name="Rectángulo 156">
              <a:extLst>
                <a:ext uri="{FF2B5EF4-FFF2-40B4-BE49-F238E27FC236}">
                  <a16:creationId xmlns:a16="http://schemas.microsoft.com/office/drawing/2014/main" id="{00000000-0008-0000-1300-00009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158" name="Gráfico 157" descr="Vaca con relleno sólido">
              <a:extLst>
                <a:ext uri="{FF2B5EF4-FFF2-40B4-BE49-F238E27FC236}">
                  <a16:creationId xmlns:a16="http://schemas.microsoft.com/office/drawing/2014/main" id="{00000000-0008-0000-1300-00009E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2838450" y="4999902"/>
              <a:ext cx="414460" cy="413217"/>
            </a:xfrm>
            <a:prstGeom prst="rect">
              <a:avLst/>
            </a:prstGeom>
          </xdr:spPr>
        </xdr:pic>
      </xdr:grpSp>
      <xdr:grpSp>
        <xdr:nvGrpSpPr>
          <xdr:cNvPr id="154" name="Grupo 153">
            <a:hlinkClick xmlns:r="http://schemas.openxmlformats.org/officeDocument/2006/relationships" r:id="rId57"/>
            <a:extLst>
              <a:ext uri="{FF2B5EF4-FFF2-40B4-BE49-F238E27FC236}">
                <a16:creationId xmlns:a16="http://schemas.microsoft.com/office/drawing/2014/main" id="{00000000-0008-0000-1300-00009A000000}"/>
              </a:ext>
            </a:extLst>
          </xdr:cNvPr>
          <xdr:cNvGrpSpPr/>
        </xdr:nvGrpSpPr>
        <xdr:grpSpPr>
          <a:xfrm>
            <a:off x="1438275" y="5589039"/>
            <a:ext cx="1876426" cy="461966"/>
            <a:chOff x="1438275" y="5589039"/>
            <a:chExt cx="1876426" cy="461966"/>
          </a:xfrm>
        </xdr:grpSpPr>
        <xdr:sp macro="" textlink="">
          <xdr:nvSpPr>
            <xdr:cNvPr id="155" name="Rectángulo 154">
              <a:extLst>
                <a:ext uri="{FF2B5EF4-FFF2-40B4-BE49-F238E27FC236}">
                  <a16:creationId xmlns:a16="http://schemas.microsoft.com/office/drawing/2014/main" id="{00000000-0008-0000-1300-00009B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156" name="Gráfico 155" descr="Selva tropical con relleno sólido">
              <a:extLst>
                <a:ext uri="{FF2B5EF4-FFF2-40B4-BE49-F238E27FC236}">
                  <a16:creationId xmlns:a16="http://schemas.microsoft.com/office/drawing/2014/main" id="{00000000-0008-0000-1300-00009C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2828925" y="5589039"/>
              <a:ext cx="448504" cy="447261"/>
            </a:xfrm>
            <a:prstGeom prst="rect">
              <a:avLst/>
            </a:prstGeom>
          </xdr:spPr>
        </xdr:pic>
      </xdr:grpSp>
    </xdr:grpSp>
    <xdr:clientData/>
  </xdr:twoCellAnchor>
  <xdr:oneCellAnchor>
    <xdr:from>
      <xdr:col>3</xdr:col>
      <xdr:colOff>57152</xdr:colOff>
      <xdr:row>11</xdr:row>
      <xdr:rowOff>90388</xdr:rowOff>
    </xdr:from>
    <xdr:ext cx="233205" cy="655436"/>
    <xdr:sp macro="" textlink="">
      <xdr:nvSpPr>
        <xdr:cNvPr id="39" name="CuadroTexto 38">
          <a:extLst>
            <a:ext uri="{FF2B5EF4-FFF2-40B4-BE49-F238E27FC236}">
              <a16:creationId xmlns:a16="http://schemas.microsoft.com/office/drawing/2014/main" id="{00000000-0008-0000-1300-000027000000}"/>
            </a:ext>
          </a:extLst>
        </xdr:cNvPr>
        <xdr:cNvSpPr txBox="1"/>
      </xdr:nvSpPr>
      <xdr:spPr>
        <a:xfrm rot="16200000">
          <a:off x="3627462" y="2397003"/>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342904</xdr:colOff>
      <xdr:row>31</xdr:row>
      <xdr:rowOff>152400</xdr:rowOff>
    </xdr:from>
    <xdr:ext cx="233205" cy="1160061"/>
    <xdr:sp macro="" textlink="">
      <xdr:nvSpPr>
        <xdr:cNvPr id="40" name="CuadroTexto 39">
          <a:extLst>
            <a:ext uri="{FF2B5EF4-FFF2-40B4-BE49-F238E27FC236}">
              <a16:creationId xmlns:a16="http://schemas.microsoft.com/office/drawing/2014/main" id="{00000000-0008-0000-1300-000028000000}"/>
            </a:ext>
          </a:extLst>
        </xdr:cNvPr>
        <xdr:cNvSpPr txBox="1"/>
      </xdr:nvSpPr>
      <xdr:spPr>
        <a:xfrm rot="16200000">
          <a:off x="3308476" y="6521328"/>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a:t>
          </a:r>
          <a:r>
            <a:rPr lang="es-ES" sz="900" baseline="0">
              <a:solidFill>
                <a:schemeClr val="bg1">
                  <a:lumMod val="50000"/>
                </a:schemeClr>
              </a:solidFill>
              <a:effectLst/>
            </a:rPr>
            <a:t> energética</a:t>
          </a:r>
          <a:endParaRPr lang="es-ES" sz="900">
            <a:solidFill>
              <a:schemeClr val="bg1">
                <a:lumMod val="50000"/>
              </a:schemeClr>
            </a:solidFill>
            <a:effectLst/>
          </a:endParaRPr>
        </a:p>
      </xdr:txBody>
    </xdr:sp>
    <xdr:clientData/>
  </xdr:oneCellAnchor>
  <xdr:oneCellAnchor>
    <xdr:from>
      <xdr:col>2</xdr:col>
      <xdr:colOff>333383</xdr:colOff>
      <xdr:row>51</xdr:row>
      <xdr:rowOff>3511</xdr:rowOff>
    </xdr:from>
    <xdr:ext cx="233205" cy="1248290"/>
    <xdr:sp macro="" textlink="">
      <xdr:nvSpPr>
        <xdr:cNvPr id="41" name="CuadroTexto 40">
          <a:extLst>
            <a:ext uri="{FF2B5EF4-FFF2-40B4-BE49-F238E27FC236}">
              <a16:creationId xmlns:a16="http://schemas.microsoft.com/office/drawing/2014/main" id="{00000000-0008-0000-1300-000029000000}"/>
            </a:ext>
          </a:extLst>
        </xdr:cNvPr>
        <xdr:cNvSpPr txBox="1"/>
      </xdr:nvSpPr>
      <xdr:spPr>
        <a:xfrm rot="16200000">
          <a:off x="3254841" y="10436103"/>
          <a:ext cx="124829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a:t>
          </a:r>
        </a:p>
      </xdr:txBody>
    </xdr:sp>
    <xdr:clientData/>
  </xdr:oneCellAnchor>
  <xdr:oneCellAnchor>
    <xdr:from>
      <xdr:col>8</xdr:col>
      <xdr:colOff>361950</xdr:colOff>
      <xdr:row>21</xdr:row>
      <xdr:rowOff>95250</xdr:rowOff>
    </xdr:from>
    <xdr:ext cx="1105495" cy="233205"/>
    <xdr:sp macro="" textlink="">
      <xdr:nvSpPr>
        <xdr:cNvPr id="42" name="CuadroTexto 41">
          <a:extLst>
            <a:ext uri="{FF2B5EF4-FFF2-40B4-BE49-F238E27FC236}">
              <a16:creationId xmlns:a16="http://schemas.microsoft.com/office/drawing/2014/main" id="{00000000-0008-0000-1300-00002A000000}"/>
            </a:ext>
          </a:extLst>
        </xdr:cNvPr>
        <xdr:cNvSpPr txBox="1"/>
      </xdr:nvSpPr>
      <xdr:spPr>
        <a:xfrm>
          <a:off x="7953375" y="40957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600075</xdr:colOff>
      <xdr:row>42</xdr:row>
      <xdr:rowOff>104775</xdr:rowOff>
    </xdr:from>
    <xdr:ext cx="1105495" cy="233205"/>
    <xdr:sp macro="" textlink="">
      <xdr:nvSpPr>
        <xdr:cNvPr id="43" name="CuadroTexto 42">
          <a:extLst>
            <a:ext uri="{FF2B5EF4-FFF2-40B4-BE49-F238E27FC236}">
              <a16:creationId xmlns:a16="http://schemas.microsoft.com/office/drawing/2014/main" id="{00000000-0008-0000-1300-00002B000000}"/>
            </a:ext>
          </a:extLst>
        </xdr:cNvPr>
        <xdr:cNvSpPr txBox="1"/>
      </xdr:nvSpPr>
      <xdr:spPr>
        <a:xfrm>
          <a:off x="8191500" y="81343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276225</xdr:colOff>
      <xdr:row>63</xdr:row>
      <xdr:rowOff>0</xdr:rowOff>
    </xdr:from>
    <xdr:ext cx="1105495" cy="233205"/>
    <xdr:sp macro="" textlink="">
      <xdr:nvSpPr>
        <xdr:cNvPr id="44" name="CuadroTexto 43">
          <a:extLst>
            <a:ext uri="{FF2B5EF4-FFF2-40B4-BE49-F238E27FC236}">
              <a16:creationId xmlns:a16="http://schemas.microsoft.com/office/drawing/2014/main" id="{00000000-0008-0000-1300-00002C000000}"/>
            </a:ext>
          </a:extLst>
        </xdr:cNvPr>
        <xdr:cNvSpPr txBox="1"/>
      </xdr:nvSpPr>
      <xdr:spPr>
        <a:xfrm>
          <a:off x="7867650" y="122110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238125</xdr:colOff>
      <xdr:row>0</xdr:row>
      <xdr:rowOff>19050</xdr:rowOff>
    </xdr:from>
    <xdr:to>
      <xdr:col>13</xdr:col>
      <xdr:colOff>180976</xdr:colOff>
      <xdr:row>3</xdr:row>
      <xdr:rowOff>0</xdr:rowOff>
    </xdr:to>
    <xdr:sp macro="" textlink="">
      <xdr:nvSpPr>
        <xdr:cNvPr id="24" name="Rectángulo: esquinas redondeadas 23">
          <a:extLst>
            <a:ext uri="{FF2B5EF4-FFF2-40B4-BE49-F238E27FC236}">
              <a16:creationId xmlns:a16="http://schemas.microsoft.com/office/drawing/2014/main" id="{00000000-0008-0000-1300-000018000000}"/>
            </a:ext>
          </a:extLst>
        </xdr:cNvPr>
        <xdr:cNvSpPr/>
      </xdr:nvSpPr>
      <xdr:spPr>
        <a:xfrm>
          <a:off x="3667125" y="19050"/>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RESIDUOS. </a:t>
          </a:r>
          <a:endParaRPr lang="es-ES" sz="1100" b="0">
            <a:solidFill>
              <a:schemeClr val="accent2">
                <a:lumMod val="50000"/>
              </a:schemeClr>
            </a:solidFill>
          </a:endParaRPr>
        </a:p>
      </xdr:txBody>
    </xdr:sp>
    <xdr:clientData/>
  </xdr:twoCellAnchor>
  <xdr:twoCellAnchor editAs="oneCell">
    <xdr:from>
      <xdr:col>12</xdr:col>
      <xdr:colOff>361950</xdr:colOff>
      <xdr:row>0</xdr:row>
      <xdr:rowOff>47624</xdr:rowOff>
    </xdr:from>
    <xdr:to>
      <xdr:col>13</xdr:col>
      <xdr:colOff>47625</xdr:colOff>
      <xdr:row>2</xdr:row>
      <xdr:rowOff>114299</xdr:rowOff>
    </xdr:to>
    <xdr:pic>
      <xdr:nvPicPr>
        <xdr:cNvPr id="31" name="Gráfico 30" descr="Advertencia con relleno sólido">
          <a:extLst>
            <a:ext uri="{FF2B5EF4-FFF2-40B4-BE49-F238E27FC236}">
              <a16:creationId xmlns:a16="http://schemas.microsoft.com/office/drawing/2014/main" id="{00000000-0008-0000-1300-00001F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1001375" y="47624"/>
          <a:ext cx="447675" cy="447675"/>
        </a:xfrm>
        <a:prstGeom prst="rect">
          <a:avLst/>
        </a:prstGeom>
      </xdr:spPr>
    </xdr:pic>
    <xdr:clientData/>
  </xdr:twoCellAnchor>
  <xdr:twoCellAnchor>
    <xdr:from>
      <xdr:col>18</xdr:col>
      <xdr:colOff>0</xdr:colOff>
      <xdr:row>1</xdr:row>
      <xdr:rowOff>0</xdr:rowOff>
    </xdr:from>
    <xdr:to>
      <xdr:col>19</xdr:col>
      <xdr:colOff>2066925</xdr:colOff>
      <xdr:row>3</xdr:row>
      <xdr:rowOff>85725</xdr:rowOff>
    </xdr:to>
    <xdr:grpSp>
      <xdr:nvGrpSpPr>
        <xdr:cNvPr id="38" name="Grupo 37">
          <a:extLst>
            <a:ext uri="{FF2B5EF4-FFF2-40B4-BE49-F238E27FC236}">
              <a16:creationId xmlns:a16="http://schemas.microsoft.com/office/drawing/2014/main" id="{00000000-0008-0000-1300-000026000000}"/>
            </a:ext>
          </a:extLst>
        </xdr:cNvPr>
        <xdr:cNvGrpSpPr/>
      </xdr:nvGrpSpPr>
      <xdr:grpSpPr>
        <a:xfrm>
          <a:off x="15216188" y="190500"/>
          <a:ext cx="2828925" cy="466725"/>
          <a:chOff x="15497175" y="542925"/>
          <a:chExt cx="2828925" cy="466725"/>
        </a:xfrm>
      </xdr:grpSpPr>
      <xdr:grpSp>
        <xdr:nvGrpSpPr>
          <xdr:cNvPr id="45" name="Grupo 44">
            <a:extLst>
              <a:ext uri="{FF2B5EF4-FFF2-40B4-BE49-F238E27FC236}">
                <a16:creationId xmlns:a16="http://schemas.microsoft.com/office/drawing/2014/main" id="{00000000-0008-0000-1300-00002D000000}"/>
              </a:ext>
            </a:extLst>
          </xdr:cNvPr>
          <xdr:cNvGrpSpPr/>
        </xdr:nvGrpSpPr>
        <xdr:grpSpPr>
          <a:xfrm>
            <a:off x="15554325" y="628650"/>
            <a:ext cx="2771775" cy="314325"/>
            <a:chOff x="15621000" y="190500"/>
            <a:chExt cx="2771775" cy="314325"/>
          </a:xfrm>
        </xdr:grpSpPr>
        <xdr:sp macro="" textlink="">
          <xdr:nvSpPr>
            <xdr:cNvPr id="47" name="Elipse 46">
              <a:extLst>
                <a:ext uri="{FF2B5EF4-FFF2-40B4-BE49-F238E27FC236}">
                  <a16:creationId xmlns:a16="http://schemas.microsoft.com/office/drawing/2014/main" id="{00000000-0008-0000-1300-00002F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8" name="Rectángulo: esquinas redondeadas 47">
              <a:extLst>
                <a:ext uri="{FF2B5EF4-FFF2-40B4-BE49-F238E27FC236}">
                  <a16:creationId xmlns:a16="http://schemas.microsoft.com/office/drawing/2014/main" id="{00000000-0008-0000-1300-000030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46" name="Gráfico 45" descr="Información con relleno sólido">
            <a:hlinkClick xmlns:r="http://schemas.openxmlformats.org/officeDocument/2006/relationships" r:id="rId62"/>
            <a:extLst>
              <a:ext uri="{FF2B5EF4-FFF2-40B4-BE49-F238E27FC236}">
                <a16:creationId xmlns:a16="http://schemas.microsoft.com/office/drawing/2014/main" id="{00000000-0008-0000-1300-00002E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15497175" y="542925"/>
            <a:ext cx="466725" cy="466725"/>
          </a:xfrm>
          <a:prstGeom prst="rect">
            <a:avLst/>
          </a:prstGeom>
        </xdr:spPr>
      </xdr:pic>
    </xdr:grp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4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4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4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4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4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4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4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4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4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4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4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4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editAs="oneCell">
    <xdr:from>
      <xdr:col>3</xdr:col>
      <xdr:colOff>295275</xdr:colOff>
      <xdr:row>68</xdr:row>
      <xdr:rowOff>0</xdr:rowOff>
    </xdr:from>
    <xdr:to>
      <xdr:col>3</xdr:col>
      <xdr:colOff>752475</xdr:colOff>
      <xdr:row>70</xdr:row>
      <xdr:rowOff>28575</xdr:rowOff>
    </xdr:to>
    <xdr:pic>
      <xdr:nvPicPr>
        <xdr:cNvPr id="21" name="Gráfico 20" descr="Torre eléctrica con relleno sólido">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076700" y="10696575"/>
          <a:ext cx="457200" cy="457200"/>
        </a:xfrm>
        <a:prstGeom prst="rect">
          <a:avLst/>
        </a:prstGeom>
      </xdr:spPr>
    </xdr:pic>
    <xdr:clientData/>
  </xdr:twoCellAnchor>
  <xdr:twoCellAnchor>
    <xdr:from>
      <xdr:col>14</xdr:col>
      <xdr:colOff>57150</xdr:colOff>
      <xdr:row>0</xdr:row>
      <xdr:rowOff>0</xdr:rowOff>
    </xdr:from>
    <xdr:to>
      <xdr:col>18</xdr:col>
      <xdr:colOff>133350</xdr:colOff>
      <xdr:row>2</xdr:row>
      <xdr:rowOff>114300</xdr:rowOff>
    </xdr:to>
    <xdr:grpSp>
      <xdr:nvGrpSpPr>
        <xdr:cNvPr id="25" name="Grupo 24">
          <a:hlinkClick xmlns:r="http://schemas.openxmlformats.org/officeDocument/2006/relationships" r:id="rId20"/>
          <a:extLst>
            <a:ext uri="{FF2B5EF4-FFF2-40B4-BE49-F238E27FC236}">
              <a16:creationId xmlns:a16="http://schemas.microsoft.com/office/drawing/2014/main" id="{00000000-0008-0000-1400-000019000000}"/>
            </a:ext>
          </a:extLst>
        </xdr:cNvPr>
        <xdr:cNvGrpSpPr/>
      </xdr:nvGrpSpPr>
      <xdr:grpSpPr>
        <a:xfrm>
          <a:off x="12225338" y="0"/>
          <a:ext cx="3124200" cy="495300"/>
          <a:chOff x="12249150" y="19050"/>
          <a:chExt cx="3124200" cy="495300"/>
        </a:xfrm>
      </xdr:grpSpPr>
      <xdr:grpSp>
        <xdr:nvGrpSpPr>
          <xdr:cNvPr id="26" name="Grupo 25">
            <a:extLst>
              <a:ext uri="{FF2B5EF4-FFF2-40B4-BE49-F238E27FC236}">
                <a16:creationId xmlns:a16="http://schemas.microsoft.com/office/drawing/2014/main" id="{00000000-0008-0000-1400-00001A000000}"/>
              </a:ext>
            </a:extLst>
          </xdr:cNvPr>
          <xdr:cNvGrpSpPr/>
        </xdr:nvGrpSpPr>
        <xdr:grpSpPr>
          <a:xfrm>
            <a:off x="12249150" y="66675"/>
            <a:ext cx="3124200" cy="438150"/>
            <a:chOff x="12515849" y="47625"/>
            <a:chExt cx="3124200" cy="438150"/>
          </a:xfrm>
        </xdr:grpSpPr>
        <xdr:sp macro="" textlink="">
          <xdr:nvSpPr>
            <xdr:cNvPr id="28" name="Rectángulo: esquinas redondeadas 27">
              <a:extLst>
                <a:ext uri="{FF2B5EF4-FFF2-40B4-BE49-F238E27FC236}">
                  <a16:creationId xmlns:a16="http://schemas.microsoft.com/office/drawing/2014/main" id="{00000000-0008-0000-14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400-00001D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Edificaciones</a:t>
              </a:r>
            </a:p>
          </xdr:txBody>
        </xdr:sp>
      </xdr:grpSp>
      <xdr:pic>
        <xdr:nvPicPr>
          <xdr:cNvPr id="27" name="Gráfico 26" descr="Búsqueda de carpetas con relleno sólido">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26</xdr:row>
      <xdr:rowOff>19050</xdr:rowOff>
    </xdr:from>
    <xdr:to>
      <xdr:col>4</xdr:col>
      <xdr:colOff>95250</xdr:colOff>
      <xdr:row>28</xdr:row>
      <xdr:rowOff>95250</xdr:rowOff>
    </xdr:to>
    <xdr:pic>
      <xdr:nvPicPr>
        <xdr:cNvPr id="30" name="Gráfico 29" descr="Bombilla fluorescente con relleno sólido">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4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4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4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4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4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4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4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14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4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a:t>
            </a:r>
            <a:r>
              <a:rPr lang="es-ES" sz="1000" b="0" baseline="0">
                <a:solidFill>
                  <a:schemeClr val="accent6">
                    <a:lumMod val="50000"/>
                  </a:schemeClr>
                </a:solidFill>
              </a:rPr>
              <a:t>yB</a:t>
            </a:r>
            <a:endParaRPr lang="es-ES" sz="1000" b="0">
              <a:solidFill>
                <a:schemeClr val="accent6">
                  <a:lumMod val="50000"/>
                </a:schemeClr>
              </a:solidFill>
            </a:endParaRPr>
          </a:p>
        </xdr:txBody>
      </xdr:sp>
      <xdr:pic>
        <xdr:nvPicPr>
          <xdr:cNvPr id="41" name="Gráfico 40" descr="Batería en carga con relleno sólido">
            <a:extLst>
              <a:ext uri="{FF2B5EF4-FFF2-40B4-BE49-F238E27FC236}">
                <a16:creationId xmlns:a16="http://schemas.microsoft.com/office/drawing/2014/main" id="{00000000-0008-0000-1400-00002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14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4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EyA</a:t>
            </a:r>
          </a:p>
        </xdr:txBody>
      </xdr:sp>
      <xdr:pic>
        <xdr:nvPicPr>
          <xdr:cNvPr id="44" name="Gráfico 43" descr="Alta tensión con relleno sólido">
            <a:extLst>
              <a:ext uri="{FF2B5EF4-FFF2-40B4-BE49-F238E27FC236}">
                <a16:creationId xmlns:a16="http://schemas.microsoft.com/office/drawing/2014/main" id="{00000000-0008-0000-14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14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4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400-00002F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4"/>
          <a:extLst>
            <a:ext uri="{FF2B5EF4-FFF2-40B4-BE49-F238E27FC236}">
              <a16:creationId xmlns:a16="http://schemas.microsoft.com/office/drawing/2014/main" id="{00000000-0008-0000-14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4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400-000032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7"/>
          <a:extLst>
            <a:ext uri="{FF2B5EF4-FFF2-40B4-BE49-F238E27FC236}">
              <a16:creationId xmlns:a16="http://schemas.microsoft.com/office/drawing/2014/main" id="{00000000-0008-0000-14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4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400-000035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40"/>
          <a:extLst>
            <a:ext uri="{FF2B5EF4-FFF2-40B4-BE49-F238E27FC236}">
              <a16:creationId xmlns:a16="http://schemas.microsoft.com/office/drawing/2014/main" id="{00000000-0008-0000-14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400-000037000000}"/>
              </a:ext>
            </a:extLst>
          </xdr:cNvPr>
          <xdr:cNvSpPr/>
        </xdr:nvSpPr>
        <xdr:spPr>
          <a:xfrm>
            <a:off x="1438275" y="3105875"/>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400-000038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43"/>
          <a:extLst>
            <a:ext uri="{FF2B5EF4-FFF2-40B4-BE49-F238E27FC236}">
              <a16:creationId xmlns:a16="http://schemas.microsoft.com/office/drawing/2014/main" id="{00000000-0008-0000-14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4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400-00003B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6"/>
          <a:extLst>
            <a:ext uri="{FF2B5EF4-FFF2-40B4-BE49-F238E27FC236}">
              <a16:creationId xmlns:a16="http://schemas.microsoft.com/office/drawing/2014/main" id="{00000000-0008-0000-14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4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400-00003E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9"/>
          <a:extLst>
            <a:ext uri="{FF2B5EF4-FFF2-40B4-BE49-F238E27FC236}">
              <a16:creationId xmlns:a16="http://schemas.microsoft.com/office/drawing/2014/main" id="{00000000-0008-0000-14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4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400-00004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28925" y="5589039"/>
            <a:ext cx="448504" cy="447261"/>
          </a:xfrm>
          <a:prstGeom prst="rect">
            <a:avLst/>
          </a:prstGeom>
        </xdr:spPr>
      </xdr:pic>
    </xdr:grpSp>
    <xdr:clientData/>
  </xdr:twoCellAnchor>
  <xdr:twoCellAnchor>
    <xdr:from>
      <xdr:col>4</xdr:col>
      <xdr:colOff>9524</xdr:colOff>
      <xdr:row>8</xdr:row>
      <xdr:rowOff>152399</xdr:rowOff>
    </xdr:from>
    <xdr:to>
      <xdr:col>17</xdr:col>
      <xdr:colOff>555170</xdr:colOff>
      <xdr:row>25</xdr:row>
      <xdr:rowOff>130627</xdr:rowOff>
    </xdr:to>
    <xdr:graphicFrame macro="">
      <xdr:nvGraphicFramePr>
        <xdr:cNvPr id="20" name="Gráfico 2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3</xdr:col>
      <xdr:colOff>749300</xdr:colOff>
      <xdr:row>29</xdr:row>
      <xdr:rowOff>63500</xdr:rowOff>
    </xdr:from>
    <xdr:to>
      <xdr:col>17</xdr:col>
      <xdr:colOff>507546</xdr:colOff>
      <xdr:row>46</xdr:row>
      <xdr:rowOff>67128</xdr:rowOff>
    </xdr:to>
    <xdr:graphicFrame macro="">
      <xdr:nvGraphicFramePr>
        <xdr:cNvPr id="22" name="Gráfico 23">
          <a:extLst>
            <a:ext uri="{FF2B5EF4-FFF2-40B4-BE49-F238E27FC236}">
              <a16:creationId xmlns:a16="http://schemas.microsoft.com/office/drawing/2014/main" id="{00000000-0008-0000-1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xdr:col>
      <xdr:colOff>0</xdr:colOff>
      <xdr:row>72</xdr:row>
      <xdr:rowOff>0</xdr:rowOff>
    </xdr:from>
    <xdr:to>
      <xdr:col>17</xdr:col>
      <xdr:colOff>545646</xdr:colOff>
      <xdr:row>90</xdr:row>
      <xdr:rowOff>16328</xdr:rowOff>
    </xdr:to>
    <xdr:graphicFrame macro="">
      <xdr:nvGraphicFramePr>
        <xdr:cNvPr id="23" name="Gráfico 23">
          <a:extLst>
            <a:ext uri="{FF2B5EF4-FFF2-40B4-BE49-F238E27FC236}">
              <a16:creationId xmlns:a16="http://schemas.microsoft.com/office/drawing/2014/main" id="{00000000-0008-0000-1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55"/>
          <a:extLst>
            <a:ext uri="{FF2B5EF4-FFF2-40B4-BE49-F238E27FC236}">
              <a16:creationId xmlns:a16="http://schemas.microsoft.com/office/drawing/2014/main" id="{00000000-0008-0000-14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1400-000043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14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182880</xdr:colOff>
      <xdr:row>5</xdr:row>
      <xdr:rowOff>99060</xdr:rowOff>
    </xdr:from>
    <xdr:to>
      <xdr:col>4</xdr:col>
      <xdr:colOff>251038</xdr:colOff>
      <xdr:row>8</xdr:row>
      <xdr:rowOff>140335</xdr:rowOff>
    </xdr:to>
    <xdr:grpSp>
      <xdr:nvGrpSpPr>
        <xdr:cNvPr id="69" name="Grupo 68">
          <a:extLst>
            <a:ext uri="{FF2B5EF4-FFF2-40B4-BE49-F238E27FC236}">
              <a16:creationId xmlns:a16="http://schemas.microsoft.com/office/drawing/2014/main" id="{00000000-0008-0000-1400-000045000000}"/>
            </a:ext>
          </a:extLst>
        </xdr:cNvPr>
        <xdr:cNvGrpSpPr/>
      </xdr:nvGrpSpPr>
      <xdr:grpSpPr>
        <a:xfrm>
          <a:off x="3969068" y="1051560"/>
          <a:ext cx="830158" cy="612775"/>
          <a:chOff x="4552948" y="1857374"/>
          <a:chExt cx="819151" cy="600075"/>
        </a:xfrm>
      </xdr:grpSpPr>
      <xdr:pic>
        <xdr:nvPicPr>
          <xdr:cNvPr id="70" name="Gráfico 69" descr="Nube con relleno sólido">
            <a:extLst>
              <a:ext uri="{FF2B5EF4-FFF2-40B4-BE49-F238E27FC236}">
                <a16:creationId xmlns:a16="http://schemas.microsoft.com/office/drawing/2014/main" id="{00000000-0008-0000-1400-000046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552948" y="1857374"/>
            <a:ext cx="600075" cy="600075"/>
          </a:xfrm>
          <a:prstGeom prst="rect">
            <a:avLst/>
          </a:prstGeom>
        </xdr:spPr>
      </xdr:pic>
      <xdr:sp macro="" textlink="">
        <xdr:nvSpPr>
          <xdr:cNvPr id="71" name="CuadroTexto 70">
            <a:extLst>
              <a:ext uri="{FF2B5EF4-FFF2-40B4-BE49-F238E27FC236}">
                <a16:creationId xmlns:a16="http://schemas.microsoft.com/office/drawing/2014/main" id="{00000000-0008-0000-1400-000047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oneCellAnchor>
    <xdr:from>
      <xdr:col>3</xdr:col>
      <xdr:colOff>400050</xdr:colOff>
      <xdr:row>46</xdr:row>
      <xdr:rowOff>19050</xdr:rowOff>
    </xdr:from>
    <xdr:ext cx="457200" cy="457200"/>
    <xdr:pic>
      <xdr:nvPicPr>
        <xdr:cNvPr id="24" name="Gráfico 23" descr="Bombilla fluorescente con relleno sólido">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60"/>
            </a:ext>
          </a:extLst>
        </a:blip>
        <a:stretch>
          <a:fillRect/>
        </a:stretch>
      </xdr:blipFill>
      <xdr:spPr>
        <a:xfrm>
          <a:off x="4181475" y="4400550"/>
          <a:ext cx="457200" cy="457200"/>
        </a:xfrm>
        <a:prstGeom prst="rect">
          <a:avLst/>
        </a:prstGeom>
      </xdr:spPr>
    </xdr:pic>
    <xdr:clientData/>
  </xdr:oneCellAnchor>
  <xdr:twoCellAnchor>
    <xdr:from>
      <xdr:col>4</xdr:col>
      <xdr:colOff>114300</xdr:colOff>
      <xdr:row>49</xdr:row>
      <xdr:rowOff>142875</xdr:rowOff>
    </xdr:from>
    <xdr:to>
      <xdr:col>17</xdr:col>
      <xdr:colOff>634546</xdr:colOff>
      <xdr:row>66</xdr:row>
      <xdr:rowOff>175078</xdr:rowOff>
    </xdr:to>
    <xdr:graphicFrame macro="">
      <xdr:nvGraphicFramePr>
        <xdr:cNvPr id="31" name="Gráfico 23">
          <a:extLst>
            <a:ext uri="{FF2B5EF4-FFF2-40B4-BE49-F238E27FC236}">
              <a16:creationId xmlns:a16="http://schemas.microsoft.com/office/drawing/2014/main" id="{00000000-0008-0000-14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oneCellAnchor>
    <xdr:from>
      <xdr:col>3</xdr:col>
      <xdr:colOff>2</xdr:colOff>
      <xdr:row>14</xdr:row>
      <xdr:rowOff>128488</xdr:rowOff>
    </xdr:from>
    <xdr:ext cx="233205" cy="655436"/>
    <xdr:sp macro="" textlink="">
      <xdr:nvSpPr>
        <xdr:cNvPr id="76" name="CuadroTexto 75">
          <a:extLst>
            <a:ext uri="{FF2B5EF4-FFF2-40B4-BE49-F238E27FC236}">
              <a16:creationId xmlns:a16="http://schemas.microsoft.com/office/drawing/2014/main" id="{00000000-0008-0000-1400-00004C000000}"/>
            </a:ext>
          </a:extLst>
        </xdr:cNvPr>
        <xdr:cNvSpPr txBox="1"/>
      </xdr:nvSpPr>
      <xdr:spPr>
        <a:xfrm rot="16200000">
          <a:off x="3570312" y="2435103"/>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3</xdr:col>
      <xdr:colOff>3</xdr:colOff>
      <xdr:row>32</xdr:row>
      <xdr:rowOff>128687</xdr:rowOff>
    </xdr:from>
    <xdr:ext cx="233205" cy="1160061"/>
    <xdr:sp macro="" textlink="">
      <xdr:nvSpPr>
        <xdr:cNvPr id="77" name="CuadroTexto 76">
          <a:extLst>
            <a:ext uri="{FF2B5EF4-FFF2-40B4-BE49-F238E27FC236}">
              <a16:creationId xmlns:a16="http://schemas.microsoft.com/office/drawing/2014/main" id="{00000000-0008-0000-1400-00004D000000}"/>
            </a:ext>
          </a:extLst>
        </xdr:cNvPr>
        <xdr:cNvSpPr txBox="1"/>
      </xdr:nvSpPr>
      <xdr:spPr>
        <a:xfrm rot="16200000">
          <a:off x="3318000" y="6116615"/>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a:t>
          </a:r>
        </a:p>
      </xdr:txBody>
    </xdr:sp>
    <xdr:clientData/>
  </xdr:oneCellAnchor>
  <xdr:oneCellAnchor>
    <xdr:from>
      <xdr:col>3</xdr:col>
      <xdr:colOff>9532</xdr:colOff>
      <xdr:row>51</xdr:row>
      <xdr:rowOff>115763</xdr:rowOff>
    </xdr:from>
    <xdr:ext cx="233205" cy="1861985"/>
    <xdr:sp macro="" textlink="">
      <xdr:nvSpPr>
        <xdr:cNvPr id="78" name="CuadroTexto 77">
          <a:extLst>
            <a:ext uri="{FF2B5EF4-FFF2-40B4-BE49-F238E27FC236}">
              <a16:creationId xmlns:a16="http://schemas.microsoft.com/office/drawing/2014/main" id="{00000000-0008-0000-1400-00004E000000}"/>
            </a:ext>
          </a:extLst>
        </xdr:cNvPr>
        <xdr:cNvSpPr txBox="1"/>
      </xdr:nvSpPr>
      <xdr:spPr>
        <a:xfrm rot="16200000">
          <a:off x="2976567" y="10150353"/>
          <a:ext cx="186198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Consumo energético por subsector</a:t>
          </a:r>
        </a:p>
      </xdr:txBody>
    </xdr:sp>
    <xdr:clientData/>
  </xdr:oneCellAnchor>
  <xdr:oneCellAnchor>
    <xdr:from>
      <xdr:col>3</xdr:col>
      <xdr:colOff>19052</xdr:colOff>
      <xdr:row>76</xdr:row>
      <xdr:rowOff>138159</xdr:rowOff>
    </xdr:from>
    <xdr:ext cx="233205" cy="959943"/>
    <xdr:sp macro="" textlink="">
      <xdr:nvSpPr>
        <xdr:cNvPr id="79" name="CuadroTexto 78">
          <a:extLst>
            <a:ext uri="{FF2B5EF4-FFF2-40B4-BE49-F238E27FC236}">
              <a16:creationId xmlns:a16="http://schemas.microsoft.com/office/drawing/2014/main" id="{00000000-0008-0000-1400-00004F000000}"/>
            </a:ext>
          </a:extLst>
        </xdr:cNvPr>
        <xdr:cNvSpPr txBox="1"/>
      </xdr:nvSpPr>
      <xdr:spPr>
        <a:xfrm rot="16200000">
          <a:off x="3437108" y="14531853"/>
          <a:ext cx="95994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Autogeneración</a:t>
          </a:r>
        </a:p>
      </xdr:txBody>
    </xdr:sp>
    <xdr:clientData/>
  </xdr:oneCellAnchor>
  <xdr:oneCellAnchor>
    <xdr:from>
      <xdr:col>8</xdr:col>
      <xdr:colOff>428625</xdr:colOff>
      <xdr:row>24</xdr:row>
      <xdr:rowOff>19050</xdr:rowOff>
    </xdr:from>
    <xdr:ext cx="1105495" cy="233205"/>
    <xdr:sp macro="" textlink="">
      <xdr:nvSpPr>
        <xdr:cNvPr id="80" name="CuadroTexto 79">
          <a:extLst>
            <a:ext uri="{FF2B5EF4-FFF2-40B4-BE49-F238E27FC236}">
              <a16:creationId xmlns:a16="http://schemas.microsoft.com/office/drawing/2014/main" id="{00000000-0008-0000-1400-000050000000}"/>
            </a:ext>
          </a:extLst>
        </xdr:cNvPr>
        <xdr:cNvSpPr txBox="1"/>
      </xdr:nvSpPr>
      <xdr:spPr>
        <a:xfrm>
          <a:off x="8020050" y="401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266700</xdr:colOff>
      <xdr:row>44</xdr:row>
      <xdr:rowOff>85725</xdr:rowOff>
    </xdr:from>
    <xdr:ext cx="1105495" cy="233205"/>
    <xdr:sp macro="" textlink="">
      <xdr:nvSpPr>
        <xdr:cNvPr id="82" name="CuadroTexto 81">
          <a:extLst>
            <a:ext uri="{FF2B5EF4-FFF2-40B4-BE49-F238E27FC236}">
              <a16:creationId xmlns:a16="http://schemas.microsoft.com/office/drawing/2014/main" id="{00000000-0008-0000-1400-000052000000}"/>
            </a:ext>
          </a:extLst>
        </xdr:cNvPr>
        <xdr:cNvSpPr txBox="1"/>
      </xdr:nvSpPr>
      <xdr:spPr>
        <a:xfrm>
          <a:off x="7858125" y="79248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409575</xdr:colOff>
      <xdr:row>65</xdr:row>
      <xdr:rowOff>47625</xdr:rowOff>
    </xdr:from>
    <xdr:ext cx="1105495" cy="233205"/>
    <xdr:sp macro="" textlink="">
      <xdr:nvSpPr>
        <xdr:cNvPr id="83" name="CuadroTexto 82">
          <a:extLst>
            <a:ext uri="{FF2B5EF4-FFF2-40B4-BE49-F238E27FC236}">
              <a16:creationId xmlns:a16="http://schemas.microsoft.com/office/drawing/2014/main" id="{00000000-0008-0000-1400-000053000000}"/>
            </a:ext>
          </a:extLst>
        </xdr:cNvPr>
        <xdr:cNvSpPr txBox="1"/>
      </xdr:nvSpPr>
      <xdr:spPr>
        <a:xfrm>
          <a:off x="8001000" y="119348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285750</xdr:colOff>
      <xdr:row>88</xdr:row>
      <xdr:rowOff>66675</xdr:rowOff>
    </xdr:from>
    <xdr:ext cx="1105495" cy="233205"/>
    <xdr:sp macro="" textlink="">
      <xdr:nvSpPr>
        <xdr:cNvPr id="84" name="CuadroTexto 83">
          <a:extLst>
            <a:ext uri="{FF2B5EF4-FFF2-40B4-BE49-F238E27FC236}">
              <a16:creationId xmlns:a16="http://schemas.microsoft.com/office/drawing/2014/main" id="{00000000-0008-0000-1400-000054000000}"/>
            </a:ext>
          </a:extLst>
        </xdr:cNvPr>
        <xdr:cNvSpPr txBox="1"/>
      </xdr:nvSpPr>
      <xdr:spPr>
        <a:xfrm>
          <a:off x="7877175" y="163830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342900</xdr:colOff>
      <xdr:row>1</xdr:row>
      <xdr:rowOff>142876</xdr:rowOff>
    </xdr:from>
    <xdr:to>
      <xdr:col>13</xdr:col>
      <xdr:colOff>285751</xdr:colOff>
      <xdr:row>4</xdr:row>
      <xdr:rowOff>123826</xdr:rowOff>
    </xdr:to>
    <xdr:sp macro="" textlink="">
      <xdr:nvSpPr>
        <xdr:cNvPr id="72" name="Rectángulo: esquinas redondeadas 71">
          <a:extLst>
            <a:ext uri="{FF2B5EF4-FFF2-40B4-BE49-F238E27FC236}">
              <a16:creationId xmlns:a16="http://schemas.microsoft.com/office/drawing/2014/main" id="{00000000-0008-0000-1400-000048000000}"/>
            </a:ext>
          </a:extLst>
        </xdr:cNvPr>
        <xdr:cNvSpPr/>
      </xdr:nvSpPr>
      <xdr:spPr>
        <a:xfrm>
          <a:off x="3771900" y="333376"/>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EDIFICACIONES. </a:t>
          </a:r>
          <a:endParaRPr lang="es-ES" sz="1100" b="0">
            <a:solidFill>
              <a:schemeClr val="accent2">
                <a:lumMod val="50000"/>
              </a:schemeClr>
            </a:solidFill>
          </a:endParaRPr>
        </a:p>
      </xdr:txBody>
    </xdr:sp>
    <xdr:clientData/>
  </xdr:twoCellAnchor>
  <xdr:twoCellAnchor editAs="oneCell">
    <xdr:from>
      <xdr:col>12</xdr:col>
      <xdr:colOff>466725</xdr:colOff>
      <xdr:row>1</xdr:row>
      <xdr:rowOff>171450</xdr:rowOff>
    </xdr:from>
    <xdr:to>
      <xdr:col>13</xdr:col>
      <xdr:colOff>152400</xdr:colOff>
      <xdr:row>4</xdr:row>
      <xdr:rowOff>47625</xdr:rowOff>
    </xdr:to>
    <xdr:pic>
      <xdr:nvPicPr>
        <xdr:cNvPr id="74" name="Gráfico 73" descr="Advertencia con relleno sólido">
          <a:extLst>
            <a:ext uri="{FF2B5EF4-FFF2-40B4-BE49-F238E27FC236}">
              <a16:creationId xmlns:a16="http://schemas.microsoft.com/office/drawing/2014/main" id="{00000000-0008-0000-1400-00004A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 uri="{96DAC541-7B7A-43D3-8B79-37D633B846F1}">
              <asvg:svgBlip xmlns:asvg="http://schemas.microsoft.com/office/drawing/2016/SVG/main" r:embed="rId63"/>
            </a:ext>
          </a:extLst>
        </a:blip>
        <a:stretch>
          <a:fillRect/>
        </a:stretch>
      </xdr:blipFill>
      <xdr:spPr>
        <a:xfrm>
          <a:off x="11106150" y="361950"/>
          <a:ext cx="447675" cy="447675"/>
        </a:xfrm>
        <a:prstGeom prst="rect">
          <a:avLst/>
        </a:prstGeom>
      </xdr:spPr>
    </xdr:pic>
    <xdr:clientData/>
  </xdr:twoCellAnchor>
  <xdr:twoCellAnchor>
    <xdr:from>
      <xdr:col>18</xdr:col>
      <xdr:colOff>57150</xdr:colOff>
      <xdr:row>0</xdr:row>
      <xdr:rowOff>0</xdr:rowOff>
    </xdr:from>
    <xdr:to>
      <xdr:col>19</xdr:col>
      <xdr:colOff>1209675</xdr:colOff>
      <xdr:row>2</xdr:row>
      <xdr:rowOff>85725</xdr:rowOff>
    </xdr:to>
    <xdr:grpSp>
      <xdr:nvGrpSpPr>
        <xdr:cNvPr id="73" name="Grupo 72">
          <a:extLst>
            <a:ext uri="{FF2B5EF4-FFF2-40B4-BE49-F238E27FC236}">
              <a16:creationId xmlns:a16="http://schemas.microsoft.com/office/drawing/2014/main" id="{00000000-0008-0000-1400-000049000000}"/>
            </a:ext>
          </a:extLst>
        </xdr:cNvPr>
        <xdr:cNvGrpSpPr/>
      </xdr:nvGrpSpPr>
      <xdr:grpSpPr>
        <a:xfrm>
          <a:off x="15273338" y="0"/>
          <a:ext cx="2831306" cy="466725"/>
          <a:chOff x="15497175" y="542925"/>
          <a:chExt cx="2828925" cy="466725"/>
        </a:xfrm>
      </xdr:grpSpPr>
      <xdr:grpSp>
        <xdr:nvGrpSpPr>
          <xdr:cNvPr id="75" name="Grupo 74">
            <a:extLst>
              <a:ext uri="{FF2B5EF4-FFF2-40B4-BE49-F238E27FC236}">
                <a16:creationId xmlns:a16="http://schemas.microsoft.com/office/drawing/2014/main" id="{00000000-0008-0000-1400-00004B000000}"/>
              </a:ext>
            </a:extLst>
          </xdr:cNvPr>
          <xdr:cNvGrpSpPr/>
        </xdr:nvGrpSpPr>
        <xdr:grpSpPr>
          <a:xfrm>
            <a:off x="15554325" y="628650"/>
            <a:ext cx="2771775" cy="314325"/>
            <a:chOff x="15621000" y="190500"/>
            <a:chExt cx="2771775" cy="314325"/>
          </a:xfrm>
        </xdr:grpSpPr>
        <xdr:sp macro="" textlink="">
          <xdr:nvSpPr>
            <xdr:cNvPr id="85" name="Elipse 84">
              <a:extLst>
                <a:ext uri="{FF2B5EF4-FFF2-40B4-BE49-F238E27FC236}">
                  <a16:creationId xmlns:a16="http://schemas.microsoft.com/office/drawing/2014/main" id="{00000000-0008-0000-1400-000055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86" name="Rectángulo: esquinas redondeadas 85">
              <a:extLst>
                <a:ext uri="{FF2B5EF4-FFF2-40B4-BE49-F238E27FC236}">
                  <a16:creationId xmlns:a16="http://schemas.microsoft.com/office/drawing/2014/main" id="{00000000-0008-0000-1400-000056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81" name="Gráfico 80" descr="Información con relleno sólido">
            <a:hlinkClick xmlns:r="http://schemas.openxmlformats.org/officeDocument/2006/relationships" r:id="rId64"/>
            <a:extLst>
              <a:ext uri="{FF2B5EF4-FFF2-40B4-BE49-F238E27FC236}">
                <a16:creationId xmlns:a16="http://schemas.microsoft.com/office/drawing/2014/main" id="{00000000-0008-0000-1400-000051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 uri="{96DAC541-7B7A-43D3-8B79-37D633B846F1}">
                <asvg:svgBlip xmlns:asvg="http://schemas.microsoft.com/office/drawing/2016/SVG/main" r:embed="rId66"/>
              </a:ext>
            </a:extLst>
          </a:blip>
          <a:stretch>
            <a:fillRect/>
          </a:stretch>
        </xdr:blipFill>
        <xdr:spPr>
          <a:xfrm>
            <a:off x="15497175" y="542925"/>
            <a:ext cx="466725" cy="466725"/>
          </a:xfrm>
          <a:prstGeom prst="rect">
            <a:avLst/>
          </a:prstGeom>
        </xdr:spPr>
      </xdr:pic>
    </xdr:grp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5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5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5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5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5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5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5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5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5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5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5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5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5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5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5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5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oneCellAnchor>
    <xdr:from>
      <xdr:col>3</xdr:col>
      <xdr:colOff>361950</xdr:colOff>
      <xdr:row>42</xdr:row>
      <xdr:rowOff>161925</xdr:rowOff>
    </xdr:from>
    <xdr:ext cx="482600" cy="422275"/>
    <xdr:pic>
      <xdr:nvPicPr>
        <xdr:cNvPr id="77" name="Gráfico 20" descr="Torre eléctrica con relleno sólido">
          <a:extLst>
            <a:ext uri="{FF2B5EF4-FFF2-40B4-BE49-F238E27FC236}">
              <a16:creationId xmlns:a16="http://schemas.microsoft.com/office/drawing/2014/main" id="{00000000-0008-0000-1500-00004D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143375" y="8191500"/>
          <a:ext cx="457200" cy="457200"/>
        </a:xfrm>
        <a:prstGeom prst="rect">
          <a:avLst/>
        </a:prstGeom>
      </xdr:spPr>
    </xdr:pic>
    <xdr:clientData/>
  </xdr:one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20"/>
          <a:extLst>
            <a:ext uri="{FF2B5EF4-FFF2-40B4-BE49-F238E27FC236}">
              <a16:creationId xmlns:a16="http://schemas.microsoft.com/office/drawing/2014/main" id="{00000000-0008-0000-15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5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5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5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Transporte</a:t>
              </a:r>
            </a:p>
          </xdr:txBody>
        </xdr:sp>
      </xdr:grpSp>
      <xdr:pic>
        <xdr:nvPicPr>
          <xdr:cNvPr id="26" name="Gráfico 25" descr="Búsqueda de carpetas con relleno sólido">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91440</xdr:colOff>
      <xdr:row>25</xdr:row>
      <xdr:rowOff>91440</xdr:rowOff>
    </xdr:to>
    <xdr:pic>
      <xdr:nvPicPr>
        <xdr:cNvPr id="29" name="Gráfico 28" descr="Bombilla fluorescente con relleno sólido">
          <a:extLst>
            <a:ext uri="{FF2B5EF4-FFF2-40B4-BE49-F238E27FC236}">
              <a16:creationId xmlns:a16="http://schemas.microsoft.com/office/drawing/2014/main" id="{00000000-0008-0000-1500-00001D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5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5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5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5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5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5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5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15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5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500-00002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15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5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5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15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5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500-00002F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4"/>
          <a:extLst>
            <a:ext uri="{FF2B5EF4-FFF2-40B4-BE49-F238E27FC236}">
              <a16:creationId xmlns:a16="http://schemas.microsoft.com/office/drawing/2014/main" id="{00000000-0008-0000-15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5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500-000032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7"/>
          <a:extLst>
            <a:ext uri="{FF2B5EF4-FFF2-40B4-BE49-F238E27FC236}">
              <a16:creationId xmlns:a16="http://schemas.microsoft.com/office/drawing/2014/main" id="{00000000-0008-0000-15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500-000034000000}"/>
              </a:ext>
            </a:extLst>
          </xdr:cNvPr>
          <xdr:cNvSpPr/>
        </xdr:nvSpPr>
        <xdr:spPr>
          <a:xfrm>
            <a:off x="1438275" y="3731962"/>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500-000035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40"/>
          <a:extLst>
            <a:ext uri="{FF2B5EF4-FFF2-40B4-BE49-F238E27FC236}">
              <a16:creationId xmlns:a16="http://schemas.microsoft.com/office/drawing/2014/main" id="{00000000-0008-0000-15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5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500-000038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43"/>
          <a:extLst>
            <a:ext uri="{FF2B5EF4-FFF2-40B4-BE49-F238E27FC236}">
              <a16:creationId xmlns:a16="http://schemas.microsoft.com/office/drawing/2014/main" id="{00000000-0008-0000-15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5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500-00003B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6"/>
          <a:extLst>
            <a:ext uri="{FF2B5EF4-FFF2-40B4-BE49-F238E27FC236}">
              <a16:creationId xmlns:a16="http://schemas.microsoft.com/office/drawing/2014/main" id="{00000000-0008-0000-15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5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500-00003E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9"/>
          <a:extLst>
            <a:ext uri="{FF2B5EF4-FFF2-40B4-BE49-F238E27FC236}">
              <a16:creationId xmlns:a16="http://schemas.microsoft.com/office/drawing/2014/main" id="{00000000-0008-0000-15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5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500-00004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28925" y="5589039"/>
            <a:ext cx="448504" cy="447261"/>
          </a:xfrm>
          <a:prstGeom prst="rect">
            <a:avLst/>
          </a:prstGeom>
        </xdr:spPr>
      </xdr:pic>
    </xdr:grpSp>
    <xdr:clientData/>
  </xdr:twoCellAnchor>
  <xdr:twoCellAnchor>
    <xdr:from>
      <xdr:col>4</xdr:col>
      <xdr:colOff>0</xdr:colOff>
      <xdr:row>6</xdr:row>
      <xdr:rowOff>0</xdr:rowOff>
    </xdr:from>
    <xdr:to>
      <xdr:col>17</xdr:col>
      <xdr:colOff>545646</xdr:colOff>
      <xdr:row>22</xdr:row>
      <xdr:rowOff>174171</xdr:rowOff>
    </xdr:to>
    <xdr:graphicFrame macro="">
      <xdr:nvGraphicFramePr>
        <xdr:cNvPr id="22" name="Gráfico 23">
          <a:extLst>
            <a:ext uri="{FF2B5EF4-FFF2-40B4-BE49-F238E27FC236}">
              <a16:creationId xmlns:a16="http://schemas.microsoft.com/office/drawing/2014/main" id="{00000000-0008-0000-15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53"/>
          <a:extLst>
            <a:ext uri="{FF2B5EF4-FFF2-40B4-BE49-F238E27FC236}">
              <a16:creationId xmlns:a16="http://schemas.microsoft.com/office/drawing/2014/main" id="{00000000-0008-0000-15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500-000044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 uri="{96DAC541-7B7A-43D3-8B79-37D633B846F1}">
                <asvg:svgBlip xmlns:asvg="http://schemas.microsoft.com/office/drawing/2016/SVG/main" r:embed="rId55"/>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5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91440</xdr:rowOff>
    </xdr:from>
    <xdr:to>
      <xdr:col>4</xdr:col>
      <xdr:colOff>273898</xdr:colOff>
      <xdr:row>5</xdr:row>
      <xdr:rowOff>132715</xdr:rowOff>
    </xdr:to>
    <xdr:grpSp>
      <xdr:nvGrpSpPr>
        <xdr:cNvPr id="70" name="Grupo 69">
          <a:extLst>
            <a:ext uri="{FF2B5EF4-FFF2-40B4-BE49-F238E27FC236}">
              <a16:creationId xmlns:a16="http://schemas.microsoft.com/office/drawing/2014/main" id="{00000000-0008-0000-1500-000046000000}"/>
            </a:ext>
          </a:extLst>
        </xdr:cNvPr>
        <xdr:cNvGrpSpPr/>
      </xdr:nvGrpSpPr>
      <xdr:grpSpPr>
        <a:xfrm>
          <a:off x="3991928" y="472440"/>
          <a:ext cx="83015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500-000047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5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4</xdr:col>
      <xdr:colOff>0</xdr:colOff>
      <xdr:row>26</xdr:row>
      <xdr:rowOff>0</xdr:rowOff>
    </xdr:from>
    <xdr:to>
      <xdr:col>17</xdr:col>
      <xdr:colOff>545646</xdr:colOff>
      <xdr:row>43</xdr:row>
      <xdr:rowOff>9071</xdr:rowOff>
    </xdr:to>
    <xdr:graphicFrame macro="">
      <xdr:nvGraphicFramePr>
        <xdr:cNvPr id="21" name="Gráfico 23">
          <a:extLst>
            <a:ext uri="{FF2B5EF4-FFF2-40B4-BE49-F238E27FC236}">
              <a16:creationId xmlns:a16="http://schemas.microsoft.com/office/drawing/2014/main" id="{00000000-0008-0000-15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4</xdr:col>
      <xdr:colOff>0</xdr:colOff>
      <xdr:row>46</xdr:row>
      <xdr:rowOff>0</xdr:rowOff>
    </xdr:from>
    <xdr:to>
      <xdr:col>17</xdr:col>
      <xdr:colOff>545646</xdr:colOff>
      <xdr:row>64</xdr:row>
      <xdr:rowOff>9071</xdr:rowOff>
    </xdr:to>
    <xdr:graphicFrame macro="">
      <xdr:nvGraphicFramePr>
        <xdr:cNvPr id="30" name="Gráfico 23">
          <a:extLst>
            <a:ext uri="{FF2B5EF4-FFF2-40B4-BE49-F238E27FC236}">
              <a16:creationId xmlns:a16="http://schemas.microsoft.com/office/drawing/2014/main" id="{00000000-0008-0000-15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4</xdr:col>
      <xdr:colOff>0</xdr:colOff>
      <xdr:row>66</xdr:row>
      <xdr:rowOff>0</xdr:rowOff>
    </xdr:from>
    <xdr:to>
      <xdr:col>17</xdr:col>
      <xdr:colOff>545646</xdr:colOff>
      <xdr:row>66</xdr:row>
      <xdr:rowOff>9071</xdr:rowOff>
    </xdr:to>
    <xdr:graphicFrame macro="">
      <xdr:nvGraphicFramePr>
        <xdr:cNvPr id="78" name="Gráfico 23">
          <a:extLst>
            <a:ext uri="{FF2B5EF4-FFF2-40B4-BE49-F238E27FC236}">
              <a16:creationId xmlns:a16="http://schemas.microsoft.com/office/drawing/2014/main" id="{00000000-0008-0000-15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oneCellAnchor>
    <xdr:from>
      <xdr:col>3</xdr:col>
      <xdr:colOff>0</xdr:colOff>
      <xdr:row>11</xdr:row>
      <xdr:rowOff>0</xdr:rowOff>
    </xdr:from>
    <xdr:ext cx="233205" cy="655436"/>
    <xdr:sp macro="" textlink="">
      <xdr:nvSpPr>
        <xdr:cNvPr id="66" name="CuadroTexto 65">
          <a:extLst>
            <a:ext uri="{FF2B5EF4-FFF2-40B4-BE49-F238E27FC236}">
              <a16:creationId xmlns:a16="http://schemas.microsoft.com/office/drawing/2014/main" id="{00000000-0008-0000-1500-000042000000}"/>
            </a:ext>
          </a:extLst>
        </xdr:cNvPr>
        <xdr:cNvSpPr txBox="1"/>
      </xdr:nvSpPr>
      <xdr:spPr>
        <a:xfrm rot="16200000">
          <a:off x="3570310" y="23066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291514</xdr:colOff>
      <xdr:row>29</xdr:row>
      <xdr:rowOff>180974</xdr:rowOff>
    </xdr:from>
    <xdr:ext cx="374077" cy="1274361"/>
    <xdr:sp macro="" textlink="">
      <xdr:nvSpPr>
        <xdr:cNvPr id="73" name="CuadroTexto 72">
          <a:extLst>
            <a:ext uri="{FF2B5EF4-FFF2-40B4-BE49-F238E27FC236}">
              <a16:creationId xmlns:a16="http://schemas.microsoft.com/office/drawing/2014/main" id="{00000000-0008-0000-1500-000049000000}"/>
            </a:ext>
          </a:extLst>
        </xdr:cNvPr>
        <xdr:cNvSpPr txBox="1"/>
      </xdr:nvSpPr>
      <xdr:spPr>
        <a:xfrm rot="16200000">
          <a:off x="3270372" y="6155616"/>
          <a:ext cx="1274361"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a:t>
          </a:r>
          <a:r>
            <a:rPr lang="es-ES" sz="900" baseline="0">
              <a:solidFill>
                <a:schemeClr val="bg1">
                  <a:lumMod val="50000"/>
                </a:schemeClr>
              </a:solidFill>
              <a:effectLst/>
            </a:rPr>
            <a:t> modo</a:t>
          </a:r>
          <a:endParaRPr lang="es-ES" sz="900">
            <a:solidFill>
              <a:schemeClr val="bg1">
                <a:lumMod val="50000"/>
              </a:schemeClr>
            </a:solidFill>
            <a:effectLst/>
          </a:endParaRPr>
        </a:p>
      </xdr:txBody>
    </xdr:sp>
    <xdr:clientData/>
  </xdr:oneCellAnchor>
  <xdr:oneCellAnchor>
    <xdr:from>
      <xdr:col>2</xdr:col>
      <xdr:colOff>253414</xdr:colOff>
      <xdr:row>48</xdr:row>
      <xdr:rowOff>114299</xdr:rowOff>
    </xdr:from>
    <xdr:ext cx="374077" cy="1426761"/>
    <xdr:sp macro="" textlink="">
      <xdr:nvSpPr>
        <xdr:cNvPr id="75" name="CuadroTexto 74">
          <a:extLst>
            <a:ext uri="{FF2B5EF4-FFF2-40B4-BE49-F238E27FC236}">
              <a16:creationId xmlns:a16="http://schemas.microsoft.com/office/drawing/2014/main" id="{00000000-0008-0000-1500-00004B000000}"/>
            </a:ext>
          </a:extLst>
        </xdr:cNvPr>
        <xdr:cNvSpPr txBox="1"/>
      </xdr:nvSpPr>
      <xdr:spPr>
        <a:xfrm rot="16200000">
          <a:off x="3156072" y="9860841"/>
          <a:ext cx="1426761"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 combustible</a:t>
          </a:r>
        </a:p>
      </xdr:txBody>
    </xdr:sp>
    <xdr:clientData/>
  </xdr:oneCellAnchor>
  <xdr:oneCellAnchor>
    <xdr:from>
      <xdr:col>8</xdr:col>
      <xdr:colOff>361950</xdr:colOff>
      <xdr:row>21</xdr:row>
      <xdr:rowOff>38100</xdr:rowOff>
    </xdr:from>
    <xdr:ext cx="1105495" cy="233205"/>
    <xdr:sp macro="" textlink="">
      <xdr:nvSpPr>
        <xdr:cNvPr id="76" name="CuadroTexto 75">
          <a:extLst>
            <a:ext uri="{FF2B5EF4-FFF2-40B4-BE49-F238E27FC236}">
              <a16:creationId xmlns:a16="http://schemas.microsoft.com/office/drawing/2014/main" id="{00000000-0008-0000-1500-00004C000000}"/>
            </a:ext>
          </a:extLst>
        </xdr:cNvPr>
        <xdr:cNvSpPr txBox="1"/>
      </xdr:nvSpPr>
      <xdr:spPr>
        <a:xfrm>
          <a:off x="7953375" y="40386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409575</xdr:colOff>
      <xdr:row>41</xdr:row>
      <xdr:rowOff>57150</xdr:rowOff>
    </xdr:from>
    <xdr:ext cx="1105495" cy="233205"/>
    <xdr:sp macro="" textlink="">
      <xdr:nvSpPr>
        <xdr:cNvPr id="79" name="CuadroTexto 78">
          <a:extLst>
            <a:ext uri="{FF2B5EF4-FFF2-40B4-BE49-F238E27FC236}">
              <a16:creationId xmlns:a16="http://schemas.microsoft.com/office/drawing/2014/main" id="{00000000-0008-0000-1500-00004F000000}"/>
            </a:ext>
          </a:extLst>
        </xdr:cNvPr>
        <xdr:cNvSpPr txBox="1"/>
      </xdr:nvSpPr>
      <xdr:spPr>
        <a:xfrm>
          <a:off x="8001000" y="78962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285750</xdr:colOff>
      <xdr:row>62</xdr:row>
      <xdr:rowOff>9525</xdr:rowOff>
    </xdr:from>
    <xdr:ext cx="1105495" cy="233205"/>
    <xdr:sp macro="" textlink="">
      <xdr:nvSpPr>
        <xdr:cNvPr id="80" name="CuadroTexto 79">
          <a:extLst>
            <a:ext uri="{FF2B5EF4-FFF2-40B4-BE49-F238E27FC236}">
              <a16:creationId xmlns:a16="http://schemas.microsoft.com/office/drawing/2014/main" id="{00000000-0008-0000-1500-000050000000}"/>
            </a:ext>
          </a:extLst>
        </xdr:cNvPr>
        <xdr:cNvSpPr txBox="1"/>
      </xdr:nvSpPr>
      <xdr:spPr>
        <a:xfrm>
          <a:off x="7877175" y="118967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247650</xdr:colOff>
      <xdr:row>0</xdr:row>
      <xdr:rowOff>28575</xdr:rowOff>
    </xdr:from>
    <xdr:to>
      <xdr:col>13</xdr:col>
      <xdr:colOff>190501</xdr:colOff>
      <xdr:row>3</xdr:row>
      <xdr:rowOff>9525</xdr:rowOff>
    </xdr:to>
    <xdr:sp macro="" textlink="">
      <xdr:nvSpPr>
        <xdr:cNvPr id="20" name="Rectángulo: esquinas redondeadas 19">
          <a:extLst>
            <a:ext uri="{FF2B5EF4-FFF2-40B4-BE49-F238E27FC236}">
              <a16:creationId xmlns:a16="http://schemas.microsoft.com/office/drawing/2014/main" id="{00000000-0008-0000-1500-000014000000}"/>
            </a:ext>
          </a:extLst>
        </xdr:cNvPr>
        <xdr:cNvSpPr/>
      </xdr:nvSpPr>
      <xdr:spPr>
        <a:xfrm>
          <a:off x="3676650" y="28575"/>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TRANSPORTE. </a:t>
          </a:r>
          <a:endParaRPr lang="es-ES" sz="1100" b="0">
            <a:solidFill>
              <a:schemeClr val="accent2">
                <a:lumMod val="50000"/>
              </a:schemeClr>
            </a:solidFill>
          </a:endParaRPr>
        </a:p>
      </xdr:txBody>
    </xdr:sp>
    <xdr:clientData/>
  </xdr:twoCellAnchor>
  <xdr:twoCellAnchor editAs="oneCell">
    <xdr:from>
      <xdr:col>12</xdr:col>
      <xdr:colOff>371475</xdr:colOff>
      <xdr:row>0</xdr:row>
      <xdr:rowOff>57149</xdr:rowOff>
    </xdr:from>
    <xdr:to>
      <xdr:col>13</xdr:col>
      <xdr:colOff>57150</xdr:colOff>
      <xdr:row>2</xdr:row>
      <xdr:rowOff>123824</xdr:rowOff>
    </xdr:to>
    <xdr:pic>
      <xdr:nvPicPr>
        <xdr:cNvPr id="23" name="Gráfico 22" descr="Advertencia con relleno sólido">
          <a:extLst>
            <a:ext uri="{FF2B5EF4-FFF2-40B4-BE49-F238E27FC236}">
              <a16:creationId xmlns:a16="http://schemas.microsoft.com/office/drawing/2014/main" id="{00000000-0008-0000-1500-000017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 uri="{96DAC541-7B7A-43D3-8B79-37D633B846F1}">
              <asvg:svgBlip xmlns:asvg="http://schemas.microsoft.com/office/drawing/2016/SVG/main" r:embed="rId62"/>
            </a:ext>
          </a:extLst>
        </a:blip>
        <a:stretch>
          <a:fillRect/>
        </a:stretch>
      </xdr:blipFill>
      <xdr:spPr>
        <a:xfrm>
          <a:off x="11010900" y="57149"/>
          <a:ext cx="447675" cy="447675"/>
        </a:xfrm>
        <a:prstGeom prst="rect">
          <a:avLst/>
        </a:prstGeom>
      </xdr:spPr>
    </xdr:pic>
    <xdr:clientData/>
  </xdr:twoCellAnchor>
  <xdr:twoCellAnchor>
    <xdr:from>
      <xdr:col>18</xdr:col>
      <xdr:colOff>0</xdr:colOff>
      <xdr:row>1</xdr:row>
      <xdr:rowOff>0</xdr:rowOff>
    </xdr:from>
    <xdr:to>
      <xdr:col>19</xdr:col>
      <xdr:colOff>1390650</xdr:colOff>
      <xdr:row>3</xdr:row>
      <xdr:rowOff>85725</xdr:rowOff>
    </xdr:to>
    <xdr:grpSp>
      <xdr:nvGrpSpPr>
        <xdr:cNvPr id="31" name="Grupo 30">
          <a:extLst>
            <a:ext uri="{FF2B5EF4-FFF2-40B4-BE49-F238E27FC236}">
              <a16:creationId xmlns:a16="http://schemas.microsoft.com/office/drawing/2014/main" id="{00000000-0008-0000-1500-00001F000000}"/>
            </a:ext>
          </a:extLst>
        </xdr:cNvPr>
        <xdr:cNvGrpSpPr/>
      </xdr:nvGrpSpPr>
      <xdr:grpSpPr>
        <a:xfrm>
          <a:off x="15216188" y="190500"/>
          <a:ext cx="2831306" cy="466725"/>
          <a:chOff x="15497175" y="542925"/>
          <a:chExt cx="2828925" cy="466725"/>
        </a:xfrm>
      </xdr:grpSpPr>
      <xdr:grpSp>
        <xdr:nvGrpSpPr>
          <xdr:cNvPr id="74" name="Grupo 73">
            <a:extLst>
              <a:ext uri="{FF2B5EF4-FFF2-40B4-BE49-F238E27FC236}">
                <a16:creationId xmlns:a16="http://schemas.microsoft.com/office/drawing/2014/main" id="{00000000-0008-0000-1500-00004A000000}"/>
              </a:ext>
            </a:extLst>
          </xdr:cNvPr>
          <xdr:cNvGrpSpPr/>
        </xdr:nvGrpSpPr>
        <xdr:grpSpPr>
          <a:xfrm>
            <a:off x="15554325" y="628650"/>
            <a:ext cx="2771775" cy="314325"/>
            <a:chOff x="15621000" y="190500"/>
            <a:chExt cx="2771775" cy="314325"/>
          </a:xfrm>
        </xdr:grpSpPr>
        <xdr:sp macro="" textlink="">
          <xdr:nvSpPr>
            <xdr:cNvPr id="82" name="Elipse 81">
              <a:extLst>
                <a:ext uri="{FF2B5EF4-FFF2-40B4-BE49-F238E27FC236}">
                  <a16:creationId xmlns:a16="http://schemas.microsoft.com/office/drawing/2014/main" id="{00000000-0008-0000-1500-000052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83" name="Rectángulo: esquinas redondeadas 82">
              <a:extLst>
                <a:ext uri="{FF2B5EF4-FFF2-40B4-BE49-F238E27FC236}">
                  <a16:creationId xmlns:a16="http://schemas.microsoft.com/office/drawing/2014/main" id="{00000000-0008-0000-1500-000053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81" name="Gráfico 80" descr="Información con relleno sólido">
            <a:hlinkClick xmlns:r="http://schemas.openxmlformats.org/officeDocument/2006/relationships" r:id="rId63"/>
            <a:extLst>
              <a:ext uri="{FF2B5EF4-FFF2-40B4-BE49-F238E27FC236}">
                <a16:creationId xmlns:a16="http://schemas.microsoft.com/office/drawing/2014/main" id="{00000000-0008-0000-1500-000051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 uri="{96DAC541-7B7A-43D3-8B79-37D633B846F1}">
                <asvg:svgBlip xmlns:asvg="http://schemas.microsoft.com/office/drawing/2016/SVG/main" r:embed="rId65"/>
              </a:ext>
            </a:extLst>
          </a:blip>
          <a:stretch>
            <a:fillRect/>
          </a:stretch>
        </xdr:blipFill>
        <xdr:spPr>
          <a:xfrm>
            <a:off x="15497175" y="542925"/>
            <a:ext cx="466725" cy="466725"/>
          </a:xfrm>
          <a:prstGeom prst="rect">
            <a:avLst/>
          </a:prstGeom>
        </xdr:spPr>
      </xdr:pic>
    </xdr:grp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6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6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6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6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6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6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6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6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6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6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6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6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6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6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6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6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6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6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6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Agricultura</a:t>
              </a:r>
            </a:p>
          </xdr:txBody>
        </xdr:sp>
      </xdr:grpSp>
      <xdr:pic>
        <xdr:nvPicPr>
          <xdr:cNvPr id="26" name="Gráfico 25" descr="Búsqueda de carpetas con relleno sólido">
            <a:extLst>
              <a:ext uri="{FF2B5EF4-FFF2-40B4-BE49-F238E27FC236}">
                <a16:creationId xmlns:a16="http://schemas.microsoft.com/office/drawing/2014/main" id="{00000000-0008-0000-16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6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6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6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6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6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6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6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16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6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600-00002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4"/>
          <a:extLst>
            <a:ext uri="{FF2B5EF4-FFF2-40B4-BE49-F238E27FC236}">
              <a16:creationId xmlns:a16="http://schemas.microsoft.com/office/drawing/2014/main" id="{00000000-0008-0000-16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6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600-00002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27"/>
          <a:extLst>
            <a:ext uri="{FF2B5EF4-FFF2-40B4-BE49-F238E27FC236}">
              <a16:creationId xmlns:a16="http://schemas.microsoft.com/office/drawing/2014/main" id="{00000000-0008-0000-16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6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600-00002F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0"/>
          <a:extLst>
            <a:ext uri="{FF2B5EF4-FFF2-40B4-BE49-F238E27FC236}">
              <a16:creationId xmlns:a16="http://schemas.microsoft.com/office/drawing/2014/main" id="{00000000-0008-0000-16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6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600-000032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3"/>
          <a:extLst>
            <a:ext uri="{FF2B5EF4-FFF2-40B4-BE49-F238E27FC236}">
              <a16:creationId xmlns:a16="http://schemas.microsoft.com/office/drawing/2014/main" id="{00000000-0008-0000-16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6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36"/>
          <a:extLst>
            <a:ext uri="{FF2B5EF4-FFF2-40B4-BE49-F238E27FC236}">
              <a16:creationId xmlns:a16="http://schemas.microsoft.com/office/drawing/2014/main" id="{00000000-0008-0000-16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6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600-00003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39"/>
          <a:extLst>
            <a:ext uri="{FF2B5EF4-FFF2-40B4-BE49-F238E27FC236}">
              <a16:creationId xmlns:a16="http://schemas.microsoft.com/office/drawing/2014/main" id="{00000000-0008-0000-16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600-00003A000000}"/>
              </a:ext>
            </a:extLst>
          </xdr:cNvPr>
          <xdr:cNvSpPr/>
        </xdr:nvSpPr>
        <xdr:spPr>
          <a:xfrm>
            <a:off x="1438275" y="4358049"/>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600-00003B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2"/>
          <a:extLst>
            <a:ext uri="{FF2B5EF4-FFF2-40B4-BE49-F238E27FC236}">
              <a16:creationId xmlns:a16="http://schemas.microsoft.com/office/drawing/2014/main" id="{00000000-0008-0000-16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6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600-00003E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5"/>
          <a:extLst>
            <a:ext uri="{FF2B5EF4-FFF2-40B4-BE49-F238E27FC236}">
              <a16:creationId xmlns:a16="http://schemas.microsoft.com/office/drawing/2014/main" id="{00000000-0008-0000-16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6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600-000041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48"/>
          <a:extLst>
            <a:ext uri="{FF2B5EF4-FFF2-40B4-BE49-F238E27FC236}">
              <a16:creationId xmlns:a16="http://schemas.microsoft.com/office/drawing/2014/main" id="{00000000-0008-0000-16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600-000044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6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190500</xdr:colOff>
      <xdr:row>2</xdr:row>
      <xdr:rowOff>76200</xdr:rowOff>
    </xdr:from>
    <xdr:to>
      <xdr:col>4</xdr:col>
      <xdr:colOff>258658</xdr:colOff>
      <xdr:row>5</xdr:row>
      <xdr:rowOff>117475</xdr:rowOff>
    </xdr:to>
    <xdr:grpSp>
      <xdr:nvGrpSpPr>
        <xdr:cNvPr id="70" name="Grupo 69">
          <a:extLst>
            <a:ext uri="{FF2B5EF4-FFF2-40B4-BE49-F238E27FC236}">
              <a16:creationId xmlns:a16="http://schemas.microsoft.com/office/drawing/2014/main" id="{00000000-0008-0000-1600-000046000000}"/>
            </a:ext>
          </a:extLst>
        </xdr:cNvPr>
        <xdr:cNvGrpSpPr/>
      </xdr:nvGrpSpPr>
      <xdr:grpSpPr>
        <a:xfrm>
          <a:off x="3976688" y="457200"/>
          <a:ext cx="83015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600-000047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6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3</xdr:col>
      <xdr:colOff>733425</xdr:colOff>
      <xdr:row>5</xdr:row>
      <xdr:rowOff>131445</xdr:rowOff>
    </xdr:from>
    <xdr:to>
      <xdr:col>17</xdr:col>
      <xdr:colOff>588191</xdr:colOff>
      <xdr:row>22</xdr:row>
      <xdr:rowOff>122736</xdr:rowOff>
    </xdr:to>
    <xdr:graphicFrame macro="">
      <xdr:nvGraphicFramePr>
        <xdr:cNvPr id="22" name="Gráfico 23">
          <a:extLst>
            <a:ext uri="{FF2B5EF4-FFF2-40B4-BE49-F238E27FC236}">
              <a16:creationId xmlns:a16="http://schemas.microsoft.com/office/drawing/2014/main" id="{00000000-0008-0000-1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3</xdr:col>
      <xdr:colOff>749300</xdr:colOff>
      <xdr:row>25</xdr:row>
      <xdr:rowOff>171450</xdr:rowOff>
    </xdr:from>
    <xdr:to>
      <xdr:col>17</xdr:col>
      <xdr:colOff>607876</xdr:colOff>
      <xdr:row>42</xdr:row>
      <xdr:rowOff>172266</xdr:rowOff>
    </xdr:to>
    <xdr:graphicFrame macro="">
      <xdr:nvGraphicFramePr>
        <xdr:cNvPr id="95" name="Gráfico 23">
          <a:extLst>
            <a:ext uri="{FF2B5EF4-FFF2-40B4-BE49-F238E27FC236}">
              <a16:creationId xmlns:a16="http://schemas.microsoft.com/office/drawing/2014/main" id="{00000000-0008-0000-1600-00005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oneCellAnchor>
    <xdr:from>
      <xdr:col>3</xdr:col>
      <xdr:colOff>4</xdr:colOff>
      <xdr:row>9</xdr:row>
      <xdr:rowOff>77027</xdr:rowOff>
    </xdr:from>
    <xdr:ext cx="233205" cy="1194109"/>
    <xdr:sp macro="" textlink="">
      <xdr:nvSpPr>
        <xdr:cNvPr id="23" name="CuadroTexto 22">
          <a:extLst>
            <a:ext uri="{FF2B5EF4-FFF2-40B4-BE49-F238E27FC236}">
              <a16:creationId xmlns:a16="http://schemas.microsoft.com/office/drawing/2014/main" id="{00000000-0008-0000-1600-000017000000}"/>
            </a:ext>
          </a:extLst>
        </xdr:cNvPr>
        <xdr:cNvSpPr txBox="1"/>
      </xdr:nvSpPr>
      <xdr:spPr>
        <a:xfrm rot="16200000">
          <a:off x="3312234" y="2271979"/>
          <a:ext cx="119410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 generadas </a:t>
          </a:r>
        </a:p>
      </xdr:txBody>
    </xdr:sp>
    <xdr:clientData/>
  </xdr:oneCellAnchor>
  <xdr:oneCellAnchor>
    <xdr:from>
      <xdr:col>3</xdr:col>
      <xdr:colOff>0</xdr:colOff>
      <xdr:row>28</xdr:row>
      <xdr:rowOff>152400</xdr:rowOff>
    </xdr:from>
    <xdr:ext cx="233205" cy="1274361"/>
    <xdr:sp macro="" textlink="">
      <xdr:nvSpPr>
        <xdr:cNvPr id="30" name="CuadroTexto 29">
          <a:extLst>
            <a:ext uri="{FF2B5EF4-FFF2-40B4-BE49-F238E27FC236}">
              <a16:creationId xmlns:a16="http://schemas.microsoft.com/office/drawing/2014/main" id="{00000000-0008-0000-1600-00001E000000}"/>
            </a:ext>
          </a:extLst>
        </xdr:cNvPr>
        <xdr:cNvSpPr txBox="1"/>
      </xdr:nvSpPr>
      <xdr:spPr>
        <a:xfrm rot="16200000">
          <a:off x="3260847" y="6006978"/>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Potencial energético</a:t>
          </a:r>
        </a:p>
      </xdr:txBody>
    </xdr:sp>
    <xdr:clientData/>
  </xdr:oneCellAnchor>
  <xdr:oneCellAnchor>
    <xdr:from>
      <xdr:col>8</xdr:col>
      <xdr:colOff>285750</xdr:colOff>
      <xdr:row>21</xdr:row>
      <xdr:rowOff>47625</xdr:rowOff>
    </xdr:from>
    <xdr:ext cx="1105495" cy="233205"/>
    <xdr:sp macro="" textlink="">
      <xdr:nvSpPr>
        <xdr:cNvPr id="66" name="CuadroTexto 65">
          <a:extLst>
            <a:ext uri="{FF2B5EF4-FFF2-40B4-BE49-F238E27FC236}">
              <a16:creationId xmlns:a16="http://schemas.microsoft.com/office/drawing/2014/main" id="{00000000-0008-0000-1600-000042000000}"/>
            </a:ext>
          </a:extLst>
        </xdr:cNvPr>
        <xdr:cNvSpPr txBox="1"/>
      </xdr:nvSpPr>
      <xdr:spPr>
        <a:xfrm>
          <a:off x="7877175" y="40481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314325</xdr:colOff>
      <xdr:row>40</xdr:row>
      <xdr:rowOff>180975</xdr:rowOff>
    </xdr:from>
    <xdr:ext cx="1105495" cy="233205"/>
    <xdr:sp macro="" textlink="">
      <xdr:nvSpPr>
        <xdr:cNvPr id="73" name="CuadroTexto 72">
          <a:extLst>
            <a:ext uri="{FF2B5EF4-FFF2-40B4-BE49-F238E27FC236}">
              <a16:creationId xmlns:a16="http://schemas.microsoft.com/office/drawing/2014/main" id="{00000000-0008-0000-1600-000049000000}"/>
            </a:ext>
          </a:extLst>
        </xdr:cNvPr>
        <xdr:cNvSpPr txBox="1"/>
      </xdr:nvSpPr>
      <xdr:spPr>
        <a:xfrm>
          <a:off x="7905750" y="782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3</xdr:col>
      <xdr:colOff>381000</xdr:colOff>
      <xdr:row>22</xdr:row>
      <xdr:rowOff>180975</xdr:rowOff>
    </xdr:from>
    <xdr:ext cx="457200" cy="457200"/>
    <xdr:pic>
      <xdr:nvPicPr>
        <xdr:cNvPr id="20" name="Gráfico 19" descr="Bombilla fluorescente con relleno sólido">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162425" y="4371975"/>
          <a:ext cx="457200" cy="457200"/>
        </a:xfrm>
        <a:prstGeom prst="rect">
          <a:avLst/>
        </a:prstGeom>
      </xdr:spPr>
    </xdr:pic>
    <xdr:clientData/>
  </xdr:oneCellAnchor>
  <xdr:twoCellAnchor>
    <xdr:from>
      <xdr:col>3</xdr:col>
      <xdr:colOff>749300</xdr:colOff>
      <xdr:row>48</xdr:row>
      <xdr:rowOff>171450</xdr:rowOff>
    </xdr:from>
    <xdr:to>
      <xdr:col>17</xdr:col>
      <xdr:colOff>607876</xdr:colOff>
      <xdr:row>65</xdr:row>
      <xdr:rowOff>172266</xdr:rowOff>
    </xdr:to>
    <xdr:graphicFrame macro="">
      <xdr:nvGraphicFramePr>
        <xdr:cNvPr id="21" name="Gráfico 23">
          <a:extLst>
            <a:ext uri="{FF2B5EF4-FFF2-40B4-BE49-F238E27FC236}">
              <a16:creationId xmlns:a16="http://schemas.microsoft.com/office/drawing/2014/main" id="{00000000-0008-0000-16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oneCellAnchor>
    <xdr:from>
      <xdr:col>2</xdr:col>
      <xdr:colOff>234364</xdr:colOff>
      <xdr:row>51</xdr:row>
      <xdr:rowOff>19049</xdr:rowOff>
    </xdr:from>
    <xdr:ext cx="374077" cy="1762125"/>
    <xdr:sp macro="" textlink="">
      <xdr:nvSpPr>
        <xdr:cNvPr id="31" name="CuadroTexto 30">
          <a:extLst>
            <a:ext uri="{FF2B5EF4-FFF2-40B4-BE49-F238E27FC236}">
              <a16:creationId xmlns:a16="http://schemas.microsoft.com/office/drawing/2014/main" id="{00000000-0008-0000-1600-00001F000000}"/>
            </a:ext>
          </a:extLst>
        </xdr:cNvPr>
        <xdr:cNvSpPr txBox="1"/>
      </xdr:nvSpPr>
      <xdr:spPr>
        <a:xfrm rot="16200000">
          <a:off x="2977999" y="10506505"/>
          <a:ext cx="176212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Áreas</a:t>
          </a:r>
          <a:r>
            <a:rPr lang="es-ES" sz="900" baseline="0">
              <a:solidFill>
                <a:schemeClr val="bg1">
                  <a:lumMod val="50000"/>
                </a:schemeClr>
              </a:solidFill>
              <a:effectLst/>
            </a:rPr>
            <a:t> dedicadas a biocombustibles</a:t>
          </a:r>
          <a:endParaRPr lang="es-ES" sz="900">
            <a:solidFill>
              <a:schemeClr val="bg1">
                <a:lumMod val="50000"/>
              </a:schemeClr>
            </a:solidFill>
            <a:effectLst/>
          </a:endParaRPr>
        </a:p>
      </xdr:txBody>
    </xdr:sp>
    <xdr:clientData/>
  </xdr:oneCellAnchor>
  <xdr:oneCellAnchor>
    <xdr:from>
      <xdr:col>8</xdr:col>
      <xdr:colOff>314325</xdr:colOff>
      <xdr:row>63</xdr:row>
      <xdr:rowOff>180975</xdr:rowOff>
    </xdr:from>
    <xdr:ext cx="1105495" cy="233205"/>
    <xdr:sp macro="" textlink="">
      <xdr:nvSpPr>
        <xdr:cNvPr id="74" name="CuadroTexto 73">
          <a:extLst>
            <a:ext uri="{FF2B5EF4-FFF2-40B4-BE49-F238E27FC236}">
              <a16:creationId xmlns:a16="http://schemas.microsoft.com/office/drawing/2014/main" id="{00000000-0008-0000-1600-00004A000000}"/>
            </a:ext>
          </a:extLst>
        </xdr:cNvPr>
        <xdr:cNvSpPr txBox="1"/>
      </xdr:nvSpPr>
      <xdr:spPr>
        <a:xfrm>
          <a:off x="7905750" y="782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3</xdr:col>
      <xdr:colOff>314325</xdr:colOff>
      <xdr:row>46</xdr:row>
      <xdr:rowOff>28575</xdr:rowOff>
    </xdr:from>
    <xdr:to>
      <xdr:col>4</xdr:col>
      <xdr:colOff>829</xdr:colOff>
      <xdr:row>48</xdr:row>
      <xdr:rowOff>52181</xdr:rowOff>
    </xdr:to>
    <xdr:pic>
      <xdr:nvPicPr>
        <xdr:cNvPr id="75" name="Gráfico 74" descr="Cultivos con relleno sólido">
          <a:extLst>
            <a:ext uri="{FF2B5EF4-FFF2-40B4-BE49-F238E27FC236}">
              <a16:creationId xmlns:a16="http://schemas.microsoft.com/office/drawing/2014/main" id="{00000000-0008-0000-1600-00004B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095750" y="8820150"/>
          <a:ext cx="448504" cy="452231"/>
        </a:xfrm>
        <a:prstGeom prst="rect">
          <a:avLst/>
        </a:prstGeom>
      </xdr:spPr>
    </xdr:pic>
    <xdr:clientData/>
  </xdr:twoCellAnchor>
  <xdr:twoCellAnchor>
    <xdr:from>
      <xdr:col>18</xdr:col>
      <xdr:colOff>60614</xdr:colOff>
      <xdr:row>0</xdr:row>
      <xdr:rowOff>112568</xdr:rowOff>
    </xdr:from>
    <xdr:to>
      <xdr:col>20</xdr:col>
      <xdr:colOff>638176</xdr:colOff>
      <xdr:row>3</xdr:row>
      <xdr:rowOff>7793</xdr:rowOff>
    </xdr:to>
    <xdr:grpSp>
      <xdr:nvGrpSpPr>
        <xdr:cNvPr id="29" name="Grupo 28">
          <a:extLst>
            <a:ext uri="{FF2B5EF4-FFF2-40B4-BE49-F238E27FC236}">
              <a16:creationId xmlns:a16="http://schemas.microsoft.com/office/drawing/2014/main" id="{00000000-0008-0000-1600-00001D000000}"/>
            </a:ext>
          </a:extLst>
        </xdr:cNvPr>
        <xdr:cNvGrpSpPr/>
      </xdr:nvGrpSpPr>
      <xdr:grpSpPr>
        <a:xfrm>
          <a:off x="15276802" y="112568"/>
          <a:ext cx="2827843" cy="466725"/>
          <a:chOff x="15497175" y="542925"/>
          <a:chExt cx="2828925" cy="466725"/>
        </a:xfrm>
      </xdr:grpSpPr>
      <xdr:grpSp>
        <xdr:nvGrpSpPr>
          <xdr:cNvPr id="76" name="Grupo 75">
            <a:extLst>
              <a:ext uri="{FF2B5EF4-FFF2-40B4-BE49-F238E27FC236}">
                <a16:creationId xmlns:a16="http://schemas.microsoft.com/office/drawing/2014/main" id="{00000000-0008-0000-1600-00004C000000}"/>
              </a:ext>
            </a:extLst>
          </xdr:cNvPr>
          <xdr:cNvGrpSpPr/>
        </xdr:nvGrpSpPr>
        <xdr:grpSpPr>
          <a:xfrm>
            <a:off x="15554325" y="628650"/>
            <a:ext cx="2771775" cy="314325"/>
            <a:chOff x="15621000" y="190500"/>
            <a:chExt cx="2771775" cy="314325"/>
          </a:xfrm>
        </xdr:grpSpPr>
        <xdr:sp macro="" textlink="">
          <xdr:nvSpPr>
            <xdr:cNvPr id="78" name="Elipse 77">
              <a:extLst>
                <a:ext uri="{FF2B5EF4-FFF2-40B4-BE49-F238E27FC236}">
                  <a16:creationId xmlns:a16="http://schemas.microsoft.com/office/drawing/2014/main" id="{00000000-0008-0000-1600-00004E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9" name="Rectángulo: esquinas redondeadas 78">
              <a:extLst>
                <a:ext uri="{FF2B5EF4-FFF2-40B4-BE49-F238E27FC236}">
                  <a16:creationId xmlns:a16="http://schemas.microsoft.com/office/drawing/2014/main" id="{00000000-0008-0000-1600-00004F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7" name="Gráfico 76" descr="Información con relleno sólido">
            <a:hlinkClick xmlns:r="http://schemas.openxmlformats.org/officeDocument/2006/relationships" r:id="rId60"/>
            <a:extLst>
              <a:ext uri="{FF2B5EF4-FFF2-40B4-BE49-F238E27FC236}">
                <a16:creationId xmlns:a16="http://schemas.microsoft.com/office/drawing/2014/main" id="{00000000-0008-0000-1600-00004D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 uri="{96DAC541-7B7A-43D3-8B79-37D633B846F1}">
                <asvg:svgBlip xmlns:asvg="http://schemas.microsoft.com/office/drawing/2016/SVG/main" r:embed="rId62"/>
              </a:ext>
            </a:extLst>
          </a:blip>
          <a:stretch>
            <a:fillRect/>
          </a:stretch>
        </xdr:blipFill>
        <xdr:spPr>
          <a:xfrm>
            <a:off x="15497175" y="542925"/>
            <a:ext cx="466725" cy="466725"/>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7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7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7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7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7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7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7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7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7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7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7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7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7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7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7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7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7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7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7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Ganadería</a:t>
              </a:r>
            </a:p>
          </xdr:txBody>
        </xdr:sp>
      </xdr:grpSp>
      <xdr:pic>
        <xdr:nvPicPr>
          <xdr:cNvPr id="26" name="Gráfico 25" descr="Búsqueda de carpetas con relleno sólido">
            <a:extLst>
              <a:ext uri="{FF2B5EF4-FFF2-40B4-BE49-F238E27FC236}">
                <a16:creationId xmlns:a16="http://schemas.microsoft.com/office/drawing/2014/main" id="{00000000-0008-0000-17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29" name="Gráfico 28" descr="Bombilla fluorescente con relleno sólido">
          <a:extLst>
            <a:ext uri="{FF2B5EF4-FFF2-40B4-BE49-F238E27FC236}">
              <a16:creationId xmlns:a16="http://schemas.microsoft.com/office/drawing/2014/main" id="{00000000-0008-0000-1700-00001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1" name="Grupo 30">
          <a:hlinkClick xmlns:r="http://schemas.openxmlformats.org/officeDocument/2006/relationships" r:id="rId9"/>
          <a:extLst>
            <a:ext uri="{FF2B5EF4-FFF2-40B4-BE49-F238E27FC236}">
              <a16:creationId xmlns:a16="http://schemas.microsoft.com/office/drawing/2014/main" id="{00000000-0008-0000-1700-00001F000000}"/>
            </a:ext>
          </a:extLst>
        </xdr:cNvPr>
        <xdr:cNvGrpSpPr/>
      </xdr:nvGrpSpPr>
      <xdr:grpSpPr>
        <a:xfrm>
          <a:off x="0" y="3760792"/>
          <a:ext cx="1446686" cy="638178"/>
          <a:chOff x="0" y="2767017"/>
          <a:chExt cx="1295400" cy="638178"/>
        </a:xfrm>
      </xdr:grpSpPr>
      <xdr:sp macro="" textlink="">
        <xdr:nvSpPr>
          <xdr:cNvPr id="32" name="Rectángulo: esquinas superiores redondeadas 31">
            <a:extLst>
              <a:ext uri="{FF2B5EF4-FFF2-40B4-BE49-F238E27FC236}">
                <a16:creationId xmlns:a16="http://schemas.microsoft.com/office/drawing/2014/main" id="{00000000-0008-0000-1700-000020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3" name="Gráfico 32" descr="Gráfico de barras con relleno sólido">
            <a:extLst>
              <a:ext uri="{FF2B5EF4-FFF2-40B4-BE49-F238E27FC236}">
                <a16:creationId xmlns:a16="http://schemas.microsoft.com/office/drawing/2014/main" id="{00000000-0008-0000-17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4" name="Grupo 33">
          <a:hlinkClick xmlns:r="http://schemas.openxmlformats.org/officeDocument/2006/relationships" r:id="rId9"/>
          <a:extLst>
            <a:ext uri="{FF2B5EF4-FFF2-40B4-BE49-F238E27FC236}">
              <a16:creationId xmlns:a16="http://schemas.microsoft.com/office/drawing/2014/main" id="{00000000-0008-0000-1700-000022000000}"/>
            </a:ext>
          </a:extLst>
        </xdr:cNvPr>
        <xdr:cNvGrpSpPr/>
      </xdr:nvGrpSpPr>
      <xdr:grpSpPr>
        <a:xfrm>
          <a:off x="0" y="3760792"/>
          <a:ext cx="1446686" cy="638178"/>
          <a:chOff x="0" y="2767017"/>
          <a:chExt cx="1295400" cy="638178"/>
        </a:xfrm>
      </xdr:grpSpPr>
      <xdr:sp macro="" textlink="">
        <xdr:nvSpPr>
          <xdr:cNvPr id="35" name="Rectángulo: esquinas superiores redondeadas 34">
            <a:extLst>
              <a:ext uri="{FF2B5EF4-FFF2-40B4-BE49-F238E27FC236}">
                <a16:creationId xmlns:a16="http://schemas.microsoft.com/office/drawing/2014/main" id="{00000000-0008-0000-1700-000023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6" name="Gráfico 35" descr="Gráfico de barras con relleno sólido">
            <a:extLst>
              <a:ext uri="{FF2B5EF4-FFF2-40B4-BE49-F238E27FC236}">
                <a16:creationId xmlns:a16="http://schemas.microsoft.com/office/drawing/2014/main" id="{00000000-0008-0000-1700-00002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7" name="Rectángulo: esquinas superiores redondeadas 36">
          <a:extLst>
            <a:ext uri="{FF2B5EF4-FFF2-40B4-BE49-F238E27FC236}">
              <a16:creationId xmlns:a16="http://schemas.microsoft.com/office/drawing/2014/main" id="{00000000-0008-0000-1700-000025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8" name="Grupo 37">
          <a:hlinkClick xmlns:r="http://schemas.openxmlformats.org/officeDocument/2006/relationships" r:id="rId23"/>
          <a:extLst>
            <a:ext uri="{FF2B5EF4-FFF2-40B4-BE49-F238E27FC236}">
              <a16:creationId xmlns:a16="http://schemas.microsoft.com/office/drawing/2014/main" id="{00000000-0008-0000-1700-000026000000}"/>
            </a:ext>
          </a:extLst>
        </xdr:cNvPr>
        <xdr:cNvGrpSpPr/>
      </xdr:nvGrpSpPr>
      <xdr:grpSpPr>
        <a:xfrm>
          <a:off x="1438275" y="630545"/>
          <a:ext cx="1876426" cy="427462"/>
          <a:chOff x="1438275" y="630545"/>
          <a:chExt cx="1876426" cy="427462"/>
        </a:xfrm>
      </xdr:grpSpPr>
      <xdr:sp macro="" textlink="">
        <xdr:nvSpPr>
          <xdr:cNvPr id="39" name="Rectángulo 38">
            <a:extLst>
              <a:ext uri="{FF2B5EF4-FFF2-40B4-BE49-F238E27FC236}">
                <a16:creationId xmlns:a16="http://schemas.microsoft.com/office/drawing/2014/main" id="{00000000-0008-0000-1700-000027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0" name="Gráfico 39" descr="Batería en carga con relleno sólido">
            <a:extLst>
              <a:ext uri="{FF2B5EF4-FFF2-40B4-BE49-F238E27FC236}">
                <a16:creationId xmlns:a16="http://schemas.microsoft.com/office/drawing/2014/main" id="{00000000-0008-0000-1700-000028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1" name="Grupo 40">
          <a:hlinkClick xmlns:r="http://schemas.openxmlformats.org/officeDocument/2006/relationships" r:id="rId26"/>
          <a:extLst>
            <a:ext uri="{FF2B5EF4-FFF2-40B4-BE49-F238E27FC236}">
              <a16:creationId xmlns:a16="http://schemas.microsoft.com/office/drawing/2014/main" id="{00000000-0008-0000-1700-000029000000}"/>
            </a:ext>
          </a:extLst>
        </xdr:cNvPr>
        <xdr:cNvGrpSpPr/>
      </xdr:nvGrpSpPr>
      <xdr:grpSpPr>
        <a:xfrm>
          <a:off x="1438275" y="1227614"/>
          <a:ext cx="1876426" cy="440780"/>
          <a:chOff x="1438275" y="1227614"/>
          <a:chExt cx="1876426" cy="440780"/>
        </a:xfrm>
      </xdr:grpSpPr>
      <xdr:sp macro="" textlink="">
        <xdr:nvSpPr>
          <xdr:cNvPr id="42" name="Rectángulo 41">
            <a:extLst>
              <a:ext uri="{FF2B5EF4-FFF2-40B4-BE49-F238E27FC236}">
                <a16:creationId xmlns:a16="http://schemas.microsoft.com/office/drawing/2014/main" id="{00000000-0008-0000-1700-00002A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3" name="Gráfico 42" descr="Alta tensión con relleno sólido">
            <a:extLst>
              <a:ext uri="{FF2B5EF4-FFF2-40B4-BE49-F238E27FC236}">
                <a16:creationId xmlns:a16="http://schemas.microsoft.com/office/drawing/2014/main" id="{00000000-0008-0000-1700-00002B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4" name="Grupo 43">
          <a:hlinkClick xmlns:r="http://schemas.openxmlformats.org/officeDocument/2006/relationships" r:id="rId29"/>
          <a:extLst>
            <a:ext uri="{FF2B5EF4-FFF2-40B4-BE49-F238E27FC236}">
              <a16:creationId xmlns:a16="http://schemas.microsoft.com/office/drawing/2014/main" id="{00000000-0008-0000-1700-00002C000000}"/>
            </a:ext>
          </a:extLst>
        </xdr:cNvPr>
        <xdr:cNvGrpSpPr/>
      </xdr:nvGrpSpPr>
      <xdr:grpSpPr>
        <a:xfrm>
          <a:off x="1438275" y="1853701"/>
          <a:ext cx="1876426" cy="440780"/>
          <a:chOff x="1438275" y="1853701"/>
          <a:chExt cx="1876426" cy="440780"/>
        </a:xfrm>
      </xdr:grpSpPr>
      <xdr:sp macro="" textlink="">
        <xdr:nvSpPr>
          <xdr:cNvPr id="45" name="Rectángulo 44">
            <a:extLst>
              <a:ext uri="{FF2B5EF4-FFF2-40B4-BE49-F238E27FC236}">
                <a16:creationId xmlns:a16="http://schemas.microsoft.com/office/drawing/2014/main" id="{00000000-0008-0000-1700-00002D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6" name="Gráfico 45" descr="Producción con relleno sólido">
            <a:extLst>
              <a:ext uri="{FF2B5EF4-FFF2-40B4-BE49-F238E27FC236}">
                <a16:creationId xmlns:a16="http://schemas.microsoft.com/office/drawing/2014/main" id="{00000000-0008-0000-1700-00002E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7" name="Grupo 46">
          <a:hlinkClick xmlns:r="http://schemas.openxmlformats.org/officeDocument/2006/relationships" r:id="rId32"/>
          <a:extLst>
            <a:ext uri="{FF2B5EF4-FFF2-40B4-BE49-F238E27FC236}">
              <a16:creationId xmlns:a16="http://schemas.microsoft.com/office/drawing/2014/main" id="{00000000-0008-0000-1700-00002F000000}"/>
            </a:ext>
          </a:extLst>
        </xdr:cNvPr>
        <xdr:cNvGrpSpPr/>
      </xdr:nvGrpSpPr>
      <xdr:grpSpPr>
        <a:xfrm>
          <a:off x="1438275" y="2479788"/>
          <a:ext cx="1876426" cy="440780"/>
          <a:chOff x="1438275" y="2479788"/>
          <a:chExt cx="1876426" cy="440780"/>
        </a:xfrm>
      </xdr:grpSpPr>
      <xdr:sp macro="" textlink="">
        <xdr:nvSpPr>
          <xdr:cNvPr id="48" name="Rectángulo 47">
            <a:extLst>
              <a:ext uri="{FF2B5EF4-FFF2-40B4-BE49-F238E27FC236}">
                <a16:creationId xmlns:a16="http://schemas.microsoft.com/office/drawing/2014/main" id="{00000000-0008-0000-1700-000030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9" name="Gráfico 48" descr="Basura con relleno sólido">
            <a:extLst>
              <a:ext uri="{FF2B5EF4-FFF2-40B4-BE49-F238E27FC236}">
                <a16:creationId xmlns:a16="http://schemas.microsoft.com/office/drawing/2014/main" id="{00000000-0008-0000-1700-000031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0" name="Grupo 49">
          <a:hlinkClick xmlns:r="http://schemas.openxmlformats.org/officeDocument/2006/relationships" r:id="rId35"/>
          <a:extLst>
            <a:ext uri="{FF2B5EF4-FFF2-40B4-BE49-F238E27FC236}">
              <a16:creationId xmlns:a16="http://schemas.microsoft.com/office/drawing/2014/main" id="{00000000-0008-0000-1700-000032000000}"/>
            </a:ext>
          </a:extLst>
        </xdr:cNvPr>
        <xdr:cNvGrpSpPr/>
      </xdr:nvGrpSpPr>
      <xdr:grpSpPr>
        <a:xfrm>
          <a:off x="1438275" y="3705160"/>
          <a:ext cx="1876426" cy="543340"/>
          <a:chOff x="1438275" y="3705160"/>
          <a:chExt cx="1876426" cy="543340"/>
        </a:xfrm>
      </xdr:grpSpPr>
      <xdr:sp macro="" textlink="">
        <xdr:nvSpPr>
          <xdr:cNvPr id="51" name="Rectángulo 50">
            <a:extLst>
              <a:ext uri="{FF2B5EF4-FFF2-40B4-BE49-F238E27FC236}">
                <a16:creationId xmlns:a16="http://schemas.microsoft.com/office/drawing/2014/main" id="{00000000-0008-0000-1700-000033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2" name="Gráfico 51" descr="Coche eléctrico con relleno sólido">
            <a:extLst>
              <a:ext uri="{FF2B5EF4-FFF2-40B4-BE49-F238E27FC236}">
                <a16:creationId xmlns:a16="http://schemas.microsoft.com/office/drawing/2014/main" id="{00000000-0008-0000-1700-000034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3" name="Grupo 52">
          <a:hlinkClick xmlns:r="http://schemas.openxmlformats.org/officeDocument/2006/relationships" r:id="rId38"/>
          <a:extLst>
            <a:ext uri="{FF2B5EF4-FFF2-40B4-BE49-F238E27FC236}">
              <a16:creationId xmlns:a16="http://schemas.microsoft.com/office/drawing/2014/main" id="{00000000-0008-0000-1700-000035000000}"/>
            </a:ext>
          </a:extLst>
        </xdr:cNvPr>
        <xdr:cNvGrpSpPr/>
      </xdr:nvGrpSpPr>
      <xdr:grpSpPr>
        <a:xfrm>
          <a:off x="1438275" y="3105875"/>
          <a:ext cx="1876426" cy="456411"/>
          <a:chOff x="1438275" y="3105875"/>
          <a:chExt cx="1876426" cy="456411"/>
        </a:xfrm>
      </xdr:grpSpPr>
      <xdr:sp macro="" textlink="">
        <xdr:nvSpPr>
          <xdr:cNvPr id="54" name="Rectángulo 53">
            <a:extLst>
              <a:ext uri="{FF2B5EF4-FFF2-40B4-BE49-F238E27FC236}">
                <a16:creationId xmlns:a16="http://schemas.microsoft.com/office/drawing/2014/main" id="{00000000-0008-0000-1700-000036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5" name="Gráfico 54" descr="Escena suburbana con relleno sólido">
            <a:extLst>
              <a:ext uri="{FF2B5EF4-FFF2-40B4-BE49-F238E27FC236}">
                <a16:creationId xmlns:a16="http://schemas.microsoft.com/office/drawing/2014/main" id="{00000000-0008-0000-1700-000037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6" name="Grupo 55">
          <a:hlinkClick xmlns:r="http://schemas.openxmlformats.org/officeDocument/2006/relationships" r:id="rId41"/>
          <a:extLst>
            <a:ext uri="{FF2B5EF4-FFF2-40B4-BE49-F238E27FC236}">
              <a16:creationId xmlns:a16="http://schemas.microsoft.com/office/drawing/2014/main" id="{00000000-0008-0000-1700-000038000000}"/>
            </a:ext>
          </a:extLst>
        </xdr:cNvPr>
        <xdr:cNvGrpSpPr/>
      </xdr:nvGrpSpPr>
      <xdr:grpSpPr>
        <a:xfrm>
          <a:off x="1438275" y="4336296"/>
          <a:ext cx="1876426" cy="462533"/>
          <a:chOff x="1438275" y="4336296"/>
          <a:chExt cx="1876426" cy="462533"/>
        </a:xfrm>
      </xdr:grpSpPr>
      <xdr:sp macro="" textlink="">
        <xdr:nvSpPr>
          <xdr:cNvPr id="57" name="Rectángulo 56">
            <a:extLst>
              <a:ext uri="{FF2B5EF4-FFF2-40B4-BE49-F238E27FC236}">
                <a16:creationId xmlns:a16="http://schemas.microsoft.com/office/drawing/2014/main" id="{00000000-0008-0000-1700-000039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8" name="Gráfico 57" descr="Cultivos con relleno sólido">
            <a:extLst>
              <a:ext uri="{FF2B5EF4-FFF2-40B4-BE49-F238E27FC236}">
                <a16:creationId xmlns:a16="http://schemas.microsoft.com/office/drawing/2014/main" id="{00000000-0008-0000-1700-00003A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59" name="Grupo 58">
          <a:hlinkClick xmlns:r="http://schemas.openxmlformats.org/officeDocument/2006/relationships" r:id="rId44"/>
          <a:extLst>
            <a:ext uri="{FF2B5EF4-FFF2-40B4-BE49-F238E27FC236}">
              <a16:creationId xmlns:a16="http://schemas.microsoft.com/office/drawing/2014/main" id="{00000000-0008-0000-1700-00003B000000}"/>
            </a:ext>
          </a:extLst>
        </xdr:cNvPr>
        <xdr:cNvGrpSpPr/>
      </xdr:nvGrpSpPr>
      <xdr:grpSpPr>
        <a:xfrm>
          <a:off x="1438275" y="4984136"/>
          <a:ext cx="1876426" cy="440780"/>
          <a:chOff x="1438275" y="4984136"/>
          <a:chExt cx="1876426" cy="440780"/>
        </a:xfrm>
      </xdr:grpSpPr>
      <xdr:sp macro="" textlink="">
        <xdr:nvSpPr>
          <xdr:cNvPr id="60" name="Rectángulo 59">
            <a:extLst>
              <a:ext uri="{FF2B5EF4-FFF2-40B4-BE49-F238E27FC236}">
                <a16:creationId xmlns:a16="http://schemas.microsoft.com/office/drawing/2014/main" id="{00000000-0008-0000-1700-00003C000000}"/>
              </a:ext>
            </a:extLst>
          </xdr:cNvPr>
          <xdr:cNvSpPr/>
        </xdr:nvSpPr>
        <xdr:spPr>
          <a:xfrm>
            <a:off x="1438275" y="4984136"/>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GANADERÍA</a:t>
            </a:r>
          </a:p>
        </xdr:txBody>
      </xdr:sp>
      <xdr:pic>
        <xdr:nvPicPr>
          <xdr:cNvPr id="61" name="Gráfico 60" descr="Vaca con relleno sólido">
            <a:extLst>
              <a:ext uri="{FF2B5EF4-FFF2-40B4-BE49-F238E27FC236}">
                <a16:creationId xmlns:a16="http://schemas.microsoft.com/office/drawing/2014/main" id="{00000000-0008-0000-1700-00003D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2" name="Grupo 61">
          <a:hlinkClick xmlns:r="http://schemas.openxmlformats.org/officeDocument/2006/relationships" r:id="rId47"/>
          <a:extLst>
            <a:ext uri="{FF2B5EF4-FFF2-40B4-BE49-F238E27FC236}">
              <a16:creationId xmlns:a16="http://schemas.microsoft.com/office/drawing/2014/main" id="{00000000-0008-0000-1700-00003E000000}"/>
            </a:ext>
          </a:extLst>
        </xdr:cNvPr>
        <xdr:cNvGrpSpPr/>
      </xdr:nvGrpSpPr>
      <xdr:grpSpPr>
        <a:xfrm>
          <a:off x="1438275" y="5589039"/>
          <a:ext cx="1876426" cy="461966"/>
          <a:chOff x="1438275" y="5589039"/>
          <a:chExt cx="1876426" cy="461966"/>
        </a:xfrm>
      </xdr:grpSpPr>
      <xdr:sp macro="" textlink="">
        <xdr:nvSpPr>
          <xdr:cNvPr id="63" name="Rectángulo 62">
            <a:extLst>
              <a:ext uri="{FF2B5EF4-FFF2-40B4-BE49-F238E27FC236}">
                <a16:creationId xmlns:a16="http://schemas.microsoft.com/office/drawing/2014/main" id="{00000000-0008-0000-1700-00003F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4" name="Gráfico 63" descr="Selva tropical con relleno sólido">
            <a:extLst>
              <a:ext uri="{FF2B5EF4-FFF2-40B4-BE49-F238E27FC236}">
                <a16:creationId xmlns:a16="http://schemas.microsoft.com/office/drawing/2014/main" id="{00000000-0008-0000-1700-000040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5" name="Grupo 64">
          <a:hlinkClick xmlns:r="http://schemas.openxmlformats.org/officeDocument/2006/relationships" r:id="rId50"/>
          <a:extLst>
            <a:ext uri="{FF2B5EF4-FFF2-40B4-BE49-F238E27FC236}">
              <a16:creationId xmlns:a16="http://schemas.microsoft.com/office/drawing/2014/main" id="{00000000-0008-0000-1700-000041000000}"/>
            </a:ext>
          </a:extLst>
        </xdr:cNvPr>
        <xdr:cNvGrpSpPr/>
      </xdr:nvGrpSpPr>
      <xdr:grpSpPr>
        <a:xfrm>
          <a:off x="0" y="6477000"/>
          <a:ext cx="1240383" cy="416889"/>
          <a:chOff x="28575" y="6381750"/>
          <a:chExt cx="1240383" cy="416889"/>
        </a:xfrm>
      </xdr:grpSpPr>
      <xdr:pic>
        <xdr:nvPicPr>
          <xdr:cNvPr id="66" name="Gráfico 65" descr="Engranaje único con relleno sólido">
            <a:extLst>
              <a:ext uri="{FF2B5EF4-FFF2-40B4-BE49-F238E27FC236}">
                <a16:creationId xmlns:a16="http://schemas.microsoft.com/office/drawing/2014/main" id="{00000000-0008-0000-1700-000042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7" name="CuadroTexto 66">
            <a:extLst>
              <a:ext uri="{FF2B5EF4-FFF2-40B4-BE49-F238E27FC236}">
                <a16:creationId xmlns:a16="http://schemas.microsoft.com/office/drawing/2014/main" id="{00000000-0008-0000-1700-00004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99060</xdr:rowOff>
    </xdr:from>
    <xdr:to>
      <xdr:col>4</xdr:col>
      <xdr:colOff>273898</xdr:colOff>
      <xdr:row>5</xdr:row>
      <xdr:rowOff>140335</xdr:rowOff>
    </xdr:to>
    <xdr:grpSp>
      <xdr:nvGrpSpPr>
        <xdr:cNvPr id="68" name="Grupo 67">
          <a:extLst>
            <a:ext uri="{FF2B5EF4-FFF2-40B4-BE49-F238E27FC236}">
              <a16:creationId xmlns:a16="http://schemas.microsoft.com/office/drawing/2014/main" id="{00000000-0008-0000-1700-000044000000}"/>
            </a:ext>
          </a:extLst>
        </xdr:cNvPr>
        <xdr:cNvGrpSpPr/>
      </xdr:nvGrpSpPr>
      <xdr:grpSpPr>
        <a:xfrm>
          <a:off x="3991928" y="480060"/>
          <a:ext cx="830158" cy="612775"/>
          <a:chOff x="4552948" y="1857374"/>
          <a:chExt cx="819151" cy="600075"/>
        </a:xfrm>
      </xdr:grpSpPr>
      <xdr:pic>
        <xdr:nvPicPr>
          <xdr:cNvPr id="69" name="Gráfico 68" descr="Nube con relleno sólido">
            <a:extLst>
              <a:ext uri="{FF2B5EF4-FFF2-40B4-BE49-F238E27FC236}">
                <a16:creationId xmlns:a16="http://schemas.microsoft.com/office/drawing/2014/main" id="{00000000-0008-0000-1700-000045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0" name="CuadroTexto 69">
            <a:extLst>
              <a:ext uri="{FF2B5EF4-FFF2-40B4-BE49-F238E27FC236}">
                <a16:creationId xmlns:a16="http://schemas.microsoft.com/office/drawing/2014/main" id="{00000000-0008-0000-1700-000046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72" name="Gráfico 71" descr="Bombilla fluorescente con relleno sólido">
          <a:extLst>
            <a:ext uri="{FF2B5EF4-FFF2-40B4-BE49-F238E27FC236}">
              <a16:creationId xmlns:a16="http://schemas.microsoft.com/office/drawing/2014/main" id="{00000000-0008-0000-1700-000048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286250" y="4400550"/>
          <a:ext cx="480060" cy="457200"/>
        </a:xfrm>
        <a:prstGeom prst="rect">
          <a:avLst/>
        </a:prstGeom>
      </xdr:spPr>
    </xdr:pic>
    <xdr:clientData/>
  </xdr:twoCellAnchor>
  <xdr:twoCellAnchor>
    <xdr:from>
      <xdr:col>3</xdr:col>
      <xdr:colOff>190500</xdr:colOff>
      <xdr:row>2</xdr:row>
      <xdr:rowOff>76200</xdr:rowOff>
    </xdr:from>
    <xdr:to>
      <xdr:col>4</xdr:col>
      <xdr:colOff>258658</xdr:colOff>
      <xdr:row>5</xdr:row>
      <xdr:rowOff>117475</xdr:rowOff>
    </xdr:to>
    <xdr:grpSp>
      <xdr:nvGrpSpPr>
        <xdr:cNvPr id="73" name="Grupo 72">
          <a:extLst>
            <a:ext uri="{FF2B5EF4-FFF2-40B4-BE49-F238E27FC236}">
              <a16:creationId xmlns:a16="http://schemas.microsoft.com/office/drawing/2014/main" id="{00000000-0008-0000-1700-000049000000}"/>
            </a:ext>
          </a:extLst>
        </xdr:cNvPr>
        <xdr:cNvGrpSpPr/>
      </xdr:nvGrpSpPr>
      <xdr:grpSpPr>
        <a:xfrm>
          <a:off x="3976688" y="457200"/>
          <a:ext cx="830158" cy="612775"/>
          <a:chOff x="4552948" y="1857374"/>
          <a:chExt cx="819151" cy="600075"/>
        </a:xfrm>
      </xdr:grpSpPr>
      <xdr:pic>
        <xdr:nvPicPr>
          <xdr:cNvPr id="74" name="Gráfico 73" descr="Nube con relleno sólido">
            <a:extLst>
              <a:ext uri="{FF2B5EF4-FFF2-40B4-BE49-F238E27FC236}">
                <a16:creationId xmlns:a16="http://schemas.microsoft.com/office/drawing/2014/main" id="{00000000-0008-0000-1700-00004A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5" name="CuadroTexto 74">
            <a:extLst>
              <a:ext uri="{FF2B5EF4-FFF2-40B4-BE49-F238E27FC236}">
                <a16:creationId xmlns:a16="http://schemas.microsoft.com/office/drawing/2014/main" id="{00000000-0008-0000-1700-00004B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3</xdr:col>
      <xdr:colOff>552450</xdr:colOff>
      <xdr:row>5</xdr:row>
      <xdr:rowOff>142875</xdr:rowOff>
    </xdr:from>
    <xdr:to>
      <xdr:col>17</xdr:col>
      <xdr:colOff>399596</xdr:colOff>
      <xdr:row>22</xdr:row>
      <xdr:rowOff>126546</xdr:rowOff>
    </xdr:to>
    <xdr:graphicFrame macro="">
      <xdr:nvGraphicFramePr>
        <xdr:cNvPr id="20" name="Gráfico 23">
          <a:extLst>
            <a:ext uri="{FF2B5EF4-FFF2-40B4-BE49-F238E27FC236}">
              <a16:creationId xmlns:a16="http://schemas.microsoft.com/office/drawing/2014/main" id="{00000000-0008-0000-17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3</xdr:col>
      <xdr:colOff>555171</xdr:colOff>
      <xdr:row>26</xdr:row>
      <xdr:rowOff>163286</xdr:rowOff>
    </xdr:from>
    <xdr:to>
      <xdr:col>17</xdr:col>
      <xdr:colOff>402317</xdr:colOff>
      <xdr:row>43</xdr:row>
      <xdr:rowOff>0</xdr:rowOff>
    </xdr:to>
    <xdr:graphicFrame macro="">
      <xdr:nvGraphicFramePr>
        <xdr:cNvPr id="119" name="Gráfico 23">
          <a:extLst>
            <a:ext uri="{FF2B5EF4-FFF2-40B4-BE49-F238E27FC236}">
              <a16:creationId xmlns:a16="http://schemas.microsoft.com/office/drawing/2014/main" id="{00000000-0008-0000-1700-00007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oneCellAnchor>
    <xdr:from>
      <xdr:col>3</xdr:col>
      <xdr:colOff>1</xdr:colOff>
      <xdr:row>10</xdr:row>
      <xdr:rowOff>114300</xdr:rowOff>
    </xdr:from>
    <xdr:ext cx="233205" cy="655436"/>
    <xdr:sp macro="" textlink="">
      <xdr:nvSpPr>
        <xdr:cNvPr id="23" name="CuadroTexto 22">
          <a:extLst>
            <a:ext uri="{FF2B5EF4-FFF2-40B4-BE49-F238E27FC236}">
              <a16:creationId xmlns:a16="http://schemas.microsoft.com/office/drawing/2014/main" id="{00000000-0008-0000-1700-000017000000}"/>
            </a:ext>
          </a:extLst>
        </xdr:cNvPr>
        <xdr:cNvSpPr txBox="1"/>
      </xdr:nvSpPr>
      <xdr:spPr>
        <a:xfrm rot="16200000">
          <a:off x="3570311" y="22304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342900</xdr:colOff>
      <xdr:row>30</xdr:row>
      <xdr:rowOff>142875</xdr:rowOff>
    </xdr:from>
    <xdr:ext cx="233205" cy="1274361"/>
    <xdr:sp macro="" textlink="">
      <xdr:nvSpPr>
        <xdr:cNvPr id="30" name="CuadroTexto 29">
          <a:extLst>
            <a:ext uri="{FF2B5EF4-FFF2-40B4-BE49-F238E27FC236}">
              <a16:creationId xmlns:a16="http://schemas.microsoft.com/office/drawing/2014/main" id="{00000000-0008-0000-1700-00001E000000}"/>
            </a:ext>
          </a:extLst>
        </xdr:cNvPr>
        <xdr:cNvSpPr txBox="1"/>
      </xdr:nvSpPr>
      <xdr:spPr>
        <a:xfrm rot="16200000">
          <a:off x="3251322" y="6378453"/>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a:t>
          </a:r>
        </a:p>
      </xdr:txBody>
    </xdr:sp>
    <xdr:clientData/>
  </xdr:oneCellAnchor>
  <xdr:oneCellAnchor>
    <xdr:from>
      <xdr:col>8</xdr:col>
      <xdr:colOff>66675</xdr:colOff>
      <xdr:row>20</xdr:row>
      <xdr:rowOff>114300</xdr:rowOff>
    </xdr:from>
    <xdr:ext cx="1105495" cy="233205"/>
    <xdr:sp macro="" textlink="">
      <xdr:nvSpPr>
        <xdr:cNvPr id="71" name="CuadroTexto 70">
          <a:extLst>
            <a:ext uri="{FF2B5EF4-FFF2-40B4-BE49-F238E27FC236}">
              <a16:creationId xmlns:a16="http://schemas.microsoft.com/office/drawing/2014/main" id="{00000000-0008-0000-1700-000047000000}"/>
            </a:ext>
          </a:extLst>
        </xdr:cNvPr>
        <xdr:cNvSpPr txBox="1"/>
      </xdr:nvSpPr>
      <xdr:spPr>
        <a:xfrm>
          <a:off x="7658100" y="39243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95250</xdr:colOff>
      <xdr:row>41</xdr:row>
      <xdr:rowOff>28575</xdr:rowOff>
    </xdr:from>
    <xdr:ext cx="1105495" cy="233205"/>
    <xdr:sp macro="" textlink="">
      <xdr:nvSpPr>
        <xdr:cNvPr id="76" name="CuadroTexto 75">
          <a:extLst>
            <a:ext uri="{FF2B5EF4-FFF2-40B4-BE49-F238E27FC236}">
              <a16:creationId xmlns:a16="http://schemas.microsoft.com/office/drawing/2014/main" id="{00000000-0008-0000-1700-00004C000000}"/>
            </a:ext>
          </a:extLst>
        </xdr:cNvPr>
        <xdr:cNvSpPr txBox="1"/>
      </xdr:nvSpPr>
      <xdr:spPr>
        <a:xfrm>
          <a:off x="7686675" y="78676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104775</xdr:colOff>
      <xdr:row>0</xdr:row>
      <xdr:rowOff>95250</xdr:rowOff>
    </xdr:from>
    <xdr:to>
      <xdr:col>19</xdr:col>
      <xdr:colOff>1866900</xdr:colOff>
      <xdr:row>2</xdr:row>
      <xdr:rowOff>180975</xdr:rowOff>
    </xdr:to>
    <xdr:grpSp>
      <xdr:nvGrpSpPr>
        <xdr:cNvPr id="21" name="Grupo 20">
          <a:extLst>
            <a:ext uri="{FF2B5EF4-FFF2-40B4-BE49-F238E27FC236}">
              <a16:creationId xmlns:a16="http://schemas.microsoft.com/office/drawing/2014/main" id="{00000000-0008-0000-1700-000015000000}"/>
            </a:ext>
          </a:extLst>
        </xdr:cNvPr>
        <xdr:cNvGrpSpPr/>
      </xdr:nvGrpSpPr>
      <xdr:grpSpPr>
        <a:xfrm>
          <a:off x="15320963" y="95250"/>
          <a:ext cx="2833687" cy="466725"/>
          <a:chOff x="15497175" y="542925"/>
          <a:chExt cx="2828925" cy="466725"/>
        </a:xfrm>
      </xdr:grpSpPr>
      <xdr:grpSp>
        <xdr:nvGrpSpPr>
          <xdr:cNvPr id="22" name="Grupo 21">
            <a:extLst>
              <a:ext uri="{FF2B5EF4-FFF2-40B4-BE49-F238E27FC236}">
                <a16:creationId xmlns:a16="http://schemas.microsoft.com/office/drawing/2014/main" id="{00000000-0008-0000-1700-000016000000}"/>
              </a:ext>
            </a:extLst>
          </xdr:cNvPr>
          <xdr:cNvGrpSpPr/>
        </xdr:nvGrpSpPr>
        <xdr:grpSpPr>
          <a:xfrm>
            <a:off x="15554325" y="628650"/>
            <a:ext cx="2771775" cy="314325"/>
            <a:chOff x="15621000" y="190500"/>
            <a:chExt cx="2771775" cy="314325"/>
          </a:xfrm>
        </xdr:grpSpPr>
        <xdr:sp macro="" textlink="">
          <xdr:nvSpPr>
            <xdr:cNvPr id="78" name="Elipse 77">
              <a:extLst>
                <a:ext uri="{FF2B5EF4-FFF2-40B4-BE49-F238E27FC236}">
                  <a16:creationId xmlns:a16="http://schemas.microsoft.com/office/drawing/2014/main" id="{00000000-0008-0000-1700-00004E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9" name="Rectángulo: esquinas redondeadas 78">
              <a:extLst>
                <a:ext uri="{FF2B5EF4-FFF2-40B4-BE49-F238E27FC236}">
                  <a16:creationId xmlns:a16="http://schemas.microsoft.com/office/drawing/2014/main" id="{00000000-0008-0000-1700-00004F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7" name="Gráfico 76" descr="Información con relleno sólido">
            <a:hlinkClick xmlns:r="http://schemas.openxmlformats.org/officeDocument/2006/relationships" r:id="rId57"/>
            <a:extLst>
              <a:ext uri="{FF2B5EF4-FFF2-40B4-BE49-F238E27FC236}">
                <a16:creationId xmlns:a16="http://schemas.microsoft.com/office/drawing/2014/main" id="{00000000-0008-0000-1700-00004D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5497175" y="542925"/>
            <a:ext cx="466725" cy="466725"/>
          </a:xfrm>
          <a:prstGeom prst="rect">
            <a:avLst/>
          </a:prstGeom>
        </xdr:spPr>
      </xdr:pic>
    </xdr:grp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8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8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8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8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8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8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8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8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8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8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8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8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8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8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8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8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8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8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8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8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Bosques</a:t>
              </a:r>
            </a:p>
          </xdr:txBody>
        </xdr:sp>
      </xdr:grpSp>
      <xdr:pic>
        <xdr:nvPicPr>
          <xdr:cNvPr id="26" name="Gráfico 25" descr="Búsqueda de carpetas con relleno sólido">
            <a:extLst>
              <a:ext uri="{FF2B5EF4-FFF2-40B4-BE49-F238E27FC236}">
                <a16:creationId xmlns:a16="http://schemas.microsoft.com/office/drawing/2014/main" id="{00000000-0008-0000-18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8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8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8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8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8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8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8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18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8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800-00002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4"/>
          <a:extLst>
            <a:ext uri="{FF2B5EF4-FFF2-40B4-BE49-F238E27FC236}">
              <a16:creationId xmlns:a16="http://schemas.microsoft.com/office/drawing/2014/main" id="{00000000-0008-0000-18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8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800-00002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27"/>
          <a:extLst>
            <a:ext uri="{FF2B5EF4-FFF2-40B4-BE49-F238E27FC236}">
              <a16:creationId xmlns:a16="http://schemas.microsoft.com/office/drawing/2014/main" id="{00000000-0008-0000-18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8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800-00002F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0"/>
          <a:extLst>
            <a:ext uri="{FF2B5EF4-FFF2-40B4-BE49-F238E27FC236}">
              <a16:creationId xmlns:a16="http://schemas.microsoft.com/office/drawing/2014/main" id="{00000000-0008-0000-18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8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800-000032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3"/>
          <a:extLst>
            <a:ext uri="{FF2B5EF4-FFF2-40B4-BE49-F238E27FC236}">
              <a16:creationId xmlns:a16="http://schemas.microsoft.com/office/drawing/2014/main" id="{00000000-0008-0000-18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8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800-000035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36"/>
          <a:extLst>
            <a:ext uri="{FF2B5EF4-FFF2-40B4-BE49-F238E27FC236}">
              <a16:creationId xmlns:a16="http://schemas.microsoft.com/office/drawing/2014/main" id="{00000000-0008-0000-18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8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800-00003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39"/>
          <a:extLst>
            <a:ext uri="{FF2B5EF4-FFF2-40B4-BE49-F238E27FC236}">
              <a16:creationId xmlns:a16="http://schemas.microsoft.com/office/drawing/2014/main" id="{00000000-0008-0000-18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8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800-00003B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2"/>
          <a:extLst>
            <a:ext uri="{FF2B5EF4-FFF2-40B4-BE49-F238E27FC236}">
              <a16:creationId xmlns:a16="http://schemas.microsoft.com/office/drawing/2014/main" id="{00000000-0008-0000-18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8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800-00003E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5"/>
          <a:extLst>
            <a:ext uri="{FF2B5EF4-FFF2-40B4-BE49-F238E27FC236}">
              <a16:creationId xmlns:a16="http://schemas.microsoft.com/office/drawing/2014/main" id="{00000000-0008-0000-18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800-000040000000}"/>
              </a:ext>
            </a:extLst>
          </xdr:cNvPr>
          <xdr:cNvSpPr/>
        </xdr:nvSpPr>
        <xdr:spPr>
          <a:xfrm>
            <a:off x="1438275" y="5610225"/>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800-000041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48"/>
          <a:extLst>
            <a:ext uri="{FF2B5EF4-FFF2-40B4-BE49-F238E27FC236}">
              <a16:creationId xmlns:a16="http://schemas.microsoft.com/office/drawing/2014/main" id="{00000000-0008-0000-18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1800-000043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18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83820</xdr:rowOff>
    </xdr:from>
    <xdr:to>
      <xdr:col>4</xdr:col>
      <xdr:colOff>273898</xdr:colOff>
      <xdr:row>5</xdr:row>
      <xdr:rowOff>125095</xdr:rowOff>
    </xdr:to>
    <xdr:grpSp>
      <xdr:nvGrpSpPr>
        <xdr:cNvPr id="31" name="Grupo 68">
          <a:extLst>
            <a:ext uri="{FF2B5EF4-FFF2-40B4-BE49-F238E27FC236}">
              <a16:creationId xmlns:a16="http://schemas.microsoft.com/office/drawing/2014/main" id="{00000000-0008-0000-1800-00001F000000}"/>
            </a:ext>
          </a:extLst>
        </xdr:cNvPr>
        <xdr:cNvGrpSpPr/>
      </xdr:nvGrpSpPr>
      <xdr:grpSpPr>
        <a:xfrm>
          <a:off x="3991928" y="464820"/>
          <a:ext cx="830158" cy="612775"/>
          <a:chOff x="4552948" y="1857374"/>
          <a:chExt cx="819151" cy="600075"/>
        </a:xfrm>
      </xdr:grpSpPr>
      <xdr:pic>
        <xdr:nvPicPr>
          <xdr:cNvPr id="72" name="Gráfico 69" descr="Nube con relleno sólido">
            <a:extLst>
              <a:ext uri="{FF2B5EF4-FFF2-40B4-BE49-F238E27FC236}">
                <a16:creationId xmlns:a16="http://schemas.microsoft.com/office/drawing/2014/main" id="{00000000-0008-0000-1800-000048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73" name="CuadroTexto 70">
            <a:extLst>
              <a:ext uri="{FF2B5EF4-FFF2-40B4-BE49-F238E27FC236}">
                <a16:creationId xmlns:a16="http://schemas.microsoft.com/office/drawing/2014/main" id="{00000000-0008-0000-1800-000049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298662</xdr:colOff>
      <xdr:row>23</xdr:row>
      <xdr:rowOff>0</xdr:rowOff>
    </xdr:from>
    <xdr:to>
      <xdr:col>3</xdr:col>
      <xdr:colOff>744855</xdr:colOff>
      <xdr:row>25</xdr:row>
      <xdr:rowOff>53340</xdr:rowOff>
    </xdr:to>
    <xdr:pic>
      <xdr:nvPicPr>
        <xdr:cNvPr id="81" name="Gráfico 21" descr="Selva tropical con relleno sólido">
          <a:extLst>
            <a:ext uri="{FF2B5EF4-FFF2-40B4-BE49-F238E27FC236}">
              <a16:creationId xmlns:a16="http://schemas.microsoft.com/office/drawing/2014/main" id="{00000000-0008-0000-1800-000051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184862" y="4381500"/>
          <a:ext cx="448098" cy="441960"/>
        </a:xfrm>
        <a:prstGeom prst="rect">
          <a:avLst/>
        </a:prstGeom>
      </xdr:spPr>
    </xdr:pic>
    <xdr:clientData/>
  </xdr:twoCellAnchor>
  <xdr:twoCellAnchor>
    <xdr:from>
      <xdr:col>3</xdr:col>
      <xdr:colOff>622300</xdr:colOff>
      <xdr:row>5</xdr:row>
      <xdr:rowOff>114300</xdr:rowOff>
    </xdr:from>
    <xdr:to>
      <xdr:col>17</xdr:col>
      <xdr:colOff>380546</xdr:colOff>
      <xdr:row>22</xdr:row>
      <xdr:rowOff>97971</xdr:rowOff>
    </xdr:to>
    <xdr:graphicFrame macro="">
      <xdr:nvGraphicFramePr>
        <xdr:cNvPr id="21" name="Gráfico 23">
          <a:extLst>
            <a:ext uri="{FF2B5EF4-FFF2-40B4-BE49-F238E27FC236}">
              <a16:creationId xmlns:a16="http://schemas.microsoft.com/office/drawing/2014/main" id="{00000000-0008-0000-1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3</xdr:col>
      <xdr:colOff>622300</xdr:colOff>
      <xdr:row>26</xdr:row>
      <xdr:rowOff>82550</xdr:rowOff>
    </xdr:from>
    <xdr:to>
      <xdr:col>17</xdr:col>
      <xdr:colOff>380546</xdr:colOff>
      <xdr:row>43</xdr:row>
      <xdr:rowOff>104321</xdr:rowOff>
    </xdr:to>
    <xdr:graphicFrame macro="">
      <xdr:nvGraphicFramePr>
        <xdr:cNvPr id="20" name="Gráfico 23">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oneCellAnchor>
    <xdr:from>
      <xdr:col>3</xdr:col>
      <xdr:colOff>0</xdr:colOff>
      <xdr:row>11</xdr:row>
      <xdr:rowOff>0</xdr:rowOff>
    </xdr:from>
    <xdr:ext cx="233205" cy="655436"/>
    <xdr:sp macro="" textlink="">
      <xdr:nvSpPr>
        <xdr:cNvPr id="29" name="CuadroTexto 28">
          <a:extLst>
            <a:ext uri="{FF2B5EF4-FFF2-40B4-BE49-F238E27FC236}">
              <a16:creationId xmlns:a16="http://schemas.microsoft.com/office/drawing/2014/main" id="{00000000-0008-0000-1800-00001D000000}"/>
            </a:ext>
          </a:extLst>
        </xdr:cNvPr>
        <xdr:cNvSpPr txBox="1"/>
      </xdr:nvSpPr>
      <xdr:spPr>
        <a:xfrm rot="16200000">
          <a:off x="3570310" y="23066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342900</xdr:colOff>
      <xdr:row>30</xdr:row>
      <xdr:rowOff>104775</xdr:rowOff>
    </xdr:from>
    <xdr:ext cx="233205" cy="1274361"/>
    <xdr:sp macro="" textlink="">
      <xdr:nvSpPr>
        <xdr:cNvPr id="30" name="CuadroTexto 29">
          <a:extLst>
            <a:ext uri="{FF2B5EF4-FFF2-40B4-BE49-F238E27FC236}">
              <a16:creationId xmlns:a16="http://schemas.microsoft.com/office/drawing/2014/main" id="{00000000-0008-0000-1800-00001E000000}"/>
            </a:ext>
          </a:extLst>
        </xdr:cNvPr>
        <xdr:cNvSpPr txBox="1"/>
      </xdr:nvSpPr>
      <xdr:spPr>
        <a:xfrm rot="16200000">
          <a:off x="3251322" y="6340353"/>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Hectáreas</a:t>
          </a:r>
          <a:r>
            <a:rPr lang="es-ES" sz="900" baseline="0">
              <a:solidFill>
                <a:schemeClr val="bg1">
                  <a:lumMod val="50000"/>
                </a:schemeClr>
              </a:solidFill>
              <a:effectLst/>
            </a:rPr>
            <a:t> de bosque</a:t>
          </a:r>
          <a:endParaRPr lang="es-ES" sz="900">
            <a:solidFill>
              <a:schemeClr val="bg1">
                <a:lumMod val="50000"/>
              </a:schemeClr>
            </a:solidFill>
            <a:effectLst/>
          </a:endParaRPr>
        </a:p>
      </xdr:txBody>
    </xdr:sp>
    <xdr:clientData/>
  </xdr:oneCellAnchor>
  <xdr:oneCellAnchor>
    <xdr:from>
      <xdr:col>8</xdr:col>
      <xdr:colOff>209550</xdr:colOff>
      <xdr:row>20</xdr:row>
      <xdr:rowOff>9525</xdr:rowOff>
    </xdr:from>
    <xdr:ext cx="1105495" cy="233205"/>
    <xdr:sp macro="" textlink="">
      <xdr:nvSpPr>
        <xdr:cNvPr id="69" name="CuadroTexto 68">
          <a:extLst>
            <a:ext uri="{FF2B5EF4-FFF2-40B4-BE49-F238E27FC236}">
              <a16:creationId xmlns:a16="http://schemas.microsoft.com/office/drawing/2014/main" id="{00000000-0008-0000-1800-000045000000}"/>
            </a:ext>
          </a:extLst>
        </xdr:cNvPr>
        <xdr:cNvSpPr txBox="1"/>
      </xdr:nvSpPr>
      <xdr:spPr>
        <a:xfrm>
          <a:off x="7800975" y="38195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7</xdr:col>
      <xdr:colOff>704850</xdr:colOff>
      <xdr:row>41</xdr:row>
      <xdr:rowOff>114300</xdr:rowOff>
    </xdr:from>
    <xdr:ext cx="1105495" cy="233205"/>
    <xdr:sp macro="" textlink="">
      <xdr:nvSpPr>
        <xdr:cNvPr id="70" name="CuadroTexto 69">
          <a:extLst>
            <a:ext uri="{FF2B5EF4-FFF2-40B4-BE49-F238E27FC236}">
              <a16:creationId xmlns:a16="http://schemas.microsoft.com/office/drawing/2014/main" id="{00000000-0008-0000-1800-000046000000}"/>
            </a:ext>
          </a:extLst>
        </xdr:cNvPr>
        <xdr:cNvSpPr txBox="1"/>
      </xdr:nvSpPr>
      <xdr:spPr>
        <a:xfrm>
          <a:off x="7534275" y="795337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104775</xdr:colOff>
      <xdr:row>0</xdr:row>
      <xdr:rowOff>76200</xdr:rowOff>
    </xdr:from>
    <xdr:to>
      <xdr:col>19</xdr:col>
      <xdr:colOff>2171700</xdr:colOff>
      <xdr:row>2</xdr:row>
      <xdr:rowOff>161925</xdr:rowOff>
    </xdr:to>
    <xdr:grpSp>
      <xdr:nvGrpSpPr>
        <xdr:cNvPr id="22" name="Grupo 21">
          <a:extLst>
            <a:ext uri="{FF2B5EF4-FFF2-40B4-BE49-F238E27FC236}">
              <a16:creationId xmlns:a16="http://schemas.microsoft.com/office/drawing/2014/main" id="{00000000-0008-0000-1800-000016000000}"/>
            </a:ext>
          </a:extLst>
        </xdr:cNvPr>
        <xdr:cNvGrpSpPr/>
      </xdr:nvGrpSpPr>
      <xdr:grpSpPr>
        <a:xfrm>
          <a:off x="15320963" y="76200"/>
          <a:ext cx="2828925" cy="466725"/>
          <a:chOff x="15497175" y="542925"/>
          <a:chExt cx="2828925" cy="466725"/>
        </a:xfrm>
      </xdr:grpSpPr>
      <xdr:grpSp>
        <xdr:nvGrpSpPr>
          <xdr:cNvPr id="23" name="Grupo 22">
            <a:extLst>
              <a:ext uri="{FF2B5EF4-FFF2-40B4-BE49-F238E27FC236}">
                <a16:creationId xmlns:a16="http://schemas.microsoft.com/office/drawing/2014/main" id="{00000000-0008-0000-1800-000017000000}"/>
              </a:ext>
            </a:extLst>
          </xdr:cNvPr>
          <xdr:cNvGrpSpPr/>
        </xdr:nvGrpSpPr>
        <xdr:grpSpPr>
          <a:xfrm>
            <a:off x="15554325" y="628650"/>
            <a:ext cx="2771775" cy="314325"/>
            <a:chOff x="15621000" y="190500"/>
            <a:chExt cx="2771775" cy="314325"/>
          </a:xfrm>
        </xdr:grpSpPr>
        <xdr:sp macro="" textlink="">
          <xdr:nvSpPr>
            <xdr:cNvPr id="74" name="Elipse 73">
              <a:extLst>
                <a:ext uri="{FF2B5EF4-FFF2-40B4-BE49-F238E27FC236}">
                  <a16:creationId xmlns:a16="http://schemas.microsoft.com/office/drawing/2014/main" id="{00000000-0008-0000-1800-00004A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5" name="Rectángulo: esquinas redondeadas 74">
              <a:extLst>
                <a:ext uri="{FF2B5EF4-FFF2-40B4-BE49-F238E27FC236}">
                  <a16:creationId xmlns:a16="http://schemas.microsoft.com/office/drawing/2014/main" id="{00000000-0008-0000-1800-00004B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1" name="Gráfico 70" descr="Información con relleno sólido">
            <a:hlinkClick xmlns:r="http://schemas.openxmlformats.org/officeDocument/2006/relationships" r:id="rId57"/>
            <a:extLst>
              <a:ext uri="{FF2B5EF4-FFF2-40B4-BE49-F238E27FC236}">
                <a16:creationId xmlns:a16="http://schemas.microsoft.com/office/drawing/2014/main" id="{00000000-0008-0000-1800-00004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5497175" y="542925"/>
            <a:ext cx="466725" cy="466725"/>
          </a:xfrm>
          <a:prstGeom prst="rect">
            <a:avLst/>
          </a:prstGeom>
        </xdr:spPr>
      </xdr:pic>
    </xdr:grpSp>
    <xdr:clientData/>
  </xdr:twoCellAnchor>
</xdr:wsDr>
</file>

<file path=xl/drawings/drawing30.xml><?xml version="1.0" encoding="utf-8"?>
<xdr:wsDr xmlns:xdr="http://schemas.openxmlformats.org/drawingml/2006/spreadsheetDrawing" xmlns:a="http://schemas.openxmlformats.org/drawingml/2006/main">
  <xdr:twoCellAnchor>
    <xdr:from>
      <xdr:col>2</xdr:col>
      <xdr:colOff>190500</xdr:colOff>
      <xdr:row>3</xdr:row>
      <xdr:rowOff>180974</xdr:rowOff>
    </xdr:from>
    <xdr:to>
      <xdr:col>6</xdr:col>
      <xdr:colOff>285750</xdr:colOff>
      <xdr:row>12</xdr:row>
      <xdr:rowOff>152399</xdr:rowOff>
    </xdr:to>
    <xdr:grpSp>
      <xdr:nvGrpSpPr>
        <xdr:cNvPr id="37" name="Grupo 36">
          <a:hlinkClick xmlns:r="http://schemas.openxmlformats.org/officeDocument/2006/relationships" r:id="rId1"/>
          <a:extLst>
            <a:ext uri="{FF2B5EF4-FFF2-40B4-BE49-F238E27FC236}">
              <a16:creationId xmlns:a16="http://schemas.microsoft.com/office/drawing/2014/main" id="{00000000-0008-0000-1900-000025000000}"/>
            </a:ext>
          </a:extLst>
        </xdr:cNvPr>
        <xdr:cNvGrpSpPr/>
      </xdr:nvGrpSpPr>
      <xdr:grpSpPr>
        <a:xfrm>
          <a:off x="2083594" y="752474"/>
          <a:ext cx="3143250" cy="1685925"/>
          <a:chOff x="1885950" y="438149"/>
          <a:chExt cx="3143250" cy="1685925"/>
        </a:xfrm>
      </xdr:grpSpPr>
      <xdr:sp macro="" textlink="">
        <xdr:nvSpPr>
          <xdr:cNvPr id="25" name="Rectángulo 24">
            <a:extLst>
              <a:ext uri="{FF2B5EF4-FFF2-40B4-BE49-F238E27FC236}">
                <a16:creationId xmlns:a16="http://schemas.microsoft.com/office/drawing/2014/main" id="{00000000-0008-0000-1900-000019000000}"/>
              </a:ext>
            </a:extLst>
          </xdr:cNvPr>
          <xdr:cNvSpPr/>
        </xdr:nvSpPr>
        <xdr:spPr>
          <a:xfrm>
            <a:off x="1885950"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effectLst/>
                <a:latin typeface="+mn-lt"/>
                <a:ea typeface="+mn-ea"/>
                <a:cs typeface="+mn-cs"/>
              </a:rPr>
              <a:t>ENERGÍA </a:t>
            </a:r>
            <a:endParaRPr lang="es-ES" sz="6000">
              <a:solidFill>
                <a:schemeClr val="accent6">
                  <a:lumMod val="50000"/>
                </a:schemeClr>
              </a:solidFill>
              <a:effectLst/>
            </a:endParaRPr>
          </a:p>
          <a:p>
            <a:pPr algn="ctr"/>
            <a:r>
              <a:rPr lang="es-ES" sz="1600" b="1">
                <a:solidFill>
                  <a:schemeClr val="accent6">
                    <a:lumMod val="50000"/>
                  </a:schemeClr>
                </a:solidFill>
                <a:effectLst/>
                <a:latin typeface="+mn-lt"/>
                <a:ea typeface="+mn-ea"/>
                <a:cs typeface="+mn-cs"/>
              </a:rPr>
              <a:t>Combustibles fósiles y Bioenergía</a:t>
            </a:r>
            <a:endParaRPr lang="es-ES" sz="4000" b="1">
              <a:solidFill>
                <a:schemeClr val="accent6">
                  <a:lumMod val="50000"/>
                </a:schemeClr>
              </a:solidFill>
            </a:endParaRPr>
          </a:p>
        </xdr:txBody>
      </xdr:sp>
      <xdr:pic>
        <xdr:nvPicPr>
          <xdr:cNvPr id="2" name="Gráfico 1" descr="Batería en carga con relleno sólido">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09900" y="610192"/>
            <a:ext cx="990600" cy="987078"/>
          </a:xfrm>
          <a:prstGeom prst="rect">
            <a:avLst/>
          </a:prstGeom>
        </xdr:spPr>
      </xdr:pic>
    </xdr:grpSp>
    <xdr:clientData/>
  </xdr:twoCellAnchor>
  <xdr:twoCellAnchor>
    <xdr:from>
      <xdr:col>7</xdr:col>
      <xdr:colOff>161925</xdr:colOff>
      <xdr:row>3</xdr:row>
      <xdr:rowOff>180974</xdr:rowOff>
    </xdr:from>
    <xdr:to>
      <xdr:col>11</xdr:col>
      <xdr:colOff>257175</xdr:colOff>
      <xdr:row>12</xdr:row>
      <xdr:rowOff>152399</xdr:rowOff>
    </xdr:to>
    <xdr:grpSp>
      <xdr:nvGrpSpPr>
        <xdr:cNvPr id="40" name="Grupo 39">
          <a:hlinkClick xmlns:r="http://schemas.openxmlformats.org/officeDocument/2006/relationships" r:id="rId4"/>
          <a:extLst>
            <a:ext uri="{FF2B5EF4-FFF2-40B4-BE49-F238E27FC236}">
              <a16:creationId xmlns:a16="http://schemas.microsoft.com/office/drawing/2014/main" id="{00000000-0008-0000-1900-000028000000}"/>
            </a:ext>
          </a:extLst>
        </xdr:cNvPr>
        <xdr:cNvGrpSpPr/>
      </xdr:nvGrpSpPr>
      <xdr:grpSpPr>
        <a:xfrm>
          <a:off x="5865019" y="752474"/>
          <a:ext cx="3143250" cy="1685925"/>
          <a:chOff x="5591175" y="438149"/>
          <a:chExt cx="3143250" cy="1685925"/>
        </a:xfrm>
      </xdr:grpSpPr>
      <xdr:sp macro="" textlink="">
        <xdr:nvSpPr>
          <xdr:cNvPr id="27" name="Rectángulo 26">
            <a:extLst>
              <a:ext uri="{FF2B5EF4-FFF2-40B4-BE49-F238E27FC236}">
                <a16:creationId xmlns:a16="http://schemas.microsoft.com/office/drawing/2014/main" id="{00000000-0008-0000-1900-00001B000000}"/>
              </a:ext>
            </a:extLst>
          </xdr:cNvPr>
          <xdr:cNvSpPr/>
        </xdr:nvSpPr>
        <xdr:spPr>
          <a:xfrm>
            <a:off x="5591175"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 </a:t>
            </a:r>
          </a:p>
          <a:p>
            <a:pPr algn="ctr"/>
            <a:r>
              <a:rPr lang="es-ES" sz="1600" b="1">
                <a:solidFill>
                  <a:schemeClr val="accent6">
                    <a:lumMod val="50000"/>
                  </a:schemeClr>
                </a:solidFill>
              </a:rPr>
              <a:t>Electricidad</a:t>
            </a:r>
            <a:r>
              <a:rPr lang="es-ES" sz="1600" b="1" baseline="0">
                <a:solidFill>
                  <a:schemeClr val="accent6">
                    <a:lumMod val="50000"/>
                  </a:schemeClr>
                </a:solidFill>
              </a:rPr>
              <a:t> y Autogeneración</a:t>
            </a:r>
            <a:endParaRPr lang="es-ES" sz="1600" b="1">
              <a:solidFill>
                <a:schemeClr val="accent6">
                  <a:lumMod val="50000"/>
                </a:schemeClr>
              </a:solidFill>
            </a:endParaRPr>
          </a:p>
        </xdr:txBody>
      </xdr:sp>
      <xdr:pic>
        <xdr:nvPicPr>
          <xdr:cNvPr id="28" name="Gráfico 27" descr="Alta tensión con relleno sólido">
            <a:extLst>
              <a:ext uri="{FF2B5EF4-FFF2-40B4-BE49-F238E27FC236}">
                <a16:creationId xmlns:a16="http://schemas.microsoft.com/office/drawing/2014/main" id="{00000000-0008-0000-1900-00001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686550" y="587939"/>
            <a:ext cx="971550" cy="971007"/>
          </a:xfrm>
          <a:prstGeom prst="rect">
            <a:avLst/>
          </a:prstGeom>
        </xdr:spPr>
      </xdr:pic>
    </xdr:grpSp>
    <xdr:clientData/>
  </xdr:twoCellAnchor>
  <xdr:twoCellAnchor>
    <xdr:from>
      <xdr:col>11</xdr:col>
      <xdr:colOff>742950</xdr:colOff>
      <xdr:row>3</xdr:row>
      <xdr:rowOff>180974</xdr:rowOff>
    </xdr:from>
    <xdr:to>
      <xdr:col>16</xdr:col>
      <xdr:colOff>76200</xdr:colOff>
      <xdr:row>12</xdr:row>
      <xdr:rowOff>152399</xdr:rowOff>
    </xdr:to>
    <xdr:grpSp>
      <xdr:nvGrpSpPr>
        <xdr:cNvPr id="43" name="Grupo 42">
          <a:hlinkClick xmlns:r="http://schemas.openxmlformats.org/officeDocument/2006/relationships" r:id="rId7"/>
          <a:extLst>
            <a:ext uri="{FF2B5EF4-FFF2-40B4-BE49-F238E27FC236}">
              <a16:creationId xmlns:a16="http://schemas.microsoft.com/office/drawing/2014/main" id="{00000000-0008-0000-1900-00002B000000}"/>
            </a:ext>
          </a:extLst>
        </xdr:cNvPr>
        <xdr:cNvGrpSpPr/>
      </xdr:nvGrpSpPr>
      <xdr:grpSpPr>
        <a:xfrm>
          <a:off x="9494044" y="752474"/>
          <a:ext cx="3143250" cy="1685925"/>
          <a:chOff x="9296400" y="438149"/>
          <a:chExt cx="3143250" cy="1685925"/>
        </a:xfrm>
      </xdr:grpSpPr>
      <xdr:sp macro="" textlink="">
        <xdr:nvSpPr>
          <xdr:cNvPr id="29" name="Rectángulo 28">
            <a:extLst>
              <a:ext uri="{FF2B5EF4-FFF2-40B4-BE49-F238E27FC236}">
                <a16:creationId xmlns:a16="http://schemas.microsoft.com/office/drawing/2014/main" id="{00000000-0008-0000-1900-00001D000000}"/>
              </a:ext>
            </a:extLst>
          </xdr:cNvPr>
          <xdr:cNvSpPr/>
        </xdr:nvSpPr>
        <xdr:spPr>
          <a:xfrm>
            <a:off x="9296400"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INDUSTRIA</a:t>
            </a:r>
          </a:p>
        </xdr:txBody>
      </xdr:sp>
      <xdr:pic>
        <xdr:nvPicPr>
          <xdr:cNvPr id="4" name="Gráfico 3" descr="Producción con relleno sólido">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325100" y="597163"/>
            <a:ext cx="1143000" cy="1021842"/>
          </a:xfrm>
          <a:prstGeom prst="rect">
            <a:avLst/>
          </a:prstGeom>
        </xdr:spPr>
      </xdr:pic>
    </xdr:grpSp>
    <xdr:clientData/>
  </xdr:twoCellAnchor>
  <xdr:twoCellAnchor>
    <xdr:from>
      <xdr:col>11</xdr:col>
      <xdr:colOff>742950</xdr:colOff>
      <xdr:row>26</xdr:row>
      <xdr:rowOff>138112</xdr:rowOff>
    </xdr:from>
    <xdr:to>
      <xdr:col>16</xdr:col>
      <xdr:colOff>76200</xdr:colOff>
      <xdr:row>35</xdr:row>
      <xdr:rowOff>109537</xdr:rowOff>
    </xdr:to>
    <xdr:grpSp>
      <xdr:nvGrpSpPr>
        <xdr:cNvPr id="45" name="Grupo 44">
          <a:hlinkClick xmlns:r="http://schemas.openxmlformats.org/officeDocument/2006/relationships" r:id="rId10"/>
          <a:extLst>
            <a:ext uri="{FF2B5EF4-FFF2-40B4-BE49-F238E27FC236}">
              <a16:creationId xmlns:a16="http://schemas.microsoft.com/office/drawing/2014/main" id="{00000000-0008-0000-1900-00002D000000}"/>
            </a:ext>
          </a:extLst>
        </xdr:cNvPr>
        <xdr:cNvGrpSpPr/>
      </xdr:nvGrpSpPr>
      <xdr:grpSpPr>
        <a:xfrm>
          <a:off x="9494044" y="5091112"/>
          <a:ext cx="3143250" cy="1685925"/>
          <a:chOff x="9296400" y="4776787"/>
          <a:chExt cx="3143250" cy="1685925"/>
        </a:xfrm>
      </xdr:grpSpPr>
      <xdr:sp macro="" textlink="">
        <xdr:nvSpPr>
          <xdr:cNvPr id="36" name="Rectángulo 35">
            <a:extLst>
              <a:ext uri="{FF2B5EF4-FFF2-40B4-BE49-F238E27FC236}">
                <a16:creationId xmlns:a16="http://schemas.microsoft.com/office/drawing/2014/main" id="{00000000-0008-0000-1900-000024000000}"/>
              </a:ext>
            </a:extLst>
          </xdr:cNvPr>
          <xdr:cNvSpPr/>
        </xdr:nvSpPr>
        <xdr:spPr>
          <a:xfrm>
            <a:off x="9296400"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BOSQUES</a:t>
            </a:r>
          </a:p>
        </xdr:txBody>
      </xdr:sp>
      <xdr:pic>
        <xdr:nvPicPr>
          <xdr:cNvPr id="10" name="Gráfico 9" descr="Selva tropical con relleno sólido">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296525" y="4902383"/>
            <a:ext cx="1162050" cy="1158829"/>
          </a:xfrm>
          <a:prstGeom prst="rect">
            <a:avLst/>
          </a:prstGeom>
        </xdr:spPr>
      </xdr:pic>
    </xdr:grpSp>
    <xdr:clientData/>
  </xdr:twoCellAnchor>
  <xdr:twoCellAnchor>
    <xdr:from>
      <xdr:col>2</xdr:col>
      <xdr:colOff>190500</xdr:colOff>
      <xdr:row>26</xdr:row>
      <xdr:rowOff>138112</xdr:rowOff>
    </xdr:from>
    <xdr:to>
      <xdr:col>6</xdr:col>
      <xdr:colOff>285750</xdr:colOff>
      <xdr:row>35</xdr:row>
      <xdr:rowOff>109537</xdr:rowOff>
    </xdr:to>
    <xdr:grpSp>
      <xdr:nvGrpSpPr>
        <xdr:cNvPr id="39" name="Grupo 38">
          <a:hlinkClick xmlns:r="http://schemas.openxmlformats.org/officeDocument/2006/relationships" r:id="rId13"/>
          <a:extLst>
            <a:ext uri="{FF2B5EF4-FFF2-40B4-BE49-F238E27FC236}">
              <a16:creationId xmlns:a16="http://schemas.microsoft.com/office/drawing/2014/main" id="{00000000-0008-0000-1900-000027000000}"/>
            </a:ext>
          </a:extLst>
        </xdr:cNvPr>
        <xdr:cNvGrpSpPr/>
      </xdr:nvGrpSpPr>
      <xdr:grpSpPr>
        <a:xfrm>
          <a:off x="2083594" y="5091112"/>
          <a:ext cx="3143250" cy="1685925"/>
          <a:chOff x="1885950" y="4776787"/>
          <a:chExt cx="3143250" cy="1685925"/>
        </a:xfrm>
      </xdr:grpSpPr>
      <xdr:sp macro="" textlink="">
        <xdr:nvSpPr>
          <xdr:cNvPr id="33" name="Rectángulo 32">
            <a:extLst>
              <a:ext uri="{FF2B5EF4-FFF2-40B4-BE49-F238E27FC236}">
                <a16:creationId xmlns:a16="http://schemas.microsoft.com/office/drawing/2014/main" id="{00000000-0008-0000-1900-000021000000}"/>
              </a:ext>
            </a:extLst>
          </xdr:cNvPr>
          <xdr:cNvSpPr/>
        </xdr:nvSpPr>
        <xdr:spPr>
          <a:xfrm>
            <a:off x="1885950"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AGRICULTURA</a:t>
            </a:r>
          </a:p>
        </xdr:txBody>
      </xdr:sp>
      <xdr:pic>
        <xdr:nvPicPr>
          <xdr:cNvPr id="8" name="Gráfico 7" descr="Cultivos con relleno sólido">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876550" y="4889509"/>
            <a:ext cx="1162050" cy="1171706"/>
          </a:xfrm>
          <a:prstGeom prst="rect">
            <a:avLst/>
          </a:prstGeom>
        </xdr:spPr>
      </xdr:pic>
    </xdr:grpSp>
    <xdr:clientData/>
  </xdr:twoCellAnchor>
  <xdr:twoCellAnchor>
    <xdr:from>
      <xdr:col>2</xdr:col>
      <xdr:colOff>190500</xdr:colOff>
      <xdr:row>15</xdr:row>
      <xdr:rowOff>64293</xdr:rowOff>
    </xdr:from>
    <xdr:to>
      <xdr:col>6</xdr:col>
      <xdr:colOff>285750</xdr:colOff>
      <xdr:row>24</xdr:row>
      <xdr:rowOff>35718</xdr:rowOff>
    </xdr:to>
    <xdr:grpSp>
      <xdr:nvGrpSpPr>
        <xdr:cNvPr id="38" name="Grupo 37">
          <a:hlinkClick xmlns:r="http://schemas.openxmlformats.org/officeDocument/2006/relationships" r:id="rId16"/>
          <a:extLst>
            <a:ext uri="{FF2B5EF4-FFF2-40B4-BE49-F238E27FC236}">
              <a16:creationId xmlns:a16="http://schemas.microsoft.com/office/drawing/2014/main" id="{00000000-0008-0000-1900-000026000000}"/>
            </a:ext>
          </a:extLst>
        </xdr:cNvPr>
        <xdr:cNvGrpSpPr/>
      </xdr:nvGrpSpPr>
      <xdr:grpSpPr>
        <a:xfrm>
          <a:off x="2083594" y="2921793"/>
          <a:ext cx="3143250" cy="1685925"/>
          <a:chOff x="1885950" y="2607468"/>
          <a:chExt cx="3143250" cy="1685925"/>
        </a:xfrm>
      </xdr:grpSpPr>
      <xdr:sp macro="" textlink="">
        <xdr:nvSpPr>
          <xdr:cNvPr id="30" name="Rectángulo 29">
            <a:extLst>
              <a:ext uri="{FF2B5EF4-FFF2-40B4-BE49-F238E27FC236}">
                <a16:creationId xmlns:a16="http://schemas.microsoft.com/office/drawing/2014/main" id="{00000000-0008-0000-1900-00001E000000}"/>
              </a:ext>
            </a:extLst>
          </xdr:cNvPr>
          <xdr:cNvSpPr/>
        </xdr:nvSpPr>
        <xdr:spPr>
          <a:xfrm>
            <a:off x="1885950"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RESIDUOS</a:t>
            </a:r>
          </a:p>
        </xdr:txBody>
      </xdr:sp>
      <xdr:pic>
        <xdr:nvPicPr>
          <xdr:cNvPr id="5" name="Gráfico 4" descr="Basura con relleno sólido">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962274" y="2789253"/>
            <a:ext cx="1019176" cy="971189"/>
          </a:xfrm>
          <a:prstGeom prst="rect">
            <a:avLst/>
          </a:prstGeom>
        </xdr:spPr>
      </xdr:pic>
    </xdr:grpSp>
    <xdr:clientData/>
  </xdr:twoCellAnchor>
  <xdr:twoCellAnchor>
    <xdr:from>
      <xdr:col>7</xdr:col>
      <xdr:colOff>161925</xdr:colOff>
      <xdr:row>15</xdr:row>
      <xdr:rowOff>64293</xdr:rowOff>
    </xdr:from>
    <xdr:to>
      <xdr:col>11</xdr:col>
      <xdr:colOff>257175</xdr:colOff>
      <xdr:row>24</xdr:row>
      <xdr:rowOff>35718</xdr:rowOff>
    </xdr:to>
    <xdr:grpSp>
      <xdr:nvGrpSpPr>
        <xdr:cNvPr id="41" name="Grupo 40">
          <a:hlinkClick xmlns:r="http://schemas.openxmlformats.org/officeDocument/2006/relationships" r:id="rId19"/>
          <a:extLst>
            <a:ext uri="{FF2B5EF4-FFF2-40B4-BE49-F238E27FC236}">
              <a16:creationId xmlns:a16="http://schemas.microsoft.com/office/drawing/2014/main" id="{00000000-0008-0000-1900-000029000000}"/>
            </a:ext>
          </a:extLst>
        </xdr:cNvPr>
        <xdr:cNvGrpSpPr/>
      </xdr:nvGrpSpPr>
      <xdr:grpSpPr>
        <a:xfrm>
          <a:off x="5865019" y="2921793"/>
          <a:ext cx="3143250" cy="1685925"/>
          <a:chOff x="5591175" y="2607468"/>
          <a:chExt cx="3143250" cy="1685925"/>
        </a:xfrm>
      </xdr:grpSpPr>
      <xdr:sp macro="" textlink="">
        <xdr:nvSpPr>
          <xdr:cNvPr id="31" name="Rectángulo 30">
            <a:extLst>
              <a:ext uri="{FF2B5EF4-FFF2-40B4-BE49-F238E27FC236}">
                <a16:creationId xmlns:a16="http://schemas.microsoft.com/office/drawing/2014/main" id="{00000000-0008-0000-1900-00001F000000}"/>
              </a:ext>
            </a:extLst>
          </xdr:cNvPr>
          <xdr:cNvSpPr/>
        </xdr:nvSpPr>
        <xdr:spPr>
          <a:xfrm>
            <a:off x="5591175"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EDIFICACIONES</a:t>
            </a:r>
          </a:p>
        </xdr:txBody>
      </xdr:sp>
      <xdr:pic>
        <xdr:nvPicPr>
          <xdr:cNvPr id="7" name="Gráfico 6" descr="Escena suburbana con relleno sólido">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6505575" y="2682457"/>
            <a:ext cx="1162050" cy="1152391"/>
          </a:xfrm>
          <a:prstGeom prst="rect">
            <a:avLst/>
          </a:prstGeom>
        </xdr:spPr>
      </xdr:pic>
    </xdr:grpSp>
    <xdr:clientData/>
  </xdr:twoCellAnchor>
  <xdr:twoCellAnchor>
    <xdr:from>
      <xdr:col>11</xdr:col>
      <xdr:colOff>742950</xdr:colOff>
      <xdr:row>15</xdr:row>
      <xdr:rowOff>26687</xdr:rowOff>
    </xdr:from>
    <xdr:to>
      <xdr:col>16</xdr:col>
      <xdr:colOff>76200</xdr:colOff>
      <xdr:row>24</xdr:row>
      <xdr:rowOff>73325</xdr:rowOff>
    </xdr:to>
    <xdr:grpSp>
      <xdr:nvGrpSpPr>
        <xdr:cNvPr id="44" name="Grupo 43">
          <a:hlinkClick xmlns:r="http://schemas.openxmlformats.org/officeDocument/2006/relationships" r:id="rId22"/>
          <a:extLst>
            <a:ext uri="{FF2B5EF4-FFF2-40B4-BE49-F238E27FC236}">
              <a16:creationId xmlns:a16="http://schemas.microsoft.com/office/drawing/2014/main" id="{00000000-0008-0000-1900-00002C000000}"/>
            </a:ext>
          </a:extLst>
        </xdr:cNvPr>
        <xdr:cNvGrpSpPr/>
      </xdr:nvGrpSpPr>
      <xdr:grpSpPr>
        <a:xfrm>
          <a:off x="9494044" y="2884187"/>
          <a:ext cx="3143250" cy="1761138"/>
          <a:chOff x="9296400" y="2532255"/>
          <a:chExt cx="3143250" cy="1761138"/>
        </a:xfrm>
      </xdr:grpSpPr>
      <xdr:sp macro="" textlink="">
        <xdr:nvSpPr>
          <xdr:cNvPr id="32" name="Rectángulo 31">
            <a:extLst>
              <a:ext uri="{FF2B5EF4-FFF2-40B4-BE49-F238E27FC236}">
                <a16:creationId xmlns:a16="http://schemas.microsoft.com/office/drawing/2014/main" id="{00000000-0008-0000-1900-000020000000}"/>
              </a:ext>
            </a:extLst>
          </xdr:cNvPr>
          <xdr:cNvSpPr/>
        </xdr:nvSpPr>
        <xdr:spPr>
          <a:xfrm>
            <a:off x="9296400"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TRANSPORTE</a:t>
            </a:r>
          </a:p>
        </xdr:txBody>
      </xdr:sp>
      <xdr:pic>
        <xdr:nvPicPr>
          <xdr:cNvPr id="6" name="Gráfico 5" descr="Coche eléctrico con relleno sólido">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163175" y="2532255"/>
            <a:ext cx="1304925" cy="1322058"/>
          </a:xfrm>
          <a:prstGeom prst="rect">
            <a:avLst/>
          </a:prstGeom>
        </xdr:spPr>
      </xdr:pic>
    </xdr:grpSp>
    <xdr:clientData/>
  </xdr:twoCellAnchor>
  <xdr:twoCellAnchor>
    <xdr:from>
      <xdr:col>7</xdr:col>
      <xdr:colOff>161925</xdr:colOff>
      <xdr:row>26</xdr:row>
      <xdr:rowOff>138112</xdr:rowOff>
    </xdr:from>
    <xdr:to>
      <xdr:col>11</xdr:col>
      <xdr:colOff>257175</xdr:colOff>
      <xdr:row>35</xdr:row>
      <xdr:rowOff>109537</xdr:rowOff>
    </xdr:to>
    <xdr:grpSp>
      <xdr:nvGrpSpPr>
        <xdr:cNvPr id="42" name="Grupo 41">
          <a:hlinkClick xmlns:r="http://schemas.openxmlformats.org/officeDocument/2006/relationships" r:id="rId25"/>
          <a:extLst>
            <a:ext uri="{FF2B5EF4-FFF2-40B4-BE49-F238E27FC236}">
              <a16:creationId xmlns:a16="http://schemas.microsoft.com/office/drawing/2014/main" id="{00000000-0008-0000-1900-00002A000000}"/>
            </a:ext>
          </a:extLst>
        </xdr:cNvPr>
        <xdr:cNvGrpSpPr/>
      </xdr:nvGrpSpPr>
      <xdr:grpSpPr>
        <a:xfrm>
          <a:off x="5865019" y="5091112"/>
          <a:ext cx="3143250" cy="1685925"/>
          <a:chOff x="5591175" y="4776787"/>
          <a:chExt cx="3143250" cy="1685925"/>
        </a:xfrm>
      </xdr:grpSpPr>
      <xdr:sp macro="" textlink="">
        <xdr:nvSpPr>
          <xdr:cNvPr id="35" name="Rectángulo 34">
            <a:extLst>
              <a:ext uri="{FF2B5EF4-FFF2-40B4-BE49-F238E27FC236}">
                <a16:creationId xmlns:a16="http://schemas.microsoft.com/office/drawing/2014/main" id="{00000000-0008-0000-1900-000023000000}"/>
              </a:ext>
            </a:extLst>
          </xdr:cNvPr>
          <xdr:cNvSpPr/>
        </xdr:nvSpPr>
        <xdr:spPr>
          <a:xfrm>
            <a:off x="5591175"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GANADERÍA</a:t>
            </a:r>
          </a:p>
        </xdr:txBody>
      </xdr:sp>
      <xdr:pic>
        <xdr:nvPicPr>
          <xdr:cNvPr id="9" name="Gráfico 8" descr="Vaca con relleno sólido">
            <a:extLst>
              <a:ext uri="{FF2B5EF4-FFF2-40B4-BE49-F238E27FC236}">
                <a16:creationId xmlns:a16="http://schemas.microsoft.com/office/drawing/2014/main" id="{00000000-0008-0000-1900-00000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6648450" y="4936921"/>
            <a:ext cx="1238250" cy="1234536"/>
          </a:xfrm>
          <a:prstGeom prst="rect">
            <a:avLst/>
          </a:prstGeom>
        </xdr:spPr>
      </xdr:pic>
    </xdr:grpSp>
    <xdr:clientData/>
  </xdr:twoCellAnchor>
  <xdr:twoCellAnchor>
    <xdr:from>
      <xdr:col>5</xdr:col>
      <xdr:colOff>381000</xdr:colOff>
      <xdr:row>0</xdr:row>
      <xdr:rowOff>47625</xdr:rowOff>
    </xdr:from>
    <xdr:to>
      <xdr:col>13</xdr:col>
      <xdr:colOff>66675</xdr:colOff>
      <xdr:row>3</xdr:row>
      <xdr:rowOff>38100</xdr:rowOff>
    </xdr:to>
    <xdr:sp macro="" textlink="">
      <xdr:nvSpPr>
        <xdr:cNvPr id="69" name="Rectángulo: esquinas redondeadas 68">
          <a:extLst>
            <a:ext uri="{FF2B5EF4-FFF2-40B4-BE49-F238E27FC236}">
              <a16:creationId xmlns:a16="http://schemas.microsoft.com/office/drawing/2014/main" id="{00000000-0008-0000-1900-000045000000}"/>
            </a:ext>
          </a:extLst>
        </xdr:cNvPr>
        <xdr:cNvSpPr/>
      </xdr:nvSpPr>
      <xdr:spPr>
        <a:xfrm>
          <a:off x="4400550" y="476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ESCENARIOS</a:t>
          </a:r>
        </a:p>
      </xdr:txBody>
    </xdr:sp>
    <xdr:clientData/>
  </xdr:twoCellAnchor>
  <xdr:twoCellAnchor>
    <xdr:from>
      <xdr:col>16</xdr:col>
      <xdr:colOff>238125</xdr:colOff>
      <xdr:row>12</xdr:row>
      <xdr:rowOff>85725</xdr:rowOff>
    </xdr:from>
    <xdr:to>
      <xdr:col>22</xdr:col>
      <xdr:colOff>104775</xdr:colOff>
      <xdr:row>17</xdr:row>
      <xdr:rowOff>47625</xdr:rowOff>
    </xdr:to>
    <xdr:grpSp>
      <xdr:nvGrpSpPr>
        <xdr:cNvPr id="13" name="Grupo 12">
          <a:hlinkClick xmlns:r="http://schemas.openxmlformats.org/officeDocument/2006/relationships" r:id="rId28"/>
          <a:extLst>
            <a:ext uri="{FF2B5EF4-FFF2-40B4-BE49-F238E27FC236}">
              <a16:creationId xmlns:a16="http://schemas.microsoft.com/office/drawing/2014/main" id="{00000000-0008-0000-1900-00000D000000}"/>
            </a:ext>
          </a:extLst>
        </xdr:cNvPr>
        <xdr:cNvGrpSpPr/>
      </xdr:nvGrpSpPr>
      <xdr:grpSpPr>
        <a:xfrm>
          <a:off x="12799219" y="2371725"/>
          <a:ext cx="4438650" cy="914400"/>
          <a:chOff x="12801600" y="3048000"/>
          <a:chExt cx="4438650" cy="914400"/>
        </a:xfrm>
      </xdr:grpSpPr>
      <xdr:sp macro="" textlink="">
        <xdr:nvSpPr>
          <xdr:cNvPr id="11" name="Rectángulo: esquinas redondeadas 10">
            <a:extLst>
              <a:ext uri="{FF2B5EF4-FFF2-40B4-BE49-F238E27FC236}">
                <a16:creationId xmlns:a16="http://schemas.microsoft.com/office/drawing/2014/main" id="{00000000-0008-0000-1900-00000B000000}"/>
              </a:ext>
            </a:extLst>
          </xdr:cNvPr>
          <xdr:cNvSpPr/>
        </xdr:nvSpPr>
        <xdr:spPr>
          <a:xfrm>
            <a:off x="12801600" y="3048000"/>
            <a:ext cx="4438650" cy="914400"/>
          </a:xfrm>
          <a:prstGeom prst="round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S" sz="1100">
              <a:solidFill>
                <a:schemeClr val="lt1"/>
              </a:solidFill>
              <a:latin typeface="+mn-lt"/>
              <a:ea typeface="+mn-ea"/>
              <a:cs typeface="+mn-cs"/>
            </a:endParaRPr>
          </a:p>
        </xdr:txBody>
      </xdr:sp>
      <xdr:grpSp>
        <xdr:nvGrpSpPr>
          <xdr:cNvPr id="115" name="Grupo 114">
            <a:hlinkClick xmlns:r="http://schemas.openxmlformats.org/officeDocument/2006/relationships" r:id="rId28"/>
            <a:extLst>
              <a:ext uri="{FF2B5EF4-FFF2-40B4-BE49-F238E27FC236}">
                <a16:creationId xmlns:a16="http://schemas.microsoft.com/office/drawing/2014/main" id="{00000000-0008-0000-1900-000073000000}"/>
              </a:ext>
            </a:extLst>
          </xdr:cNvPr>
          <xdr:cNvGrpSpPr/>
        </xdr:nvGrpSpPr>
        <xdr:grpSpPr>
          <a:xfrm>
            <a:off x="12992101" y="3190875"/>
            <a:ext cx="3924449" cy="590550"/>
            <a:chOff x="12753974" y="614682"/>
            <a:chExt cx="5264171" cy="2204633"/>
          </a:xfrm>
        </xdr:grpSpPr>
        <xdr:sp macro="" textlink="">
          <xdr:nvSpPr>
            <xdr:cNvPr id="116" name="Rectángulo 115">
              <a:extLst>
                <a:ext uri="{FF2B5EF4-FFF2-40B4-BE49-F238E27FC236}">
                  <a16:creationId xmlns:a16="http://schemas.microsoft.com/office/drawing/2014/main" id="{00000000-0008-0000-1900-000074000000}"/>
                </a:ext>
              </a:extLst>
            </xdr:cNvPr>
            <xdr:cNvSpPr/>
          </xdr:nvSpPr>
          <xdr:spPr>
            <a:xfrm>
              <a:off x="12753974" y="685799"/>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600" b="1">
                  <a:solidFill>
                    <a:schemeClr val="accent6">
                      <a:lumMod val="60000"/>
                      <a:lumOff val="40000"/>
                    </a:schemeClr>
                  </a:solidFill>
                </a:rPr>
                <a:t>DATOS</a:t>
              </a:r>
              <a:r>
                <a:rPr lang="es-ES" sz="1600" b="1" baseline="0">
                  <a:solidFill>
                    <a:schemeClr val="accent6">
                      <a:lumMod val="60000"/>
                      <a:lumOff val="40000"/>
                    </a:schemeClr>
                  </a:solidFill>
                </a:rPr>
                <a:t> Y SUPUESTOS GENERALES</a:t>
              </a:r>
              <a:endParaRPr lang="es-ES" sz="1600" b="1">
                <a:solidFill>
                  <a:schemeClr val="accent6">
                    <a:lumMod val="60000"/>
                    <a:lumOff val="40000"/>
                  </a:schemeClr>
                </a:solidFill>
              </a:endParaRPr>
            </a:p>
          </xdr:txBody>
        </xdr:sp>
        <xdr:pic>
          <xdr:nvPicPr>
            <xdr:cNvPr id="117" name="Gráfico 116" descr="Círculos con flechas con relleno sólido">
              <a:extLst>
                <a:ext uri="{FF2B5EF4-FFF2-40B4-BE49-F238E27FC236}">
                  <a16:creationId xmlns:a16="http://schemas.microsoft.com/office/drawing/2014/main" id="{00000000-0008-0000-1900-000075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7155376" y="614682"/>
              <a:ext cx="862769" cy="2204633"/>
            </a:xfrm>
            <a:prstGeom prst="rect">
              <a:avLst/>
            </a:prstGeom>
          </xdr:spPr>
        </xdr:pic>
      </xdr:grpSp>
    </xdr:grpSp>
    <xdr:clientData/>
  </xdr:twoCellAnchor>
  <xdr:twoCellAnchor>
    <xdr:from>
      <xdr:col>0</xdr:col>
      <xdr:colOff>0</xdr:colOff>
      <xdr:row>0</xdr:row>
      <xdr:rowOff>0</xdr:rowOff>
    </xdr:from>
    <xdr:to>
      <xdr:col>1</xdr:col>
      <xdr:colOff>0</xdr:colOff>
      <xdr:row>1</xdr:row>
      <xdr:rowOff>137514</xdr:rowOff>
    </xdr:to>
    <xdr:grpSp>
      <xdr:nvGrpSpPr>
        <xdr:cNvPr id="118" name="Grupo 117">
          <a:hlinkClick xmlns:r="http://schemas.openxmlformats.org/officeDocument/2006/relationships" r:id="rId31"/>
          <a:extLst>
            <a:ext uri="{FF2B5EF4-FFF2-40B4-BE49-F238E27FC236}">
              <a16:creationId xmlns:a16="http://schemas.microsoft.com/office/drawing/2014/main" id="{00000000-0008-0000-1900-000076000000}"/>
            </a:ext>
          </a:extLst>
        </xdr:cNvPr>
        <xdr:cNvGrpSpPr/>
      </xdr:nvGrpSpPr>
      <xdr:grpSpPr>
        <a:xfrm>
          <a:off x="0" y="0"/>
          <a:ext cx="1381125" cy="328014"/>
          <a:chOff x="91104" y="65606"/>
          <a:chExt cx="1192701" cy="328014"/>
        </a:xfrm>
      </xdr:grpSpPr>
      <xdr:sp macro="" textlink="">
        <xdr:nvSpPr>
          <xdr:cNvPr id="119" name="Rectángulo 118">
            <a:extLst>
              <a:ext uri="{FF2B5EF4-FFF2-40B4-BE49-F238E27FC236}">
                <a16:creationId xmlns:a16="http://schemas.microsoft.com/office/drawing/2014/main" id="{00000000-0008-0000-1900-00007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0" name="Gráfico 119" descr="Hogar con relleno sólido">
            <a:extLst>
              <a:ext uri="{FF2B5EF4-FFF2-40B4-BE49-F238E27FC236}">
                <a16:creationId xmlns:a16="http://schemas.microsoft.com/office/drawing/2014/main" id="{00000000-0008-0000-1900-000078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1" name="Grupo 120">
          <a:hlinkClick xmlns:r="http://schemas.openxmlformats.org/officeDocument/2006/relationships" r:id="rId34"/>
          <a:extLst>
            <a:ext uri="{FF2B5EF4-FFF2-40B4-BE49-F238E27FC236}">
              <a16:creationId xmlns:a16="http://schemas.microsoft.com/office/drawing/2014/main" id="{00000000-0008-0000-1900-000079000000}"/>
            </a:ext>
          </a:extLst>
        </xdr:cNvPr>
        <xdr:cNvGrpSpPr/>
      </xdr:nvGrpSpPr>
      <xdr:grpSpPr>
        <a:xfrm>
          <a:off x="0" y="4710117"/>
          <a:ext cx="1295400" cy="638178"/>
          <a:chOff x="0" y="3671892"/>
          <a:chExt cx="1295400" cy="638178"/>
        </a:xfrm>
      </xdr:grpSpPr>
      <xdr:sp macro="" textlink="">
        <xdr:nvSpPr>
          <xdr:cNvPr id="122" name="Rectángulo: esquinas superiores redondeadas 121">
            <a:extLst>
              <a:ext uri="{FF2B5EF4-FFF2-40B4-BE49-F238E27FC236}">
                <a16:creationId xmlns:a16="http://schemas.microsoft.com/office/drawing/2014/main" id="{00000000-0008-0000-1900-00007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23" name="Gráfico 122" descr="Información con relleno sólido">
            <a:extLst>
              <a:ext uri="{FF2B5EF4-FFF2-40B4-BE49-F238E27FC236}">
                <a16:creationId xmlns:a16="http://schemas.microsoft.com/office/drawing/2014/main" id="{00000000-0008-0000-1900-00007B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24" name="Grupo 123">
          <a:hlinkClick xmlns:r="http://schemas.openxmlformats.org/officeDocument/2006/relationships" r:id="rId37"/>
          <a:extLst>
            <a:ext uri="{FF2B5EF4-FFF2-40B4-BE49-F238E27FC236}">
              <a16:creationId xmlns:a16="http://schemas.microsoft.com/office/drawing/2014/main" id="{00000000-0008-0000-1900-00007C000000}"/>
            </a:ext>
          </a:extLst>
        </xdr:cNvPr>
        <xdr:cNvGrpSpPr/>
      </xdr:nvGrpSpPr>
      <xdr:grpSpPr>
        <a:xfrm>
          <a:off x="0" y="3760792"/>
          <a:ext cx="1304926" cy="638178"/>
          <a:chOff x="0" y="2767017"/>
          <a:chExt cx="1304926" cy="638178"/>
        </a:xfrm>
      </xdr:grpSpPr>
      <xdr:sp macro="" textlink="">
        <xdr:nvSpPr>
          <xdr:cNvPr id="125" name="Rectángulo: esquinas superiores redondeadas 124">
            <a:extLst>
              <a:ext uri="{FF2B5EF4-FFF2-40B4-BE49-F238E27FC236}">
                <a16:creationId xmlns:a16="http://schemas.microsoft.com/office/drawing/2014/main" id="{00000000-0008-0000-1900-00007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26" name="Gráfico 125" descr="Gráfico de barras con relleno sólido">
            <a:extLst>
              <a:ext uri="{FF2B5EF4-FFF2-40B4-BE49-F238E27FC236}">
                <a16:creationId xmlns:a16="http://schemas.microsoft.com/office/drawing/2014/main" id="{00000000-0008-0000-1900-00007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27" name="Grupo 126">
          <a:hlinkClick xmlns:r="http://schemas.openxmlformats.org/officeDocument/2006/relationships" r:id="rId40"/>
          <a:extLst>
            <a:ext uri="{FF2B5EF4-FFF2-40B4-BE49-F238E27FC236}">
              <a16:creationId xmlns:a16="http://schemas.microsoft.com/office/drawing/2014/main" id="{00000000-0008-0000-1900-00007F000000}"/>
            </a:ext>
          </a:extLst>
        </xdr:cNvPr>
        <xdr:cNvGrpSpPr/>
      </xdr:nvGrpSpPr>
      <xdr:grpSpPr>
        <a:xfrm>
          <a:off x="0" y="2811467"/>
          <a:ext cx="1323975" cy="638178"/>
          <a:chOff x="0" y="1862142"/>
          <a:chExt cx="1323975" cy="638178"/>
        </a:xfrm>
      </xdr:grpSpPr>
      <xdr:sp macro="" textlink="">
        <xdr:nvSpPr>
          <xdr:cNvPr id="128" name="Rectángulo: esquinas superiores redondeadas 127">
            <a:extLst>
              <a:ext uri="{FF2B5EF4-FFF2-40B4-BE49-F238E27FC236}">
                <a16:creationId xmlns:a16="http://schemas.microsoft.com/office/drawing/2014/main" id="{00000000-0008-0000-1900-000080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29" name="Gráfico 128" descr="Alternar con relleno sólido">
            <a:extLst>
              <a:ext uri="{FF2B5EF4-FFF2-40B4-BE49-F238E27FC236}">
                <a16:creationId xmlns:a16="http://schemas.microsoft.com/office/drawing/2014/main" id="{00000000-0008-0000-1900-000081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30" name="Grupo 129">
          <a:hlinkClick xmlns:r="http://schemas.openxmlformats.org/officeDocument/2006/relationships" r:id="rId43"/>
          <a:extLst>
            <a:ext uri="{FF2B5EF4-FFF2-40B4-BE49-F238E27FC236}">
              <a16:creationId xmlns:a16="http://schemas.microsoft.com/office/drawing/2014/main" id="{00000000-0008-0000-1900-000082000000}"/>
            </a:ext>
          </a:extLst>
        </xdr:cNvPr>
        <xdr:cNvGrpSpPr/>
      </xdr:nvGrpSpPr>
      <xdr:grpSpPr>
        <a:xfrm>
          <a:off x="0" y="1862142"/>
          <a:ext cx="1295400" cy="638178"/>
          <a:chOff x="0" y="1862142"/>
          <a:chExt cx="1295400" cy="638178"/>
        </a:xfrm>
      </xdr:grpSpPr>
      <xdr:sp macro="" textlink="">
        <xdr:nvSpPr>
          <xdr:cNvPr id="131" name="Rectángulo: esquinas superiores redondeadas 130">
            <a:extLst>
              <a:ext uri="{FF2B5EF4-FFF2-40B4-BE49-F238E27FC236}">
                <a16:creationId xmlns:a16="http://schemas.microsoft.com/office/drawing/2014/main" id="{00000000-0008-0000-1900-00008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32" name="Gráfico 131" descr="Lista con relleno sólido">
            <a:extLst>
              <a:ext uri="{FF2B5EF4-FFF2-40B4-BE49-F238E27FC236}">
                <a16:creationId xmlns:a16="http://schemas.microsoft.com/office/drawing/2014/main" id="{00000000-0008-0000-1900-000084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8" name="Grupo 47">
          <a:hlinkClick xmlns:r="http://schemas.openxmlformats.org/officeDocument/2006/relationships" r:id="rId46"/>
          <a:extLst>
            <a:ext uri="{FF2B5EF4-FFF2-40B4-BE49-F238E27FC236}">
              <a16:creationId xmlns:a16="http://schemas.microsoft.com/office/drawing/2014/main" id="{00000000-0008-0000-1900-000030000000}"/>
            </a:ext>
          </a:extLst>
        </xdr:cNvPr>
        <xdr:cNvGrpSpPr/>
      </xdr:nvGrpSpPr>
      <xdr:grpSpPr>
        <a:xfrm>
          <a:off x="0" y="6477000"/>
          <a:ext cx="1240383" cy="416889"/>
          <a:chOff x="28575" y="6381750"/>
          <a:chExt cx="1240383" cy="416889"/>
        </a:xfrm>
      </xdr:grpSpPr>
      <xdr:pic>
        <xdr:nvPicPr>
          <xdr:cNvPr id="49" name="Gráfico 48" descr="Engranaje único con relleno sólido">
            <a:extLst>
              <a:ext uri="{FF2B5EF4-FFF2-40B4-BE49-F238E27FC236}">
                <a16:creationId xmlns:a16="http://schemas.microsoft.com/office/drawing/2014/main" id="{00000000-0008-0000-1900-000031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575" y="6381750"/>
            <a:ext cx="409575" cy="416889"/>
          </a:xfrm>
          <a:prstGeom prst="rect">
            <a:avLst/>
          </a:prstGeom>
        </xdr:spPr>
      </xdr:pic>
      <xdr:sp macro="" textlink="">
        <xdr:nvSpPr>
          <xdr:cNvPr id="50" name="CuadroTexto 49">
            <a:extLst>
              <a:ext uri="{FF2B5EF4-FFF2-40B4-BE49-F238E27FC236}">
                <a16:creationId xmlns:a16="http://schemas.microsoft.com/office/drawing/2014/main" id="{00000000-0008-0000-1900-00003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16</xdr:col>
      <xdr:colOff>238125</xdr:colOff>
      <xdr:row>18</xdr:row>
      <xdr:rowOff>114300</xdr:rowOff>
    </xdr:from>
    <xdr:to>
      <xdr:col>22</xdr:col>
      <xdr:colOff>104775</xdr:colOff>
      <xdr:row>23</xdr:row>
      <xdr:rowOff>76200</xdr:rowOff>
    </xdr:to>
    <xdr:grpSp>
      <xdr:nvGrpSpPr>
        <xdr:cNvPr id="14" name="Grupo 13">
          <a:hlinkClick xmlns:r="http://schemas.openxmlformats.org/officeDocument/2006/relationships" r:id="rId49"/>
          <a:extLst>
            <a:ext uri="{FF2B5EF4-FFF2-40B4-BE49-F238E27FC236}">
              <a16:creationId xmlns:a16="http://schemas.microsoft.com/office/drawing/2014/main" id="{00000000-0008-0000-1900-00000E000000}"/>
            </a:ext>
          </a:extLst>
        </xdr:cNvPr>
        <xdr:cNvGrpSpPr/>
      </xdr:nvGrpSpPr>
      <xdr:grpSpPr>
        <a:xfrm>
          <a:off x="12799219" y="3543300"/>
          <a:ext cx="4438650" cy="914400"/>
          <a:chOff x="12801600" y="4219575"/>
          <a:chExt cx="4438650" cy="914400"/>
        </a:xfrm>
      </xdr:grpSpPr>
      <xdr:sp macro="" textlink="">
        <xdr:nvSpPr>
          <xdr:cNvPr id="12" name="Rectángulo: esquinas redondeadas 11">
            <a:extLst>
              <a:ext uri="{FF2B5EF4-FFF2-40B4-BE49-F238E27FC236}">
                <a16:creationId xmlns:a16="http://schemas.microsoft.com/office/drawing/2014/main" id="{00000000-0008-0000-1900-00000C000000}"/>
              </a:ext>
            </a:extLst>
          </xdr:cNvPr>
          <xdr:cNvSpPr/>
        </xdr:nvSpPr>
        <xdr:spPr>
          <a:xfrm>
            <a:off x="12801600" y="4219575"/>
            <a:ext cx="4438650" cy="914400"/>
          </a:xfrm>
          <a:prstGeom prst="round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nvGrpSpPr>
          <xdr:cNvPr id="22" name="Grupo 21">
            <a:hlinkClick xmlns:r="http://schemas.openxmlformats.org/officeDocument/2006/relationships" r:id="rId49"/>
            <a:extLst>
              <a:ext uri="{FF2B5EF4-FFF2-40B4-BE49-F238E27FC236}">
                <a16:creationId xmlns:a16="http://schemas.microsoft.com/office/drawing/2014/main" id="{00000000-0008-0000-1900-000016000000}"/>
              </a:ext>
            </a:extLst>
          </xdr:cNvPr>
          <xdr:cNvGrpSpPr/>
        </xdr:nvGrpSpPr>
        <xdr:grpSpPr>
          <a:xfrm>
            <a:off x="12992101" y="4314826"/>
            <a:ext cx="3955556" cy="723900"/>
            <a:chOff x="12992101" y="4314826"/>
            <a:chExt cx="3955556" cy="723900"/>
          </a:xfrm>
        </xdr:grpSpPr>
        <xdr:sp macro="" textlink="">
          <xdr:nvSpPr>
            <xdr:cNvPr id="3" name="CuadroTexto 13">
              <a:extLst>
                <a:ext uri="{FF2B5EF4-FFF2-40B4-BE49-F238E27FC236}">
                  <a16:creationId xmlns:a16="http://schemas.microsoft.com/office/drawing/2014/main" id="{00000000-0008-0000-1900-000003000000}"/>
                </a:ext>
              </a:extLst>
            </xdr:cNvPr>
            <xdr:cNvSpPr txBox="1"/>
          </xdr:nvSpPr>
          <xdr:spPr>
            <a:xfrm>
              <a:off x="12992101" y="4524375"/>
              <a:ext cx="3560622" cy="342786"/>
            </a:xfrm>
            <a:prstGeom prst="rect">
              <a:avLst/>
            </a:prstGeom>
            <a:noFill/>
          </xdr:spPr>
          <xdr:txBody>
            <a:bodyPr wrap="square" rtlCol="0">
              <a:spAutoFit/>
            </a:bodyPr>
            <a:lstStyle>
              <a:defPPr>
                <a:defRPr lang="es-E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600" b="1">
                  <a:solidFill>
                    <a:schemeClr val="accent6">
                      <a:lumMod val="60000"/>
                      <a:lumOff val="40000"/>
                    </a:schemeClr>
                  </a:solidFill>
                </a:rPr>
                <a:t>FACTORES DE EMISIÓN</a:t>
              </a:r>
            </a:p>
          </xdr:txBody>
        </xdr:sp>
        <xdr:pic>
          <xdr:nvPicPr>
            <xdr:cNvPr id="21" name="Imagen 20">
              <a:extLst>
                <a:ext uri="{FF2B5EF4-FFF2-40B4-BE49-F238E27FC236}">
                  <a16:creationId xmlns:a16="http://schemas.microsoft.com/office/drawing/2014/main" id="{00000000-0008-0000-1900-000015000000}"/>
                </a:ext>
              </a:extLst>
            </xdr:cNvPr>
            <xdr:cNvPicPr>
              <a:picLocks noChangeAspect="1"/>
            </xdr:cNvPicPr>
          </xdr:nvPicPr>
          <xdr:blipFill>
            <a:blip xmlns:r="http://schemas.openxmlformats.org/officeDocument/2006/relationships" r:embed="rId50"/>
            <a:stretch>
              <a:fillRect/>
            </a:stretch>
          </xdr:blipFill>
          <xdr:spPr>
            <a:xfrm>
              <a:off x="16097250" y="4314826"/>
              <a:ext cx="850407" cy="723900"/>
            </a:xfrm>
            <a:prstGeom prst="rect">
              <a:avLst/>
            </a:prstGeom>
          </xdr:spPr>
        </xdr:pic>
      </xdr:grpSp>
    </xdr:grpSp>
    <xdr:clientData/>
  </xdr:twoCellAnchor>
  <xdr:twoCellAnchor>
    <xdr:from>
      <xdr:col>16</xdr:col>
      <xdr:colOff>228600</xdr:colOff>
      <xdr:row>25</xdr:row>
      <xdr:rowOff>19050</xdr:rowOff>
    </xdr:from>
    <xdr:to>
      <xdr:col>22</xdr:col>
      <xdr:colOff>95250</xdr:colOff>
      <xdr:row>29</xdr:row>
      <xdr:rowOff>171450</xdr:rowOff>
    </xdr:to>
    <xdr:grpSp>
      <xdr:nvGrpSpPr>
        <xdr:cNvPr id="26" name="Grupo 25">
          <a:hlinkClick xmlns:r="http://schemas.openxmlformats.org/officeDocument/2006/relationships" r:id="rId51"/>
          <a:extLst>
            <a:ext uri="{FF2B5EF4-FFF2-40B4-BE49-F238E27FC236}">
              <a16:creationId xmlns:a16="http://schemas.microsoft.com/office/drawing/2014/main" id="{00000000-0008-0000-1900-00001A000000}"/>
            </a:ext>
          </a:extLst>
        </xdr:cNvPr>
        <xdr:cNvGrpSpPr/>
      </xdr:nvGrpSpPr>
      <xdr:grpSpPr>
        <a:xfrm>
          <a:off x="12789694" y="4781550"/>
          <a:ext cx="4438650" cy="914400"/>
          <a:chOff x="12792075" y="4781550"/>
          <a:chExt cx="4438650" cy="914400"/>
        </a:xfrm>
      </xdr:grpSpPr>
      <xdr:sp macro="" textlink="">
        <xdr:nvSpPr>
          <xdr:cNvPr id="16" name="Rectángulo: esquinas redondeadas 15">
            <a:extLst>
              <a:ext uri="{FF2B5EF4-FFF2-40B4-BE49-F238E27FC236}">
                <a16:creationId xmlns:a16="http://schemas.microsoft.com/office/drawing/2014/main" id="{00000000-0008-0000-1900-000010000000}"/>
              </a:ext>
            </a:extLst>
          </xdr:cNvPr>
          <xdr:cNvSpPr/>
        </xdr:nvSpPr>
        <xdr:spPr>
          <a:xfrm>
            <a:off x="12792075" y="4781550"/>
            <a:ext cx="4438650" cy="914400"/>
          </a:xfrm>
          <a:prstGeom prst="roundRect">
            <a:avLst/>
          </a:prstGeom>
          <a:solidFill>
            <a:schemeClr val="accent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0" name="CuadroTexto 13">
            <a:extLst>
              <a:ext uri="{FF2B5EF4-FFF2-40B4-BE49-F238E27FC236}">
                <a16:creationId xmlns:a16="http://schemas.microsoft.com/office/drawing/2014/main" id="{00000000-0008-0000-1900-000014000000}"/>
              </a:ext>
            </a:extLst>
          </xdr:cNvPr>
          <xdr:cNvSpPr txBox="1"/>
        </xdr:nvSpPr>
        <xdr:spPr>
          <a:xfrm>
            <a:off x="13096875" y="5067300"/>
            <a:ext cx="3560622" cy="342786"/>
          </a:xfrm>
          <a:prstGeom prst="rect">
            <a:avLst/>
          </a:prstGeom>
          <a:noFill/>
        </xdr:spPr>
        <xdr:txBody>
          <a:bodyPr wrap="square" rtlCol="0">
            <a:noAutofit/>
          </a:bodyPr>
          <a:lstStyle>
            <a:defPPr>
              <a:defRPr lang="es-E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600" b="1">
                <a:solidFill>
                  <a:schemeClr val="accent2"/>
                </a:solidFill>
              </a:rPr>
              <a:t>FUENTES</a:t>
            </a:r>
            <a:r>
              <a:rPr lang="es-ES" sz="1600" b="1" baseline="0">
                <a:solidFill>
                  <a:schemeClr val="accent2"/>
                </a:solidFill>
              </a:rPr>
              <a:t> </a:t>
            </a:r>
            <a:endParaRPr lang="es-ES" sz="1600" b="1">
              <a:solidFill>
                <a:schemeClr val="accent2"/>
              </a:solidFill>
            </a:endParaRPr>
          </a:p>
        </xdr:txBody>
      </xdr:sp>
      <xdr:pic>
        <xdr:nvPicPr>
          <xdr:cNvPr id="24" name="Gráfico 23" descr="Narración con relleno sólido">
            <a:extLst>
              <a:ext uri="{FF2B5EF4-FFF2-40B4-BE49-F238E27FC236}">
                <a16:creationId xmlns:a16="http://schemas.microsoft.com/office/drawing/2014/main" id="{00000000-0008-0000-1900-000018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 uri="{96DAC541-7B7A-43D3-8B79-37D633B846F1}">
                <asvg:svgBlip xmlns:asvg="http://schemas.microsoft.com/office/drawing/2016/SVG/main" r:embed="rId53"/>
              </a:ext>
            </a:extLst>
          </a:blip>
          <a:stretch>
            <a:fillRect/>
          </a:stretch>
        </xdr:blipFill>
        <xdr:spPr>
          <a:xfrm>
            <a:off x="16259176" y="4857751"/>
            <a:ext cx="685800" cy="685800"/>
          </a:xfrm>
          <a:prstGeom prst="rect">
            <a:avLst/>
          </a:prstGeom>
        </xdr:spPr>
      </xdr:pic>
    </xdr:grpSp>
    <xdr:clientData/>
  </xdr:twoCellAnchor>
</xdr:wsDr>
</file>

<file path=xl/drawings/drawing31.xml><?xml version="1.0" encoding="utf-8"?>
<xdr:wsDr xmlns:xdr="http://schemas.openxmlformats.org/drawingml/2006/spreadsheetDrawing" xmlns:a="http://schemas.openxmlformats.org/drawingml/2006/main">
  <xdr:twoCellAnchor>
    <xdr:from>
      <xdr:col>5</xdr:col>
      <xdr:colOff>590550</xdr:colOff>
      <xdr:row>0</xdr:row>
      <xdr:rowOff>114300</xdr:rowOff>
    </xdr:from>
    <xdr:to>
      <xdr:col>13</xdr:col>
      <xdr:colOff>276225</xdr:colOff>
      <xdr:row>3</xdr:row>
      <xdr:rowOff>104775</xdr:rowOff>
    </xdr:to>
    <xdr:sp macro="" textlink="">
      <xdr:nvSpPr>
        <xdr:cNvPr id="64" name="Rectángulo: esquinas redondeadas 63">
          <a:extLst>
            <a:ext uri="{FF2B5EF4-FFF2-40B4-BE49-F238E27FC236}">
              <a16:creationId xmlns:a16="http://schemas.microsoft.com/office/drawing/2014/main" id="{00000000-0008-0000-1A00-000040000000}"/>
            </a:ext>
          </a:extLst>
        </xdr:cNvPr>
        <xdr:cNvSpPr/>
      </xdr:nvSpPr>
      <xdr:spPr>
        <a:xfrm>
          <a:off x="4772025" y="1143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DATOS</a:t>
          </a:r>
          <a:r>
            <a:rPr lang="es-ES" sz="2800" b="1" baseline="0"/>
            <a:t>  Y SUPUESTOS GENERALES</a:t>
          </a:r>
          <a:endParaRPr lang="es-ES" sz="2800" b="1"/>
        </a:p>
      </xdr:txBody>
    </xdr:sp>
    <xdr:clientData/>
  </xdr:twoCellAnchor>
  <xdr:twoCellAnchor>
    <xdr:from>
      <xdr:col>1</xdr:col>
      <xdr:colOff>350025</xdr:colOff>
      <xdr:row>11</xdr:row>
      <xdr:rowOff>76200</xdr:rowOff>
    </xdr:from>
    <xdr:to>
      <xdr:col>5</xdr:col>
      <xdr:colOff>133350</xdr:colOff>
      <xdr:row>22</xdr:row>
      <xdr:rowOff>83325</xdr:rowOff>
    </xdr:to>
    <xdr:grpSp>
      <xdr:nvGrpSpPr>
        <xdr:cNvPr id="77" name="Grupo 76">
          <a:hlinkClick xmlns:r="http://schemas.openxmlformats.org/officeDocument/2006/relationships" r:id="rId1"/>
          <a:extLst>
            <a:ext uri="{FF2B5EF4-FFF2-40B4-BE49-F238E27FC236}">
              <a16:creationId xmlns:a16="http://schemas.microsoft.com/office/drawing/2014/main" id="{00000000-0008-0000-1A00-00004D000000}"/>
            </a:ext>
          </a:extLst>
        </xdr:cNvPr>
        <xdr:cNvGrpSpPr/>
      </xdr:nvGrpSpPr>
      <xdr:grpSpPr>
        <a:xfrm>
          <a:off x="1731150" y="2171700"/>
          <a:ext cx="2581294" cy="2102625"/>
          <a:chOff x="1588275" y="2171700"/>
          <a:chExt cx="2583675" cy="2102625"/>
        </a:xfrm>
      </xdr:grpSpPr>
      <xdr:sp macro="" textlink="">
        <xdr:nvSpPr>
          <xdr:cNvPr id="76" name="Rectángulo 75">
            <a:extLst>
              <a:ext uri="{FF2B5EF4-FFF2-40B4-BE49-F238E27FC236}">
                <a16:creationId xmlns:a16="http://schemas.microsoft.com/office/drawing/2014/main" id="{00000000-0008-0000-1A00-00004C000000}"/>
              </a:ext>
            </a:extLst>
          </xdr:cNvPr>
          <xdr:cNvSpPr/>
        </xdr:nvSpPr>
        <xdr:spPr>
          <a:xfrm>
            <a:off x="1588275" y="2171700"/>
            <a:ext cx="2583675"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CONVERSIONES</a:t>
            </a:r>
          </a:p>
        </xdr:txBody>
      </xdr:sp>
      <xdr:pic>
        <xdr:nvPicPr>
          <xdr:cNvPr id="66" name="Gráfico 65" descr="Repetir con relleno sólido">
            <a:extLst>
              <a:ext uri="{FF2B5EF4-FFF2-40B4-BE49-F238E27FC236}">
                <a16:creationId xmlns:a16="http://schemas.microsoft.com/office/drawing/2014/main" id="{00000000-0008-0000-1A00-00004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066924" y="2286000"/>
            <a:ext cx="1647825" cy="1647825"/>
          </a:xfrm>
          <a:prstGeom prst="rect">
            <a:avLst/>
          </a:prstGeom>
        </xdr:spPr>
      </xdr:pic>
    </xdr:grpSp>
    <xdr:clientData/>
  </xdr:twoCellAnchor>
  <xdr:twoCellAnchor>
    <xdr:from>
      <xdr:col>6</xdr:col>
      <xdr:colOff>64275</xdr:colOff>
      <xdr:row>11</xdr:row>
      <xdr:rowOff>76200</xdr:rowOff>
    </xdr:from>
    <xdr:to>
      <xdr:col>9</xdr:col>
      <xdr:colOff>361950</xdr:colOff>
      <xdr:row>22</xdr:row>
      <xdr:rowOff>83325</xdr:rowOff>
    </xdr:to>
    <xdr:grpSp>
      <xdr:nvGrpSpPr>
        <xdr:cNvPr id="81" name="Grupo 80">
          <a:hlinkClick xmlns:r="http://schemas.openxmlformats.org/officeDocument/2006/relationships" r:id="rId4"/>
          <a:extLst>
            <a:ext uri="{FF2B5EF4-FFF2-40B4-BE49-F238E27FC236}">
              <a16:creationId xmlns:a16="http://schemas.microsoft.com/office/drawing/2014/main" id="{00000000-0008-0000-1A00-000051000000}"/>
            </a:ext>
          </a:extLst>
        </xdr:cNvPr>
        <xdr:cNvGrpSpPr/>
      </xdr:nvGrpSpPr>
      <xdr:grpSpPr>
        <a:xfrm>
          <a:off x="5005369" y="2171700"/>
          <a:ext cx="2583675" cy="2102625"/>
          <a:chOff x="7303275" y="2143125"/>
          <a:chExt cx="2583675" cy="2102625"/>
        </a:xfrm>
      </xdr:grpSpPr>
      <xdr:sp macro="" textlink="">
        <xdr:nvSpPr>
          <xdr:cNvPr id="79" name="Rectángulo 78">
            <a:extLst>
              <a:ext uri="{FF2B5EF4-FFF2-40B4-BE49-F238E27FC236}">
                <a16:creationId xmlns:a16="http://schemas.microsoft.com/office/drawing/2014/main" id="{00000000-0008-0000-1A00-00004F000000}"/>
              </a:ext>
            </a:extLst>
          </xdr:cNvPr>
          <xdr:cNvSpPr/>
        </xdr:nvSpPr>
        <xdr:spPr>
          <a:xfrm>
            <a:off x="7303275" y="2143125"/>
            <a:ext cx="2583675"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CONSTANTES</a:t>
            </a:r>
          </a:p>
        </xdr:txBody>
      </xdr:sp>
      <xdr:pic>
        <xdr:nvPicPr>
          <xdr:cNvPr id="70" name="Gráfico 69" descr="Icono de menú de hamburguesa con relleno sólido">
            <a:extLst>
              <a:ext uri="{FF2B5EF4-FFF2-40B4-BE49-F238E27FC236}">
                <a16:creationId xmlns:a16="http://schemas.microsoft.com/office/drawing/2014/main" id="{00000000-0008-0000-1A00-00004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41425" y="2147850"/>
            <a:ext cx="1735950" cy="1735950"/>
          </a:xfrm>
          <a:prstGeom prst="rect">
            <a:avLst/>
          </a:prstGeom>
        </xdr:spPr>
      </xdr:pic>
    </xdr:grpSp>
    <xdr:clientData/>
  </xdr:twoCellAnchor>
  <xdr:twoCellAnchor>
    <xdr:from>
      <xdr:col>10</xdr:col>
      <xdr:colOff>292875</xdr:colOff>
      <xdr:row>11</xdr:row>
      <xdr:rowOff>76200</xdr:rowOff>
    </xdr:from>
    <xdr:to>
      <xdr:col>15</xdr:col>
      <xdr:colOff>561975</xdr:colOff>
      <xdr:row>22</xdr:row>
      <xdr:rowOff>92851</xdr:rowOff>
    </xdr:to>
    <xdr:grpSp>
      <xdr:nvGrpSpPr>
        <xdr:cNvPr id="85" name="Grupo 84">
          <a:hlinkClick xmlns:r="http://schemas.openxmlformats.org/officeDocument/2006/relationships" r:id="rId7"/>
          <a:extLst>
            <a:ext uri="{FF2B5EF4-FFF2-40B4-BE49-F238E27FC236}">
              <a16:creationId xmlns:a16="http://schemas.microsoft.com/office/drawing/2014/main" id="{00000000-0008-0000-1A00-000055000000}"/>
            </a:ext>
          </a:extLst>
        </xdr:cNvPr>
        <xdr:cNvGrpSpPr/>
      </xdr:nvGrpSpPr>
      <xdr:grpSpPr>
        <a:xfrm>
          <a:off x="8281969" y="2171700"/>
          <a:ext cx="4079100" cy="2112151"/>
          <a:chOff x="11065650" y="2009774"/>
          <a:chExt cx="4079100" cy="2112151"/>
        </a:xfrm>
      </xdr:grpSpPr>
      <xdr:sp macro="" textlink="">
        <xdr:nvSpPr>
          <xdr:cNvPr id="83" name="Rectángulo 82">
            <a:extLst>
              <a:ext uri="{FF2B5EF4-FFF2-40B4-BE49-F238E27FC236}">
                <a16:creationId xmlns:a16="http://schemas.microsoft.com/office/drawing/2014/main" id="{00000000-0008-0000-1A00-000053000000}"/>
              </a:ext>
            </a:extLst>
          </xdr:cNvPr>
          <xdr:cNvSpPr/>
        </xdr:nvSpPr>
        <xdr:spPr>
          <a:xfrm>
            <a:off x="11065650" y="2019300"/>
            <a:ext cx="4079100"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SUPUESTOS</a:t>
            </a:r>
            <a:r>
              <a:rPr lang="es-ES" sz="2800" b="1" baseline="0">
                <a:solidFill>
                  <a:schemeClr val="accent6">
                    <a:lumMod val="60000"/>
                    <a:lumOff val="40000"/>
                  </a:schemeClr>
                </a:solidFill>
              </a:rPr>
              <a:t> GENERALES</a:t>
            </a:r>
            <a:endParaRPr lang="es-ES" sz="2800" b="1">
              <a:solidFill>
                <a:schemeClr val="accent6">
                  <a:lumMod val="60000"/>
                  <a:lumOff val="40000"/>
                </a:schemeClr>
              </a:solidFill>
            </a:endParaRPr>
          </a:p>
        </xdr:txBody>
      </xdr:sp>
      <xdr:pic>
        <xdr:nvPicPr>
          <xdr:cNvPr id="75" name="Gráfico 74" descr="Investigación con relleno sólido">
            <a:extLst>
              <a:ext uri="{FF2B5EF4-FFF2-40B4-BE49-F238E27FC236}">
                <a16:creationId xmlns:a16="http://schemas.microsoft.com/office/drawing/2014/main" id="{00000000-0008-0000-1A00-00004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287249" y="2009774"/>
            <a:ext cx="1714501" cy="1714501"/>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42" name="Grupo 41">
          <a:hlinkClick xmlns:r="http://schemas.openxmlformats.org/officeDocument/2006/relationships" r:id="rId10"/>
          <a:extLst>
            <a:ext uri="{FF2B5EF4-FFF2-40B4-BE49-F238E27FC236}">
              <a16:creationId xmlns:a16="http://schemas.microsoft.com/office/drawing/2014/main" id="{00000000-0008-0000-1A00-00002A000000}"/>
            </a:ext>
          </a:extLst>
        </xdr:cNvPr>
        <xdr:cNvGrpSpPr/>
      </xdr:nvGrpSpPr>
      <xdr:grpSpPr>
        <a:xfrm>
          <a:off x="0" y="0"/>
          <a:ext cx="1381125" cy="328014"/>
          <a:chOff x="91104" y="65606"/>
          <a:chExt cx="1192701" cy="328014"/>
        </a:xfrm>
      </xdr:grpSpPr>
      <xdr:sp macro="" textlink="">
        <xdr:nvSpPr>
          <xdr:cNvPr id="43" name="Rectángulo 42">
            <a:extLst>
              <a:ext uri="{FF2B5EF4-FFF2-40B4-BE49-F238E27FC236}">
                <a16:creationId xmlns:a16="http://schemas.microsoft.com/office/drawing/2014/main" id="{00000000-0008-0000-1A00-00002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1A00-00002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5" name="Grupo 44">
          <a:hlinkClick xmlns:r="http://schemas.openxmlformats.org/officeDocument/2006/relationships" r:id="rId13"/>
          <a:extLst>
            <a:ext uri="{FF2B5EF4-FFF2-40B4-BE49-F238E27FC236}">
              <a16:creationId xmlns:a16="http://schemas.microsoft.com/office/drawing/2014/main" id="{00000000-0008-0000-1A00-00002D000000}"/>
            </a:ext>
          </a:extLst>
        </xdr:cNvPr>
        <xdr:cNvGrpSpPr/>
      </xdr:nvGrpSpPr>
      <xdr:grpSpPr>
        <a:xfrm>
          <a:off x="0" y="4710117"/>
          <a:ext cx="1295400" cy="638178"/>
          <a:chOff x="0" y="3671892"/>
          <a:chExt cx="1295400" cy="638178"/>
        </a:xfrm>
      </xdr:grpSpPr>
      <xdr:sp macro="" textlink="">
        <xdr:nvSpPr>
          <xdr:cNvPr id="46" name="Rectángulo: esquinas superiores redondeadas 45">
            <a:extLst>
              <a:ext uri="{FF2B5EF4-FFF2-40B4-BE49-F238E27FC236}">
                <a16:creationId xmlns:a16="http://schemas.microsoft.com/office/drawing/2014/main" id="{00000000-0008-0000-1A00-00002E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7" name="Gráfico 46" descr="Información con relleno sólido">
            <a:extLst>
              <a:ext uri="{FF2B5EF4-FFF2-40B4-BE49-F238E27FC236}">
                <a16:creationId xmlns:a16="http://schemas.microsoft.com/office/drawing/2014/main" id="{00000000-0008-0000-1A00-00002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8" name="Grupo 47">
          <a:hlinkClick xmlns:r="http://schemas.openxmlformats.org/officeDocument/2006/relationships" r:id="rId16"/>
          <a:extLst>
            <a:ext uri="{FF2B5EF4-FFF2-40B4-BE49-F238E27FC236}">
              <a16:creationId xmlns:a16="http://schemas.microsoft.com/office/drawing/2014/main" id="{00000000-0008-0000-1A00-000030000000}"/>
            </a:ext>
          </a:extLst>
        </xdr:cNvPr>
        <xdr:cNvGrpSpPr/>
      </xdr:nvGrpSpPr>
      <xdr:grpSpPr>
        <a:xfrm>
          <a:off x="0" y="3760792"/>
          <a:ext cx="1304926" cy="638178"/>
          <a:chOff x="0" y="2767017"/>
          <a:chExt cx="1304926" cy="638178"/>
        </a:xfrm>
      </xdr:grpSpPr>
      <xdr:sp macro="" textlink="">
        <xdr:nvSpPr>
          <xdr:cNvPr id="49" name="Rectángulo: esquinas superiores redondeadas 48">
            <a:extLst>
              <a:ext uri="{FF2B5EF4-FFF2-40B4-BE49-F238E27FC236}">
                <a16:creationId xmlns:a16="http://schemas.microsoft.com/office/drawing/2014/main" id="{00000000-0008-0000-1A00-000031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50" name="Gráfico 49" descr="Gráfico de barras con relleno sólido">
            <a:extLst>
              <a:ext uri="{FF2B5EF4-FFF2-40B4-BE49-F238E27FC236}">
                <a16:creationId xmlns:a16="http://schemas.microsoft.com/office/drawing/2014/main" id="{00000000-0008-0000-1A00-00003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51" name="Grupo 50">
          <a:hlinkClick xmlns:r="http://schemas.openxmlformats.org/officeDocument/2006/relationships" r:id="rId19"/>
          <a:extLst>
            <a:ext uri="{FF2B5EF4-FFF2-40B4-BE49-F238E27FC236}">
              <a16:creationId xmlns:a16="http://schemas.microsoft.com/office/drawing/2014/main" id="{00000000-0008-0000-1A00-000033000000}"/>
            </a:ext>
          </a:extLst>
        </xdr:cNvPr>
        <xdr:cNvGrpSpPr/>
      </xdr:nvGrpSpPr>
      <xdr:grpSpPr>
        <a:xfrm>
          <a:off x="0" y="2811467"/>
          <a:ext cx="1323975" cy="638178"/>
          <a:chOff x="0" y="1862142"/>
          <a:chExt cx="1323975" cy="638178"/>
        </a:xfrm>
      </xdr:grpSpPr>
      <xdr:sp macro="" textlink="">
        <xdr:nvSpPr>
          <xdr:cNvPr id="52" name="Rectángulo: esquinas superiores redondeadas 51">
            <a:extLst>
              <a:ext uri="{FF2B5EF4-FFF2-40B4-BE49-F238E27FC236}">
                <a16:creationId xmlns:a16="http://schemas.microsoft.com/office/drawing/2014/main" id="{00000000-0008-0000-1A00-000034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3" name="Gráfico 52" descr="Alternar con relleno sólido">
            <a:extLst>
              <a:ext uri="{FF2B5EF4-FFF2-40B4-BE49-F238E27FC236}">
                <a16:creationId xmlns:a16="http://schemas.microsoft.com/office/drawing/2014/main" id="{00000000-0008-0000-1A00-00003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4" name="Grupo 53">
          <a:hlinkClick xmlns:r="http://schemas.openxmlformats.org/officeDocument/2006/relationships" r:id="rId22"/>
          <a:extLst>
            <a:ext uri="{FF2B5EF4-FFF2-40B4-BE49-F238E27FC236}">
              <a16:creationId xmlns:a16="http://schemas.microsoft.com/office/drawing/2014/main" id="{00000000-0008-0000-1A00-000036000000}"/>
            </a:ext>
          </a:extLst>
        </xdr:cNvPr>
        <xdr:cNvGrpSpPr/>
      </xdr:nvGrpSpPr>
      <xdr:grpSpPr>
        <a:xfrm>
          <a:off x="0" y="1862142"/>
          <a:ext cx="1295400" cy="638178"/>
          <a:chOff x="0" y="1862142"/>
          <a:chExt cx="1295400" cy="638178"/>
        </a:xfrm>
      </xdr:grpSpPr>
      <xdr:sp macro="" textlink="">
        <xdr:nvSpPr>
          <xdr:cNvPr id="55" name="Rectángulo: esquinas superiores redondeadas 54">
            <a:extLst>
              <a:ext uri="{FF2B5EF4-FFF2-40B4-BE49-F238E27FC236}">
                <a16:creationId xmlns:a16="http://schemas.microsoft.com/office/drawing/2014/main" id="{00000000-0008-0000-1A00-000037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6" name="Gráfico 55" descr="Lista con relleno sólido">
            <a:extLst>
              <a:ext uri="{FF2B5EF4-FFF2-40B4-BE49-F238E27FC236}">
                <a16:creationId xmlns:a16="http://schemas.microsoft.com/office/drawing/2014/main" id="{00000000-0008-0000-1A00-00003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81050" y="1957172"/>
            <a:ext cx="504825" cy="466582"/>
          </a:xfrm>
          <a:prstGeom prst="rect">
            <a:avLst/>
          </a:prstGeom>
        </xdr:spPr>
      </xdr:pic>
    </xdr:grpSp>
    <xdr:clientData/>
  </xdr:twoCellAnchor>
  <xdr:twoCellAnchor>
    <xdr:from>
      <xdr:col>16</xdr:col>
      <xdr:colOff>492900</xdr:colOff>
      <xdr:row>11</xdr:row>
      <xdr:rowOff>76200</xdr:rowOff>
    </xdr:from>
    <xdr:to>
      <xdr:col>22</xdr:col>
      <xdr:colOff>0</xdr:colOff>
      <xdr:row>22</xdr:row>
      <xdr:rowOff>83325</xdr:rowOff>
    </xdr:to>
    <xdr:grpSp>
      <xdr:nvGrpSpPr>
        <xdr:cNvPr id="8" name="Grupo 7">
          <a:hlinkClick xmlns:r="http://schemas.openxmlformats.org/officeDocument/2006/relationships" r:id="rId25"/>
          <a:extLst>
            <a:ext uri="{FF2B5EF4-FFF2-40B4-BE49-F238E27FC236}">
              <a16:creationId xmlns:a16="http://schemas.microsoft.com/office/drawing/2014/main" id="{00000000-0008-0000-1A00-000008000000}"/>
            </a:ext>
          </a:extLst>
        </xdr:cNvPr>
        <xdr:cNvGrpSpPr/>
      </xdr:nvGrpSpPr>
      <xdr:grpSpPr>
        <a:xfrm>
          <a:off x="13053994" y="2171700"/>
          <a:ext cx="4079100" cy="2102625"/>
          <a:chOff x="13685025" y="2200275"/>
          <a:chExt cx="4079100" cy="2102625"/>
        </a:xfrm>
      </xdr:grpSpPr>
      <xdr:sp macro="" textlink="">
        <xdr:nvSpPr>
          <xdr:cNvPr id="28" name="Rectángulo 27">
            <a:extLst>
              <a:ext uri="{FF2B5EF4-FFF2-40B4-BE49-F238E27FC236}">
                <a16:creationId xmlns:a16="http://schemas.microsoft.com/office/drawing/2014/main" id="{00000000-0008-0000-1A00-00001C000000}"/>
              </a:ext>
            </a:extLst>
          </xdr:cNvPr>
          <xdr:cNvSpPr/>
        </xdr:nvSpPr>
        <xdr:spPr>
          <a:xfrm>
            <a:off x="13685025" y="2200275"/>
            <a:ext cx="4079100"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SUPUESTOS</a:t>
            </a:r>
            <a:r>
              <a:rPr lang="es-ES" sz="2800" b="1" baseline="0">
                <a:solidFill>
                  <a:schemeClr val="accent6">
                    <a:lumMod val="60000"/>
                    <a:lumOff val="40000"/>
                  </a:schemeClr>
                </a:solidFill>
              </a:rPr>
              <a:t> DE COSTOS</a:t>
            </a:r>
            <a:endParaRPr lang="es-ES" sz="2800" b="1">
              <a:solidFill>
                <a:schemeClr val="accent6">
                  <a:lumMod val="60000"/>
                  <a:lumOff val="40000"/>
                </a:schemeClr>
              </a:solidFill>
            </a:endParaRPr>
          </a:p>
        </xdr:txBody>
      </xdr:sp>
      <xdr:sp macro="" textlink="">
        <xdr:nvSpPr>
          <xdr:cNvPr id="3" name="Forma libre: forma 2">
            <a:hlinkClick xmlns:r="http://schemas.openxmlformats.org/officeDocument/2006/relationships" r:id="rId25"/>
            <a:extLst>
              <a:ext uri="{FF2B5EF4-FFF2-40B4-BE49-F238E27FC236}">
                <a16:creationId xmlns:a16="http://schemas.microsoft.com/office/drawing/2014/main" id="{00000000-0008-0000-1A00-000003000000}"/>
              </a:ext>
            </a:extLst>
          </xdr:cNvPr>
          <xdr:cNvSpPr/>
        </xdr:nvSpPr>
        <xdr:spPr>
          <a:xfrm>
            <a:off x="15045917" y="2338972"/>
            <a:ext cx="1413133" cy="1414919"/>
          </a:xfrm>
          <a:custGeom>
            <a:avLst/>
            <a:gdLst>
              <a:gd name="connsiteX0" fmla="*/ 1155512 w 1413133"/>
              <a:gd name="connsiteY0" fmla="*/ 978704 h 1414919"/>
              <a:gd name="connsiteX1" fmla="*/ 1044784 w 1413133"/>
              <a:gd name="connsiteY1" fmla="*/ 944771 h 1414919"/>
              <a:gd name="connsiteX2" fmla="*/ 964417 w 1413133"/>
              <a:gd name="connsiteY2" fmla="*/ 866190 h 1414919"/>
              <a:gd name="connsiteX3" fmla="*/ 1075145 w 1413133"/>
              <a:gd name="connsiteY3" fmla="*/ 541149 h 1414919"/>
              <a:gd name="connsiteX4" fmla="*/ 539363 w 1413133"/>
              <a:gd name="connsiteY4" fmla="*/ 10 h 1414919"/>
              <a:gd name="connsiteX5" fmla="*/ 10 w 1413133"/>
              <a:gd name="connsiteY5" fmla="*/ 535791 h 1414919"/>
              <a:gd name="connsiteX6" fmla="*/ 535791 w 1413133"/>
              <a:gd name="connsiteY6" fmla="*/ 1075145 h 1414919"/>
              <a:gd name="connsiteX7" fmla="*/ 864404 w 1413133"/>
              <a:gd name="connsiteY7" fmla="*/ 964417 h 1414919"/>
              <a:gd name="connsiteX8" fmla="*/ 942985 w 1413133"/>
              <a:gd name="connsiteY8" fmla="*/ 1042998 h 1414919"/>
              <a:gd name="connsiteX9" fmla="*/ 976918 w 1413133"/>
              <a:gd name="connsiteY9" fmla="*/ 1155512 h 1414919"/>
              <a:gd name="connsiteX10" fmla="*/ 1200161 w 1413133"/>
              <a:gd name="connsiteY10" fmla="*/ 1378754 h 1414919"/>
              <a:gd name="connsiteX11" fmla="*/ 1376969 w 1413133"/>
              <a:gd name="connsiteY11" fmla="*/ 1378754 h 1414919"/>
              <a:gd name="connsiteX12" fmla="*/ 1376969 w 1413133"/>
              <a:gd name="connsiteY12" fmla="*/ 1201947 h 1414919"/>
              <a:gd name="connsiteX13" fmla="*/ 1155512 w 1413133"/>
              <a:gd name="connsiteY13" fmla="*/ 978704 h 1414919"/>
              <a:gd name="connsiteX14" fmla="*/ 539363 w 1413133"/>
              <a:gd name="connsiteY14" fmla="*/ 967989 h 1414919"/>
              <a:gd name="connsiteX15" fmla="*/ 110738 w 1413133"/>
              <a:gd name="connsiteY15" fmla="*/ 539363 h 1414919"/>
              <a:gd name="connsiteX16" fmla="*/ 539363 w 1413133"/>
              <a:gd name="connsiteY16" fmla="*/ 110738 h 1414919"/>
              <a:gd name="connsiteX17" fmla="*/ 967989 w 1413133"/>
              <a:gd name="connsiteY17" fmla="*/ 539363 h 1414919"/>
              <a:gd name="connsiteX18" fmla="*/ 539363 w 1413133"/>
              <a:gd name="connsiteY18" fmla="*/ 967989 h 14149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413133" h="1414919">
                <a:moveTo>
                  <a:pt x="1155512" y="978704"/>
                </a:moveTo>
                <a:cubicBezTo>
                  <a:pt x="1126937" y="950129"/>
                  <a:pt x="1084075" y="935842"/>
                  <a:pt x="1044784" y="944771"/>
                </a:cubicBezTo>
                <a:lnTo>
                  <a:pt x="964417" y="866190"/>
                </a:lnTo>
                <a:cubicBezTo>
                  <a:pt x="1035854" y="773321"/>
                  <a:pt x="1075145" y="659021"/>
                  <a:pt x="1075145" y="541149"/>
                </a:cubicBezTo>
                <a:cubicBezTo>
                  <a:pt x="1076931" y="242897"/>
                  <a:pt x="835829" y="1796"/>
                  <a:pt x="539363" y="10"/>
                </a:cubicBezTo>
                <a:cubicBezTo>
                  <a:pt x="242897" y="-1776"/>
                  <a:pt x="1796" y="239326"/>
                  <a:pt x="10" y="535791"/>
                </a:cubicBezTo>
                <a:cubicBezTo>
                  <a:pt x="-1776" y="832257"/>
                  <a:pt x="239326" y="1073359"/>
                  <a:pt x="535791" y="1075145"/>
                </a:cubicBezTo>
                <a:cubicBezTo>
                  <a:pt x="653663" y="1075145"/>
                  <a:pt x="769749" y="1035854"/>
                  <a:pt x="864404" y="964417"/>
                </a:cubicBezTo>
                <a:lnTo>
                  <a:pt x="942985" y="1042998"/>
                </a:lnTo>
                <a:cubicBezTo>
                  <a:pt x="935842" y="1084075"/>
                  <a:pt x="948343" y="1125151"/>
                  <a:pt x="976918" y="1155512"/>
                </a:cubicBezTo>
                <a:lnTo>
                  <a:pt x="1200161" y="1378754"/>
                </a:lnTo>
                <a:cubicBezTo>
                  <a:pt x="1248381" y="1426975"/>
                  <a:pt x="1328748" y="1426975"/>
                  <a:pt x="1376969" y="1378754"/>
                </a:cubicBezTo>
                <a:cubicBezTo>
                  <a:pt x="1425189" y="1330534"/>
                  <a:pt x="1425189" y="1250167"/>
                  <a:pt x="1376969" y="1201947"/>
                </a:cubicBezTo>
                <a:lnTo>
                  <a:pt x="1155512" y="978704"/>
                </a:lnTo>
                <a:close/>
                <a:moveTo>
                  <a:pt x="539363" y="967989"/>
                </a:moveTo>
                <a:cubicBezTo>
                  <a:pt x="301833" y="967989"/>
                  <a:pt x="110738" y="776893"/>
                  <a:pt x="110738" y="539363"/>
                </a:cubicBezTo>
                <a:cubicBezTo>
                  <a:pt x="110738" y="301833"/>
                  <a:pt x="301833" y="110738"/>
                  <a:pt x="539363" y="110738"/>
                </a:cubicBezTo>
                <a:cubicBezTo>
                  <a:pt x="776893" y="110738"/>
                  <a:pt x="967989" y="301833"/>
                  <a:pt x="967989" y="539363"/>
                </a:cubicBezTo>
                <a:cubicBezTo>
                  <a:pt x="967989" y="775107"/>
                  <a:pt x="775107" y="967989"/>
                  <a:pt x="539363" y="967989"/>
                </a:cubicBezTo>
                <a:close/>
              </a:path>
            </a:pathLst>
          </a:custGeom>
          <a:solidFill>
            <a:schemeClr val="accent6">
              <a:lumMod val="60000"/>
              <a:lumOff val="40000"/>
            </a:schemeClr>
          </a:solidFill>
          <a:ln w="17859" cap="flat">
            <a:noFill/>
            <a:prstDash val="solid"/>
            <a:miter/>
          </a:ln>
        </xdr:spPr>
        <xdr:txBody>
          <a:bodyPr rtlCol="0" anchor="ctr"/>
          <a:lstStyle/>
          <a:p>
            <a:endParaRPr lang="es-ES"/>
          </a:p>
        </xdr:txBody>
      </xdr:sp>
      <xdr:pic>
        <xdr:nvPicPr>
          <xdr:cNvPr id="6" name="Gráfico 5" descr="Monedas con relleno sólido">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259049" y="2543174"/>
            <a:ext cx="657225" cy="657225"/>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8"/>
          <a:extLst>
            <a:ext uri="{FF2B5EF4-FFF2-40B4-BE49-F238E27FC236}">
              <a16:creationId xmlns:a16="http://schemas.microsoft.com/office/drawing/2014/main" id="{00000000-0008-0000-1A00-00001F000000}"/>
            </a:ext>
          </a:extLst>
        </xdr:cNvPr>
        <xdr:cNvGrpSpPr/>
      </xdr:nvGrpSpPr>
      <xdr:grpSpPr>
        <a:xfrm>
          <a:off x="0" y="6477000"/>
          <a:ext cx="1240383" cy="416889"/>
          <a:chOff x="28575" y="6381750"/>
          <a:chExt cx="1240383" cy="416889"/>
        </a:xfrm>
      </xdr:grpSpPr>
      <xdr:pic>
        <xdr:nvPicPr>
          <xdr:cNvPr id="32" name="Gráfico 31" descr="Engranaje único con relleno sólido">
            <a:extLst>
              <a:ext uri="{FF2B5EF4-FFF2-40B4-BE49-F238E27FC236}">
                <a16:creationId xmlns:a16="http://schemas.microsoft.com/office/drawing/2014/main" id="{00000000-0008-0000-1A00-000020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33" name="CuadroTexto 32">
            <a:extLst>
              <a:ext uri="{FF2B5EF4-FFF2-40B4-BE49-F238E27FC236}">
                <a16:creationId xmlns:a16="http://schemas.microsoft.com/office/drawing/2014/main" id="{00000000-0008-0000-1A00-00002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2</xdr:col>
      <xdr:colOff>257175</xdr:colOff>
      <xdr:row>0</xdr:row>
      <xdr:rowOff>85725</xdr:rowOff>
    </xdr:from>
    <xdr:to>
      <xdr:col>8</xdr:col>
      <xdr:colOff>152400</xdr:colOff>
      <xdr:row>3</xdr:row>
      <xdr:rowOff>76200</xdr:rowOff>
    </xdr:to>
    <xdr:sp macro="" textlink="">
      <xdr:nvSpPr>
        <xdr:cNvPr id="97" name="Rectángulo: esquinas redondeadas 96">
          <a:extLst>
            <a:ext uri="{FF2B5EF4-FFF2-40B4-BE49-F238E27FC236}">
              <a16:creationId xmlns:a16="http://schemas.microsoft.com/office/drawing/2014/main" id="{00000000-0008-0000-1B00-000061000000}"/>
            </a:ext>
          </a:extLst>
        </xdr:cNvPr>
        <xdr:cNvSpPr/>
      </xdr:nvSpPr>
      <xdr:spPr>
        <a:xfrm>
          <a:off x="2152650" y="857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CONSTANTES</a:t>
          </a:r>
        </a:p>
      </xdr:txBody>
    </xdr:sp>
    <xdr:clientData/>
  </xdr:twoCellAnchor>
  <xdr:twoCellAnchor>
    <xdr:from>
      <xdr:col>8</xdr:col>
      <xdr:colOff>257175</xdr:colOff>
      <xdr:row>0</xdr:row>
      <xdr:rowOff>85725</xdr:rowOff>
    </xdr:from>
    <xdr:to>
      <xdr:col>14</xdr:col>
      <xdr:colOff>52645</xdr:colOff>
      <xdr:row>3</xdr:row>
      <xdr:rowOff>34880</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1B00-000012000000}"/>
            </a:ext>
          </a:extLst>
        </xdr:cNvPr>
        <xdr:cNvGrpSpPr/>
      </xdr:nvGrpSpPr>
      <xdr:grpSpPr>
        <a:xfrm>
          <a:off x="11782425" y="85725"/>
          <a:ext cx="4200783" cy="520655"/>
          <a:chOff x="12581343" y="579123"/>
          <a:chExt cx="5411248" cy="1943702"/>
        </a:xfrm>
      </xdr:grpSpPr>
      <xdr:sp macro="" textlink="">
        <xdr:nvSpPr>
          <xdr:cNvPr id="19" name="Rectángulo 18">
            <a:extLst>
              <a:ext uri="{FF2B5EF4-FFF2-40B4-BE49-F238E27FC236}">
                <a16:creationId xmlns:a16="http://schemas.microsoft.com/office/drawing/2014/main" id="{00000000-0008-0000-1B00-000013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0" name="Gráfico 19" descr="Círculos con flechas con relleno sólido">
            <a:extLst>
              <a:ext uri="{FF2B5EF4-FFF2-40B4-BE49-F238E27FC236}">
                <a16:creationId xmlns:a16="http://schemas.microsoft.com/office/drawing/2014/main" id="{00000000-0008-0000-1B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1B00-000015000000}"/>
            </a:ext>
          </a:extLst>
        </xdr:cNvPr>
        <xdr:cNvGrpSpPr/>
      </xdr:nvGrpSpPr>
      <xdr:grpSpPr>
        <a:xfrm>
          <a:off x="0" y="0"/>
          <a:ext cx="1381125" cy="328014"/>
          <a:chOff x="91104" y="65606"/>
          <a:chExt cx="1192701" cy="328014"/>
        </a:xfrm>
      </xdr:grpSpPr>
      <xdr:sp macro="" textlink="">
        <xdr:nvSpPr>
          <xdr:cNvPr id="22" name="Rectángulo 21">
            <a:extLst>
              <a:ext uri="{FF2B5EF4-FFF2-40B4-BE49-F238E27FC236}">
                <a16:creationId xmlns:a16="http://schemas.microsoft.com/office/drawing/2014/main" id="{00000000-0008-0000-1B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1B00-00001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1B00-000018000000}"/>
            </a:ext>
          </a:extLst>
        </xdr:cNvPr>
        <xdr:cNvGrpSpPr/>
      </xdr:nvGrpSpPr>
      <xdr:grpSpPr>
        <a:xfrm>
          <a:off x="0" y="4710117"/>
          <a:ext cx="1295400" cy="638178"/>
          <a:chOff x="0" y="3671892"/>
          <a:chExt cx="1295400" cy="638178"/>
        </a:xfrm>
      </xdr:grpSpPr>
      <xdr:sp macro="" textlink="">
        <xdr:nvSpPr>
          <xdr:cNvPr id="25" name="Rectángulo: esquinas superiores redondeadas 24">
            <a:extLst>
              <a:ext uri="{FF2B5EF4-FFF2-40B4-BE49-F238E27FC236}">
                <a16:creationId xmlns:a16="http://schemas.microsoft.com/office/drawing/2014/main" id="{00000000-0008-0000-1B00-00001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6" name="Gráfico 25" descr="Información con relleno sólido">
            <a:extLst>
              <a:ext uri="{FF2B5EF4-FFF2-40B4-BE49-F238E27FC236}">
                <a16:creationId xmlns:a16="http://schemas.microsoft.com/office/drawing/2014/main" id="{00000000-0008-0000-1B00-00001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1B00-00001B000000}"/>
            </a:ext>
          </a:extLst>
        </xdr:cNvPr>
        <xdr:cNvGrpSpPr/>
      </xdr:nvGrpSpPr>
      <xdr:grpSpPr>
        <a:xfrm>
          <a:off x="0" y="3760792"/>
          <a:ext cx="1304926" cy="638178"/>
          <a:chOff x="0" y="2767017"/>
          <a:chExt cx="1304926" cy="638178"/>
        </a:xfrm>
      </xdr:grpSpPr>
      <xdr:sp macro="" textlink="">
        <xdr:nvSpPr>
          <xdr:cNvPr id="28" name="Rectángulo: esquinas superiores redondeadas 27">
            <a:extLst>
              <a:ext uri="{FF2B5EF4-FFF2-40B4-BE49-F238E27FC236}">
                <a16:creationId xmlns:a16="http://schemas.microsoft.com/office/drawing/2014/main" id="{00000000-0008-0000-1B00-00001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9" name="Gráfico 28" descr="Gráfico de barras con relleno sólido">
            <a:extLst>
              <a:ext uri="{FF2B5EF4-FFF2-40B4-BE49-F238E27FC236}">
                <a16:creationId xmlns:a16="http://schemas.microsoft.com/office/drawing/2014/main" id="{00000000-0008-0000-1B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1B00-00001E000000}"/>
            </a:ext>
          </a:extLst>
        </xdr:cNvPr>
        <xdr:cNvGrpSpPr/>
      </xdr:nvGrpSpPr>
      <xdr:grpSpPr>
        <a:xfrm>
          <a:off x="0" y="2811467"/>
          <a:ext cx="1323975" cy="638178"/>
          <a:chOff x="0" y="1862142"/>
          <a:chExt cx="1323975" cy="638178"/>
        </a:xfrm>
      </xdr:grpSpPr>
      <xdr:sp macro="" textlink="">
        <xdr:nvSpPr>
          <xdr:cNvPr id="31" name="Rectángulo: esquinas superiores redondeadas 30">
            <a:extLst>
              <a:ext uri="{FF2B5EF4-FFF2-40B4-BE49-F238E27FC236}">
                <a16:creationId xmlns:a16="http://schemas.microsoft.com/office/drawing/2014/main" id="{00000000-0008-0000-1B00-00001F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1B00-00002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1B00-000021000000}"/>
            </a:ext>
          </a:extLst>
        </xdr:cNvPr>
        <xdr:cNvGrpSpPr/>
      </xdr:nvGrpSpPr>
      <xdr:grpSpPr>
        <a:xfrm>
          <a:off x="0" y="1862142"/>
          <a:ext cx="1295400" cy="638178"/>
          <a:chOff x="0" y="1862142"/>
          <a:chExt cx="1295400" cy="638178"/>
        </a:xfrm>
      </xdr:grpSpPr>
      <xdr:sp macro="" textlink="">
        <xdr:nvSpPr>
          <xdr:cNvPr id="34" name="Rectángulo: esquinas superiores redondeadas 33">
            <a:extLst>
              <a:ext uri="{FF2B5EF4-FFF2-40B4-BE49-F238E27FC236}">
                <a16:creationId xmlns:a16="http://schemas.microsoft.com/office/drawing/2014/main" id="{00000000-0008-0000-1B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5" name="Gráfico 34" descr="Lista con relleno sólido">
            <a:extLst>
              <a:ext uri="{FF2B5EF4-FFF2-40B4-BE49-F238E27FC236}">
                <a16:creationId xmlns:a16="http://schemas.microsoft.com/office/drawing/2014/main" id="{00000000-0008-0000-1B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6" name="Grupo 35">
          <a:hlinkClick xmlns:r="http://schemas.openxmlformats.org/officeDocument/2006/relationships" r:id="rId19"/>
          <a:extLst>
            <a:ext uri="{FF2B5EF4-FFF2-40B4-BE49-F238E27FC236}">
              <a16:creationId xmlns:a16="http://schemas.microsoft.com/office/drawing/2014/main" id="{00000000-0008-0000-1B00-000024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1B00-00002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1B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352425</xdr:colOff>
      <xdr:row>0</xdr:row>
      <xdr:rowOff>95250</xdr:rowOff>
    </xdr:from>
    <xdr:to>
      <xdr:col>7</xdr:col>
      <xdr:colOff>57150</xdr:colOff>
      <xdr:row>3</xdr:row>
      <xdr:rowOff>85725</xdr:rowOff>
    </xdr:to>
    <xdr:sp macro="" textlink="">
      <xdr:nvSpPr>
        <xdr:cNvPr id="17" name="Rectángulo: esquinas redondeadas 16">
          <a:extLst>
            <a:ext uri="{FF2B5EF4-FFF2-40B4-BE49-F238E27FC236}">
              <a16:creationId xmlns:a16="http://schemas.microsoft.com/office/drawing/2014/main" id="{00000000-0008-0000-1C00-000011000000}"/>
            </a:ext>
          </a:extLst>
        </xdr:cNvPr>
        <xdr:cNvSpPr/>
      </xdr:nvSpPr>
      <xdr:spPr>
        <a:xfrm>
          <a:off x="3400425" y="9525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CONVERSIONES</a:t>
          </a:r>
        </a:p>
      </xdr:txBody>
    </xdr:sp>
    <xdr:clientData/>
  </xdr:twoCellAnchor>
  <xdr:twoCellAnchor>
    <xdr:from>
      <xdr:col>7</xdr:col>
      <xdr:colOff>323850</xdr:colOff>
      <xdr:row>0</xdr:row>
      <xdr:rowOff>85725</xdr:rowOff>
    </xdr:from>
    <xdr:to>
      <xdr:col>11</xdr:col>
      <xdr:colOff>1690945</xdr:colOff>
      <xdr:row>3</xdr:row>
      <xdr:rowOff>34880</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1C00-000012000000}"/>
            </a:ext>
          </a:extLst>
        </xdr:cNvPr>
        <xdr:cNvGrpSpPr/>
      </xdr:nvGrpSpPr>
      <xdr:grpSpPr>
        <a:xfrm>
          <a:off x="9444038" y="85725"/>
          <a:ext cx="4034095" cy="520655"/>
          <a:chOff x="12581343" y="579123"/>
          <a:chExt cx="5411248" cy="1943702"/>
        </a:xfrm>
      </xdr:grpSpPr>
      <xdr:sp macro="" textlink="">
        <xdr:nvSpPr>
          <xdr:cNvPr id="19" name="Rectángulo 18">
            <a:extLst>
              <a:ext uri="{FF2B5EF4-FFF2-40B4-BE49-F238E27FC236}">
                <a16:creationId xmlns:a16="http://schemas.microsoft.com/office/drawing/2014/main" id="{00000000-0008-0000-1C00-000013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0" name="Gráfico 19" descr="Círculos con flechas con relleno sólido">
            <a:extLst>
              <a:ext uri="{FF2B5EF4-FFF2-40B4-BE49-F238E27FC236}">
                <a16:creationId xmlns:a16="http://schemas.microsoft.com/office/drawing/2014/main" id="{00000000-0008-0000-1C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2" name="Grupo 21">
          <a:hlinkClick xmlns:r="http://schemas.openxmlformats.org/officeDocument/2006/relationships" r:id="rId4"/>
          <a:extLst>
            <a:ext uri="{FF2B5EF4-FFF2-40B4-BE49-F238E27FC236}">
              <a16:creationId xmlns:a16="http://schemas.microsoft.com/office/drawing/2014/main" id="{00000000-0008-0000-1C00-000016000000}"/>
            </a:ext>
          </a:extLst>
        </xdr:cNvPr>
        <xdr:cNvGrpSpPr/>
      </xdr:nvGrpSpPr>
      <xdr:grpSpPr>
        <a:xfrm>
          <a:off x="0" y="0"/>
          <a:ext cx="1381125" cy="328014"/>
          <a:chOff x="91104" y="65606"/>
          <a:chExt cx="1192701" cy="328014"/>
        </a:xfrm>
      </xdr:grpSpPr>
      <xdr:sp macro="" textlink="">
        <xdr:nvSpPr>
          <xdr:cNvPr id="23" name="Rectángulo 22">
            <a:extLst>
              <a:ext uri="{FF2B5EF4-FFF2-40B4-BE49-F238E27FC236}">
                <a16:creationId xmlns:a16="http://schemas.microsoft.com/office/drawing/2014/main" id="{00000000-0008-0000-1C00-00001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1C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5" name="Grupo 24">
          <a:hlinkClick xmlns:r="http://schemas.openxmlformats.org/officeDocument/2006/relationships" r:id="rId7"/>
          <a:extLst>
            <a:ext uri="{FF2B5EF4-FFF2-40B4-BE49-F238E27FC236}">
              <a16:creationId xmlns:a16="http://schemas.microsoft.com/office/drawing/2014/main" id="{00000000-0008-0000-1C00-000019000000}"/>
            </a:ext>
          </a:extLst>
        </xdr:cNvPr>
        <xdr:cNvGrpSpPr/>
      </xdr:nvGrpSpPr>
      <xdr:grpSpPr>
        <a:xfrm>
          <a:off x="0" y="4710117"/>
          <a:ext cx="1295400" cy="638178"/>
          <a:chOff x="0" y="3671892"/>
          <a:chExt cx="1295400" cy="638178"/>
        </a:xfrm>
      </xdr:grpSpPr>
      <xdr:sp macro="" textlink="">
        <xdr:nvSpPr>
          <xdr:cNvPr id="26" name="Rectángulo: esquinas superiores redondeadas 25">
            <a:extLst>
              <a:ext uri="{FF2B5EF4-FFF2-40B4-BE49-F238E27FC236}">
                <a16:creationId xmlns:a16="http://schemas.microsoft.com/office/drawing/2014/main" id="{00000000-0008-0000-1C00-00001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7" name="Gráfico 26" descr="Información con relleno sólido">
            <a:extLst>
              <a:ext uri="{FF2B5EF4-FFF2-40B4-BE49-F238E27FC236}">
                <a16:creationId xmlns:a16="http://schemas.microsoft.com/office/drawing/2014/main" id="{00000000-0008-0000-1C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8" name="Grupo 27">
          <a:hlinkClick xmlns:r="http://schemas.openxmlformats.org/officeDocument/2006/relationships" r:id="rId10"/>
          <a:extLst>
            <a:ext uri="{FF2B5EF4-FFF2-40B4-BE49-F238E27FC236}">
              <a16:creationId xmlns:a16="http://schemas.microsoft.com/office/drawing/2014/main" id="{00000000-0008-0000-1C00-00001C000000}"/>
            </a:ext>
          </a:extLst>
        </xdr:cNvPr>
        <xdr:cNvGrpSpPr/>
      </xdr:nvGrpSpPr>
      <xdr:grpSpPr>
        <a:xfrm>
          <a:off x="0" y="3760792"/>
          <a:ext cx="1304926" cy="638178"/>
          <a:chOff x="0" y="2767017"/>
          <a:chExt cx="1304926" cy="638178"/>
        </a:xfrm>
      </xdr:grpSpPr>
      <xdr:sp macro="" textlink="">
        <xdr:nvSpPr>
          <xdr:cNvPr id="29" name="Rectángulo: esquinas superiores redondeadas 28">
            <a:extLst>
              <a:ext uri="{FF2B5EF4-FFF2-40B4-BE49-F238E27FC236}">
                <a16:creationId xmlns:a16="http://schemas.microsoft.com/office/drawing/2014/main" id="{00000000-0008-0000-1C00-00001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0" name="Gráfico 29" descr="Gráfico de barras con relleno sólido">
            <a:extLst>
              <a:ext uri="{FF2B5EF4-FFF2-40B4-BE49-F238E27FC236}">
                <a16:creationId xmlns:a16="http://schemas.microsoft.com/office/drawing/2014/main" id="{00000000-0008-0000-1C00-00001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1" name="Grupo 30">
          <a:hlinkClick xmlns:r="http://schemas.openxmlformats.org/officeDocument/2006/relationships" r:id="rId13"/>
          <a:extLst>
            <a:ext uri="{FF2B5EF4-FFF2-40B4-BE49-F238E27FC236}">
              <a16:creationId xmlns:a16="http://schemas.microsoft.com/office/drawing/2014/main" id="{00000000-0008-0000-1C00-00001F000000}"/>
            </a:ext>
          </a:extLst>
        </xdr:cNvPr>
        <xdr:cNvGrpSpPr/>
      </xdr:nvGrpSpPr>
      <xdr:grpSpPr>
        <a:xfrm>
          <a:off x="0" y="2811467"/>
          <a:ext cx="1323975" cy="638178"/>
          <a:chOff x="0" y="1862142"/>
          <a:chExt cx="1323975" cy="638178"/>
        </a:xfrm>
      </xdr:grpSpPr>
      <xdr:sp macro="" textlink="">
        <xdr:nvSpPr>
          <xdr:cNvPr id="32" name="Rectángulo: esquinas superiores redondeadas 31">
            <a:extLst>
              <a:ext uri="{FF2B5EF4-FFF2-40B4-BE49-F238E27FC236}">
                <a16:creationId xmlns:a16="http://schemas.microsoft.com/office/drawing/2014/main" id="{00000000-0008-0000-1C00-000020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3" name="Gráfico 32" descr="Alternar con relleno sólido">
            <a:extLst>
              <a:ext uri="{FF2B5EF4-FFF2-40B4-BE49-F238E27FC236}">
                <a16:creationId xmlns:a16="http://schemas.microsoft.com/office/drawing/2014/main" id="{00000000-0008-0000-1C00-00002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4" name="Grupo 33">
          <a:hlinkClick xmlns:r="http://schemas.openxmlformats.org/officeDocument/2006/relationships" r:id="rId16"/>
          <a:extLst>
            <a:ext uri="{FF2B5EF4-FFF2-40B4-BE49-F238E27FC236}">
              <a16:creationId xmlns:a16="http://schemas.microsoft.com/office/drawing/2014/main" id="{00000000-0008-0000-1C00-000022000000}"/>
            </a:ext>
          </a:extLst>
        </xdr:cNvPr>
        <xdr:cNvGrpSpPr/>
      </xdr:nvGrpSpPr>
      <xdr:grpSpPr>
        <a:xfrm>
          <a:off x="0" y="1862142"/>
          <a:ext cx="1295400" cy="638178"/>
          <a:chOff x="0" y="1862142"/>
          <a:chExt cx="1295400" cy="638178"/>
        </a:xfrm>
      </xdr:grpSpPr>
      <xdr:sp macro="" textlink="">
        <xdr:nvSpPr>
          <xdr:cNvPr id="35" name="Rectángulo: esquinas superiores redondeadas 34">
            <a:extLst>
              <a:ext uri="{FF2B5EF4-FFF2-40B4-BE49-F238E27FC236}">
                <a16:creationId xmlns:a16="http://schemas.microsoft.com/office/drawing/2014/main" id="{00000000-0008-0000-1C00-00002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6" name="Gráfico 35" descr="Lista con relleno sólido">
            <a:extLst>
              <a:ext uri="{FF2B5EF4-FFF2-40B4-BE49-F238E27FC236}">
                <a16:creationId xmlns:a16="http://schemas.microsoft.com/office/drawing/2014/main" id="{00000000-0008-0000-1C00-00002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21" name="Grupo 20">
          <a:hlinkClick xmlns:r="http://schemas.openxmlformats.org/officeDocument/2006/relationships" r:id="rId19"/>
          <a:extLst>
            <a:ext uri="{FF2B5EF4-FFF2-40B4-BE49-F238E27FC236}">
              <a16:creationId xmlns:a16="http://schemas.microsoft.com/office/drawing/2014/main" id="{00000000-0008-0000-1C00-000015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1C00-00002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1C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10</xdr:row>
      <xdr:rowOff>29041</xdr:rowOff>
    </xdr:from>
    <xdr:to>
      <xdr:col>1</xdr:col>
      <xdr:colOff>0</xdr:colOff>
      <xdr:row>13</xdr:row>
      <xdr:rowOff>60543</xdr:rowOff>
    </xdr:to>
    <xdr:grpSp>
      <xdr:nvGrpSpPr>
        <xdr:cNvPr id="3" name="Grupo 2">
          <a:hlinkClick xmlns:r="http://schemas.openxmlformats.org/officeDocument/2006/relationships" r:id="rId1"/>
          <a:extLst>
            <a:ext uri="{FF2B5EF4-FFF2-40B4-BE49-F238E27FC236}">
              <a16:creationId xmlns:a16="http://schemas.microsoft.com/office/drawing/2014/main" id="{00000000-0008-0000-1D00-000003000000}"/>
            </a:ext>
          </a:extLst>
        </xdr:cNvPr>
        <xdr:cNvGrpSpPr/>
      </xdr:nvGrpSpPr>
      <xdr:grpSpPr>
        <a:xfrm>
          <a:off x="1381125" y="1934041"/>
          <a:ext cx="0" cy="603002"/>
          <a:chOff x="-1" y="2057866"/>
          <a:chExt cx="1285875" cy="603002"/>
        </a:xfrm>
      </xdr:grpSpPr>
      <xdr:sp macro="" textlink="">
        <xdr:nvSpPr>
          <xdr:cNvPr id="4" name="Rectángulo: esquinas superiores redondeadas 3">
            <a:extLst>
              <a:ext uri="{FF2B5EF4-FFF2-40B4-BE49-F238E27FC236}">
                <a16:creationId xmlns:a16="http://schemas.microsoft.com/office/drawing/2014/main" id="{00000000-0008-0000-1D00-000004000000}"/>
              </a:ext>
            </a:extLst>
          </xdr:cNvPr>
          <xdr:cNvSpPr/>
        </xdr:nvSpPr>
        <xdr:spPr>
          <a:xfrm rot="5400000">
            <a:off x="341436" y="1716429"/>
            <a:ext cx="60300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096151"/>
            <a:ext cx="504825" cy="507287"/>
          </a:xfrm>
          <a:prstGeom prst="rect">
            <a:avLst/>
          </a:prstGeom>
        </xdr:spPr>
      </xdr:pic>
    </xdr:grpSp>
    <xdr:clientData/>
  </xdr:twoCellAnchor>
  <xdr:twoCellAnchor>
    <xdr:from>
      <xdr:col>3</xdr:col>
      <xdr:colOff>2009775</xdr:colOff>
      <xdr:row>0</xdr:row>
      <xdr:rowOff>76200</xdr:rowOff>
    </xdr:from>
    <xdr:to>
      <xdr:col>10</xdr:col>
      <xdr:colOff>47625</xdr:colOff>
      <xdr:row>3</xdr:row>
      <xdr:rowOff>66675</xdr:rowOff>
    </xdr:to>
    <xdr:sp macro="" textlink="">
      <xdr:nvSpPr>
        <xdr:cNvPr id="98" name="Rectángulo: esquinas redondeadas 97">
          <a:extLst>
            <a:ext uri="{FF2B5EF4-FFF2-40B4-BE49-F238E27FC236}">
              <a16:creationId xmlns:a16="http://schemas.microsoft.com/office/drawing/2014/main" id="{00000000-0008-0000-1D00-000062000000}"/>
            </a:ext>
          </a:extLst>
        </xdr:cNvPr>
        <xdr:cNvSpPr/>
      </xdr:nvSpPr>
      <xdr:spPr>
        <a:xfrm>
          <a:off x="4381500" y="762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SUPUESTOS</a:t>
          </a:r>
          <a:r>
            <a:rPr lang="es-ES" sz="2800" b="1" baseline="0"/>
            <a:t> GENERALES</a:t>
          </a:r>
          <a:endParaRPr lang="es-ES" sz="2800" b="1"/>
        </a:p>
      </xdr:txBody>
    </xdr:sp>
    <xdr:clientData/>
  </xdr:twoCellAnchor>
  <xdr:twoCellAnchor>
    <xdr:from>
      <xdr:col>10</xdr:col>
      <xdr:colOff>123825</xdr:colOff>
      <xdr:row>0</xdr:row>
      <xdr:rowOff>57150</xdr:rowOff>
    </xdr:from>
    <xdr:to>
      <xdr:col>14</xdr:col>
      <xdr:colOff>747970</xdr:colOff>
      <xdr:row>3</xdr:row>
      <xdr:rowOff>6305</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1D00-000015000000}"/>
            </a:ext>
          </a:extLst>
        </xdr:cNvPr>
        <xdr:cNvGrpSpPr/>
      </xdr:nvGrpSpPr>
      <xdr:grpSpPr>
        <a:xfrm>
          <a:off x="10232231" y="57150"/>
          <a:ext cx="4029333" cy="520655"/>
          <a:chOff x="12581343" y="579123"/>
          <a:chExt cx="5411248" cy="1943702"/>
        </a:xfrm>
      </xdr:grpSpPr>
      <xdr:sp macro="" textlink="">
        <xdr:nvSpPr>
          <xdr:cNvPr id="22" name="Rectángulo 21">
            <a:extLst>
              <a:ext uri="{FF2B5EF4-FFF2-40B4-BE49-F238E27FC236}">
                <a16:creationId xmlns:a16="http://schemas.microsoft.com/office/drawing/2014/main" id="{00000000-0008-0000-1D00-000016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3" name="Gráfico 22" descr="Círculos con flechas con relleno sólido">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1D00-000018000000}"/>
            </a:ext>
          </a:extLst>
        </xdr:cNvPr>
        <xdr:cNvGrpSpPr/>
      </xdr:nvGrpSpPr>
      <xdr:grpSpPr>
        <a:xfrm>
          <a:off x="0" y="0"/>
          <a:ext cx="1381125" cy="328014"/>
          <a:chOff x="91104" y="65606"/>
          <a:chExt cx="1192701" cy="328014"/>
        </a:xfrm>
      </xdr:grpSpPr>
      <xdr:sp macro="" textlink="">
        <xdr:nvSpPr>
          <xdr:cNvPr id="25" name="Rectángulo 24">
            <a:extLst>
              <a:ext uri="{FF2B5EF4-FFF2-40B4-BE49-F238E27FC236}">
                <a16:creationId xmlns:a16="http://schemas.microsoft.com/office/drawing/2014/main" id="{00000000-0008-0000-1D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1D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1D00-00001B000000}"/>
            </a:ext>
          </a:extLst>
        </xdr:cNvPr>
        <xdr:cNvGrpSpPr/>
      </xdr:nvGrpSpPr>
      <xdr:grpSpPr>
        <a:xfrm>
          <a:off x="0" y="4710117"/>
          <a:ext cx="1295400" cy="638178"/>
          <a:chOff x="0" y="3671892"/>
          <a:chExt cx="1295400" cy="638178"/>
        </a:xfrm>
      </xdr:grpSpPr>
      <xdr:sp macro="" textlink="">
        <xdr:nvSpPr>
          <xdr:cNvPr id="28" name="Rectángulo: esquinas superiores redondeadas 27">
            <a:extLst>
              <a:ext uri="{FF2B5EF4-FFF2-40B4-BE49-F238E27FC236}">
                <a16:creationId xmlns:a16="http://schemas.microsoft.com/office/drawing/2014/main" id="{00000000-0008-0000-1D00-00001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9" name="Gráfico 28" descr="Información con relleno sólido">
            <a:extLst>
              <a:ext uri="{FF2B5EF4-FFF2-40B4-BE49-F238E27FC236}">
                <a16:creationId xmlns:a16="http://schemas.microsoft.com/office/drawing/2014/main" id="{00000000-0008-0000-1D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1D00-00001E000000}"/>
            </a:ext>
          </a:extLst>
        </xdr:cNvPr>
        <xdr:cNvGrpSpPr/>
      </xdr:nvGrpSpPr>
      <xdr:grpSpPr>
        <a:xfrm>
          <a:off x="0" y="3760792"/>
          <a:ext cx="1304926" cy="638178"/>
          <a:chOff x="0" y="2767017"/>
          <a:chExt cx="1304926" cy="638178"/>
        </a:xfrm>
      </xdr:grpSpPr>
      <xdr:sp macro="" textlink="">
        <xdr:nvSpPr>
          <xdr:cNvPr id="31" name="Rectángulo: esquinas superiores redondeadas 30">
            <a:extLst>
              <a:ext uri="{FF2B5EF4-FFF2-40B4-BE49-F238E27FC236}">
                <a16:creationId xmlns:a16="http://schemas.microsoft.com/office/drawing/2014/main" id="{00000000-0008-0000-1D00-00001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2" name="Gráfico 31" descr="Gráfico de barras con relleno sólido">
            <a:extLst>
              <a:ext uri="{FF2B5EF4-FFF2-40B4-BE49-F238E27FC236}">
                <a16:creationId xmlns:a16="http://schemas.microsoft.com/office/drawing/2014/main" id="{00000000-0008-0000-1D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1D00-000021000000}"/>
            </a:ext>
          </a:extLst>
        </xdr:cNvPr>
        <xdr:cNvGrpSpPr/>
      </xdr:nvGrpSpPr>
      <xdr:grpSpPr>
        <a:xfrm>
          <a:off x="0" y="2811467"/>
          <a:ext cx="1323975" cy="638178"/>
          <a:chOff x="0" y="1862142"/>
          <a:chExt cx="1323975" cy="638178"/>
        </a:xfrm>
      </xdr:grpSpPr>
      <xdr:sp macro="" textlink="">
        <xdr:nvSpPr>
          <xdr:cNvPr id="34" name="Rectángulo: esquinas superiores redondeadas 33">
            <a:extLst>
              <a:ext uri="{FF2B5EF4-FFF2-40B4-BE49-F238E27FC236}">
                <a16:creationId xmlns:a16="http://schemas.microsoft.com/office/drawing/2014/main" id="{00000000-0008-0000-1D00-000022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5" name="Gráfico 34" descr="Alternar con relleno sólido">
            <a:extLst>
              <a:ext uri="{FF2B5EF4-FFF2-40B4-BE49-F238E27FC236}">
                <a16:creationId xmlns:a16="http://schemas.microsoft.com/office/drawing/2014/main" id="{00000000-0008-0000-1D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6" name="Grupo 35">
          <a:hlinkClick xmlns:r="http://schemas.openxmlformats.org/officeDocument/2006/relationships" r:id="rId1"/>
          <a:extLst>
            <a:ext uri="{FF2B5EF4-FFF2-40B4-BE49-F238E27FC236}">
              <a16:creationId xmlns:a16="http://schemas.microsoft.com/office/drawing/2014/main" id="{00000000-0008-0000-1D00-000024000000}"/>
            </a:ext>
          </a:extLst>
        </xdr:cNvPr>
        <xdr:cNvGrpSpPr/>
      </xdr:nvGrpSpPr>
      <xdr:grpSpPr>
        <a:xfrm>
          <a:off x="0" y="1862142"/>
          <a:ext cx="1295400" cy="638178"/>
          <a:chOff x="0" y="1862142"/>
          <a:chExt cx="1295400" cy="638178"/>
        </a:xfrm>
      </xdr:grpSpPr>
      <xdr:sp macro="" textlink="">
        <xdr:nvSpPr>
          <xdr:cNvPr id="37" name="Rectángulo: esquinas superiores redondeadas 36">
            <a:extLst>
              <a:ext uri="{FF2B5EF4-FFF2-40B4-BE49-F238E27FC236}">
                <a16:creationId xmlns:a16="http://schemas.microsoft.com/office/drawing/2014/main" id="{00000000-0008-0000-1D00-00002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8" name="Gráfico 37" descr="Lista con relleno sólido">
            <a:extLst>
              <a:ext uri="{FF2B5EF4-FFF2-40B4-BE49-F238E27FC236}">
                <a16:creationId xmlns:a16="http://schemas.microsoft.com/office/drawing/2014/main" id="{00000000-0008-0000-1D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9" name="Grupo 38">
          <a:hlinkClick xmlns:r="http://schemas.openxmlformats.org/officeDocument/2006/relationships" r:id="rId19"/>
          <a:extLst>
            <a:ext uri="{FF2B5EF4-FFF2-40B4-BE49-F238E27FC236}">
              <a16:creationId xmlns:a16="http://schemas.microsoft.com/office/drawing/2014/main" id="{00000000-0008-0000-1D00-000027000000}"/>
            </a:ext>
          </a:extLst>
        </xdr:cNvPr>
        <xdr:cNvGrpSpPr/>
      </xdr:nvGrpSpPr>
      <xdr:grpSpPr>
        <a:xfrm>
          <a:off x="0" y="6477000"/>
          <a:ext cx="1240383" cy="416889"/>
          <a:chOff x="28575" y="6381750"/>
          <a:chExt cx="1240383" cy="416889"/>
        </a:xfrm>
      </xdr:grpSpPr>
      <xdr:pic>
        <xdr:nvPicPr>
          <xdr:cNvPr id="40" name="Gráfico 39" descr="Engranaje único con relleno sólido">
            <a:extLst>
              <a:ext uri="{FF2B5EF4-FFF2-40B4-BE49-F238E27FC236}">
                <a16:creationId xmlns:a16="http://schemas.microsoft.com/office/drawing/2014/main" id="{00000000-0008-0000-1D00-00002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1" name="CuadroTexto 40">
            <a:extLst>
              <a:ext uri="{FF2B5EF4-FFF2-40B4-BE49-F238E27FC236}">
                <a16:creationId xmlns:a16="http://schemas.microsoft.com/office/drawing/2014/main" id="{00000000-0008-0000-1D00-00002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10</xdr:row>
      <xdr:rowOff>29041</xdr:rowOff>
    </xdr:from>
    <xdr:to>
      <xdr:col>1</xdr:col>
      <xdr:colOff>0</xdr:colOff>
      <xdr:row>13</xdr:row>
      <xdr:rowOff>60543</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1E00-000002000000}"/>
            </a:ext>
          </a:extLst>
        </xdr:cNvPr>
        <xdr:cNvGrpSpPr/>
      </xdr:nvGrpSpPr>
      <xdr:grpSpPr>
        <a:xfrm>
          <a:off x="1381125" y="1934041"/>
          <a:ext cx="0" cy="603002"/>
          <a:chOff x="-1" y="2057866"/>
          <a:chExt cx="1285875" cy="603002"/>
        </a:xfrm>
      </xdr:grpSpPr>
      <xdr:sp macro="" textlink="">
        <xdr:nvSpPr>
          <xdr:cNvPr id="3" name="Rectángulo: esquinas superiores redondeadas 2">
            <a:extLst>
              <a:ext uri="{FF2B5EF4-FFF2-40B4-BE49-F238E27FC236}">
                <a16:creationId xmlns:a16="http://schemas.microsoft.com/office/drawing/2014/main" id="{00000000-0008-0000-1E00-000003000000}"/>
              </a:ext>
            </a:extLst>
          </xdr:cNvPr>
          <xdr:cNvSpPr/>
        </xdr:nvSpPr>
        <xdr:spPr>
          <a:xfrm rot="5400000">
            <a:off x="341436" y="1716429"/>
            <a:ext cx="60300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4" name="Gráfico 3" descr="Lista con relleno sólido">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096151"/>
            <a:ext cx="504825" cy="507287"/>
          </a:xfrm>
          <a:prstGeom prst="rect">
            <a:avLst/>
          </a:prstGeom>
        </xdr:spPr>
      </xdr:pic>
    </xdr:grpSp>
    <xdr:clientData/>
  </xdr:twoCellAnchor>
  <xdr:twoCellAnchor>
    <xdr:from>
      <xdr:col>3</xdr:col>
      <xdr:colOff>2009775</xdr:colOff>
      <xdr:row>0</xdr:row>
      <xdr:rowOff>76200</xdr:rowOff>
    </xdr:from>
    <xdr:to>
      <xdr:col>10</xdr:col>
      <xdr:colOff>47625</xdr:colOff>
      <xdr:row>3</xdr:row>
      <xdr:rowOff>66675</xdr:rowOff>
    </xdr:to>
    <xdr:sp macro="" textlink="">
      <xdr:nvSpPr>
        <xdr:cNvPr id="5" name="Rectángulo: esquinas redondeadas 4">
          <a:extLst>
            <a:ext uri="{FF2B5EF4-FFF2-40B4-BE49-F238E27FC236}">
              <a16:creationId xmlns:a16="http://schemas.microsoft.com/office/drawing/2014/main" id="{00000000-0008-0000-1E00-000005000000}"/>
            </a:ext>
          </a:extLst>
        </xdr:cNvPr>
        <xdr:cNvSpPr/>
      </xdr:nvSpPr>
      <xdr:spPr>
        <a:xfrm>
          <a:off x="4381500" y="762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SUPUESTOS</a:t>
          </a:r>
          <a:r>
            <a:rPr lang="es-ES" sz="2800" b="1" baseline="0"/>
            <a:t> DE COSTOS</a:t>
          </a:r>
          <a:endParaRPr lang="es-ES" sz="2800" b="1"/>
        </a:p>
      </xdr:txBody>
    </xdr:sp>
    <xdr:clientData/>
  </xdr:twoCellAnchor>
  <xdr:twoCellAnchor>
    <xdr:from>
      <xdr:col>10</xdr:col>
      <xdr:colOff>123825</xdr:colOff>
      <xdr:row>0</xdr:row>
      <xdr:rowOff>57150</xdr:rowOff>
    </xdr:from>
    <xdr:to>
      <xdr:col>14</xdr:col>
      <xdr:colOff>747970</xdr:colOff>
      <xdr:row>3</xdr:row>
      <xdr:rowOff>6305</xdr:rowOff>
    </xdr:to>
    <xdr:grpSp>
      <xdr:nvGrpSpPr>
        <xdr:cNvPr id="6" name="Grupo 5">
          <a:hlinkClick xmlns:r="http://schemas.openxmlformats.org/officeDocument/2006/relationships" r:id="rId4"/>
          <a:extLst>
            <a:ext uri="{FF2B5EF4-FFF2-40B4-BE49-F238E27FC236}">
              <a16:creationId xmlns:a16="http://schemas.microsoft.com/office/drawing/2014/main" id="{00000000-0008-0000-1E00-000006000000}"/>
            </a:ext>
          </a:extLst>
        </xdr:cNvPr>
        <xdr:cNvGrpSpPr/>
      </xdr:nvGrpSpPr>
      <xdr:grpSpPr>
        <a:xfrm>
          <a:off x="13637419" y="57150"/>
          <a:ext cx="4577020" cy="520655"/>
          <a:chOff x="12581343" y="579123"/>
          <a:chExt cx="5411248" cy="1943702"/>
        </a:xfrm>
      </xdr:grpSpPr>
      <xdr:sp macro="" textlink="">
        <xdr:nvSpPr>
          <xdr:cNvPr id="7" name="Rectángulo 6">
            <a:extLst>
              <a:ext uri="{FF2B5EF4-FFF2-40B4-BE49-F238E27FC236}">
                <a16:creationId xmlns:a16="http://schemas.microsoft.com/office/drawing/2014/main" id="{00000000-0008-0000-1E00-000007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8" name="Gráfico 7" descr="Círculos con flechas con relleno sólido">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9" name="Grupo 8">
          <a:hlinkClick xmlns:r="http://schemas.openxmlformats.org/officeDocument/2006/relationships" r:id="rId7"/>
          <a:extLst>
            <a:ext uri="{FF2B5EF4-FFF2-40B4-BE49-F238E27FC236}">
              <a16:creationId xmlns:a16="http://schemas.microsoft.com/office/drawing/2014/main" id="{00000000-0008-0000-1E00-000009000000}"/>
            </a:ext>
          </a:extLst>
        </xdr:cNvPr>
        <xdr:cNvGrpSpPr/>
      </xdr:nvGrpSpPr>
      <xdr:grpSpPr>
        <a:xfrm>
          <a:off x="0" y="0"/>
          <a:ext cx="1381125" cy="328014"/>
          <a:chOff x="91104" y="65606"/>
          <a:chExt cx="1192701" cy="328014"/>
        </a:xfrm>
      </xdr:grpSpPr>
      <xdr:sp macro="" textlink="">
        <xdr:nvSpPr>
          <xdr:cNvPr id="10" name="Rectángulo 9">
            <a:extLst>
              <a:ext uri="{FF2B5EF4-FFF2-40B4-BE49-F238E27FC236}">
                <a16:creationId xmlns:a16="http://schemas.microsoft.com/office/drawing/2014/main" id="{00000000-0008-0000-1E00-00000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1" name="Gráfico 10" descr="Hogar con relleno sólido">
            <a:extLst>
              <a:ext uri="{FF2B5EF4-FFF2-40B4-BE49-F238E27FC236}">
                <a16:creationId xmlns:a16="http://schemas.microsoft.com/office/drawing/2014/main" id="{00000000-0008-0000-1E00-00000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 name="Grupo 11">
          <a:hlinkClick xmlns:r="http://schemas.openxmlformats.org/officeDocument/2006/relationships" r:id="rId10"/>
          <a:extLst>
            <a:ext uri="{FF2B5EF4-FFF2-40B4-BE49-F238E27FC236}">
              <a16:creationId xmlns:a16="http://schemas.microsoft.com/office/drawing/2014/main" id="{00000000-0008-0000-1E00-00000C000000}"/>
            </a:ext>
          </a:extLst>
        </xdr:cNvPr>
        <xdr:cNvGrpSpPr/>
      </xdr:nvGrpSpPr>
      <xdr:grpSpPr>
        <a:xfrm>
          <a:off x="0" y="4710117"/>
          <a:ext cx="1295400" cy="638178"/>
          <a:chOff x="0" y="3671892"/>
          <a:chExt cx="1295400" cy="638178"/>
        </a:xfrm>
      </xdr:grpSpPr>
      <xdr:sp macro="" textlink="">
        <xdr:nvSpPr>
          <xdr:cNvPr id="13" name="Rectángulo: esquinas superiores redondeadas 12">
            <a:extLst>
              <a:ext uri="{FF2B5EF4-FFF2-40B4-BE49-F238E27FC236}">
                <a16:creationId xmlns:a16="http://schemas.microsoft.com/office/drawing/2014/main" id="{00000000-0008-0000-1E00-00000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4" name="Gráfico 13" descr="Información con relleno sólido">
            <a:extLst>
              <a:ext uri="{FF2B5EF4-FFF2-40B4-BE49-F238E27FC236}">
                <a16:creationId xmlns:a16="http://schemas.microsoft.com/office/drawing/2014/main" id="{00000000-0008-0000-1E00-00000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5" name="Grupo 14">
          <a:hlinkClick xmlns:r="http://schemas.openxmlformats.org/officeDocument/2006/relationships" r:id="rId13"/>
          <a:extLst>
            <a:ext uri="{FF2B5EF4-FFF2-40B4-BE49-F238E27FC236}">
              <a16:creationId xmlns:a16="http://schemas.microsoft.com/office/drawing/2014/main" id="{00000000-0008-0000-1E00-00000F000000}"/>
            </a:ext>
          </a:extLst>
        </xdr:cNvPr>
        <xdr:cNvGrpSpPr/>
      </xdr:nvGrpSpPr>
      <xdr:grpSpPr>
        <a:xfrm>
          <a:off x="0" y="3760792"/>
          <a:ext cx="1304926" cy="638178"/>
          <a:chOff x="0" y="2767017"/>
          <a:chExt cx="1304926" cy="638178"/>
        </a:xfrm>
      </xdr:grpSpPr>
      <xdr:sp macro="" textlink="">
        <xdr:nvSpPr>
          <xdr:cNvPr id="16" name="Rectángulo: esquinas superiores redondeadas 15">
            <a:extLst>
              <a:ext uri="{FF2B5EF4-FFF2-40B4-BE49-F238E27FC236}">
                <a16:creationId xmlns:a16="http://schemas.microsoft.com/office/drawing/2014/main" id="{00000000-0008-0000-1E00-00001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7" name="Gráfico 16" descr="Gráfico de barras con relleno sólido">
            <a:extLst>
              <a:ext uri="{FF2B5EF4-FFF2-40B4-BE49-F238E27FC236}">
                <a16:creationId xmlns:a16="http://schemas.microsoft.com/office/drawing/2014/main" id="{00000000-0008-0000-1E00-00001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8" name="Grupo 17">
          <a:hlinkClick xmlns:r="http://schemas.openxmlformats.org/officeDocument/2006/relationships" r:id="rId16"/>
          <a:extLst>
            <a:ext uri="{FF2B5EF4-FFF2-40B4-BE49-F238E27FC236}">
              <a16:creationId xmlns:a16="http://schemas.microsoft.com/office/drawing/2014/main" id="{00000000-0008-0000-1E00-000012000000}"/>
            </a:ext>
          </a:extLst>
        </xdr:cNvPr>
        <xdr:cNvGrpSpPr/>
      </xdr:nvGrpSpPr>
      <xdr:grpSpPr>
        <a:xfrm>
          <a:off x="0" y="2811467"/>
          <a:ext cx="1323975" cy="638178"/>
          <a:chOff x="0" y="1862142"/>
          <a:chExt cx="1323975" cy="638178"/>
        </a:xfrm>
      </xdr:grpSpPr>
      <xdr:sp macro="" textlink="">
        <xdr:nvSpPr>
          <xdr:cNvPr id="19" name="Rectángulo: esquinas superiores redondeadas 18">
            <a:extLst>
              <a:ext uri="{FF2B5EF4-FFF2-40B4-BE49-F238E27FC236}">
                <a16:creationId xmlns:a16="http://schemas.microsoft.com/office/drawing/2014/main" id="{00000000-0008-0000-1E00-000013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0" name="Gráfico 19" descr="Alternar con relleno sólido">
            <a:extLst>
              <a:ext uri="{FF2B5EF4-FFF2-40B4-BE49-F238E27FC236}">
                <a16:creationId xmlns:a16="http://schemas.microsoft.com/office/drawing/2014/main" id="{00000000-0008-0000-1E00-00001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21" name="Grupo 20">
          <a:hlinkClick xmlns:r="http://schemas.openxmlformats.org/officeDocument/2006/relationships" r:id="rId1"/>
          <a:extLst>
            <a:ext uri="{FF2B5EF4-FFF2-40B4-BE49-F238E27FC236}">
              <a16:creationId xmlns:a16="http://schemas.microsoft.com/office/drawing/2014/main" id="{00000000-0008-0000-1E00-000015000000}"/>
            </a:ext>
          </a:extLst>
        </xdr:cNvPr>
        <xdr:cNvGrpSpPr/>
      </xdr:nvGrpSpPr>
      <xdr:grpSpPr>
        <a:xfrm>
          <a:off x="0" y="1862142"/>
          <a:ext cx="1295400" cy="638178"/>
          <a:chOff x="0" y="1862142"/>
          <a:chExt cx="1295400" cy="638178"/>
        </a:xfrm>
      </xdr:grpSpPr>
      <xdr:sp macro="" textlink="">
        <xdr:nvSpPr>
          <xdr:cNvPr id="22" name="Rectángulo: esquinas superiores redondeadas 21">
            <a:extLst>
              <a:ext uri="{FF2B5EF4-FFF2-40B4-BE49-F238E27FC236}">
                <a16:creationId xmlns:a16="http://schemas.microsoft.com/office/drawing/2014/main" id="{00000000-0008-0000-1E00-00001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23" name="Gráfico 22" descr="Lista con relleno sólido">
            <a:extLst>
              <a:ext uri="{FF2B5EF4-FFF2-40B4-BE49-F238E27FC236}">
                <a16:creationId xmlns:a16="http://schemas.microsoft.com/office/drawing/2014/main" id="{00000000-0008-0000-1E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24" name="Grupo 23">
          <a:hlinkClick xmlns:r="http://schemas.openxmlformats.org/officeDocument/2006/relationships" r:id="rId19"/>
          <a:extLst>
            <a:ext uri="{FF2B5EF4-FFF2-40B4-BE49-F238E27FC236}">
              <a16:creationId xmlns:a16="http://schemas.microsoft.com/office/drawing/2014/main" id="{00000000-0008-0000-1E00-000018000000}"/>
            </a:ext>
          </a:extLst>
        </xdr:cNvPr>
        <xdr:cNvGrpSpPr/>
      </xdr:nvGrpSpPr>
      <xdr:grpSpPr>
        <a:xfrm>
          <a:off x="0" y="6477000"/>
          <a:ext cx="1240383" cy="416889"/>
          <a:chOff x="28575" y="6381750"/>
          <a:chExt cx="1240383" cy="416889"/>
        </a:xfrm>
      </xdr:grpSpPr>
      <xdr:pic>
        <xdr:nvPicPr>
          <xdr:cNvPr id="25" name="Gráfico 24" descr="Engranaje único con relleno sólido">
            <a:extLst>
              <a:ext uri="{FF2B5EF4-FFF2-40B4-BE49-F238E27FC236}">
                <a16:creationId xmlns:a16="http://schemas.microsoft.com/office/drawing/2014/main" id="{00000000-0008-0000-1E00-000019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26" name="CuadroTexto 25">
            <a:extLst>
              <a:ext uri="{FF2B5EF4-FFF2-40B4-BE49-F238E27FC236}">
                <a16:creationId xmlns:a16="http://schemas.microsoft.com/office/drawing/2014/main" id="{00000000-0008-0000-1E00-00001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108857</xdr:colOff>
      <xdr:row>0</xdr:row>
      <xdr:rowOff>108858</xdr:rowOff>
    </xdr:from>
    <xdr:to>
      <xdr:col>0</xdr:col>
      <xdr:colOff>1489982</xdr:colOff>
      <xdr:row>0</xdr:row>
      <xdr:rowOff>436872</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1F00-000002000000}"/>
            </a:ext>
          </a:extLst>
        </xdr:cNvPr>
        <xdr:cNvGrpSpPr/>
      </xdr:nvGrpSpPr>
      <xdr:grpSpPr>
        <a:xfrm>
          <a:off x="108857" y="108858"/>
          <a:ext cx="1285875" cy="328014"/>
          <a:chOff x="91104" y="65606"/>
          <a:chExt cx="1192701" cy="328014"/>
        </a:xfrm>
      </xdr:grpSpPr>
      <xdr:sp macro="" textlink="">
        <xdr:nvSpPr>
          <xdr:cNvPr id="3" name="Rectángulo 2">
            <a:extLst>
              <a:ext uri="{FF2B5EF4-FFF2-40B4-BE49-F238E27FC236}">
                <a16:creationId xmlns:a16="http://schemas.microsoft.com/office/drawing/2014/main" id="{00000000-0008-0000-1F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4</xdr:col>
      <xdr:colOff>0</xdr:colOff>
      <xdr:row>0</xdr:row>
      <xdr:rowOff>0</xdr:rowOff>
    </xdr:from>
    <xdr:to>
      <xdr:col>4</xdr:col>
      <xdr:colOff>1768929</xdr:colOff>
      <xdr:row>0</xdr:row>
      <xdr:rowOff>451072</xdr:rowOff>
    </xdr:to>
    <xdr:grpSp>
      <xdr:nvGrpSpPr>
        <xdr:cNvPr id="20" name="Grupo 19">
          <a:hlinkClick xmlns:r="http://schemas.openxmlformats.org/officeDocument/2006/relationships" r:id="rId4"/>
          <a:extLst>
            <a:ext uri="{FF2B5EF4-FFF2-40B4-BE49-F238E27FC236}">
              <a16:creationId xmlns:a16="http://schemas.microsoft.com/office/drawing/2014/main" id="{00000000-0008-0000-1F00-000014000000}"/>
            </a:ext>
          </a:extLst>
        </xdr:cNvPr>
        <xdr:cNvGrpSpPr/>
      </xdr:nvGrpSpPr>
      <xdr:grpSpPr>
        <a:xfrm>
          <a:off x="9334500" y="0"/>
          <a:ext cx="1768929" cy="451072"/>
          <a:chOff x="2408463" y="93214"/>
          <a:chExt cx="1768929" cy="451072"/>
        </a:xfrm>
      </xdr:grpSpPr>
      <xdr:sp macro="" textlink="">
        <xdr:nvSpPr>
          <xdr:cNvPr id="22" name="Rectángulo: esquinas redondeadas 21">
            <a:extLst>
              <a:ext uri="{FF2B5EF4-FFF2-40B4-BE49-F238E27FC236}">
                <a16:creationId xmlns:a16="http://schemas.microsoft.com/office/drawing/2014/main" id="{00000000-0008-0000-1F00-000016000000}"/>
              </a:ext>
            </a:extLst>
          </xdr:cNvPr>
          <xdr:cNvSpPr/>
        </xdr:nvSpPr>
        <xdr:spPr>
          <a:xfrm>
            <a:off x="2408463" y="9524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TRAYECTORIAS</a:t>
            </a:r>
          </a:p>
        </xdr:txBody>
      </xdr:sp>
      <xdr:pic>
        <xdr:nvPicPr>
          <xdr:cNvPr id="25" name="Gráfico 24" descr="Lista con relleno sólido">
            <a:extLst>
              <a:ext uri="{FF2B5EF4-FFF2-40B4-BE49-F238E27FC236}">
                <a16:creationId xmlns:a16="http://schemas.microsoft.com/office/drawing/2014/main" id="{00000000-0008-0000-1F00-00001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8679" y="93214"/>
            <a:ext cx="504825" cy="399425"/>
          </a:xfrm>
          <a:prstGeom prst="rect">
            <a:avLst/>
          </a:prstGeom>
        </xdr:spPr>
      </xdr:pic>
    </xdr:grpSp>
    <xdr:clientData/>
  </xdr:twoCellAnchor>
  <xdr:twoCellAnchor>
    <xdr:from>
      <xdr:col>4</xdr:col>
      <xdr:colOff>2002971</xdr:colOff>
      <xdr:row>0</xdr:row>
      <xdr:rowOff>0</xdr:rowOff>
    </xdr:from>
    <xdr:to>
      <xdr:col>4</xdr:col>
      <xdr:colOff>3771900</xdr:colOff>
      <xdr:row>0</xdr:row>
      <xdr:rowOff>449037</xdr:rowOff>
    </xdr:to>
    <xdr:grpSp>
      <xdr:nvGrpSpPr>
        <xdr:cNvPr id="27" name="Grupo 26">
          <a:hlinkClick xmlns:r="http://schemas.openxmlformats.org/officeDocument/2006/relationships" r:id="rId7"/>
          <a:extLst>
            <a:ext uri="{FF2B5EF4-FFF2-40B4-BE49-F238E27FC236}">
              <a16:creationId xmlns:a16="http://schemas.microsoft.com/office/drawing/2014/main" id="{00000000-0008-0000-1F00-00001B000000}"/>
            </a:ext>
          </a:extLst>
        </xdr:cNvPr>
        <xdr:cNvGrpSpPr/>
      </xdr:nvGrpSpPr>
      <xdr:grpSpPr>
        <a:xfrm>
          <a:off x="11337471" y="0"/>
          <a:ext cx="1768929" cy="449037"/>
          <a:chOff x="4411435" y="111578"/>
          <a:chExt cx="1768929" cy="449037"/>
        </a:xfrm>
      </xdr:grpSpPr>
      <xdr:sp macro="" textlink="">
        <xdr:nvSpPr>
          <xdr:cNvPr id="30" name="Rectángulo: esquinas redondeadas 29">
            <a:extLst>
              <a:ext uri="{FF2B5EF4-FFF2-40B4-BE49-F238E27FC236}">
                <a16:creationId xmlns:a16="http://schemas.microsoft.com/office/drawing/2014/main" id="{00000000-0008-0000-1F00-00001E000000}"/>
              </a:ext>
            </a:extLst>
          </xdr:cNvPr>
          <xdr:cNvSpPr/>
        </xdr:nvSpPr>
        <xdr:spPr>
          <a:xfrm>
            <a:off x="4411435" y="111578"/>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ESCENARIOS</a:t>
            </a:r>
          </a:p>
        </xdr:txBody>
      </xdr:sp>
      <xdr:pic>
        <xdr:nvPicPr>
          <xdr:cNvPr id="32" name="Gráfico 31" descr="Alternar con relleno sólido">
            <a:extLst>
              <a:ext uri="{FF2B5EF4-FFF2-40B4-BE49-F238E27FC236}">
                <a16:creationId xmlns:a16="http://schemas.microsoft.com/office/drawing/2014/main" id="{00000000-0008-0000-1F00-00002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592535" y="117254"/>
            <a:ext cx="495300" cy="420237"/>
          </a:xfrm>
          <a:prstGeom prst="rect">
            <a:avLst/>
          </a:prstGeom>
        </xdr:spPr>
      </xdr:pic>
    </xdr:grpSp>
    <xdr:clientData/>
  </xdr:twoCellAnchor>
  <xdr:twoCellAnchor>
    <xdr:from>
      <xdr:col>5</xdr:col>
      <xdr:colOff>157842</xdr:colOff>
      <xdr:row>0</xdr:row>
      <xdr:rowOff>0</xdr:rowOff>
    </xdr:from>
    <xdr:to>
      <xdr:col>5</xdr:col>
      <xdr:colOff>1926771</xdr:colOff>
      <xdr:row>0</xdr:row>
      <xdr:rowOff>476251</xdr:rowOff>
    </xdr:to>
    <xdr:grpSp>
      <xdr:nvGrpSpPr>
        <xdr:cNvPr id="34" name="Grupo 33">
          <a:hlinkClick xmlns:r="http://schemas.openxmlformats.org/officeDocument/2006/relationships" r:id="rId10"/>
          <a:extLst>
            <a:ext uri="{FF2B5EF4-FFF2-40B4-BE49-F238E27FC236}">
              <a16:creationId xmlns:a16="http://schemas.microsoft.com/office/drawing/2014/main" id="{00000000-0008-0000-1F00-000022000000}"/>
            </a:ext>
          </a:extLst>
        </xdr:cNvPr>
        <xdr:cNvGrpSpPr/>
      </xdr:nvGrpSpPr>
      <xdr:grpSpPr>
        <a:xfrm>
          <a:off x="13338061" y="0"/>
          <a:ext cx="1768929" cy="476251"/>
          <a:chOff x="6400799" y="95251"/>
          <a:chExt cx="1768929" cy="476251"/>
        </a:xfrm>
      </xdr:grpSpPr>
      <xdr:sp macro="" textlink="">
        <xdr:nvSpPr>
          <xdr:cNvPr id="35" name="Rectángulo: esquinas redondeadas 34">
            <a:extLst>
              <a:ext uri="{FF2B5EF4-FFF2-40B4-BE49-F238E27FC236}">
                <a16:creationId xmlns:a16="http://schemas.microsoft.com/office/drawing/2014/main" id="{00000000-0008-0000-1F00-000023000000}"/>
              </a:ext>
            </a:extLst>
          </xdr:cNvPr>
          <xdr:cNvSpPr/>
        </xdr:nvSpPr>
        <xdr:spPr>
          <a:xfrm>
            <a:off x="6400799" y="11429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RESULTADOS</a:t>
            </a:r>
          </a:p>
        </xdr:txBody>
      </xdr:sp>
      <xdr:pic>
        <xdr:nvPicPr>
          <xdr:cNvPr id="36" name="Gráfico 35" descr="Gráfico de barras con relleno sólido">
            <a:extLst>
              <a:ext uri="{FF2B5EF4-FFF2-40B4-BE49-F238E27FC236}">
                <a16:creationId xmlns:a16="http://schemas.microsoft.com/office/drawing/2014/main" id="{00000000-0008-0000-1F00-00002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47214" y="95251"/>
            <a:ext cx="476251" cy="476251"/>
          </a:xfrm>
          <a:prstGeom prst="rect">
            <a:avLst/>
          </a:prstGeom>
        </xdr:spPr>
      </xdr:pic>
    </xdr:grpSp>
    <xdr:clientData/>
  </xdr:twoCellAnchor>
  <xdr:twoCellAnchor>
    <xdr:from>
      <xdr:col>5</xdr:col>
      <xdr:colOff>2160814</xdr:colOff>
      <xdr:row>0</xdr:row>
      <xdr:rowOff>0</xdr:rowOff>
    </xdr:from>
    <xdr:to>
      <xdr:col>5</xdr:col>
      <xdr:colOff>3929743</xdr:colOff>
      <xdr:row>0</xdr:row>
      <xdr:rowOff>449037</xdr:rowOff>
    </xdr:to>
    <xdr:grpSp>
      <xdr:nvGrpSpPr>
        <xdr:cNvPr id="37" name="Grupo 36">
          <a:hlinkClick xmlns:r="http://schemas.openxmlformats.org/officeDocument/2006/relationships" r:id="rId13"/>
          <a:extLst>
            <a:ext uri="{FF2B5EF4-FFF2-40B4-BE49-F238E27FC236}">
              <a16:creationId xmlns:a16="http://schemas.microsoft.com/office/drawing/2014/main" id="{00000000-0008-0000-1F00-000025000000}"/>
            </a:ext>
          </a:extLst>
        </xdr:cNvPr>
        <xdr:cNvGrpSpPr/>
      </xdr:nvGrpSpPr>
      <xdr:grpSpPr>
        <a:xfrm>
          <a:off x="15341033" y="0"/>
          <a:ext cx="1768929" cy="449037"/>
          <a:chOff x="8417377" y="89806"/>
          <a:chExt cx="1768929" cy="449037"/>
        </a:xfrm>
      </xdr:grpSpPr>
      <xdr:sp macro="" textlink="">
        <xdr:nvSpPr>
          <xdr:cNvPr id="39" name="Rectángulo: esquinas redondeadas 38">
            <a:extLst>
              <a:ext uri="{FF2B5EF4-FFF2-40B4-BE49-F238E27FC236}">
                <a16:creationId xmlns:a16="http://schemas.microsoft.com/office/drawing/2014/main" id="{00000000-0008-0000-1F00-000027000000}"/>
              </a:ext>
            </a:extLst>
          </xdr:cNvPr>
          <xdr:cNvSpPr/>
        </xdr:nvSpPr>
        <xdr:spPr>
          <a:xfrm>
            <a:off x="8417377" y="89806"/>
            <a:ext cx="1768929" cy="449037"/>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INFORMACIÓN</a:t>
            </a:r>
          </a:p>
        </xdr:txBody>
      </xdr:sp>
      <xdr:pic>
        <xdr:nvPicPr>
          <xdr:cNvPr id="40" name="Gráfico 39" descr="Información con relleno sólido">
            <a:extLst>
              <a:ext uri="{FF2B5EF4-FFF2-40B4-BE49-F238E27FC236}">
                <a16:creationId xmlns:a16="http://schemas.microsoft.com/office/drawing/2014/main" id="{00000000-0008-0000-1F00-00002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661071" y="108857"/>
            <a:ext cx="495300" cy="405166"/>
          </a:xfrm>
          <a:prstGeom prst="rect">
            <a:avLst/>
          </a:prstGeom>
        </xdr:spPr>
      </xdr:pic>
    </xdr:grp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17" name="Grupo 16">
          <a:hlinkClick xmlns:r="http://schemas.openxmlformats.org/officeDocument/2006/relationships" r:id="rId1"/>
          <a:extLst>
            <a:ext uri="{FF2B5EF4-FFF2-40B4-BE49-F238E27FC236}">
              <a16:creationId xmlns:a16="http://schemas.microsoft.com/office/drawing/2014/main" id="{00000000-0008-0000-2000-000011000000}"/>
            </a:ext>
          </a:extLst>
        </xdr:cNvPr>
        <xdr:cNvGrpSpPr/>
      </xdr:nvGrpSpPr>
      <xdr:grpSpPr>
        <a:xfrm>
          <a:off x="0" y="0"/>
          <a:ext cx="1381125" cy="328014"/>
          <a:chOff x="91104" y="65606"/>
          <a:chExt cx="1192701" cy="328014"/>
        </a:xfrm>
      </xdr:grpSpPr>
      <xdr:sp macro="" textlink="">
        <xdr:nvSpPr>
          <xdr:cNvPr id="18" name="Rectángulo 17">
            <a:extLst>
              <a:ext uri="{FF2B5EF4-FFF2-40B4-BE49-F238E27FC236}">
                <a16:creationId xmlns:a16="http://schemas.microsoft.com/office/drawing/2014/main" id="{00000000-0008-0000-2000-00001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9" name="Gráfico 18" descr="Hogar con relleno sólido">
            <a:extLst>
              <a:ext uri="{FF2B5EF4-FFF2-40B4-BE49-F238E27FC236}">
                <a16:creationId xmlns:a16="http://schemas.microsoft.com/office/drawing/2014/main" id="{00000000-0008-0000-20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0" name="Grupo 19">
          <a:hlinkClick xmlns:r="http://schemas.openxmlformats.org/officeDocument/2006/relationships" r:id="rId4"/>
          <a:extLst>
            <a:ext uri="{FF2B5EF4-FFF2-40B4-BE49-F238E27FC236}">
              <a16:creationId xmlns:a16="http://schemas.microsoft.com/office/drawing/2014/main" id="{00000000-0008-0000-2000-000014000000}"/>
            </a:ext>
          </a:extLst>
        </xdr:cNvPr>
        <xdr:cNvGrpSpPr/>
      </xdr:nvGrpSpPr>
      <xdr:grpSpPr>
        <a:xfrm>
          <a:off x="0" y="4710117"/>
          <a:ext cx="1295400" cy="638178"/>
          <a:chOff x="0" y="3671892"/>
          <a:chExt cx="1295400" cy="638178"/>
        </a:xfrm>
      </xdr:grpSpPr>
      <xdr:sp macro="" textlink="">
        <xdr:nvSpPr>
          <xdr:cNvPr id="21" name="Rectángulo: esquinas superiores redondeadas 20">
            <a:extLst>
              <a:ext uri="{FF2B5EF4-FFF2-40B4-BE49-F238E27FC236}">
                <a16:creationId xmlns:a16="http://schemas.microsoft.com/office/drawing/2014/main" id="{00000000-0008-0000-2000-000015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2" name="Gráfico 21" descr="Información con relleno sólido">
            <a:extLst>
              <a:ext uri="{FF2B5EF4-FFF2-40B4-BE49-F238E27FC236}">
                <a16:creationId xmlns:a16="http://schemas.microsoft.com/office/drawing/2014/main" id="{00000000-0008-0000-20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3" name="Grupo 22">
          <a:hlinkClick xmlns:r="http://schemas.openxmlformats.org/officeDocument/2006/relationships" r:id="rId7"/>
          <a:extLst>
            <a:ext uri="{FF2B5EF4-FFF2-40B4-BE49-F238E27FC236}">
              <a16:creationId xmlns:a16="http://schemas.microsoft.com/office/drawing/2014/main" id="{00000000-0008-0000-2000-000017000000}"/>
            </a:ext>
          </a:extLst>
        </xdr:cNvPr>
        <xdr:cNvGrpSpPr/>
      </xdr:nvGrpSpPr>
      <xdr:grpSpPr>
        <a:xfrm>
          <a:off x="0" y="3760792"/>
          <a:ext cx="1304926" cy="638178"/>
          <a:chOff x="0" y="2767017"/>
          <a:chExt cx="1304926" cy="638178"/>
        </a:xfrm>
      </xdr:grpSpPr>
      <xdr:sp macro="" textlink="">
        <xdr:nvSpPr>
          <xdr:cNvPr id="24" name="Rectángulo: esquinas superiores redondeadas 23">
            <a:extLst>
              <a:ext uri="{FF2B5EF4-FFF2-40B4-BE49-F238E27FC236}">
                <a16:creationId xmlns:a16="http://schemas.microsoft.com/office/drawing/2014/main" id="{00000000-0008-0000-2000-000018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5" name="Gráfico 24" descr="Gráfico de barras con relleno sólido">
            <a:extLst>
              <a:ext uri="{FF2B5EF4-FFF2-40B4-BE49-F238E27FC236}">
                <a16:creationId xmlns:a16="http://schemas.microsoft.com/office/drawing/2014/main" id="{00000000-0008-0000-2000-00001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26" name="Grupo 25">
          <a:hlinkClick xmlns:r="http://schemas.openxmlformats.org/officeDocument/2006/relationships" r:id="rId10"/>
          <a:extLst>
            <a:ext uri="{FF2B5EF4-FFF2-40B4-BE49-F238E27FC236}">
              <a16:creationId xmlns:a16="http://schemas.microsoft.com/office/drawing/2014/main" id="{00000000-0008-0000-2000-00001A000000}"/>
            </a:ext>
          </a:extLst>
        </xdr:cNvPr>
        <xdr:cNvGrpSpPr/>
      </xdr:nvGrpSpPr>
      <xdr:grpSpPr>
        <a:xfrm>
          <a:off x="0" y="2811467"/>
          <a:ext cx="1323975" cy="638178"/>
          <a:chOff x="0" y="1862142"/>
          <a:chExt cx="1323975" cy="638178"/>
        </a:xfrm>
      </xdr:grpSpPr>
      <xdr:sp macro="" textlink="">
        <xdr:nvSpPr>
          <xdr:cNvPr id="27" name="Rectángulo: esquinas superiores redondeadas 26">
            <a:extLst>
              <a:ext uri="{FF2B5EF4-FFF2-40B4-BE49-F238E27FC236}">
                <a16:creationId xmlns:a16="http://schemas.microsoft.com/office/drawing/2014/main" id="{00000000-0008-0000-2000-00001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8" name="Gráfico 27" descr="Alternar con relleno sólido">
            <a:extLst>
              <a:ext uri="{FF2B5EF4-FFF2-40B4-BE49-F238E27FC236}">
                <a16:creationId xmlns:a16="http://schemas.microsoft.com/office/drawing/2014/main" id="{00000000-0008-0000-2000-00001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29" name="Grupo 28">
          <a:hlinkClick xmlns:r="http://schemas.openxmlformats.org/officeDocument/2006/relationships" r:id="rId13"/>
          <a:extLst>
            <a:ext uri="{FF2B5EF4-FFF2-40B4-BE49-F238E27FC236}">
              <a16:creationId xmlns:a16="http://schemas.microsoft.com/office/drawing/2014/main" id="{00000000-0008-0000-2000-00001D000000}"/>
            </a:ext>
          </a:extLst>
        </xdr:cNvPr>
        <xdr:cNvGrpSpPr/>
      </xdr:nvGrpSpPr>
      <xdr:grpSpPr>
        <a:xfrm>
          <a:off x="0" y="1862142"/>
          <a:ext cx="1295400" cy="638178"/>
          <a:chOff x="0" y="1862142"/>
          <a:chExt cx="1295400" cy="638178"/>
        </a:xfrm>
      </xdr:grpSpPr>
      <xdr:sp macro="" textlink="">
        <xdr:nvSpPr>
          <xdr:cNvPr id="30" name="Rectángulo: esquinas superiores redondeadas 29">
            <a:extLst>
              <a:ext uri="{FF2B5EF4-FFF2-40B4-BE49-F238E27FC236}">
                <a16:creationId xmlns:a16="http://schemas.microsoft.com/office/drawing/2014/main" id="{00000000-0008-0000-2000-00001E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1" name="Gráfico 30" descr="Lista con relleno sólido">
            <a:extLst>
              <a:ext uri="{FF2B5EF4-FFF2-40B4-BE49-F238E27FC236}">
                <a16:creationId xmlns:a16="http://schemas.microsoft.com/office/drawing/2014/main" id="{00000000-0008-0000-2000-00001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2" name="Grupo 31">
          <a:hlinkClick xmlns:r="http://schemas.openxmlformats.org/officeDocument/2006/relationships" r:id="rId16"/>
          <a:extLst>
            <a:ext uri="{FF2B5EF4-FFF2-40B4-BE49-F238E27FC236}">
              <a16:creationId xmlns:a16="http://schemas.microsoft.com/office/drawing/2014/main" id="{00000000-0008-0000-2000-000020000000}"/>
            </a:ext>
          </a:extLst>
        </xdr:cNvPr>
        <xdr:cNvGrpSpPr/>
      </xdr:nvGrpSpPr>
      <xdr:grpSpPr>
        <a:xfrm>
          <a:off x="0" y="6477000"/>
          <a:ext cx="1240383" cy="416889"/>
          <a:chOff x="28575" y="6381750"/>
          <a:chExt cx="1240383" cy="416889"/>
        </a:xfrm>
      </xdr:grpSpPr>
      <xdr:pic>
        <xdr:nvPicPr>
          <xdr:cNvPr id="33" name="Gráfico 32" descr="Engranaje único con relleno sólido">
            <a:extLst>
              <a:ext uri="{FF2B5EF4-FFF2-40B4-BE49-F238E27FC236}">
                <a16:creationId xmlns:a16="http://schemas.microsoft.com/office/drawing/2014/main" id="{00000000-0008-0000-2000-00002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34" name="CuadroTexto 33">
            <a:extLst>
              <a:ext uri="{FF2B5EF4-FFF2-40B4-BE49-F238E27FC236}">
                <a16:creationId xmlns:a16="http://schemas.microsoft.com/office/drawing/2014/main" id="{00000000-0008-0000-2000-00002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9525</xdr:colOff>
      <xdr:row>0</xdr:row>
      <xdr:rowOff>85725</xdr:rowOff>
    </xdr:from>
    <xdr:to>
      <xdr:col>10</xdr:col>
      <xdr:colOff>0</xdr:colOff>
      <xdr:row>3</xdr:row>
      <xdr:rowOff>76200</xdr:rowOff>
    </xdr:to>
    <xdr:sp macro="" textlink="">
      <xdr:nvSpPr>
        <xdr:cNvPr id="2" name="Rectángulo: esquinas redondeadas 1">
          <a:extLst>
            <a:ext uri="{FF2B5EF4-FFF2-40B4-BE49-F238E27FC236}">
              <a16:creationId xmlns:a16="http://schemas.microsoft.com/office/drawing/2014/main" id="{00000000-0008-0000-2000-000002000000}"/>
            </a:ext>
          </a:extLst>
        </xdr:cNvPr>
        <xdr:cNvSpPr/>
      </xdr:nvSpPr>
      <xdr:spPr>
        <a:xfrm>
          <a:off x="1905000" y="85725"/>
          <a:ext cx="869632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FACTORES DE EMISIÓN</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1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1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1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1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1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1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1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1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1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1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1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1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1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1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1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1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2100-00001E000000}"/>
            </a:ext>
          </a:extLst>
        </xdr:cNvPr>
        <xdr:cNvGrpSpPr/>
      </xdr:nvGrpSpPr>
      <xdr:grpSpPr>
        <a:xfrm>
          <a:off x="0" y="2811467"/>
          <a:ext cx="1514474" cy="638178"/>
          <a:chOff x="0" y="1862142"/>
          <a:chExt cx="1514474" cy="638178"/>
        </a:xfrm>
      </xdr:grpSpPr>
      <xdr:sp macro="" textlink="">
        <xdr:nvSpPr>
          <xdr:cNvPr id="31" name="Rectángulo: esquinas superiores redondeadas 30">
            <a:extLst>
              <a:ext uri="{FF2B5EF4-FFF2-40B4-BE49-F238E27FC236}">
                <a16:creationId xmlns:a16="http://schemas.microsoft.com/office/drawing/2014/main" id="{00000000-0008-0000-2100-00001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21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11</xdr:col>
      <xdr:colOff>142875</xdr:colOff>
      <xdr:row>0</xdr:row>
      <xdr:rowOff>85725</xdr:rowOff>
    </xdr:from>
    <xdr:to>
      <xdr:col>14</xdr:col>
      <xdr:colOff>400050</xdr:colOff>
      <xdr:row>2</xdr:row>
      <xdr:rowOff>85725</xdr:rowOff>
    </xdr:to>
    <xdr:grpSp>
      <xdr:nvGrpSpPr>
        <xdr:cNvPr id="33" name="Grupo 32">
          <a:hlinkClick xmlns:r="http://schemas.openxmlformats.org/officeDocument/2006/relationships" r:id="rId18"/>
          <a:extLst>
            <a:ext uri="{FF2B5EF4-FFF2-40B4-BE49-F238E27FC236}">
              <a16:creationId xmlns:a16="http://schemas.microsoft.com/office/drawing/2014/main" id="{00000000-0008-0000-2100-000021000000}"/>
            </a:ext>
          </a:extLst>
        </xdr:cNvPr>
        <xdr:cNvGrpSpPr/>
      </xdr:nvGrpSpPr>
      <xdr:grpSpPr>
        <a:xfrm>
          <a:off x="13585031" y="85725"/>
          <a:ext cx="3876675" cy="381000"/>
          <a:chOff x="12572999" y="47625"/>
          <a:chExt cx="2714625" cy="381000"/>
        </a:xfrm>
      </xdr:grpSpPr>
      <xdr:sp macro="" textlink="">
        <xdr:nvSpPr>
          <xdr:cNvPr id="37" name="Rectángulo: esquinas redondeadas 36">
            <a:extLst>
              <a:ext uri="{FF2B5EF4-FFF2-40B4-BE49-F238E27FC236}">
                <a16:creationId xmlns:a16="http://schemas.microsoft.com/office/drawing/2014/main" id="{00000000-0008-0000-2100-00002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8" name="CuadroTexto 37">
            <a:extLst>
              <a:ext uri="{FF2B5EF4-FFF2-40B4-BE49-F238E27FC236}">
                <a16:creationId xmlns:a16="http://schemas.microsoft.com/office/drawing/2014/main" id="{00000000-0008-0000-2100-00002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39" name="Gráfico 38" descr="Gráfico de barras con relleno sólido">
            <a:extLst>
              <a:ext uri="{FF2B5EF4-FFF2-40B4-BE49-F238E27FC236}">
                <a16:creationId xmlns:a16="http://schemas.microsoft.com/office/drawing/2014/main" id="{00000000-0008-0000-2100-00002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0" name="Grupo 39">
          <a:hlinkClick xmlns:r="http://schemas.openxmlformats.org/officeDocument/2006/relationships" r:id="rId21"/>
          <a:extLst>
            <a:ext uri="{FF2B5EF4-FFF2-40B4-BE49-F238E27FC236}">
              <a16:creationId xmlns:a16="http://schemas.microsoft.com/office/drawing/2014/main" id="{00000000-0008-0000-2100-000028000000}"/>
            </a:ext>
          </a:extLst>
        </xdr:cNvPr>
        <xdr:cNvGrpSpPr/>
      </xdr:nvGrpSpPr>
      <xdr:grpSpPr>
        <a:xfrm>
          <a:off x="0" y="6477000"/>
          <a:ext cx="1240383" cy="416889"/>
          <a:chOff x="28575" y="6381750"/>
          <a:chExt cx="1240383" cy="416889"/>
        </a:xfrm>
      </xdr:grpSpPr>
      <xdr:pic>
        <xdr:nvPicPr>
          <xdr:cNvPr id="41" name="Gráfico 40" descr="Engranaje único con relleno sólido">
            <a:extLst>
              <a:ext uri="{FF2B5EF4-FFF2-40B4-BE49-F238E27FC236}">
                <a16:creationId xmlns:a16="http://schemas.microsoft.com/office/drawing/2014/main" id="{00000000-0008-0000-2100-00002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2" name="CuadroTexto 41">
            <a:extLst>
              <a:ext uri="{FF2B5EF4-FFF2-40B4-BE49-F238E27FC236}">
                <a16:creationId xmlns:a16="http://schemas.microsoft.com/office/drawing/2014/main" id="{00000000-0008-0000-2100-00002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13</xdr:col>
          <xdr:colOff>76200</xdr:colOff>
          <xdr:row>6</xdr:row>
          <xdr:rowOff>57150</xdr:rowOff>
        </xdr:from>
        <xdr:to>
          <xdr:col>13</xdr:col>
          <xdr:colOff>266700</xdr:colOff>
          <xdr:row>7</xdr:row>
          <xdr:rowOff>161925</xdr:rowOff>
        </xdr:to>
        <xdr:sp macro="" textlink="">
          <xdr:nvSpPr>
            <xdr:cNvPr id="30722" name="Spinner 2" hidden="1">
              <a:extLst>
                <a:ext uri="{63B3BB69-23CF-44E3-9099-C40C66FF867C}">
                  <a14:compatExt spid="_x0000_s30722"/>
                </a:ext>
                <a:ext uri="{FF2B5EF4-FFF2-40B4-BE49-F238E27FC236}">
                  <a16:creationId xmlns:a16="http://schemas.microsoft.com/office/drawing/2014/main" id="{00000000-0008-0000-2100-0000027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1</xdr:row>
      <xdr:rowOff>0</xdr:rowOff>
    </xdr:from>
    <xdr:to>
      <xdr:col>1</xdr:col>
      <xdr:colOff>2009778</xdr:colOff>
      <xdr:row>10</xdr:row>
      <xdr:rowOff>135537</xdr:rowOff>
    </xdr:to>
    <xdr:grpSp>
      <xdr:nvGrpSpPr>
        <xdr:cNvPr id="23" name="Grupo 22">
          <a:extLst>
            <a:ext uri="{FF2B5EF4-FFF2-40B4-BE49-F238E27FC236}">
              <a16:creationId xmlns:a16="http://schemas.microsoft.com/office/drawing/2014/main" id="{00000000-0008-0000-2100-000017000000}"/>
            </a:ext>
          </a:extLst>
        </xdr:cNvPr>
        <xdr:cNvGrpSpPr/>
      </xdr:nvGrpSpPr>
      <xdr:grpSpPr>
        <a:xfrm>
          <a:off x="1381125" y="190500"/>
          <a:ext cx="2009778" cy="1850037"/>
          <a:chOff x="1381125" y="190500"/>
          <a:chExt cx="2009778" cy="1850037"/>
        </a:xfrm>
      </xdr:grpSpPr>
      <xdr:grpSp>
        <xdr:nvGrpSpPr>
          <xdr:cNvPr id="20" name="Grupo 19">
            <a:extLst>
              <a:ext uri="{FF2B5EF4-FFF2-40B4-BE49-F238E27FC236}">
                <a16:creationId xmlns:a16="http://schemas.microsoft.com/office/drawing/2014/main" id="{00000000-0008-0000-2100-000014000000}"/>
              </a:ext>
            </a:extLst>
          </xdr:cNvPr>
          <xdr:cNvGrpSpPr/>
        </xdr:nvGrpSpPr>
        <xdr:grpSpPr>
          <a:xfrm>
            <a:off x="1381125" y="190500"/>
            <a:ext cx="2009778" cy="1368583"/>
            <a:chOff x="1381125" y="190500"/>
            <a:chExt cx="2009778" cy="1368583"/>
          </a:xfrm>
        </xdr:grpSpPr>
        <xdr:sp macro="" textlink="">
          <xdr:nvSpPr>
            <xdr:cNvPr id="34" name="Rectángulo: esquinas superiores redondeadas 33">
              <a:hlinkClick xmlns:r="http://schemas.openxmlformats.org/officeDocument/2006/relationships" r:id="rId24"/>
              <a:extLst>
                <a:ext uri="{FF2B5EF4-FFF2-40B4-BE49-F238E27FC236}">
                  <a16:creationId xmlns:a16="http://schemas.microsoft.com/office/drawing/2014/main" id="{00000000-0008-0000-2100-000022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5" name="Rectángulo 34">
              <a:hlinkClick xmlns:r="http://schemas.openxmlformats.org/officeDocument/2006/relationships" r:id="rId24"/>
              <a:extLst>
                <a:ext uri="{FF2B5EF4-FFF2-40B4-BE49-F238E27FC236}">
                  <a16:creationId xmlns:a16="http://schemas.microsoft.com/office/drawing/2014/main" id="{00000000-0008-0000-2100-000023000000}"/>
                </a:ext>
              </a:extLst>
            </xdr:cNvPr>
            <xdr:cNvSpPr/>
          </xdr:nvSpPr>
          <xdr:spPr>
            <a:xfrm>
              <a:off x="1447801" y="630546"/>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Combustibles</a:t>
              </a:r>
              <a:r>
                <a:rPr lang="es-ES" sz="1000" b="1" baseline="0">
                  <a:solidFill>
                    <a:schemeClr val="accent6">
                      <a:lumMod val="50000"/>
                    </a:schemeClr>
                  </a:solidFill>
                </a:rPr>
                <a:t> fósiles</a:t>
              </a:r>
              <a:endParaRPr lang="es-ES" sz="1000" b="1">
                <a:solidFill>
                  <a:schemeClr val="accent6">
                    <a:lumMod val="50000"/>
                  </a:schemeClr>
                </a:solidFill>
              </a:endParaRPr>
            </a:p>
          </xdr:txBody>
        </xdr:sp>
        <xdr:sp macro="" textlink="">
          <xdr:nvSpPr>
            <xdr:cNvPr id="36" name="Rectángulo 35">
              <a:hlinkClick xmlns:r="http://schemas.openxmlformats.org/officeDocument/2006/relationships" r:id="rId25"/>
              <a:extLst>
                <a:ext uri="{FF2B5EF4-FFF2-40B4-BE49-F238E27FC236}">
                  <a16:creationId xmlns:a16="http://schemas.microsoft.com/office/drawing/2014/main" id="{00000000-0008-0000-2100-000024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Bioenergía</a:t>
              </a:r>
            </a:p>
          </xdr:txBody>
        </xdr:sp>
      </xdr:grpSp>
      <xdr:sp macro="" textlink="">
        <xdr:nvSpPr>
          <xdr:cNvPr id="22" name="Rectángulo 21">
            <a:hlinkClick xmlns:r="http://schemas.openxmlformats.org/officeDocument/2006/relationships" r:id="rId26"/>
            <a:extLst>
              <a:ext uri="{FF2B5EF4-FFF2-40B4-BE49-F238E27FC236}">
                <a16:creationId xmlns:a16="http://schemas.microsoft.com/office/drawing/2014/main" id="{00000000-0008-0000-2100-000016000000}"/>
              </a:ext>
            </a:extLst>
          </xdr:cNvPr>
          <xdr:cNvSpPr/>
        </xdr:nvSpPr>
        <xdr:spPr>
          <a:xfrm>
            <a:off x="1457325" y="1628775"/>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2</xdr:col>
      <xdr:colOff>419101</xdr:colOff>
      <xdr:row>2</xdr:row>
      <xdr:rowOff>47624</xdr:rowOff>
    </xdr:from>
    <xdr:to>
      <xdr:col>3</xdr:col>
      <xdr:colOff>76201</xdr:colOff>
      <xdr:row>3</xdr:row>
      <xdr:rowOff>190499</xdr:rowOff>
    </xdr:to>
    <xdr:sp macro="" textlink="">
      <xdr:nvSpPr>
        <xdr:cNvPr id="450" name="Elipse 38">
          <a:extLst>
            <a:ext uri="{FF2B5EF4-FFF2-40B4-BE49-F238E27FC236}">
              <a16:creationId xmlns:a16="http://schemas.microsoft.com/office/drawing/2014/main" id="{00000000-0008-0000-2200-0000C201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2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2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2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2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2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9" name="Grupo 7">
          <a:hlinkClick xmlns:r="http://schemas.openxmlformats.org/officeDocument/2006/relationships" r:id="rId6"/>
          <a:extLst>
            <a:ext uri="{FF2B5EF4-FFF2-40B4-BE49-F238E27FC236}">
              <a16:creationId xmlns:a16="http://schemas.microsoft.com/office/drawing/2014/main" id="{00000000-0008-0000-2200-0000AD010000}"/>
            </a:ext>
          </a:extLst>
        </xdr:cNvPr>
        <xdr:cNvGrpSpPr/>
      </xdr:nvGrpSpPr>
      <xdr:grpSpPr>
        <a:xfrm>
          <a:off x="0" y="4710117"/>
          <a:ext cx="1295400" cy="638178"/>
          <a:chOff x="0" y="3671892"/>
          <a:chExt cx="1295400" cy="638178"/>
        </a:xfrm>
      </xdr:grpSpPr>
      <xdr:sp macro="" textlink="">
        <xdr:nvSpPr>
          <xdr:cNvPr id="430" name="Rectángulo: esquinas superiores redondeadas 8">
            <a:extLst>
              <a:ext uri="{FF2B5EF4-FFF2-40B4-BE49-F238E27FC236}">
                <a16:creationId xmlns:a16="http://schemas.microsoft.com/office/drawing/2014/main" id="{00000000-0008-0000-2200-0000AE01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1" name="Gráfico 9" descr="Información con relleno sólido">
            <a:extLst>
              <a:ext uri="{FF2B5EF4-FFF2-40B4-BE49-F238E27FC236}">
                <a16:creationId xmlns:a16="http://schemas.microsoft.com/office/drawing/2014/main" id="{00000000-0008-0000-2200-0000AF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2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2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2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2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2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2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2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2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2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11</xdr:col>
      <xdr:colOff>9525</xdr:colOff>
      <xdr:row>0</xdr:row>
      <xdr:rowOff>114300</xdr:rowOff>
    </xdr:from>
    <xdr:to>
      <xdr:col>14</xdr:col>
      <xdr:colOff>361950</xdr:colOff>
      <xdr:row>2</xdr:row>
      <xdr:rowOff>114300</xdr:rowOff>
    </xdr:to>
    <xdr:grpSp>
      <xdr:nvGrpSpPr>
        <xdr:cNvPr id="20" name="Grupo 19">
          <a:hlinkClick xmlns:r="http://schemas.openxmlformats.org/officeDocument/2006/relationships" r:id="rId18"/>
          <a:extLst>
            <a:ext uri="{FF2B5EF4-FFF2-40B4-BE49-F238E27FC236}">
              <a16:creationId xmlns:a16="http://schemas.microsoft.com/office/drawing/2014/main" id="{00000000-0008-0000-2200-000014000000}"/>
            </a:ext>
          </a:extLst>
        </xdr:cNvPr>
        <xdr:cNvGrpSpPr/>
      </xdr:nvGrpSpPr>
      <xdr:grpSpPr>
        <a:xfrm>
          <a:off x="11868150" y="114300"/>
          <a:ext cx="2686050" cy="381000"/>
          <a:chOff x="12572999" y="47625"/>
          <a:chExt cx="2714625" cy="381000"/>
        </a:xfrm>
      </xdr:grpSpPr>
      <xdr:sp macro="" textlink="">
        <xdr:nvSpPr>
          <xdr:cNvPr id="21" name="Rectángulo: esquinas redondeadas 20">
            <a:extLst>
              <a:ext uri="{FF2B5EF4-FFF2-40B4-BE49-F238E27FC236}">
                <a16:creationId xmlns:a16="http://schemas.microsoft.com/office/drawing/2014/main" id="{00000000-0008-0000-2200-00001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2" name="CuadroTexto 21">
            <a:extLst>
              <a:ext uri="{FF2B5EF4-FFF2-40B4-BE49-F238E27FC236}">
                <a16:creationId xmlns:a16="http://schemas.microsoft.com/office/drawing/2014/main" id="{00000000-0008-0000-2200-00001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23" name="Gráfico 22" descr="Gráfico de barras con relleno sólido">
            <a:extLst>
              <a:ext uri="{FF2B5EF4-FFF2-40B4-BE49-F238E27FC236}">
                <a16:creationId xmlns:a16="http://schemas.microsoft.com/office/drawing/2014/main" id="{00000000-0008-0000-2200-00001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200-000018000000}"/>
            </a:ext>
          </a:extLst>
        </xdr:cNvPr>
        <xdr:cNvGrpSpPr/>
      </xdr:nvGrpSpPr>
      <xdr:grpSpPr>
        <a:xfrm>
          <a:off x="0" y="2811467"/>
          <a:ext cx="15144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2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2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200-00001B000000}"/>
            </a:ext>
          </a:extLst>
        </xdr:cNvPr>
        <xdr:cNvGrpSpPr/>
      </xdr:nvGrpSpPr>
      <xdr:grpSpPr>
        <a:xfrm>
          <a:off x="0" y="2811467"/>
          <a:ext cx="15144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2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2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4" name="Grupo 33">
          <a:hlinkClick xmlns:r="http://schemas.openxmlformats.org/officeDocument/2006/relationships" r:id="rId21"/>
          <a:extLst>
            <a:ext uri="{FF2B5EF4-FFF2-40B4-BE49-F238E27FC236}">
              <a16:creationId xmlns:a16="http://schemas.microsoft.com/office/drawing/2014/main" id="{00000000-0008-0000-2200-000022000000}"/>
            </a:ext>
          </a:extLst>
        </xdr:cNvPr>
        <xdr:cNvGrpSpPr/>
      </xdr:nvGrpSpPr>
      <xdr:grpSpPr>
        <a:xfrm>
          <a:off x="0" y="6477000"/>
          <a:ext cx="1240383" cy="416889"/>
          <a:chOff x="28575" y="6381750"/>
          <a:chExt cx="1240383" cy="416889"/>
        </a:xfrm>
      </xdr:grpSpPr>
      <xdr:pic>
        <xdr:nvPicPr>
          <xdr:cNvPr id="35" name="Gráfico 34" descr="Engranaje único con relleno sólido">
            <a:extLst>
              <a:ext uri="{FF2B5EF4-FFF2-40B4-BE49-F238E27FC236}">
                <a16:creationId xmlns:a16="http://schemas.microsoft.com/office/drawing/2014/main" id="{00000000-0008-0000-22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36" name="CuadroTexto 35">
            <a:extLst>
              <a:ext uri="{FF2B5EF4-FFF2-40B4-BE49-F238E27FC236}">
                <a16:creationId xmlns:a16="http://schemas.microsoft.com/office/drawing/2014/main" id="{00000000-0008-0000-2200-00002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428625</xdr:colOff>
      <xdr:row>3</xdr:row>
      <xdr:rowOff>9525</xdr:rowOff>
    </xdr:from>
    <xdr:to>
      <xdr:col>13</xdr:col>
      <xdr:colOff>742950</xdr:colOff>
      <xdr:row>8</xdr:row>
      <xdr:rowOff>161925</xdr:rowOff>
    </xdr:to>
    <xdr:grpSp>
      <xdr:nvGrpSpPr>
        <xdr:cNvPr id="478" name="Grupo 41">
          <a:extLst>
            <a:ext uri="{FF2B5EF4-FFF2-40B4-BE49-F238E27FC236}">
              <a16:creationId xmlns:a16="http://schemas.microsoft.com/office/drawing/2014/main" id="{00000000-0008-0000-2200-0000DE010000}"/>
            </a:ext>
          </a:extLst>
        </xdr:cNvPr>
        <xdr:cNvGrpSpPr/>
      </xdr:nvGrpSpPr>
      <xdr:grpSpPr>
        <a:xfrm>
          <a:off x="3857625" y="581025"/>
          <a:ext cx="10315575" cy="1104900"/>
          <a:chOff x="3695700" y="361950"/>
          <a:chExt cx="10989379" cy="1104900"/>
        </a:xfrm>
      </xdr:grpSpPr>
      <xdr:sp macro="" textlink="">
        <xdr:nvSpPr>
          <xdr:cNvPr id="479" name="Rectángulo: esquinas redondeadas 42">
            <a:extLst>
              <a:ext uri="{FF2B5EF4-FFF2-40B4-BE49-F238E27FC236}">
                <a16:creationId xmlns:a16="http://schemas.microsoft.com/office/drawing/2014/main" id="{00000000-0008-0000-2200-0000DF01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baseline="0">
                <a:solidFill>
                  <a:schemeClr val="accent2">
                    <a:lumMod val="50000"/>
                  </a:schemeClr>
                </a:solidFill>
              </a:rPr>
              <a:t>Los cálculos realizados en el presente sector, Bioenergía, son calculados en sus correspondientes sectores, ya que las variables para calcularlos dependen de las trayectorias seleccionadas para dichos sectores o subsectores. Es por este mismo motivo por el que en la presente pestaña se han recogido todas las salidas correspondientes a la Bioenergía, pero no han sido incluidos los cálculos para calcularlas, siendo está una pestaña resumen.  </a:t>
            </a:r>
            <a:endParaRPr lang="es-ES" sz="1200" b="1" i="0">
              <a:solidFill>
                <a:schemeClr val="accent2">
                  <a:lumMod val="50000"/>
                </a:schemeClr>
              </a:solidFill>
            </a:endParaRPr>
          </a:p>
        </xdr:txBody>
      </xdr:sp>
      <xdr:grpSp>
        <xdr:nvGrpSpPr>
          <xdr:cNvPr id="480" name="Grupo 43">
            <a:extLst>
              <a:ext uri="{FF2B5EF4-FFF2-40B4-BE49-F238E27FC236}">
                <a16:creationId xmlns:a16="http://schemas.microsoft.com/office/drawing/2014/main" id="{00000000-0008-0000-2200-0000E0010000}"/>
              </a:ext>
            </a:extLst>
          </xdr:cNvPr>
          <xdr:cNvGrpSpPr/>
        </xdr:nvGrpSpPr>
        <xdr:grpSpPr>
          <a:xfrm>
            <a:off x="3695700" y="361950"/>
            <a:ext cx="495300" cy="457558"/>
            <a:chOff x="3695700" y="361950"/>
            <a:chExt cx="495300" cy="457558"/>
          </a:xfrm>
        </xdr:grpSpPr>
        <xdr:sp macro="" textlink="">
          <xdr:nvSpPr>
            <xdr:cNvPr id="481" name="Elipse 44">
              <a:extLst>
                <a:ext uri="{FF2B5EF4-FFF2-40B4-BE49-F238E27FC236}">
                  <a16:creationId xmlns:a16="http://schemas.microsoft.com/office/drawing/2014/main" id="{00000000-0008-0000-2200-0000E101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482" name="Gráfico 45" descr="Información con relleno sólido">
              <a:extLst>
                <a:ext uri="{FF2B5EF4-FFF2-40B4-BE49-F238E27FC236}">
                  <a16:creationId xmlns:a16="http://schemas.microsoft.com/office/drawing/2014/main" id="{00000000-0008-0000-2200-0000E201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154587</xdr:rowOff>
    </xdr:to>
    <xdr:grpSp>
      <xdr:nvGrpSpPr>
        <xdr:cNvPr id="9" name="Grupo 8">
          <a:extLst>
            <a:ext uri="{FF2B5EF4-FFF2-40B4-BE49-F238E27FC236}">
              <a16:creationId xmlns:a16="http://schemas.microsoft.com/office/drawing/2014/main" id="{00000000-0008-0000-2200-000009000000}"/>
            </a:ext>
          </a:extLst>
        </xdr:cNvPr>
        <xdr:cNvGrpSpPr/>
      </xdr:nvGrpSpPr>
      <xdr:grpSpPr>
        <a:xfrm>
          <a:off x="1381125" y="190500"/>
          <a:ext cx="2009778" cy="1869087"/>
          <a:chOff x="1381125" y="190500"/>
          <a:chExt cx="2009778" cy="1869087"/>
        </a:xfrm>
      </xdr:grpSpPr>
      <xdr:grpSp>
        <xdr:nvGrpSpPr>
          <xdr:cNvPr id="30" name="Grupo 29">
            <a:extLst>
              <a:ext uri="{FF2B5EF4-FFF2-40B4-BE49-F238E27FC236}">
                <a16:creationId xmlns:a16="http://schemas.microsoft.com/office/drawing/2014/main" id="{00000000-0008-0000-2200-00001E000000}"/>
              </a:ext>
            </a:extLst>
          </xdr:cNvPr>
          <xdr:cNvGrpSpPr/>
        </xdr:nvGrpSpPr>
        <xdr:grpSpPr>
          <a:xfrm>
            <a:off x="1381125" y="190500"/>
            <a:ext cx="2009778" cy="1368583"/>
            <a:chOff x="1381125" y="190500"/>
            <a:chExt cx="2009778" cy="1368583"/>
          </a:xfrm>
        </xdr:grpSpPr>
        <xdr:sp macro="" textlink="">
          <xdr:nvSpPr>
            <xdr:cNvPr id="31" name="Rectángulo: esquinas superiores redondeadas 30">
              <a:hlinkClick xmlns:r="http://schemas.openxmlformats.org/officeDocument/2006/relationships" r:id="rId26"/>
              <a:extLst>
                <a:ext uri="{FF2B5EF4-FFF2-40B4-BE49-F238E27FC236}">
                  <a16:creationId xmlns:a16="http://schemas.microsoft.com/office/drawing/2014/main" id="{00000000-0008-0000-2200-00001F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2" name="Rectángulo 31">
              <a:hlinkClick xmlns:r="http://schemas.openxmlformats.org/officeDocument/2006/relationships" r:id="rId26"/>
              <a:extLst>
                <a:ext uri="{FF2B5EF4-FFF2-40B4-BE49-F238E27FC236}">
                  <a16:creationId xmlns:a16="http://schemas.microsoft.com/office/drawing/2014/main" id="{00000000-0008-0000-2200-000020000000}"/>
                </a:ext>
              </a:extLst>
            </xdr:cNvPr>
            <xdr:cNvSpPr/>
          </xdr:nvSpPr>
          <xdr:spPr>
            <a:xfrm>
              <a:off x="1447801" y="630546"/>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Combustibles</a:t>
              </a:r>
              <a:r>
                <a:rPr lang="es-ES" sz="1000" b="0" baseline="0">
                  <a:solidFill>
                    <a:schemeClr val="accent6">
                      <a:lumMod val="50000"/>
                    </a:schemeClr>
                  </a:solidFill>
                </a:rPr>
                <a:t> fósiles</a:t>
              </a:r>
              <a:endParaRPr lang="es-ES" sz="1000" b="0">
                <a:solidFill>
                  <a:schemeClr val="accent6">
                    <a:lumMod val="50000"/>
                  </a:schemeClr>
                </a:solidFill>
              </a:endParaRPr>
            </a:p>
          </xdr:txBody>
        </xdr:sp>
        <xdr:sp macro="" textlink="">
          <xdr:nvSpPr>
            <xdr:cNvPr id="33" name="Rectángulo 32">
              <a:hlinkClick xmlns:r="http://schemas.openxmlformats.org/officeDocument/2006/relationships" r:id="rId27"/>
              <a:extLst>
                <a:ext uri="{FF2B5EF4-FFF2-40B4-BE49-F238E27FC236}">
                  <a16:creationId xmlns:a16="http://schemas.microsoft.com/office/drawing/2014/main" id="{00000000-0008-0000-2200-000021000000}"/>
                </a:ext>
              </a:extLst>
            </xdr:cNvPr>
            <xdr:cNvSpPr/>
          </xdr:nvSpPr>
          <xdr:spPr>
            <a:xfrm>
              <a:off x="1447801" y="1118303"/>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Bioenergía</a:t>
              </a:r>
            </a:p>
          </xdr:txBody>
        </xdr:sp>
      </xdr:grpSp>
      <xdr:sp macro="" textlink="">
        <xdr:nvSpPr>
          <xdr:cNvPr id="8" name="Rectángulo 7">
            <a:hlinkClick xmlns:r="http://schemas.openxmlformats.org/officeDocument/2006/relationships" r:id="rId28"/>
            <a:extLst>
              <a:ext uri="{FF2B5EF4-FFF2-40B4-BE49-F238E27FC236}">
                <a16:creationId xmlns:a16="http://schemas.microsoft.com/office/drawing/2014/main" id="{00000000-0008-0000-2200-000008000000}"/>
              </a:ext>
            </a:extLst>
          </xdr:cNvPr>
          <xdr:cNvSpPr/>
        </xdr:nvSpPr>
        <xdr:spPr>
          <a:xfrm>
            <a:off x="1447800" y="1647825"/>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3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3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3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3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3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3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3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3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3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3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3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3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3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3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3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3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3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0" name="Grupo 19">
          <a:hlinkClick xmlns:r="http://schemas.openxmlformats.org/officeDocument/2006/relationships" r:id="rId12"/>
          <a:extLst>
            <a:ext uri="{FF2B5EF4-FFF2-40B4-BE49-F238E27FC236}">
              <a16:creationId xmlns:a16="http://schemas.microsoft.com/office/drawing/2014/main" id="{00000000-0008-0000-2300-000014000000}"/>
            </a:ext>
          </a:extLst>
        </xdr:cNvPr>
        <xdr:cNvGrpSpPr/>
      </xdr:nvGrpSpPr>
      <xdr:grpSpPr>
        <a:xfrm>
          <a:off x="0" y="2811467"/>
          <a:ext cx="1514474" cy="638178"/>
          <a:chOff x="0" y="1862142"/>
          <a:chExt cx="1514474" cy="638178"/>
        </a:xfrm>
      </xdr:grpSpPr>
      <xdr:sp macro="" textlink="">
        <xdr:nvSpPr>
          <xdr:cNvPr id="21" name="Rectángulo: esquinas superiores redondeadas 20">
            <a:extLst>
              <a:ext uri="{FF2B5EF4-FFF2-40B4-BE49-F238E27FC236}">
                <a16:creationId xmlns:a16="http://schemas.microsoft.com/office/drawing/2014/main" id="{00000000-0008-0000-2300-00001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2" name="Gráfico 21" descr="Alternar con relleno sólido">
            <a:extLst>
              <a:ext uri="{FF2B5EF4-FFF2-40B4-BE49-F238E27FC236}">
                <a16:creationId xmlns:a16="http://schemas.microsoft.com/office/drawing/2014/main" id="{00000000-0008-0000-2300-00001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xdr:col>
      <xdr:colOff>0</xdr:colOff>
      <xdr:row>1</xdr:row>
      <xdr:rowOff>0</xdr:rowOff>
    </xdr:from>
    <xdr:to>
      <xdr:col>1</xdr:col>
      <xdr:colOff>2009778</xdr:colOff>
      <xdr:row>8</xdr:row>
      <xdr:rowOff>35083</xdr:rowOff>
    </xdr:to>
    <xdr:grpSp>
      <xdr:nvGrpSpPr>
        <xdr:cNvPr id="23" name="Grupo 22">
          <a:extLst>
            <a:ext uri="{FF2B5EF4-FFF2-40B4-BE49-F238E27FC236}">
              <a16:creationId xmlns:a16="http://schemas.microsoft.com/office/drawing/2014/main" id="{00000000-0008-0000-2300-000017000000}"/>
            </a:ext>
          </a:extLst>
        </xdr:cNvPr>
        <xdr:cNvGrpSpPr/>
      </xdr:nvGrpSpPr>
      <xdr:grpSpPr>
        <a:xfrm>
          <a:off x="1381125" y="190500"/>
          <a:ext cx="2009778" cy="1368583"/>
          <a:chOff x="1381125" y="190500"/>
          <a:chExt cx="2009778" cy="1368583"/>
        </a:xfrm>
      </xdr:grpSpPr>
      <xdr:sp macro="" textlink="">
        <xdr:nvSpPr>
          <xdr:cNvPr id="24" name="Rectángulo: esquinas superiores redondeadas 23">
            <a:hlinkClick xmlns:r="http://schemas.openxmlformats.org/officeDocument/2006/relationships" r:id="rId18"/>
            <a:extLst>
              <a:ext uri="{FF2B5EF4-FFF2-40B4-BE49-F238E27FC236}">
                <a16:creationId xmlns:a16="http://schemas.microsoft.com/office/drawing/2014/main" id="{00000000-0008-0000-2300-000018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25" name="Rectángulo 24">
            <a:hlinkClick xmlns:r="http://schemas.openxmlformats.org/officeDocument/2006/relationships" r:id="rId18"/>
            <a:extLst>
              <a:ext uri="{FF2B5EF4-FFF2-40B4-BE49-F238E27FC236}">
                <a16:creationId xmlns:a16="http://schemas.microsoft.com/office/drawing/2014/main" id="{00000000-0008-0000-2300-000019000000}"/>
              </a:ext>
            </a:extLst>
          </xdr:cNvPr>
          <xdr:cNvSpPr/>
        </xdr:nvSpPr>
        <xdr:spPr>
          <a:xfrm>
            <a:off x="1447801" y="630546"/>
            <a:ext cx="1876426" cy="411762"/>
          </a:xfrm>
          <a:prstGeom prst="rect">
            <a:avLst/>
          </a:prstGeom>
          <a:solidFill>
            <a:schemeClr val="accent6">
              <a:lumMod val="60000"/>
              <a:lumOff val="40000"/>
            </a:schemeClr>
          </a:solidFill>
          <a:ln w="63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Combustibles</a:t>
            </a:r>
            <a:r>
              <a:rPr lang="es-ES" sz="1000" b="0" baseline="0">
                <a:solidFill>
                  <a:schemeClr val="accent6">
                    <a:lumMod val="50000"/>
                  </a:schemeClr>
                </a:solidFill>
              </a:rPr>
              <a:t> fósiles</a:t>
            </a:r>
            <a:endParaRPr lang="es-ES" sz="1000" b="0">
              <a:solidFill>
                <a:schemeClr val="accent6">
                  <a:lumMod val="50000"/>
                </a:schemeClr>
              </a:solidFill>
            </a:endParaRPr>
          </a:p>
        </xdr:txBody>
      </xdr:sp>
      <xdr:sp macro="" textlink="">
        <xdr:nvSpPr>
          <xdr:cNvPr id="26" name="Rectángulo 25">
            <a:hlinkClick xmlns:r="http://schemas.openxmlformats.org/officeDocument/2006/relationships" r:id="rId19"/>
            <a:extLst>
              <a:ext uri="{FF2B5EF4-FFF2-40B4-BE49-F238E27FC236}">
                <a16:creationId xmlns:a16="http://schemas.microsoft.com/office/drawing/2014/main" id="{00000000-0008-0000-2300-00001A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Bioenergía</a:t>
            </a:r>
          </a:p>
        </xdr:txBody>
      </xdr:sp>
    </xdr:grpSp>
    <xdr:clientData/>
  </xdr:twoCellAnchor>
  <xdr:twoCellAnchor>
    <xdr:from>
      <xdr:col>11</xdr:col>
      <xdr:colOff>142875</xdr:colOff>
      <xdr:row>0</xdr:row>
      <xdr:rowOff>85725</xdr:rowOff>
    </xdr:from>
    <xdr:to>
      <xdr:col>14</xdr:col>
      <xdr:colOff>400050</xdr:colOff>
      <xdr:row>2</xdr:row>
      <xdr:rowOff>85725</xdr:rowOff>
    </xdr:to>
    <xdr:grpSp>
      <xdr:nvGrpSpPr>
        <xdr:cNvPr id="27" name="Grupo 26">
          <a:hlinkClick xmlns:r="http://schemas.openxmlformats.org/officeDocument/2006/relationships" r:id="rId20"/>
          <a:extLst>
            <a:ext uri="{FF2B5EF4-FFF2-40B4-BE49-F238E27FC236}">
              <a16:creationId xmlns:a16="http://schemas.microsoft.com/office/drawing/2014/main" id="{00000000-0008-0000-2300-00001B000000}"/>
            </a:ext>
          </a:extLst>
        </xdr:cNvPr>
        <xdr:cNvGrpSpPr/>
      </xdr:nvGrpSpPr>
      <xdr:grpSpPr>
        <a:xfrm>
          <a:off x="13501688" y="85725"/>
          <a:ext cx="2924175" cy="381000"/>
          <a:chOff x="12572999" y="47625"/>
          <a:chExt cx="2714625" cy="381000"/>
        </a:xfrm>
      </xdr:grpSpPr>
      <xdr:sp macro="" textlink="">
        <xdr:nvSpPr>
          <xdr:cNvPr id="28" name="Rectángulo: esquinas redondeadas 27">
            <a:extLst>
              <a:ext uri="{FF2B5EF4-FFF2-40B4-BE49-F238E27FC236}">
                <a16:creationId xmlns:a16="http://schemas.microsoft.com/office/drawing/2014/main" id="{00000000-0008-0000-2300-00001C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2300-00001D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30" name="Gráfico 29" descr="Gráfico de barras con relleno sólido">
            <a:extLst>
              <a:ext uri="{FF2B5EF4-FFF2-40B4-BE49-F238E27FC236}">
                <a16:creationId xmlns:a16="http://schemas.microsoft.com/office/drawing/2014/main" id="{00000000-0008-0000-23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3"/>
          <a:extLst>
            <a:ext uri="{FF2B5EF4-FFF2-40B4-BE49-F238E27FC236}">
              <a16:creationId xmlns:a16="http://schemas.microsoft.com/office/drawing/2014/main" id="{00000000-0008-0000-2300-00001F000000}"/>
            </a:ext>
          </a:extLst>
        </xdr:cNvPr>
        <xdr:cNvGrpSpPr/>
      </xdr:nvGrpSpPr>
      <xdr:grpSpPr>
        <a:xfrm>
          <a:off x="0" y="6477000"/>
          <a:ext cx="1240383" cy="416889"/>
          <a:chOff x="28575" y="6381750"/>
          <a:chExt cx="1240383" cy="416889"/>
        </a:xfrm>
      </xdr:grpSpPr>
      <xdr:pic>
        <xdr:nvPicPr>
          <xdr:cNvPr id="32" name="Gráfico 31" descr="Engranaje único con relleno sólido">
            <a:extLst>
              <a:ext uri="{FF2B5EF4-FFF2-40B4-BE49-F238E27FC236}">
                <a16:creationId xmlns:a16="http://schemas.microsoft.com/office/drawing/2014/main" id="{00000000-0008-0000-2300-000020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33" name="CuadroTexto 32">
            <a:extLst>
              <a:ext uri="{FF2B5EF4-FFF2-40B4-BE49-F238E27FC236}">
                <a16:creationId xmlns:a16="http://schemas.microsoft.com/office/drawing/2014/main" id="{00000000-0008-0000-2300-00002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66675</xdr:colOff>
      <xdr:row>8</xdr:row>
      <xdr:rowOff>114300</xdr:rowOff>
    </xdr:from>
    <xdr:to>
      <xdr:col>1</xdr:col>
      <xdr:colOff>1943101</xdr:colOff>
      <xdr:row>10</xdr:row>
      <xdr:rowOff>145062</xdr:rowOff>
    </xdr:to>
    <xdr:sp macro="" textlink="">
      <xdr:nvSpPr>
        <xdr:cNvPr id="37" name="Rectángulo 36">
          <a:hlinkClick xmlns:r="http://schemas.openxmlformats.org/officeDocument/2006/relationships" r:id="rId26"/>
          <a:extLst>
            <a:ext uri="{FF2B5EF4-FFF2-40B4-BE49-F238E27FC236}">
              <a16:creationId xmlns:a16="http://schemas.microsoft.com/office/drawing/2014/main" id="{00000000-0008-0000-2300-000025000000}"/>
            </a:ext>
          </a:extLst>
        </xdr:cNvPr>
        <xdr:cNvSpPr/>
      </xdr:nvSpPr>
      <xdr:spPr>
        <a:xfrm>
          <a:off x="1447800" y="1638300"/>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Requerimientos/excedentes energéticos</a:t>
          </a:r>
        </a:p>
      </xdr:txBody>
    </xdr:sp>
    <xdr:clientData/>
  </xdr:twoCellAnchor>
  <xdr:twoCellAnchor>
    <xdr:from>
      <xdr:col>2</xdr:col>
      <xdr:colOff>314325</xdr:colOff>
      <xdr:row>3</xdr:row>
      <xdr:rowOff>9525</xdr:rowOff>
    </xdr:from>
    <xdr:to>
      <xdr:col>14</xdr:col>
      <xdr:colOff>9525</xdr:colOff>
      <xdr:row>8</xdr:row>
      <xdr:rowOff>161925</xdr:rowOff>
    </xdr:to>
    <xdr:grpSp>
      <xdr:nvGrpSpPr>
        <xdr:cNvPr id="39" name="Grupo 41">
          <a:extLst>
            <a:ext uri="{FF2B5EF4-FFF2-40B4-BE49-F238E27FC236}">
              <a16:creationId xmlns:a16="http://schemas.microsoft.com/office/drawing/2014/main" id="{00000000-0008-0000-2300-000027000000}"/>
            </a:ext>
          </a:extLst>
        </xdr:cNvPr>
        <xdr:cNvGrpSpPr/>
      </xdr:nvGrpSpPr>
      <xdr:grpSpPr>
        <a:xfrm>
          <a:off x="3743325" y="581025"/>
          <a:ext cx="12292013" cy="1104900"/>
          <a:chOff x="3695700" y="361950"/>
          <a:chExt cx="10989379" cy="1104900"/>
        </a:xfrm>
      </xdr:grpSpPr>
      <xdr:sp macro="" textlink="">
        <xdr:nvSpPr>
          <xdr:cNvPr id="40" name="Rectángulo: esquinas redondeadas 42">
            <a:extLst>
              <a:ext uri="{FF2B5EF4-FFF2-40B4-BE49-F238E27FC236}">
                <a16:creationId xmlns:a16="http://schemas.microsoft.com/office/drawing/2014/main" id="{00000000-0008-0000-2300-00002800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a:solidFill>
                  <a:schemeClr val="accent2">
                    <a:lumMod val="50000"/>
                  </a:schemeClr>
                </a:solidFill>
              </a:rPr>
              <a:t>La</a:t>
            </a:r>
            <a:r>
              <a:rPr lang="es-ES" sz="1200" b="1" i="0" baseline="0">
                <a:solidFill>
                  <a:schemeClr val="accent2">
                    <a:lumMod val="50000"/>
                  </a:schemeClr>
                </a:solidFill>
              </a:rPr>
              <a:t> presente pestaña consta de los datos de las importaciones y las exportaciones de Combustibles fósiles de Colombia, se trata de información extraída de las </a:t>
            </a:r>
          </a:p>
          <a:p>
            <a:r>
              <a:rPr lang="es-ES" sz="1200" b="1" i="0" baseline="0">
                <a:solidFill>
                  <a:schemeClr val="accent2">
                    <a:lumMod val="50000"/>
                  </a:schemeClr>
                </a:solidFill>
              </a:rPr>
              <a:t>UPME y es meramente informativa. </a:t>
            </a:r>
            <a:endParaRPr lang="es-ES" sz="1200" b="1" i="0">
              <a:solidFill>
                <a:schemeClr val="accent2">
                  <a:lumMod val="50000"/>
                </a:schemeClr>
              </a:solidFill>
            </a:endParaRPr>
          </a:p>
        </xdr:txBody>
      </xdr:sp>
      <xdr:grpSp>
        <xdr:nvGrpSpPr>
          <xdr:cNvPr id="41" name="Grupo 43">
            <a:extLst>
              <a:ext uri="{FF2B5EF4-FFF2-40B4-BE49-F238E27FC236}">
                <a16:creationId xmlns:a16="http://schemas.microsoft.com/office/drawing/2014/main" id="{00000000-0008-0000-2300-000029000000}"/>
              </a:ext>
            </a:extLst>
          </xdr:cNvPr>
          <xdr:cNvGrpSpPr/>
        </xdr:nvGrpSpPr>
        <xdr:grpSpPr>
          <a:xfrm>
            <a:off x="3695700" y="361950"/>
            <a:ext cx="495300" cy="457558"/>
            <a:chOff x="3695700" y="361950"/>
            <a:chExt cx="495300" cy="457558"/>
          </a:xfrm>
        </xdr:grpSpPr>
        <xdr:sp macro="" textlink="">
          <xdr:nvSpPr>
            <xdr:cNvPr id="42" name="Elipse 44">
              <a:extLst>
                <a:ext uri="{FF2B5EF4-FFF2-40B4-BE49-F238E27FC236}">
                  <a16:creationId xmlns:a16="http://schemas.microsoft.com/office/drawing/2014/main" id="{00000000-0008-0000-2300-00002A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43" name="Gráfico 45" descr="Información con relleno sólido">
              <a:extLst>
                <a:ext uri="{FF2B5EF4-FFF2-40B4-BE49-F238E27FC236}">
                  <a16:creationId xmlns:a16="http://schemas.microsoft.com/office/drawing/2014/main" id="{00000000-0008-0000-2300-00002B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3695700" y="361950"/>
              <a:ext cx="495300" cy="457558"/>
            </a:xfrm>
            <a:prstGeom prst="rect">
              <a:avLst/>
            </a:prstGeom>
          </xdr:spPr>
        </xdr:pic>
      </xdr:grpSp>
    </xdr:grp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4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4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4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4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4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4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4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4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4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4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4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4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4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4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4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4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400-000018000000}"/>
            </a:ext>
          </a:extLst>
        </xdr:cNvPr>
        <xdr:cNvGrpSpPr/>
      </xdr:nvGrpSpPr>
      <xdr:grpSpPr>
        <a:xfrm>
          <a:off x="0" y="2811467"/>
          <a:ext cx="15144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4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4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400-00001B000000}"/>
            </a:ext>
          </a:extLst>
        </xdr:cNvPr>
        <xdr:cNvGrpSpPr/>
      </xdr:nvGrpSpPr>
      <xdr:grpSpPr>
        <a:xfrm>
          <a:off x="0" y="2811467"/>
          <a:ext cx="15144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4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4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10</xdr:col>
      <xdr:colOff>771525</xdr:colOff>
      <xdr:row>0</xdr:row>
      <xdr:rowOff>95250</xdr:rowOff>
    </xdr:from>
    <xdr:to>
      <xdr:col>14</xdr:col>
      <xdr:colOff>419100</xdr:colOff>
      <xdr:row>2</xdr:row>
      <xdr:rowOff>95250</xdr:rowOff>
    </xdr:to>
    <xdr:grpSp>
      <xdr:nvGrpSpPr>
        <xdr:cNvPr id="39" name="Grupo 38">
          <a:hlinkClick xmlns:r="http://schemas.openxmlformats.org/officeDocument/2006/relationships" r:id="rId18"/>
          <a:extLst>
            <a:ext uri="{FF2B5EF4-FFF2-40B4-BE49-F238E27FC236}">
              <a16:creationId xmlns:a16="http://schemas.microsoft.com/office/drawing/2014/main" id="{00000000-0008-0000-2400-000027000000}"/>
            </a:ext>
          </a:extLst>
        </xdr:cNvPr>
        <xdr:cNvGrpSpPr/>
      </xdr:nvGrpSpPr>
      <xdr:grpSpPr>
        <a:xfrm>
          <a:off x="11177588" y="95250"/>
          <a:ext cx="2790825" cy="381000"/>
          <a:chOff x="12572999" y="47625"/>
          <a:chExt cx="2714625" cy="381000"/>
        </a:xfrm>
      </xdr:grpSpPr>
      <xdr:sp macro="" textlink="">
        <xdr:nvSpPr>
          <xdr:cNvPr id="40" name="Rectángulo: esquinas redondeadas 39">
            <a:extLst>
              <a:ext uri="{FF2B5EF4-FFF2-40B4-BE49-F238E27FC236}">
                <a16:creationId xmlns:a16="http://schemas.microsoft.com/office/drawing/2014/main" id="{00000000-0008-0000-2400-000028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1" name="CuadroTexto 40">
            <a:extLst>
              <a:ext uri="{FF2B5EF4-FFF2-40B4-BE49-F238E27FC236}">
                <a16:creationId xmlns:a16="http://schemas.microsoft.com/office/drawing/2014/main" id="{00000000-0008-0000-2400-000029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42" name="Gráfico 41" descr="Gráfico de barras con relleno sólido">
            <a:extLst>
              <a:ext uri="{FF2B5EF4-FFF2-40B4-BE49-F238E27FC236}">
                <a16:creationId xmlns:a16="http://schemas.microsoft.com/office/drawing/2014/main" id="{00000000-0008-0000-2400-00002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5" name="Grupo 34">
          <a:hlinkClick xmlns:r="http://schemas.openxmlformats.org/officeDocument/2006/relationships" r:id="rId21"/>
          <a:extLst>
            <a:ext uri="{FF2B5EF4-FFF2-40B4-BE49-F238E27FC236}">
              <a16:creationId xmlns:a16="http://schemas.microsoft.com/office/drawing/2014/main" id="{00000000-0008-0000-2400-000023000000}"/>
            </a:ext>
          </a:extLst>
        </xdr:cNvPr>
        <xdr:cNvGrpSpPr/>
      </xdr:nvGrpSpPr>
      <xdr:grpSpPr>
        <a:xfrm>
          <a:off x="0" y="6477000"/>
          <a:ext cx="1240383" cy="416889"/>
          <a:chOff x="28575" y="6381750"/>
          <a:chExt cx="1240383" cy="416889"/>
        </a:xfrm>
      </xdr:grpSpPr>
      <xdr:pic>
        <xdr:nvPicPr>
          <xdr:cNvPr id="36" name="Gráfico 35" descr="Engranaje único con relleno sólido">
            <a:extLst>
              <a:ext uri="{FF2B5EF4-FFF2-40B4-BE49-F238E27FC236}">
                <a16:creationId xmlns:a16="http://schemas.microsoft.com/office/drawing/2014/main" id="{00000000-0008-0000-2400-000024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37" name="CuadroTexto 36">
            <a:extLst>
              <a:ext uri="{FF2B5EF4-FFF2-40B4-BE49-F238E27FC236}">
                <a16:creationId xmlns:a16="http://schemas.microsoft.com/office/drawing/2014/main" id="{00000000-0008-0000-2400-00002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13</xdr:col>
          <xdr:colOff>57150</xdr:colOff>
          <xdr:row>6</xdr:row>
          <xdr:rowOff>47625</xdr:rowOff>
        </xdr:from>
        <xdr:to>
          <xdr:col>13</xdr:col>
          <xdr:colOff>247650</xdr:colOff>
          <xdr:row>7</xdr:row>
          <xdr:rowOff>152400</xdr:rowOff>
        </xdr:to>
        <xdr:sp macro="" textlink="">
          <xdr:nvSpPr>
            <xdr:cNvPr id="48129" name="Spinner 1" hidden="1">
              <a:extLst>
                <a:ext uri="{63B3BB69-23CF-44E3-9099-C40C66FF867C}">
                  <a14:compatExt spid="_x0000_s48129"/>
                </a:ext>
                <a:ext uri="{FF2B5EF4-FFF2-40B4-BE49-F238E27FC236}">
                  <a16:creationId xmlns:a16="http://schemas.microsoft.com/office/drawing/2014/main" id="{00000000-0008-0000-2400-000001B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1</xdr:row>
      <xdr:rowOff>0</xdr:rowOff>
    </xdr:from>
    <xdr:to>
      <xdr:col>1</xdr:col>
      <xdr:colOff>2009778</xdr:colOff>
      <xdr:row>10</xdr:row>
      <xdr:rowOff>135537</xdr:rowOff>
    </xdr:to>
    <xdr:grpSp>
      <xdr:nvGrpSpPr>
        <xdr:cNvPr id="22" name="Grupo 21">
          <a:extLst>
            <a:ext uri="{FF2B5EF4-FFF2-40B4-BE49-F238E27FC236}">
              <a16:creationId xmlns:a16="http://schemas.microsoft.com/office/drawing/2014/main" id="{00000000-0008-0000-2400-000016000000}"/>
            </a:ext>
          </a:extLst>
        </xdr:cNvPr>
        <xdr:cNvGrpSpPr/>
      </xdr:nvGrpSpPr>
      <xdr:grpSpPr>
        <a:xfrm>
          <a:off x="1381125" y="190500"/>
          <a:ext cx="2009778" cy="1850037"/>
          <a:chOff x="1381125" y="190500"/>
          <a:chExt cx="2009778" cy="1850037"/>
        </a:xfrm>
      </xdr:grpSpPr>
      <xdr:grpSp>
        <xdr:nvGrpSpPr>
          <xdr:cNvPr id="34" name="Grupo 33">
            <a:extLst>
              <a:ext uri="{FF2B5EF4-FFF2-40B4-BE49-F238E27FC236}">
                <a16:creationId xmlns:a16="http://schemas.microsoft.com/office/drawing/2014/main" id="{00000000-0008-0000-2400-000022000000}"/>
              </a:ext>
            </a:extLst>
          </xdr:cNvPr>
          <xdr:cNvGrpSpPr/>
        </xdr:nvGrpSpPr>
        <xdr:grpSpPr>
          <a:xfrm>
            <a:off x="1381125" y="190500"/>
            <a:ext cx="2009778" cy="1368583"/>
            <a:chOff x="1381125" y="190500"/>
            <a:chExt cx="2009778" cy="1368583"/>
          </a:xfrm>
        </xdr:grpSpPr>
        <xdr:sp macro="" textlink="">
          <xdr:nvSpPr>
            <xdr:cNvPr id="31" name="Rectángulo: esquinas superiores redondeadas 30">
              <a:hlinkClick xmlns:r="http://schemas.openxmlformats.org/officeDocument/2006/relationships" r:id="rId24"/>
              <a:extLst>
                <a:ext uri="{FF2B5EF4-FFF2-40B4-BE49-F238E27FC236}">
                  <a16:creationId xmlns:a16="http://schemas.microsoft.com/office/drawing/2014/main" id="{00000000-0008-0000-2400-00001F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2" name="Rectángulo 31">
              <a:hlinkClick xmlns:r="http://schemas.openxmlformats.org/officeDocument/2006/relationships" r:id="rId24"/>
              <a:extLst>
                <a:ext uri="{FF2B5EF4-FFF2-40B4-BE49-F238E27FC236}">
                  <a16:creationId xmlns:a16="http://schemas.microsoft.com/office/drawing/2014/main" id="{00000000-0008-0000-2400-000020000000}"/>
                </a:ext>
              </a:extLst>
            </xdr:cNvPr>
            <xdr:cNvSpPr/>
          </xdr:nvSpPr>
          <xdr:spPr>
            <a:xfrm>
              <a:off x="1447801" y="630546"/>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Electricidad</a:t>
              </a:r>
            </a:p>
          </xdr:txBody>
        </xdr:sp>
        <xdr:sp macro="" textlink="">
          <xdr:nvSpPr>
            <xdr:cNvPr id="33" name="Rectángulo 32">
              <a:hlinkClick xmlns:r="http://schemas.openxmlformats.org/officeDocument/2006/relationships" r:id="rId25"/>
              <a:extLst>
                <a:ext uri="{FF2B5EF4-FFF2-40B4-BE49-F238E27FC236}">
                  <a16:creationId xmlns:a16="http://schemas.microsoft.com/office/drawing/2014/main" id="{00000000-0008-0000-2400-000021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Autogeneración</a:t>
              </a:r>
            </a:p>
          </xdr:txBody>
        </xdr:sp>
      </xdr:grpSp>
      <xdr:sp macro="" textlink="">
        <xdr:nvSpPr>
          <xdr:cNvPr id="21" name="Rectángulo 20">
            <a:hlinkClick xmlns:r="http://schemas.openxmlformats.org/officeDocument/2006/relationships" r:id="rId26"/>
            <a:extLst>
              <a:ext uri="{FF2B5EF4-FFF2-40B4-BE49-F238E27FC236}">
                <a16:creationId xmlns:a16="http://schemas.microsoft.com/office/drawing/2014/main" id="{00000000-0008-0000-2400-000015000000}"/>
              </a:ext>
            </a:extLst>
          </xdr:cNvPr>
          <xdr:cNvSpPr/>
        </xdr:nvSpPr>
        <xdr:spPr>
          <a:xfrm>
            <a:off x="1447800" y="1628775"/>
            <a:ext cx="1876426" cy="411762"/>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5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5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5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5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5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5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5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5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5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5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5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5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5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5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5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10</xdr:col>
      <xdr:colOff>752475</xdr:colOff>
      <xdr:row>0</xdr:row>
      <xdr:rowOff>95250</xdr:rowOff>
    </xdr:from>
    <xdr:to>
      <xdr:col>14</xdr:col>
      <xdr:colOff>419100</xdr:colOff>
      <xdr:row>2</xdr:row>
      <xdr:rowOff>95250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2500-000018000000}"/>
            </a:ext>
          </a:extLst>
        </xdr:cNvPr>
        <xdr:cNvGrpSpPr/>
      </xdr:nvGrpSpPr>
      <xdr:grpSpPr>
        <a:xfrm>
          <a:off x="11158538" y="95250"/>
          <a:ext cx="2786062" cy="381000"/>
          <a:chOff x="12572999" y="47625"/>
          <a:chExt cx="2714625" cy="381000"/>
        </a:xfrm>
      </xdr:grpSpPr>
      <xdr:sp macro="" textlink="">
        <xdr:nvSpPr>
          <xdr:cNvPr id="25" name="Rectángulo: esquinas redondeadas 24">
            <a:extLst>
              <a:ext uri="{FF2B5EF4-FFF2-40B4-BE49-F238E27FC236}">
                <a16:creationId xmlns:a16="http://schemas.microsoft.com/office/drawing/2014/main" id="{00000000-0008-0000-2500-00001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6" name="CuadroTexto 25">
            <a:extLst>
              <a:ext uri="{FF2B5EF4-FFF2-40B4-BE49-F238E27FC236}">
                <a16:creationId xmlns:a16="http://schemas.microsoft.com/office/drawing/2014/main" id="{00000000-0008-0000-2500-00001A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27" name="Gráfico 26" descr="Gráfico de barras con relleno sólido">
            <a:extLst>
              <a:ext uri="{FF2B5EF4-FFF2-40B4-BE49-F238E27FC236}">
                <a16:creationId xmlns:a16="http://schemas.microsoft.com/office/drawing/2014/main" id="{00000000-0008-0000-2500-00001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8" name="Grupo 27">
          <a:hlinkClick xmlns:r="http://schemas.openxmlformats.org/officeDocument/2006/relationships" r:id="rId12"/>
          <a:extLst>
            <a:ext uri="{FF2B5EF4-FFF2-40B4-BE49-F238E27FC236}">
              <a16:creationId xmlns:a16="http://schemas.microsoft.com/office/drawing/2014/main" id="{00000000-0008-0000-2500-00001C000000}"/>
            </a:ext>
          </a:extLst>
        </xdr:cNvPr>
        <xdr:cNvGrpSpPr/>
      </xdr:nvGrpSpPr>
      <xdr:grpSpPr>
        <a:xfrm>
          <a:off x="0" y="2811467"/>
          <a:ext cx="1514474" cy="638178"/>
          <a:chOff x="0" y="1862142"/>
          <a:chExt cx="1514474" cy="638178"/>
        </a:xfrm>
      </xdr:grpSpPr>
      <xdr:sp macro="" textlink="">
        <xdr:nvSpPr>
          <xdr:cNvPr id="29" name="Rectángulo: esquinas superiores redondeadas 28">
            <a:extLst>
              <a:ext uri="{FF2B5EF4-FFF2-40B4-BE49-F238E27FC236}">
                <a16:creationId xmlns:a16="http://schemas.microsoft.com/office/drawing/2014/main" id="{00000000-0008-0000-2500-00001D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0" name="Gráfico 29" descr="Alternar con relleno sólido">
            <a:extLst>
              <a:ext uri="{FF2B5EF4-FFF2-40B4-BE49-F238E27FC236}">
                <a16:creationId xmlns:a16="http://schemas.microsoft.com/office/drawing/2014/main" id="{00000000-0008-0000-2500-00001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1" name="Grupo 30">
          <a:hlinkClick xmlns:r="http://schemas.openxmlformats.org/officeDocument/2006/relationships" r:id="rId12"/>
          <a:extLst>
            <a:ext uri="{FF2B5EF4-FFF2-40B4-BE49-F238E27FC236}">
              <a16:creationId xmlns:a16="http://schemas.microsoft.com/office/drawing/2014/main" id="{00000000-0008-0000-2500-00001F000000}"/>
            </a:ext>
          </a:extLst>
        </xdr:cNvPr>
        <xdr:cNvGrpSpPr/>
      </xdr:nvGrpSpPr>
      <xdr:grpSpPr>
        <a:xfrm>
          <a:off x="0" y="2811467"/>
          <a:ext cx="1514474" cy="638178"/>
          <a:chOff x="0" y="1862142"/>
          <a:chExt cx="1514474" cy="638178"/>
        </a:xfrm>
      </xdr:grpSpPr>
      <xdr:sp macro="" textlink="">
        <xdr:nvSpPr>
          <xdr:cNvPr id="32" name="Rectángulo: esquinas superiores redondeadas 31">
            <a:extLst>
              <a:ext uri="{FF2B5EF4-FFF2-40B4-BE49-F238E27FC236}">
                <a16:creationId xmlns:a16="http://schemas.microsoft.com/office/drawing/2014/main" id="{00000000-0008-0000-2500-00002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3" name="Gráfico 32" descr="Alternar con relleno sólido">
            <a:extLst>
              <a:ext uri="{FF2B5EF4-FFF2-40B4-BE49-F238E27FC236}">
                <a16:creationId xmlns:a16="http://schemas.microsoft.com/office/drawing/2014/main" id="{00000000-0008-0000-2500-00002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4" name="Grupo 33">
          <a:hlinkClick xmlns:r="http://schemas.openxmlformats.org/officeDocument/2006/relationships" r:id="rId12"/>
          <a:extLst>
            <a:ext uri="{FF2B5EF4-FFF2-40B4-BE49-F238E27FC236}">
              <a16:creationId xmlns:a16="http://schemas.microsoft.com/office/drawing/2014/main" id="{00000000-0008-0000-2500-000022000000}"/>
            </a:ext>
          </a:extLst>
        </xdr:cNvPr>
        <xdr:cNvGrpSpPr/>
      </xdr:nvGrpSpPr>
      <xdr:grpSpPr>
        <a:xfrm>
          <a:off x="0" y="2811467"/>
          <a:ext cx="1514474" cy="638178"/>
          <a:chOff x="0" y="1862142"/>
          <a:chExt cx="1514474" cy="638178"/>
        </a:xfrm>
      </xdr:grpSpPr>
      <xdr:sp macro="" textlink="">
        <xdr:nvSpPr>
          <xdr:cNvPr id="35" name="Rectángulo: esquinas superiores redondeadas 34">
            <a:extLst>
              <a:ext uri="{FF2B5EF4-FFF2-40B4-BE49-F238E27FC236}">
                <a16:creationId xmlns:a16="http://schemas.microsoft.com/office/drawing/2014/main" id="{00000000-0008-0000-2500-00002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6" name="Gráfico 35" descr="Alternar con relleno sólido">
            <a:extLst>
              <a:ext uri="{FF2B5EF4-FFF2-40B4-BE49-F238E27FC236}">
                <a16:creationId xmlns:a16="http://schemas.microsoft.com/office/drawing/2014/main" id="{00000000-0008-0000-2500-00002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1" name="Grupo 40">
          <a:hlinkClick xmlns:r="http://schemas.openxmlformats.org/officeDocument/2006/relationships" r:id="rId21"/>
          <a:extLst>
            <a:ext uri="{FF2B5EF4-FFF2-40B4-BE49-F238E27FC236}">
              <a16:creationId xmlns:a16="http://schemas.microsoft.com/office/drawing/2014/main" id="{00000000-0008-0000-2500-000029000000}"/>
            </a:ext>
          </a:extLst>
        </xdr:cNvPr>
        <xdr:cNvGrpSpPr/>
      </xdr:nvGrpSpPr>
      <xdr:grpSpPr>
        <a:xfrm>
          <a:off x="0" y="6477000"/>
          <a:ext cx="1240383" cy="416889"/>
          <a:chOff x="28575" y="6381750"/>
          <a:chExt cx="1240383" cy="416889"/>
        </a:xfrm>
      </xdr:grpSpPr>
      <xdr:pic>
        <xdr:nvPicPr>
          <xdr:cNvPr id="42" name="Gráfico 41" descr="Engranaje único con relleno sólido">
            <a:extLst>
              <a:ext uri="{FF2B5EF4-FFF2-40B4-BE49-F238E27FC236}">
                <a16:creationId xmlns:a16="http://schemas.microsoft.com/office/drawing/2014/main" id="{00000000-0008-0000-2500-00002A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3" name="CuadroTexto 42">
            <a:extLst>
              <a:ext uri="{FF2B5EF4-FFF2-40B4-BE49-F238E27FC236}">
                <a16:creationId xmlns:a16="http://schemas.microsoft.com/office/drawing/2014/main" id="{00000000-0008-0000-2500-00002B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333375</xdr:colOff>
      <xdr:row>3</xdr:row>
      <xdr:rowOff>0</xdr:rowOff>
    </xdr:from>
    <xdr:to>
      <xdr:col>14</xdr:col>
      <xdr:colOff>38100</xdr:colOff>
      <xdr:row>9</xdr:row>
      <xdr:rowOff>9525</xdr:rowOff>
    </xdr:to>
    <xdr:grpSp>
      <xdr:nvGrpSpPr>
        <xdr:cNvPr id="215" name="Grupo 43">
          <a:extLst>
            <a:ext uri="{FF2B5EF4-FFF2-40B4-BE49-F238E27FC236}">
              <a16:creationId xmlns:a16="http://schemas.microsoft.com/office/drawing/2014/main" id="{00000000-0008-0000-2500-0000D7000000}"/>
            </a:ext>
          </a:extLst>
        </xdr:cNvPr>
        <xdr:cNvGrpSpPr/>
      </xdr:nvGrpSpPr>
      <xdr:grpSpPr>
        <a:xfrm>
          <a:off x="3762375" y="571500"/>
          <a:ext cx="9801225" cy="1152525"/>
          <a:chOff x="3695700" y="361950"/>
          <a:chExt cx="10439401" cy="1152525"/>
        </a:xfrm>
      </xdr:grpSpPr>
      <xdr:sp macro="" textlink="">
        <xdr:nvSpPr>
          <xdr:cNvPr id="216" name="Rectángulo: esquinas redondeadas 44">
            <a:extLst>
              <a:ext uri="{FF2B5EF4-FFF2-40B4-BE49-F238E27FC236}">
                <a16:creationId xmlns:a16="http://schemas.microsoft.com/office/drawing/2014/main" id="{00000000-0008-0000-2500-0000D8000000}"/>
              </a:ext>
            </a:extLst>
          </xdr:cNvPr>
          <xdr:cNvSpPr/>
        </xdr:nvSpPr>
        <xdr:spPr>
          <a:xfrm>
            <a:off x="3905251" y="552451"/>
            <a:ext cx="10229850" cy="962024"/>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baseline="0">
                <a:solidFill>
                  <a:schemeClr val="accent2">
                    <a:lumMod val="50000"/>
                  </a:schemeClr>
                </a:solidFill>
              </a:rPr>
              <a:t>Los cálculos realizados en el presente sector, Autogeneración, son calculados en sus correspondientes sectores, ya que las variables para calcularlos dependen de las trayectorias seleccionadas para dichos sectores o subsectores. Es por este mismo motivo por el que en la presente pestaña se han recogido todas las salidas correspondientes a la Autogeneración, pero no han sido incluidos los cálculos para calcularlas, siendo está una pestaña resumen.  </a:t>
            </a:r>
            <a:endParaRPr lang="es-ES" sz="1200" b="1" i="0">
              <a:solidFill>
                <a:schemeClr val="accent2">
                  <a:lumMod val="50000"/>
                </a:schemeClr>
              </a:solidFill>
            </a:endParaRPr>
          </a:p>
        </xdr:txBody>
      </xdr:sp>
      <xdr:grpSp>
        <xdr:nvGrpSpPr>
          <xdr:cNvPr id="217" name="Grupo 45">
            <a:extLst>
              <a:ext uri="{FF2B5EF4-FFF2-40B4-BE49-F238E27FC236}">
                <a16:creationId xmlns:a16="http://schemas.microsoft.com/office/drawing/2014/main" id="{00000000-0008-0000-2500-0000D9000000}"/>
              </a:ext>
            </a:extLst>
          </xdr:cNvPr>
          <xdr:cNvGrpSpPr/>
        </xdr:nvGrpSpPr>
        <xdr:grpSpPr>
          <a:xfrm>
            <a:off x="3695700" y="361950"/>
            <a:ext cx="495300" cy="457558"/>
            <a:chOff x="3695700" y="361950"/>
            <a:chExt cx="495300" cy="457558"/>
          </a:xfrm>
        </xdr:grpSpPr>
        <xdr:sp macro="" textlink="">
          <xdr:nvSpPr>
            <xdr:cNvPr id="218" name="Elipse 46">
              <a:extLst>
                <a:ext uri="{FF2B5EF4-FFF2-40B4-BE49-F238E27FC236}">
                  <a16:creationId xmlns:a16="http://schemas.microsoft.com/office/drawing/2014/main" id="{00000000-0008-0000-2500-0000DA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219" name="Gráfico 47" descr="Información con relleno sólido">
              <a:extLst>
                <a:ext uri="{FF2B5EF4-FFF2-40B4-BE49-F238E27FC236}">
                  <a16:creationId xmlns:a16="http://schemas.microsoft.com/office/drawing/2014/main" id="{00000000-0008-0000-2500-0000DB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135537</xdr:rowOff>
    </xdr:to>
    <xdr:grpSp>
      <xdr:nvGrpSpPr>
        <xdr:cNvPr id="21" name="Grupo 20">
          <a:extLst>
            <a:ext uri="{FF2B5EF4-FFF2-40B4-BE49-F238E27FC236}">
              <a16:creationId xmlns:a16="http://schemas.microsoft.com/office/drawing/2014/main" id="{00000000-0008-0000-2500-000015000000}"/>
            </a:ext>
          </a:extLst>
        </xdr:cNvPr>
        <xdr:cNvGrpSpPr/>
      </xdr:nvGrpSpPr>
      <xdr:grpSpPr>
        <a:xfrm>
          <a:off x="1381125" y="190500"/>
          <a:ext cx="2009778" cy="1850037"/>
          <a:chOff x="1381125" y="190500"/>
          <a:chExt cx="2009778" cy="1850037"/>
        </a:xfrm>
      </xdr:grpSpPr>
      <xdr:grpSp>
        <xdr:nvGrpSpPr>
          <xdr:cNvPr id="37" name="Grupo 36">
            <a:extLst>
              <a:ext uri="{FF2B5EF4-FFF2-40B4-BE49-F238E27FC236}">
                <a16:creationId xmlns:a16="http://schemas.microsoft.com/office/drawing/2014/main" id="{00000000-0008-0000-2500-000025000000}"/>
              </a:ext>
            </a:extLst>
          </xdr:cNvPr>
          <xdr:cNvGrpSpPr/>
        </xdr:nvGrpSpPr>
        <xdr:grpSpPr>
          <a:xfrm>
            <a:off x="1381125" y="190500"/>
            <a:ext cx="2009778" cy="1368583"/>
            <a:chOff x="1381125" y="190500"/>
            <a:chExt cx="2009778" cy="1368583"/>
          </a:xfrm>
        </xdr:grpSpPr>
        <xdr:sp macro="" textlink="">
          <xdr:nvSpPr>
            <xdr:cNvPr id="38" name="Rectángulo: esquinas superiores redondeadas 37">
              <a:hlinkClick xmlns:r="http://schemas.openxmlformats.org/officeDocument/2006/relationships" r:id="rId26"/>
              <a:extLst>
                <a:ext uri="{FF2B5EF4-FFF2-40B4-BE49-F238E27FC236}">
                  <a16:creationId xmlns:a16="http://schemas.microsoft.com/office/drawing/2014/main" id="{00000000-0008-0000-25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Generación eléctrica</a:t>
              </a:r>
            </a:p>
          </xdr:txBody>
        </xdr:sp>
        <xdr:sp macro="" textlink="">
          <xdr:nvSpPr>
            <xdr:cNvPr id="39" name="Rectángulo 38">
              <a:hlinkClick xmlns:r="http://schemas.openxmlformats.org/officeDocument/2006/relationships" r:id="rId26"/>
              <a:extLst>
                <a:ext uri="{FF2B5EF4-FFF2-40B4-BE49-F238E27FC236}">
                  <a16:creationId xmlns:a16="http://schemas.microsoft.com/office/drawing/2014/main" id="{00000000-0008-0000-2500-000027000000}"/>
                </a:ext>
              </a:extLst>
            </xdr:cNvPr>
            <xdr:cNvSpPr/>
          </xdr:nvSpPr>
          <xdr:spPr>
            <a:xfrm>
              <a:off x="1447801" y="630546"/>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Electricidad</a:t>
              </a:r>
            </a:p>
          </xdr:txBody>
        </xdr:sp>
        <xdr:sp macro="" textlink="">
          <xdr:nvSpPr>
            <xdr:cNvPr id="40" name="Rectángulo 39">
              <a:hlinkClick xmlns:r="http://schemas.openxmlformats.org/officeDocument/2006/relationships" r:id="rId27"/>
              <a:extLst>
                <a:ext uri="{FF2B5EF4-FFF2-40B4-BE49-F238E27FC236}">
                  <a16:creationId xmlns:a16="http://schemas.microsoft.com/office/drawing/2014/main" id="{00000000-0008-0000-2500-000028000000}"/>
                </a:ext>
              </a:extLst>
            </xdr:cNvPr>
            <xdr:cNvSpPr/>
          </xdr:nvSpPr>
          <xdr:spPr>
            <a:xfrm>
              <a:off x="1447801" y="1118303"/>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Autogeneración</a:t>
              </a:r>
            </a:p>
          </xdr:txBody>
        </xdr:sp>
      </xdr:grpSp>
      <xdr:sp macro="" textlink="">
        <xdr:nvSpPr>
          <xdr:cNvPr id="20" name="Rectángulo 19">
            <a:hlinkClick xmlns:r="http://schemas.openxmlformats.org/officeDocument/2006/relationships" r:id="rId28"/>
            <a:extLst>
              <a:ext uri="{FF2B5EF4-FFF2-40B4-BE49-F238E27FC236}">
                <a16:creationId xmlns:a16="http://schemas.microsoft.com/office/drawing/2014/main" id="{00000000-0008-0000-2500-000014000000}"/>
              </a:ext>
            </a:extLst>
          </xdr:cNvPr>
          <xdr:cNvSpPr/>
        </xdr:nvSpPr>
        <xdr:spPr>
          <a:xfrm>
            <a:off x="1447800" y="1628775"/>
            <a:ext cx="1876426" cy="411762"/>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6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6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6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6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6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6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6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6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6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6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6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6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6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6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6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6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6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600-000018000000}"/>
            </a:ext>
          </a:extLst>
        </xdr:cNvPr>
        <xdr:cNvGrpSpPr/>
      </xdr:nvGrpSpPr>
      <xdr:grpSpPr>
        <a:xfrm>
          <a:off x="0" y="2811467"/>
          <a:ext cx="15144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6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6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600-00001B000000}"/>
            </a:ext>
          </a:extLst>
        </xdr:cNvPr>
        <xdr:cNvGrpSpPr/>
      </xdr:nvGrpSpPr>
      <xdr:grpSpPr>
        <a:xfrm>
          <a:off x="0" y="2811467"/>
          <a:ext cx="15144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6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6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2600-00001E000000}"/>
            </a:ext>
          </a:extLst>
        </xdr:cNvPr>
        <xdr:cNvGrpSpPr/>
      </xdr:nvGrpSpPr>
      <xdr:grpSpPr>
        <a:xfrm>
          <a:off x="0" y="2811467"/>
          <a:ext cx="1514474" cy="638178"/>
          <a:chOff x="0" y="1862142"/>
          <a:chExt cx="1514474" cy="638178"/>
        </a:xfrm>
      </xdr:grpSpPr>
      <xdr:sp macro="" textlink="">
        <xdr:nvSpPr>
          <xdr:cNvPr id="31" name="Rectángulo: esquinas superiores redondeadas 30">
            <a:extLst>
              <a:ext uri="{FF2B5EF4-FFF2-40B4-BE49-F238E27FC236}">
                <a16:creationId xmlns:a16="http://schemas.microsoft.com/office/drawing/2014/main" id="{00000000-0008-0000-2600-00001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26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7" name="Grupo 36">
          <a:hlinkClick xmlns:r="http://schemas.openxmlformats.org/officeDocument/2006/relationships" r:id="rId18"/>
          <a:extLst>
            <a:ext uri="{FF2B5EF4-FFF2-40B4-BE49-F238E27FC236}">
              <a16:creationId xmlns:a16="http://schemas.microsoft.com/office/drawing/2014/main" id="{00000000-0008-0000-2600-000025000000}"/>
            </a:ext>
          </a:extLst>
        </xdr:cNvPr>
        <xdr:cNvGrpSpPr/>
      </xdr:nvGrpSpPr>
      <xdr:grpSpPr>
        <a:xfrm>
          <a:off x="0" y="6477000"/>
          <a:ext cx="1240383" cy="416889"/>
          <a:chOff x="28575" y="6381750"/>
          <a:chExt cx="1240383" cy="416889"/>
        </a:xfrm>
      </xdr:grpSpPr>
      <xdr:pic>
        <xdr:nvPicPr>
          <xdr:cNvPr id="38" name="Gráfico 37" descr="Engranaje único con relleno sólido">
            <a:extLst>
              <a:ext uri="{FF2B5EF4-FFF2-40B4-BE49-F238E27FC236}">
                <a16:creationId xmlns:a16="http://schemas.microsoft.com/office/drawing/2014/main" id="{00000000-0008-0000-2600-000026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39" name="CuadroTexto 38">
            <a:extLst>
              <a:ext uri="{FF2B5EF4-FFF2-40B4-BE49-F238E27FC236}">
                <a16:creationId xmlns:a16="http://schemas.microsoft.com/office/drawing/2014/main" id="{00000000-0008-0000-2600-000027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285750</xdr:colOff>
      <xdr:row>3</xdr:row>
      <xdr:rowOff>9525</xdr:rowOff>
    </xdr:from>
    <xdr:to>
      <xdr:col>14</xdr:col>
      <xdr:colOff>0</xdr:colOff>
      <xdr:row>8</xdr:row>
      <xdr:rowOff>161925</xdr:rowOff>
    </xdr:to>
    <xdr:grpSp>
      <xdr:nvGrpSpPr>
        <xdr:cNvPr id="50" name="Grupo 41">
          <a:extLst>
            <a:ext uri="{FF2B5EF4-FFF2-40B4-BE49-F238E27FC236}">
              <a16:creationId xmlns:a16="http://schemas.microsoft.com/office/drawing/2014/main" id="{00000000-0008-0000-2600-000032000000}"/>
            </a:ext>
          </a:extLst>
        </xdr:cNvPr>
        <xdr:cNvGrpSpPr/>
      </xdr:nvGrpSpPr>
      <xdr:grpSpPr>
        <a:xfrm>
          <a:off x="3714750" y="581025"/>
          <a:ext cx="12296775" cy="1104900"/>
          <a:chOff x="3695700" y="361950"/>
          <a:chExt cx="10989379" cy="1104900"/>
        </a:xfrm>
      </xdr:grpSpPr>
      <xdr:sp macro="" textlink="">
        <xdr:nvSpPr>
          <xdr:cNvPr id="51" name="Rectángulo: esquinas redondeadas 42">
            <a:extLst>
              <a:ext uri="{FF2B5EF4-FFF2-40B4-BE49-F238E27FC236}">
                <a16:creationId xmlns:a16="http://schemas.microsoft.com/office/drawing/2014/main" id="{00000000-0008-0000-2600-00003300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a:solidFill>
                  <a:schemeClr val="accent2">
                    <a:lumMod val="50000"/>
                  </a:schemeClr>
                </a:solidFill>
              </a:rPr>
              <a:t>La</a:t>
            </a:r>
            <a:r>
              <a:rPr lang="es-ES" sz="1200" b="1" i="0" baseline="0">
                <a:solidFill>
                  <a:schemeClr val="accent2">
                    <a:lumMod val="50000"/>
                  </a:schemeClr>
                </a:solidFill>
              </a:rPr>
              <a:t> presente pestaña consta de los datos de las importaciones y las exportaciones de Combustibles fósiles de Colombia, se trata de información extraída de las proyecciones de la UPME y es meramente informativa. </a:t>
            </a:r>
            <a:endParaRPr lang="es-ES" sz="1200" b="1" i="0">
              <a:solidFill>
                <a:schemeClr val="accent2">
                  <a:lumMod val="50000"/>
                </a:schemeClr>
              </a:solidFill>
            </a:endParaRPr>
          </a:p>
        </xdr:txBody>
      </xdr:sp>
      <xdr:grpSp>
        <xdr:nvGrpSpPr>
          <xdr:cNvPr id="52" name="Grupo 43">
            <a:extLst>
              <a:ext uri="{FF2B5EF4-FFF2-40B4-BE49-F238E27FC236}">
                <a16:creationId xmlns:a16="http://schemas.microsoft.com/office/drawing/2014/main" id="{00000000-0008-0000-2600-000034000000}"/>
              </a:ext>
            </a:extLst>
          </xdr:cNvPr>
          <xdr:cNvGrpSpPr/>
        </xdr:nvGrpSpPr>
        <xdr:grpSpPr>
          <a:xfrm>
            <a:off x="3695700" y="361950"/>
            <a:ext cx="495300" cy="457558"/>
            <a:chOff x="3695700" y="361950"/>
            <a:chExt cx="495300" cy="457558"/>
          </a:xfrm>
        </xdr:grpSpPr>
        <xdr:sp macro="" textlink="">
          <xdr:nvSpPr>
            <xdr:cNvPr id="53" name="Elipse 44">
              <a:extLst>
                <a:ext uri="{FF2B5EF4-FFF2-40B4-BE49-F238E27FC236}">
                  <a16:creationId xmlns:a16="http://schemas.microsoft.com/office/drawing/2014/main" id="{00000000-0008-0000-2600-000035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54" name="Gráfico 45" descr="Información con relleno sólido">
              <a:extLst>
                <a:ext uri="{FF2B5EF4-FFF2-40B4-BE49-F238E27FC236}">
                  <a16:creationId xmlns:a16="http://schemas.microsoft.com/office/drawing/2014/main" id="{00000000-0008-0000-2600-000036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154587</xdr:rowOff>
    </xdr:to>
    <xdr:grpSp>
      <xdr:nvGrpSpPr>
        <xdr:cNvPr id="56" name="Grupo 55">
          <a:extLst>
            <a:ext uri="{FF2B5EF4-FFF2-40B4-BE49-F238E27FC236}">
              <a16:creationId xmlns:a16="http://schemas.microsoft.com/office/drawing/2014/main" id="{00000000-0008-0000-2600-000038000000}"/>
            </a:ext>
          </a:extLst>
        </xdr:cNvPr>
        <xdr:cNvGrpSpPr/>
      </xdr:nvGrpSpPr>
      <xdr:grpSpPr>
        <a:xfrm>
          <a:off x="1381125" y="190500"/>
          <a:ext cx="2009778" cy="1869087"/>
          <a:chOff x="1381125" y="190500"/>
          <a:chExt cx="2009778" cy="1869087"/>
        </a:xfrm>
      </xdr:grpSpPr>
      <xdr:grpSp>
        <xdr:nvGrpSpPr>
          <xdr:cNvPr id="33" name="Grupo 32">
            <a:extLst>
              <a:ext uri="{FF2B5EF4-FFF2-40B4-BE49-F238E27FC236}">
                <a16:creationId xmlns:a16="http://schemas.microsoft.com/office/drawing/2014/main" id="{00000000-0008-0000-2600-000021000000}"/>
              </a:ext>
            </a:extLst>
          </xdr:cNvPr>
          <xdr:cNvGrpSpPr/>
        </xdr:nvGrpSpPr>
        <xdr:grpSpPr>
          <a:xfrm>
            <a:off x="1381125" y="190500"/>
            <a:ext cx="2009778" cy="1368583"/>
            <a:chOff x="1381125" y="190500"/>
            <a:chExt cx="2009778" cy="1368583"/>
          </a:xfrm>
        </xdr:grpSpPr>
        <xdr:sp macro="" textlink="">
          <xdr:nvSpPr>
            <xdr:cNvPr id="34" name="Rectángulo: esquinas superiores redondeadas 33">
              <a:hlinkClick xmlns:r="http://schemas.openxmlformats.org/officeDocument/2006/relationships" r:id="rId23"/>
              <a:extLst>
                <a:ext uri="{FF2B5EF4-FFF2-40B4-BE49-F238E27FC236}">
                  <a16:creationId xmlns:a16="http://schemas.microsoft.com/office/drawing/2014/main" id="{00000000-0008-0000-2600-000022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Generación eléctrica</a:t>
              </a:r>
            </a:p>
          </xdr:txBody>
        </xdr:sp>
        <xdr:sp macro="" textlink="">
          <xdr:nvSpPr>
            <xdr:cNvPr id="35" name="Rectángulo 34">
              <a:hlinkClick xmlns:r="http://schemas.openxmlformats.org/officeDocument/2006/relationships" r:id="rId23"/>
              <a:extLst>
                <a:ext uri="{FF2B5EF4-FFF2-40B4-BE49-F238E27FC236}">
                  <a16:creationId xmlns:a16="http://schemas.microsoft.com/office/drawing/2014/main" id="{00000000-0008-0000-2600-000023000000}"/>
                </a:ext>
              </a:extLst>
            </xdr:cNvPr>
            <xdr:cNvSpPr/>
          </xdr:nvSpPr>
          <xdr:spPr>
            <a:xfrm>
              <a:off x="1447801" y="630546"/>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Electricidad</a:t>
              </a:r>
            </a:p>
          </xdr:txBody>
        </xdr:sp>
        <xdr:sp macro="" textlink="">
          <xdr:nvSpPr>
            <xdr:cNvPr id="36" name="Rectángulo 35">
              <a:hlinkClick xmlns:r="http://schemas.openxmlformats.org/officeDocument/2006/relationships" r:id="rId24"/>
              <a:extLst>
                <a:ext uri="{FF2B5EF4-FFF2-40B4-BE49-F238E27FC236}">
                  <a16:creationId xmlns:a16="http://schemas.microsoft.com/office/drawing/2014/main" id="{00000000-0008-0000-2600-000024000000}"/>
                </a:ext>
              </a:extLst>
            </xdr:cNvPr>
            <xdr:cNvSpPr/>
          </xdr:nvSpPr>
          <xdr:spPr>
            <a:xfrm>
              <a:off x="1447801" y="1118303"/>
              <a:ext cx="1876426" cy="440780"/>
            </a:xfrm>
            <a:prstGeom prst="rect">
              <a:avLst/>
            </a:prstGeom>
            <a:solidFill>
              <a:schemeClr val="accent6">
                <a:lumMod val="60000"/>
                <a:lumOff val="40000"/>
              </a:schemeClr>
            </a:solidFill>
            <a:ln w="63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Autogeneración</a:t>
              </a:r>
            </a:p>
          </xdr:txBody>
        </xdr:sp>
      </xdr:grpSp>
      <xdr:sp macro="" textlink="">
        <xdr:nvSpPr>
          <xdr:cNvPr id="55" name="Rectángulo 54">
            <a:hlinkClick xmlns:r="http://schemas.openxmlformats.org/officeDocument/2006/relationships" r:id="rId25"/>
            <a:extLst>
              <a:ext uri="{FF2B5EF4-FFF2-40B4-BE49-F238E27FC236}">
                <a16:creationId xmlns:a16="http://schemas.microsoft.com/office/drawing/2014/main" id="{00000000-0008-0000-2600-000037000000}"/>
              </a:ext>
            </a:extLst>
          </xdr:cNvPr>
          <xdr:cNvSpPr/>
        </xdr:nvSpPr>
        <xdr:spPr>
          <a:xfrm>
            <a:off x="1447800" y="1647825"/>
            <a:ext cx="1876426" cy="411762"/>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twoCellAnchor>
    <xdr:from>
      <xdr:col>11</xdr:col>
      <xdr:colOff>285750</xdr:colOff>
      <xdr:row>0</xdr:row>
      <xdr:rowOff>152400</xdr:rowOff>
    </xdr:from>
    <xdr:to>
      <xdr:col>14</xdr:col>
      <xdr:colOff>390525</xdr:colOff>
      <xdr:row>2</xdr:row>
      <xdr:rowOff>152400</xdr:rowOff>
    </xdr:to>
    <xdr:grpSp>
      <xdr:nvGrpSpPr>
        <xdr:cNvPr id="20" name="Grupo 19">
          <a:hlinkClick xmlns:r="http://schemas.openxmlformats.org/officeDocument/2006/relationships" r:id="rId26"/>
          <a:extLst>
            <a:ext uri="{FF2B5EF4-FFF2-40B4-BE49-F238E27FC236}">
              <a16:creationId xmlns:a16="http://schemas.microsoft.com/office/drawing/2014/main" id="{00000000-0008-0000-2600-000014000000}"/>
            </a:ext>
          </a:extLst>
        </xdr:cNvPr>
        <xdr:cNvGrpSpPr/>
      </xdr:nvGrpSpPr>
      <xdr:grpSpPr>
        <a:xfrm>
          <a:off x="13630275" y="152400"/>
          <a:ext cx="2771775" cy="381000"/>
          <a:chOff x="12572999" y="47625"/>
          <a:chExt cx="2714625" cy="381000"/>
        </a:xfrm>
      </xdr:grpSpPr>
      <xdr:sp macro="" textlink="">
        <xdr:nvSpPr>
          <xdr:cNvPr id="21" name="Rectángulo: esquinas redondeadas 20">
            <a:extLst>
              <a:ext uri="{FF2B5EF4-FFF2-40B4-BE49-F238E27FC236}">
                <a16:creationId xmlns:a16="http://schemas.microsoft.com/office/drawing/2014/main" id="{00000000-0008-0000-2600-00001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2" name="CuadroTexto 21">
            <a:extLst>
              <a:ext uri="{FF2B5EF4-FFF2-40B4-BE49-F238E27FC236}">
                <a16:creationId xmlns:a16="http://schemas.microsoft.com/office/drawing/2014/main" id="{00000000-0008-0000-2600-00001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23" name="Gráfico 22" descr="Gráfico de barras con relleno sólido">
            <a:extLst>
              <a:ext uri="{FF2B5EF4-FFF2-40B4-BE49-F238E27FC236}">
                <a16:creationId xmlns:a16="http://schemas.microsoft.com/office/drawing/2014/main" id="{00000000-0008-0000-2600-000017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2601576" y="57150"/>
            <a:ext cx="333373" cy="333373"/>
          </a:xfrm>
          <a:prstGeom prst="rect">
            <a:avLst/>
          </a:prstGeom>
        </xdr:spPr>
      </xdr:pic>
    </xdr:grp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0</xdr:colOff>
      <xdr:row>12</xdr:row>
      <xdr:rowOff>102374</xdr:rowOff>
    </xdr:from>
    <xdr:to>
      <xdr:col>1</xdr:col>
      <xdr:colOff>0</xdr:colOff>
      <xdr:row>16</xdr:row>
      <xdr:rowOff>19049</xdr:rowOff>
    </xdr:to>
    <xdr:grpSp>
      <xdr:nvGrpSpPr>
        <xdr:cNvPr id="89" name="Grupo 88">
          <a:extLst>
            <a:ext uri="{FF2B5EF4-FFF2-40B4-BE49-F238E27FC236}">
              <a16:creationId xmlns:a16="http://schemas.microsoft.com/office/drawing/2014/main" id="{00000000-0008-0000-2700-000059000000}"/>
            </a:ext>
          </a:extLst>
        </xdr:cNvPr>
        <xdr:cNvGrpSpPr/>
      </xdr:nvGrpSpPr>
      <xdr:grpSpPr>
        <a:xfrm>
          <a:off x="1381125" y="2388374"/>
          <a:ext cx="0" cy="678675"/>
          <a:chOff x="1428750" y="2045474"/>
          <a:chExt cx="1226325" cy="1097775"/>
        </a:xfrm>
      </xdr:grpSpPr>
      <xdr:pic>
        <xdr:nvPicPr>
          <xdr:cNvPr id="90" name="Gráfico 89" descr="Piezas de rompecabezas con relleno sólido">
            <a:extLst>
              <a:ext uri="{FF2B5EF4-FFF2-40B4-BE49-F238E27FC236}">
                <a16:creationId xmlns:a16="http://schemas.microsoft.com/office/drawing/2014/main" id="{00000000-0008-0000-2700-00005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91" name="CuadroTexto 90">
            <a:extLst>
              <a:ext uri="{FF2B5EF4-FFF2-40B4-BE49-F238E27FC236}">
                <a16:creationId xmlns:a16="http://schemas.microsoft.com/office/drawing/2014/main" id="{00000000-0008-0000-2700-00005B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20" name="Grupo 19">
          <a:hlinkClick xmlns:r="http://schemas.openxmlformats.org/officeDocument/2006/relationships" r:id="rId3"/>
          <a:extLst>
            <a:ext uri="{FF2B5EF4-FFF2-40B4-BE49-F238E27FC236}">
              <a16:creationId xmlns:a16="http://schemas.microsoft.com/office/drawing/2014/main" id="{00000000-0008-0000-2700-000014000000}"/>
            </a:ext>
          </a:extLst>
        </xdr:cNvPr>
        <xdr:cNvGrpSpPr/>
      </xdr:nvGrpSpPr>
      <xdr:grpSpPr>
        <a:xfrm>
          <a:off x="0" y="0"/>
          <a:ext cx="1381125" cy="328014"/>
          <a:chOff x="91104" y="65606"/>
          <a:chExt cx="1192701" cy="328014"/>
        </a:xfrm>
      </xdr:grpSpPr>
      <xdr:sp macro="" textlink="">
        <xdr:nvSpPr>
          <xdr:cNvPr id="21" name="Rectángulo 20">
            <a:extLst>
              <a:ext uri="{FF2B5EF4-FFF2-40B4-BE49-F238E27FC236}">
                <a16:creationId xmlns:a16="http://schemas.microsoft.com/office/drawing/2014/main" id="{00000000-0008-0000-27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2" name="Gráfico 21" descr="Hogar con relleno sólido">
            <a:extLst>
              <a:ext uri="{FF2B5EF4-FFF2-40B4-BE49-F238E27FC236}">
                <a16:creationId xmlns:a16="http://schemas.microsoft.com/office/drawing/2014/main" id="{00000000-0008-0000-2700-00001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3" name="Grupo 22">
          <a:hlinkClick xmlns:r="http://schemas.openxmlformats.org/officeDocument/2006/relationships" r:id="rId6"/>
          <a:extLst>
            <a:ext uri="{FF2B5EF4-FFF2-40B4-BE49-F238E27FC236}">
              <a16:creationId xmlns:a16="http://schemas.microsoft.com/office/drawing/2014/main" id="{00000000-0008-0000-2700-000017000000}"/>
            </a:ext>
          </a:extLst>
        </xdr:cNvPr>
        <xdr:cNvGrpSpPr/>
      </xdr:nvGrpSpPr>
      <xdr:grpSpPr>
        <a:xfrm>
          <a:off x="0" y="4710117"/>
          <a:ext cx="1295400" cy="638178"/>
          <a:chOff x="0" y="3671892"/>
          <a:chExt cx="1295400" cy="638178"/>
        </a:xfrm>
      </xdr:grpSpPr>
      <xdr:sp macro="" textlink="">
        <xdr:nvSpPr>
          <xdr:cNvPr id="24" name="Rectángulo: esquinas superiores redondeadas 23">
            <a:extLst>
              <a:ext uri="{FF2B5EF4-FFF2-40B4-BE49-F238E27FC236}">
                <a16:creationId xmlns:a16="http://schemas.microsoft.com/office/drawing/2014/main" id="{00000000-0008-0000-2700-000018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5" name="Gráfico 24" descr="Información con relleno sólido">
            <a:extLst>
              <a:ext uri="{FF2B5EF4-FFF2-40B4-BE49-F238E27FC236}">
                <a16:creationId xmlns:a16="http://schemas.microsoft.com/office/drawing/2014/main" id="{00000000-0008-0000-2700-00001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6" name="Grupo 25">
          <a:hlinkClick xmlns:r="http://schemas.openxmlformats.org/officeDocument/2006/relationships" r:id="rId9"/>
          <a:extLst>
            <a:ext uri="{FF2B5EF4-FFF2-40B4-BE49-F238E27FC236}">
              <a16:creationId xmlns:a16="http://schemas.microsoft.com/office/drawing/2014/main" id="{00000000-0008-0000-2700-00001A000000}"/>
            </a:ext>
          </a:extLst>
        </xdr:cNvPr>
        <xdr:cNvGrpSpPr/>
      </xdr:nvGrpSpPr>
      <xdr:grpSpPr>
        <a:xfrm>
          <a:off x="0" y="3760792"/>
          <a:ext cx="1304926" cy="638178"/>
          <a:chOff x="0" y="2767017"/>
          <a:chExt cx="1304926" cy="638178"/>
        </a:xfrm>
      </xdr:grpSpPr>
      <xdr:sp macro="" textlink="">
        <xdr:nvSpPr>
          <xdr:cNvPr id="27" name="Rectángulo: esquinas superiores redondeadas 26">
            <a:extLst>
              <a:ext uri="{FF2B5EF4-FFF2-40B4-BE49-F238E27FC236}">
                <a16:creationId xmlns:a16="http://schemas.microsoft.com/office/drawing/2014/main" id="{00000000-0008-0000-2700-00001B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8" name="Gráfico 27" descr="Gráfico de barras con relleno sólido">
            <a:extLst>
              <a:ext uri="{FF2B5EF4-FFF2-40B4-BE49-F238E27FC236}">
                <a16:creationId xmlns:a16="http://schemas.microsoft.com/office/drawing/2014/main" id="{00000000-0008-0000-27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29" name="Grupo 28">
          <a:hlinkClick xmlns:r="http://schemas.openxmlformats.org/officeDocument/2006/relationships" r:id="rId12"/>
          <a:extLst>
            <a:ext uri="{FF2B5EF4-FFF2-40B4-BE49-F238E27FC236}">
              <a16:creationId xmlns:a16="http://schemas.microsoft.com/office/drawing/2014/main" id="{00000000-0008-0000-2700-00001D000000}"/>
            </a:ext>
          </a:extLst>
        </xdr:cNvPr>
        <xdr:cNvGrpSpPr/>
      </xdr:nvGrpSpPr>
      <xdr:grpSpPr>
        <a:xfrm>
          <a:off x="0" y="2811467"/>
          <a:ext cx="1381125" cy="638178"/>
          <a:chOff x="0" y="1862142"/>
          <a:chExt cx="1514474" cy="638178"/>
        </a:xfrm>
      </xdr:grpSpPr>
      <xdr:sp macro="" textlink="">
        <xdr:nvSpPr>
          <xdr:cNvPr id="30" name="Rectángulo: esquinas superiores redondeadas 29">
            <a:extLst>
              <a:ext uri="{FF2B5EF4-FFF2-40B4-BE49-F238E27FC236}">
                <a16:creationId xmlns:a16="http://schemas.microsoft.com/office/drawing/2014/main" id="{00000000-0008-0000-2700-00001E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1" name="Gráfico 30" descr="Alternar con relleno sólido">
            <a:extLst>
              <a:ext uri="{FF2B5EF4-FFF2-40B4-BE49-F238E27FC236}">
                <a16:creationId xmlns:a16="http://schemas.microsoft.com/office/drawing/2014/main" id="{00000000-0008-0000-2700-00001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2" name="Grupo 31">
          <a:hlinkClick xmlns:r="http://schemas.openxmlformats.org/officeDocument/2006/relationships" r:id="rId15"/>
          <a:extLst>
            <a:ext uri="{FF2B5EF4-FFF2-40B4-BE49-F238E27FC236}">
              <a16:creationId xmlns:a16="http://schemas.microsoft.com/office/drawing/2014/main" id="{00000000-0008-0000-2700-000020000000}"/>
            </a:ext>
          </a:extLst>
        </xdr:cNvPr>
        <xdr:cNvGrpSpPr/>
      </xdr:nvGrpSpPr>
      <xdr:grpSpPr>
        <a:xfrm>
          <a:off x="0" y="1862142"/>
          <a:ext cx="1295400" cy="638178"/>
          <a:chOff x="0" y="1862142"/>
          <a:chExt cx="1295400" cy="638178"/>
        </a:xfrm>
      </xdr:grpSpPr>
      <xdr:sp macro="" textlink="">
        <xdr:nvSpPr>
          <xdr:cNvPr id="33" name="Rectángulo: esquinas superiores redondeadas 32">
            <a:extLst>
              <a:ext uri="{FF2B5EF4-FFF2-40B4-BE49-F238E27FC236}">
                <a16:creationId xmlns:a16="http://schemas.microsoft.com/office/drawing/2014/main" id="{00000000-0008-0000-2700-000021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4" name="Gráfico 33" descr="Lista con relleno sólido">
            <a:extLst>
              <a:ext uri="{FF2B5EF4-FFF2-40B4-BE49-F238E27FC236}">
                <a16:creationId xmlns:a16="http://schemas.microsoft.com/office/drawing/2014/main" id="{00000000-0008-0000-2700-00002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9</xdr:col>
      <xdr:colOff>694530</xdr:colOff>
      <xdr:row>1</xdr:row>
      <xdr:rowOff>49212</xdr:rowOff>
    </xdr:from>
    <xdr:to>
      <xdr:col>13</xdr:col>
      <xdr:colOff>247911</xdr:colOff>
      <xdr:row>3</xdr:row>
      <xdr:rowOff>49212</xdr:rowOff>
    </xdr:to>
    <xdr:grpSp>
      <xdr:nvGrpSpPr>
        <xdr:cNvPr id="36" name="Grupo 35">
          <a:hlinkClick xmlns:r="http://schemas.openxmlformats.org/officeDocument/2006/relationships" r:id="rId18"/>
          <a:extLst>
            <a:ext uri="{FF2B5EF4-FFF2-40B4-BE49-F238E27FC236}">
              <a16:creationId xmlns:a16="http://schemas.microsoft.com/office/drawing/2014/main" id="{00000000-0008-0000-2700-000024000000}"/>
            </a:ext>
          </a:extLst>
        </xdr:cNvPr>
        <xdr:cNvGrpSpPr/>
      </xdr:nvGrpSpPr>
      <xdr:grpSpPr>
        <a:xfrm>
          <a:off x="10707686" y="239712"/>
          <a:ext cx="2863319" cy="381000"/>
          <a:chOff x="12572998" y="47625"/>
          <a:chExt cx="3203753" cy="381000"/>
        </a:xfrm>
      </xdr:grpSpPr>
      <xdr:sp macro="" textlink="">
        <xdr:nvSpPr>
          <xdr:cNvPr id="37" name="Rectángulo: esquinas redondeadas 36">
            <a:extLst>
              <a:ext uri="{FF2B5EF4-FFF2-40B4-BE49-F238E27FC236}">
                <a16:creationId xmlns:a16="http://schemas.microsoft.com/office/drawing/2014/main" id="{00000000-0008-0000-2700-000025000000}"/>
              </a:ext>
            </a:extLst>
          </xdr:cNvPr>
          <xdr:cNvSpPr/>
        </xdr:nvSpPr>
        <xdr:spPr>
          <a:xfrm>
            <a:off x="12572998" y="47625"/>
            <a:ext cx="2814862"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8" name="CuadroTexto 37">
            <a:extLst>
              <a:ext uri="{FF2B5EF4-FFF2-40B4-BE49-F238E27FC236}">
                <a16:creationId xmlns:a16="http://schemas.microsoft.com/office/drawing/2014/main" id="{00000000-0008-0000-2700-000026000000}"/>
              </a:ext>
            </a:extLst>
          </xdr:cNvPr>
          <xdr:cNvSpPr txBox="1"/>
        </xdr:nvSpPr>
        <xdr:spPr>
          <a:xfrm>
            <a:off x="13024675" y="85725"/>
            <a:ext cx="2752076" cy="267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Industria</a:t>
            </a:r>
          </a:p>
        </xdr:txBody>
      </xdr:sp>
      <xdr:pic>
        <xdr:nvPicPr>
          <xdr:cNvPr id="39" name="Gráfico 38" descr="Gráfico de barras con relleno sólido">
            <a:extLst>
              <a:ext uri="{FF2B5EF4-FFF2-40B4-BE49-F238E27FC236}">
                <a16:creationId xmlns:a16="http://schemas.microsoft.com/office/drawing/2014/main" id="{00000000-0008-0000-2700-00002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4291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771525</xdr:colOff>
          <xdr:row>7</xdr:row>
          <xdr:rowOff>47625</xdr:rowOff>
        </xdr:from>
        <xdr:to>
          <xdr:col>12</xdr:col>
          <xdr:colOff>180975</xdr:colOff>
          <xdr:row>8</xdr:row>
          <xdr:rowOff>152400</xdr:rowOff>
        </xdr:to>
        <xdr:sp macro="" textlink="">
          <xdr:nvSpPr>
            <xdr:cNvPr id="32769" name="Spinner 1" hidden="1">
              <a:extLst>
                <a:ext uri="{63B3BB69-23CF-44E3-9099-C40C66FF867C}">
                  <a14:compatExt spid="_x0000_s32769"/>
                </a:ext>
                <a:ext uri="{FF2B5EF4-FFF2-40B4-BE49-F238E27FC236}">
                  <a16:creationId xmlns:a16="http://schemas.microsoft.com/office/drawing/2014/main" id="{00000000-0008-0000-2700-000001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11</xdr:row>
          <xdr:rowOff>47625</xdr:rowOff>
        </xdr:from>
        <xdr:to>
          <xdr:col>12</xdr:col>
          <xdr:colOff>180975</xdr:colOff>
          <xdr:row>12</xdr:row>
          <xdr:rowOff>152400</xdr:rowOff>
        </xdr:to>
        <xdr:sp macro="" textlink="">
          <xdr:nvSpPr>
            <xdr:cNvPr id="32770" name="Spinner 2" hidden="1">
              <a:extLst>
                <a:ext uri="{63B3BB69-23CF-44E3-9099-C40C66FF867C}">
                  <a14:compatExt spid="_x0000_s32770"/>
                </a:ext>
                <a:ext uri="{FF2B5EF4-FFF2-40B4-BE49-F238E27FC236}">
                  <a16:creationId xmlns:a16="http://schemas.microsoft.com/office/drawing/2014/main" id="{00000000-0008-0000-2700-000002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13</xdr:row>
          <xdr:rowOff>57150</xdr:rowOff>
        </xdr:from>
        <xdr:to>
          <xdr:col>12</xdr:col>
          <xdr:colOff>180975</xdr:colOff>
          <xdr:row>14</xdr:row>
          <xdr:rowOff>152400</xdr:rowOff>
        </xdr:to>
        <xdr:sp macro="" textlink="">
          <xdr:nvSpPr>
            <xdr:cNvPr id="32774" name="Spinner 6" hidden="1">
              <a:extLst>
                <a:ext uri="{63B3BB69-23CF-44E3-9099-C40C66FF867C}">
                  <a14:compatExt spid="_x0000_s32774"/>
                </a:ext>
                <a:ext uri="{FF2B5EF4-FFF2-40B4-BE49-F238E27FC236}">
                  <a16:creationId xmlns:a16="http://schemas.microsoft.com/office/drawing/2014/main" id="{00000000-0008-0000-2700-000006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39857</xdr:rowOff>
    </xdr:to>
    <xdr:grpSp>
      <xdr:nvGrpSpPr>
        <xdr:cNvPr id="42" name="Grupo 41">
          <a:hlinkClick xmlns:r="http://schemas.openxmlformats.org/officeDocument/2006/relationships" r:id="rId21"/>
          <a:extLst>
            <a:ext uri="{FF2B5EF4-FFF2-40B4-BE49-F238E27FC236}">
              <a16:creationId xmlns:a16="http://schemas.microsoft.com/office/drawing/2014/main" id="{00000000-0008-0000-2700-00002A000000}"/>
            </a:ext>
          </a:extLst>
        </xdr:cNvPr>
        <xdr:cNvGrpSpPr/>
      </xdr:nvGrpSpPr>
      <xdr:grpSpPr>
        <a:xfrm>
          <a:off x="0" y="6477000"/>
          <a:ext cx="1240383" cy="420857"/>
          <a:chOff x="28575" y="6381750"/>
          <a:chExt cx="1240383" cy="416889"/>
        </a:xfrm>
      </xdr:grpSpPr>
      <xdr:pic>
        <xdr:nvPicPr>
          <xdr:cNvPr id="44" name="Gráfico 43" descr="Engranaje único con relleno sólido">
            <a:extLst>
              <a:ext uri="{FF2B5EF4-FFF2-40B4-BE49-F238E27FC236}">
                <a16:creationId xmlns:a16="http://schemas.microsoft.com/office/drawing/2014/main" id="{00000000-0008-0000-2700-00002C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6" name="CuadroTexto 45">
            <a:extLst>
              <a:ext uri="{FF2B5EF4-FFF2-40B4-BE49-F238E27FC236}">
                <a16:creationId xmlns:a16="http://schemas.microsoft.com/office/drawing/2014/main" id="{00000000-0008-0000-2700-00002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9</xdr:col>
      <xdr:colOff>694530</xdr:colOff>
      <xdr:row>1</xdr:row>
      <xdr:rowOff>49212</xdr:rowOff>
    </xdr:from>
    <xdr:to>
      <xdr:col>13</xdr:col>
      <xdr:colOff>247911</xdr:colOff>
      <xdr:row>3</xdr:row>
      <xdr:rowOff>49212</xdr:rowOff>
    </xdr:to>
    <xdr:grpSp>
      <xdr:nvGrpSpPr>
        <xdr:cNvPr id="41" name="Grupo 40">
          <a:hlinkClick xmlns:r="http://schemas.openxmlformats.org/officeDocument/2006/relationships" r:id="rId18"/>
          <a:extLst>
            <a:ext uri="{FF2B5EF4-FFF2-40B4-BE49-F238E27FC236}">
              <a16:creationId xmlns:a16="http://schemas.microsoft.com/office/drawing/2014/main" id="{00000000-0008-0000-2700-000029000000}"/>
            </a:ext>
          </a:extLst>
        </xdr:cNvPr>
        <xdr:cNvGrpSpPr/>
      </xdr:nvGrpSpPr>
      <xdr:grpSpPr>
        <a:xfrm>
          <a:off x="10707686" y="239712"/>
          <a:ext cx="2863319" cy="381000"/>
          <a:chOff x="12572998" y="47625"/>
          <a:chExt cx="3203753" cy="381000"/>
        </a:xfrm>
      </xdr:grpSpPr>
      <xdr:sp macro="" textlink="">
        <xdr:nvSpPr>
          <xdr:cNvPr id="45" name="Rectángulo: esquinas redondeadas 44">
            <a:extLst>
              <a:ext uri="{FF2B5EF4-FFF2-40B4-BE49-F238E27FC236}">
                <a16:creationId xmlns:a16="http://schemas.microsoft.com/office/drawing/2014/main" id="{00000000-0008-0000-2700-00002D000000}"/>
              </a:ext>
            </a:extLst>
          </xdr:cNvPr>
          <xdr:cNvSpPr/>
        </xdr:nvSpPr>
        <xdr:spPr>
          <a:xfrm>
            <a:off x="12572998" y="47625"/>
            <a:ext cx="2814862"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0" name="CuadroTexto 49">
            <a:extLst>
              <a:ext uri="{FF2B5EF4-FFF2-40B4-BE49-F238E27FC236}">
                <a16:creationId xmlns:a16="http://schemas.microsoft.com/office/drawing/2014/main" id="{00000000-0008-0000-2700-000032000000}"/>
              </a:ext>
            </a:extLst>
          </xdr:cNvPr>
          <xdr:cNvSpPr txBox="1"/>
        </xdr:nvSpPr>
        <xdr:spPr>
          <a:xfrm>
            <a:off x="13024675" y="85725"/>
            <a:ext cx="2752076" cy="267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Industria</a:t>
            </a:r>
          </a:p>
        </xdr:txBody>
      </xdr:sp>
      <xdr:pic>
        <xdr:nvPicPr>
          <xdr:cNvPr id="51" name="Gráfico 50" descr="Gráfico de barras con relleno sólido">
            <a:extLst>
              <a:ext uri="{FF2B5EF4-FFF2-40B4-BE49-F238E27FC236}">
                <a16:creationId xmlns:a16="http://schemas.microsoft.com/office/drawing/2014/main" id="{00000000-0008-0000-2700-00003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4291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771525</xdr:colOff>
          <xdr:row>7</xdr:row>
          <xdr:rowOff>47625</xdr:rowOff>
        </xdr:from>
        <xdr:to>
          <xdr:col>12</xdr:col>
          <xdr:colOff>180975</xdr:colOff>
          <xdr:row>8</xdr:row>
          <xdr:rowOff>152400</xdr:rowOff>
        </xdr:to>
        <xdr:sp macro="" textlink="">
          <xdr:nvSpPr>
            <xdr:cNvPr id="32775" name="Spinner 7" hidden="1">
              <a:extLst>
                <a:ext uri="{63B3BB69-23CF-44E3-9099-C40C66FF867C}">
                  <a14:compatExt spid="_x0000_s32775"/>
                </a:ext>
                <a:ext uri="{FF2B5EF4-FFF2-40B4-BE49-F238E27FC236}">
                  <a16:creationId xmlns:a16="http://schemas.microsoft.com/office/drawing/2014/main" id="{00000000-0008-0000-2700-000007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11</xdr:row>
          <xdr:rowOff>47625</xdr:rowOff>
        </xdr:from>
        <xdr:to>
          <xdr:col>12</xdr:col>
          <xdr:colOff>180975</xdr:colOff>
          <xdr:row>12</xdr:row>
          <xdr:rowOff>152400</xdr:rowOff>
        </xdr:to>
        <xdr:sp macro="" textlink="">
          <xdr:nvSpPr>
            <xdr:cNvPr id="32776" name="Spinner 8" hidden="1">
              <a:extLst>
                <a:ext uri="{63B3BB69-23CF-44E3-9099-C40C66FF867C}">
                  <a14:compatExt spid="_x0000_s32776"/>
                </a:ext>
                <a:ext uri="{FF2B5EF4-FFF2-40B4-BE49-F238E27FC236}">
                  <a16:creationId xmlns:a16="http://schemas.microsoft.com/office/drawing/2014/main" id="{00000000-0008-0000-2700-000008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13</xdr:row>
          <xdr:rowOff>57150</xdr:rowOff>
        </xdr:from>
        <xdr:to>
          <xdr:col>12</xdr:col>
          <xdr:colOff>180975</xdr:colOff>
          <xdr:row>14</xdr:row>
          <xdr:rowOff>152400</xdr:rowOff>
        </xdr:to>
        <xdr:sp macro="" textlink="">
          <xdr:nvSpPr>
            <xdr:cNvPr id="32778" name="Spinner 10" hidden="1">
              <a:extLst>
                <a:ext uri="{63B3BB69-23CF-44E3-9099-C40C66FF867C}">
                  <a14:compatExt spid="_x0000_s32778"/>
                </a:ext>
                <a:ext uri="{FF2B5EF4-FFF2-40B4-BE49-F238E27FC236}">
                  <a16:creationId xmlns:a16="http://schemas.microsoft.com/office/drawing/2014/main" id="{00000000-0008-0000-2700-00000A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9</xdr:row>
          <xdr:rowOff>47625</xdr:rowOff>
        </xdr:from>
        <xdr:to>
          <xdr:col>12</xdr:col>
          <xdr:colOff>180975</xdr:colOff>
          <xdr:row>10</xdr:row>
          <xdr:rowOff>152400</xdr:rowOff>
        </xdr:to>
        <xdr:sp macro="" textlink="">
          <xdr:nvSpPr>
            <xdr:cNvPr id="32779" name="Spinner 11" hidden="1">
              <a:extLst>
                <a:ext uri="{63B3BB69-23CF-44E3-9099-C40C66FF867C}">
                  <a14:compatExt spid="_x0000_s32779"/>
                </a:ext>
                <a:ext uri="{FF2B5EF4-FFF2-40B4-BE49-F238E27FC236}">
                  <a16:creationId xmlns:a16="http://schemas.microsoft.com/office/drawing/2014/main" id="{00000000-0008-0000-2700-00000B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9</xdr:row>
          <xdr:rowOff>47625</xdr:rowOff>
        </xdr:from>
        <xdr:to>
          <xdr:col>12</xdr:col>
          <xdr:colOff>180975</xdr:colOff>
          <xdr:row>10</xdr:row>
          <xdr:rowOff>152400</xdr:rowOff>
        </xdr:to>
        <xdr:sp macro="" textlink="">
          <xdr:nvSpPr>
            <xdr:cNvPr id="32780" name="Spinner 12" hidden="1">
              <a:extLst>
                <a:ext uri="{63B3BB69-23CF-44E3-9099-C40C66FF867C}">
                  <a14:compatExt spid="_x0000_s32780"/>
                </a:ext>
                <a:ext uri="{FF2B5EF4-FFF2-40B4-BE49-F238E27FC236}">
                  <a16:creationId xmlns:a16="http://schemas.microsoft.com/office/drawing/2014/main" id="{00000000-0008-0000-2700-00000C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
          <a:extLst>
            <a:ext uri="{FF2B5EF4-FFF2-40B4-BE49-F238E27FC236}">
              <a16:creationId xmlns:a16="http://schemas.microsoft.com/office/drawing/2014/main" id="{00000000-0008-0000-2800-000019000000}"/>
            </a:ext>
          </a:extLst>
        </xdr:cNvPr>
        <xdr:cNvGrpSpPr/>
      </xdr:nvGrpSpPr>
      <xdr:grpSpPr>
        <a:xfrm>
          <a:off x="13811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8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8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8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8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8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1304926</xdr:colOff>
      <xdr:row>1</xdr:row>
      <xdr:rowOff>19049</xdr:rowOff>
    </xdr:from>
    <xdr:to>
      <xdr:col>1</xdr:col>
      <xdr:colOff>2038354</xdr:colOff>
      <xdr:row>8</xdr:row>
      <xdr:rowOff>135859</xdr:rowOff>
    </xdr:to>
    <xdr:grpSp>
      <xdr:nvGrpSpPr>
        <xdr:cNvPr id="134" name="Grupo 133">
          <a:hlinkClick xmlns:r="http://schemas.openxmlformats.org/officeDocument/2006/relationships" r:id="rId4"/>
          <a:extLst>
            <a:ext uri="{FF2B5EF4-FFF2-40B4-BE49-F238E27FC236}">
              <a16:creationId xmlns:a16="http://schemas.microsoft.com/office/drawing/2014/main" id="{00000000-0008-0000-2800-000086000000}"/>
            </a:ext>
          </a:extLst>
        </xdr:cNvPr>
        <xdr:cNvGrpSpPr/>
      </xdr:nvGrpSpPr>
      <xdr:grpSpPr>
        <a:xfrm>
          <a:off x="1304926" y="209549"/>
          <a:ext cx="2114553" cy="1450310"/>
          <a:chOff x="1219736" y="33959"/>
          <a:chExt cx="2009778" cy="1488207"/>
        </a:xfrm>
      </xdr:grpSpPr>
      <xdr:sp macro="" textlink="">
        <xdr:nvSpPr>
          <xdr:cNvPr id="135" name="Rectángulo: esquinas superiores redondeadas 134">
            <a:extLst>
              <a:ext uri="{FF2B5EF4-FFF2-40B4-BE49-F238E27FC236}">
                <a16:creationId xmlns:a16="http://schemas.microsoft.com/office/drawing/2014/main" id="{00000000-0008-0000-2800-000087000000}"/>
              </a:ext>
            </a:extLst>
          </xdr:cNvPr>
          <xdr:cNvSpPr/>
        </xdr:nvSpPr>
        <xdr:spPr>
          <a:xfrm rot="5400000">
            <a:off x="2013004" y="-759309"/>
            <a:ext cx="423241"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Residuos sólidos</a:t>
            </a:r>
          </a:p>
        </xdr:txBody>
      </xdr:sp>
      <xdr:sp macro="" textlink="">
        <xdr:nvSpPr>
          <xdr:cNvPr id="136" name="Rectángulo 135">
            <a:hlinkClick xmlns:r="http://schemas.openxmlformats.org/officeDocument/2006/relationships" r:id="rId5"/>
            <a:extLst>
              <a:ext uri="{FF2B5EF4-FFF2-40B4-BE49-F238E27FC236}">
                <a16:creationId xmlns:a16="http://schemas.microsoft.com/office/drawing/2014/main" id="{00000000-0008-0000-2800-000088000000}"/>
              </a:ext>
            </a:extLst>
          </xdr:cNvPr>
          <xdr:cNvSpPr/>
        </xdr:nvSpPr>
        <xdr:spPr>
          <a:xfrm>
            <a:off x="1369240" y="542924"/>
            <a:ext cx="1787846" cy="429329"/>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1">
                <a:solidFill>
                  <a:schemeClr val="accent6">
                    <a:lumMod val="50000"/>
                  </a:schemeClr>
                </a:solidFill>
                <a:latin typeface="+mn-lt"/>
                <a:ea typeface="+mn-ea"/>
                <a:cs typeface="+mn-cs"/>
              </a:rPr>
              <a:t>Residuos sólidos</a:t>
            </a:r>
          </a:p>
        </xdr:txBody>
      </xdr:sp>
      <xdr:sp macro="" textlink="">
        <xdr:nvSpPr>
          <xdr:cNvPr id="137" name="Rectángulo 136">
            <a:hlinkClick xmlns:r="http://schemas.openxmlformats.org/officeDocument/2006/relationships" r:id="rId6"/>
            <a:extLst>
              <a:ext uri="{FF2B5EF4-FFF2-40B4-BE49-F238E27FC236}">
                <a16:creationId xmlns:a16="http://schemas.microsoft.com/office/drawing/2014/main" id="{00000000-0008-0000-2800-000089000000}"/>
              </a:ext>
            </a:extLst>
          </xdr:cNvPr>
          <xdr:cNvSpPr/>
        </xdr:nvSpPr>
        <xdr:spPr>
          <a:xfrm>
            <a:off x="1369240" y="1093540"/>
            <a:ext cx="1787846" cy="428626"/>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0">
                <a:solidFill>
                  <a:schemeClr val="accent6">
                    <a:lumMod val="50000"/>
                  </a:schemeClr>
                </a:solidFill>
                <a:latin typeface="+mn-lt"/>
                <a:ea typeface="+mn-ea"/>
                <a:cs typeface="+mn-cs"/>
              </a:rPr>
              <a:t>Aguas residuales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2800-00001B000000}"/>
            </a:ext>
          </a:extLst>
        </xdr:cNvPr>
        <xdr:cNvGrpSpPr/>
      </xdr:nvGrpSpPr>
      <xdr:grpSpPr>
        <a:xfrm>
          <a:off x="0" y="0"/>
          <a:ext cx="1381125" cy="328014"/>
          <a:chOff x="91104" y="65606"/>
          <a:chExt cx="1192701" cy="328014"/>
        </a:xfrm>
      </xdr:grpSpPr>
      <xdr:sp macro="" textlink="">
        <xdr:nvSpPr>
          <xdr:cNvPr id="28" name="Rectángulo 27">
            <a:extLst>
              <a:ext uri="{FF2B5EF4-FFF2-40B4-BE49-F238E27FC236}">
                <a16:creationId xmlns:a16="http://schemas.microsoft.com/office/drawing/2014/main" id="{00000000-0008-0000-28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28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5" name="Grupo 34">
          <a:hlinkClick xmlns:r="http://schemas.openxmlformats.org/officeDocument/2006/relationships" r:id="rId7"/>
          <a:extLst>
            <a:ext uri="{FF2B5EF4-FFF2-40B4-BE49-F238E27FC236}">
              <a16:creationId xmlns:a16="http://schemas.microsoft.com/office/drawing/2014/main" id="{00000000-0008-0000-2800-000023000000}"/>
            </a:ext>
          </a:extLst>
        </xdr:cNvPr>
        <xdr:cNvGrpSpPr/>
      </xdr:nvGrpSpPr>
      <xdr:grpSpPr>
        <a:xfrm>
          <a:off x="0" y="4710117"/>
          <a:ext cx="1295400" cy="638178"/>
          <a:chOff x="0" y="3671892"/>
          <a:chExt cx="1295400" cy="638178"/>
        </a:xfrm>
      </xdr:grpSpPr>
      <xdr:sp macro="" textlink="">
        <xdr:nvSpPr>
          <xdr:cNvPr id="36" name="Rectángulo: esquinas superiores redondeadas 35">
            <a:extLst>
              <a:ext uri="{FF2B5EF4-FFF2-40B4-BE49-F238E27FC236}">
                <a16:creationId xmlns:a16="http://schemas.microsoft.com/office/drawing/2014/main" id="{00000000-0008-0000-2800-000024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7" name="Gráfico 36" descr="Información con relleno sólido">
            <a:extLst>
              <a:ext uri="{FF2B5EF4-FFF2-40B4-BE49-F238E27FC236}">
                <a16:creationId xmlns:a16="http://schemas.microsoft.com/office/drawing/2014/main" id="{00000000-0008-0000-2800-00002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8" name="Grupo 37">
          <a:hlinkClick xmlns:r="http://schemas.openxmlformats.org/officeDocument/2006/relationships" r:id="rId10"/>
          <a:extLst>
            <a:ext uri="{FF2B5EF4-FFF2-40B4-BE49-F238E27FC236}">
              <a16:creationId xmlns:a16="http://schemas.microsoft.com/office/drawing/2014/main" id="{00000000-0008-0000-2800-000026000000}"/>
            </a:ext>
          </a:extLst>
        </xdr:cNvPr>
        <xdr:cNvGrpSpPr/>
      </xdr:nvGrpSpPr>
      <xdr:grpSpPr>
        <a:xfrm>
          <a:off x="0" y="3760792"/>
          <a:ext cx="1304926" cy="638178"/>
          <a:chOff x="0" y="2767017"/>
          <a:chExt cx="1304926" cy="638178"/>
        </a:xfrm>
      </xdr:grpSpPr>
      <xdr:sp macro="" textlink="">
        <xdr:nvSpPr>
          <xdr:cNvPr id="39" name="Rectángulo: esquinas superiores redondeadas 38">
            <a:extLst>
              <a:ext uri="{FF2B5EF4-FFF2-40B4-BE49-F238E27FC236}">
                <a16:creationId xmlns:a16="http://schemas.microsoft.com/office/drawing/2014/main" id="{00000000-0008-0000-2800-000027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0" name="Gráfico 39" descr="Gráfico de barras con relleno sólido">
            <a:extLst>
              <a:ext uri="{FF2B5EF4-FFF2-40B4-BE49-F238E27FC236}">
                <a16:creationId xmlns:a16="http://schemas.microsoft.com/office/drawing/2014/main" id="{00000000-0008-0000-2800-00002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1" name="Grupo 40">
          <a:hlinkClick xmlns:r="http://schemas.openxmlformats.org/officeDocument/2006/relationships" r:id="rId13"/>
          <a:extLst>
            <a:ext uri="{FF2B5EF4-FFF2-40B4-BE49-F238E27FC236}">
              <a16:creationId xmlns:a16="http://schemas.microsoft.com/office/drawing/2014/main" id="{00000000-0008-0000-2800-000029000000}"/>
            </a:ext>
          </a:extLst>
        </xdr:cNvPr>
        <xdr:cNvGrpSpPr/>
      </xdr:nvGrpSpPr>
      <xdr:grpSpPr>
        <a:xfrm>
          <a:off x="0" y="2811467"/>
          <a:ext cx="1514474" cy="638178"/>
          <a:chOff x="0" y="1862142"/>
          <a:chExt cx="1514474" cy="638178"/>
        </a:xfrm>
      </xdr:grpSpPr>
      <xdr:sp macro="" textlink="">
        <xdr:nvSpPr>
          <xdr:cNvPr id="42" name="Rectángulo: esquinas superiores redondeadas 41">
            <a:extLst>
              <a:ext uri="{FF2B5EF4-FFF2-40B4-BE49-F238E27FC236}">
                <a16:creationId xmlns:a16="http://schemas.microsoft.com/office/drawing/2014/main" id="{00000000-0008-0000-2800-00002A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3" name="Gráfico 42" descr="Alternar con relleno sólido">
            <a:extLst>
              <a:ext uri="{FF2B5EF4-FFF2-40B4-BE49-F238E27FC236}">
                <a16:creationId xmlns:a16="http://schemas.microsoft.com/office/drawing/2014/main" id="{00000000-0008-0000-2800-00002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4" name="Grupo 43">
          <a:hlinkClick xmlns:r="http://schemas.openxmlformats.org/officeDocument/2006/relationships" r:id="rId16"/>
          <a:extLst>
            <a:ext uri="{FF2B5EF4-FFF2-40B4-BE49-F238E27FC236}">
              <a16:creationId xmlns:a16="http://schemas.microsoft.com/office/drawing/2014/main" id="{00000000-0008-0000-2800-00002C000000}"/>
            </a:ext>
          </a:extLst>
        </xdr:cNvPr>
        <xdr:cNvGrpSpPr/>
      </xdr:nvGrpSpPr>
      <xdr:grpSpPr>
        <a:xfrm>
          <a:off x="0" y="1862142"/>
          <a:ext cx="1295400" cy="638178"/>
          <a:chOff x="0" y="1862142"/>
          <a:chExt cx="1295400" cy="638178"/>
        </a:xfrm>
      </xdr:grpSpPr>
      <xdr:sp macro="" textlink="">
        <xdr:nvSpPr>
          <xdr:cNvPr id="45" name="Rectángulo: esquinas superiores redondeadas 44">
            <a:extLst>
              <a:ext uri="{FF2B5EF4-FFF2-40B4-BE49-F238E27FC236}">
                <a16:creationId xmlns:a16="http://schemas.microsoft.com/office/drawing/2014/main" id="{00000000-0008-0000-2800-00002D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6" name="Gráfico 45" descr="Lista con relleno sólido">
            <a:extLst>
              <a:ext uri="{FF2B5EF4-FFF2-40B4-BE49-F238E27FC236}">
                <a16:creationId xmlns:a16="http://schemas.microsoft.com/office/drawing/2014/main" id="{00000000-0008-0000-2800-00002E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12</xdr:col>
      <xdr:colOff>314325</xdr:colOff>
      <xdr:row>0</xdr:row>
      <xdr:rowOff>95250</xdr:rowOff>
    </xdr:from>
    <xdr:to>
      <xdr:col>15</xdr:col>
      <xdr:colOff>390525</xdr:colOff>
      <xdr:row>2</xdr:row>
      <xdr:rowOff>95250</xdr:rowOff>
    </xdr:to>
    <xdr:grpSp>
      <xdr:nvGrpSpPr>
        <xdr:cNvPr id="55" name="Grupo 54">
          <a:hlinkClick xmlns:r="http://schemas.openxmlformats.org/officeDocument/2006/relationships" r:id="rId19"/>
          <a:extLst>
            <a:ext uri="{FF2B5EF4-FFF2-40B4-BE49-F238E27FC236}">
              <a16:creationId xmlns:a16="http://schemas.microsoft.com/office/drawing/2014/main" id="{00000000-0008-0000-2800-000037000000}"/>
            </a:ext>
          </a:extLst>
        </xdr:cNvPr>
        <xdr:cNvGrpSpPr/>
      </xdr:nvGrpSpPr>
      <xdr:grpSpPr>
        <a:xfrm>
          <a:off x="14161294" y="95250"/>
          <a:ext cx="2921794" cy="381000"/>
          <a:chOff x="12572999" y="47625"/>
          <a:chExt cx="2714625" cy="381000"/>
        </a:xfrm>
      </xdr:grpSpPr>
      <xdr:sp macro="" textlink="">
        <xdr:nvSpPr>
          <xdr:cNvPr id="56" name="Rectángulo: esquinas redondeadas 55">
            <a:extLst>
              <a:ext uri="{FF2B5EF4-FFF2-40B4-BE49-F238E27FC236}">
                <a16:creationId xmlns:a16="http://schemas.microsoft.com/office/drawing/2014/main" id="{00000000-0008-0000-2800-000038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7" name="CuadroTexto 56">
            <a:extLst>
              <a:ext uri="{FF2B5EF4-FFF2-40B4-BE49-F238E27FC236}">
                <a16:creationId xmlns:a16="http://schemas.microsoft.com/office/drawing/2014/main" id="{00000000-0008-0000-2800-000039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Residuos</a:t>
            </a:r>
            <a:r>
              <a:rPr lang="es-ES" sz="1100" b="1" baseline="0">
                <a:solidFill>
                  <a:schemeClr val="bg1"/>
                </a:solidFill>
              </a:rPr>
              <a:t> </a:t>
            </a:r>
            <a:endParaRPr lang="es-ES" sz="1100" b="1">
              <a:solidFill>
                <a:schemeClr val="bg1"/>
              </a:solidFill>
            </a:endParaRPr>
          </a:p>
        </xdr:txBody>
      </xdr:sp>
      <xdr:pic>
        <xdr:nvPicPr>
          <xdr:cNvPr id="58" name="Gráfico 57" descr="Gráfico de barras con relleno sólido">
            <a:extLst>
              <a:ext uri="{FF2B5EF4-FFF2-40B4-BE49-F238E27FC236}">
                <a16:creationId xmlns:a16="http://schemas.microsoft.com/office/drawing/2014/main" id="{00000000-0008-0000-2800-00003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14</xdr:col>
          <xdr:colOff>38100</xdr:colOff>
          <xdr:row>6</xdr:row>
          <xdr:rowOff>47625</xdr:rowOff>
        </xdr:from>
        <xdr:to>
          <xdr:col>14</xdr:col>
          <xdr:colOff>228600</xdr:colOff>
          <xdr:row>7</xdr:row>
          <xdr:rowOff>152400</xdr:rowOff>
        </xdr:to>
        <xdr:sp macro="" textlink="">
          <xdr:nvSpPr>
            <xdr:cNvPr id="33793" name="Spinner 1" hidden="1">
              <a:extLst>
                <a:ext uri="{63B3BB69-23CF-44E3-9099-C40C66FF867C}">
                  <a14:compatExt spid="_x0000_s33793"/>
                </a:ext>
                <a:ext uri="{FF2B5EF4-FFF2-40B4-BE49-F238E27FC236}">
                  <a16:creationId xmlns:a16="http://schemas.microsoft.com/office/drawing/2014/main" id="{00000000-0008-0000-2800-0000018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2"/>
          <a:extLst>
            <a:ext uri="{FF2B5EF4-FFF2-40B4-BE49-F238E27FC236}">
              <a16:creationId xmlns:a16="http://schemas.microsoft.com/office/drawing/2014/main" id="{00000000-0008-0000-28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800-000043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8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2</xdr:col>
      <xdr:colOff>0</xdr:colOff>
      <xdr:row>10</xdr:row>
      <xdr:rowOff>109499</xdr:rowOff>
    </xdr:from>
    <xdr:to>
      <xdr:col>2</xdr:col>
      <xdr:colOff>0</xdr:colOff>
      <xdr:row>13</xdr:row>
      <xdr:rowOff>147831</xdr:rowOff>
    </xdr:to>
    <xdr:grpSp>
      <xdr:nvGrpSpPr>
        <xdr:cNvPr id="23" name="Grupo 22">
          <a:hlinkClick xmlns:r="http://schemas.openxmlformats.org/officeDocument/2006/relationships" r:id="rId1"/>
          <a:extLst>
            <a:ext uri="{FF2B5EF4-FFF2-40B4-BE49-F238E27FC236}">
              <a16:creationId xmlns:a16="http://schemas.microsoft.com/office/drawing/2014/main" id="{00000000-0008-0000-2900-000017000000}"/>
            </a:ext>
          </a:extLst>
        </xdr:cNvPr>
        <xdr:cNvGrpSpPr/>
      </xdr:nvGrpSpPr>
      <xdr:grpSpPr>
        <a:xfrm>
          <a:off x="3429000" y="2014499"/>
          <a:ext cx="0" cy="609832"/>
          <a:chOff x="-1" y="2081174"/>
          <a:chExt cx="1285875" cy="609832"/>
        </a:xfrm>
      </xdr:grpSpPr>
      <xdr:sp macro="" textlink="">
        <xdr:nvSpPr>
          <xdr:cNvPr id="4" name="Rectángulo: esquinas superiores redondeadas 3">
            <a:hlinkClick xmlns:r="http://schemas.openxmlformats.org/officeDocument/2006/relationships" r:id="rId1"/>
            <a:extLst>
              <a:ext uri="{FF2B5EF4-FFF2-40B4-BE49-F238E27FC236}">
                <a16:creationId xmlns:a16="http://schemas.microsoft.com/office/drawing/2014/main" id="{00000000-0008-0000-2900-000004000000}"/>
              </a:ext>
            </a:extLst>
          </xdr:cNvPr>
          <xdr:cNvSpPr/>
        </xdr:nvSpPr>
        <xdr:spPr>
          <a:xfrm rot="5400000">
            <a:off x="338021" y="1743152"/>
            <a:ext cx="60983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2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119893"/>
            <a:ext cx="504825" cy="51303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2900-000015000000}"/>
            </a:ext>
          </a:extLst>
        </xdr:cNvPr>
        <xdr:cNvGrpSpPr/>
      </xdr:nvGrpSpPr>
      <xdr:grpSpPr>
        <a:xfrm>
          <a:off x="1381125" y="0"/>
          <a:ext cx="0" cy="328014"/>
          <a:chOff x="91104" y="65606"/>
          <a:chExt cx="1192701" cy="328014"/>
        </a:xfrm>
      </xdr:grpSpPr>
      <xdr:sp macro="" textlink="">
        <xdr:nvSpPr>
          <xdr:cNvPr id="22" name="Rectángulo 21">
            <a:extLst>
              <a:ext uri="{FF2B5EF4-FFF2-40B4-BE49-F238E27FC236}">
                <a16:creationId xmlns:a16="http://schemas.microsoft.com/office/drawing/2014/main" id="{00000000-0008-0000-29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29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4"/>
          <a:extLst>
            <a:ext uri="{FF2B5EF4-FFF2-40B4-BE49-F238E27FC236}">
              <a16:creationId xmlns:a16="http://schemas.microsoft.com/office/drawing/2014/main" id="{00000000-0008-0000-2900-000019000000}"/>
            </a:ext>
          </a:extLst>
        </xdr:cNvPr>
        <xdr:cNvGrpSpPr/>
      </xdr:nvGrpSpPr>
      <xdr:grpSpPr>
        <a:xfrm>
          <a:off x="1381125" y="0"/>
          <a:ext cx="0" cy="328014"/>
          <a:chOff x="91104" y="65606"/>
          <a:chExt cx="1192701" cy="328014"/>
        </a:xfrm>
      </xdr:grpSpPr>
      <xdr:sp macro="" textlink="">
        <xdr:nvSpPr>
          <xdr:cNvPr id="26" name="Rectángulo 25">
            <a:extLst>
              <a:ext uri="{FF2B5EF4-FFF2-40B4-BE49-F238E27FC236}">
                <a16:creationId xmlns:a16="http://schemas.microsoft.com/office/drawing/2014/main" id="{00000000-0008-0000-29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2900-00001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1304925</xdr:colOff>
      <xdr:row>1</xdr:row>
      <xdr:rowOff>19050</xdr:rowOff>
    </xdr:from>
    <xdr:to>
      <xdr:col>1</xdr:col>
      <xdr:colOff>2038353</xdr:colOff>
      <xdr:row>8</xdr:row>
      <xdr:rowOff>135859</xdr:rowOff>
    </xdr:to>
    <xdr:grpSp>
      <xdr:nvGrpSpPr>
        <xdr:cNvPr id="127" name="Grupo 126">
          <a:hlinkClick xmlns:r="http://schemas.openxmlformats.org/officeDocument/2006/relationships" r:id="rId7"/>
          <a:extLst>
            <a:ext uri="{FF2B5EF4-FFF2-40B4-BE49-F238E27FC236}">
              <a16:creationId xmlns:a16="http://schemas.microsoft.com/office/drawing/2014/main" id="{00000000-0008-0000-2900-00007F000000}"/>
            </a:ext>
          </a:extLst>
        </xdr:cNvPr>
        <xdr:cNvGrpSpPr/>
      </xdr:nvGrpSpPr>
      <xdr:grpSpPr>
        <a:xfrm>
          <a:off x="1304925" y="209550"/>
          <a:ext cx="2114553" cy="1450309"/>
          <a:chOff x="1219735" y="33960"/>
          <a:chExt cx="2009778" cy="1488206"/>
        </a:xfrm>
      </xdr:grpSpPr>
      <xdr:sp macro="" textlink="">
        <xdr:nvSpPr>
          <xdr:cNvPr id="128" name="Rectángulo: esquinas superiores redondeadas 127">
            <a:extLst>
              <a:ext uri="{FF2B5EF4-FFF2-40B4-BE49-F238E27FC236}">
                <a16:creationId xmlns:a16="http://schemas.microsoft.com/office/drawing/2014/main" id="{00000000-0008-0000-2900-000080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Residuos sólidos</a:t>
            </a:r>
          </a:p>
        </xdr:txBody>
      </xdr:sp>
      <xdr:sp macro="" textlink="">
        <xdr:nvSpPr>
          <xdr:cNvPr id="129" name="Rectángulo 128">
            <a:hlinkClick xmlns:r="http://schemas.openxmlformats.org/officeDocument/2006/relationships" r:id="rId8"/>
            <a:extLst>
              <a:ext uri="{FF2B5EF4-FFF2-40B4-BE49-F238E27FC236}">
                <a16:creationId xmlns:a16="http://schemas.microsoft.com/office/drawing/2014/main" id="{00000000-0008-0000-2900-000081000000}"/>
              </a:ext>
            </a:extLst>
          </xdr:cNvPr>
          <xdr:cNvSpPr/>
        </xdr:nvSpPr>
        <xdr:spPr>
          <a:xfrm>
            <a:off x="1369240" y="542924"/>
            <a:ext cx="1787846" cy="429329"/>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0">
                <a:solidFill>
                  <a:schemeClr val="accent6">
                    <a:lumMod val="50000"/>
                  </a:schemeClr>
                </a:solidFill>
                <a:latin typeface="+mn-lt"/>
                <a:ea typeface="+mn-ea"/>
                <a:cs typeface="+mn-cs"/>
              </a:rPr>
              <a:t>Residuos sólidos</a:t>
            </a:r>
          </a:p>
        </xdr:txBody>
      </xdr:sp>
      <xdr:sp macro="" textlink="">
        <xdr:nvSpPr>
          <xdr:cNvPr id="130" name="Rectángulo 129">
            <a:hlinkClick xmlns:r="http://schemas.openxmlformats.org/officeDocument/2006/relationships" r:id="rId9"/>
            <a:extLst>
              <a:ext uri="{FF2B5EF4-FFF2-40B4-BE49-F238E27FC236}">
                <a16:creationId xmlns:a16="http://schemas.microsoft.com/office/drawing/2014/main" id="{00000000-0008-0000-2900-000082000000}"/>
              </a:ext>
            </a:extLst>
          </xdr:cNvPr>
          <xdr:cNvSpPr/>
        </xdr:nvSpPr>
        <xdr:spPr>
          <a:xfrm>
            <a:off x="1369240" y="1093540"/>
            <a:ext cx="1787846" cy="428626"/>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1">
                <a:solidFill>
                  <a:schemeClr val="accent6">
                    <a:lumMod val="50000"/>
                  </a:schemeClr>
                </a:solidFill>
                <a:latin typeface="+mn-lt"/>
                <a:ea typeface="+mn-ea"/>
                <a:cs typeface="+mn-cs"/>
              </a:rPr>
              <a:t>Aguas residuales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30" name="Grupo 29">
          <a:hlinkClick xmlns:r="http://schemas.openxmlformats.org/officeDocument/2006/relationships" r:id="rId4"/>
          <a:extLst>
            <a:ext uri="{FF2B5EF4-FFF2-40B4-BE49-F238E27FC236}">
              <a16:creationId xmlns:a16="http://schemas.microsoft.com/office/drawing/2014/main" id="{00000000-0008-0000-2900-00001E000000}"/>
            </a:ext>
          </a:extLst>
        </xdr:cNvPr>
        <xdr:cNvGrpSpPr/>
      </xdr:nvGrpSpPr>
      <xdr:grpSpPr>
        <a:xfrm>
          <a:off x="0" y="0"/>
          <a:ext cx="1381125" cy="328014"/>
          <a:chOff x="91104" y="65606"/>
          <a:chExt cx="1192701" cy="328014"/>
        </a:xfrm>
      </xdr:grpSpPr>
      <xdr:sp macro="" textlink="">
        <xdr:nvSpPr>
          <xdr:cNvPr id="31" name="Rectángulo 30">
            <a:extLst>
              <a:ext uri="{FF2B5EF4-FFF2-40B4-BE49-F238E27FC236}">
                <a16:creationId xmlns:a16="http://schemas.microsoft.com/office/drawing/2014/main" id="{00000000-0008-0000-2900-00001F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2" name="Gráfico 31" descr="Hogar con relleno sólido">
            <a:extLst>
              <a:ext uri="{FF2B5EF4-FFF2-40B4-BE49-F238E27FC236}">
                <a16:creationId xmlns:a16="http://schemas.microsoft.com/office/drawing/2014/main" id="{00000000-0008-0000-2900-00002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3" name="Grupo 32">
          <a:hlinkClick xmlns:r="http://schemas.openxmlformats.org/officeDocument/2006/relationships" r:id="rId10"/>
          <a:extLst>
            <a:ext uri="{FF2B5EF4-FFF2-40B4-BE49-F238E27FC236}">
              <a16:creationId xmlns:a16="http://schemas.microsoft.com/office/drawing/2014/main" id="{00000000-0008-0000-2900-000021000000}"/>
            </a:ext>
          </a:extLst>
        </xdr:cNvPr>
        <xdr:cNvGrpSpPr/>
      </xdr:nvGrpSpPr>
      <xdr:grpSpPr>
        <a:xfrm>
          <a:off x="0" y="4710117"/>
          <a:ext cx="1295400" cy="638178"/>
          <a:chOff x="0" y="3671892"/>
          <a:chExt cx="1295400" cy="638178"/>
        </a:xfrm>
      </xdr:grpSpPr>
      <xdr:sp macro="" textlink="">
        <xdr:nvSpPr>
          <xdr:cNvPr id="34" name="Rectángulo: esquinas superiores redondeadas 33">
            <a:extLst>
              <a:ext uri="{FF2B5EF4-FFF2-40B4-BE49-F238E27FC236}">
                <a16:creationId xmlns:a16="http://schemas.microsoft.com/office/drawing/2014/main" id="{00000000-0008-0000-2900-000022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5" name="Gráfico 34" descr="Información con relleno sólido">
            <a:extLst>
              <a:ext uri="{FF2B5EF4-FFF2-40B4-BE49-F238E27FC236}">
                <a16:creationId xmlns:a16="http://schemas.microsoft.com/office/drawing/2014/main" id="{00000000-0008-0000-2900-00002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6" name="Grupo 35">
          <a:hlinkClick xmlns:r="http://schemas.openxmlformats.org/officeDocument/2006/relationships" r:id="rId13"/>
          <a:extLst>
            <a:ext uri="{FF2B5EF4-FFF2-40B4-BE49-F238E27FC236}">
              <a16:creationId xmlns:a16="http://schemas.microsoft.com/office/drawing/2014/main" id="{00000000-0008-0000-2900-000024000000}"/>
            </a:ext>
          </a:extLst>
        </xdr:cNvPr>
        <xdr:cNvGrpSpPr/>
      </xdr:nvGrpSpPr>
      <xdr:grpSpPr>
        <a:xfrm>
          <a:off x="0" y="3760792"/>
          <a:ext cx="1304926" cy="638178"/>
          <a:chOff x="0" y="2767017"/>
          <a:chExt cx="1304926" cy="638178"/>
        </a:xfrm>
      </xdr:grpSpPr>
      <xdr:sp macro="" textlink="">
        <xdr:nvSpPr>
          <xdr:cNvPr id="37" name="Rectángulo: esquinas superiores redondeadas 36">
            <a:extLst>
              <a:ext uri="{FF2B5EF4-FFF2-40B4-BE49-F238E27FC236}">
                <a16:creationId xmlns:a16="http://schemas.microsoft.com/office/drawing/2014/main" id="{00000000-0008-0000-2900-000025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8" name="Gráfico 37" descr="Gráfico de barras con relleno sólido">
            <a:extLst>
              <a:ext uri="{FF2B5EF4-FFF2-40B4-BE49-F238E27FC236}">
                <a16:creationId xmlns:a16="http://schemas.microsoft.com/office/drawing/2014/main" id="{00000000-0008-0000-2900-000026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9" name="Grupo 38">
          <a:hlinkClick xmlns:r="http://schemas.openxmlformats.org/officeDocument/2006/relationships" r:id="rId16"/>
          <a:extLst>
            <a:ext uri="{FF2B5EF4-FFF2-40B4-BE49-F238E27FC236}">
              <a16:creationId xmlns:a16="http://schemas.microsoft.com/office/drawing/2014/main" id="{00000000-0008-0000-2900-000027000000}"/>
            </a:ext>
          </a:extLst>
        </xdr:cNvPr>
        <xdr:cNvGrpSpPr/>
      </xdr:nvGrpSpPr>
      <xdr:grpSpPr>
        <a:xfrm>
          <a:off x="0" y="2811467"/>
          <a:ext cx="1514474" cy="638178"/>
          <a:chOff x="0" y="1862142"/>
          <a:chExt cx="1514474" cy="638178"/>
        </a:xfrm>
      </xdr:grpSpPr>
      <xdr:sp macro="" textlink="">
        <xdr:nvSpPr>
          <xdr:cNvPr id="40" name="Rectángulo: esquinas superiores redondeadas 39">
            <a:extLst>
              <a:ext uri="{FF2B5EF4-FFF2-40B4-BE49-F238E27FC236}">
                <a16:creationId xmlns:a16="http://schemas.microsoft.com/office/drawing/2014/main" id="{00000000-0008-0000-2900-000028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1" name="Gráfico 40" descr="Alternar con relleno sólido">
            <a:extLst>
              <a:ext uri="{FF2B5EF4-FFF2-40B4-BE49-F238E27FC236}">
                <a16:creationId xmlns:a16="http://schemas.microsoft.com/office/drawing/2014/main" id="{00000000-0008-0000-2900-000029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2" name="Grupo 41">
          <a:hlinkClick xmlns:r="http://schemas.openxmlformats.org/officeDocument/2006/relationships" r:id="rId1"/>
          <a:extLst>
            <a:ext uri="{FF2B5EF4-FFF2-40B4-BE49-F238E27FC236}">
              <a16:creationId xmlns:a16="http://schemas.microsoft.com/office/drawing/2014/main" id="{00000000-0008-0000-2900-00002A000000}"/>
            </a:ext>
          </a:extLst>
        </xdr:cNvPr>
        <xdr:cNvGrpSpPr/>
      </xdr:nvGrpSpPr>
      <xdr:grpSpPr>
        <a:xfrm>
          <a:off x="0" y="1862142"/>
          <a:ext cx="1295400" cy="638178"/>
          <a:chOff x="0" y="1862142"/>
          <a:chExt cx="1295400" cy="638178"/>
        </a:xfrm>
      </xdr:grpSpPr>
      <xdr:sp macro="" textlink="">
        <xdr:nvSpPr>
          <xdr:cNvPr id="43" name="Rectángulo: esquinas superiores redondeadas 42">
            <a:extLst>
              <a:ext uri="{FF2B5EF4-FFF2-40B4-BE49-F238E27FC236}">
                <a16:creationId xmlns:a16="http://schemas.microsoft.com/office/drawing/2014/main" id="{00000000-0008-0000-2900-00002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4" name="Gráfico 43" descr="Lista con relleno sólido">
            <a:extLst>
              <a:ext uri="{FF2B5EF4-FFF2-40B4-BE49-F238E27FC236}">
                <a16:creationId xmlns:a16="http://schemas.microsoft.com/office/drawing/2014/main" id="{00000000-0008-0000-29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10</xdr:col>
      <xdr:colOff>381000</xdr:colOff>
      <xdr:row>0</xdr:row>
      <xdr:rowOff>104775</xdr:rowOff>
    </xdr:from>
    <xdr:to>
      <xdr:col>14</xdr:col>
      <xdr:colOff>371475</xdr:colOff>
      <xdr:row>2</xdr:row>
      <xdr:rowOff>104775</xdr:rowOff>
    </xdr:to>
    <xdr:grpSp>
      <xdr:nvGrpSpPr>
        <xdr:cNvPr id="46" name="Grupo 45">
          <a:hlinkClick xmlns:r="http://schemas.openxmlformats.org/officeDocument/2006/relationships" r:id="rId19"/>
          <a:extLst>
            <a:ext uri="{FF2B5EF4-FFF2-40B4-BE49-F238E27FC236}">
              <a16:creationId xmlns:a16="http://schemas.microsoft.com/office/drawing/2014/main" id="{00000000-0008-0000-2900-00002E000000}"/>
            </a:ext>
          </a:extLst>
        </xdr:cNvPr>
        <xdr:cNvGrpSpPr/>
      </xdr:nvGrpSpPr>
      <xdr:grpSpPr>
        <a:xfrm>
          <a:off x="12608719" y="104775"/>
          <a:ext cx="2836069" cy="381000"/>
          <a:chOff x="12572999" y="47625"/>
          <a:chExt cx="2714625" cy="381000"/>
        </a:xfrm>
      </xdr:grpSpPr>
      <xdr:sp macro="" textlink="">
        <xdr:nvSpPr>
          <xdr:cNvPr id="47" name="Rectángulo: esquinas redondeadas 46">
            <a:extLst>
              <a:ext uri="{FF2B5EF4-FFF2-40B4-BE49-F238E27FC236}">
                <a16:creationId xmlns:a16="http://schemas.microsoft.com/office/drawing/2014/main" id="{00000000-0008-0000-2900-00002F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8" name="CuadroTexto 47">
            <a:extLst>
              <a:ext uri="{FF2B5EF4-FFF2-40B4-BE49-F238E27FC236}">
                <a16:creationId xmlns:a16="http://schemas.microsoft.com/office/drawing/2014/main" id="{00000000-0008-0000-2900-000030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Residuos</a:t>
            </a:r>
            <a:r>
              <a:rPr lang="es-ES" sz="1100" b="1" baseline="0">
                <a:solidFill>
                  <a:schemeClr val="bg1"/>
                </a:solidFill>
              </a:rPr>
              <a:t> </a:t>
            </a:r>
            <a:endParaRPr lang="es-ES" sz="1100" b="1">
              <a:solidFill>
                <a:schemeClr val="bg1"/>
              </a:solidFill>
            </a:endParaRPr>
          </a:p>
        </xdr:txBody>
      </xdr:sp>
      <xdr:pic>
        <xdr:nvPicPr>
          <xdr:cNvPr id="49" name="Gráfico 48" descr="Gráfico de barras con relleno sólido">
            <a:extLst>
              <a:ext uri="{FF2B5EF4-FFF2-40B4-BE49-F238E27FC236}">
                <a16:creationId xmlns:a16="http://schemas.microsoft.com/office/drawing/2014/main" id="{00000000-0008-0000-2900-00003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9525</xdr:colOff>
          <xdr:row>6</xdr:row>
          <xdr:rowOff>38100</xdr:rowOff>
        </xdr:from>
        <xdr:to>
          <xdr:col>13</xdr:col>
          <xdr:colOff>200025</xdr:colOff>
          <xdr:row>7</xdr:row>
          <xdr:rowOff>142875</xdr:rowOff>
        </xdr:to>
        <xdr:sp macro="" textlink="">
          <xdr:nvSpPr>
            <xdr:cNvPr id="34817" name="Spinner 1" hidden="1">
              <a:extLst>
                <a:ext uri="{63B3BB69-23CF-44E3-9099-C40C66FF867C}">
                  <a14:compatExt spid="_x0000_s34817"/>
                </a:ext>
                <a:ext uri="{FF2B5EF4-FFF2-40B4-BE49-F238E27FC236}">
                  <a16:creationId xmlns:a16="http://schemas.microsoft.com/office/drawing/2014/main" id="{00000000-0008-0000-2900-0000018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9525</xdr:colOff>
          <xdr:row>8</xdr:row>
          <xdr:rowOff>38100</xdr:rowOff>
        </xdr:from>
        <xdr:to>
          <xdr:col>13</xdr:col>
          <xdr:colOff>200025</xdr:colOff>
          <xdr:row>9</xdr:row>
          <xdr:rowOff>142875</xdr:rowOff>
        </xdr:to>
        <xdr:sp macro="" textlink="">
          <xdr:nvSpPr>
            <xdr:cNvPr id="34818" name="Spinner 2" hidden="1">
              <a:extLst>
                <a:ext uri="{63B3BB69-23CF-44E3-9099-C40C66FF867C}">
                  <a14:compatExt spid="_x0000_s34818"/>
                </a:ext>
                <a:ext uri="{FF2B5EF4-FFF2-40B4-BE49-F238E27FC236}">
                  <a16:creationId xmlns:a16="http://schemas.microsoft.com/office/drawing/2014/main" id="{00000000-0008-0000-2900-0000028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6" name="Grupo 55">
          <a:hlinkClick xmlns:r="http://schemas.openxmlformats.org/officeDocument/2006/relationships" r:id="rId22"/>
          <a:extLst>
            <a:ext uri="{FF2B5EF4-FFF2-40B4-BE49-F238E27FC236}">
              <a16:creationId xmlns:a16="http://schemas.microsoft.com/office/drawing/2014/main" id="{00000000-0008-0000-2900-000038000000}"/>
            </a:ext>
          </a:extLst>
        </xdr:cNvPr>
        <xdr:cNvGrpSpPr/>
      </xdr:nvGrpSpPr>
      <xdr:grpSpPr>
        <a:xfrm>
          <a:off x="0" y="6477000"/>
          <a:ext cx="1240383" cy="416889"/>
          <a:chOff x="28575" y="6381750"/>
          <a:chExt cx="1240383" cy="416889"/>
        </a:xfrm>
      </xdr:grpSpPr>
      <xdr:pic>
        <xdr:nvPicPr>
          <xdr:cNvPr id="57" name="Gráfico 56" descr="Engranaje único con relleno sólido">
            <a:extLst>
              <a:ext uri="{FF2B5EF4-FFF2-40B4-BE49-F238E27FC236}">
                <a16:creationId xmlns:a16="http://schemas.microsoft.com/office/drawing/2014/main" id="{00000000-0008-0000-2900-000039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58" name="CuadroTexto 57">
            <a:extLst>
              <a:ext uri="{FF2B5EF4-FFF2-40B4-BE49-F238E27FC236}">
                <a16:creationId xmlns:a16="http://schemas.microsoft.com/office/drawing/2014/main" id="{00000000-0008-0000-2900-00003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7" name="Grupo 16">
          <a:hlinkClick xmlns:r="http://schemas.openxmlformats.org/officeDocument/2006/relationships" r:id="rId1"/>
          <a:extLst>
            <a:ext uri="{FF2B5EF4-FFF2-40B4-BE49-F238E27FC236}">
              <a16:creationId xmlns:a16="http://schemas.microsoft.com/office/drawing/2014/main" id="{00000000-0008-0000-2A00-000011000000}"/>
            </a:ext>
          </a:extLst>
        </xdr:cNvPr>
        <xdr:cNvGrpSpPr/>
      </xdr:nvGrpSpPr>
      <xdr:grpSpPr>
        <a:xfrm>
          <a:off x="1381125" y="0"/>
          <a:ext cx="0" cy="328014"/>
          <a:chOff x="91104" y="65606"/>
          <a:chExt cx="1192701" cy="328014"/>
        </a:xfrm>
      </xdr:grpSpPr>
      <xdr:sp macro="" textlink="">
        <xdr:nvSpPr>
          <xdr:cNvPr id="18" name="Rectángulo 17">
            <a:extLst>
              <a:ext uri="{FF2B5EF4-FFF2-40B4-BE49-F238E27FC236}">
                <a16:creationId xmlns:a16="http://schemas.microsoft.com/office/drawing/2014/main" id="{00000000-0008-0000-2A00-00001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9" name="Gráfico 18" descr="Hogar con relleno sólido">
            <a:extLst>
              <a:ext uri="{FF2B5EF4-FFF2-40B4-BE49-F238E27FC236}">
                <a16:creationId xmlns:a16="http://schemas.microsoft.com/office/drawing/2014/main" id="{00000000-0008-0000-2A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74" name="Grupo 73">
          <a:hlinkClick xmlns:r="http://schemas.openxmlformats.org/officeDocument/2006/relationships" r:id="rId1"/>
          <a:extLst>
            <a:ext uri="{FF2B5EF4-FFF2-40B4-BE49-F238E27FC236}">
              <a16:creationId xmlns:a16="http://schemas.microsoft.com/office/drawing/2014/main" id="{00000000-0008-0000-2A00-00004A000000}"/>
            </a:ext>
          </a:extLst>
        </xdr:cNvPr>
        <xdr:cNvGrpSpPr/>
      </xdr:nvGrpSpPr>
      <xdr:grpSpPr>
        <a:xfrm>
          <a:off x="1381125" y="0"/>
          <a:ext cx="0" cy="328014"/>
          <a:chOff x="91104" y="65606"/>
          <a:chExt cx="1192701" cy="328014"/>
        </a:xfrm>
      </xdr:grpSpPr>
      <xdr:sp macro="" textlink="">
        <xdr:nvSpPr>
          <xdr:cNvPr id="75" name="Rectángulo 74">
            <a:extLst>
              <a:ext uri="{FF2B5EF4-FFF2-40B4-BE49-F238E27FC236}">
                <a16:creationId xmlns:a16="http://schemas.microsoft.com/office/drawing/2014/main" id="{00000000-0008-0000-2A00-00004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6" name="Gráfico 75" descr="Hogar con relleno sólido">
            <a:extLst>
              <a:ext uri="{FF2B5EF4-FFF2-40B4-BE49-F238E27FC236}">
                <a16:creationId xmlns:a16="http://schemas.microsoft.com/office/drawing/2014/main" id="{00000000-0008-0000-2A00-00004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A00-00001F000000}"/>
            </a:ext>
          </a:extLst>
        </xdr:cNvPr>
        <xdr:cNvGrpSpPr/>
      </xdr:nvGrpSpPr>
      <xdr:grpSpPr>
        <a:xfrm>
          <a:off x="0" y="0"/>
          <a:ext cx="1381125" cy="328014"/>
          <a:chOff x="91104" y="65606"/>
          <a:chExt cx="1192701" cy="328014"/>
        </a:xfrm>
      </xdr:grpSpPr>
      <xdr:sp macro="" textlink="">
        <xdr:nvSpPr>
          <xdr:cNvPr id="32" name="Rectángulo 31">
            <a:extLst>
              <a:ext uri="{FF2B5EF4-FFF2-40B4-BE49-F238E27FC236}">
                <a16:creationId xmlns:a16="http://schemas.microsoft.com/office/drawing/2014/main" id="{00000000-0008-0000-2A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A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4" name="Grupo 33">
          <a:hlinkClick xmlns:r="http://schemas.openxmlformats.org/officeDocument/2006/relationships" r:id="rId4"/>
          <a:extLst>
            <a:ext uri="{FF2B5EF4-FFF2-40B4-BE49-F238E27FC236}">
              <a16:creationId xmlns:a16="http://schemas.microsoft.com/office/drawing/2014/main" id="{00000000-0008-0000-2A00-000022000000}"/>
            </a:ext>
          </a:extLst>
        </xdr:cNvPr>
        <xdr:cNvGrpSpPr/>
      </xdr:nvGrpSpPr>
      <xdr:grpSpPr>
        <a:xfrm>
          <a:off x="0" y="4710117"/>
          <a:ext cx="1295400" cy="638178"/>
          <a:chOff x="0" y="3671892"/>
          <a:chExt cx="1295400" cy="638178"/>
        </a:xfrm>
      </xdr:grpSpPr>
      <xdr:sp macro="" textlink="">
        <xdr:nvSpPr>
          <xdr:cNvPr id="35" name="Rectángulo: esquinas superiores redondeadas 34">
            <a:extLst>
              <a:ext uri="{FF2B5EF4-FFF2-40B4-BE49-F238E27FC236}">
                <a16:creationId xmlns:a16="http://schemas.microsoft.com/office/drawing/2014/main" id="{00000000-0008-0000-2A00-000023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6" name="Gráfico 35" descr="Información con relleno sólido">
            <a:extLst>
              <a:ext uri="{FF2B5EF4-FFF2-40B4-BE49-F238E27FC236}">
                <a16:creationId xmlns:a16="http://schemas.microsoft.com/office/drawing/2014/main" id="{00000000-0008-0000-2A00-00002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7" name="Grupo 36">
          <a:hlinkClick xmlns:r="http://schemas.openxmlformats.org/officeDocument/2006/relationships" r:id="rId7"/>
          <a:extLst>
            <a:ext uri="{FF2B5EF4-FFF2-40B4-BE49-F238E27FC236}">
              <a16:creationId xmlns:a16="http://schemas.microsoft.com/office/drawing/2014/main" id="{00000000-0008-0000-2A00-000025000000}"/>
            </a:ext>
          </a:extLst>
        </xdr:cNvPr>
        <xdr:cNvGrpSpPr/>
      </xdr:nvGrpSpPr>
      <xdr:grpSpPr>
        <a:xfrm>
          <a:off x="0" y="3760792"/>
          <a:ext cx="1304926" cy="638178"/>
          <a:chOff x="0" y="2767017"/>
          <a:chExt cx="1304926" cy="638178"/>
        </a:xfrm>
      </xdr:grpSpPr>
      <xdr:sp macro="" textlink="">
        <xdr:nvSpPr>
          <xdr:cNvPr id="38" name="Rectángulo: esquinas superiores redondeadas 37">
            <a:extLst>
              <a:ext uri="{FF2B5EF4-FFF2-40B4-BE49-F238E27FC236}">
                <a16:creationId xmlns:a16="http://schemas.microsoft.com/office/drawing/2014/main" id="{00000000-0008-0000-2A00-000026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9" name="Gráfico 38" descr="Gráfico de barras con relleno sólido">
            <a:extLst>
              <a:ext uri="{FF2B5EF4-FFF2-40B4-BE49-F238E27FC236}">
                <a16:creationId xmlns:a16="http://schemas.microsoft.com/office/drawing/2014/main" id="{00000000-0008-0000-2A00-00002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0" name="Grupo 39">
          <a:hlinkClick xmlns:r="http://schemas.openxmlformats.org/officeDocument/2006/relationships" r:id="rId10"/>
          <a:extLst>
            <a:ext uri="{FF2B5EF4-FFF2-40B4-BE49-F238E27FC236}">
              <a16:creationId xmlns:a16="http://schemas.microsoft.com/office/drawing/2014/main" id="{00000000-0008-0000-2A00-000028000000}"/>
            </a:ext>
          </a:extLst>
        </xdr:cNvPr>
        <xdr:cNvGrpSpPr/>
      </xdr:nvGrpSpPr>
      <xdr:grpSpPr>
        <a:xfrm>
          <a:off x="0" y="2811467"/>
          <a:ext cx="1514474" cy="638178"/>
          <a:chOff x="0" y="1862142"/>
          <a:chExt cx="1514474" cy="638178"/>
        </a:xfrm>
      </xdr:grpSpPr>
      <xdr:sp macro="" textlink="">
        <xdr:nvSpPr>
          <xdr:cNvPr id="41" name="Rectángulo: esquinas superiores redondeadas 40">
            <a:extLst>
              <a:ext uri="{FF2B5EF4-FFF2-40B4-BE49-F238E27FC236}">
                <a16:creationId xmlns:a16="http://schemas.microsoft.com/office/drawing/2014/main" id="{00000000-0008-0000-2A00-00002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2" name="Gráfico 41" descr="Alternar con relleno sólido">
            <a:extLst>
              <a:ext uri="{FF2B5EF4-FFF2-40B4-BE49-F238E27FC236}">
                <a16:creationId xmlns:a16="http://schemas.microsoft.com/office/drawing/2014/main" id="{00000000-0008-0000-2A00-00002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3" name="Grupo 42">
          <a:hlinkClick xmlns:r="http://schemas.openxmlformats.org/officeDocument/2006/relationships" r:id="rId13"/>
          <a:extLst>
            <a:ext uri="{FF2B5EF4-FFF2-40B4-BE49-F238E27FC236}">
              <a16:creationId xmlns:a16="http://schemas.microsoft.com/office/drawing/2014/main" id="{00000000-0008-0000-2A00-00002B000000}"/>
            </a:ext>
          </a:extLst>
        </xdr:cNvPr>
        <xdr:cNvGrpSpPr/>
      </xdr:nvGrpSpPr>
      <xdr:grpSpPr>
        <a:xfrm>
          <a:off x="0" y="1862142"/>
          <a:ext cx="1295400" cy="638178"/>
          <a:chOff x="0" y="1862142"/>
          <a:chExt cx="1295400" cy="638178"/>
        </a:xfrm>
      </xdr:grpSpPr>
      <xdr:sp macro="" textlink="">
        <xdr:nvSpPr>
          <xdr:cNvPr id="44" name="Rectángulo: esquinas superiores redondeadas 43">
            <a:extLst>
              <a:ext uri="{FF2B5EF4-FFF2-40B4-BE49-F238E27FC236}">
                <a16:creationId xmlns:a16="http://schemas.microsoft.com/office/drawing/2014/main" id="{00000000-0008-0000-2A00-00002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5" name="Gráfico 44" descr="Lista con relleno sólido">
            <a:extLst>
              <a:ext uri="{FF2B5EF4-FFF2-40B4-BE49-F238E27FC236}">
                <a16:creationId xmlns:a16="http://schemas.microsoft.com/office/drawing/2014/main" id="{00000000-0008-0000-2A00-00002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25" name="Grupo 124">
          <a:extLst>
            <a:ext uri="{FF2B5EF4-FFF2-40B4-BE49-F238E27FC236}">
              <a16:creationId xmlns:a16="http://schemas.microsoft.com/office/drawing/2014/main" id="{00000000-0008-0000-2A00-00007D000000}"/>
            </a:ext>
          </a:extLst>
        </xdr:cNvPr>
        <xdr:cNvGrpSpPr/>
      </xdr:nvGrpSpPr>
      <xdr:grpSpPr>
        <a:xfrm>
          <a:off x="1381125" y="190500"/>
          <a:ext cx="2009780" cy="3509340"/>
          <a:chOff x="1257299" y="33960"/>
          <a:chExt cx="2009780" cy="4058961"/>
        </a:xfrm>
      </xdr:grpSpPr>
      <xdr:sp macro="" textlink="">
        <xdr:nvSpPr>
          <xdr:cNvPr id="126" name="Rectángulo: esquinas superiores redondeadas 125">
            <a:extLst>
              <a:ext uri="{FF2B5EF4-FFF2-40B4-BE49-F238E27FC236}">
                <a16:creationId xmlns:a16="http://schemas.microsoft.com/office/drawing/2014/main" id="{00000000-0008-0000-2A00-00007E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27" name="Rectángulo 126">
            <a:extLst>
              <a:ext uri="{FF2B5EF4-FFF2-40B4-BE49-F238E27FC236}">
                <a16:creationId xmlns:a16="http://schemas.microsoft.com/office/drawing/2014/main" id="{00000000-0008-0000-2A00-00007F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Acondicionamiento de espacios residenciales</a:t>
            </a:r>
          </a:p>
        </xdr:txBody>
      </xdr:sp>
      <xdr:sp macro="" textlink="">
        <xdr:nvSpPr>
          <xdr:cNvPr id="128" name="Rectángulo 127">
            <a:hlinkClick xmlns:r="http://schemas.openxmlformats.org/officeDocument/2006/relationships" r:id="rId16"/>
            <a:extLst>
              <a:ext uri="{FF2B5EF4-FFF2-40B4-BE49-F238E27FC236}">
                <a16:creationId xmlns:a16="http://schemas.microsoft.com/office/drawing/2014/main" id="{00000000-0008-0000-2A00-000080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29" name="Rectángulo 128">
            <a:hlinkClick xmlns:r="http://schemas.openxmlformats.org/officeDocument/2006/relationships" r:id="rId17"/>
            <a:extLst>
              <a:ext uri="{FF2B5EF4-FFF2-40B4-BE49-F238E27FC236}">
                <a16:creationId xmlns:a16="http://schemas.microsoft.com/office/drawing/2014/main" id="{00000000-0008-0000-2A00-000081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30" name="Rectángulo: esquinas superiores redondeadas 129">
            <a:extLst>
              <a:ext uri="{FF2B5EF4-FFF2-40B4-BE49-F238E27FC236}">
                <a16:creationId xmlns:a16="http://schemas.microsoft.com/office/drawing/2014/main" id="{00000000-0008-0000-2A00-000082000000}"/>
              </a:ext>
            </a:extLst>
          </xdr:cNvPr>
          <xdr:cNvSpPr/>
        </xdr:nvSpPr>
        <xdr:spPr>
          <a:xfrm rot="5400000">
            <a:off x="1887619" y="1562929"/>
            <a:ext cx="749141"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31" name="Rectángulo 130">
            <a:hlinkClick xmlns:r="http://schemas.openxmlformats.org/officeDocument/2006/relationships" r:id="rId18"/>
            <a:extLst>
              <a:ext uri="{FF2B5EF4-FFF2-40B4-BE49-F238E27FC236}">
                <a16:creationId xmlns:a16="http://schemas.microsoft.com/office/drawing/2014/main" id="{00000000-0008-0000-2A00-000083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32" name="Rectángulo 131">
            <a:hlinkClick xmlns:r="http://schemas.openxmlformats.org/officeDocument/2006/relationships" r:id="rId19"/>
            <a:extLst>
              <a:ext uri="{FF2B5EF4-FFF2-40B4-BE49-F238E27FC236}">
                <a16:creationId xmlns:a16="http://schemas.microsoft.com/office/drawing/2014/main" id="{00000000-0008-0000-2A00-000084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342899</xdr:colOff>
      <xdr:row>0</xdr:row>
      <xdr:rowOff>95250</xdr:rowOff>
    </xdr:from>
    <xdr:to>
      <xdr:col>23</xdr:col>
      <xdr:colOff>28574</xdr:colOff>
      <xdr:row>2</xdr:row>
      <xdr:rowOff>95250</xdr:rowOff>
    </xdr:to>
    <xdr:grpSp>
      <xdr:nvGrpSpPr>
        <xdr:cNvPr id="50" name="Grupo 49">
          <a:hlinkClick xmlns:r="http://schemas.openxmlformats.org/officeDocument/2006/relationships" r:id="rId20"/>
          <a:extLst>
            <a:ext uri="{FF2B5EF4-FFF2-40B4-BE49-F238E27FC236}">
              <a16:creationId xmlns:a16="http://schemas.microsoft.com/office/drawing/2014/main" id="{00000000-0008-0000-2A00-000032000000}"/>
            </a:ext>
          </a:extLst>
        </xdr:cNvPr>
        <xdr:cNvGrpSpPr/>
      </xdr:nvGrpSpPr>
      <xdr:grpSpPr>
        <a:xfrm>
          <a:off x="11213305" y="95250"/>
          <a:ext cx="2424113" cy="381000"/>
          <a:chOff x="12572999" y="47625"/>
          <a:chExt cx="2660447" cy="381000"/>
        </a:xfrm>
      </xdr:grpSpPr>
      <xdr:sp macro="" textlink="">
        <xdr:nvSpPr>
          <xdr:cNvPr id="51" name="Rectángulo: esquinas redondeadas 50">
            <a:extLst>
              <a:ext uri="{FF2B5EF4-FFF2-40B4-BE49-F238E27FC236}">
                <a16:creationId xmlns:a16="http://schemas.microsoft.com/office/drawing/2014/main" id="{00000000-0008-0000-2A00-000033000000}"/>
              </a:ext>
            </a:extLst>
          </xdr:cNvPr>
          <xdr:cNvSpPr/>
        </xdr:nvSpPr>
        <xdr:spPr>
          <a:xfrm>
            <a:off x="12572999" y="47625"/>
            <a:ext cx="2660447"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2" name="CuadroTexto 51">
            <a:extLst>
              <a:ext uri="{FF2B5EF4-FFF2-40B4-BE49-F238E27FC236}">
                <a16:creationId xmlns:a16="http://schemas.microsoft.com/office/drawing/2014/main" id="{00000000-0008-0000-2A00-000034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53" name="Gráfico 52" descr="Gráfico de barras con relleno sólido">
            <a:extLst>
              <a:ext uri="{FF2B5EF4-FFF2-40B4-BE49-F238E27FC236}">
                <a16:creationId xmlns:a16="http://schemas.microsoft.com/office/drawing/2014/main" id="{00000000-0008-0000-2A00-00003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5" y="57150"/>
            <a:ext cx="4446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0</xdr:colOff>
          <xdr:row>6</xdr:row>
          <xdr:rowOff>47625</xdr:rowOff>
        </xdr:from>
        <xdr:to>
          <xdr:col>13</xdr:col>
          <xdr:colOff>190500</xdr:colOff>
          <xdr:row>7</xdr:row>
          <xdr:rowOff>152400</xdr:rowOff>
        </xdr:to>
        <xdr:sp macro="" textlink="">
          <xdr:nvSpPr>
            <xdr:cNvPr id="35843" name="Spinner 3" hidden="1">
              <a:extLst>
                <a:ext uri="{63B3BB69-23CF-44E3-9099-C40C66FF867C}">
                  <a14:compatExt spid="_x0000_s35843"/>
                </a:ext>
                <a:ext uri="{FF2B5EF4-FFF2-40B4-BE49-F238E27FC236}">
                  <a16:creationId xmlns:a16="http://schemas.microsoft.com/office/drawing/2014/main" id="{00000000-0008-0000-2A00-0000038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5" name="Grupo 54">
          <a:hlinkClick xmlns:r="http://schemas.openxmlformats.org/officeDocument/2006/relationships" r:id="rId23"/>
          <a:extLst>
            <a:ext uri="{FF2B5EF4-FFF2-40B4-BE49-F238E27FC236}">
              <a16:creationId xmlns:a16="http://schemas.microsoft.com/office/drawing/2014/main" id="{00000000-0008-0000-2A00-000037000000}"/>
            </a:ext>
          </a:extLst>
        </xdr:cNvPr>
        <xdr:cNvGrpSpPr/>
      </xdr:nvGrpSpPr>
      <xdr:grpSpPr>
        <a:xfrm>
          <a:off x="0" y="6477000"/>
          <a:ext cx="1240383" cy="416889"/>
          <a:chOff x="28575" y="6381750"/>
          <a:chExt cx="1240383" cy="416889"/>
        </a:xfrm>
      </xdr:grpSpPr>
      <xdr:pic>
        <xdr:nvPicPr>
          <xdr:cNvPr id="56" name="Gráfico 55" descr="Engranaje único con relleno sólido">
            <a:extLst>
              <a:ext uri="{FF2B5EF4-FFF2-40B4-BE49-F238E27FC236}">
                <a16:creationId xmlns:a16="http://schemas.microsoft.com/office/drawing/2014/main" id="{00000000-0008-0000-2A00-000038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7" name="CuadroTexto 56">
            <a:extLst>
              <a:ext uri="{FF2B5EF4-FFF2-40B4-BE49-F238E27FC236}">
                <a16:creationId xmlns:a16="http://schemas.microsoft.com/office/drawing/2014/main" id="{00000000-0008-0000-2A00-00003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118" name="Grupo 117">
          <a:hlinkClick xmlns:r="http://schemas.openxmlformats.org/officeDocument/2006/relationships" r:id="rId1"/>
          <a:extLst>
            <a:ext uri="{FF2B5EF4-FFF2-40B4-BE49-F238E27FC236}">
              <a16:creationId xmlns:a16="http://schemas.microsoft.com/office/drawing/2014/main" id="{00000000-0008-0000-2B00-000076000000}"/>
            </a:ext>
          </a:extLst>
        </xdr:cNvPr>
        <xdr:cNvGrpSpPr/>
      </xdr:nvGrpSpPr>
      <xdr:grpSpPr>
        <a:xfrm>
          <a:off x="3429000" y="0"/>
          <a:ext cx="0" cy="328014"/>
          <a:chOff x="91104" y="65606"/>
          <a:chExt cx="1192701" cy="328014"/>
        </a:xfrm>
      </xdr:grpSpPr>
      <xdr:sp macro="" textlink="">
        <xdr:nvSpPr>
          <xdr:cNvPr id="119" name="Rectángulo 118">
            <a:extLst>
              <a:ext uri="{FF2B5EF4-FFF2-40B4-BE49-F238E27FC236}">
                <a16:creationId xmlns:a16="http://schemas.microsoft.com/office/drawing/2014/main" id="{00000000-0008-0000-2B00-00007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0" name="Gráfico 119" descr="Hogar con relleno sólido">
            <a:extLst>
              <a:ext uri="{FF2B5EF4-FFF2-40B4-BE49-F238E27FC236}">
                <a16:creationId xmlns:a16="http://schemas.microsoft.com/office/drawing/2014/main" id="{00000000-0008-0000-2B00-00007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122</xdr:row>
      <xdr:rowOff>133350</xdr:rowOff>
    </xdr:to>
    <xdr:sp macro="" textlink="">
      <xdr:nvSpPr>
        <xdr:cNvPr id="121" name="Rectángulo 120">
          <a:extLst>
            <a:ext uri="{FF2B5EF4-FFF2-40B4-BE49-F238E27FC236}">
              <a16:creationId xmlns:a16="http://schemas.microsoft.com/office/drawing/2014/main" id="{00000000-0008-0000-2B00-000079000000}"/>
            </a:ext>
          </a:extLst>
        </xdr:cNvPr>
        <xdr:cNvSpPr/>
      </xdr:nvSpPr>
      <xdr:spPr>
        <a:xfrm>
          <a:off x="19050" y="0"/>
          <a:ext cx="1343025" cy="24765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32" name="Grupo 131">
          <a:hlinkClick xmlns:r="http://schemas.openxmlformats.org/officeDocument/2006/relationships" r:id="rId1"/>
          <a:extLst>
            <a:ext uri="{FF2B5EF4-FFF2-40B4-BE49-F238E27FC236}">
              <a16:creationId xmlns:a16="http://schemas.microsoft.com/office/drawing/2014/main" id="{00000000-0008-0000-2B00-000084000000}"/>
            </a:ext>
          </a:extLst>
        </xdr:cNvPr>
        <xdr:cNvGrpSpPr/>
      </xdr:nvGrpSpPr>
      <xdr:grpSpPr>
        <a:xfrm>
          <a:off x="3429000" y="0"/>
          <a:ext cx="0" cy="328014"/>
          <a:chOff x="91104" y="65606"/>
          <a:chExt cx="1192701" cy="328014"/>
        </a:xfrm>
      </xdr:grpSpPr>
      <xdr:sp macro="" textlink="">
        <xdr:nvSpPr>
          <xdr:cNvPr id="133" name="Rectángulo 132">
            <a:extLst>
              <a:ext uri="{FF2B5EF4-FFF2-40B4-BE49-F238E27FC236}">
                <a16:creationId xmlns:a16="http://schemas.microsoft.com/office/drawing/2014/main" id="{00000000-0008-0000-2B00-00008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4" name="Gráfico 133" descr="Hogar con relleno sólido">
            <a:extLst>
              <a:ext uri="{FF2B5EF4-FFF2-40B4-BE49-F238E27FC236}">
                <a16:creationId xmlns:a16="http://schemas.microsoft.com/office/drawing/2014/main" id="{00000000-0008-0000-2B00-00008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B00-00001C000000}"/>
            </a:ext>
          </a:extLst>
        </xdr:cNvPr>
        <xdr:cNvGrpSpPr/>
      </xdr:nvGrpSpPr>
      <xdr:grpSpPr>
        <a:xfrm>
          <a:off x="13811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B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B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B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B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B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B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2B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2B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4"/>
          <a:extLst>
            <a:ext uri="{FF2B5EF4-FFF2-40B4-BE49-F238E27FC236}">
              <a16:creationId xmlns:a16="http://schemas.microsoft.com/office/drawing/2014/main" id="{00000000-0008-0000-2B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2B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 name="Gráfico 42" descr="Información con relleno sólido">
            <a:extLst>
              <a:ext uri="{FF2B5EF4-FFF2-40B4-BE49-F238E27FC236}">
                <a16:creationId xmlns:a16="http://schemas.microsoft.com/office/drawing/2014/main" id="{00000000-0008-0000-2B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4" name="Grupo 43">
          <a:hlinkClick xmlns:r="http://schemas.openxmlformats.org/officeDocument/2006/relationships" r:id="rId7"/>
          <a:extLst>
            <a:ext uri="{FF2B5EF4-FFF2-40B4-BE49-F238E27FC236}">
              <a16:creationId xmlns:a16="http://schemas.microsoft.com/office/drawing/2014/main" id="{00000000-0008-0000-2B00-00002C000000}"/>
            </a:ext>
          </a:extLst>
        </xdr:cNvPr>
        <xdr:cNvGrpSpPr/>
      </xdr:nvGrpSpPr>
      <xdr:grpSpPr>
        <a:xfrm>
          <a:off x="0" y="3760792"/>
          <a:ext cx="1304926" cy="638178"/>
          <a:chOff x="0" y="2767017"/>
          <a:chExt cx="1304926" cy="638178"/>
        </a:xfrm>
      </xdr:grpSpPr>
      <xdr:sp macro="" textlink="">
        <xdr:nvSpPr>
          <xdr:cNvPr id="45" name="Rectángulo: esquinas superiores redondeadas 44">
            <a:extLst>
              <a:ext uri="{FF2B5EF4-FFF2-40B4-BE49-F238E27FC236}">
                <a16:creationId xmlns:a16="http://schemas.microsoft.com/office/drawing/2014/main" id="{00000000-0008-0000-2B00-00002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6" name="Gráfico 45" descr="Gráfico de barras con relleno sólido">
            <a:extLst>
              <a:ext uri="{FF2B5EF4-FFF2-40B4-BE49-F238E27FC236}">
                <a16:creationId xmlns:a16="http://schemas.microsoft.com/office/drawing/2014/main" id="{00000000-0008-0000-2B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7" name="Grupo 46">
          <a:hlinkClick xmlns:r="http://schemas.openxmlformats.org/officeDocument/2006/relationships" r:id="rId10"/>
          <a:extLst>
            <a:ext uri="{FF2B5EF4-FFF2-40B4-BE49-F238E27FC236}">
              <a16:creationId xmlns:a16="http://schemas.microsoft.com/office/drawing/2014/main" id="{00000000-0008-0000-2B00-00002F000000}"/>
            </a:ext>
          </a:extLst>
        </xdr:cNvPr>
        <xdr:cNvGrpSpPr/>
      </xdr:nvGrpSpPr>
      <xdr:grpSpPr>
        <a:xfrm>
          <a:off x="0" y="2811467"/>
          <a:ext cx="1514474" cy="638178"/>
          <a:chOff x="0" y="1862142"/>
          <a:chExt cx="1514474" cy="638178"/>
        </a:xfrm>
      </xdr:grpSpPr>
      <xdr:sp macro="" textlink="">
        <xdr:nvSpPr>
          <xdr:cNvPr id="48" name="Rectángulo: esquinas superiores redondeadas 47">
            <a:extLst>
              <a:ext uri="{FF2B5EF4-FFF2-40B4-BE49-F238E27FC236}">
                <a16:creationId xmlns:a16="http://schemas.microsoft.com/office/drawing/2014/main" id="{00000000-0008-0000-2B00-00003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9" name="Gráfico 48" descr="Alternar con relleno sólido">
            <a:extLst>
              <a:ext uri="{FF2B5EF4-FFF2-40B4-BE49-F238E27FC236}">
                <a16:creationId xmlns:a16="http://schemas.microsoft.com/office/drawing/2014/main" id="{00000000-0008-0000-2B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0" name="Grupo 49">
          <a:hlinkClick xmlns:r="http://schemas.openxmlformats.org/officeDocument/2006/relationships" r:id="rId13"/>
          <a:extLst>
            <a:ext uri="{FF2B5EF4-FFF2-40B4-BE49-F238E27FC236}">
              <a16:creationId xmlns:a16="http://schemas.microsoft.com/office/drawing/2014/main" id="{00000000-0008-0000-2B00-000032000000}"/>
            </a:ext>
          </a:extLst>
        </xdr:cNvPr>
        <xdr:cNvGrpSpPr/>
      </xdr:nvGrpSpPr>
      <xdr:grpSpPr>
        <a:xfrm>
          <a:off x="0" y="1862142"/>
          <a:ext cx="1295400" cy="638178"/>
          <a:chOff x="0" y="1862142"/>
          <a:chExt cx="1295400" cy="638178"/>
        </a:xfrm>
      </xdr:grpSpPr>
      <xdr:sp macro="" textlink="">
        <xdr:nvSpPr>
          <xdr:cNvPr id="51" name="Rectángulo: esquinas superiores redondeadas 50">
            <a:extLst>
              <a:ext uri="{FF2B5EF4-FFF2-40B4-BE49-F238E27FC236}">
                <a16:creationId xmlns:a16="http://schemas.microsoft.com/office/drawing/2014/main" id="{00000000-0008-0000-2B00-00003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2" name="Gráfico 51" descr="Lista con relleno sólido">
            <a:extLst>
              <a:ext uri="{FF2B5EF4-FFF2-40B4-BE49-F238E27FC236}">
                <a16:creationId xmlns:a16="http://schemas.microsoft.com/office/drawing/2014/main" id="{00000000-0008-0000-2B00-00003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16" name="Grupo 115">
          <a:extLst>
            <a:ext uri="{FF2B5EF4-FFF2-40B4-BE49-F238E27FC236}">
              <a16:creationId xmlns:a16="http://schemas.microsoft.com/office/drawing/2014/main" id="{00000000-0008-0000-2B00-000074000000}"/>
            </a:ext>
          </a:extLst>
        </xdr:cNvPr>
        <xdr:cNvGrpSpPr/>
      </xdr:nvGrpSpPr>
      <xdr:grpSpPr>
        <a:xfrm>
          <a:off x="1381125" y="190500"/>
          <a:ext cx="2009780" cy="3509340"/>
          <a:chOff x="1257299" y="33960"/>
          <a:chExt cx="2009780" cy="4058961"/>
        </a:xfrm>
      </xdr:grpSpPr>
      <xdr:sp macro="" textlink="">
        <xdr:nvSpPr>
          <xdr:cNvPr id="143" name="Rectángulo: esquinas superiores redondeadas 142">
            <a:extLst>
              <a:ext uri="{FF2B5EF4-FFF2-40B4-BE49-F238E27FC236}">
                <a16:creationId xmlns:a16="http://schemas.microsoft.com/office/drawing/2014/main" id="{00000000-0008-0000-2B00-00008F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44" name="Rectángulo 143">
            <a:hlinkClick xmlns:r="http://schemas.openxmlformats.org/officeDocument/2006/relationships" r:id="rId16"/>
            <a:extLst>
              <a:ext uri="{FF2B5EF4-FFF2-40B4-BE49-F238E27FC236}">
                <a16:creationId xmlns:a16="http://schemas.microsoft.com/office/drawing/2014/main" id="{00000000-0008-0000-2B00-00009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45" name="Rectángulo 144">
            <a:hlinkClick xmlns:r="http://schemas.openxmlformats.org/officeDocument/2006/relationships" r:id="rId17"/>
            <a:extLst>
              <a:ext uri="{FF2B5EF4-FFF2-40B4-BE49-F238E27FC236}">
                <a16:creationId xmlns:a16="http://schemas.microsoft.com/office/drawing/2014/main" id="{00000000-0008-0000-2B00-000091000000}"/>
              </a:ext>
            </a:extLst>
          </xdr:cNvPr>
          <xdr:cNvSpPr/>
        </xdr:nvSpPr>
        <xdr:spPr>
          <a:xfrm>
            <a:off x="1323975" y="1107072"/>
            <a:ext cx="1876426" cy="50981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Iluminación, refrigeración,</a:t>
            </a:r>
            <a:r>
              <a:rPr lang="es-ES" sz="1000" b="1" baseline="0">
                <a:solidFill>
                  <a:schemeClr val="accent6">
                    <a:lumMod val="50000"/>
                  </a:schemeClr>
                </a:solidFill>
              </a:rPr>
              <a:t> cocción y otros</a:t>
            </a:r>
            <a:endParaRPr lang="es-ES" sz="1000" b="1">
              <a:solidFill>
                <a:schemeClr val="accent6">
                  <a:lumMod val="50000"/>
                </a:schemeClr>
              </a:solidFill>
            </a:endParaRPr>
          </a:p>
        </xdr:txBody>
      </xdr:sp>
      <xdr:sp macro="" textlink="">
        <xdr:nvSpPr>
          <xdr:cNvPr id="146" name="Rectángulo 145">
            <a:hlinkClick xmlns:r="http://schemas.openxmlformats.org/officeDocument/2006/relationships" r:id="rId18"/>
            <a:extLst>
              <a:ext uri="{FF2B5EF4-FFF2-40B4-BE49-F238E27FC236}">
                <a16:creationId xmlns:a16="http://schemas.microsoft.com/office/drawing/2014/main" id="{00000000-0008-0000-2B00-000092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47" name="Rectángulo: esquinas superiores redondeadas 146">
            <a:extLst>
              <a:ext uri="{FF2B5EF4-FFF2-40B4-BE49-F238E27FC236}">
                <a16:creationId xmlns:a16="http://schemas.microsoft.com/office/drawing/2014/main" id="{00000000-0008-0000-2B00-000093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48" name="Rectángulo 147">
            <a:hlinkClick xmlns:r="http://schemas.openxmlformats.org/officeDocument/2006/relationships" r:id="rId19"/>
            <a:extLst>
              <a:ext uri="{FF2B5EF4-FFF2-40B4-BE49-F238E27FC236}">
                <a16:creationId xmlns:a16="http://schemas.microsoft.com/office/drawing/2014/main" id="{00000000-0008-0000-2B00-000094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49" name="Rectángulo 148">
            <a:hlinkClick xmlns:r="http://schemas.openxmlformats.org/officeDocument/2006/relationships" r:id="rId20"/>
            <a:extLst>
              <a:ext uri="{FF2B5EF4-FFF2-40B4-BE49-F238E27FC236}">
                <a16:creationId xmlns:a16="http://schemas.microsoft.com/office/drawing/2014/main" id="{00000000-0008-0000-2B00-000095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390524</xdr:colOff>
      <xdr:row>0</xdr:row>
      <xdr:rowOff>76200</xdr:rowOff>
    </xdr:from>
    <xdr:to>
      <xdr:col>24</xdr:col>
      <xdr:colOff>51287</xdr:colOff>
      <xdr:row>2</xdr:row>
      <xdr:rowOff>76200</xdr:rowOff>
    </xdr:to>
    <xdr:grpSp>
      <xdr:nvGrpSpPr>
        <xdr:cNvPr id="54" name="Grupo 53">
          <a:hlinkClick xmlns:r="http://schemas.openxmlformats.org/officeDocument/2006/relationships" r:id="rId21"/>
          <a:extLst>
            <a:ext uri="{FF2B5EF4-FFF2-40B4-BE49-F238E27FC236}">
              <a16:creationId xmlns:a16="http://schemas.microsoft.com/office/drawing/2014/main" id="{00000000-0008-0000-2B00-000036000000}"/>
            </a:ext>
          </a:extLst>
        </xdr:cNvPr>
        <xdr:cNvGrpSpPr/>
      </xdr:nvGrpSpPr>
      <xdr:grpSpPr>
        <a:xfrm>
          <a:off x="11094243" y="76200"/>
          <a:ext cx="2399200" cy="381000"/>
          <a:chOff x="12572999" y="47625"/>
          <a:chExt cx="2686461" cy="381000"/>
        </a:xfrm>
      </xdr:grpSpPr>
      <xdr:sp macro="" textlink="">
        <xdr:nvSpPr>
          <xdr:cNvPr id="55" name="Rectángulo: esquinas redondeadas 54">
            <a:extLst>
              <a:ext uri="{FF2B5EF4-FFF2-40B4-BE49-F238E27FC236}">
                <a16:creationId xmlns:a16="http://schemas.microsoft.com/office/drawing/2014/main" id="{00000000-0008-0000-2B00-000037000000}"/>
              </a:ext>
            </a:extLst>
          </xdr:cNvPr>
          <xdr:cNvSpPr/>
        </xdr:nvSpPr>
        <xdr:spPr>
          <a:xfrm>
            <a:off x="12572999" y="47625"/>
            <a:ext cx="2686461"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6" name="CuadroTexto 55">
            <a:extLst>
              <a:ext uri="{FF2B5EF4-FFF2-40B4-BE49-F238E27FC236}">
                <a16:creationId xmlns:a16="http://schemas.microsoft.com/office/drawing/2014/main" id="{00000000-0008-0000-2B00-000038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1" name="Gráfico 60" descr="Gráfico de barras con relleno sólido">
            <a:extLst>
              <a:ext uri="{FF2B5EF4-FFF2-40B4-BE49-F238E27FC236}">
                <a16:creationId xmlns:a16="http://schemas.microsoft.com/office/drawing/2014/main" id="{00000000-0008-0000-2B00-00003D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9525</xdr:colOff>
          <xdr:row>6</xdr:row>
          <xdr:rowOff>47625</xdr:rowOff>
        </xdr:from>
        <xdr:to>
          <xdr:col>13</xdr:col>
          <xdr:colOff>200025</xdr:colOff>
          <xdr:row>7</xdr:row>
          <xdr:rowOff>152400</xdr:rowOff>
        </xdr:to>
        <xdr:sp macro="" textlink="">
          <xdr:nvSpPr>
            <xdr:cNvPr id="36869" name="Spinner 5" hidden="1">
              <a:extLst>
                <a:ext uri="{63B3BB69-23CF-44E3-9099-C40C66FF867C}">
                  <a14:compatExt spid="_x0000_s36869"/>
                </a:ext>
                <a:ext uri="{FF2B5EF4-FFF2-40B4-BE49-F238E27FC236}">
                  <a16:creationId xmlns:a16="http://schemas.microsoft.com/office/drawing/2014/main" id="{00000000-0008-0000-2B00-000005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9525</xdr:colOff>
          <xdr:row>8</xdr:row>
          <xdr:rowOff>66675</xdr:rowOff>
        </xdr:from>
        <xdr:to>
          <xdr:col>13</xdr:col>
          <xdr:colOff>200025</xdr:colOff>
          <xdr:row>9</xdr:row>
          <xdr:rowOff>171450</xdr:rowOff>
        </xdr:to>
        <xdr:sp macro="" textlink="">
          <xdr:nvSpPr>
            <xdr:cNvPr id="36870" name="Spinner 6" hidden="1">
              <a:extLst>
                <a:ext uri="{63B3BB69-23CF-44E3-9099-C40C66FF867C}">
                  <a14:compatExt spid="_x0000_s36870"/>
                </a:ext>
                <a:ext uri="{FF2B5EF4-FFF2-40B4-BE49-F238E27FC236}">
                  <a16:creationId xmlns:a16="http://schemas.microsoft.com/office/drawing/2014/main" id="{00000000-0008-0000-2B00-000006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9525</xdr:colOff>
          <xdr:row>10</xdr:row>
          <xdr:rowOff>85725</xdr:rowOff>
        </xdr:from>
        <xdr:to>
          <xdr:col>13</xdr:col>
          <xdr:colOff>200025</xdr:colOff>
          <xdr:row>12</xdr:row>
          <xdr:rowOff>0</xdr:rowOff>
        </xdr:to>
        <xdr:sp macro="" textlink="">
          <xdr:nvSpPr>
            <xdr:cNvPr id="36872" name="Spinner 8" hidden="1">
              <a:extLst>
                <a:ext uri="{63B3BB69-23CF-44E3-9099-C40C66FF867C}">
                  <a14:compatExt spid="_x0000_s36872"/>
                </a:ext>
                <a:ext uri="{FF2B5EF4-FFF2-40B4-BE49-F238E27FC236}">
                  <a16:creationId xmlns:a16="http://schemas.microsoft.com/office/drawing/2014/main" id="{00000000-0008-0000-2B00-000008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4"/>
          <a:extLst>
            <a:ext uri="{FF2B5EF4-FFF2-40B4-BE49-F238E27FC236}">
              <a16:creationId xmlns:a16="http://schemas.microsoft.com/office/drawing/2014/main" id="{00000000-0008-0000-2B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B00-000043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B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9.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40" name="Grupo 39">
          <a:hlinkClick xmlns:r="http://schemas.openxmlformats.org/officeDocument/2006/relationships" r:id="rId1"/>
          <a:extLst>
            <a:ext uri="{FF2B5EF4-FFF2-40B4-BE49-F238E27FC236}">
              <a16:creationId xmlns:a16="http://schemas.microsoft.com/office/drawing/2014/main" id="{00000000-0008-0000-2C00-000028000000}"/>
            </a:ext>
          </a:extLst>
        </xdr:cNvPr>
        <xdr:cNvGrpSpPr/>
      </xdr:nvGrpSpPr>
      <xdr:grpSpPr>
        <a:xfrm>
          <a:off x="3429000" y="0"/>
          <a:ext cx="0" cy="328014"/>
          <a:chOff x="91104" y="65606"/>
          <a:chExt cx="1192701" cy="328014"/>
        </a:xfrm>
      </xdr:grpSpPr>
      <xdr:sp macro="" textlink="">
        <xdr:nvSpPr>
          <xdr:cNvPr id="41" name="Rectángulo 40">
            <a:extLst>
              <a:ext uri="{FF2B5EF4-FFF2-40B4-BE49-F238E27FC236}">
                <a16:creationId xmlns:a16="http://schemas.microsoft.com/office/drawing/2014/main" id="{00000000-0008-0000-2C00-00002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2" name="Gráfico 41" descr="Hogar con relleno sólido">
            <a:extLst>
              <a:ext uri="{FF2B5EF4-FFF2-40B4-BE49-F238E27FC236}">
                <a16:creationId xmlns:a16="http://schemas.microsoft.com/office/drawing/2014/main" id="{00000000-0008-0000-2C00-00002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123</xdr:row>
      <xdr:rowOff>133350</xdr:rowOff>
    </xdr:to>
    <xdr:sp macro="" textlink="">
      <xdr:nvSpPr>
        <xdr:cNvPr id="43" name="Rectángulo 42">
          <a:extLst>
            <a:ext uri="{FF2B5EF4-FFF2-40B4-BE49-F238E27FC236}">
              <a16:creationId xmlns:a16="http://schemas.microsoft.com/office/drawing/2014/main" id="{00000000-0008-0000-2C00-00002B000000}"/>
            </a:ext>
          </a:extLst>
        </xdr:cNvPr>
        <xdr:cNvSpPr/>
      </xdr:nvSpPr>
      <xdr:spPr>
        <a:xfrm>
          <a:off x="19050" y="0"/>
          <a:ext cx="1343025" cy="24765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54" name="Grupo 53">
          <a:hlinkClick xmlns:r="http://schemas.openxmlformats.org/officeDocument/2006/relationships" r:id="rId1"/>
          <a:extLst>
            <a:ext uri="{FF2B5EF4-FFF2-40B4-BE49-F238E27FC236}">
              <a16:creationId xmlns:a16="http://schemas.microsoft.com/office/drawing/2014/main" id="{00000000-0008-0000-2C00-000036000000}"/>
            </a:ext>
          </a:extLst>
        </xdr:cNvPr>
        <xdr:cNvGrpSpPr/>
      </xdr:nvGrpSpPr>
      <xdr:grpSpPr>
        <a:xfrm>
          <a:off x="3429000" y="0"/>
          <a:ext cx="0" cy="328014"/>
          <a:chOff x="91104" y="65606"/>
          <a:chExt cx="1192701" cy="328014"/>
        </a:xfrm>
      </xdr:grpSpPr>
      <xdr:sp macro="" textlink="">
        <xdr:nvSpPr>
          <xdr:cNvPr id="55" name="Rectángulo 54">
            <a:extLst>
              <a:ext uri="{FF2B5EF4-FFF2-40B4-BE49-F238E27FC236}">
                <a16:creationId xmlns:a16="http://schemas.microsoft.com/office/drawing/2014/main" id="{00000000-0008-0000-2C00-00003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6" name="Gráfico 55" descr="Hogar con relleno sólido">
            <a:extLst>
              <a:ext uri="{FF2B5EF4-FFF2-40B4-BE49-F238E27FC236}">
                <a16:creationId xmlns:a16="http://schemas.microsoft.com/office/drawing/2014/main" id="{00000000-0008-0000-2C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C00-00001C000000}"/>
            </a:ext>
          </a:extLst>
        </xdr:cNvPr>
        <xdr:cNvGrpSpPr/>
      </xdr:nvGrpSpPr>
      <xdr:grpSpPr>
        <a:xfrm>
          <a:off x="13811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C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C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C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C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C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C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2C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2C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5" name="Grupo 44">
          <a:hlinkClick xmlns:r="http://schemas.openxmlformats.org/officeDocument/2006/relationships" r:id="rId4"/>
          <a:extLst>
            <a:ext uri="{FF2B5EF4-FFF2-40B4-BE49-F238E27FC236}">
              <a16:creationId xmlns:a16="http://schemas.microsoft.com/office/drawing/2014/main" id="{00000000-0008-0000-2C00-00002D000000}"/>
            </a:ext>
          </a:extLst>
        </xdr:cNvPr>
        <xdr:cNvGrpSpPr/>
      </xdr:nvGrpSpPr>
      <xdr:grpSpPr>
        <a:xfrm>
          <a:off x="0" y="4710117"/>
          <a:ext cx="1295400" cy="638178"/>
          <a:chOff x="0" y="3671892"/>
          <a:chExt cx="1295400" cy="638178"/>
        </a:xfrm>
      </xdr:grpSpPr>
      <xdr:sp macro="" textlink="">
        <xdr:nvSpPr>
          <xdr:cNvPr id="46" name="Rectángulo: esquinas superiores redondeadas 45">
            <a:extLst>
              <a:ext uri="{FF2B5EF4-FFF2-40B4-BE49-F238E27FC236}">
                <a16:creationId xmlns:a16="http://schemas.microsoft.com/office/drawing/2014/main" id="{00000000-0008-0000-2C00-00002E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7" name="Gráfico 46" descr="Información con relleno sólido">
            <a:extLst>
              <a:ext uri="{FF2B5EF4-FFF2-40B4-BE49-F238E27FC236}">
                <a16:creationId xmlns:a16="http://schemas.microsoft.com/office/drawing/2014/main" id="{00000000-0008-0000-2C00-00002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8" name="Grupo 47">
          <a:hlinkClick xmlns:r="http://schemas.openxmlformats.org/officeDocument/2006/relationships" r:id="rId7"/>
          <a:extLst>
            <a:ext uri="{FF2B5EF4-FFF2-40B4-BE49-F238E27FC236}">
              <a16:creationId xmlns:a16="http://schemas.microsoft.com/office/drawing/2014/main" id="{00000000-0008-0000-2C00-000030000000}"/>
            </a:ext>
          </a:extLst>
        </xdr:cNvPr>
        <xdr:cNvGrpSpPr/>
      </xdr:nvGrpSpPr>
      <xdr:grpSpPr>
        <a:xfrm>
          <a:off x="0" y="3760792"/>
          <a:ext cx="1304926" cy="638178"/>
          <a:chOff x="0" y="2767017"/>
          <a:chExt cx="1304926" cy="638178"/>
        </a:xfrm>
      </xdr:grpSpPr>
      <xdr:sp macro="" textlink="">
        <xdr:nvSpPr>
          <xdr:cNvPr id="49" name="Rectángulo: esquinas superiores redondeadas 48">
            <a:extLst>
              <a:ext uri="{FF2B5EF4-FFF2-40B4-BE49-F238E27FC236}">
                <a16:creationId xmlns:a16="http://schemas.microsoft.com/office/drawing/2014/main" id="{00000000-0008-0000-2C00-000031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50" name="Gráfico 49" descr="Gráfico de barras con relleno sólido">
            <a:extLst>
              <a:ext uri="{FF2B5EF4-FFF2-40B4-BE49-F238E27FC236}">
                <a16:creationId xmlns:a16="http://schemas.microsoft.com/office/drawing/2014/main" id="{00000000-0008-0000-2C00-00003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51" name="Grupo 50">
          <a:hlinkClick xmlns:r="http://schemas.openxmlformats.org/officeDocument/2006/relationships" r:id="rId10"/>
          <a:extLst>
            <a:ext uri="{FF2B5EF4-FFF2-40B4-BE49-F238E27FC236}">
              <a16:creationId xmlns:a16="http://schemas.microsoft.com/office/drawing/2014/main" id="{00000000-0008-0000-2C00-000033000000}"/>
            </a:ext>
          </a:extLst>
        </xdr:cNvPr>
        <xdr:cNvGrpSpPr/>
      </xdr:nvGrpSpPr>
      <xdr:grpSpPr>
        <a:xfrm>
          <a:off x="0" y="2811467"/>
          <a:ext cx="1514474" cy="638178"/>
          <a:chOff x="0" y="1862142"/>
          <a:chExt cx="1514474" cy="638178"/>
        </a:xfrm>
      </xdr:grpSpPr>
      <xdr:sp macro="" textlink="">
        <xdr:nvSpPr>
          <xdr:cNvPr id="52" name="Rectángulo: esquinas superiores redondeadas 51">
            <a:extLst>
              <a:ext uri="{FF2B5EF4-FFF2-40B4-BE49-F238E27FC236}">
                <a16:creationId xmlns:a16="http://schemas.microsoft.com/office/drawing/2014/main" id="{00000000-0008-0000-2C00-000034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3" name="Gráfico 52" descr="Alternar con relleno sólido">
            <a:extLst>
              <a:ext uri="{FF2B5EF4-FFF2-40B4-BE49-F238E27FC236}">
                <a16:creationId xmlns:a16="http://schemas.microsoft.com/office/drawing/2014/main" id="{00000000-0008-0000-2C00-00003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7" name="Grupo 56">
          <a:hlinkClick xmlns:r="http://schemas.openxmlformats.org/officeDocument/2006/relationships" r:id="rId13"/>
          <a:extLst>
            <a:ext uri="{FF2B5EF4-FFF2-40B4-BE49-F238E27FC236}">
              <a16:creationId xmlns:a16="http://schemas.microsoft.com/office/drawing/2014/main" id="{00000000-0008-0000-2C00-000039000000}"/>
            </a:ext>
          </a:extLst>
        </xdr:cNvPr>
        <xdr:cNvGrpSpPr/>
      </xdr:nvGrpSpPr>
      <xdr:grpSpPr>
        <a:xfrm>
          <a:off x="0" y="1862142"/>
          <a:ext cx="1295400" cy="638178"/>
          <a:chOff x="0" y="1862142"/>
          <a:chExt cx="1295400" cy="638178"/>
        </a:xfrm>
      </xdr:grpSpPr>
      <xdr:sp macro="" textlink="">
        <xdr:nvSpPr>
          <xdr:cNvPr id="58" name="Rectángulo: esquinas superiores redondeadas 57">
            <a:extLst>
              <a:ext uri="{FF2B5EF4-FFF2-40B4-BE49-F238E27FC236}">
                <a16:creationId xmlns:a16="http://schemas.microsoft.com/office/drawing/2014/main" id="{00000000-0008-0000-2C00-00003A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9" name="Gráfico 58" descr="Lista con relleno sólido">
            <a:extLst>
              <a:ext uri="{FF2B5EF4-FFF2-40B4-BE49-F238E27FC236}">
                <a16:creationId xmlns:a16="http://schemas.microsoft.com/office/drawing/2014/main" id="{00000000-0008-0000-2C00-00003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86" name="Grupo 185">
          <a:extLst>
            <a:ext uri="{FF2B5EF4-FFF2-40B4-BE49-F238E27FC236}">
              <a16:creationId xmlns:a16="http://schemas.microsoft.com/office/drawing/2014/main" id="{00000000-0008-0000-2C00-0000BA000000}"/>
            </a:ext>
          </a:extLst>
        </xdr:cNvPr>
        <xdr:cNvGrpSpPr/>
      </xdr:nvGrpSpPr>
      <xdr:grpSpPr>
        <a:xfrm>
          <a:off x="1381125" y="190500"/>
          <a:ext cx="2009780" cy="3509340"/>
          <a:chOff x="1257299" y="33960"/>
          <a:chExt cx="2009780" cy="4058961"/>
        </a:xfrm>
      </xdr:grpSpPr>
      <xdr:sp macro="" textlink="">
        <xdr:nvSpPr>
          <xdr:cNvPr id="187" name="Rectángulo: esquinas superiores redondeadas 186">
            <a:extLst>
              <a:ext uri="{FF2B5EF4-FFF2-40B4-BE49-F238E27FC236}">
                <a16:creationId xmlns:a16="http://schemas.microsoft.com/office/drawing/2014/main" id="{00000000-0008-0000-2C00-0000BB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88" name="Rectángulo 187">
            <a:hlinkClick xmlns:r="http://schemas.openxmlformats.org/officeDocument/2006/relationships" r:id="rId16"/>
            <a:extLst>
              <a:ext uri="{FF2B5EF4-FFF2-40B4-BE49-F238E27FC236}">
                <a16:creationId xmlns:a16="http://schemas.microsoft.com/office/drawing/2014/main" id="{00000000-0008-0000-2C00-0000BC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89" name="Rectángulo 188">
            <a:hlinkClick xmlns:r="http://schemas.openxmlformats.org/officeDocument/2006/relationships" r:id="rId17"/>
            <a:extLst>
              <a:ext uri="{FF2B5EF4-FFF2-40B4-BE49-F238E27FC236}">
                <a16:creationId xmlns:a16="http://schemas.microsoft.com/office/drawing/2014/main" id="{00000000-0008-0000-2C00-0000BD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90" name="Rectángulo 189">
            <a:hlinkClick xmlns:r="http://schemas.openxmlformats.org/officeDocument/2006/relationships" r:id="rId18"/>
            <a:extLst>
              <a:ext uri="{FF2B5EF4-FFF2-40B4-BE49-F238E27FC236}">
                <a16:creationId xmlns:a16="http://schemas.microsoft.com/office/drawing/2014/main" id="{00000000-0008-0000-2C00-0000BE000000}"/>
              </a:ext>
            </a:extLst>
          </xdr:cNvPr>
          <xdr:cNvSpPr/>
        </xdr:nvSpPr>
        <xdr:spPr>
          <a:xfrm>
            <a:off x="1323975" y="1704783"/>
            <a:ext cx="1876426" cy="381001"/>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Residencial rural </a:t>
            </a:r>
          </a:p>
        </xdr:txBody>
      </xdr:sp>
      <xdr:sp macro="" textlink="">
        <xdr:nvSpPr>
          <xdr:cNvPr id="191" name="Rectángulo: esquinas superiores redondeadas 190">
            <a:extLst>
              <a:ext uri="{FF2B5EF4-FFF2-40B4-BE49-F238E27FC236}">
                <a16:creationId xmlns:a16="http://schemas.microsoft.com/office/drawing/2014/main" id="{00000000-0008-0000-2C00-0000BF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92" name="Rectángulo 191">
            <a:hlinkClick xmlns:r="http://schemas.openxmlformats.org/officeDocument/2006/relationships" r:id="rId19"/>
            <a:extLst>
              <a:ext uri="{FF2B5EF4-FFF2-40B4-BE49-F238E27FC236}">
                <a16:creationId xmlns:a16="http://schemas.microsoft.com/office/drawing/2014/main" id="{00000000-0008-0000-2C00-0000C0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93" name="Rectángulo 192">
            <a:hlinkClick xmlns:r="http://schemas.openxmlformats.org/officeDocument/2006/relationships" r:id="rId20"/>
            <a:extLst>
              <a:ext uri="{FF2B5EF4-FFF2-40B4-BE49-F238E27FC236}">
                <a16:creationId xmlns:a16="http://schemas.microsoft.com/office/drawing/2014/main" id="{00000000-0008-0000-2C00-0000C1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11</xdr:col>
      <xdr:colOff>0</xdr:colOff>
      <xdr:row>0</xdr:row>
      <xdr:rowOff>104775</xdr:rowOff>
    </xdr:from>
    <xdr:to>
      <xdr:col>14</xdr:col>
      <xdr:colOff>314325</xdr:colOff>
      <xdr:row>2</xdr:row>
      <xdr:rowOff>104775</xdr:rowOff>
    </xdr:to>
    <xdr:grpSp>
      <xdr:nvGrpSpPr>
        <xdr:cNvPr id="60" name="Grupo 59">
          <a:hlinkClick xmlns:r="http://schemas.openxmlformats.org/officeDocument/2006/relationships" r:id="rId21"/>
          <a:extLst>
            <a:ext uri="{FF2B5EF4-FFF2-40B4-BE49-F238E27FC236}">
              <a16:creationId xmlns:a16="http://schemas.microsoft.com/office/drawing/2014/main" id="{00000000-0008-0000-2C00-00003C000000}"/>
            </a:ext>
          </a:extLst>
        </xdr:cNvPr>
        <xdr:cNvGrpSpPr/>
      </xdr:nvGrpSpPr>
      <xdr:grpSpPr>
        <a:xfrm>
          <a:off x="11882438" y="104775"/>
          <a:ext cx="2636043" cy="381000"/>
          <a:chOff x="12572999" y="47625"/>
          <a:chExt cx="2628900" cy="381000"/>
        </a:xfrm>
      </xdr:grpSpPr>
      <xdr:sp macro="" textlink="">
        <xdr:nvSpPr>
          <xdr:cNvPr id="61" name="Rectángulo: esquinas redondeadas 60">
            <a:extLst>
              <a:ext uri="{FF2B5EF4-FFF2-40B4-BE49-F238E27FC236}">
                <a16:creationId xmlns:a16="http://schemas.microsoft.com/office/drawing/2014/main" id="{00000000-0008-0000-2C00-00003D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2" name="CuadroTexto 61">
            <a:extLst>
              <a:ext uri="{FF2B5EF4-FFF2-40B4-BE49-F238E27FC236}">
                <a16:creationId xmlns:a16="http://schemas.microsoft.com/office/drawing/2014/main" id="{00000000-0008-0000-2C00-00003E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3" name="Gráfico 62" descr="Gráfico de barras con relleno sólido">
            <a:extLst>
              <a:ext uri="{FF2B5EF4-FFF2-40B4-BE49-F238E27FC236}">
                <a16:creationId xmlns:a16="http://schemas.microsoft.com/office/drawing/2014/main" id="{00000000-0008-0000-2C00-00003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12</xdr:col>
          <xdr:colOff>762000</xdr:colOff>
          <xdr:row>6</xdr:row>
          <xdr:rowOff>47625</xdr:rowOff>
        </xdr:from>
        <xdr:to>
          <xdr:col>13</xdr:col>
          <xdr:colOff>180975</xdr:colOff>
          <xdr:row>7</xdr:row>
          <xdr:rowOff>152400</xdr:rowOff>
        </xdr:to>
        <xdr:sp macro="" textlink="">
          <xdr:nvSpPr>
            <xdr:cNvPr id="37889" name="Spinner 1" hidden="1">
              <a:extLst>
                <a:ext uri="{63B3BB69-23CF-44E3-9099-C40C66FF867C}">
                  <a14:compatExt spid="_x0000_s37889"/>
                </a:ext>
                <a:ext uri="{FF2B5EF4-FFF2-40B4-BE49-F238E27FC236}">
                  <a16:creationId xmlns:a16="http://schemas.microsoft.com/office/drawing/2014/main" id="{00000000-0008-0000-2C00-0000019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4" name="Grupo 63">
          <a:hlinkClick xmlns:r="http://schemas.openxmlformats.org/officeDocument/2006/relationships" r:id="rId24"/>
          <a:extLst>
            <a:ext uri="{FF2B5EF4-FFF2-40B4-BE49-F238E27FC236}">
              <a16:creationId xmlns:a16="http://schemas.microsoft.com/office/drawing/2014/main" id="{00000000-0008-0000-2C00-000040000000}"/>
            </a:ext>
          </a:extLst>
        </xdr:cNvPr>
        <xdr:cNvGrpSpPr/>
      </xdr:nvGrpSpPr>
      <xdr:grpSpPr>
        <a:xfrm>
          <a:off x="0" y="6477000"/>
          <a:ext cx="1240383" cy="416889"/>
          <a:chOff x="28575" y="6381750"/>
          <a:chExt cx="1240383" cy="416889"/>
        </a:xfrm>
      </xdr:grpSpPr>
      <xdr:pic>
        <xdr:nvPicPr>
          <xdr:cNvPr id="65" name="Gráfico 64" descr="Engranaje único con relleno sólido">
            <a:extLst>
              <a:ext uri="{FF2B5EF4-FFF2-40B4-BE49-F238E27FC236}">
                <a16:creationId xmlns:a16="http://schemas.microsoft.com/office/drawing/2014/main" id="{00000000-0008-0000-2C00-000041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6" name="CuadroTexto 65">
            <a:extLst>
              <a:ext uri="{FF2B5EF4-FFF2-40B4-BE49-F238E27FC236}">
                <a16:creationId xmlns:a16="http://schemas.microsoft.com/office/drawing/2014/main" id="{00000000-0008-0000-2C00-00004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55" name="Grupo 54">
          <a:hlinkClick xmlns:r="http://schemas.openxmlformats.org/officeDocument/2006/relationships" r:id="rId1"/>
          <a:extLst>
            <a:ext uri="{FF2B5EF4-FFF2-40B4-BE49-F238E27FC236}">
              <a16:creationId xmlns:a16="http://schemas.microsoft.com/office/drawing/2014/main" id="{00000000-0008-0000-2D00-000037000000}"/>
            </a:ext>
          </a:extLst>
        </xdr:cNvPr>
        <xdr:cNvGrpSpPr/>
      </xdr:nvGrpSpPr>
      <xdr:grpSpPr>
        <a:xfrm>
          <a:off x="3429000" y="0"/>
          <a:ext cx="0" cy="328014"/>
          <a:chOff x="91104" y="65606"/>
          <a:chExt cx="1192701" cy="328014"/>
        </a:xfrm>
      </xdr:grpSpPr>
      <xdr:sp macro="" textlink="">
        <xdr:nvSpPr>
          <xdr:cNvPr id="56" name="Rectángulo 55">
            <a:extLst>
              <a:ext uri="{FF2B5EF4-FFF2-40B4-BE49-F238E27FC236}">
                <a16:creationId xmlns:a16="http://schemas.microsoft.com/office/drawing/2014/main" id="{00000000-0008-0000-2D00-00003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7" name="Gráfico 56" descr="Hogar con relleno sólido">
            <a:extLst>
              <a:ext uri="{FF2B5EF4-FFF2-40B4-BE49-F238E27FC236}">
                <a16:creationId xmlns:a16="http://schemas.microsoft.com/office/drawing/2014/main" id="{00000000-0008-0000-2D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8" name="Rectángulo 57">
          <a:extLst>
            <a:ext uri="{FF2B5EF4-FFF2-40B4-BE49-F238E27FC236}">
              <a16:creationId xmlns:a16="http://schemas.microsoft.com/office/drawing/2014/main" id="{00000000-0008-0000-2D00-000008000000}"/>
            </a:ext>
          </a:extLst>
        </xdr:cNvPr>
        <xdr:cNvSpPr/>
      </xdr:nvSpPr>
      <xdr:spPr>
        <a:xfrm>
          <a:off x="19050" y="0"/>
          <a:ext cx="1343025" cy="237077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69" name="Grupo 68">
          <a:hlinkClick xmlns:r="http://schemas.openxmlformats.org/officeDocument/2006/relationships" r:id="rId1"/>
          <a:extLst>
            <a:ext uri="{FF2B5EF4-FFF2-40B4-BE49-F238E27FC236}">
              <a16:creationId xmlns:a16="http://schemas.microsoft.com/office/drawing/2014/main" id="{00000000-0008-0000-2D00-000045000000}"/>
            </a:ext>
          </a:extLst>
        </xdr:cNvPr>
        <xdr:cNvGrpSpPr/>
      </xdr:nvGrpSpPr>
      <xdr:grpSpPr>
        <a:xfrm>
          <a:off x="3429000" y="0"/>
          <a:ext cx="0" cy="328014"/>
          <a:chOff x="91104" y="65606"/>
          <a:chExt cx="1192701" cy="328014"/>
        </a:xfrm>
      </xdr:grpSpPr>
      <xdr:sp macro="" textlink="">
        <xdr:nvSpPr>
          <xdr:cNvPr id="70" name="Rectángulo 69">
            <a:extLst>
              <a:ext uri="{FF2B5EF4-FFF2-40B4-BE49-F238E27FC236}">
                <a16:creationId xmlns:a16="http://schemas.microsoft.com/office/drawing/2014/main" id="{00000000-0008-0000-2D00-00004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1" name="Gráfico 70" descr="Hogar con relleno sólido">
            <a:extLst>
              <a:ext uri="{FF2B5EF4-FFF2-40B4-BE49-F238E27FC236}">
                <a16:creationId xmlns:a16="http://schemas.microsoft.com/office/drawing/2014/main" id="{00000000-0008-0000-2D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D00-00001C000000}"/>
            </a:ext>
          </a:extLst>
        </xdr:cNvPr>
        <xdr:cNvGrpSpPr/>
      </xdr:nvGrpSpPr>
      <xdr:grpSpPr>
        <a:xfrm>
          <a:off x="3429000"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D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D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D00-00001F000000}"/>
            </a:ext>
          </a:extLst>
        </xdr:cNvPr>
        <xdr:cNvGrpSpPr/>
      </xdr:nvGrpSpPr>
      <xdr:grpSpPr>
        <a:xfrm>
          <a:off x="3429000"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D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D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7" name="Rectángulo 33">
          <a:extLst>
            <a:ext uri="{FF2B5EF4-FFF2-40B4-BE49-F238E27FC236}">
              <a16:creationId xmlns:a16="http://schemas.microsoft.com/office/drawing/2014/main" id="{00000000-0008-0000-2D00-000007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2" name="Grupo 41">
          <a:hlinkClick xmlns:r="http://schemas.openxmlformats.org/officeDocument/2006/relationships" r:id="rId1"/>
          <a:extLst>
            <a:ext uri="{FF2B5EF4-FFF2-40B4-BE49-F238E27FC236}">
              <a16:creationId xmlns:a16="http://schemas.microsoft.com/office/drawing/2014/main" id="{00000000-0008-0000-2D00-00002A000000}"/>
            </a:ext>
          </a:extLst>
        </xdr:cNvPr>
        <xdr:cNvGrpSpPr/>
      </xdr:nvGrpSpPr>
      <xdr:grpSpPr>
        <a:xfrm>
          <a:off x="3429000" y="0"/>
          <a:ext cx="0" cy="328014"/>
          <a:chOff x="91104" y="65606"/>
          <a:chExt cx="1192701" cy="328014"/>
        </a:xfrm>
      </xdr:grpSpPr>
      <xdr:sp macro="" textlink="">
        <xdr:nvSpPr>
          <xdr:cNvPr id="43" name="Rectángulo 42">
            <a:extLst>
              <a:ext uri="{FF2B5EF4-FFF2-40B4-BE49-F238E27FC236}">
                <a16:creationId xmlns:a16="http://schemas.microsoft.com/office/drawing/2014/main" id="{00000000-0008-0000-2D00-00002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2D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6" name="Rectángulo 44">
          <a:extLst>
            <a:ext uri="{FF2B5EF4-FFF2-40B4-BE49-F238E27FC236}">
              <a16:creationId xmlns:a16="http://schemas.microsoft.com/office/drawing/2014/main" id="{00000000-0008-0000-2D00-000006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8" name="Grupo 47">
          <a:hlinkClick xmlns:r="http://schemas.openxmlformats.org/officeDocument/2006/relationships" r:id="rId1"/>
          <a:extLst>
            <a:ext uri="{FF2B5EF4-FFF2-40B4-BE49-F238E27FC236}">
              <a16:creationId xmlns:a16="http://schemas.microsoft.com/office/drawing/2014/main" id="{00000000-0008-0000-2D00-000030000000}"/>
            </a:ext>
          </a:extLst>
        </xdr:cNvPr>
        <xdr:cNvGrpSpPr/>
      </xdr:nvGrpSpPr>
      <xdr:grpSpPr>
        <a:xfrm>
          <a:off x="3429000" y="0"/>
          <a:ext cx="0" cy="328014"/>
          <a:chOff x="91104" y="65606"/>
          <a:chExt cx="1192701" cy="328014"/>
        </a:xfrm>
      </xdr:grpSpPr>
      <xdr:sp macro="" textlink="">
        <xdr:nvSpPr>
          <xdr:cNvPr id="49" name="Rectángulo 48">
            <a:extLst>
              <a:ext uri="{FF2B5EF4-FFF2-40B4-BE49-F238E27FC236}">
                <a16:creationId xmlns:a16="http://schemas.microsoft.com/office/drawing/2014/main" id="{00000000-0008-0000-2D00-00003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0" name="Gráfico 49" descr="Hogar con relleno sólido">
            <a:extLst>
              <a:ext uri="{FF2B5EF4-FFF2-40B4-BE49-F238E27FC236}">
                <a16:creationId xmlns:a16="http://schemas.microsoft.com/office/drawing/2014/main" id="{00000000-0008-0000-2D00-00003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5" name="Rectángulo 80">
          <a:extLst>
            <a:ext uri="{FF2B5EF4-FFF2-40B4-BE49-F238E27FC236}">
              <a16:creationId xmlns:a16="http://schemas.microsoft.com/office/drawing/2014/main" id="{00000000-0008-0000-2D00-000005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82" name="Grupo 81">
          <a:hlinkClick xmlns:r="http://schemas.openxmlformats.org/officeDocument/2006/relationships" r:id="rId1"/>
          <a:extLst>
            <a:ext uri="{FF2B5EF4-FFF2-40B4-BE49-F238E27FC236}">
              <a16:creationId xmlns:a16="http://schemas.microsoft.com/office/drawing/2014/main" id="{00000000-0008-0000-2D00-000052000000}"/>
            </a:ext>
          </a:extLst>
        </xdr:cNvPr>
        <xdr:cNvGrpSpPr/>
      </xdr:nvGrpSpPr>
      <xdr:grpSpPr>
        <a:xfrm>
          <a:off x="3429000" y="0"/>
          <a:ext cx="0" cy="328014"/>
          <a:chOff x="91104" y="65606"/>
          <a:chExt cx="1192701" cy="328014"/>
        </a:xfrm>
      </xdr:grpSpPr>
      <xdr:sp macro="" textlink="">
        <xdr:nvSpPr>
          <xdr:cNvPr id="83" name="Rectángulo 82">
            <a:extLst>
              <a:ext uri="{FF2B5EF4-FFF2-40B4-BE49-F238E27FC236}">
                <a16:creationId xmlns:a16="http://schemas.microsoft.com/office/drawing/2014/main" id="{00000000-0008-0000-2D00-00005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4" name="Gráfico 83" descr="Hogar con relleno sólido">
            <a:extLst>
              <a:ext uri="{FF2B5EF4-FFF2-40B4-BE49-F238E27FC236}">
                <a16:creationId xmlns:a16="http://schemas.microsoft.com/office/drawing/2014/main" id="{00000000-0008-0000-2D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4" name="Rectángulo 90">
          <a:extLst>
            <a:ext uri="{FF2B5EF4-FFF2-40B4-BE49-F238E27FC236}">
              <a16:creationId xmlns:a16="http://schemas.microsoft.com/office/drawing/2014/main" id="{00000000-0008-0000-2D00-000004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99" name="Grupo 98">
          <a:hlinkClick xmlns:r="http://schemas.openxmlformats.org/officeDocument/2006/relationships" r:id="rId1"/>
          <a:extLst>
            <a:ext uri="{FF2B5EF4-FFF2-40B4-BE49-F238E27FC236}">
              <a16:creationId xmlns:a16="http://schemas.microsoft.com/office/drawing/2014/main" id="{00000000-0008-0000-2D00-000063000000}"/>
            </a:ext>
          </a:extLst>
        </xdr:cNvPr>
        <xdr:cNvGrpSpPr/>
      </xdr:nvGrpSpPr>
      <xdr:grpSpPr>
        <a:xfrm>
          <a:off x="3429000" y="0"/>
          <a:ext cx="0" cy="328014"/>
          <a:chOff x="91104" y="65606"/>
          <a:chExt cx="1192701" cy="328014"/>
        </a:xfrm>
      </xdr:grpSpPr>
      <xdr:sp macro="" textlink="">
        <xdr:nvSpPr>
          <xdr:cNvPr id="100" name="Rectángulo 99">
            <a:extLst>
              <a:ext uri="{FF2B5EF4-FFF2-40B4-BE49-F238E27FC236}">
                <a16:creationId xmlns:a16="http://schemas.microsoft.com/office/drawing/2014/main" id="{00000000-0008-0000-2D00-000064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1" name="Gráfico 100" descr="Hogar con relleno sólido">
            <a:extLst>
              <a:ext uri="{FF2B5EF4-FFF2-40B4-BE49-F238E27FC236}">
                <a16:creationId xmlns:a16="http://schemas.microsoft.com/office/drawing/2014/main" id="{00000000-0008-0000-2D00-00006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3" name="Rectángulo 101">
          <a:extLst>
            <a:ext uri="{FF2B5EF4-FFF2-40B4-BE49-F238E27FC236}">
              <a16:creationId xmlns:a16="http://schemas.microsoft.com/office/drawing/2014/main" id="{00000000-0008-0000-2D00-000003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03" name="Grupo 102">
          <a:hlinkClick xmlns:r="http://schemas.openxmlformats.org/officeDocument/2006/relationships" r:id="rId1"/>
          <a:extLst>
            <a:ext uri="{FF2B5EF4-FFF2-40B4-BE49-F238E27FC236}">
              <a16:creationId xmlns:a16="http://schemas.microsoft.com/office/drawing/2014/main" id="{00000000-0008-0000-2D00-000067000000}"/>
            </a:ext>
          </a:extLst>
        </xdr:cNvPr>
        <xdr:cNvGrpSpPr/>
      </xdr:nvGrpSpPr>
      <xdr:grpSpPr>
        <a:xfrm>
          <a:off x="3429000" y="0"/>
          <a:ext cx="0" cy="328014"/>
          <a:chOff x="91104" y="65606"/>
          <a:chExt cx="1192701" cy="328014"/>
        </a:xfrm>
      </xdr:grpSpPr>
      <xdr:sp macro="" textlink="">
        <xdr:nvSpPr>
          <xdr:cNvPr id="104" name="Rectángulo 103">
            <a:extLst>
              <a:ext uri="{FF2B5EF4-FFF2-40B4-BE49-F238E27FC236}">
                <a16:creationId xmlns:a16="http://schemas.microsoft.com/office/drawing/2014/main" id="{00000000-0008-0000-2D00-00006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5" name="Gráfico 104" descr="Hogar con relleno sólido">
            <a:extLst>
              <a:ext uri="{FF2B5EF4-FFF2-40B4-BE49-F238E27FC236}">
                <a16:creationId xmlns:a16="http://schemas.microsoft.com/office/drawing/2014/main" id="{00000000-0008-0000-2D00-00006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2" name="Rectángulo 105">
          <a:extLst>
            <a:ext uri="{FF2B5EF4-FFF2-40B4-BE49-F238E27FC236}">
              <a16:creationId xmlns:a16="http://schemas.microsoft.com/office/drawing/2014/main" id="{00000000-0008-0000-2D00-000002000000}"/>
            </a:ext>
          </a:extLst>
        </xdr:cNvPr>
        <xdr:cNvSpPr/>
      </xdr:nvSpPr>
      <xdr:spPr>
        <a:xfrm>
          <a:off x="0" y="0"/>
          <a:ext cx="1333500"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07" name="Grupo 106">
          <a:hlinkClick xmlns:r="http://schemas.openxmlformats.org/officeDocument/2006/relationships" r:id="rId1"/>
          <a:extLst>
            <a:ext uri="{FF2B5EF4-FFF2-40B4-BE49-F238E27FC236}">
              <a16:creationId xmlns:a16="http://schemas.microsoft.com/office/drawing/2014/main" id="{00000000-0008-0000-2D00-00006B000000}"/>
            </a:ext>
          </a:extLst>
        </xdr:cNvPr>
        <xdr:cNvGrpSpPr/>
      </xdr:nvGrpSpPr>
      <xdr:grpSpPr>
        <a:xfrm>
          <a:off x="3429000" y="0"/>
          <a:ext cx="0" cy="328014"/>
          <a:chOff x="91104" y="65606"/>
          <a:chExt cx="1192701" cy="328014"/>
        </a:xfrm>
      </xdr:grpSpPr>
      <xdr:sp macro="" textlink="">
        <xdr:nvSpPr>
          <xdr:cNvPr id="108" name="Rectángulo 107">
            <a:extLst>
              <a:ext uri="{FF2B5EF4-FFF2-40B4-BE49-F238E27FC236}">
                <a16:creationId xmlns:a16="http://schemas.microsoft.com/office/drawing/2014/main" id="{00000000-0008-0000-2D00-00006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9" name="Gráfico 108" descr="Hogar con relleno sólido">
            <a:extLst>
              <a:ext uri="{FF2B5EF4-FFF2-40B4-BE49-F238E27FC236}">
                <a16:creationId xmlns:a16="http://schemas.microsoft.com/office/drawing/2014/main" id="{00000000-0008-0000-2D00-00006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130" name="Grupo 129">
          <a:hlinkClick xmlns:r="http://schemas.openxmlformats.org/officeDocument/2006/relationships" r:id="rId1"/>
          <a:extLst>
            <a:ext uri="{FF2B5EF4-FFF2-40B4-BE49-F238E27FC236}">
              <a16:creationId xmlns:a16="http://schemas.microsoft.com/office/drawing/2014/main" id="{00000000-0008-0000-2D00-000082000000}"/>
            </a:ext>
          </a:extLst>
        </xdr:cNvPr>
        <xdr:cNvGrpSpPr/>
      </xdr:nvGrpSpPr>
      <xdr:grpSpPr>
        <a:xfrm>
          <a:off x="1381125" y="0"/>
          <a:ext cx="0" cy="328014"/>
          <a:chOff x="91104" y="65606"/>
          <a:chExt cx="1192701" cy="328014"/>
        </a:xfrm>
      </xdr:grpSpPr>
      <xdr:sp macro="" textlink="">
        <xdr:nvSpPr>
          <xdr:cNvPr id="131" name="Rectángulo 130">
            <a:extLst>
              <a:ext uri="{FF2B5EF4-FFF2-40B4-BE49-F238E27FC236}">
                <a16:creationId xmlns:a16="http://schemas.microsoft.com/office/drawing/2014/main" id="{00000000-0008-0000-2D00-00008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2" name="Gráfico 131" descr="Hogar con relleno sólido">
            <a:extLst>
              <a:ext uri="{FF2B5EF4-FFF2-40B4-BE49-F238E27FC236}">
                <a16:creationId xmlns:a16="http://schemas.microsoft.com/office/drawing/2014/main" id="{00000000-0008-0000-2D00-00008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133" name="Grupo 132">
          <a:hlinkClick xmlns:r="http://schemas.openxmlformats.org/officeDocument/2006/relationships" r:id="rId1"/>
          <a:extLst>
            <a:ext uri="{FF2B5EF4-FFF2-40B4-BE49-F238E27FC236}">
              <a16:creationId xmlns:a16="http://schemas.microsoft.com/office/drawing/2014/main" id="{00000000-0008-0000-2D00-000085000000}"/>
            </a:ext>
          </a:extLst>
        </xdr:cNvPr>
        <xdr:cNvGrpSpPr/>
      </xdr:nvGrpSpPr>
      <xdr:grpSpPr>
        <a:xfrm>
          <a:off x="1381125" y="0"/>
          <a:ext cx="0" cy="328014"/>
          <a:chOff x="91104" y="65606"/>
          <a:chExt cx="1192701" cy="328014"/>
        </a:xfrm>
      </xdr:grpSpPr>
      <xdr:sp macro="" textlink="">
        <xdr:nvSpPr>
          <xdr:cNvPr id="134" name="Rectángulo 133">
            <a:extLst>
              <a:ext uri="{FF2B5EF4-FFF2-40B4-BE49-F238E27FC236}">
                <a16:creationId xmlns:a16="http://schemas.microsoft.com/office/drawing/2014/main" id="{00000000-0008-0000-2D00-00008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5" name="Gráfico 134" descr="Hogar con relleno sólido">
            <a:extLst>
              <a:ext uri="{FF2B5EF4-FFF2-40B4-BE49-F238E27FC236}">
                <a16:creationId xmlns:a16="http://schemas.microsoft.com/office/drawing/2014/main" id="{00000000-0008-0000-2D00-00008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68" name="Grupo 67">
          <a:hlinkClick xmlns:r="http://schemas.openxmlformats.org/officeDocument/2006/relationships" r:id="rId1"/>
          <a:extLst>
            <a:ext uri="{FF2B5EF4-FFF2-40B4-BE49-F238E27FC236}">
              <a16:creationId xmlns:a16="http://schemas.microsoft.com/office/drawing/2014/main" id="{00000000-0008-0000-2D00-000044000000}"/>
            </a:ext>
          </a:extLst>
        </xdr:cNvPr>
        <xdr:cNvGrpSpPr/>
      </xdr:nvGrpSpPr>
      <xdr:grpSpPr>
        <a:xfrm>
          <a:off x="0" y="0"/>
          <a:ext cx="1381125" cy="328014"/>
          <a:chOff x="91104" y="65606"/>
          <a:chExt cx="1192701" cy="328014"/>
        </a:xfrm>
      </xdr:grpSpPr>
      <xdr:sp macro="" textlink="">
        <xdr:nvSpPr>
          <xdr:cNvPr id="72" name="Rectángulo 71">
            <a:extLst>
              <a:ext uri="{FF2B5EF4-FFF2-40B4-BE49-F238E27FC236}">
                <a16:creationId xmlns:a16="http://schemas.microsoft.com/office/drawing/2014/main" id="{00000000-0008-0000-2D00-00004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3" name="Gráfico 72" descr="Hogar con relleno sólido">
            <a:extLst>
              <a:ext uri="{FF2B5EF4-FFF2-40B4-BE49-F238E27FC236}">
                <a16:creationId xmlns:a16="http://schemas.microsoft.com/office/drawing/2014/main" id="{00000000-0008-0000-2D00-00004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74" name="Grupo 73">
          <a:hlinkClick xmlns:r="http://schemas.openxmlformats.org/officeDocument/2006/relationships" r:id="rId4"/>
          <a:extLst>
            <a:ext uri="{FF2B5EF4-FFF2-40B4-BE49-F238E27FC236}">
              <a16:creationId xmlns:a16="http://schemas.microsoft.com/office/drawing/2014/main" id="{00000000-0008-0000-2D00-00004A000000}"/>
            </a:ext>
          </a:extLst>
        </xdr:cNvPr>
        <xdr:cNvGrpSpPr/>
      </xdr:nvGrpSpPr>
      <xdr:grpSpPr>
        <a:xfrm>
          <a:off x="0" y="4710117"/>
          <a:ext cx="1295400" cy="638178"/>
          <a:chOff x="0" y="3671892"/>
          <a:chExt cx="1295400" cy="638178"/>
        </a:xfrm>
      </xdr:grpSpPr>
      <xdr:sp macro="" textlink="">
        <xdr:nvSpPr>
          <xdr:cNvPr id="75" name="Rectángulo: esquinas superiores redondeadas 74">
            <a:extLst>
              <a:ext uri="{FF2B5EF4-FFF2-40B4-BE49-F238E27FC236}">
                <a16:creationId xmlns:a16="http://schemas.microsoft.com/office/drawing/2014/main" id="{00000000-0008-0000-2D00-00004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6" name="Gráfico 75" descr="Información con relleno sólido">
            <a:extLst>
              <a:ext uri="{FF2B5EF4-FFF2-40B4-BE49-F238E27FC236}">
                <a16:creationId xmlns:a16="http://schemas.microsoft.com/office/drawing/2014/main" id="{00000000-0008-0000-2D00-00004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77" name="Grupo 76">
          <a:hlinkClick xmlns:r="http://schemas.openxmlformats.org/officeDocument/2006/relationships" r:id="rId7"/>
          <a:extLst>
            <a:ext uri="{FF2B5EF4-FFF2-40B4-BE49-F238E27FC236}">
              <a16:creationId xmlns:a16="http://schemas.microsoft.com/office/drawing/2014/main" id="{00000000-0008-0000-2D00-00004D000000}"/>
            </a:ext>
          </a:extLst>
        </xdr:cNvPr>
        <xdr:cNvGrpSpPr/>
      </xdr:nvGrpSpPr>
      <xdr:grpSpPr>
        <a:xfrm>
          <a:off x="0" y="3760792"/>
          <a:ext cx="1304926" cy="638178"/>
          <a:chOff x="0" y="2767017"/>
          <a:chExt cx="1304926" cy="638178"/>
        </a:xfrm>
      </xdr:grpSpPr>
      <xdr:sp macro="" textlink="">
        <xdr:nvSpPr>
          <xdr:cNvPr id="78" name="Rectángulo: esquinas superiores redondeadas 77">
            <a:extLst>
              <a:ext uri="{FF2B5EF4-FFF2-40B4-BE49-F238E27FC236}">
                <a16:creationId xmlns:a16="http://schemas.microsoft.com/office/drawing/2014/main" id="{00000000-0008-0000-2D00-00004E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79" name="Gráfico 78" descr="Gráfico de barras con relleno sólido">
            <a:extLst>
              <a:ext uri="{FF2B5EF4-FFF2-40B4-BE49-F238E27FC236}">
                <a16:creationId xmlns:a16="http://schemas.microsoft.com/office/drawing/2014/main" id="{00000000-0008-0000-2D00-00004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80" name="Grupo 79">
          <a:hlinkClick xmlns:r="http://schemas.openxmlformats.org/officeDocument/2006/relationships" r:id="rId10"/>
          <a:extLst>
            <a:ext uri="{FF2B5EF4-FFF2-40B4-BE49-F238E27FC236}">
              <a16:creationId xmlns:a16="http://schemas.microsoft.com/office/drawing/2014/main" id="{00000000-0008-0000-2D00-000050000000}"/>
            </a:ext>
          </a:extLst>
        </xdr:cNvPr>
        <xdr:cNvGrpSpPr/>
      </xdr:nvGrpSpPr>
      <xdr:grpSpPr>
        <a:xfrm>
          <a:off x="0" y="2811467"/>
          <a:ext cx="1514474" cy="638178"/>
          <a:chOff x="0" y="1862142"/>
          <a:chExt cx="1514474" cy="638178"/>
        </a:xfrm>
      </xdr:grpSpPr>
      <xdr:sp macro="" textlink="">
        <xdr:nvSpPr>
          <xdr:cNvPr id="85" name="Rectángulo: esquinas superiores redondeadas 84">
            <a:extLst>
              <a:ext uri="{FF2B5EF4-FFF2-40B4-BE49-F238E27FC236}">
                <a16:creationId xmlns:a16="http://schemas.microsoft.com/office/drawing/2014/main" id="{00000000-0008-0000-2D00-00005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86" name="Gráfico 85" descr="Alternar con relleno sólido">
            <a:extLst>
              <a:ext uri="{FF2B5EF4-FFF2-40B4-BE49-F238E27FC236}">
                <a16:creationId xmlns:a16="http://schemas.microsoft.com/office/drawing/2014/main" id="{00000000-0008-0000-2D00-00005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87" name="Grupo 86">
          <a:hlinkClick xmlns:r="http://schemas.openxmlformats.org/officeDocument/2006/relationships" r:id="rId13"/>
          <a:extLst>
            <a:ext uri="{FF2B5EF4-FFF2-40B4-BE49-F238E27FC236}">
              <a16:creationId xmlns:a16="http://schemas.microsoft.com/office/drawing/2014/main" id="{00000000-0008-0000-2D00-000057000000}"/>
            </a:ext>
          </a:extLst>
        </xdr:cNvPr>
        <xdr:cNvGrpSpPr/>
      </xdr:nvGrpSpPr>
      <xdr:grpSpPr>
        <a:xfrm>
          <a:off x="0" y="1862142"/>
          <a:ext cx="1295400" cy="638178"/>
          <a:chOff x="0" y="1862142"/>
          <a:chExt cx="1295400" cy="638178"/>
        </a:xfrm>
      </xdr:grpSpPr>
      <xdr:sp macro="" textlink="">
        <xdr:nvSpPr>
          <xdr:cNvPr id="88" name="Rectángulo: esquinas superiores redondeadas 87">
            <a:extLst>
              <a:ext uri="{FF2B5EF4-FFF2-40B4-BE49-F238E27FC236}">
                <a16:creationId xmlns:a16="http://schemas.microsoft.com/office/drawing/2014/main" id="{00000000-0008-0000-2D00-000058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89" name="Gráfico 88" descr="Lista con relleno sólido">
            <a:extLst>
              <a:ext uri="{FF2B5EF4-FFF2-40B4-BE49-F238E27FC236}">
                <a16:creationId xmlns:a16="http://schemas.microsoft.com/office/drawing/2014/main" id="{00000000-0008-0000-2D00-00005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242" name="Grupo 241">
          <a:extLst>
            <a:ext uri="{FF2B5EF4-FFF2-40B4-BE49-F238E27FC236}">
              <a16:creationId xmlns:a16="http://schemas.microsoft.com/office/drawing/2014/main" id="{00000000-0008-0000-2D00-0000F2000000}"/>
            </a:ext>
          </a:extLst>
        </xdr:cNvPr>
        <xdr:cNvGrpSpPr/>
      </xdr:nvGrpSpPr>
      <xdr:grpSpPr>
        <a:xfrm>
          <a:off x="1381125" y="190500"/>
          <a:ext cx="2009780" cy="3509340"/>
          <a:chOff x="1257299" y="33960"/>
          <a:chExt cx="2009780" cy="4058961"/>
        </a:xfrm>
      </xdr:grpSpPr>
      <xdr:sp macro="" textlink="">
        <xdr:nvSpPr>
          <xdr:cNvPr id="243" name="Rectángulo: esquinas superiores redondeadas 242">
            <a:extLst>
              <a:ext uri="{FF2B5EF4-FFF2-40B4-BE49-F238E27FC236}">
                <a16:creationId xmlns:a16="http://schemas.microsoft.com/office/drawing/2014/main" id="{00000000-0008-0000-2D00-0000F3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244" name="Rectángulo 243">
            <a:hlinkClick xmlns:r="http://schemas.openxmlformats.org/officeDocument/2006/relationships" r:id="rId16"/>
            <a:extLst>
              <a:ext uri="{FF2B5EF4-FFF2-40B4-BE49-F238E27FC236}">
                <a16:creationId xmlns:a16="http://schemas.microsoft.com/office/drawing/2014/main" id="{00000000-0008-0000-2D00-0000F4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245" name="Rectángulo 244">
            <a:hlinkClick xmlns:r="http://schemas.openxmlformats.org/officeDocument/2006/relationships" r:id="rId17"/>
            <a:extLst>
              <a:ext uri="{FF2B5EF4-FFF2-40B4-BE49-F238E27FC236}">
                <a16:creationId xmlns:a16="http://schemas.microsoft.com/office/drawing/2014/main" id="{00000000-0008-0000-2D00-0000F5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246" name="Rectángulo 245">
            <a:hlinkClick xmlns:r="http://schemas.openxmlformats.org/officeDocument/2006/relationships" r:id="rId18"/>
            <a:extLst>
              <a:ext uri="{FF2B5EF4-FFF2-40B4-BE49-F238E27FC236}">
                <a16:creationId xmlns:a16="http://schemas.microsoft.com/office/drawing/2014/main" id="{00000000-0008-0000-2D00-0000F6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247" name="Rectángulo: esquinas superiores redondeadas 246">
            <a:extLst>
              <a:ext uri="{FF2B5EF4-FFF2-40B4-BE49-F238E27FC236}">
                <a16:creationId xmlns:a16="http://schemas.microsoft.com/office/drawing/2014/main" id="{00000000-0008-0000-2D00-0000F7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248" name="Rectángulo 247">
            <a:hlinkClick xmlns:r="http://schemas.openxmlformats.org/officeDocument/2006/relationships" r:id="rId19"/>
            <a:extLst>
              <a:ext uri="{FF2B5EF4-FFF2-40B4-BE49-F238E27FC236}">
                <a16:creationId xmlns:a16="http://schemas.microsoft.com/office/drawing/2014/main" id="{00000000-0008-0000-2D00-0000F8000000}"/>
              </a:ext>
            </a:extLst>
          </xdr:cNvPr>
          <xdr:cNvSpPr/>
        </xdr:nvSpPr>
        <xdr:spPr>
          <a:xfrm>
            <a:off x="1323975" y="3092212"/>
            <a:ext cx="1876426" cy="47813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Acondicionamiento de espacios comerciales</a:t>
            </a:r>
          </a:p>
        </xdr:txBody>
      </xdr:sp>
      <xdr:sp macro="" textlink="">
        <xdr:nvSpPr>
          <xdr:cNvPr id="249" name="Rectángulo 248">
            <a:hlinkClick xmlns:r="http://schemas.openxmlformats.org/officeDocument/2006/relationships" r:id="rId20"/>
            <a:extLst>
              <a:ext uri="{FF2B5EF4-FFF2-40B4-BE49-F238E27FC236}">
                <a16:creationId xmlns:a16="http://schemas.microsoft.com/office/drawing/2014/main" id="{00000000-0008-0000-2D00-0000F9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381000</xdr:colOff>
      <xdr:row>0</xdr:row>
      <xdr:rowOff>104775</xdr:rowOff>
    </xdr:from>
    <xdr:to>
      <xdr:col>14</xdr:col>
      <xdr:colOff>314325</xdr:colOff>
      <xdr:row>2</xdr:row>
      <xdr:rowOff>104775</xdr:rowOff>
    </xdr:to>
    <xdr:grpSp>
      <xdr:nvGrpSpPr>
        <xdr:cNvPr id="90" name="Grupo 89">
          <a:hlinkClick xmlns:r="http://schemas.openxmlformats.org/officeDocument/2006/relationships" r:id="rId21"/>
          <a:extLst>
            <a:ext uri="{FF2B5EF4-FFF2-40B4-BE49-F238E27FC236}">
              <a16:creationId xmlns:a16="http://schemas.microsoft.com/office/drawing/2014/main" id="{00000000-0008-0000-2D00-00005A000000}"/>
            </a:ext>
          </a:extLst>
        </xdr:cNvPr>
        <xdr:cNvGrpSpPr/>
      </xdr:nvGrpSpPr>
      <xdr:grpSpPr>
        <a:xfrm>
          <a:off x="11513344" y="104775"/>
          <a:ext cx="2636044" cy="381000"/>
          <a:chOff x="12572999" y="47625"/>
          <a:chExt cx="2628900" cy="381000"/>
        </a:xfrm>
      </xdr:grpSpPr>
      <xdr:sp macro="" textlink="">
        <xdr:nvSpPr>
          <xdr:cNvPr id="92" name="Rectángulo: esquinas redondeadas 91">
            <a:extLst>
              <a:ext uri="{FF2B5EF4-FFF2-40B4-BE49-F238E27FC236}">
                <a16:creationId xmlns:a16="http://schemas.microsoft.com/office/drawing/2014/main" id="{00000000-0008-0000-2D00-00005C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3" name="CuadroTexto 92">
            <a:extLst>
              <a:ext uri="{FF2B5EF4-FFF2-40B4-BE49-F238E27FC236}">
                <a16:creationId xmlns:a16="http://schemas.microsoft.com/office/drawing/2014/main" id="{00000000-0008-0000-2D00-00005D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94" name="Gráfico 93" descr="Gráfico de barras con relleno sólido">
            <a:extLst>
              <a:ext uri="{FF2B5EF4-FFF2-40B4-BE49-F238E27FC236}">
                <a16:creationId xmlns:a16="http://schemas.microsoft.com/office/drawing/2014/main" id="{00000000-0008-0000-2D00-00005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editAs="absolute">
        <xdr:from>
          <xdr:col>13</xdr:col>
          <xdr:colOff>28575</xdr:colOff>
          <xdr:row>6</xdr:row>
          <xdr:rowOff>38100</xdr:rowOff>
        </xdr:from>
        <xdr:to>
          <xdr:col>13</xdr:col>
          <xdr:colOff>219075</xdr:colOff>
          <xdr:row>7</xdr:row>
          <xdr:rowOff>142875</xdr:rowOff>
        </xdr:to>
        <xdr:sp macro="" textlink="">
          <xdr:nvSpPr>
            <xdr:cNvPr id="38913" name="Spinner 1" hidden="1">
              <a:extLst>
                <a:ext uri="{63B3BB69-23CF-44E3-9099-C40C66FF867C}">
                  <a14:compatExt spid="_x0000_s38913"/>
                </a:ext>
                <a:ext uri="{FF2B5EF4-FFF2-40B4-BE49-F238E27FC236}">
                  <a16:creationId xmlns:a16="http://schemas.microsoft.com/office/drawing/2014/main" id="{00000000-0008-0000-2D00-000001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95" name="Grupo 94">
          <a:hlinkClick xmlns:r="http://schemas.openxmlformats.org/officeDocument/2006/relationships" r:id="rId24"/>
          <a:extLst>
            <a:ext uri="{FF2B5EF4-FFF2-40B4-BE49-F238E27FC236}">
              <a16:creationId xmlns:a16="http://schemas.microsoft.com/office/drawing/2014/main" id="{00000000-0008-0000-2D00-00005F000000}"/>
            </a:ext>
          </a:extLst>
        </xdr:cNvPr>
        <xdr:cNvGrpSpPr/>
      </xdr:nvGrpSpPr>
      <xdr:grpSpPr>
        <a:xfrm>
          <a:off x="0" y="6477000"/>
          <a:ext cx="1240383" cy="416889"/>
          <a:chOff x="28575" y="6381750"/>
          <a:chExt cx="1240383" cy="416889"/>
        </a:xfrm>
      </xdr:grpSpPr>
      <xdr:pic>
        <xdr:nvPicPr>
          <xdr:cNvPr id="96" name="Gráfico 95" descr="Engranaje único con relleno sólido">
            <a:extLst>
              <a:ext uri="{FF2B5EF4-FFF2-40B4-BE49-F238E27FC236}">
                <a16:creationId xmlns:a16="http://schemas.microsoft.com/office/drawing/2014/main" id="{00000000-0008-0000-2D00-000060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97" name="CuadroTexto 96">
            <a:extLst>
              <a:ext uri="{FF2B5EF4-FFF2-40B4-BE49-F238E27FC236}">
                <a16:creationId xmlns:a16="http://schemas.microsoft.com/office/drawing/2014/main" id="{00000000-0008-0000-2D00-00006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29" name="Grupo 28">
          <a:hlinkClick xmlns:r="http://schemas.openxmlformats.org/officeDocument/2006/relationships" r:id="rId1"/>
          <a:extLst>
            <a:ext uri="{FF2B5EF4-FFF2-40B4-BE49-F238E27FC236}">
              <a16:creationId xmlns:a16="http://schemas.microsoft.com/office/drawing/2014/main" id="{00000000-0008-0000-2E00-00001D000000}"/>
            </a:ext>
          </a:extLst>
        </xdr:cNvPr>
        <xdr:cNvGrpSpPr/>
      </xdr:nvGrpSpPr>
      <xdr:grpSpPr>
        <a:xfrm>
          <a:off x="3429000" y="0"/>
          <a:ext cx="0" cy="328014"/>
          <a:chOff x="91104" y="65606"/>
          <a:chExt cx="1192701" cy="328014"/>
        </a:xfrm>
      </xdr:grpSpPr>
      <xdr:sp macro="" textlink="">
        <xdr:nvSpPr>
          <xdr:cNvPr id="30" name="Rectángulo 29">
            <a:extLst>
              <a:ext uri="{FF2B5EF4-FFF2-40B4-BE49-F238E27FC236}">
                <a16:creationId xmlns:a16="http://schemas.microsoft.com/office/drawing/2014/main" id="{00000000-0008-0000-2E00-00001E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1" name="Gráfico 30" descr="Hogar con relleno sólido">
            <a:extLst>
              <a:ext uri="{FF2B5EF4-FFF2-40B4-BE49-F238E27FC236}">
                <a16:creationId xmlns:a16="http://schemas.microsoft.com/office/drawing/2014/main" id="{00000000-0008-0000-2E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122</xdr:row>
      <xdr:rowOff>133350</xdr:rowOff>
    </xdr:to>
    <xdr:sp macro="" textlink="">
      <xdr:nvSpPr>
        <xdr:cNvPr id="32" name="Rectángulo 31">
          <a:extLst>
            <a:ext uri="{FF2B5EF4-FFF2-40B4-BE49-F238E27FC236}">
              <a16:creationId xmlns:a16="http://schemas.microsoft.com/office/drawing/2014/main" id="{00000000-0008-0000-2E00-000020000000}"/>
            </a:ext>
          </a:extLst>
        </xdr:cNvPr>
        <xdr:cNvSpPr/>
      </xdr:nvSpPr>
      <xdr:spPr>
        <a:xfrm>
          <a:off x="19050" y="0"/>
          <a:ext cx="1343025" cy="24384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3" name="Grupo 42">
          <a:hlinkClick xmlns:r="http://schemas.openxmlformats.org/officeDocument/2006/relationships" r:id="rId1"/>
          <a:extLst>
            <a:ext uri="{FF2B5EF4-FFF2-40B4-BE49-F238E27FC236}">
              <a16:creationId xmlns:a16="http://schemas.microsoft.com/office/drawing/2014/main" id="{00000000-0008-0000-2E00-00002B000000}"/>
            </a:ext>
          </a:extLst>
        </xdr:cNvPr>
        <xdr:cNvGrpSpPr/>
      </xdr:nvGrpSpPr>
      <xdr:grpSpPr>
        <a:xfrm>
          <a:off x="3429000" y="0"/>
          <a:ext cx="0" cy="328014"/>
          <a:chOff x="91104" y="65606"/>
          <a:chExt cx="1192701" cy="328014"/>
        </a:xfrm>
      </xdr:grpSpPr>
      <xdr:sp macro="" textlink="">
        <xdr:nvSpPr>
          <xdr:cNvPr id="44" name="Rectángulo 43">
            <a:extLst>
              <a:ext uri="{FF2B5EF4-FFF2-40B4-BE49-F238E27FC236}">
                <a16:creationId xmlns:a16="http://schemas.microsoft.com/office/drawing/2014/main" id="{00000000-0008-0000-2E00-00002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5" name="Gráfico 44" descr="Hogar con relleno sólido">
            <a:extLst>
              <a:ext uri="{FF2B5EF4-FFF2-40B4-BE49-F238E27FC236}">
                <a16:creationId xmlns:a16="http://schemas.microsoft.com/office/drawing/2014/main" id="{00000000-0008-0000-2E00-00002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54" name="Grupo 53">
          <a:hlinkClick xmlns:r="http://schemas.openxmlformats.org/officeDocument/2006/relationships" r:id="rId1"/>
          <a:extLst>
            <a:ext uri="{FF2B5EF4-FFF2-40B4-BE49-F238E27FC236}">
              <a16:creationId xmlns:a16="http://schemas.microsoft.com/office/drawing/2014/main" id="{00000000-0008-0000-2E00-000036000000}"/>
            </a:ext>
          </a:extLst>
        </xdr:cNvPr>
        <xdr:cNvGrpSpPr/>
      </xdr:nvGrpSpPr>
      <xdr:grpSpPr>
        <a:xfrm>
          <a:off x="1381125" y="0"/>
          <a:ext cx="0" cy="328014"/>
          <a:chOff x="91104" y="65606"/>
          <a:chExt cx="1192701" cy="328014"/>
        </a:xfrm>
      </xdr:grpSpPr>
      <xdr:sp macro="" textlink="">
        <xdr:nvSpPr>
          <xdr:cNvPr id="55" name="Rectángulo 54">
            <a:extLst>
              <a:ext uri="{FF2B5EF4-FFF2-40B4-BE49-F238E27FC236}">
                <a16:creationId xmlns:a16="http://schemas.microsoft.com/office/drawing/2014/main" id="{00000000-0008-0000-2E00-00003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6" name="Gráfico 55" descr="Hogar con relleno sólido">
            <a:extLst>
              <a:ext uri="{FF2B5EF4-FFF2-40B4-BE49-F238E27FC236}">
                <a16:creationId xmlns:a16="http://schemas.microsoft.com/office/drawing/2014/main" id="{00000000-0008-0000-2E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57" name="Grupo 56">
          <a:hlinkClick xmlns:r="http://schemas.openxmlformats.org/officeDocument/2006/relationships" r:id="rId1"/>
          <a:extLst>
            <a:ext uri="{FF2B5EF4-FFF2-40B4-BE49-F238E27FC236}">
              <a16:creationId xmlns:a16="http://schemas.microsoft.com/office/drawing/2014/main" id="{00000000-0008-0000-2E00-000039000000}"/>
            </a:ext>
          </a:extLst>
        </xdr:cNvPr>
        <xdr:cNvGrpSpPr/>
      </xdr:nvGrpSpPr>
      <xdr:grpSpPr>
        <a:xfrm>
          <a:off x="1381125" y="0"/>
          <a:ext cx="0" cy="328014"/>
          <a:chOff x="91104" y="65606"/>
          <a:chExt cx="1192701" cy="328014"/>
        </a:xfrm>
      </xdr:grpSpPr>
      <xdr:sp macro="" textlink="">
        <xdr:nvSpPr>
          <xdr:cNvPr id="58" name="Rectángulo 57">
            <a:extLst>
              <a:ext uri="{FF2B5EF4-FFF2-40B4-BE49-F238E27FC236}">
                <a16:creationId xmlns:a16="http://schemas.microsoft.com/office/drawing/2014/main" id="{00000000-0008-0000-2E00-00003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9" name="Gráfico 58" descr="Hogar con relleno sólido">
            <a:extLst>
              <a:ext uri="{FF2B5EF4-FFF2-40B4-BE49-F238E27FC236}">
                <a16:creationId xmlns:a16="http://schemas.microsoft.com/office/drawing/2014/main" id="{00000000-0008-0000-2E00-00003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E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2E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2E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4"/>
          <a:extLst>
            <a:ext uri="{FF2B5EF4-FFF2-40B4-BE49-F238E27FC236}">
              <a16:creationId xmlns:a16="http://schemas.microsoft.com/office/drawing/2014/main" id="{00000000-0008-0000-2E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2E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6" name="Gráfico 45" descr="Información con relleno sólido">
            <a:extLst>
              <a:ext uri="{FF2B5EF4-FFF2-40B4-BE49-F238E27FC236}">
                <a16:creationId xmlns:a16="http://schemas.microsoft.com/office/drawing/2014/main" id="{00000000-0008-0000-2E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7" name="Grupo 46">
          <a:hlinkClick xmlns:r="http://schemas.openxmlformats.org/officeDocument/2006/relationships" r:id="rId7"/>
          <a:extLst>
            <a:ext uri="{FF2B5EF4-FFF2-40B4-BE49-F238E27FC236}">
              <a16:creationId xmlns:a16="http://schemas.microsoft.com/office/drawing/2014/main" id="{00000000-0008-0000-2E00-00002F000000}"/>
            </a:ext>
          </a:extLst>
        </xdr:cNvPr>
        <xdr:cNvGrpSpPr/>
      </xdr:nvGrpSpPr>
      <xdr:grpSpPr>
        <a:xfrm>
          <a:off x="0" y="3760792"/>
          <a:ext cx="1304926" cy="638178"/>
          <a:chOff x="0" y="2767017"/>
          <a:chExt cx="1304926" cy="638178"/>
        </a:xfrm>
      </xdr:grpSpPr>
      <xdr:sp macro="" textlink="">
        <xdr:nvSpPr>
          <xdr:cNvPr id="48" name="Rectángulo: esquinas superiores redondeadas 47">
            <a:extLst>
              <a:ext uri="{FF2B5EF4-FFF2-40B4-BE49-F238E27FC236}">
                <a16:creationId xmlns:a16="http://schemas.microsoft.com/office/drawing/2014/main" id="{00000000-0008-0000-2E00-00003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9" name="Gráfico 48" descr="Gráfico de barras con relleno sólido">
            <a:extLst>
              <a:ext uri="{FF2B5EF4-FFF2-40B4-BE49-F238E27FC236}">
                <a16:creationId xmlns:a16="http://schemas.microsoft.com/office/drawing/2014/main" id="{00000000-0008-0000-2E00-00003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50" name="Grupo 49">
          <a:hlinkClick xmlns:r="http://schemas.openxmlformats.org/officeDocument/2006/relationships" r:id="rId10"/>
          <a:extLst>
            <a:ext uri="{FF2B5EF4-FFF2-40B4-BE49-F238E27FC236}">
              <a16:creationId xmlns:a16="http://schemas.microsoft.com/office/drawing/2014/main" id="{00000000-0008-0000-2E00-000032000000}"/>
            </a:ext>
          </a:extLst>
        </xdr:cNvPr>
        <xdr:cNvGrpSpPr/>
      </xdr:nvGrpSpPr>
      <xdr:grpSpPr>
        <a:xfrm>
          <a:off x="0" y="2811467"/>
          <a:ext cx="1514474" cy="638178"/>
          <a:chOff x="0" y="1862142"/>
          <a:chExt cx="1514474" cy="638178"/>
        </a:xfrm>
      </xdr:grpSpPr>
      <xdr:sp macro="" textlink="">
        <xdr:nvSpPr>
          <xdr:cNvPr id="51" name="Rectángulo: esquinas superiores redondeadas 50">
            <a:extLst>
              <a:ext uri="{FF2B5EF4-FFF2-40B4-BE49-F238E27FC236}">
                <a16:creationId xmlns:a16="http://schemas.microsoft.com/office/drawing/2014/main" id="{00000000-0008-0000-2E00-00003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2" name="Gráfico 51" descr="Alternar con relleno sólido">
            <a:extLst>
              <a:ext uri="{FF2B5EF4-FFF2-40B4-BE49-F238E27FC236}">
                <a16:creationId xmlns:a16="http://schemas.microsoft.com/office/drawing/2014/main" id="{00000000-0008-0000-2E00-00003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3" name="Grupo 52">
          <a:hlinkClick xmlns:r="http://schemas.openxmlformats.org/officeDocument/2006/relationships" r:id="rId13"/>
          <a:extLst>
            <a:ext uri="{FF2B5EF4-FFF2-40B4-BE49-F238E27FC236}">
              <a16:creationId xmlns:a16="http://schemas.microsoft.com/office/drawing/2014/main" id="{00000000-0008-0000-2E00-000035000000}"/>
            </a:ext>
          </a:extLst>
        </xdr:cNvPr>
        <xdr:cNvGrpSpPr/>
      </xdr:nvGrpSpPr>
      <xdr:grpSpPr>
        <a:xfrm>
          <a:off x="0" y="1862142"/>
          <a:ext cx="1295400" cy="638178"/>
          <a:chOff x="0" y="1862142"/>
          <a:chExt cx="1295400" cy="638178"/>
        </a:xfrm>
      </xdr:grpSpPr>
      <xdr:sp macro="" textlink="">
        <xdr:nvSpPr>
          <xdr:cNvPr id="60" name="Rectángulo: esquinas superiores redondeadas 59">
            <a:extLst>
              <a:ext uri="{FF2B5EF4-FFF2-40B4-BE49-F238E27FC236}">
                <a16:creationId xmlns:a16="http://schemas.microsoft.com/office/drawing/2014/main" id="{00000000-0008-0000-2E00-00003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61" name="Gráfico 60" descr="Lista con relleno sólido">
            <a:extLst>
              <a:ext uri="{FF2B5EF4-FFF2-40B4-BE49-F238E27FC236}">
                <a16:creationId xmlns:a16="http://schemas.microsoft.com/office/drawing/2014/main" id="{00000000-0008-0000-2E00-00003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66" name="Grupo 165">
          <a:extLst>
            <a:ext uri="{FF2B5EF4-FFF2-40B4-BE49-F238E27FC236}">
              <a16:creationId xmlns:a16="http://schemas.microsoft.com/office/drawing/2014/main" id="{00000000-0008-0000-2E00-0000A6000000}"/>
            </a:ext>
          </a:extLst>
        </xdr:cNvPr>
        <xdr:cNvGrpSpPr/>
      </xdr:nvGrpSpPr>
      <xdr:grpSpPr>
        <a:xfrm>
          <a:off x="1381125" y="190500"/>
          <a:ext cx="2009780" cy="3509340"/>
          <a:chOff x="1257299" y="33960"/>
          <a:chExt cx="2009780" cy="4058961"/>
        </a:xfrm>
      </xdr:grpSpPr>
      <xdr:sp macro="" textlink="">
        <xdr:nvSpPr>
          <xdr:cNvPr id="167" name="Rectángulo: esquinas superiores redondeadas 166">
            <a:extLst>
              <a:ext uri="{FF2B5EF4-FFF2-40B4-BE49-F238E27FC236}">
                <a16:creationId xmlns:a16="http://schemas.microsoft.com/office/drawing/2014/main" id="{00000000-0008-0000-2E00-0000A7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68" name="Rectángulo 167">
            <a:hlinkClick xmlns:r="http://schemas.openxmlformats.org/officeDocument/2006/relationships" r:id="rId16"/>
            <a:extLst>
              <a:ext uri="{FF2B5EF4-FFF2-40B4-BE49-F238E27FC236}">
                <a16:creationId xmlns:a16="http://schemas.microsoft.com/office/drawing/2014/main" id="{00000000-0008-0000-2E00-0000A8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69" name="Rectángulo 168">
            <a:hlinkClick xmlns:r="http://schemas.openxmlformats.org/officeDocument/2006/relationships" r:id="rId17"/>
            <a:extLst>
              <a:ext uri="{FF2B5EF4-FFF2-40B4-BE49-F238E27FC236}">
                <a16:creationId xmlns:a16="http://schemas.microsoft.com/office/drawing/2014/main" id="{00000000-0008-0000-2E00-0000A9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70" name="Rectángulo 169">
            <a:hlinkClick xmlns:r="http://schemas.openxmlformats.org/officeDocument/2006/relationships" r:id="rId18"/>
            <a:extLst>
              <a:ext uri="{FF2B5EF4-FFF2-40B4-BE49-F238E27FC236}">
                <a16:creationId xmlns:a16="http://schemas.microsoft.com/office/drawing/2014/main" id="{00000000-0008-0000-2E00-0000AA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71" name="Rectángulo: esquinas superiores redondeadas 170">
            <a:extLst>
              <a:ext uri="{FF2B5EF4-FFF2-40B4-BE49-F238E27FC236}">
                <a16:creationId xmlns:a16="http://schemas.microsoft.com/office/drawing/2014/main" id="{00000000-0008-0000-2E00-0000AB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72" name="Rectángulo 171">
            <a:hlinkClick xmlns:r="http://schemas.openxmlformats.org/officeDocument/2006/relationships" r:id="rId19"/>
            <a:extLst>
              <a:ext uri="{FF2B5EF4-FFF2-40B4-BE49-F238E27FC236}">
                <a16:creationId xmlns:a16="http://schemas.microsoft.com/office/drawing/2014/main" id="{00000000-0008-0000-2E00-0000AC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73" name="Rectángulo 172">
            <a:hlinkClick xmlns:r="http://schemas.openxmlformats.org/officeDocument/2006/relationships" r:id="rId20"/>
            <a:extLst>
              <a:ext uri="{FF2B5EF4-FFF2-40B4-BE49-F238E27FC236}">
                <a16:creationId xmlns:a16="http://schemas.microsoft.com/office/drawing/2014/main" id="{00000000-0008-0000-2E00-0000AD000000}"/>
              </a:ext>
            </a:extLst>
          </xdr:cNvPr>
          <xdr:cNvSpPr/>
        </xdr:nvSpPr>
        <xdr:spPr>
          <a:xfrm>
            <a:off x="1323975" y="3654769"/>
            <a:ext cx="1876426" cy="438152"/>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Usos térmicos</a:t>
            </a:r>
            <a:r>
              <a:rPr lang="es-ES" sz="1000" b="1" baseline="0">
                <a:solidFill>
                  <a:schemeClr val="accent6">
                    <a:lumMod val="50000"/>
                  </a:schemeClr>
                </a:solidFill>
              </a:rPr>
              <a:t> y equipamiento</a:t>
            </a:r>
            <a:endParaRPr lang="es-ES" sz="1000" b="1">
              <a:solidFill>
                <a:schemeClr val="accent6">
                  <a:lumMod val="50000"/>
                </a:schemeClr>
              </a:solidFill>
            </a:endParaRPr>
          </a:p>
        </xdr:txBody>
      </xdr:sp>
    </xdr:grpSp>
    <xdr:clientData/>
  </xdr:twoCellAnchor>
  <xdr:twoCellAnchor>
    <xdr:from>
      <xdr:col>10</xdr:col>
      <xdr:colOff>361950</xdr:colOff>
      <xdr:row>0</xdr:row>
      <xdr:rowOff>114300</xdr:rowOff>
    </xdr:from>
    <xdr:to>
      <xdr:col>14</xdr:col>
      <xdr:colOff>295275</xdr:colOff>
      <xdr:row>2</xdr:row>
      <xdr:rowOff>114300</xdr:rowOff>
    </xdr:to>
    <xdr:grpSp>
      <xdr:nvGrpSpPr>
        <xdr:cNvPr id="62" name="Grupo 61">
          <a:hlinkClick xmlns:r="http://schemas.openxmlformats.org/officeDocument/2006/relationships" r:id="rId21"/>
          <a:extLst>
            <a:ext uri="{FF2B5EF4-FFF2-40B4-BE49-F238E27FC236}">
              <a16:creationId xmlns:a16="http://schemas.microsoft.com/office/drawing/2014/main" id="{00000000-0008-0000-2E00-00003E000000}"/>
            </a:ext>
          </a:extLst>
        </xdr:cNvPr>
        <xdr:cNvGrpSpPr/>
      </xdr:nvGrpSpPr>
      <xdr:grpSpPr>
        <a:xfrm>
          <a:off x="11887200" y="114300"/>
          <a:ext cx="2636044" cy="381000"/>
          <a:chOff x="12572999" y="47625"/>
          <a:chExt cx="2628900" cy="381000"/>
        </a:xfrm>
      </xdr:grpSpPr>
      <xdr:sp macro="" textlink="">
        <xdr:nvSpPr>
          <xdr:cNvPr id="63" name="Rectángulo: esquinas redondeadas 62">
            <a:extLst>
              <a:ext uri="{FF2B5EF4-FFF2-40B4-BE49-F238E27FC236}">
                <a16:creationId xmlns:a16="http://schemas.microsoft.com/office/drawing/2014/main" id="{00000000-0008-0000-2E00-00003F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4" name="CuadroTexto 63">
            <a:extLst>
              <a:ext uri="{FF2B5EF4-FFF2-40B4-BE49-F238E27FC236}">
                <a16:creationId xmlns:a16="http://schemas.microsoft.com/office/drawing/2014/main" id="{00000000-0008-0000-2E00-000040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5" name="Gráfico 64" descr="Gráfico de barras con relleno sólido">
            <a:extLst>
              <a:ext uri="{FF2B5EF4-FFF2-40B4-BE49-F238E27FC236}">
                <a16:creationId xmlns:a16="http://schemas.microsoft.com/office/drawing/2014/main" id="{00000000-0008-0000-2E00-00004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editAs="absolute">
        <xdr:from>
          <xdr:col>13</xdr:col>
          <xdr:colOff>19050</xdr:colOff>
          <xdr:row>6</xdr:row>
          <xdr:rowOff>57150</xdr:rowOff>
        </xdr:from>
        <xdr:to>
          <xdr:col>13</xdr:col>
          <xdr:colOff>209550</xdr:colOff>
          <xdr:row>7</xdr:row>
          <xdr:rowOff>161925</xdr:rowOff>
        </xdr:to>
        <xdr:sp macro="" textlink="">
          <xdr:nvSpPr>
            <xdr:cNvPr id="39937" name="Spinner 1" hidden="1">
              <a:extLst>
                <a:ext uri="{63B3BB69-23CF-44E3-9099-C40C66FF867C}">
                  <a14:compatExt spid="_x0000_s39937"/>
                </a:ext>
                <a:ext uri="{FF2B5EF4-FFF2-40B4-BE49-F238E27FC236}">
                  <a16:creationId xmlns:a16="http://schemas.microsoft.com/office/drawing/2014/main" id="{00000000-0008-0000-2E00-00000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4"/>
          <a:extLst>
            <a:ext uri="{FF2B5EF4-FFF2-40B4-BE49-F238E27FC236}">
              <a16:creationId xmlns:a16="http://schemas.microsoft.com/office/drawing/2014/main" id="{00000000-0008-0000-2E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E00-000043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E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122</xdr:row>
      <xdr:rowOff>133350</xdr:rowOff>
    </xdr:to>
    <xdr:sp macro="" textlink="">
      <xdr:nvSpPr>
        <xdr:cNvPr id="15" name="Rectángulo 14">
          <a:extLst>
            <a:ext uri="{FF2B5EF4-FFF2-40B4-BE49-F238E27FC236}">
              <a16:creationId xmlns:a16="http://schemas.microsoft.com/office/drawing/2014/main" id="{00000000-0008-0000-2F00-00000F000000}"/>
            </a:ext>
          </a:extLst>
        </xdr:cNvPr>
        <xdr:cNvSpPr/>
      </xdr:nvSpPr>
      <xdr:spPr>
        <a:xfrm>
          <a:off x="0" y="0"/>
          <a:ext cx="1343025" cy="242697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2F00-000012000000}"/>
            </a:ext>
          </a:extLst>
        </xdr:cNvPr>
        <xdr:cNvGrpSpPr/>
      </xdr:nvGrpSpPr>
      <xdr:grpSpPr>
        <a:xfrm>
          <a:off x="3429000" y="0"/>
          <a:ext cx="0" cy="328014"/>
          <a:chOff x="91104" y="65606"/>
          <a:chExt cx="1192701" cy="328014"/>
        </a:xfrm>
      </xdr:grpSpPr>
      <xdr:sp macro="" textlink="">
        <xdr:nvSpPr>
          <xdr:cNvPr id="19" name="Rectángulo 18">
            <a:extLst>
              <a:ext uri="{FF2B5EF4-FFF2-40B4-BE49-F238E27FC236}">
                <a16:creationId xmlns:a16="http://schemas.microsoft.com/office/drawing/2014/main" id="{00000000-0008-0000-2F00-00001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0" name="Gráfico 19" descr="Hogar con relleno sólido">
            <a:extLst>
              <a:ext uri="{FF2B5EF4-FFF2-40B4-BE49-F238E27FC236}">
                <a16:creationId xmlns:a16="http://schemas.microsoft.com/office/drawing/2014/main" id="{00000000-0008-0000-2F00-00001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1"/>
          <a:extLst>
            <a:ext uri="{FF2B5EF4-FFF2-40B4-BE49-F238E27FC236}">
              <a16:creationId xmlns:a16="http://schemas.microsoft.com/office/drawing/2014/main" id="{00000000-0008-0000-2F00-000018000000}"/>
            </a:ext>
          </a:extLst>
        </xdr:cNvPr>
        <xdr:cNvGrpSpPr/>
      </xdr:nvGrpSpPr>
      <xdr:grpSpPr>
        <a:xfrm>
          <a:off x="1381125" y="0"/>
          <a:ext cx="0" cy="328014"/>
          <a:chOff x="91104" y="65606"/>
          <a:chExt cx="1192701" cy="328014"/>
        </a:xfrm>
      </xdr:grpSpPr>
      <xdr:sp macro="" textlink="">
        <xdr:nvSpPr>
          <xdr:cNvPr id="25" name="Rectángulo 24">
            <a:extLst>
              <a:ext uri="{FF2B5EF4-FFF2-40B4-BE49-F238E27FC236}">
                <a16:creationId xmlns:a16="http://schemas.microsoft.com/office/drawing/2014/main" id="{00000000-0008-0000-2F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2F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2F00-00001B000000}"/>
            </a:ext>
          </a:extLst>
        </xdr:cNvPr>
        <xdr:cNvGrpSpPr/>
      </xdr:nvGrpSpPr>
      <xdr:grpSpPr>
        <a:xfrm>
          <a:off x="1381125" y="0"/>
          <a:ext cx="0" cy="328014"/>
          <a:chOff x="91104" y="65606"/>
          <a:chExt cx="1192701" cy="328014"/>
        </a:xfrm>
      </xdr:grpSpPr>
      <xdr:sp macro="" textlink="">
        <xdr:nvSpPr>
          <xdr:cNvPr id="28" name="Rectángulo 27">
            <a:extLst>
              <a:ext uri="{FF2B5EF4-FFF2-40B4-BE49-F238E27FC236}">
                <a16:creationId xmlns:a16="http://schemas.microsoft.com/office/drawing/2014/main" id="{00000000-0008-0000-2F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9" name="Gráfico 28" descr="Hogar con relleno sólido">
            <a:extLst>
              <a:ext uri="{FF2B5EF4-FFF2-40B4-BE49-F238E27FC236}">
                <a16:creationId xmlns:a16="http://schemas.microsoft.com/office/drawing/2014/main" id="{00000000-0008-0000-2F00-00001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F00-000026000000}"/>
            </a:ext>
          </a:extLst>
        </xdr:cNvPr>
        <xdr:cNvGrpSpPr/>
      </xdr:nvGrpSpPr>
      <xdr:grpSpPr>
        <a:xfrm>
          <a:off x="0" y="0"/>
          <a:ext cx="1381125" cy="328014"/>
          <a:chOff x="91104" y="65606"/>
          <a:chExt cx="1192701" cy="328014"/>
        </a:xfrm>
      </xdr:grpSpPr>
      <xdr:sp macro="" textlink="">
        <xdr:nvSpPr>
          <xdr:cNvPr id="40" name="Rectángulo 39">
            <a:extLst>
              <a:ext uri="{FF2B5EF4-FFF2-40B4-BE49-F238E27FC236}">
                <a16:creationId xmlns:a16="http://schemas.microsoft.com/office/drawing/2014/main" id="{00000000-0008-0000-2F00-00002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1" name="Gráfico 40" descr="Hogar con relleno sólido">
            <a:extLst>
              <a:ext uri="{FF2B5EF4-FFF2-40B4-BE49-F238E27FC236}">
                <a16:creationId xmlns:a16="http://schemas.microsoft.com/office/drawing/2014/main" id="{00000000-0008-0000-2F00-00002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 name="Grupo 41">
          <a:hlinkClick xmlns:r="http://schemas.openxmlformats.org/officeDocument/2006/relationships" r:id="rId4"/>
          <a:extLst>
            <a:ext uri="{FF2B5EF4-FFF2-40B4-BE49-F238E27FC236}">
              <a16:creationId xmlns:a16="http://schemas.microsoft.com/office/drawing/2014/main" id="{00000000-0008-0000-2F00-00002A000000}"/>
            </a:ext>
          </a:extLst>
        </xdr:cNvPr>
        <xdr:cNvGrpSpPr/>
      </xdr:nvGrpSpPr>
      <xdr:grpSpPr>
        <a:xfrm>
          <a:off x="0" y="4710117"/>
          <a:ext cx="1295400" cy="638178"/>
          <a:chOff x="0" y="3671892"/>
          <a:chExt cx="1295400" cy="638178"/>
        </a:xfrm>
      </xdr:grpSpPr>
      <xdr:sp macro="" textlink="">
        <xdr:nvSpPr>
          <xdr:cNvPr id="43" name="Rectángulo: esquinas superiores redondeadas 42">
            <a:extLst>
              <a:ext uri="{FF2B5EF4-FFF2-40B4-BE49-F238E27FC236}">
                <a16:creationId xmlns:a16="http://schemas.microsoft.com/office/drawing/2014/main" id="{00000000-0008-0000-2F00-00002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4" name="Gráfico 43" descr="Información con relleno sólido">
            <a:extLst>
              <a:ext uri="{FF2B5EF4-FFF2-40B4-BE49-F238E27FC236}">
                <a16:creationId xmlns:a16="http://schemas.microsoft.com/office/drawing/2014/main" id="{00000000-0008-0000-2F00-00002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5" name="Grupo 44">
          <a:hlinkClick xmlns:r="http://schemas.openxmlformats.org/officeDocument/2006/relationships" r:id="rId7"/>
          <a:extLst>
            <a:ext uri="{FF2B5EF4-FFF2-40B4-BE49-F238E27FC236}">
              <a16:creationId xmlns:a16="http://schemas.microsoft.com/office/drawing/2014/main" id="{00000000-0008-0000-2F00-00002D000000}"/>
            </a:ext>
          </a:extLst>
        </xdr:cNvPr>
        <xdr:cNvGrpSpPr/>
      </xdr:nvGrpSpPr>
      <xdr:grpSpPr>
        <a:xfrm>
          <a:off x="0" y="3760792"/>
          <a:ext cx="1304926" cy="638178"/>
          <a:chOff x="0" y="2767017"/>
          <a:chExt cx="1304926" cy="638178"/>
        </a:xfrm>
      </xdr:grpSpPr>
      <xdr:sp macro="" textlink="">
        <xdr:nvSpPr>
          <xdr:cNvPr id="46" name="Rectángulo: esquinas superiores redondeadas 45">
            <a:extLst>
              <a:ext uri="{FF2B5EF4-FFF2-40B4-BE49-F238E27FC236}">
                <a16:creationId xmlns:a16="http://schemas.microsoft.com/office/drawing/2014/main" id="{00000000-0008-0000-2F00-00002E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7" name="Gráfico 46" descr="Gráfico de barras con relleno sólido">
            <a:extLst>
              <a:ext uri="{FF2B5EF4-FFF2-40B4-BE49-F238E27FC236}">
                <a16:creationId xmlns:a16="http://schemas.microsoft.com/office/drawing/2014/main" id="{00000000-0008-0000-2F00-00002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8" name="Grupo 47">
          <a:hlinkClick xmlns:r="http://schemas.openxmlformats.org/officeDocument/2006/relationships" r:id="rId10"/>
          <a:extLst>
            <a:ext uri="{FF2B5EF4-FFF2-40B4-BE49-F238E27FC236}">
              <a16:creationId xmlns:a16="http://schemas.microsoft.com/office/drawing/2014/main" id="{00000000-0008-0000-2F00-000030000000}"/>
            </a:ext>
          </a:extLst>
        </xdr:cNvPr>
        <xdr:cNvGrpSpPr/>
      </xdr:nvGrpSpPr>
      <xdr:grpSpPr>
        <a:xfrm>
          <a:off x="0" y="2811467"/>
          <a:ext cx="1514474" cy="638178"/>
          <a:chOff x="0" y="1862142"/>
          <a:chExt cx="1514474" cy="638178"/>
        </a:xfrm>
      </xdr:grpSpPr>
      <xdr:sp macro="" textlink="">
        <xdr:nvSpPr>
          <xdr:cNvPr id="49" name="Rectángulo: esquinas superiores redondeadas 48">
            <a:extLst>
              <a:ext uri="{FF2B5EF4-FFF2-40B4-BE49-F238E27FC236}">
                <a16:creationId xmlns:a16="http://schemas.microsoft.com/office/drawing/2014/main" id="{00000000-0008-0000-2F00-000031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2F00-00003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13"/>
          <a:extLst>
            <a:ext uri="{FF2B5EF4-FFF2-40B4-BE49-F238E27FC236}">
              <a16:creationId xmlns:a16="http://schemas.microsoft.com/office/drawing/2014/main" id="{00000000-0008-0000-2F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2F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2F00-00003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3" name="Grupo 2">
          <a:extLst>
            <a:ext uri="{FF2B5EF4-FFF2-40B4-BE49-F238E27FC236}">
              <a16:creationId xmlns:a16="http://schemas.microsoft.com/office/drawing/2014/main" id="{00000000-0008-0000-2F00-000003000000}"/>
            </a:ext>
          </a:extLst>
        </xdr:cNvPr>
        <xdr:cNvGrpSpPr/>
      </xdr:nvGrpSpPr>
      <xdr:grpSpPr>
        <a:xfrm>
          <a:off x="1323975" y="200024"/>
          <a:ext cx="2038353" cy="2857501"/>
          <a:chOff x="4733925" y="190499"/>
          <a:chExt cx="2038353" cy="2857501"/>
        </a:xfrm>
      </xdr:grpSpPr>
      <xdr:grpSp>
        <xdr:nvGrpSpPr>
          <xdr:cNvPr id="33" name="Grupo 32">
            <a:hlinkClick xmlns:r="http://schemas.openxmlformats.org/officeDocument/2006/relationships" r:id="rId16"/>
            <a:extLst>
              <a:ext uri="{FF2B5EF4-FFF2-40B4-BE49-F238E27FC236}">
                <a16:creationId xmlns:a16="http://schemas.microsoft.com/office/drawing/2014/main" id="{00000000-0008-0000-2F00-000021000000}"/>
              </a:ext>
            </a:extLst>
          </xdr:cNvPr>
          <xdr:cNvGrpSpPr/>
        </xdr:nvGrpSpPr>
        <xdr:grpSpPr>
          <a:xfrm>
            <a:off x="4733925" y="190499"/>
            <a:ext cx="2038353" cy="2857501"/>
            <a:chOff x="1219735" y="33960"/>
            <a:chExt cx="2009778" cy="3050765"/>
          </a:xfrm>
        </xdr:grpSpPr>
        <xdr:sp macro="" textlink="">
          <xdr:nvSpPr>
            <xdr:cNvPr id="34" name="Rectángulo: esquinas superiores redondeadas 33">
              <a:hlinkClick xmlns:r="http://schemas.openxmlformats.org/officeDocument/2006/relationships" r:id="rId17"/>
              <a:extLst>
                <a:ext uri="{FF2B5EF4-FFF2-40B4-BE49-F238E27FC236}">
                  <a16:creationId xmlns:a16="http://schemas.microsoft.com/office/drawing/2014/main" id="{00000000-0008-0000-2F00-000022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35" name="Rectángulo 34">
              <a:hlinkClick xmlns:r="http://schemas.openxmlformats.org/officeDocument/2006/relationships" r:id="rId17"/>
              <a:extLst>
                <a:ext uri="{FF2B5EF4-FFF2-40B4-BE49-F238E27FC236}">
                  <a16:creationId xmlns:a16="http://schemas.microsoft.com/office/drawing/2014/main" id="{00000000-0008-0000-2F00-000023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 de pasajeros</a:t>
              </a:r>
            </a:p>
          </xdr:txBody>
        </xdr:sp>
        <xdr:sp macro="" textlink="">
          <xdr:nvSpPr>
            <xdr:cNvPr id="36" name="Rectángulo 35">
              <a:hlinkClick xmlns:r="http://schemas.openxmlformats.org/officeDocument/2006/relationships" r:id="rId18"/>
              <a:extLst>
                <a:ext uri="{FF2B5EF4-FFF2-40B4-BE49-F238E27FC236}">
                  <a16:creationId xmlns:a16="http://schemas.microsoft.com/office/drawing/2014/main" id="{00000000-0008-0000-2F00-000024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37" name="Rectángulo 36">
              <a:hlinkClick xmlns:r="http://schemas.openxmlformats.org/officeDocument/2006/relationships" r:id="rId19"/>
              <a:extLst>
                <a:ext uri="{FF2B5EF4-FFF2-40B4-BE49-F238E27FC236}">
                  <a16:creationId xmlns:a16="http://schemas.microsoft.com/office/drawing/2014/main" id="{00000000-0008-0000-2F00-000025000000}"/>
                </a:ext>
              </a:extLst>
            </xdr:cNvPr>
            <xdr:cNvSpPr/>
          </xdr:nvSpPr>
          <xdr:spPr>
            <a:xfrm>
              <a:off x="1323975" y="2222724"/>
              <a:ext cx="1876426" cy="381000"/>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39" name="Rectángulo 38">
              <a:extLst>
                <a:ext uri="{FF2B5EF4-FFF2-40B4-BE49-F238E27FC236}">
                  <a16:creationId xmlns:a16="http://schemas.microsoft.com/office/drawing/2014/main" id="{00000000-0008-0000-2F00-000027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50" name="Rectángulo: esquinas superiores redondeadas 49">
            <a:hlinkClick xmlns:r="http://schemas.openxmlformats.org/officeDocument/2006/relationships" r:id="rId19"/>
            <a:extLst>
              <a:ext uri="{FF2B5EF4-FFF2-40B4-BE49-F238E27FC236}">
                <a16:creationId xmlns:a16="http://schemas.microsoft.com/office/drawing/2014/main" id="{00000000-0008-0000-2F00-000032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5" name="Grupo 54">
          <a:hlinkClick xmlns:r="http://schemas.openxmlformats.org/officeDocument/2006/relationships" r:id="rId1"/>
          <a:extLst>
            <a:ext uri="{FF2B5EF4-FFF2-40B4-BE49-F238E27FC236}">
              <a16:creationId xmlns:a16="http://schemas.microsoft.com/office/drawing/2014/main" id="{00000000-0008-0000-2F00-000037000000}"/>
            </a:ext>
          </a:extLst>
        </xdr:cNvPr>
        <xdr:cNvGrpSpPr/>
      </xdr:nvGrpSpPr>
      <xdr:grpSpPr>
        <a:xfrm>
          <a:off x="0" y="0"/>
          <a:ext cx="1381125" cy="328014"/>
          <a:chOff x="91104" y="65606"/>
          <a:chExt cx="1192701" cy="328014"/>
        </a:xfrm>
      </xdr:grpSpPr>
      <xdr:sp macro="" textlink="">
        <xdr:nvSpPr>
          <xdr:cNvPr id="56" name="Rectángulo 55">
            <a:extLst>
              <a:ext uri="{FF2B5EF4-FFF2-40B4-BE49-F238E27FC236}">
                <a16:creationId xmlns:a16="http://schemas.microsoft.com/office/drawing/2014/main" id="{00000000-0008-0000-2F00-00003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7" name="Gráfico 56" descr="Hogar con relleno sólido">
            <a:extLst>
              <a:ext uri="{FF2B5EF4-FFF2-40B4-BE49-F238E27FC236}">
                <a16:creationId xmlns:a16="http://schemas.microsoft.com/office/drawing/2014/main" id="{00000000-0008-0000-2F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10</xdr:col>
      <xdr:colOff>419100</xdr:colOff>
      <xdr:row>0</xdr:row>
      <xdr:rowOff>76200</xdr:rowOff>
    </xdr:from>
    <xdr:to>
      <xdr:col>14</xdr:col>
      <xdr:colOff>333375</xdr:colOff>
      <xdr:row>2</xdr:row>
      <xdr:rowOff>76200</xdr:rowOff>
    </xdr:to>
    <xdr:grpSp>
      <xdr:nvGrpSpPr>
        <xdr:cNvPr id="58" name="Grupo 57">
          <a:hlinkClick xmlns:r="http://schemas.openxmlformats.org/officeDocument/2006/relationships" r:id="rId20"/>
          <a:extLst>
            <a:ext uri="{FF2B5EF4-FFF2-40B4-BE49-F238E27FC236}">
              <a16:creationId xmlns:a16="http://schemas.microsoft.com/office/drawing/2014/main" id="{00000000-0008-0000-2F00-00003A000000}"/>
            </a:ext>
          </a:extLst>
        </xdr:cNvPr>
        <xdr:cNvGrpSpPr/>
      </xdr:nvGrpSpPr>
      <xdr:grpSpPr>
        <a:xfrm>
          <a:off x="12230100" y="76200"/>
          <a:ext cx="2831306" cy="381000"/>
          <a:chOff x="12572999" y="47625"/>
          <a:chExt cx="2628900" cy="381000"/>
        </a:xfrm>
      </xdr:grpSpPr>
      <xdr:sp macro="" textlink="">
        <xdr:nvSpPr>
          <xdr:cNvPr id="59" name="Rectángulo: esquinas redondeadas 58">
            <a:extLst>
              <a:ext uri="{FF2B5EF4-FFF2-40B4-BE49-F238E27FC236}">
                <a16:creationId xmlns:a16="http://schemas.microsoft.com/office/drawing/2014/main" id="{00000000-0008-0000-2F00-00003B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0" name="CuadroTexto 59">
            <a:extLst>
              <a:ext uri="{FF2B5EF4-FFF2-40B4-BE49-F238E27FC236}">
                <a16:creationId xmlns:a16="http://schemas.microsoft.com/office/drawing/2014/main" id="{00000000-0008-0000-2F00-00003C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61" name="Gráfico 60" descr="Gráfico de barras con relleno sólido">
            <a:extLst>
              <a:ext uri="{FF2B5EF4-FFF2-40B4-BE49-F238E27FC236}">
                <a16:creationId xmlns:a16="http://schemas.microsoft.com/office/drawing/2014/main" id="{00000000-0008-0000-2F00-00003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19050</xdr:colOff>
          <xdr:row>6</xdr:row>
          <xdr:rowOff>38100</xdr:rowOff>
        </xdr:from>
        <xdr:to>
          <xdr:col>13</xdr:col>
          <xdr:colOff>209550</xdr:colOff>
          <xdr:row>7</xdr:row>
          <xdr:rowOff>142875</xdr:rowOff>
        </xdr:to>
        <xdr:sp macro="" textlink="">
          <xdr:nvSpPr>
            <xdr:cNvPr id="40961" name="Spinner 1" hidden="1">
              <a:extLst>
                <a:ext uri="{63B3BB69-23CF-44E3-9099-C40C66FF867C}">
                  <a14:compatExt spid="_x0000_s40961"/>
                </a:ext>
                <a:ext uri="{FF2B5EF4-FFF2-40B4-BE49-F238E27FC236}">
                  <a16:creationId xmlns:a16="http://schemas.microsoft.com/office/drawing/2014/main" id="{00000000-0008-0000-2F00-000001A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19050</xdr:colOff>
          <xdr:row>8</xdr:row>
          <xdr:rowOff>38100</xdr:rowOff>
        </xdr:from>
        <xdr:to>
          <xdr:col>13</xdr:col>
          <xdr:colOff>209550</xdr:colOff>
          <xdr:row>9</xdr:row>
          <xdr:rowOff>142875</xdr:rowOff>
        </xdr:to>
        <xdr:sp macro="" textlink="">
          <xdr:nvSpPr>
            <xdr:cNvPr id="40962" name="Spinner 2" hidden="1">
              <a:extLst>
                <a:ext uri="{63B3BB69-23CF-44E3-9099-C40C66FF867C}">
                  <a14:compatExt spid="_x0000_s40962"/>
                </a:ext>
                <a:ext uri="{FF2B5EF4-FFF2-40B4-BE49-F238E27FC236}">
                  <a16:creationId xmlns:a16="http://schemas.microsoft.com/office/drawing/2014/main" id="{00000000-0008-0000-2F00-000002A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2" name="Grupo 61">
          <a:hlinkClick xmlns:r="http://schemas.openxmlformats.org/officeDocument/2006/relationships" r:id="rId23"/>
          <a:extLst>
            <a:ext uri="{FF2B5EF4-FFF2-40B4-BE49-F238E27FC236}">
              <a16:creationId xmlns:a16="http://schemas.microsoft.com/office/drawing/2014/main" id="{00000000-0008-0000-2F00-00003E000000}"/>
            </a:ext>
          </a:extLst>
        </xdr:cNvPr>
        <xdr:cNvGrpSpPr/>
      </xdr:nvGrpSpPr>
      <xdr:grpSpPr>
        <a:xfrm>
          <a:off x="0" y="6477000"/>
          <a:ext cx="1240383" cy="416889"/>
          <a:chOff x="28575" y="6381750"/>
          <a:chExt cx="1240383" cy="416889"/>
        </a:xfrm>
      </xdr:grpSpPr>
      <xdr:pic>
        <xdr:nvPicPr>
          <xdr:cNvPr id="63" name="Gráfico 62" descr="Engranaje único con relleno sólido">
            <a:extLst>
              <a:ext uri="{FF2B5EF4-FFF2-40B4-BE49-F238E27FC236}">
                <a16:creationId xmlns:a16="http://schemas.microsoft.com/office/drawing/2014/main" id="{00000000-0008-0000-2F00-00003F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64" name="CuadroTexto 63">
            <a:extLst>
              <a:ext uri="{FF2B5EF4-FFF2-40B4-BE49-F238E27FC236}">
                <a16:creationId xmlns:a16="http://schemas.microsoft.com/office/drawing/2014/main" id="{00000000-0008-0000-2F00-000040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30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30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30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1"/>
          <a:extLst>
            <a:ext uri="{FF2B5EF4-FFF2-40B4-BE49-F238E27FC236}">
              <a16:creationId xmlns:a16="http://schemas.microsoft.com/office/drawing/2014/main" id="{00000000-0008-0000-3000-000022000000}"/>
            </a:ext>
          </a:extLst>
        </xdr:cNvPr>
        <xdr:cNvGrpSpPr/>
      </xdr:nvGrpSpPr>
      <xdr:grpSpPr>
        <a:xfrm>
          <a:off x="1381125" y="0"/>
          <a:ext cx="0" cy="328014"/>
          <a:chOff x="91104" y="65606"/>
          <a:chExt cx="1192701" cy="328014"/>
        </a:xfrm>
      </xdr:grpSpPr>
      <xdr:sp macro="" textlink="">
        <xdr:nvSpPr>
          <xdr:cNvPr id="35" name="Rectángulo 34">
            <a:extLst>
              <a:ext uri="{FF2B5EF4-FFF2-40B4-BE49-F238E27FC236}">
                <a16:creationId xmlns:a16="http://schemas.microsoft.com/office/drawing/2014/main" id="{00000000-0008-0000-30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000-00002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7" name="Grupo 36">
          <a:hlinkClick xmlns:r="http://schemas.openxmlformats.org/officeDocument/2006/relationships" r:id="rId1"/>
          <a:extLst>
            <a:ext uri="{FF2B5EF4-FFF2-40B4-BE49-F238E27FC236}">
              <a16:creationId xmlns:a16="http://schemas.microsoft.com/office/drawing/2014/main" id="{00000000-0008-0000-3000-000025000000}"/>
            </a:ext>
          </a:extLst>
        </xdr:cNvPr>
        <xdr:cNvGrpSpPr/>
      </xdr:nvGrpSpPr>
      <xdr:grpSpPr>
        <a:xfrm>
          <a:off x="0" y="0"/>
          <a:ext cx="1381125" cy="328014"/>
          <a:chOff x="91104" y="65606"/>
          <a:chExt cx="1192701" cy="328014"/>
        </a:xfrm>
      </xdr:grpSpPr>
      <xdr:sp macro="" textlink="">
        <xdr:nvSpPr>
          <xdr:cNvPr id="38" name="Rectángulo 37">
            <a:extLst>
              <a:ext uri="{FF2B5EF4-FFF2-40B4-BE49-F238E27FC236}">
                <a16:creationId xmlns:a16="http://schemas.microsoft.com/office/drawing/2014/main" id="{00000000-0008-0000-3000-00002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9" name="Gráfico 38" descr="Hogar con relleno sólido">
            <a:extLst>
              <a:ext uri="{FF2B5EF4-FFF2-40B4-BE49-F238E27FC236}">
                <a16:creationId xmlns:a16="http://schemas.microsoft.com/office/drawing/2014/main" id="{00000000-0008-0000-30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0" name="Grupo 39">
          <a:hlinkClick xmlns:r="http://schemas.openxmlformats.org/officeDocument/2006/relationships" r:id="rId4"/>
          <a:extLst>
            <a:ext uri="{FF2B5EF4-FFF2-40B4-BE49-F238E27FC236}">
              <a16:creationId xmlns:a16="http://schemas.microsoft.com/office/drawing/2014/main" id="{00000000-0008-0000-3000-000028000000}"/>
            </a:ext>
          </a:extLst>
        </xdr:cNvPr>
        <xdr:cNvGrpSpPr/>
      </xdr:nvGrpSpPr>
      <xdr:grpSpPr>
        <a:xfrm>
          <a:off x="0" y="4710117"/>
          <a:ext cx="1295400" cy="638178"/>
          <a:chOff x="0" y="3671892"/>
          <a:chExt cx="1295400" cy="638178"/>
        </a:xfrm>
      </xdr:grpSpPr>
      <xdr:sp macro="" textlink="">
        <xdr:nvSpPr>
          <xdr:cNvPr id="41" name="Rectángulo: esquinas superiores redondeadas 40">
            <a:extLst>
              <a:ext uri="{FF2B5EF4-FFF2-40B4-BE49-F238E27FC236}">
                <a16:creationId xmlns:a16="http://schemas.microsoft.com/office/drawing/2014/main" id="{00000000-0008-0000-3000-00002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2" name="Gráfico 41" descr="Información con relleno sólido">
            <a:extLst>
              <a:ext uri="{FF2B5EF4-FFF2-40B4-BE49-F238E27FC236}">
                <a16:creationId xmlns:a16="http://schemas.microsoft.com/office/drawing/2014/main" id="{00000000-0008-0000-30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3" name="Grupo 42">
          <a:hlinkClick xmlns:r="http://schemas.openxmlformats.org/officeDocument/2006/relationships" r:id="rId7"/>
          <a:extLst>
            <a:ext uri="{FF2B5EF4-FFF2-40B4-BE49-F238E27FC236}">
              <a16:creationId xmlns:a16="http://schemas.microsoft.com/office/drawing/2014/main" id="{00000000-0008-0000-3000-00002B000000}"/>
            </a:ext>
          </a:extLst>
        </xdr:cNvPr>
        <xdr:cNvGrpSpPr/>
      </xdr:nvGrpSpPr>
      <xdr:grpSpPr>
        <a:xfrm>
          <a:off x="0" y="3760792"/>
          <a:ext cx="1304926" cy="638178"/>
          <a:chOff x="0" y="2767017"/>
          <a:chExt cx="1304926" cy="638178"/>
        </a:xfrm>
      </xdr:grpSpPr>
      <xdr:sp macro="" textlink="">
        <xdr:nvSpPr>
          <xdr:cNvPr id="44" name="Rectángulo: esquinas superiores redondeadas 43">
            <a:extLst>
              <a:ext uri="{FF2B5EF4-FFF2-40B4-BE49-F238E27FC236}">
                <a16:creationId xmlns:a16="http://schemas.microsoft.com/office/drawing/2014/main" id="{00000000-0008-0000-3000-00002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5" name="Gráfico 44" descr="Gráfico de barras con relleno sólido">
            <a:extLst>
              <a:ext uri="{FF2B5EF4-FFF2-40B4-BE49-F238E27FC236}">
                <a16:creationId xmlns:a16="http://schemas.microsoft.com/office/drawing/2014/main" id="{00000000-0008-0000-3000-00002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6" name="Grupo 45">
          <a:hlinkClick xmlns:r="http://schemas.openxmlformats.org/officeDocument/2006/relationships" r:id="rId10"/>
          <a:extLst>
            <a:ext uri="{FF2B5EF4-FFF2-40B4-BE49-F238E27FC236}">
              <a16:creationId xmlns:a16="http://schemas.microsoft.com/office/drawing/2014/main" id="{00000000-0008-0000-3000-00002E000000}"/>
            </a:ext>
          </a:extLst>
        </xdr:cNvPr>
        <xdr:cNvGrpSpPr/>
      </xdr:nvGrpSpPr>
      <xdr:grpSpPr>
        <a:xfrm>
          <a:off x="0" y="2811467"/>
          <a:ext cx="1514474" cy="638178"/>
          <a:chOff x="0" y="1862142"/>
          <a:chExt cx="1514474" cy="638178"/>
        </a:xfrm>
      </xdr:grpSpPr>
      <xdr:sp macro="" textlink="">
        <xdr:nvSpPr>
          <xdr:cNvPr id="47" name="Rectángulo: esquinas superiores redondeadas 46">
            <a:extLst>
              <a:ext uri="{FF2B5EF4-FFF2-40B4-BE49-F238E27FC236}">
                <a16:creationId xmlns:a16="http://schemas.microsoft.com/office/drawing/2014/main" id="{00000000-0008-0000-3000-00002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8" name="Gráfico 47" descr="Alternar con relleno sólido">
            <a:extLst>
              <a:ext uri="{FF2B5EF4-FFF2-40B4-BE49-F238E27FC236}">
                <a16:creationId xmlns:a16="http://schemas.microsoft.com/office/drawing/2014/main" id="{00000000-0008-0000-3000-00003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9" name="Grupo 48">
          <a:hlinkClick xmlns:r="http://schemas.openxmlformats.org/officeDocument/2006/relationships" r:id="rId13"/>
          <a:extLst>
            <a:ext uri="{FF2B5EF4-FFF2-40B4-BE49-F238E27FC236}">
              <a16:creationId xmlns:a16="http://schemas.microsoft.com/office/drawing/2014/main" id="{00000000-0008-0000-3000-000031000000}"/>
            </a:ext>
          </a:extLst>
        </xdr:cNvPr>
        <xdr:cNvGrpSpPr/>
      </xdr:nvGrpSpPr>
      <xdr:grpSpPr>
        <a:xfrm>
          <a:off x="0" y="1862142"/>
          <a:ext cx="1295400" cy="638178"/>
          <a:chOff x="0" y="1862142"/>
          <a:chExt cx="1295400" cy="638178"/>
        </a:xfrm>
      </xdr:grpSpPr>
      <xdr:sp macro="" textlink="">
        <xdr:nvSpPr>
          <xdr:cNvPr id="50" name="Rectángulo: esquinas superiores redondeadas 49">
            <a:extLst>
              <a:ext uri="{FF2B5EF4-FFF2-40B4-BE49-F238E27FC236}">
                <a16:creationId xmlns:a16="http://schemas.microsoft.com/office/drawing/2014/main" id="{00000000-0008-0000-30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1" name="Gráfico 50" descr="Lista con relleno sólido">
            <a:extLst>
              <a:ext uri="{FF2B5EF4-FFF2-40B4-BE49-F238E27FC236}">
                <a16:creationId xmlns:a16="http://schemas.microsoft.com/office/drawing/2014/main" id="{00000000-0008-0000-3000-00003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08" name="Grupo 107">
          <a:extLst>
            <a:ext uri="{FF2B5EF4-FFF2-40B4-BE49-F238E27FC236}">
              <a16:creationId xmlns:a16="http://schemas.microsoft.com/office/drawing/2014/main" id="{00000000-0008-0000-3000-00006C000000}"/>
            </a:ext>
          </a:extLst>
        </xdr:cNvPr>
        <xdr:cNvGrpSpPr/>
      </xdr:nvGrpSpPr>
      <xdr:grpSpPr>
        <a:xfrm>
          <a:off x="1323975" y="200024"/>
          <a:ext cx="2038353" cy="2857501"/>
          <a:chOff x="4733925" y="190499"/>
          <a:chExt cx="2038353" cy="2857501"/>
        </a:xfrm>
      </xdr:grpSpPr>
      <xdr:grpSp>
        <xdr:nvGrpSpPr>
          <xdr:cNvPr id="109" name="Grupo 108">
            <a:hlinkClick xmlns:r="http://schemas.openxmlformats.org/officeDocument/2006/relationships" r:id="rId16"/>
            <a:extLst>
              <a:ext uri="{FF2B5EF4-FFF2-40B4-BE49-F238E27FC236}">
                <a16:creationId xmlns:a16="http://schemas.microsoft.com/office/drawing/2014/main" id="{00000000-0008-0000-3000-00006D000000}"/>
              </a:ext>
            </a:extLst>
          </xdr:cNvPr>
          <xdr:cNvGrpSpPr/>
        </xdr:nvGrpSpPr>
        <xdr:grpSpPr>
          <a:xfrm>
            <a:off x="4733925" y="190499"/>
            <a:ext cx="2038353" cy="2857501"/>
            <a:chOff x="1219735" y="33960"/>
            <a:chExt cx="2009778" cy="3050765"/>
          </a:xfrm>
        </xdr:grpSpPr>
        <xdr:sp macro="" textlink="">
          <xdr:nvSpPr>
            <xdr:cNvPr id="111" name="Rectángulo: esquinas superiores redondeadas 110">
              <a:hlinkClick xmlns:r="http://schemas.openxmlformats.org/officeDocument/2006/relationships" r:id="rId17"/>
              <a:extLst>
                <a:ext uri="{FF2B5EF4-FFF2-40B4-BE49-F238E27FC236}">
                  <a16:creationId xmlns:a16="http://schemas.microsoft.com/office/drawing/2014/main" id="{00000000-0008-0000-3000-00006F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12" name="Rectángulo 111">
              <a:hlinkClick xmlns:r="http://schemas.openxmlformats.org/officeDocument/2006/relationships" r:id="rId17"/>
              <a:extLst>
                <a:ext uri="{FF2B5EF4-FFF2-40B4-BE49-F238E27FC236}">
                  <a16:creationId xmlns:a16="http://schemas.microsoft.com/office/drawing/2014/main" id="{00000000-0008-0000-3000-00007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13" name="Rectángulo 112">
              <a:hlinkClick xmlns:r="http://schemas.openxmlformats.org/officeDocument/2006/relationships" r:id="rId18"/>
              <a:extLst>
                <a:ext uri="{FF2B5EF4-FFF2-40B4-BE49-F238E27FC236}">
                  <a16:creationId xmlns:a16="http://schemas.microsoft.com/office/drawing/2014/main" id="{00000000-0008-0000-3000-000071000000}"/>
                </a:ext>
              </a:extLst>
            </xdr:cNvPr>
            <xdr:cNvSpPr/>
          </xdr:nvSpPr>
          <xdr:spPr>
            <a:xfrm>
              <a:off x="1323975" y="1093540"/>
              <a:ext cx="1876426" cy="428626"/>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a:t>
              </a:r>
              <a:r>
                <a:rPr lang="es-ES" sz="1000" b="1" baseline="0">
                  <a:solidFill>
                    <a:schemeClr val="accent6">
                      <a:lumMod val="50000"/>
                    </a:schemeClr>
                  </a:solidFill>
                </a:rPr>
                <a:t> de carga</a:t>
              </a:r>
              <a:endParaRPr lang="es-ES" sz="1000" b="1">
                <a:solidFill>
                  <a:schemeClr val="accent6">
                    <a:lumMod val="50000"/>
                  </a:schemeClr>
                </a:solidFill>
              </a:endParaRPr>
            </a:p>
          </xdr:txBody>
        </xdr:sp>
        <xdr:sp macro="" textlink="">
          <xdr:nvSpPr>
            <xdr:cNvPr id="114" name="Rectángulo 113">
              <a:hlinkClick xmlns:r="http://schemas.openxmlformats.org/officeDocument/2006/relationships" r:id="rId19"/>
              <a:extLst>
                <a:ext uri="{FF2B5EF4-FFF2-40B4-BE49-F238E27FC236}">
                  <a16:creationId xmlns:a16="http://schemas.microsoft.com/office/drawing/2014/main" id="{00000000-0008-0000-3000-000072000000}"/>
                </a:ext>
              </a:extLst>
            </xdr:cNvPr>
            <xdr:cNvSpPr/>
          </xdr:nvSpPr>
          <xdr:spPr>
            <a:xfrm>
              <a:off x="1323975" y="2222724"/>
              <a:ext cx="1876426" cy="381000"/>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115" name="Rectángulo 114">
              <a:extLst>
                <a:ext uri="{FF2B5EF4-FFF2-40B4-BE49-F238E27FC236}">
                  <a16:creationId xmlns:a16="http://schemas.microsoft.com/office/drawing/2014/main" id="{00000000-0008-0000-3000-000073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110" name="Rectángulo: esquinas superiores redondeadas 109">
            <a:hlinkClick xmlns:r="http://schemas.openxmlformats.org/officeDocument/2006/relationships" r:id="rId19"/>
            <a:extLst>
              <a:ext uri="{FF2B5EF4-FFF2-40B4-BE49-F238E27FC236}">
                <a16:creationId xmlns:a16="http://schemas.microsoft.com/office/drawing/2014/main" id="{00000000-0008-0000-3000-00006E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11</xdr:col>
      <xdr:colOff>333375</xdr:colOff>
      <xdr:row>0</xdr:row>
      <xdr:rowOff>76200</xdr:rowOff>
    </xdr:from>
    <xdr:to>
      <xdr:col>14</xdr:col>
      <xdr:colOff>276225</xdr:colOff>
      <xdr:row>2</xdr:row>
      <xdr:rowOff>76200</xdr:rowOff>
    </xdr:to>
    <xdr:grpSp>
      <xdr:nvGrpSpPr>
        <xdr:cNvPr id="56" name="Grupo 55">
          <a:hlinkClick xmlns:r="http://schemas.openxmlformats.org/officeDocument/2006/relationships" r:id="rId20"/>
          <a:extLst>
            <a:ext uri="{FF2B5EF4-FFF2-40B4-BE49-F238E27FC236}">
              <a16:creationId xmlns:a16="http://schemas.microsoft.com/office/drawing/2014/main" id="{00000000-0008-0000-3000-000038000000}"/>
            </a:ext>
          </a:extLst>
        </xdr:cNvPr>
        <xdr:cNvGrpSpPr/>
      </xdr:nvGrpSpPr>
      <xdr:grpSpPr>
        <a:xfrm>
          <a:off x="14013656" y="76200"/>
          <a:ext cx="3062288" cy="381000"/>
          <a:chOff x="12572999" y="47625"/>
          <a:chExt cx="2628900" cy="381000"/>
        </a:xfrm>
      </xdr:grpSpPr>
      <xdr:sp macro="" textlink="">
        <xdr:nvSpPr>
          <xdr:cNvPr id="57" name="Rectángulo: esquinas redondeadas 56">
            <a:extLst>
              <a:ext uri="{FF2B5EF4-FFF2-40B4-BE49-F238E27FC236}">
                <a16:creationId xmlns:a16="http://schemas.microsoft.com/office/drawing/2014/main" id="{00000000-0008-0000-3000-00003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3000-00003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59" name="Gráfico 58" descr="Gráfico de barras con relleno sólido">
            <a:extLst>
              <a:ext uri="{FF2B5EF4-FFF2-40B4-BE49-F238E27FC236}">
                <a16:creationId xmlns:a16="http://schemas.microsoft.com/office/drawing/2014/main" id="{00000000-0008-0000-3000-00003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47625</xdr:colOff>
          <xdr:row>6</xdr:row>
          <xdr:rowOff>47625</xdr:rowOff>
        </xdr:from>
        <xdr:to>
          <xdr:col>13</xdr:col>
          <xdr:colOff>238125</xdr:colOff>
          <xdr:row>7</xdr:row>
          <xdr:rowOff>152400</xdr:rowOff>
        </xdr:to>
        <xdr:sp macro="" textlink="">
          <xdr:nvSpPr>
            <xdr:cNvPr id="41985" name="Spinner 1" hidden="1">
              <a:extLst>
                <a:ext uri="{63B3BB69-23CF-44E3-9099-C40C66FF867C}">
                  <a14:compatExt spid="_x0000_s41985"/>
                </a:ext>
                <a:ext uri="{FF2B5EF4-FFF2-40B4-BE49-F238E27FC236}">
                  <a16:creationId xmlns:a16="http://schemas.microsoft.com/office/drawing/2014/main" id="{00000000-0008-0000-3000-000001A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47625</xdr:colOff>
          <xdr:row>8</xdr:row>
          <xdr:rowOff>38100</xdr:rowOff>
        </xdr:from>
        <xdr:to>
          <xdr:col>13</xdr:col>
          <xdr:colOff>238125</xdr:colOff>
          <xdr:row>9</xdr:row>
          <xdr:rowOff>142875</xdr:rowOff>
        </xdr:to>
        <xdr:sp macro="" textlink="">
          <xdr:nvSpPr>
            <xdr:cNvPr id="41986" name="Spinner 2" hidden="1">
              <a:extLst>
                <a:ext uri="{63B3BB69-23CF-44E3-9099-C40C66FF867C}">
                  <a14:compatExt spid="_x0000_s41986"/>
                </a:ext>
                <a:ext uri="{FF2B5EF4-FFF2-40B4-BE49-F238E27FC236}">
                  <a16:creationId xmlns:a16="http://schemas.microsoft.com/office/drawing/2014/main" id="{00000000-0008-0000-3000-000002A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2" name="Grupo 51">
          <a:hlinkClick xmlns:r="http://schemas.openxmlformats.org/officeDocument/2006/relationships" r:id="rId23"/>
          <a:extLst>
            <a:ext uri="{FF2B5EF4-FFF2-40B4-BE49-F238E27FC236}">
              <a16:creationId xmlns:a16="http://schemas.microsoft.com/office/drawing/2014/main" id="{00000000-0008-0000-3000-000034000000}"/>
            </a:ext>
          </a:extLst>
        </xdr:cNvPr>
        <xdr:cNvGrpSpPr/>
      </xdr:nvGrpSpPr>
      <xdr:grpSpPr>
        <a:xfrm>
          <a:off x="0" y="6477000"/>
          <a:ext cx="1240383" cy="416889"/>
          <a:chOff x="28575" y="6381750"/>
          <a:chExt cx="1240383" cy="416889"/>
        </a:xfrm>
      </xdr:grpSpPr>
      <xdr:pic>
        <xdr:nvPicPr>
          <xdr:cNvPr id="53" name="Gráfico 52" descr="Engranaje único con relleno sólido">
            <a:extLst>
              <a:ext uri="{FF2B5EF4-FFF2-40B4-BE49-F238E27FC236}">
                <a16:creationId xmlns:a16="http://schemas.microsoft.com/office/drawing/2014/main" id="{00000000-0008-0000-3000-000035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4" name="CuadroTexto 53">
            <a:extLst>
              <a:ext uri="{FF2B5EF4-FFF2-40B4-BE49-F238E27FC236}">
                <a16:creationId xmlns:a16="http://schemas.microsoft.com/office/drawing/2014/main" id="{00000000-0008-0000-3000-00003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3100-000026000000}"/>
            </a:ext>
          </a:extLst>
        </xdr:cNvPr>
        <xdr:cNvGrpSpPr/>
      </xdr:nvGrpSpPr>
      <xdr:grpSpPr>
        <a:xfrm>
          <a:off x="1381125" y="0"/>
          <a:ext cx="0" cy="328014"/>
          <a:chOff x="91104" y="65606"/>
          <a:chExt cx="1192701" cy="328014"/>
        </a:xfrm>
      </xdr:grpSpPr>
      <xdr:sp macro="" textlink="">
        <xdr:nvSpPr>
          <xdr:cNvPr id="39" name="Rectángulo 38">
            <a:extLst>
              <a:ext uri="{FF2B5EF4-FFF2-40B4-BE49-F238E27FC236}">
                <a16:creationId xmlns:a16="http://schemas.microsoft.com/office/drawing/2014/main" id="{00000000-0008-0000-31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31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41" name="Grupo 40">
          <a:hlinkClick xmlns:r="http://schemas.openxmlformats.org/officeDocument/2006/relationships" r:id="rId1"/>
          <a:extLst>
            <a:ext uri="{FF2B5EF4-FFF2-40B4-BE49-F238E27FC236}">
              <a16:creationId xmlns:a16="http://schemas.microsoft.com/office/drawing/2014/main" id="{00000000-0008-0000-3100-000029000000}"/>
            </a:ext>
          </a:extLst>
        </xdr:cNvPr>
        <xdr:cNvGrpSpPr/>
      </xdr:nvGrpSpPr>
      <xdr:grpSpPr>
        <a:xfrm>
          <a:off x="1381125" y="0"/>
          <a:ext cx="0" cy="328014"/>
          <a:chOff x="91104" y="65606"/>
          <a:chExt cx="1192701" cy="328014"/>
        </a:xfrm>
      </xdr:grpSpPr>
      <xdr:sp macro="" textlink="">
        <xdr:nvSpPr>
          <xdr:cNvPr id="42" name="Rectángulo 41">
            <a:extLst>
              <a:ext uri="{FF2B5EF4-FFF2-40B4-BE49-F238E27FC236}">
                <a16:creationId xmlns:a16="http://schemas.microsoft.com/office/drawing/2014/main" id="{00000000-0008-0000-3100-00002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3" name="Gráfico 42" descr="Hogar con relleno sólido">
            <a:extLst>
              <a:ext uri="{FF2B5EF4-FFF2-40B4-BE49-F238E27FC236}">
                <a16:creationId xmlns:a16="http://schemas.microsoft.com/office/drawing/2014/main" id="{00000000-0008-0000-3100-00002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1"/>
          <a:extLst>
            <a:ext uri="{FF2B5EF4-FFF2-40B4-BE49-F238E27FC236}">
              <a16:creationId xmlns:a16="http://schemas.microsoft.com/office/drawing/2014/main" id="{00000000-0008-0000-3100-000022000000}"/>
            </a:ext>
          </a:extLst>
        </xdr:cNvPr>
        <xdr:cNvGrpSpPr/>
      </xdr:nvGrpSpPr>
      <xdr:grpSpPr>
        <a:xfrm>
          <a:off x="0" y="0"/>
          <a:ext cx="1381125" cy="328014"/>
          <a:chOff x="91104" y="65606"/>
          <a:chExt cx="1192701" cy="328014"/>
        </a:xfrm>
      </xdr:grpSpPr>
      <xdr:sp macro="" textlink="">
        <xdr:nvSpPr>
          <xdr:cNvPr id="35" name="Rectángulo 34">
            <a:extLst>
              <a:ext uri="{FF2B5EF4-FFF2-40B4-BE49-F238E27FC236}">
                <a16:creationId xmlns:a16="http://schemas.microsoft.com/office/drawing/2014/main" id="{00000000-0008-0000-31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100-00002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7" name="Grupo 36">
          <a:hlinkClick xmlns:r="http://schemas.openxmlformats.org/officeDocument/2006/relationships" r:id="rId4"/>
          <a:extLst>
            <a:ext uri="{FF2B5EF4-FFF2-40B4-BE49-F238E27FC236}">
              <a16:creationId xmlns:a16="http://schemas.microsoft.com/office/drawing/2014/main" id="{00000000-0008-0000-3100-000025000000}"/>
            </a:ext>
          </a:extLst>
        </xdr:cNvPr>
        <xdr:cNvGrpSpPr/>
      </xdr:nvGrpSpPr>
      <xdr:grpSpPr>
        <a:xfrm>
          <a:off x="0" y="4710117"/>
          <a:ext cx="1295400" cy="638178"/>
          <a:chOff x="0" y="3671892"/>
          <a:chExt cx="1295400" cy="638178"/>
        </a:xfrm>
      </xdr:grpSpPr>
      <xdr:sp macro="" textlink="">
        <xdr:nvSpPr>
          <xdr:cNvPr id="44" name="Rectángulo: esquinas superiores redondeadas 43">
            <a:extLst>
              <a:ext uri="{FF2B5EF4-FFF2-40B4-BE49-F238E27FC236}">
                <a16:creationId xmlns:a16="http://schemas.microsoft.com/office/drawing/2014/main" id="{00000000-0008-0000-3100-00002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5" name="Gráfico 44" descr="Información con relleno sólido">
            <a:extLst>
              <a:ext uri="{FF2B5EF4-FFF2-40B4-BE49-F238E27FC236}">
                <a16:creationId xmlns:a16="http://schemas.microsoft.com/office/drawing/2014/main" id="{00000000-0008-0000-3100-00002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6" name="Grupo 45">
          <a:hlinkClick xmlns:r="http://schemas.openxmlformats.org/officeDocument/2006/relationships" r:id="rId7"/>
          <a:extLst>
            <a:ext uri="{FF2B5EF4-FFF2-40B4-BE49-F238E27FC236}">
              <a16:creationId xmlns:a16="http://schemas.microsoft.com/office/drawing/2014/main" id="{00000000-0008-0000-3100-00002E000000}"/>
            </a:ext>
          </a:extLst>
        </xdr:cNvPr>
        <xdr:cNvGrpSpPr/>
      </xdr:nvGrpSpPr>
      <xdr:grpSpPr>
        <a:xfrm>
          <a:off x="0" y="3760792"/>
          <a:ext cx="1304926" cy="638178"/>
          <a:chOff x="0" y="2767017"/>
          <a:chExt cx="1304926" cy="638178"/>
        </a:xfrm>
      </xdr:grpSpPr>
      <xdr:sp macro="" textlink="">
        <xdr:nvSpPr>
          <xdr:cNvPr id="47" name="Rectángulo: esquinas superiores redondeadas 46">
            <a:extLst>
              <a:ext uri="{FF2B5EF4-FFF2-40B4-BE49-F238E27FC236}">
                <a16:creationId xmlns:a16="http://schemas.microsoft.com/office/drawing/2014/main" id="{00000000-0008-0000-3100-00002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8" name="Gráfico 47" descr="Gráfico de barras con relleno sólido">
            <a:extLst>
              <a:ext uri="{FF2B5EF4-FFF2-40B4-BE49-F238E27FC236}">
                <a16:creationId xmlns:a16="http://schemas.microsoft.com/office/drawing/2014/main" id="{00000000-0008-0000-3100-00003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9" name="Grupo 48">
          <a:hlinkClick xmlns:r="http://schemas.openxmlformats.org/officeDocument/2006/relationships" r:id="rId10"/>
          <a:extLst>
            <a:ext uri="{FF2B5EF4-FFF2-40B4-BE49-F238E27FC236}">
              <a16:creationId xmlns:a16="http://schemas.microsoft.com/office/drawing/2014/main" id="{00000000-0008-0000-3100-000031000000}"/>
            </a:ext>
          </a:extLst>
        </xdr:cNvPr>
        <xdr:cNvGrpSpPr/>
      </xdr:nvGrpSpPr>
      <xdr:grpSpPr>
        <a:xfrm>
          <a:off x="0" y="2811467"/>
          <a:ext cx="1514474" cy="638178"/>
          <a:chOff x="0" y="1862142"/>
          <a:chExt cx="1514474" cy="638178"/>
        </a:xfrm>
      </xdr:grpSpPr>
      <xdr:sp macro="" textlink="">
        <xdr:nvSpPr>
          <xdr:cNvPr id="50" name="Rectángulo: esquinas superiores redondeadas 49">
            <a:extLst>
              <a:ext uri="{FF2B5EF4-FFF2-40B4-BE49-F238E27FC236}">
                <a16:creationId xmlns:a16="http://schemas.microsoft.com/office/drawing/2014/main" id="{00000000-0008-0000-3100-000032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3100-00003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13"/>
          <a:extLst>
            <a:ext uri="{FF2B5EF4-FFF2-40B4-BE49-F238E27FC236}">
              <a16:creationId xmlns:a16="http://schemas.microsoft.com/office/drawing/2014/main" id="{00000000-0008-0000-31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31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3100-00003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44" name="Grupo 143">
          <a:extLst>
            <a:ext uri="{FF2B5EF4-FFF2-40B4-BE49-F238E27FC236}">
              <a16:creationId xmlns:a16="http://schemas.microsoft.com/office/drawing/2014/main" id="{00000000-0008-0000-3100-000090000000}"/>
            </a:ext>
          </a:extLst>
        </xdr:cNvPr>
        <xdr:cNvGrpSpPr/>
      </xdr:nvGrpSpPr>
      <xdr:grpSpPr>
        <a:xfrm>
          <a:off x="1323975" y="200024"/>
          <a:ext cx="2038353" cy="2857501"/>
          <a:chOff x="4733925" y="190499"/>
          <a:chExt cx="2038353" cy="2857501"/>
        </a:xfrm>
      </xdr:grpSpPr>
      <xdr:grpSp>
        <xdr:nvGrpSpPr>
          <xdr:cNvPr id="145" name="Grupo 144">
            <a:hlinkClick xmlns:r="http://schemas.openxmlformats.org/officeDocument/2006/relationships" r:id="rId16"/>
            <a:extLst>
              <a:ext uri="{FF2B5EF4-FFF2-40B4-BE49-F238E27FC236}">
                <a16:creationId xmlns:a16="http://schemas.microsoft.com/office/drawing/2014/main" id="{00000000-0008-0000-3100-000091000000}"/>
              </a:ext>
            </a:extLst>
          </xdr:cNvPr>
          <xdr:cNvGrpSpPr/>
        </xdr:nvGrpSpPr>
        <xdr:grpSpPr>
          <a:xfrm>
            <a:off x="4733925" y="190499"/>
            <a:ext cx="2038353" cy="2857501"/>
            <a:chOff x="1219735" y="33960"/>
            <a:chExt cx="2009778" cy="3050765"/>
          </a:xfrm>
        </xdr:grpSpPr>
        <xdr:sp macro="" textlink="">
          <xdr:nvSpPr>
            <xdr:cNvPr id="147" name="Rectángulo: esquinas superiores redondeadas 146">
              <a:hlinkClick xmlns:r="http://schemas.openxmlformats.org/officeDocument/2006/relationships" r:id="rId17"/>
              <a:extLst>
                <a:ext uri="{FF2B5EF4-FFF2-40B4-BE49-F238E27FC236}">
                  <a16:creationId xmlns:a16="http://schemas.microsoft.com/office/drawing/2014/main" id="{00000000-0008-0000-3100-000093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48" name="Rectángulo 147">
              <a:hlinkClick xmlns:r="http://schemas.openxmlformats.org/officeDocument/2006/relationships" r:id="rId17"/>
              <a:extLst>
                <a:ext uri="{FF2B5EF4-FFF2-40B4-BE49-F238E27FC236}">
                  <a16:creationId xmlns:a16="http://schemas.microsoft.com/office/drawing/2014/main" id="{00000000-0008-0000-3100-000094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49" name="Rectángulo 148">
              <a:hlinkClick xmlns:r="http://schemas.openxmlformats.org/officeDocument/2006/relationships" r:id="rId18"/>
              <a:extLst>
                <a:ext uri="{FF2B5EF4-FFF2-40B4-BE49-F238E27FC236}">
                  <a16:creationId xmlns:a16="http://schemas.microsoft.com/office/drawing/2014/main" id="{00000000-0008-0000-3100-000095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150" name="Rectángulo 149">
              <a:hlinkClick xmlns:r="http://schemas.openxmlformats.org/officeDocument/2006/relationships" r:id="rId19"/>
              <a:extLst>
                <a:ext uri="{FF2B5EF4-FFF2-40B4-BE49-F238E27FC236}">
                  <a16:creationId xmlns:a16="http://schemas.microsoft.com/office/drawing/2014/main" id="{00000000-0008-0000-3100-000096000000}"/>
                </a:ext>
              </a:extLst>
            </xdr:cNvPr>
            <xdr:cNvSpPr/>
          </xdr:nvSpPr>
          <xdr:spPr>
            <a:xfrm>
              <a:off x="1323975" y="2222724"/>
              <a:ext cx="1876426" cy="38100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Aviación</a:t>
              </a:r>
            </a:p>
          </xdr:txBody>
        </xdr:sp>
        <xdr:sp macro="" textlink="">
          <xdr:nvSpPr>
            <xdr:cNvPr id="151" name="Rectángulo 150">
              <a:extLst>
                <a:ext uri="{FF2B5EF4-FFF2-40B4-BE49-F238E27FC236}">
                  <a16:creationId xmlns:a16="http://schemas.microsoft.com/office/drawing/2014/main" id="{00000000-0008-0000-3100-000097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146" name="Rectángulo: esquinas superiores redondeadas 145">
            <a:hlinkClick xmlns:r="http://schemas.openxmlformats.org/officeDocument/2006/relationships" r:id="rId19"/>
            <a:extLst>
              <a:ext uri="{FF2B5EF4-FFF2-40B4-BE49-F238E27FC236}">
                <a16:creationId xmlns:a16="http://schemas.microsoft.com/office/drawing/2014/main" id="{00000000-0008-0000-3100-000092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10</xdr:col>
      <xdr:colOff>885825</xdr:colOff>
      <xdr:row>0</xdr:row>
      <xdr:rowOff>95250</xdr:rowOff>
    </xdr:from>
    <xdr:to>
      <xdr:col>14</xdr:col>
      <xdr:colOff>276225</xdr:colOff>
      <xdr:row>2</xdr:row>
      <xdr:rowOff>95250</xdr:rowOff>
    </xdr:to>
    <xdr:grpSp>
      <xdr:nvGrpSpPr>
        <xdr:cNvPr id="63" name="Grupo 62">
          <a:hlinkClick xmlns:r="http://schemas.openxmlformats.org/officeDocument/2006/relationships" r:id="rId20"/>
          <a:extLst>
            <a:ext uri="{FF2B5EF4-FFF2-40B4-BE49-F238E27FC236}">
              <a16:creationId xmlns:a16="http://schemas.microsoft.com/office/drawing/2014/main" id="{00000000-0008-0000-3100-00003F000000}"/>
            </a:ext>
          </a:extLst>
        </xdr:cNvPr>
        <xdr:cNvGrpSpPr/>
      </xdr:nvGrpSpPr>
      <xdr:grpSpPr>
        <a:xfrm>
          <a:off x="10970419" y="95250"/>
          <a:ext cx="2628900" cy="381000"/>
          <a:chOff x="12572999" y="47625"/>
          <a:chExt cx="2628900" cy="381000"/>
        </a:xfrm>
      </xdr:grpSpPr>
      <xdr:sp macro="" textlink="">
        <xdr:nvSpPr>
          <xdr:cNvPr id="64" name="Rectángulo: esquinas redondeadas 63">
            <a:extLst>
              <a:ext uri="{FF2B5EF4-FFF2-40B4-BE49-F238E27FC236}">
                <a16:creationId xmlns:a16="http://schemas.microsoft.com/office/drawing/2014/main" id="{00000000-0008-0000-3100-000040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5" name="CuadroTexto 64">
            <a:extLst>
              <a:ext uri="{FF2B5EF4-FFF2-40B4-BE49-F238E27FC236}">
                <a16:creationId xmlns:a16="http://schemas.microsoft.com/office/drawing/2014/main" id="{00000000-0008-0000-3100-000041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66" name="Gráfico 65" descr="Gráfico de barras con relleno sólido">
            <a:extLst>
              <a:ext uri="{FF2B5EF4-FFF2-40B4-BE49-F238E27FC236}">
                <a16:creationId xmlns:a16="http://schemas.microsoft.com/office/drawing/2014/main" id="{00000000-0008-0000-3100-00004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9525</xdr:colOff>
          <xdr:row>6</xdr:row>
          <xdr:rowOff>38100</xdr:rowOff>
        </xdr:from>
        <xdr:to>
          <xdr:col>13</xdr:col>
          <xdr:colOff>200025</xdr:colOff>
          <xdr:row>7</xdr:row>
          <xdr:rowOff>142875</xdr:rowOff>
        </xdr:to>
        <xdr:sp macro="" textlink="">
          <xdr:nvSpPr>
            <xdr:cNvPr id="43009" name="Spinner 1" hidden="1">
              <a:extLst>
                <a:ext uri="{63B3BB69-23CF-44E3-9099-C40C66FF867C}">
                  <a14:compatExt spid="_x0000_s43009"/>
                </a:ext>
                <a:ext uri="{FF2B5EF4-FFF2-40B4-BE49-F238E27FC236}">
                  <a16:creationId xmlns:a16="http://schemas.microsoft.com/office/drawing/2014/main" id="{00000000-0008-0000-3100-000001A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6" name="Grupo 55">
          <a:hlinkClick xmlns:r="http://schemas.openxmlformats.org/officeDocument/2006/relationships" r:id="rId23"/>
          <a:extLst>
            <a:ext uri="{FF2B5EF4-FFF2-40B4-BE49-F238E27FC236}">
              <a16:creationId xmlns:a16="http://schemas.microsoft.com/office/drawing/2014/main" id="{00000000-0008-0000-3100-000038000000}"/>
            </a:ext>
          </a:extLst>
        </xdr:cNvPr>
        <xdr:cNvGrpSpPr/>
      </xdr:nvGrpSpPr>
      <xdr:grpSpPr>
        <a:xfrm>
          <a:off x="0" y="6477000"/>
          <a:ext cx="1240383" cy="416889"/>
          <a:chOff x="28575" y="6381750"/>
          <a:chExt cx="1240383" cy="416889"/>
        </a:xfrm>
      </xdr:grpSpPr>
      <xdr:pic>
        <xdr:nvPicPr>
          <xdr:cNvPr id="57" name="Gráfico 56" descr="Engranaje único con relleno sólido">
            <a:extLst>
              <a:ext uri="{FF2B5EF4-FFF2-40B4-BE49-F238E27FC236}">
                <a16:creationId xmlns:a16="http://schemas.microsoft.com/office/drawing/2014/main" id="{00000000-0008-0000-3100-00003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8" name="CuadroTexto 57">
            <a:extLst>
              <a:ext uri="{FF2B5EF4-FFF2-40B4-BE49-F238E27FC236}">
                <a16:creationId xmlns:a16="http://schemas.microsoft.com/office/drawing/2014/main" id="{00000000-0008-0000-3100-00003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2</xdr:col>
      <xdr:colOff>0</xdr:colOff>
      <xdr:row>10</xdr:row>
      <xdr:rowOff>152691</xdr:rowOff>
    </xdr:from>
    <xdr:to>
      <xdr:col>2</xdr:col>
      <xdr:colOff>0</xdr:colOff>
      <xdr:row>13</xdr:row>
      <xdr:rowOff>150472</xdr:rowOff>
    </xdr:to>
    <xdr:grpSp>
      <xdr:nvGrpSpPr>
        <xdr:cNvPr id="21" name="Grupo 20">
          <a:hlinkClick xmlns:r="http://schemas.openxmlformats.org/officeDocument/2006/relationships" r:id="rId1"/>
          <a:extLst>
            <a:ext uri="{FF2B5EF4-FFF2-40B4-BE49-F238E27FC236}">
              <a16:creationId xmlns:a16="http://schemas.microsoft.com/office/drawing/2014/main" id="{00000000-0008-0000-3200-000015000000}"/>
            </a:ext>
          </a:extLst>
        </xdr:cNvPr>
        <xdr:cNvGrpSpPr/>
      </xdr:nvGrpSpPr>
      <xdr:grpSpPr>
        <a:xfrm>
          <a:off x="3429000" y="2057691"/>
          <a:ext cx="0" cy="569281"/>
          <a:chOff x="-1" y="2105316"/>
          <a:chExt cx="1285875" cy="616906"/>
        </a:xfrm>
      </xdr:grpSpPr>
      <xdr:sp macro="" textlink="">
        <xdr:nvSpPr>
          <xdr:cNvPr id="4" name="Rectángulo: esquinas superiores redondeadas 3">
            <a:extLst>
              <a:ext uri="{FF2B5EF4-FFF2-40B4-BE49-F238E27FC236}">
                <a16:creationId xmlns:a16="http://schemas.microsoft.com/office/drawing/2014/main" id="{00000000-0008-0000-3200-000004000000}"/>
              </a:ext>
            </a:extLst>
          </xdr:cNvPr>
          <xdr:cNvSpPr/>
        </xdr:nvSpPr>
        <xdr:spPr>
          <a:xfrm rot="5400000">
            <a:off x="334484" y="1770831"/>
            <a:ext cx="616906"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3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144484"/>
            <a:ext cx="504825" cy="518985"/>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4"/>
          <a:extLst>
            <a:ext uri="{FF2B5EF4-FFF2-40B4-BE49-F238E27FC236}">
              <a16:creationId xmlns:a16="http://schemas.microsoft.com/office/drawing/2014/main" id="{00000000-0008-0000-32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32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32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4"/>
          <a:extLst>
            <a:ext uri="{FF2B5EF4-FFF2-40B4-BE49-F238E27FC236}">
              <a16:creationId xmlns:a16="http://schemas.microsoft.com/office/drawing/2014/main" id="{00000000-0008-0000-3200-000022000000}"/>
            </a:ext>
          </a:extLst>
        </xdr:cNvPr>
        <xdr:cNvGrpSpPr/>
      </xdr:nvGrpSpPr>
      <xdr:grpSpPr>
        <a:xfrm>
          <a:off x="1381125" y="0"/>
          <a:ext cx="0" cy="328014"/>
          <a:chOff x="91104" y="65606"/>
          <a:chExt cx="1192701" cy="328014"/>
        </a:xfrm>
      </xdr:grpSpPr>
      <xdr:sp macro="" textlink="">
        <xdr:nvSpPr>
          <xdr:cNvPr id="35" name="Rectángulo 34">
            <a:extLst>
              <a:ext uri="{FF2B5EF4-FFF2-40B4-BE49-F238E27FC236}">
                <a16:creationId xmlns:a16="http://schemas.microsoft.com/office/drawing/2014/main" id="{00000000-0008-0000-32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200-00002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7" name="Grupo 36">
          <a:hlinkClick xmlns:r="http://schemas.openxmlformats.org/officeDocument/2006/relationships" r:id="rId4"/>
          <a:extLst>
            <a:ext uri="{FF2B5EF4-FFF2-40B4-BE49-F238E27FC236}">
              <a16:creationId xmlns:a16="http://schemas.microsoft.com/office/drawing/2014/main" id="{00000000-0008-0000-3200-000025000000}"/>
            </a:ext>
          </a:extLst>
        </xdr:cNvPr>
        <xdr:cNvGrpSpPr/>
      </xdr:nvGrpSpPr>
      <xdr:grpSpPr>
        <a:xfrm>
          <a:off x="0" y="0"/>
          <a:ext cx="1381125" cy="328014"/>
          <a:chOff x="91104" y="65606"/>
          <a:chExt cx="1192701" cy="328014"/>
        </a:xfrm>
      </xdr:grpSpPr>
      <xdr:sp macro="" textlink="">
        <xdr:nvSpPr>
          <xdr:cNvPr id="38" name="Rectángulo 37">
            <a:extLst>
              <a:ext uri="{FF2B5EF4-FFF2-40B4-BE49-F238E27FC236}">
                <a16:creationId xmlns:a16="http://schemas.microsoft.com/office/drawing/2014/main" id="{00000000-0008-0000-3200-00002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9" name="Gráfico 38" descr="Hogar con relleno sólido">
            <a:extLst>
              <a:ext uri="{FF2B5EF4-FFF2-40B4-BE49-F238E27FC236}">
                <a16:creationId xmlns:a16="http://schemas.microsoft.com/office/drawing/2014/main" id="{00000000-0008-0000-3200-00002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0" name="Grupo 39">
          <a:hlinkClick xmlns:r="http://schemas.openxmlformats.org/officeDocument/2006/relationships" r:id="rId7"/>
          <a:extLst>
            <a:ext uri="{FF2B5EF4-FFF2-40B4-BE49-F238E27FC236}">
              <a16:creationId xmlns:a16="http://schemas.microsoft.com/office/drawing/2014/main" id="{00000000-0008-0000-3200-000028000000}"/>
            </a:ext>
          </a:extLst>
        </xdr:cNvPr>
        <xdr:cNvGrpSpPr/>
      </xdr:nvGrpSpPr>
      <xdr:grpSpPr>
        <a:xfrm>
          <a:off x="0" y="4710117"/>
          <a:ext cx="1295400" cy="638178"/>
          <a:chOff x="0" y="3671892"/>
          <a:chExt cx="1295400" cy="638178"/>
        </a:xfrm>
      </xdr:grpSpPr>
      <xdr:sp macro="" textlink="">
        <xdr:nvSpPr>
          <xdr:cNvPr id="41" name="Rectángulo: esquinas superiores redondeadas 40">
            <a:extLst>
              <a:ext uri="{FF2B5EF4-FFF2-40B4-BE49-F238E27FC236}">
                <a16:creationId xmlns:a16="http://schemas.microsoft.com/office/drawing/2014/main" id="{00000000-0008-0000-3200-00002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2" name="Gráfico 41" descr="Información con relleno sólido">
            <a:extLst>
              <a:ext uri="{FF2B5EF4-FFF2-40B4-BE49-F238E27FC236}">
                <a16:creationId xmlns:a16="http://schemas.microsoft.com/office/drawing/2014/main" id="{00000000-0008-0000-3200-00002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3" name="Grupo 42">
          <a:hlinkClick xmlns:r="http://schemas.openxmlformats.org/officeDocument/2006/relationships" r:id="rId10"/>
          <a:extLst>
            <a:ext uri="{FF2B5EF4-FFF2-40B4-BE49-F238E27FC236}">
              <a16:creationId xmlns:a16="http://schemas.microsoft.com/office/drawing/2014/main" id="{00000000-0008-0000-3200-00002B000000}"/>
            </a:ext>
          </a:extLst>
        </xdr:cNvPr>
        <xdr:cNvGrpSpPr/>
      </xdr:nvGrpSpPr>
      <xdr:grpSpPr>
        <a:xfrm>
          <a:off x="0" y="3760792"/>
          <a:ext cx="1304926" cy="638178"/>
          <a:chOff x="0" y="2767017"/>
          <a:chExt cx="1304926" cy="638178"/>
        </a:xfrm>
      </xdr:grpSpPr>
      <xdr:sp macro="" textlink="">
        <xdr:nvSpPr>
          <xdr:cNvPr id="44" name="Rectángulo: esquinas superiores redondeadas 43">
            <a:extLst>
              <a:ext uri="{FF2B5EF4-FFF2-40B4-BE49-F238E27FC236}">
                <a16:creationId xmlns:a16="http://schemas.microsoft.com/office/drawing/2014/main" id="{00000000-0008-0000-3200-00002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5" name="Gráfico 44" descr="Gráfico de barras con relleno sólido">
            <a:extLst>
              <a:ext uri="{FF2B5EF4-FFF2-40B4-BE49-F238E27FC236}">
                <a16:creationId xmlns:a16="http://schemas.microsoft.com/office/drawing/2014/main" id="{00000000-0008-0000-3200-00002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6" name="Grupo 45">
          <a:hlinkClick xmlns:r="http://schemas.openxmlformats.org/officeDocument/2006/relationships" r:id="rId13"/>
          <a:extLst>
            <a:ext uri="{FF2B5EF4-FFF2-40B4-BE49-F238E27FC236}">
              <a16:creationId xmlns:a16="http://schemas.microsoft.com/office/drawing/2014/main" id="{00000000-0008-0000-3200-00002E000000}"/>
            </a:ext>
          </a:extLst>
        </xdr:cNvPr>
        <xdr:cNvGrpSpPr/>
      </xdr:nvGrpSpPr>
      <xdr:grpSpPr>
        <a:xfrm>
          <a:off x="0" y="2811467"/>
          <a:ext cx="1514474" cy="638178"/>
          <a:chOff x="0" y="1862142"/>
          <a:chExt cx="1514474" cy="638178"/>
        </a:xfrm>
      </xdr:grpSpPr>
      <xdr:sp macro="" textlink="">
        <xdr:nvSpPr>
          <xdr:cNvPr id="47" name="Rectángulo: esquinas superiores redondeadas 46">
            <a:extLst>
              <a:ext uri="{FF2B5EF4-FFF2-40B4-BE49-F238E27FC236}">
                <a16:creationId xmlns:a16="http://schemas.microsoft.com/office/drawing/2014/main" id="{00000000-0008-0000-3200-00002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8" name="Gráfico 47" descr="Alternar con relleno sólido">
            <a:extLst>
              <a:ext uri="{FF2B5EF4-FFF2-40B4-BE49-F238E27FC236}">
                <a16:creationId xmlns:a16="http://schemas.microsoft.com/office/drawing/2014/main" id="{00000000-0008-0000-32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9" name="Grupo 48">
          <a:hlinkClick xmlns:r="http://schemas.openxmlformats.org/officeDocument/2006/relationships" r:id="rId1"/>
          <a:extLst>
            <a:ext uri="{FF2B5EF4-FFF2-40B4-BE49-F238E27FC236}">
              <a16:creationId xmlns:a16="http://schemas.microsoft.com/office/drawing/2014/main" id="{00000000-0008-0000-3200-000031000000}"/>
            </a:ext>
          </a:extLst>
        </xdr:cNvPr>
        <xdr:cNvGrpSpPr/>
      </xdr:nvGrpSpPr>
      <xdr:grpSpPr>
        <a:xfrm>
          <a:off x="0" y="1862142"/>
          <a:ext cx="1295400" cy="638178"/>
          <a:chOff x="0" y="1862142"/>
          <a:chExt cx="1295400" cy="638178"/>
        </a:xfrm>
      </xdr:grpSpPr>
      <xdr:sp macro="" textlink="">
        <xdr:nvSpPr>
          <xdr:cNvPr id="50" name="Rectángulo: esquinas superiores redondeadas 49">
            <a:extLst>
              <a:ext uri="{FF2B5EF4-FFF2-40B4-BE49-F238E27FC236}">
                <a16:creationId xmlns:a16="http://schemas.microsoft.com/office/drawing/2014/main" id="{00000000-0008-0000-32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1" name="Gráfico 50" descr="Lista con relleno sólido">
            <a:extLst>
              <a:ext uri="{FF2B5EF4-FFF2-40B4-BE49-F238E27FC236}">
                <a16:creationId xmlns:a16="http://schemas.microsoft.com/office/drawing/2014/main" id="{00000000-0008-0000-32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66" name="Grupo 165">
          <a:extLst>
            <a:ext uri="{FF2B5EF4-FFF2-40B4-BE49-F238E27FC236}">
              <a16:creationId xmlns:a16="http://schemas.microsoft.com/office/drawing/2014/main" id="{00000000-0008-0000-3200-0000A6000000}"/>
            </a:ext>
          </a:extLst>
        </xdr:cNvPr>
        <xdr:cNvGrpSpPr/>
      </xdr:nvGrpSpPr>
      <xdr:grpSpPr>
        <a:xfrm>
          <a:off x="1323975" y="200024"/>
          <a:ext cx="2038353" cy="2857501"/>
          <a:chOff x="4733925" y="190499"/>
          <a:chExt cx="2038353" cy="2857501"/>
        </a:xfrm>
      </xdr:grpSpPr>
      <xdr:grpSp>
        <xdr:nvGrpSpPr>
          <xdr:cNvPr id="167" name="Grupo 166">
            <a:hlinkClick xmlns:r="http://schemas.openxmlformats.org/officeDocument/2006/relationships" r:id="rId16"/>
            <a:extLst>
              <a:ext uri="{FF2B5EF4-FFF2-40B4-BE49-F238E27FC236}">
                <a16:creationId xmlns:a16="http://schemas.microsoft.com/office/drawing/2014/main" id="{00000000-0008-0000-3200-0000A7000000}"/>
              </a:ext>
            </a:extLst>
          </xdr:cNvPr>
          <xdr:cNvGrpSpPr/>
        </xdr:nvGrpSpPr>
        <xdr:grpSpPr>
          <a:xfrm>
            <a:off x="4733925" y="190499"/>
            <a:ext cx="2038353" cy="2857501"/>
            <a:chOff x="1219735" y="33960"/>
            <a:chExt cx="2009778" cy="3050765"/>
          </a:xfrm>
        </xdr:grpSpPr>
        <xdr:sp macro="" textlink="">
          <xdr:nvSpPr>
            <xdr:cNvPr id="169" name="Rectángulo: esquinas superiores redondeadas 168">
              <a:hlinkClick xmlns:r="http://schemas.openxmlformats.org/officeDocument/2006/relationships" r:id="rId17"/>
              <a:extLst>
                <a:ext uri="{FF2B5EF4-FFF2-40B4-BE49-F238E27FC236}">
                  <a16:creationId xmlns:a16="http://schemas.microsoft.com/office/drawing/2014/main" id="{00000000-0008-0000-3200-0000A9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70" name="Rectángulo 169">
              <a:hlinkClick xmlns:r="http://schemas.openxmlformats.org/officeDocument/2006/relationships" r:id="rId17"/>
              <a:extLst>
                <a:ext uri="{FF2B5EF4-FFF2-40B4-BE49-F238E27FC236}">
                  <a16:creationId xmlns:a16="http://schemas.microsoft.com/office/drawing/2014/main" id="{00000000-0008-0000-3200-0000AA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71" name="Rectángulo 170">
              <a:hlinkClick xmlns:r="http://schemas.openxmlformats.org/officeDocument/2006/relationships" r:id="rId18"/>
              <a:extLst>
                <a:ext uri="{FF2B5EF4-FFF2-40B4-BE49-F238E27FC236}">
                  <a16:creationId xmlns:a16="http://schemas.microsoft.com/office/drawing/2014/main" id="{00000000-0008-0000-3200-0000AB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172" name="Rectángulo 171">
              <a:hlinkClick xmlns:r="http://schemas.openxmlformats.org/officeDocument/2006/relationships" r:id="rId19"/>
              <a:extLst>
                <a:ext uri="{FF2B5EF4-FFF2-40B4-BE49-F238E27FC236}">
                  <a16:creationId xmlns:a16="http://schemas.microsoft.com/office/drawing/2014/main" id="{00000000-0008-0000-3200-0000AC000000}"/>
                </a:ext>
              </a:extLst>
            </xdr:cNvPr>
            <xdr:cNvSpPr/>
          </xdr:nvSpPr>
          <xdr:spPr>
            <a:xfrm>
              <a:off x="1323975" y="2222724"/>
              <a:ext cx="1876426" cy="38100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173" name="Rectángulo 172">
              <a:hlinkClick xmlns:r="http://schemas.openxmlformats.org/officeDocument/2006/relationships" r:id="rId16"/>
              <a:extLst>
                <a:ext uri="{FF2B5EF4-FFF2-40B4-BE49-F238E27FC236}">
                  <a16:creationId xmlns:a16="http://schemas.microsoft.com/office/drawing/2014/main" id="{00000000-0008-0000-3200-0000AD000000}"/>
                </a:ext>
              </a:extLst>
            </xdr:cNvPr>
            <xdr:cNvSpPr/>
          </xdr:nvSpPr>
          <xdr:spPr>
            <a:xfrm>
              <a:off x="1323975" y="2678090"/>
              <a:ext cx="1876426" cy="406635"/>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Navegación</a:t>
              </a:r>
            </a:p>
          </xdr:txBody>
        </xdr:sp>
      </xdr:grpSp>
      <xdr:sp macro="" textlink="">
        <xdr:nvSpPr>
          <xdr:cNvPr id="168" name="Rectángulo: esquinas superiores redondeadas 167">
            <a:hlinkClick xmlns:r="http://schemas.openxmlformats.org/officeDocument/2006/relationships" r:id="rId19"/>
            <a:extLst>
              <a:ext uri="{FF2B5EF4-FFF2-40B4-BE49-F238E27FC236}">
                <a16:creationId xmlns:a16="http://schemas.microsoft.com/office/drawing/2014/main" id="{00000000-0008-0000-3200-0000A8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10</xdr:col>
      <xdr:colOff>942975</xdr:colOff>
      <xdr:row>0</xdr:row>
      <xdr:rowOff>95250</xdr:rowOff>
    </xdr:from>
    <xdr:to>
      <xdr:col>14</xdr:col>
      <xdr:colOff>333375</xdr:colOff>
      <xdr:row>2</xdr:row>
      <xdr:rowOff>95250</xdr:rowOff>
    </xdr:to>
    <xdr:grpSp>
      <xdr:nvGrpSpPr>
        <xdr:cNvPr id="56" name="Grupo 55">
          <a:hlinkClick xmlns:r="http://schemas.openxmlformats.org/officeDocument/2006/relationships" r:id="rId20"/>
          <a:extLst>
            <a:ext uri="{FF2B5EF4-FFF2-40B4-BE49-F238E27FC236}">
              <a16:creationId xmlns:a16="http://schemas.microsoft.com/office/drawing/2014/main" id="{00000000-0008-0000-3200-000038000000}"/>
            </a:ext>
          </a:extLst>
        </xdr:cNvPr>
        <xdr:cNvGrpSpPr/>
      </xdr:nvGrpSpPr>
      <xdr:grpSpPr>
        <a:xfrm>
          <a:off x="12015788" y="95250"/>
          <a:ext cx="2628900" cy="381000"/>
          <a:chOff x="12572999" y="47625"/>
          <a:chExt cx="2628900" cy="381000"/>
        </a:xfrm>
      </xdr:grpSpPr>
      <xdr:sp macro="" textlink="">
        <xdr:nvSpPr>
          <xdr:cNvPr id="57" name="Rectángulo: esquinas redondeadas 56">
            <a:extLst>
              <a:ext uri="{FF2B5EF4-FFF2-40B4-BE49-F238E27FC236}">
                <a16:creationId xmlns:a16="http://schemas.microsoft.com/office/drawing/2014/main" id="{00000000-0008-0000-3200-00003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3200-00003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59" name="Gráfico 58" descr="Gráfico de barras con relleno sólido">
            <a:extLst>
              <a:ext uri="{FF2B5EF4-FFF2-40B4-BE49-F238E27FC236}">
                <a16:creationId xmlns:a16="http://schemas.microsoft.com/office/drawing/2014/main" id="{00000000-0008-0000-3200-00003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28575</xdr:colOff>
          <xdr:row>6</xdr:row>
          <xdr:rowOff>38100</xdr:rowOff>
        </xdr:from>
        <xdr:to>
          <xdr:col>13</xdr:col>
          <xdr:colOff>219075</xdr:colOff>
          <xdr:row>7</xdr:row>
          <xdr:rowOff>142875</xdr:rowOff>
        </xdr:to>
        <xdr:sp macro="" textlink="">
          <xdr:nvSpPr>
            <xdr:cNvPr id="44033" name="Spinner 1" hidden="1">
              <a:extLst>
                <a:ext uri="{63B3BB69-23CF-44E3-9099-C40C66FF867C}">
                  <a14:compatExt spid="_x0000_s44033"/>
                </a:ext>
                <a:ext uri="{FF2B5EF4-FFF2-40B4-BE49-F238E27FC236}">
                  <a16:creationId xmlns:a16="http://schemas.microsoft.com/office/drawing/2014/main" id="{00000000-0008-0000-3200-000001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4" name="Grupo 53">
          <a:hlinkClick xmlns:r="http://schemas.openxmlformats.org/officeDocument/2006/relationships" r:id="rId23"/>
          <a:extLst>
            <a:ext uri="{FF2B5EF4-FFF2-40B4-BE49-F238E27FC236}">
              <a16:creationId xmlns:a16="http://schemas.microsoft.com/office/drawing/2014/main" id="{00000000-0008-0000-3200-000036000000}"/>
            </a:ext>
          </a:extLst>
        </xdr:cNvPr>
        <xdr:cNvGrpSpPr/>
      </xdr:nvGrpSpPr>
      <xdr:grpSpPr>
        <a:xfrm>
          <a:off x="0" y="6477000"/>
          <a:ext cx="1240383" cy="416889"/>
          <a:chOff x="28575" y="6381750"/>
          <a:chExt cx="1240383" cy="416889"/>
        </a:xfrm>
      </xdr:grpSpPr>
      <xdr:pic>
        <xdr:nvPicPr>
          <xdr:cNvPr id="55" name="Gráfico 54" descr="Engranaje único con relleno sólido">
            <a:extLst>
              <a:ext uri="{FF2B5EF4-FFF2-40B4-BE49-F238E27FC236}">
                <a16:creationId xmlns:a16="http://schemas.microsoft.com/office/drawing/2014/main" id="{00000000-0008-0000-3200-000037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60" name="CuadroTexto 59">
            <a:extLst>
              <a:ext uri="{FF2B5EF4-FFF2-40B4-BE49-F238E27FC236}">
                <a16:creationId xmlns:a16="http://schemas.microsoft.com/office/drawing/2014/main" id="{00000000-0008-0000-3200-00003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5" name="Grupo 14">
          <a:hlinkClick xmlns:r="http://schemas.openxmlformats.org/officeDocument/2006/relationships" r:id="rId1"/>
          <a:extLst>
            <a:ext uri="{FF2B5EF4-FFF2-40B4-BE49-F238E27FC236}">
              <a16:creationId xmlns:a16="http://schemas.microsoft.com/office/drawing/2014/main" id="{00000000-0008-0000-3300-00000F000000}"/>
            </a:ext>
          </a:extLst>
        </xdr:cNvPr>
        <xdr:cNvGrpSpPr/>
      </xdr:nvGrpSpPr>
      <xdr:grpSpPr>
        <a:xfrm>
          <a:off x="1381125" y="0"/>
          <a:ext cx="0" cy="328014"/>
          <a:chOff x="91104" y="65606"/>
          <a:chExt cx="1192701" cy="328014"/>
        </a:xfrm>
      </xdr:grpSpPr>
      <xdr:sp macro="" textlink="">
        <xdr:nvSpPr>
          <xdr:cNvPr id="16" name="Rectángulo 15">
            <a:extLst>
              <a:ext uri="{FF2B5EF4-FFF2-40B4-BE49-F238E27FC236}">
                <a16:creationId xmlns:a16="http://schemas.microsoft.com/office/drawing/2014/main" id="{00000000-0008-0000-3300-00001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1" name="Gráfico 20" descr="Hogar con relleno sólido">
            <a:extLst>
              <a:ext uri="{FF2B5EF4-FFF2-40B4-BE49-F238E27FC236}">
                <a16:creationId xmlns:a16="http://schemas.microsoft.com/office/drawing/2014/main" id="{00000000-0008-0000-33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2" name="Grupo 21">
          <a:hlinkClick xmlns:r="http://schemas.openxmlformats.org/officeDocument/2006/relationships" r:id="rId1"/>
          <a:extLst>
            <a:ext uri="{FF2B5EF4-FFF2-40B4-BE49-F238E27FC236}">
              <a16:creationId xmlns:a16="http://schemas.microsoft.com/office/drawing/2014/main" id="{00000000-0008-0000-3300-000016000000}"/>
            </a:ext>
          </a:extLst>
        </xdr:cNvPr>
        <xdr:cNvGrpSpPr/>
      </xdr:nvGrpSpPr>
      <xdr:grpSpPr>
        <a:xfrm>
          <a:off x="1381125" y="0"/>
          <a:ext cx="0" cy="328014"/>
          <a:chOff x="91104" y="65606"/>
          <a:chExt cx="1192701" cy="328014"/>
        </a:xfrm>
      </xdr:grpSpPr>
      <xdr:sp macro="" textlink="">
        <xdr:nvSpPr>
          <xdr:cNvPr id="23" name="Rectángulo 22">
            <a:extLst>
              <a:ext uri="{FF2B5EF4-FFF2-40B4-BE49-F238E27FC236}">
                <a16:creationId xmlns:a16="http://schemas.microsoft.com/office/drawing/2014/main" id="{00000000-0008-0000-3300-00001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33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
          <a:extLst>
            <a:ext uri="{FF2B5EF4-FFF2-40B4-BE49-F238E27FC236}">
              <a16:creationId xmlns:a16="http://schemas.microsoft.com/office/drawing/2014/main" id="{00000000-0008-0000-3300-000019000000}"/>
            </a:ext>
          </a:extLst>
        </xdr:cNvPr>
        <xdr:cNvGrpSpPr/>
      </xdr:nvGrpSpPr>
      <xdr:grpSpPr>
        <a:xfrm>
          <a:off x="0" y="0"/>
          <a:ext cx="1381125" cy="328014"/>
          <a:chOff x="91104" y="65606"/>
          <a:chExt cx="1192701" cy="328014"/>
        </a:xfrm>
      </xdr:grpSpPr>
      <xdr:sp macro="" textlink="">
        <xdr:nvSpPr>
          <xdr:cNvPr id="26" name="Rectángulo 25">
            <a:extLst>
              <a:ext uri="{FF2B5EF4-FFF2-40B4-BE49-F238E27FC236}">
                <a16:creationId xmlns:a16="http://schemas.microsoft.com/office/drawing/2014/main" id="{00000000-0008-0000-33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3300-00001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8" name="Grupo 27">
          <a:hlinkClick xmlns:r="http://schemas.openxmlformats.org/officeDocument/2006/relationships" r:id="rId4"/>
          <a:extLst>
            <a:ext uri="{FF2B5EF4-FFF2-40B4-BE49-F238E27FC236}">
              <a16:creationId xmlns:a16="http://schemas.microsoft.com/office/drawing/2014/main" id="{00000000-0008-0000-3300-00001C000000}"/>
            </a:ext>
          </a:extLst>
        </xdr:cNvPr>
        <xdr:cNvGrpSpPr/>
      </xdr:nvGrpSpPr>
      <xdr:grpSpPr>
        <a:xfrm>
          <a:off x="0" y="4710117"/>
          <a:ext cx="1295400" cy="638178"/>
          <a:chOff x="0" y="3671892"/>
          <a:chExt cx="1295400" cy="638178"/>
        </a:xfrm>
      </xdr:grpSpPr>
      <xdr:sp macro="" textlink="">
        <xdr:nvSpPr>
          <xdr:cNvPr id="29" name="Rectángulo: esquinas superiores redondeadas 28">
            <a:extLst>
              <a:ext uri="{FF2B5EF4-FFF2-40B4-BE49-F238E27FC236}">
                <a16:creationId xmlns:a16="http://schemas.microsoft.com/office/drawing/2014/main" id="{00000000-0008-0000-3300-00001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0" name="Gráfico 29" descr="Información con relleno sólido">
            <a:extLst>
              <a:ext uri="{FF2B5EF4-FFF2-40B4-BE49-F238E27FC236}">
                <a16:creationId xmlns:a16="http://schemas.microsoft.com/office/drawing/2014/main" id="{00000000-0008-0000-3300-00001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1" name="Grupo 30">
          <a:hlinkClick xmlns:r="http://schemas.openxmlformats.org/officeDocument/2006/relationships" r:id="rId7"/>
          <a:extLst>
            <a:ext uri="{FF2B5EF4-FFF2-40B4-BE49-F238E27FC236}">
              <a16:creationId xmlns:a16="http://schemas.microsoft.com/office/drawing/2014/main" id="{00000000-0008-0000-3300-00001F000000}"/>
            </a:ext>
          </a:extLst>
        </xdr:cNvPr>
        <xdr:cNvGrpSpPr/>
      </xdr:nvGrpSpPr>
      <xdr:grpSpPr>
        <a:xfrm>
          <a:off x="0" y="3760792"/>
          <a:ext cx="1304926" cy="638178"/>
          <a:chOff x="0" y="2767017"/>
          <a:chExt cx="1304926" cy="638178"/>
        </a:xfrm>
      </xdr:grpSpPr>
      <xdr:sp macro="" textlink="">
        <xdr:nvSpPr>
          <xdr:cNvPr id="32" name="Rectángulo: esquinas superiores redondeadas 31">
            <a:extLst>
              <a:ext uri="{FF2B5EF4-FFF2-40B4-BE49-F238E27FC236}">
                <a16:creationId xmlns:a16="http://schemas.microsoft.com/office/drawing/2014/main" id="{00000000-0008-0000-3300-00002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3" name="Gráfico 32" descr="Gráfico de barras con relleno sólido">
            <a:extLst>
              <a:ext uri="{FF2B5EF4-FFF2-40B4-BE49-F238E27FC236}">
                <a16:creationId xmlns:a16="http://schemas.microsoft.com/office/drawing/2014/main" id="{00000000-0008-0000-33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34" name="Grupo 33">
          <a:hlinkClick xmlns:r="http://schemas.openxmlformats.org/officeDocument/2006/relationships" r:id="rId10"/>
          <a:extLst>
            <a:ext uri="{FF2B5EF4-FFF2-40B4-BE49-F238E27FC236}">
              <a16:creationId xmlns:a16="http://schemas.microsoft.com/office/drawing/2014/main" id="{00000000-0008-0000-3300-000022000000}"/>
            </a:ext>
          </a:extLst>
        </xdr:cNvPr>
        <xdr:cNvGrpSpPr/>
      </xdr:nvGrpSpPr>
      <xdr:grpSpPr>
        <a:xfrm>
          <a:off x="0" y="2811467"/>
          <a:ext cx="1381125" cy="638178"/>
          <a:chOff x="0" y="1862142"/>
          <a:chExt cx="1514474" cy="638178"/>
        </a:xfrm>
      </xdr:grpSpPr>
      <xdr:sp macro="" textlink="">
        <xdr:nvSpPr>
          <xdr:cNvPr id="35" name="Rectángulo: esquinas superiores redondeadas 34">
            <a:extLst>
              <a:ext uri="{FF2B5EF4-FFF2-40B4-BE49-F238E27FC236}">
                <a16:creationId xmlns:a16="http://schemas.microsoft.com/office/drawing/2014/main" id="{00000000-0008-0000-3300-00002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6" name="Gráfico 35" descr="Alternar con relleno sólido">
            <a:extLst>
              <a:ext uri="{FF2B5EF4-FFF2-40B4-BE49-F238E27FC236}">
                <a16:creationId xmlns:a16="http://schemas.microsoft.com/office/drawing/2014/main" id="{00000000-0008-0000-3300-00002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7" name="Grupo 36">
          <a:hlinkClick xmlns:r="http://schemas.openxmlformats.org/officeDocument/2006/relationships" r:id="rId13"/>
          <a:extLst>
            <a:ext uri="{FF2B5EF4-FFF2-40B4-BE49-F238E27FC236}">
              <a16:creationId xmlns:a16="http://schemas.microsoft.com/office/drawing/2014/main" id="{00000000-0008-0000-3300-000025000000}"/>
            </a:ext>
          </a:extLst>
        </xdr:cNvPr>
        <xdr:cNvGrpSpPr/>
      </xdr:nvGrpSpPr>
      <xdr:grpSpPr>
        <a:xfrm>
          <a:off x="0" y="1862142"/>
          <a:ext cx="1295400" cy="638178"/>
          <a:chOff x="0" y="1862142"/>
          <a:chExt cx="1295400" cy="638178"/>
        </a:xfrm>
      </xdr:grpSpPr>
      <xdr:sp macro="" textlink="">
        <xdr:nvSpPr>
          <xdr:cNvPr id="38" name="Rectángulo: esquinas superiores redondeadas 37">
            <a:extLst>
              <a:ext uri="{FF2B5EF4-FFF2-40B4-BE49-F238E27FC236}">
                <a16:creationId xmlns:a16="http://schemas.microsoft.com/office/drawing/2014/main" id="{00000000-0008-0000-3300-00002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9" name="Gráfico 38" descr="Lista con relleno sólido">
            <a:extLst>
              <a:ext uri="{FF2B5EF4-FFF2-40B4-BE49-F238E27FC236}">
                <a16:creationId xmlns:a16="http://schemas.microsoft.com/office/drawing/2014/main" id="{00000000-0008-0000-3300-00002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395514</xdr:colOff>
      <xdr:row>0</xdr:row>
      <xdr:rowOff>112485</xdr:rowOff>
    </xdr:from>
    <xdr:to>
      <xdr:col>13</xdr:col>
      <xdr:colOff>352879</xdr:colOff>
      <xdr:row>2</xdr:row>
      <xdr:rowOff>112485</xdr:rowOff>
    </xdr:to>
    <xdr:grpSp>
      <xdr:nvGrpSpPr>
        <xdr:cNvPr id="40" name="Grupo 39">
          <a:hlinkClick xmlns:r="http://schemas.openxmlformats.org/officeDocument/2006/relationships" r:id="rId16"/>
          <a:extLst>
            <a:ext uri="{FF2B5EF4-FFF2-40B4-BE49-F238E27FC236}">
              <a16:creationId xmlns:a16="http://schemas.microsoft.com/office/drawing/2014/main" id="{00000000-0008-0000-3300-000028000000}"/>
            </a:ext>
          </a:extLst>
        </xdr:cNvPr>
        <xdr:cNvGrpSpPr/>
      </xdr:nvGrpSpPr>
      <xdr:grpSpPr>
        <a:xfrm>
          <a:off x="11742170" y="112485"/>
          <a:ext cx="3183959" cy="381000"/>
          <a:chOff x="12572999" y="47625"/>
          <a:chExt cx="2628900" cy="381000"/>
        </a:xfrm>
      </xdr:grpSpPr>
      <xdr:sp macro="" textlink="">
        <xdr:nvSpPr>
          <xdr:cNvPr id="41" name="Rectángulo: esquinas redondeadas 40">
            <a:extLst>
              <a:ext uri="{FF2B5EF4-FFF2-40B4-BE49-F238E27FC236}">
                <a16:creationId xmlns:a16="http://schemas.microsoft.com/office/drawing/2014/main" id="{00000000-0008-0000-3300-00002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2" name="CuadroTexto 41">
            <a:extLst>
              <a:ext uri="{FF2B5EF4-FFF2-40B4-BE49-F238E27FC236}">
                <a16:creationId xmlns:a16="http://schemas.microsoft.com/office/drawing/2014/main" id="{00000000-0008-0000-3300-00002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Agricultura</a:t>
            </a:r>
          </a:p>
        </xdr:txBody>
      </xdr:sp>
      <xdr:pic>
        <xdr:nvPicPr>
          <xdr:cNvPr id="43" name="Gráfico 42" descr="Gráfico de barras con relleno sólido">
            <a:extLst>
              <a:ext uri="{FF2B5EF4-FFF2-40B4-BE49-F238E27FC236}">
                <a16:creationId xmlns:a16="http://schemas.microsoft.com/office/drawing/2014/main" id="{00000000-0008-0000-3300-00002B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4" name="Grupo 43">
          <a:hlinkClick xmlns:r="http://schemas.openxmlformats.org/officeDocument/2006/relationships" r:id="rId19"/>
          <a:extLst>
            <a:ext uri="{FF2B5EF4-FFF2-40B4-BE49-F238E27FC236}">
              <a16:creationId xmlns:a16="http://schemas.microsoft.com/office/drawing/2014/main" id="{00000000-0008-0000-3300-00002C000000}"/>
            </a:ext>
          </a:extLst>
        </xdr:cNvPr>
        <xdr:cNvGrpSpPr/>
      </xdr:nvGrpSpPr>
      <xdr:grpSpPr>
        <a:xfrm>
          <a:off x="0" y="6477000"/>
          <a:ext cx="1240383" cy="416889"/>
          <a:chOff x="28575" y="6381750"/>
          <a:chExt cx="1240383" cy="416889"/>
        </a:xfrm>
      </xdr:grpSpPr>
      <xdr:pic>
        <xdr:nvPicPr>
          <xdr:cNvPr id="45" name="Gráfico 44" descr="Engranaje único con relleno sólido">
            <a:extLst>
              <a:ext uri="{FF2B5EF4-FFF2-40B4-BE49-F238E27FC236}">
                <a16:creationId xmlns:a16="http://schemas.microsoft.com/office/drawing/2014/main" id="{00000000-0008-0000-3300-00002D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6" name="CuadroTexto 45">
            <a:extLst>
              <a:ext uri="{FF2B5EF4-FFF2-40B4-BE49-F238E27FC236}">
                <a16:creationId xmlns:a16="http://schemas.microsoft.com/office/drawing/2014/main" id="{00000000-0008-0000-3300-00002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11</xdr:col>
          <xdr:colOff>923925</xdr:colOff>
          <xdr:row>6</xdr:row>
          <xdr:rowOff>57150</xdr:rowOff>
        </xdr:from>
        <xdr:to>
          <xdr:col>12</xdr:col>
          <xdr:colOff>180975</xdr:colOff>
          <xdr:row>7</xdr:row>
          <xdr:rowOff>161925</xdr:rowOff>
        </xdr:to>
        <xdr:sp macro="" textlink="">
          <xdr:nvSpPr>
            <xdr:cNvPr id="62465" name="Spinner 1" hidden="1">
              <a:extLst>
                <a:ext uri="{63B3BB69-23CF-44E3-9099-C40C66FF867C}">
                  <a14:compatExt spid="_x0000_s62465"/>
                </a:ext>
                <a:ext uri="{FF2B5EF4-FFF2-40B4-BE49-F238E27FC236}">
                  <a16:creationId xmlns:a16="http://schemas.microsoft.com/office/drawing/2014/main" id="{00000000-0008-0000-3300-000001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923925</xdr:colOff>
          <xdr:row>8</xdr:row>
          <xdr:rowOff>57150</xdr:rowOff>
        </xdr:from>
        <xdr:to>
          <xdr:col>12</xdr:col>
          <xdr:colOff>180975</xdr:colOff>
          <xdr:row>9</xdr:row>
          <xdr:rowOff>161925</xdr:rowOff>
        </xdr:to>
        <xdr:sp macro="" textlink="">
          <xdr:nvSpPr>
            <xdr:cNvPr id="62466" name="Spinner 2" hidden="1">
              <a:extLst>
                <a:ext uri="{63B3BB69-23CF-44E3-9099-C40C66FF867C}">
                  <a14:compatExt spid="_x0000_s62466"/>
                </a:ext>
                <a:ext uri="{FF2B5EF4-FFF2-40B4-BE49-F238E27FC236}">
                  <a16:creationId xmlns:a16="http://schemas.microsoft.com/office/drawing/2014/main" id="{00000000-0008-0000-3300-000002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923925</xdr:colOff>
          <xdr:row>10</xdr:row>
          <xdr:rowOff>47625</xdr:rowOff>
        </xdr:from>
        <xdr:to>
          <xdr:col>12</xdr:col>
          <xdr:colOff>190500</xdr:colOff>
          <xdr:row>11</xdr:row>
          <xdr:rowOff>152400</xdr:rowOff>
        </xdr:to>
        <xdr:sp macro="" textlink="">
          <xdr:nvSpPr>
            <xdr:cNvPr id="62467" name="Spinner 3" hidden="1">
              <a:extLst>
                <a:ext uri="{63B3BB69-23CF-44E3-9099-C40C66FF867C}">
                  <a14:compatExt spid="_x0000_s62467"/>
                </a:ext>
                <a:ext uri="{FF2B5EF4-FFF2-40B4-BE49-F238E27FC236}">
                  <a16:creationId xmlns:a16="http://schemas.microsoft.com/office/drawing/2014/main" id="{00000000-0008-0000-3300-000003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6" name="Grupo 15">
          <a:hlinkClick xmlns:r="http://schemas.openxmlformats.org/officeDocument/2006/relationships" r:id="rId1"/>
          <a:extLst>
            <a:ext uri="{FF2B5EF4-FFF2-40B4-BE49-F238E27FC236}">
              <a16:creationId xmlns:a16="http://schemas.microsoft.com/office/drawing/2014/main" id="{00000000-0008-0000-3400-000010000000}"/>
            </a:ext>
          </a:extLst>
        </xdr:cNvPr>
        <xdr:cNvGrpSpPr/>
      </xdr:nvGrpSpPr>
      <xdr:grpSpPr>
        <a:xfrm>
          <a:off x="1381125" y="0"/>
          <a:ext cx="0" cy="328014"/>
          <a:chOff x="91104" y="65606"/>
          <a:chExt cx="1192701" cy="328014"/>
        </a:xfrm>
      </xdr:grpSpPr>
      <xdr:sp macro="" textlink="">
        <xdr:nvSpPr>
          <xdr:cNvPr id="22" name="Rectángulo 21">
            <a:extLst>
              <a:ext uri="{FF2B5EF4-FFF2-40B4-BE49-F238E27FC236}">
                <a16:creationId xmlns:a16="http://schemas.microsoft.com/office/drawing/2014/main" id="{00000000-0008-0000-34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34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1"/>
          <a:extLst>
            <a:ext uri="{FF2B5EF4-FFF2-40B4-BE49-F238E27FC236}">
              <a16:creationId xmlns:a16="http://schemas.microsoft.com/office/drawing/2014/main" id="{00000000-0008-0000-3400-000018000000}"/>
            </a:ext>
          </a:extLst>
        </xdr:cNvPr>
        <xdr:cNvGrpSpPr/>
      </xdr:nvGrpSpPr>
      <xdr:grpSpPr>
        <a:xfrm>
          <a:off x="1381125" y="0"/>
          <a:ext cx="0" cy="328014"/>
          <a:chOff x="91104" y="65606"/>
          <a:chExt cx="1192701" cy="328014"/>
        </a:xfrm>
      </xdr:grpSpPr>
      <xdr:sp macro="" textlink="">
        <xdr:nvSpPr>
          <xdr:cNvPr id="25" name="Rectángulo 24">
            <a:extLst>
              <a:ext uri="{FF2B5EF4-FFF2-40B4-BE49-F238E27FC236}">
                <a16:creationId xmlns:a16="http://schemas.microsoft.com/office/drawing/2014/main" id="{00000000-0008-0000-34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34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3400-00001B000000}"/>
            </a:ext>
          </a:extLst>
        </xdr:cNvPr>
        <xdr:cNvGrpSpPr/>
      </xdr:nvGrpSpPr>
      <xdr:grpSpPr>
        <a:xfrm>
          <a:off x="0" y="0"/>
          <a:ext cx="1381125" cy="328014"/>
          <a:chOff x="91104" y="65606"/>
          <a:chExt cx="1192701" cy="328014"/>
        </a:xfrm>
      </xdr:grpSpPr>
      <xdr:sp macro="" textlink="">
        <xdr:nvSpPr>
          <xdr:cNvPr id="28" name="Rectángulo 27">
            <a:extLst>
              <a:ext uri="{FF2B5EF4-FFF2-40B4-BE49-F238E27FC236}">
                <a16:creationId xmlns:a16="http://schemas.microsoft.com/office/drawing/2014/main" id="{00000000-0008-0000-34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9" name="Gráfico 28" descr="Hogar con relleno sólido">
            <a:extLst>
              <a:ext uri="{FF2B5EF4-FFF2-40B4-BE49-F238E27FC236}">
                <a16:creationId xmlns:a16="http://schemas.microsoft.com/office/drawing/2014/main" id="{00000000-0008-0000-3400-00001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0" name="Grupo 29">
          <a:hlinkClick xmlns:r="http://schemas.openxmlformats.org/officeDocument/2006/relationships" r:id="rId4"/>
          <a:extLst>
            <a:ext uri="{FF2B5EF4-FFF2-40B4-BE49-F238E27FC236}">
              <a16:creationId xmlns:a16="http://schemas.microsoft.com/office/drawing/2014/main" id="{00000000-0008-0000-3400-00001E000000}"/>
            </a:ext>
          </a:extLst>
        </xdr:cNvPr>
        <xdr:cNvGrpSpPr/>
      </xdr:nvGrpSpPr>
      <xdr:grpSpPr>
        <a:xfrm>
          <a:off x="0" y="4710117"/>
          <a:ext cx="1295400" cy="638178"/>
          <a:chOff x="0" y="3671892"/>
          <a:chExt cx="1295400" cy="638178"/>
        </a:xfrm>
      </xdr:grpSpPr>
      <xdr:sp macro="" textlink="">
        <xdr:nvSpPr>
          <xdr:cNvPr id="31" name="Rectángulo: esquinas superiores redondeadas 30">
            <a:extLst>
              <a:ext uri="{FF2B5EF4-FFF2-40B4-BE49-F238E27FC236}">
                <a16:creationId xmlns:a16="http://schemas.microsoft.com/office/drawing/2014/main" id="{00000000-0008-0000-3400-00001F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2" name="Gráfico 31" descr="Información con relleno sólido">
            <a:extLst>
              <a:ext uri="{FF2B5EF4-FFF2-40B4-BE49-F238E27FC236}">
                <a16:creationId xmlns:a16="http://schemas.microsoft.com/office/drawing/2014/main" id="{00000000-0008-0000-3400-00002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3" name="Grupo 32">
          <a:hlinkClick xmlns:r="http://schemas.openxmlformats.org/officeDocument/2006/relationships" r:id="rId7"/>
          <a:extLst>
            <a:ext uri="{FF2B5EF4-FFF2-40B4-BE49-F238E27FC236}">
              <a16:creationId xmlns:a16="http://schemas.microsoft.com/office/drawing/2014/main" id="{00000000-0008-0000-3400-000021000000}"/>
            </a:ext>
          </a:extLst>
        </xdr:cNvPr>
        <xdr:cNvGrpSpPr/>
      </xdr:nvGrpSpPr>
      <xdr:grpSpPr>
        <a:xfrm>
          <a:off x="0" y="3760792"/>
          <a:ext cx="1304926" cy="638178"/>
          <a:chOff x="0" y="2767017"/>
          <a:chExt cx="1304926" cy="638178"/>
        </a:xfrm>
      </xdr:grpSpPr>
      <xdr:sp macro="" textlink="">
        <xdr:nvSpPr>
          <xdr:cNvPr id="34" name="Rectángulo: esquinas superiores redondeadas 33">
            <a:extLst>
              <a:ext uri="{FF2B5EF4-FFF2-40B4-BE49-F238E27FC236}">
                <a16:creationId xmlns:a16="http://schemas.microsoft.com/office/drawing/2014/main" id="{00000000-0008-0000-3400-000022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5" name="Gráfico 34" descr="Gráfico de barras con relleno sólido">
            <a:extLst>
              <a:ext uri="{FF2B5EF4-FFF2-40B4-BE49-F238E27FC236}">
                <a16:creationId xmlns:a16="http://schemas.microsoft.com/office/drawing/2014/main" id="{00000000-0008-0000-3400-00002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36" name="Grupo 35">
          <a:hlinkClick xmlns:r="http://schemas.openxmlformats.org/officeDocument/2006/relationships" r:id="rId10"/>
          <a:extLst>
            <a:ext uri="{FF2B5EF4-FFF2-40B4-BE49-F238E27FC236}">
              <a16:creationId xmlns:a16="http://schemas.microsoft.com/office/drawing/2014/main" id="{00000000-0008-0000-3400-000024000000}"/>
            </a:ext>
          </a:extLst>
        </xdr:cNvPr>
        <xdr:cNvGrpSpPr/>
      </xdr:nvGrpSpPr>
      <xdr:grpSpPr>
        <a:xfrm>
          <a:off x="0" y="2811467"/>
          <a:ext cx="1381125" cy="638178"/>
          <a:chOff x="0" y="1862142"/>
          <a:chExt cx="1514474" cy="638178"/>
        </a:xfrm>
      </xdr:grpSpPr>
      <xdr:sp macro="" textlink="">
        <xdr:nvSpPr>
          <xdr:cNvPr id="37" name="Rectángulo: esquinas superiores redondeadas 36">
            <a:extLst>
              <a:ext uri="{FF2B5EF4-FFF2-40B4-BE49-F238E27FC236}">
                <a16:creationId xmlns:a16="http://schemas.microsoft.com/office/drawing/2014/main" id="{00000000-0008-0000-3400-00002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8" name="Gráfico 37" descr="Alternar con relleno sólido">
            <a:extLst>
              <a:ext uri="{FF2B5EF4-FFF2-40B4-BE49-F238E27FC236}">
                <a16:creationId xmlns:a16="http://schemas.microsoft.com/office/drawing/2014/main" id="{00000000-0008-0000-3400-00002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9" name="Grupo 38">
          <a:hlinkClick xmlns:r="http://schemas.openxmlformats.org/officeDocument/2006/relationships" r:id="rId13"/>
          <a:extLst>
            <a:ext uri="{FF2B5EF4-FFF2-40B4-BE49-F238E27FC236}">
              <a16:creationId xmlns:a16="http://schemas.microsoft.com/office/drawing/2014/main" id="{00000000-0008-0000-3400-000027000000}"/>
            </a:ext>
          </a:extLst>
        </xdr:cNvPr>
        <xdr:cNvGrpSpPr/>
      </xdr:nvGrpSpPr>
      <xdr:grpSpPr>
        <a:xfrm>
          <a:off x="0" y="1862142"/>
          <a:ext cx="1295400" cy="638178"/>
          <a:chOff x="0" y="1862142"/>
          <a:chExt cx="1295400" cy="638178"/>
        </a:xfrm>
      </xdr:grpSpPr>
      <xdr:sp macro="" textlink="">
        <xdr:nvSpPr>
          <xdr:cNvPr id="40" name="Rectángulo: esquinas superiores redondeadas 39">
            <a:extLst>
              <a:ext uri="{FF2B5EF4-FFF2-40B4-BE49-F238E27FC236}">
                <a16:creationId xmlns:a16="http://schemas.microsoft.com/office/drawing/2014/main" id="{00000000-0008-0000-3400-000028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1" name="Gráfico 40" descr="Lista con relleno sólido">
            <a:extLst>
              <a:ext uri="{FF2B5EF4-FFF2-40B4-BE49-F238E27FC236}">
                <a16:creationId xmlns:a16="http://schemas.microsoft.com/office/drawing/2014/main" id="{00000000-0008-0000-3400-00002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314325</xdr:colOff>
      <xdr:row>0</xdr:row>
      <xdr:rowOff>104775</xdr:rowOff>
    </xdr:from>
    <xdr:to>
      <xdr:col>13</xdr:col>
      <xdr:colOff>276225</xdr:colOff>
      <xdr:row>2</xdr:row>
      <xdr:rowOff>104775</xdr:rowOff>
    </xdr:to>
    <xdr:grpSp>
      <xdr:nvGrpSpPr>
        <xdr:cNvPr id="50" name="Grupo 49">
          <a:hlinkClick xmlns:r="http://schemas.openxmlformats.org/officeDocument/2006/relationships" r:id="rId16"/>
          <a:extLst>
            <a:ext uri="{FF2B5EF4-FFF2-40B4-BE49-F238E27FC236}">
              <a16:creationId xmlns:a16="http://schemas.microsoft.com/office/drawing/2014/main" id="{00000000-0008-0000-3400-000032000000}"/>
            </a:ext>
          </a:extLst>
        </xdr:cNvPr>
        <xdr:cNvGrpSpPr/>
      </xdr:nvGrpSpPr>
      <xdr:grpSpPr>
        <a:xfrm>
          <a:off x="10803731" y="104775"/>
          <a:ext cx="3938588" cy="381000"/>
          <a:chOff x="12572999" y="47625"/>
          <a:chExt cx="2628900" cy="381000"/>
        </a:xfrm>
      </xdr:grpSpPr>
      <xdr:sp macro="" textlink="">
        <xdr:nvSpPr>
          <xdr:cNvPr id="51" name="Rectángulo: esquinas redondeadas 50">
            <a:extLst>
              <a:ext uri="{FF2B5EF4-FFF2-40B4-BE49-F238E27FC236}">
                <a16:creationId xmlns:a16="http://schemas.microsoft.com/office/drawing/2014/main" id="{00000000-0008-0000-3400-000033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2" name="CuadroTexto 51">
            <a:extLst>
              <a:ext uri="{FF2B5EF4-FFF2-40B4-BE49-F238E27FC236}">
                <a16:creationId xmlns:a16="http://schemas.microsoft.com/office/drawing/2014/main" id="{00000000-0008-0000-3400-000034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Ganadería</a:t>
            </a:r>
          </a:p>
        </xdr:txBody>
      </xdr:sp>
      <xdr:pic>
        <xdr:nvPicPr>
          <xdr:cNvPr id="53" name="Gráfico 52" descr="Gráfico de barras con relleno sólido">
            <a:extLst>
              <a:ext uri="{FF2B5EF4-FFF2-40B4-BE49-F238E27FC236}">
                <a16:creationId xmlns:a16="http://schemas.microsoft.com/office/drawing/2014/main" id="{00000000-0008-0000-3400-00003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933450</xdr:colOff>
          <xdr:row>6</xdr:row>
          <xdr:rowOff>38100</xdr:rowOff>
        </xdr:from>
        <xdr:to>
          <xdr:col>12</xdr:col>
          <xdr:colOff>161925</xdr:colOff>
          <xdr:row>7</xdr:row>
          <xdr:rowOff>142875</xdr:rowOff>
        </xdr:to>
        <xdr:sp macro="" textlink="">
          <xdr:nvSpPr>
            <xdr:cNvPr id="46084" name="Spinner 4" hidden="1">
              <a:extLst>
                <a:ext uri="{63B3BB69-23CF-44E3-9099-C40C66FF867C}">
                  <a14:compatExt spid="_x0000_s46084"/>
                </a:ext>
                <a:ext uri="{FF2B5EF4-FFF2-40B4-BE49-F238E27FC236}">
                  <a16:creationId xmlns:a16="http://schemas.microsoft.com/office/drawing/2014/main" id="{00000000-0008-0000-3400-000004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933450</xdr:colOff>
          <xdr:row>8</xdr:row>
          <xdr:rowOff>47625</xdr:rowOff>
        </xdr:from>
        <xdr:to>
          <xdr:col>12</xdr:col>
          <xdr:colOff>161925</xdr:colOff>
          <xdr:row>9</xdr:row>
          <xdr:rowOff>152400</xdr:rowOff>
        </xdr:to>
        <xdr:sp macro="" textlink="">
          <xdr:nvSpPr>
            <xdr:cNvPr id="46085" name="Spinner 5" hidden="1">
              <a:extLst>
                <a:ext uri="{63B3BB69-23CF-44E3-9099-C40C66FF867C}">
                  <a14:compatExt spid="_x0000_s46085"/>
                </a:ext>
                <a:ext uri="{FF2B5EF4-FFF2-40B4-BE49-F238E27FC236}">
                  <a16:creationId xmlns:a16="http://schemas.microsoft.com/office/drawing/2014/main" id="{00000000-0008-0000-3400-000005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933450</xdr:colOff>
          <xdr:row>10</xdr:row>
          <xdr:rowOff>57150</xdr:rowOff>
        </xdr:from>
        <xdr:to>
          <xdr:col>12</xdr:col>
          <xdr:colOff>161925</xdr:colOff>
          <xdr:row>11</xdr:row>
          <xdr:rowOff>161925</xdr:rowOff>
        </xdr:to>
        <xdr:sp macro="" textlink="">
          <xdr:nvSpPr>
            <xdr:cNvPr id="46086" name="Spinner 6" hidden="1">
              <a:extLst>
                <a:ext uri="{63B3BB69-23CF-44E3-9099-C40C66FF867C}">
                  <a14:compatExt spid="_x0000_s46086"/>
                </a:ext>
                <a:ext uri="{FF2B5EF4-FFF2-40B4-BE49-F238E27FC236}">
                  <a16:creationId xmlns:a16="http://schemas.microsoft.com/office/drawing/2014/main" id="{00000000-0008-0000-3400-000006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42" name="Grupo 41">
          <a:hlinkClick xmlns:r="http://schemas.openxmlformats.org/officeDocument/2006/relationships" r:id="rId19"/>
          <a:extLst>
            <a:ext uri="{FF2B5EF4-FFF2-40B4-BE49-F238E27FC236}">
              <a16:creationId xmlns:a16="http://schemas.microsoft.com/office/drawing/2014/main" id="{00000000-0008-0000-3400-00002A000000}"/>
            </a:ext>
          </a:extLst>
        </xdr:cNvPr>
        <xdr:cNvGrpSpPr/>
      </xdr:nvGrpSpPr>
      <xdr:grpSpPr>
        <a:xfrm>
          <a:off x="0" y="6477000"/>
          <a:ext cx="1240383" cy="416889"/>
          <a:chOff x="28575" y="6381750"/>
          <a:chExt cx="1240383" cy="416889"/>
        </a:xfrm>
      </xdr:grpSpPr>
      <xdr:pic>
        <xdr:nvPicPr>
          <xdr:cNvPr id="43" name="Gráfico 42" descr="Engranaje único con relleno sólido">
            <a:extLst>
              <a:ext uri="{FF2B5EF4-FFF2-40B4-BE49-F238E27FC236}">
                <a16:creationId xmlns:a16="http://schemas.microsoft.com/office/drawing/2014/main" id="{00000000-0008-0000-3400-00002B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4" name="CuadroTexto 43">
            <a:extLst>
              <a:ext uri="{FF2B5EF4-FFF2-40B4-BE49-F238E27FC236}">
                <a16:creationId xmlns:a16="http://schemas.microsoft.com/office/drawing/2014/main" id="{00000000-0008-0000-3400-00002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15</xdr:row>
      <xdr:rowOff>8819</xdr:rowOff>
    </xdr:from>
    <xdr:to>
      <xdr:col>0</xdr:col>
      <xdr:colOff>1</xdr:colOff>
      <xdr:row>18</xdr:row>
      <xdr:rowOff>41520</xdr:rowOff>
    </xdr:to>
    <xdr:grpSp>
      <xdr:nvGrpSpPr>
        <xdr:cNvPr id="19" name="Grupo 18">
          <a:hlinkClick xmlns:r="http://schemas.openxmlformats.org/officeDocument/2006/relationships" r:id="rId1"/>
          <a:extLst>
            <a:ext uri="{FF2B5EF4-FFF2-40B4-BE49-F238E27FC236}">
              <a16:creationId xmlns:a16="http://schemas.microsoft.com/office/drawing/2014/main" id="{00000000-0008-0000-3500-000013000000}"/>
            </a:ext>
          </a:extLst>
        </xdr:cNvPr>
        <xdr:cNvGrpSpPr/>
      </xdr:nvGrpSpPr>
      <xdr:grpSpPr>
        <a:xfrm>
          <a:off x="0" y="2866319"/>
          <a:ext cx="1" cy="604201"/>
          <a:chOff x="1" y="2866319"/>
          <a:chExt cx="1304925" cy="604201"/>
        </a:xfrm>
      </xdr:grpSpPr>
      <xdr:sp macro="" textlink="">
        <xdr:nvSpPr>
          <xdr:cNvPr id="20" name="Rectángulo: esquinas superiores redondeadas 19">
            <a:extLst>
              <a:ext uri="{FF2B5EF4-FFF2-40B4-BE49-F238E27FC236}">
                <a16:creationId xmlns:a16="http://schemas.microsoft.com/office/drawing/2014/main" id="{00000000-0008-0000-3500-000014000000}"/>
              </a:ext>
            </a:extLst>
          </xdr:cNvPr>
          <xdr:cNvSpPr/>
        </xdr:nvSpPr>
        <xdr:spPr>
          <a:xfrm rot="5400000">
            <a:off x="350363" y="2515957"/>
            <a:ext cx="604201" cy="130492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ESCENARIOS</a:t>
            </a:r>
          </a:p>
        </xdr:txBody>
      </xdr:sp>
      <xdr:pic>
        <xdr:nvPicPr>
          <xdr:cNvPr id="21" name="Gráfico 20" descr="Alternar con relleno sólido">
            <a:extLst>
              <a:ext uri="{FF2B5EF4-FFF2-40B4-BE49-F238E27FC236}">
                <a16:creationId xmlns:a16="http://schemas.microsoft.com/office/drawing/2014/main" id="{00000000-0008-0000-35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09625" y="2929443"/>
            <a:ext cx="495300" cy="468930"/>
          </a:xfrm>
          <a:prstGeom prst="rect">
            <a:avLst/>
          </a:prstGeom>
        </xdr:spPr>
      </xdr:pic>
    </xdr:grpSp>
    <xdr:clientData/>
  </xdr:twoCellAnchor>
  <xdr:twoCellAnchor>
    <xdr:from>
      <xdr:col>0</xdr:col>
      <xdr:colOff>0</xdr:colOff>
      <xdr:row>0</xdr:row>
      <xdr:rowOff>0</xdr:rowOff>
    </xdr:from>
    <xdr:to>
      <xdr:col>0</xdr:col>
      <xdr:colOff>2076</xdr:colOff>
      <xdr:row>1</xdr:row>
      <xdr:rowOff>137514</xdr:rowOff>
    </xdr:to>
    <xdr:grpSp>
      <xdr:nvGrpSpPr>
        <xdr:cNvPr id="29" name="Grupo 28">
          <a:hlinkClick xmlns:r="http://schemas.openxmlformats.org/officeDocument/2006/relationships" r:id="rId4"/>
          <a:extLst>
            <a:ext uri="{FF2B5EF4-FFF2-40B4-BE49-F238E27FC236}">
              <a16:creationId xmlns:a16="http://schemas.microsoft.com/office/drawing/2014/main" id="{00000000-0008-0000-3500-00001D000000}"/>
            </a:ext>
          </a:extLst>
        </xdr:cNvPr>
        <xdr:cNvGrpSpPr/>
      </xdr:nvGrpSpPr>
      <xdr:grpSpPr>
        <a:xfrm>
          <a:off x="0" y="0"/>
          <a:ext cx="2076" cy="328014"/>
          <a:chOff x="91104" y="65606"/>
          <a:chExt cx="1192701" cy="328014"/>
        </a:xfrm>
      </xdr:grpSpPr>
      <xdr:sp macro="" textlink="">
        <xdr:nvSpPr>
          <xdr:cNvPr id="30" name="Rectángulo 29">
            <a:extLst>
              <a:ext uri="{FF2B5EF4-FFF2-40B4-BE49-F238E27FC236}">
                <a16:creationId xmlns:a16="http://schemas.microsoft.com/office/drawing/2014/main" id="{00000000-0008-0000-3500-00001E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1" name="Gráfico 30" descr="Hogar con relleno sólido">
            <a:extLst>
              <a:ext uri="{FF2B5EF4-FFF2-40B4-BE49-F238E27FC236}">
                <a16:creationId xmlns:a16="http://schemas.microsoft.com/office/drawing/2014/main" id="{00000000-0008-0000-3500-00001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2" name="Grupo 31">
          <a:hlinkClick xmlns:r="http://schemas.openxmlformats.org/officeDocument/2006/relationships" r:id="rId4"/>
          <a:extLst>
            <a:ext uri="{FF2B5EF4-FFF2-40B4-BE49-F238E27FC236}">
              <a16:creationId xmlns:a16="http://schemas.microsoft.com/office/drawing/2014/main" id="{00000000-0008-0000-3500-000020000000}"/>
            </a:ext>
          </a:extLst>
        </xdr:cNvPr>
        <xdr:cNvGrpSpPr/>
      </xdr:nvGrpSpPr>
      <xdr:grpSpPr>
        <a:xfrm>
          <a:off x="1381125" y="0"/>
          <a:ext cx="0" cy="328014"/>
          <a:chOff x="91104" y="65606"/>
          <a:chExt cx="1192701" cy="328014"/>
        </a:xfrm>
      </xdr:grpSpPr>
      <xdr:sp macro="" textlink="">
        <xdr:nvSpPr>
          <xdr:cNvPr id="33" name="Rectángulo 32">
            <a:extLst>
              <a:ext uri="{FF2B5EF4-FFF2-40B4-BE49-F238E27FC236}">
                <a16:creationId xmlns:a16="http://schemas.microsoft.com/office/drawing/2014/main" id="{00000000-0008-0000-3500-00002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3500-00002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5" name="Grupo 34">
          <a:hlinkClick xmlns:r="http://schemas.openxmlformats.org/officeDocument/2006/relationships" r:id="rId4"/>
          <a:extLst>
            <a:ext uri="{FF2B5EF4-FFF2-40B4-BE49-F238E27FC236}">
              <a16:creationId xmlns:a16="http://schemas.microsoft.com/office/drawing/2014/main" id="{00000000-0008-0000-3500-000023000000}"/>
            </a:ext>
          </a:extLst>
        </xdr:cNvPr>
        <xdr:cNvGrpSpPr/>
      </xdr:nvGrpSpPr>
      <xdr:grpSpPr>
        <a:xfrm>
          <a:off x="1381125" y="0"/>
          <a:ext cx="0" cy="328014"/>
          <a:chOff x="91104" y="65606"/>
          <a:chExt cx="1192701" cy="328014"/>
        </a:xfrm>
      </xdr:grpSpPr>
      <xdr:sp macro="" textlink="">
        <xdr:nvSpPr>
          <xdr:cNvPr id="36" name="Rectángulo 35">
            <a:extLst>
              <a:ext uri="{FF2B5EF4-FFF2-40B4-BE49-F238E27FC236}">
                <a16:creationId xmlns:a16="http://schemas.microsoft.com/office/drawing/2014/main" id="{00000000-0008-0000-3500-000024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7" name="Gráfico 36" descr="Hogar con relleno sólido">
            <a:extLst>
              <a:ext uri="{FF2B5EF4-FFF2-40B4-BE49-F238E27FC236}">
                <a16:creationId xmlns:a16="http://schemas.microsoft.com/office/drawing/2014/main" id="{00000000-0008-0000-3500-00002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4"/>
          <a:extLst>
            <a:ext uri="{FF2B5EF4-FFF2-40B4-BE49-F238E27FC236}">
              <a16:creationId xmlns:a16="http://schemas.microsoft.com/office/drawing/2014/main" id="{00000000-0008-0000-35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35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3500-00002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7"/>
          <a:extLst>
            <a:ext uri="{FF2B5EF4-FFF2-40B4-BE49-F238E27FC236}">
              <a16:creationId xmlns:a16="http://schemas.microsoft.com/office/drawing/2014/main" id="{00000000-0008-0000-35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35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 name="Gráfico 42" descr="Información con relleno sólido">
            <a:extLst>
              <a:ext uri="{FF2B5EF4-FFF2-40B4-BE49-F238E27FC236}">
                <a16:creationId xmlns:a16="http://schemas.microsoft.com/office/drawing/2014/main" id="{00000000-0008-0000-35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4" name="Grupo 43">
          <a:hlinkClick xmlns:r="http://schemas.openxmlformats.org/officeDocument/2006/relationships" r:id="rId10"/>
          <a:extLst>
            <a:ext uri="{FF2B5EF4-FFF2-40B4-BE49-F238E27FC236}">
              <a16:creationId xmlns:a16="http://schemas.microsoft.com/office/drawing/2014/main" id="{00000000-0008-0000-3500-00002C000000}"/>
            </a:ext>
          </a:extLst>
        </xdr:cNvPr>
        <xdr:cNvGrpSpPr/>
      </xdr:nvGrpSpPr>
      <xdr:grpSpPr>
        <a:xfrm>
          <a:off x="0" y="3760792"/>
          <a:ext cx="1304926" cy="638178"/>
          <a:chOff x="0" y="2767017"/>
          <a:chExt cx="1304926" cy="638178"/>
        </a:xfrm>
      </xdr:grpSpPr>
      <xdr:sp macro="" textlink="">
        <xdr:nvSpPr>
          <xdr:cNvPr id="45" name="Rectángulo: esquinas superiores redondeadas 44">
            <a:extLst>
              <a:ext uri="{FF2B5EF4-FFF2-40B4-BE49-F238E27FC236}">
                <a16:creationId xmlns:a16="http://schemas.microsoft.com/office/drawing/2014/main" id="{00000000-0008-0000-3500-00002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6" name="Gráfico 45" descr="Gráfico de barras con relleno sólido">
            <a:extLst>
              <a:ext uri="{FF2B5EF4-FFF2-40B4-BE49-F238E27FC236}">
                <a16:creationId xmlns:a16="http://schemas.microsoft.com/office/drawing/2014/main" id="{00000000-0008-0000-3500-00002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47" name="Grupo 46">
          <a:hlinkClick xmlns:r="http://schemas.openxmlformats.org/officeDocument/2006/relationships" r:id="rId1"/>
          <a:extLst>
            <a:ext uri="{FF2B5EF4-FFF2-40B4-BE49-F238E27FC236}">
              <a16:creationId xmlns:a16="http://schemas.microsoft.com/office/drawing/2014/main" id="{00000000-0008-0000-3500-00002F000000}"/>
            </a:ext>
          </a:extLst>
        </xdr:cNvPr>
        <xdr:cNvGrpSpPr/>
      </xdr:nvGrpSpPr>
      <xdr:grpSpPr>
        <a:xfrm>
          <a:off x="0" y="2811467"/>
          <a:ext cx="1381125" cy="638178"/>
          <a:chOff x="0" y="1862142"/>
          <a:chExt cx="1514474" cy="638178"/>
        </a:xfrm>
      </xdr:grpSpPr>
      <xdr:sp macro="" textlink="">
        <xdr:nvSpPr>
          <xdr:cNvPr id="48" name="Rectángulo: esquinas superiores redondeadas 47">
            <a:extLst>
              <a:ext uri="{FF2B5EF4-FFF2-40B4-BE49-F238E27FC236}">
                <a16:creationId xmlns:a16="http://schemas.microsoft.com/office/drawing/2014/main" id="{00000000-0008-0000-3500-00003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9" name="Gráfico 48" descr="Alternar con relleno sólido">
            <a:extLst>
              <a:ext uri="{FF2B5EF4-FFF2-40B4-BE49-F238E27FC236}">
                <a16:creationId xmlns:a16="http://schemas.microsoft.com/office/drawing/2014/main" id="{00000000-0008-0000-3500-00003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0" name="Grupo 49">
          <a:hlinkClick xmlns:r="http://schemas.openxmlformats.org/officeDocument/2006/relationships" r:id="rId13"/>
          <a:extLst>
            <a:ext uri="{FF2B5EF4-FFF2-40B4-BE49-F238E27FC236}">
              <a16:creationId xmlns:a16="http://schemas.microsoft.com/office/drawing/2014/main" id="{00000000-0008-0000-3500-000032000000}"/>
            </a:ext>
          </a:extLst>
        </xdr:cNvPr>
        <xdr:cNvGrpSpPr/>
      </xdr:nvGrpSpPr>
      <xdr:grpSpPr>
        <a:xfrm>
          <a:off x="0" y="1862142"/>
          <a:ext cx="1295400" cy="638178"/>
          <a:chOff x="0" y="1862142"/>
          <a:chExt cx="1295400" cy="638178"/>
        </a:xfrm>
      </xdr:grpSpPr>
      <xdr:sp macro="" textlink="">
        <xdr:nvSpPr>
          <xdr:cNvPr id="51" name="Rectángulo: esquinas superiores redondeadas 50">
            <a:extLst>
              <a:ext uri="{FF2B5EF4-FFF2-40B4-BE49-F238E27FC236}">
                <a16:creationId xmlns:a16="http://schemas.microsoft.com/office/drawing/2014/main" id="{00000000-0008-0000-3500-00003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2" name="Gráfico 51" descr="Lista con relleno sólido">
            <a:extLst>
              <a:ext uri="{FF2B5EF4-FFF2-40B4-BE49-F238E27FC236}">
                <a16:creationId xmlns:a16="http://schemas.microsoft.com/office/drawing/2014/main" id="{00000000-0008-0000-3500-00003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647700</xdr:colOff>
      <xdr:row>0</xdr:row>
      <xdr:rowOff>104775</xdr:rowOff>
    </xdr:from>
    <xdr:to>
      <xdr:col>13</xdr:col>
      <xdr:colOff>76200</xdr:colOff>
      <xdr:row>2</xdr:row>
      <xdr:rowOff>104775</xdr:rowOff>
    </xdr:to>
    <xdr:grpSp>
      <xdr:nvGrpSpPr>
        <xdr:cNvPr id="53" name="Grupo 52">
          <a:hlinkClick xmlns:r="http://schemas.openxmlformats.org/officeDocument/2006/relationships" r:id="rId16"/>
          <a:extLst>
            <a:ext uri="{FF2B5EF4-FFF2-40B4-BE49-F238E27FC236}">
              <a16:creationId xmlns:a16="http://schemas.microsoft.com/office/drawing/2014/main" id="{00000000-0008-0000-3500-000035000000}"/>
            </a:ext>
          </a:extLst>
        </xdr:cNvPr>
        <xdr:cNvGrpSpPr/>
      </xdr:nvGrpSpPr>
      <xdr:grpSpPr>
        <a:xfrm>
          <a:off x="12053888" y="104775"/>
          <a:ext cx="4179093" cy="381000"/>
          <a:chOff x="12572999" y="47625"/>
          <a:chExt cx="2628900" cy="381000"/>
        </a:xfrm>
      </xdr:grpSpPr>
      <xdr:sp macro="" textlink="">
        <xdr:nvSpPr>
          <xdr:cNvPr id="54" name="Rectángulo: esquinas redondeadas 53">
            <a:extLst>
              <a:ext uri="{FF2B5EF4-FFF2-40B4-BE49-F238E27FC236}">
                <a16:creationId xmlns:a16="http://schemas.microsoft.com/office/drawing/2014/main" id="{00000000-0008-0000-3500-000036000000}"/>
              </a:ext>
            </a:extLst>
          </xdr:cNvPr>
          <xdr:cNvSpPr/>
        </xdr:nvSpPr>
        <xdr:spPr>
          <a:xfrm>
            <a:off x="12572999" y="47625"/>
            <a:ext cx="2071980"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5" name="CuadroTexto 54">
            <a:extLst>
              <a:ext uri="{FF2B5EF4-FFF2-40B4-BE49-F238E27FC236}">
                <a16:creationId xmlns:a16="http://schemas.microsoft.com/office/drawing/2014/main" id="{00000000-0008-0000-3500-000037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Bosques</a:t>
            </a:r>
          </a:p>
        </xdr:txBody>
      </xdr:sp>
      <xdr:pic>
        <xdr:nvPicPr>
          <xdr:cNvPr id="56" name="Gráfico 55" descr="Gráfico de barras con relleno sólido">
            <a:extLst>
              <a:ext uri="{FF2B5EF4-FFF2-40B4-BE49-F238E27FC236}">
                <a16:creationId xmlns:a16="http://schemas.microsoft.com/office/drawing/2014/main" id="{00000000-0008-0000-3500-00003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298431"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12</xdr:col>
          <xdr:colOff>9525</xdr:colOff>
          <xdr:row>6</xdr:row>
          <xdr:rowOff>57150</xdr:rowOff>
        </xdr:from>
        <xdr:to>
          <xdr:col>12</xdr:col>
          <xdr:colOff>200025</xdr:colOff>
          <xdr:row>7</xdr:row>
          <xdr:rowOff>161925</xdr:rowOff>
        </xdr:to>
        <xdr:sp macro="" textlink="">
          <xdr:nvSpPr>
            <xdr:cNvPr id="47108" name="Spinner 4" hidden="1">
              <a:extLst>
                <a:ext uri="{63B3BB69-23CF-44E3-9099-C40C66FF867C}">
                  <a14:compatExt spid="_x0000_s47108"/>
                </a:ext>
                <a:ext uri="{FF2B5EF4-FFF2-40B4-BE49-F238E27FC236}">
                  <a16:creationId xmlns:a16="http://schemas.microsoft.com/office/drawing/2014/main" id="{00000000-0008-0000-3500-000004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0</xdr:col>
      <xdr:colOff>0</xdr:colOff>
      <xdr:row>0</xdr:row>
      <xdr:rowOff>0</xdr:rowOff>
    </xdr:from>
    <xdr:to>
      <xdr:col>0</xdr:col>
      <xdr:colOff>781050</xdr:colOff>
      <xdr:row>1</xdr:row>
      <xdr:rowOff>19050</xdr:rowOff>
    </xdr:to>
    <xdr:pic>
      <xdr:nvPicPr>
        <xdr:cNvPr id="57" name="Imagen 56">
          <a:extLst>
            <a:ext uri="{FF2B5EF4-FFF2-40B4-BE49-F238E27FC236}">
              <a16:creationId xmlns:a16="http://schemas.microsoft.com/office/drawing/2014/main" id="{00000000-0008-0000-3500-000039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0"/>
          <a:ext cx="7715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12</xdr:col>
          <xdr:colOff>9525</xdr:colOff>
          <xdr:row>8</xdr:row>
          <xdr:rowOff>76200</xdr:rowOff>
        </xdr:from>
        <xdr:to>
          <xdr:col>12</xdr:col>
          <xdr:colOff>200025</xdr:colOff>
          <xdr:row>9</xdr:row>
          <xdr:rowOff>180975</xdr:rowOff>
        </xdr:to>
        <xdr:sp macro="" textlink="">
          <xdr:nvSpPr>
            <xdr:cNvPr id="47110" name="Spinner 6" hidden="1">
              <a:extLst>
                <a:ext uri="{63B3BB69-23CF-44E3-9099-C40C66FF867C}">
                  <a14:compatExt spid="_x0000_s47110"/>
                </a:ext>
                <a:ext uri="{FF2B5EF4-FFF2-40B4-BE49-F238E27FC236}">
                  <a16:creationId xmlns:a16="http://schemas.microsoft.com/office/drawing/2014/main" id="{00000000-0008-0000-3500-000006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8" name="Grupo 57">
          <a:hlinkClick xmlns:r="http://schemas.openxmlformats.org/officeDocument/2006/relationships" r:id="rId20"/>
          <a:extLst>
            <a:ext uri="{FF2B5EF4-FFF2-40B4-BE49-F238E27FC236}">
              <a16:creationId xmlns:a16="http://schemas.microsoft.com/office/drawing/2014/main" id="{00000000-0008-0000-3500-00003A000000}"/>
            </a:ext>
          </a:extLst>
        </xdr:cNvPr>
        <xdr:cNvGrpSpPr/>
      </xdr:nvGrpSpPr>
      <xdr:grpSpPr>
        <a:xfrm>
          <a:off x="0" y="6477000"/>
          <a:ext cx="1240383" cy="416889"/>
          <a:chOff x="28575" y="6381750"/>
          <a:chExt cx="1240383" cy="416889"/>
        </a:xfrm>
      </xdr:grpSpPr>
      <xdr:pic>
        <xdr:nvPicPr>
          <xdr:cNvPr id="59" name="Gráfico 58" descr="Engranaje único con relleno sólido">
            <a:extLst>
              <a:ext uri="{FF2B5EF4-FFF2-40B4-BE49-F238E27FC236}">
                <a16:creationId xmlns:a16="http://schemas.microsoft.com/office/drawing/2014/main" id="{00000000-0008-0000-3500-00003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60" name="CuadroTexto 59">
            <a:extLst>
              <a:ext uri="{FF2B5EF4-FFF2-40B4-BE49-F238E27FC236}">
                <a16:creationId xmlns:a16="http://schemas.microsoft.com/office/drawing/2014/main" id="{00000000-0008-0000-3500-00003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tes/P-102445/Documentos%20compartidos/04%20Doc%20Elaborada/04%20M1%20A3%20Integraci&#243;n%20de%20mejoras/ANGEL/Calculadora/Calculadora%20Colombiana%20de%20Carbono%202050_V38_revisadaminambiente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CIO"/>
      <sheetName val="DESPLEGABLES (ocultar)"/>
      <sheetName val="AJUSTES"/>
      <sheetName val="INFORMACIÓN"/>
      <sheetName val="EQUIVALENCIAS_IPCC"/>
      <sheetName val="CONTROL"/>
      <sheetName val="GLOSARIO"/>
      <sheetName val="COBENEFICIOS"/>
      <sheetName val="RESULTADOS_COBENEFICIOS_GENERAL"/>
      <sheetName val="RESULTADOS_COBENEFICIOS_CA"/>
      <sheetName val="RESULTADOS_COBENEFICIOS_SALUD"/>
      <sheetName val="RESULTADOS_COBENEFICIOS_EMPLEO"/>
      <sheetName val="INFO_TRAYECTORIAS"/>
      <sheetName val="RESULTADOS_Tipo"/>
      <sheetName val="RESULTADOS_Generales"/>
      <sheetName val="RESULTADOS_sectoriales"/>
      <sheetName val="RESULTADOS_ENERGÍA"/>
      <sheetName val="RESULTADOS_ELECTRICIDAD"/>
      <sheetName val="RESULTADOS_INDUSTRIA"/>
      <sheetName val="RESULTADOS_RESIDUOS"/>
      <sheetName val="RESULTADOS_EDIFICACIONES"/>
      <sheetName val="RESULTADOS_TRANSPORTE"/>
      <sheetName val="RESULTADOS_AGRICULTURA"/>
      <sheetName val="RESULTADOS_GANADERIA"/>
      <sheetName val="RESULTADOS_BOSQUES"/>
      <sheetName val="ESCENARIOS"/>
      <sheetName val="ESCENARIOS_DatosGen"/>
      <sheetName val="DGEN_CONSTANTES"/>
      <sheetName val="DGEN_CONVERSIONES"/>
      <sheetName val="DGEN_SupuestosGen"/>
      <sheetName val="DGEN_SupuestosCostos"/>
      <sheetName val="FUENTES"/>
      <sheetName val="DGEN_FE"/>
      <sheetName val="ENER_CombFosil"/>
      <sheetName val="ENER_Bioener"/>
      <sheetName val="ENER_Comb_fosil_IMPORT_EXPORT"/>
      <sheetName val="ELECT_ Electricidad"/>
      <sheetName val="ELECT_ Autogen"/>
      <sheetName val="ELECT_ IMPORTEXPORT"/>
      <sheetName val="IND_"/>
      <sheetName val="RES_SOL"/>
      <sheetName val="RES_AGU"/>
      <sheetName val="EDI_RES_URB_AER"/>
      <sheetName val="EDI_RES_URB_IRCO"/>
      <sheetName val="EDI_RES_RURAL"/>
      <sheetName val="EDI_COM_AEC"/>
      <sheetName val="EDI_COM_UTE"/>
      <sheetName val="TRANS_PAS"/>
      <sheetName val="TRANS_CAR"/>
      <sheetName val="TRANS_AVI"/>
      <sheetName val="TRANS_NAV"/>
      <sheetName val="AGRO_"/>
      <sheetName val="GANA_"/>
      <sheetName val="BOSQ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0">
          <cell r="E10">
            <v>48258494</v>
          </cell>
        </row>
      </sheetData>
      <sheetData sheetId="30"/>
      <sheetData sheetId="31"/>
      <sheetData sheetId="32"/>
      <sheetData sheetId="33"/>
      <sheetData sheetId="34"/>
      <sheetData sheetId="35"/>
      <sheetData sheetId="36"/>
      <sheetData sheetId="37"/>
      <sheetData sheetId="38"/>
      <sheetData sheetId="39"/>
      <sheetData sheetId="40">
        <row r="48">
          <cell r="F48">
            <v>10615268.913047399</v>
          </cell>
        </row>
        <row r="49">
          <cell r="F49">
            <v>186853.49925059997</v>
          </cell>
        </row>
        <row r="50">
          <cell r="F50">
            <v>11056.420074</v>
          </cell>
        </row>
      </sheetData>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persons/person.xml><?xml version="1.0" encoding="utf-8"?>
<personList xmlns="http://schemas.microsoft.com/office/spreadsheetml/2018/threadedcomments" xmlns:x="http://schemas.openxmlformats.org/spreadsheetml/2006/main">
  <person displayName="Ana Teresa Ortega Minakata" id="{8D90A899-1B77-4D9B-A6E2-1AF63E175ECA}" userId="ana.ortega@idom.com" providerId="PeoplePicker"/>
  <person displayName="Uxue Goyoaga Vizcaya" id="{C0E34A6E-8B2A-4849-BF3D-E574860382EB}" userId="S::uxue.goyoaga@idom.com::345b962d-ac99-457b-bc94-45b94aba11d1"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001955-3742-430A-A0AB-D8AFF3D0511E}" name="Tabla3" displayName="Tabla3" ref="A1:A5" totalsRowShown="0">
  <autoFilter ref="A1:A5" xr:uid="{FB001955-3742-430A-A0AB-D8AFF3D0511E}"/>
  <tableColumns count="1">
    <tableColumn id="1" xr3:uid="{C713E216-58FD-4F0F-A402-7C04D174030B}" name="TRAYECTORIA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BAC0A5-5CAD-4935-868B-5BD6A6A8D3B6}" name="Tabla1" displayName="Tabla1" ref="A8:A10" totalsRowShown="0">
  <autoFilter ref="A8:A10" xr:uid="{AFBAC0A5-5CAD-4935-868B-5BD6A6A8D3B6}"/>
  <tableColumns count="1">
    <tableColumn id="1" xr3:uid="{DA50D36B-DE7A-442D-B740-120C05C8B576}" name="PC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C56C4C-995A-4D81-B896-079109FED624}" name="Tabla2" displayName="Tabla2" ref="A12:A15" totalsRowShown="0">
  <autoFilter ref="A12:A15" xr:uid="{43C56C4C-995A-4D81-B896-079109FED624}"/>
  <tableColumns count="1">
    <tableColumn id="1" xr3:uid="{62445834-A506-4844-9926-C7F507496C9B}" name="UNIDAD EMISION "/>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3D70A26-FE30-4300-A236-C4B772A7263D}" name="Tabla4" displayName="Tabla4" ref="A18:A23" totalsRowShown="0">
  <autoFilter ref="A18:A23" xr:uid="{73D70A26-FE30-4300-A236-C4B772A7263D}"/>
  <tableColumns count="1">
    <tableColumn id="1" xr3:uid="{6194F7C9-4670-4C70-AE26-287454B5FF3D}" name="UNIDAD ENERGÍ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E3FF887-8882-4A2D-96AD-42C40991D293}" name="Tabla6" displayName="Tabla6" ref="A32:A33" totalsRowShown="0">
  <autoFilter ref="A32:A33" xr:uid="{FE3FF887-8882-4A2D-96AD-42C40991D293}"/>
  <tableColumns count="1">
    <tableColumn id="1" xr3:uid="{4A989CAF-FDEA-493C-B588-1A9F307F8079}" name="UNIDAD COSTO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156F9BB-6E82-435B-8AB3-611A75B52471}" name="Tabla7" displayName="Tabla7" ref="A25:A29" totalsRowShown="0">
  <autoFilter ref="A25:A29" xr:uid="{4156F9BB-6E82-435B-8AB3-611A75B52471}"/>
  <tableColumns count="1">
    <tableColumn id="1" xr3:uid="{00C937FA-AC54-4872-8E49-ECAB75870EA5}" name="SUPERFICI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56" dT="2023-05-30T09:51:53.53" personId="{C0E34A6E-8B2A-4849-BF3D-E574860382EB}" id="{403A426A-F51C-464E-BC41-1EAB6AB641C5}">
    <text>@Ana Teresa Ortega Minakata</text>
    <mentions>
      <mention mentionpersonId="{8D90A899-1B77-4D9B-A6E2-1AF63E175ECA}" mentionId="{1771FDC7-9352-4CA5-BF04-BF8F24C2997F}" startIndex="0" length="27"/>
    </mentions>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AF1691-BF90-4BF1-9617-3A5F6B2B74EC}">
  <we:reference id="db18cc72-1a17-45df-b60e-7ffb655e8af5" version="1.0.0.4" store="EXCatalog" storeType="EXCatalog"/>
  <we:alternateReferences>
    <we:reference id="WA104381701" version="1.0.0.4" store="es-ES"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customProperty" Target="../customProperty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5.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6.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ustomProperty" Target="../customProperty7.bin"/><Relationship Id="rId2" Type="http://schemas.openxmlformats.org/officeDocument/2006/relationships/printerSettings" Target="../printerSettings/printerSettings6.bin"/><Relationship Id="rId1" Type="http://schemas.openxmlformats.org/officeDocument/2006/relationships/hyperlink" Target="https://www.ipcc.ch/site/assets/uploads/sites/2/2019/10/SR15_Glossary_spanish.pdf" TargetMode="Externa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9.bin"/><Relationship Id="rId1" Type="http://schemas.openxmlformats.org/officeDocument/2006/relationships/printerSettings" Target="../printerSettings/printerSettings8.bin"/><Relationship Id="rId4"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10.bin"/><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customProperty" Target="../customProperty11.bin"/><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customProperty" Target="../customProperty12.bin"/><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customProperty" Target="../customProperty13.bin"/><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customProperty" Target="../customProperty14.bin"/><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customProperty" Target="../customProperty15.bin"/><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customProperty" Target="../customProperty16.bin"/><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customProperty" Target="../customProperty17.bin"/><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customProperty" Target="../customProperty18.bin"/><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customProperty" Target="../customProperty19.bin"/><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customProperty" Target="../customProperty20.bin"/><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customProperty" Target="../customProperty21.bin"/><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customProperty" Target="../customProperty22.bin"/><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customProperty" Target="../customProperty23.bin"/><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customProperty" Target="../customProperty24.bin"/><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customProperty" Target="../customProperty25.bin"/><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customProperty" Target="../customProperty26.bin"/><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customProperty" Target="../customProperty28.bin"/><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customProperty" Target="../customProperty29.bin"/><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customProperty" Target="../customProperty31.bin"/><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ustomProperty" Target="../customProperty32.bin"/><Relationship Id="rId7" Type="http://schemas.microsoft.com/office/2017/10/relationships/threadedComment" Target="../threadedComments/threadedComment1.xml"/><Relationship Id="rId2" Type="http://schemas.openxmlformats.org/officeDocument/2006/relationships/printerSettings" Target="../printerSettings/printerSettings29.bin"/><Relationship Id="rId1" Type="http://schemas.openxmlformats.org/officeDocument/2006/relationships/hyperlink" Target="https://www.pwc.com/gx/en/world-2050/assets/pwc-the-world-in-2050-full-report-feb-2017.pdf" TargetMode="External"/><Relationship Id="rId6" Type="http://schemas.openxmlformats.org/officeDocument/2006/relationships/comments" Target="../comments1.xml"/><Relationship Id="rId5" Type="http://schemas.openxmlformats.org/officeDocument/2006/relationships/vmlDrawing" Target="../drawings/vmlDrawing2.vml"/><Relationship Id="rId4" Type="http://schemas.openxmlformats.org/officeDocument/2006/relationships/drawing" Target="../drawings/drawing36.x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customProperty" Target="../customProperty33.bin"/><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customProperty" Target="../customProperty34.bin"/><Relationship Id="rId1" Type="http://schemas.openxmlformats.org/officeDocument/2006/relationships/printerSettings" Target="../printerSettings/printerSettings31.bin"/><Relationship Id="rId5" Type="http://schemas.openxmlformats.org/officeDocument/2006/relationships/ctrlProp" Target="../ctrlProps/ctrlProp1.xml"/><Relationship Id="rId4" Type="http://schemas.openxmlformats.org/officeDocument/2006/relationships/vmlDrawing" Target="../drawings/vmlDrawing3.vm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customProperty" Target="../customProperty35.bin"/><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customProperty" Target="../customProperty36.bin"/><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customProperty" Target="../customProperty37.bin"/><Relationship Id="rId1" Type="http://schemas.openxmlformats.org/officeDocument/2006/relationships/printerSettings" Target="../printerSettings/printerSettings34.bin"/><Relationship Id="rId5" Type="http://schemas.openxmlformats.org/officeDocument/2006/relationships/ctrlProp" Target="../ctrlProps/ctrlProp2.xml"/><Relationship Id="rId4" Type="http://schemas.openxmlformats.org/officeDocument/2006/relationships/vmlDrawing" Target="../drawings/vmlDrawing4.v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customProperty" Target="../customProperty38.bin"/><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customProperty" Target="../customProperty39.bin"/><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drawing" Target="../drawings/drawing44.x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customProperty" Target="../customProperty40.bin"/><Relationship Id="rId1" Type="http://schemas.openxmlformats.org/officeDocument/2006/relationships/printerSettings" Target="../printerSettings/printerSettings37.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0" Type="http://schemas.openxmlformats.org/officeDocument/2006/relationships/ctrlProp" Target="../ctrlProps/ctrlProp8.xml"/><Relationship Id="rId4" Type="http://schemas.openxmlformats.org/officeDocument/2006/relationships/vmlDrawing" Target="../drawings/vmlDrawing5.vml"/><Relationship Id="rId9" Type="http://schemas.openxmlformats.org/officeDocument/2006/relationships/ctrlProp" Target="../ctrlProps/ctrlProp7.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customProperty" Target="../customProperty41.bin"/><Relationship Id="rId1" Type="http://schemas.openxmlformats.org/officeDocument/2006/relationships/printerSettings" Target="../printerSettings/printerSettings38.bin"/><Relationship Id="rId5" Type="http://schemas.openxmlformats.org/officeDocument/2006/relationships/ctrlProp" Target="../ctrlProps/ctrlProp11.xml"/><Relationship Id="rId4" Type="http://schemas.openxmlformats.org/officeDocument/2006/relationships/vmlDrawing" Target="../drawings/vmlDrawing6.v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customProperty" Target="../customProperty42.bin"/><Relationship Id="rId1" Type="http://schemas.openxmlformats.org/officeDocument/2006/relationships/printerSettings" Target="../printerSettings/printerSettings39.bin"/><Relationship Id="rId6" Type="http://schemas.openxmlformats.org/officeDocument/2006/relationships/ctrlProp" Target="../ctrlProps/ctrlProp13.xml"/><Relationship Id="rId5" Type="http://schemas.openxmlformats.org/officeDocument/2006/relationships/ctrlProp" Target="../ctrlProps/ctrlProp12.xml"/><Relationship Id="rId4" Type="http://schemas.openxmlformats.org/officeDocument/2006/relationships/vmlDrawing" Target="../drawings/vmlDrawing7.vm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customProperty" Target="../customProperty43.bin"/><Relationship Id="rId1" Type="http://schemas.openxmlformats.org/officeDocument/2006/relationships/printerSettings" Target="../printerSettings/printerSettings40.bin"/><Relationship Id="rId5" Type="http://schemas.openxmlformats.org/officeDocument/2006/relationships/ctrlProp" Target="../ctrlProps/ctrlProp14.xml"/><Relationship Id="rId4" Type="http://schemas.openxmlformats.org/officeDocument/2006/relationships/vmlDrawing" Target="../drawings/vmlDrawing8.v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8.xml"/><Relationship Id="rId7" Type="http://schemas.openxmlformats.org/officeDocument/2006/relationships/ctrlProp" Target="../ctrlProps/ctrlProp17.xml"/><Relationship Id="rId2" Type="http://schemas.openxmlformats.org/officeDocument/2006/relationships/customProperty" Target="../customProperty44.bin"/><Relationship Id="rId1" Type="http://schemas.openxmlformats.org/officeDocument/2006/relationships/printerSettings" Target="../printerSettings/printerSettings41.bin"/><Relationship Id="rId6" Type="http://schemas.openxmlformats.org/officeDocument/2006/relationships/ctrlProp" Target="../ctrlProps/ctrlProp16.xml"/><Relationship Id="rId5" Type="http://schemas.openxmlformats.org/officeDocument/2006/relationships/ctrlProp" Target="../ctrlProps/ctrlProp15.xml"/><Relationship Id="rId4" Type="http://schemas.openxmlformats.org/officeDocument/2006/relationships/vmlDrawing" Target="../drawings/vmlDrawing9.v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customProperty" Target="../customProperty45.bin"/><Relationship Id="rId1" Type="http://schemas.openxmlformats.org/officeDocument/2006/relationships/printerSettings" Target="../printerSettings/printerSettings42.bin"/><Relationship Id="rId5" Type="http://schemas.openxmlformats.org/officeDocument/2006/relationships/ctrlProp" Target="../ctrlProps/ctrlProp18.xml"/><Relationship Id="rId4" Type="http://schemas.openxmlformats.org/officeDocument/2006/relationships/vmlDrawing" Target="../drawings/vmlDrawing10.v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customProperty" Target="../customProperty46.bin"/><Relationship Id="rId1" Type="http://schemas.openxmlformats.org/officeDocument/2006/relationships/printerSettings" Target="../printerSettings/printerSettings43.bin"/><Relationship Id="rId5" Type="http://schemas.openxmlformats.org/officeDocument/2006/relationships/ctrlProp" Target="../ctrlProps/ctrlProp19.xml"/><Relationship Id="rId4" Type="http://schemas.openxmlformats.org/officeDocument/2006/relationships/vmlDrawing" Target="../drawings/vmlDrawing11.v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customProperty" Target="../customProperty47.bin"/><Relationship Id="rId1" Type="http://schemas.openxmlformats.org/officeDocument/2006/relationships/printerSettings" Target="../printerSettings/printerSettings44.bin"/><Relationship Id="rId5" Type="http://schemas.openxmlformats.org/officeDocument/2006/relationships/ctrlProp" Target="../ctrlProps/ctrlProp20.xml"/><Relationship Id="rId4" Type="http://schemas.openxmlformats.org/officeDocument/2006/relationships/vmlDrawing" Target="../drawings/vmlDrawing12.v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customProperty" Target="../customProperty48.bin"/><Relationship Id="rId1" Type="http://schemas.openxmlformats.org/officeDocument/2006/relationships/printerSettings" Target="../printerSettings/printerSettings45.bin"/><Relationship Id="rId6" Type="http://schemas.openxmlformats.org/officeDocument/2006/relationships/ctrlProp" Target="../ctrlProps/ctrlProp22.xml"/><Relationship Id="rId5" Type="http://schemas.openxmlformats.org/officeDocument/2006/relationships/ctrlProp" Target="../ctrlProps/ctrlProp21.xml"/><Relationship Id="rId4" Type="http://schemas.openxmlformats.org/officeDocument/2006/relationships/vmlDrawing" Target="../drawings/vmlDrawing13.v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customProperty" Target="../customProperty49.bin"/><Relationship Id="rId1" Type="http://schemas.openxmlformats.org/officeDocument/2006/relationships/printerSettings" Target="../printerSettings/printerSettings46.bin"/><Relationship Id="rId6" Type="http://schemas.openxmlformats.org/officeDocument/2006/relationships/ctrlProp" Target="../ctrlProps/ctrlProp24.xml"/><Relationship Id="rId5" Type="http://schemas.openxmlformats.org/officeDocument/2006/relationships/ctrlProp" Target="../ctrlProps/ctrlProp23.xml"/><Relationship Id="rId4" Type="http://schemas.openxmlformats.org/officeDocument/2006/relationships/vmlDrawing" Target="../drawings/vmlDrawing14.v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54.xml"/><Relationship Id="rId1" Type="http://schemas.openxmlformats.org/officeDocument/2006/relationships/customProperty" Target="../customProperty50.bin"/><Relationship Id="rId4" Type="http://schemas.openxmlformats.org/officeDocument/2006/relationships/ctrlProp" Target="../ctrlProps/ctrlProp25.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customProperty" Target="../customProperty51.bin"/><Relationship Id="rId1" Type="http://schemas.openxmlformats.org/officeDocument/2006/relationships/printerSettings" Target="../printerSettings/printerSettings47.bin"/><Relationship Id="rId5" Type="http://schemas.openxmlformats.org/officeDocument/2006/relationships/ctrlProp" Target="../ctrlProps/ctrlProp26.xml"/><Relationship Id="rId4" Type="http://schemas.openxmlformats.org/officeDocument/2006/relationships/vmlDrawing" Target="../drawings/vmlDrawing16.v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6.xml"/><Relationship Id="rId7" Type="http://schemas.openxmlformats.org/officeDocument/2006/relationships/ctrlProp" Target="../ctrlProps/ctrlProp29.xml"/><Relationship Id="rId2" Type="http://schemas.openxmlformats.org/officeDocument/2006/relationships/customProperty" Target="../customProperty52.bin"/><Relationship Id="rId1" Type="http://schemas.openxmlformats.org/officeDocument/2006/relationships/printerSettings" Target="../printerSettings/printerSettings48.bin"/><Relationship Id="rId6" Type="http://schemas.openxmlformats.org/officeDocument/2006/relationships/ctrlProp" Target="../ctrlProps/ctrlProp28.xml"/><Relationship Id="rId5" Type="http://schemas.openxmlformats.org/officeDocument/2006/relationships/ctrlProp" Target="../ctrlProps/ctrlProp27.xml"/><Relationship Id="rId4" Type="http://schemas.openxmlformats.org/officeDocument/2006/relationships/vmlDrawing" Target="../drawings/vmlDrawing17.vm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7.xml"/><Relationship Id="rId7" Type="http://schemas.openxmlformats.org/officeDocument/2006/relationships/ctrlProp" Target="../ctrlProps/ctrlProp32.xml"/><Relationship Id="rId2" Type="http://schemas.openxmlformats.org/officeDocument/2006/relationships/customProperty" Target="../customProperty53.bin"/><Relationship Id="rId1" Type="http://schemas.openxmlformats.org/officeDocument/2006/relationships/printerSettings" Target="../printerSettings/printerSettings49.bin"/><Relationship Id="rId6" Type="http://schemas.openxmlformats.org/officeDocument/2006/relationships/ctrlProp" Target="../ctrlProps/ctrlProp31.xml"/><Relationship Id="rId5" Type="http://schemas.openxmlformats.org/officeDocument/2006/relationships/ctrlProp" Target="../ctrlProps/ctrlProp30.xml"/><Relationship Id="rId4" Type="http://schemas.openxmlformats.org/officeDocument/2006/relationships/vmlDrawing" Target="../drawings/vmlDrawing18.vm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customProperty" Target="../customProperty54.bin"/><Relationship Id="rId1" Type="http://schemas.openxmlformats.org/officeDocument/2006/relationships/printerSettings" Target="../printerSettings/printerSettings50.bin"/><Relationship Id="rId6" Type="http://schemas.openxmlformats.org/officeDocument/2006/relationships/ctrlProp" Target="../ctrlProps/ctrlProp34.xml"/><Relationship Id="rId5" Type="http://schemas.openxmlformats.org/officeDocument/2006/relationships/ctrlProp" Target="../ctrlProps/ctrlProp33.xml"/><Relationship Id="rId4"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6B0C8-BD3A-419D-BA2D-8E16866489AA}">
  <sheetPr codeName="Hoja1"/>
  <dimension ref="A1:W37"/>
  <sheetViews>
    <sheetView zoomScaleNormal="100" workbookViewId="0">
      <selection activeCell="Y32" sqref="Y32"/>
    </sheetView>
  </sheetViews>
  <sheetFormatPr baseColWidth="10" defaultColWidth="11.42578125" defaultRowHeight="15"/>
  <cols>
    <col min="1" max="20" width="11.42578125" style="1565"/>
    <col min="21" max="23" width="11.42578125" style="1565" customWidth="1"/>
    <col min="24" max="16384" width="11.42578125" style="1564"/>
  </cols>
  <sheetData>
    <row r="1" spans="1:23" ht="15" customHeight="1">
      <c r="A1"/>
      <c r="B1"/>
      <c r="C1"/>
      <c r="D1"/>
      <c r="E1"/>
      <c r="F1"/>
      <c r="G1"/>
      <c r="H1"/>
      <c r="I1"/>
      <c r="J1"/>
      <c r="K1"/>
      <c r="L1"/>
      <c r="M1"/>
      <c r="N1"/>
      <c r="O1"/>
      <c r="P1"/>
      <c r="Q1"/>
      <c r="R1"/>
      <c r="S1"/>
      <c r="T1"/>
      <c r="U1"/>
      <c r="V1"/>
      <c r="W1"/>
    </row>
    <row r="2" spans="1:23" ht="15" customHeight="1">
      <c r="A2"/>
      <c r="B2"/>
      <c r="C2"/>
      <c r="D2"/>
      <c r="E2"/>
      <c r="F2"/>
      <c r="G2"/>
      <c r="H2"/>
      <c r="I2"/>
      <c r="J2"/>
      <c r="K2"/>
      <c r="L2"/>
      <c r="M2"/>
      <c r="N2"/>
      <c r="O2"/>
      <c r="P2"/>
      <c r="Q2"/>
      <c r="R2"/>
      <c r="S2"/>
      <c r="T2"/>
      <c r="U2"/>
      <c r="V2"/>
      <c r="W2"/>
    </row>
    <row r="3" spans="1:23" ht="15" customHeight="1">
      <c r="A3"/>
      <c r="B3"/>
      <c r="C3"/>
      <c r="D3"/>
      <c r="E3"/>
      <c r="F3"/>
      <c r="G3"/>
      <c r="H3"/>
      <c r="I3"/>
      <c r="J3"/>
      <c r="K3"/>
      <c r="L3"/>
      <c r="M3"/>
      <c r="N3"/>
      <c r="O3"/>
      <c r="P3"/>
      <c r="Q3"/>
      <c r="R3"/>
      <c r="S3"/>
      <c r="T3"/>
      <c r="U3"/>
      <c r="V3"/>
      <c r="W3"/>
    </row>
    <row r="4" spans="1:23" ht="15" customHeight="1">
      <c r="A4"/>
      <c r="B4"/>
      <c r="C4"/>
      <c r="D4"/>
      <c r="E4"/>
      <c r="F4"/>
      <c r="G4"/>
      <c r="H4"/>
      <c r="I4"/>
      <c r="J4"/>
      <c r="K4"/>
      <c r="L4"/>
      <c r="M4"/>
      <c r="N4"/>
      <c r="O4"/>
      <c r="P4"/>
      <c r="Q4"/>
      <c r="R4"/>
      <c r="S4"/>
      <c r="T4"/>
      <c r="U4"/>
      <c r="V4"/>
      <c r="W4"/>
    </row>
    <row r="5" spans="1:23" ht="15" customHeight="1">
      <c r="A5"/>
      <c r="B5"/>
      <c r="C5"/>
      <c r="D5"/>
      <c r="E5"/>
      <c r="F5"/>
      <c r="G5"/>
      <c r="H5"/>
      <c r="I5"/>
      <c r="J5"/>
      <c r="K5"/>
      <c r="L5"/>
      <c r="M5"/>
      <c r="N5"/>
      <c r="O5"/>
      <c r="P5"/>
      <c r="Q5"/>
      <c r="R5"/>
      <c r="S5"/>
      <c r="T5"/>
      <c r="U5"/>
      <c r="V5"/>
      <c r="W5"/>
    </row>
    <row r="6" spans="1:23" ht="15" customHeight="1">
      <c r="A6"/>
      <c r="B6"/>
      <c r="C6"/>
      <c r="D6"/>
      <c r="E6"/>
      <c r="F6"/>
      <c r="G6"/>
      <c r="H6"/>
      <c r="I6"/>
      <c r="J6"/>
      <c r="K6"/>
      <c r="L6"/>
      <c r="M6"/>
      <c r="N6"/>
      <c r="O6"/>
      <c r="P6"/>
      <c r="Q6"/>
      <c r="R6"/>
      <c r="S6"/>
      <c r="T6"/>
      <c r="U6"/>
      <c r="V6"/>
      <c r="W6"/>
    </row>
    <row r="7" spans="1:23" ht="15" customHeight="1">
      <c r="A7"/>
      <c r="B7"/>
      <c r="C7"/>
      <c r="D7"/>
      <c r="E7"/>
      <c r="F7"/>
      <c r="G7"/>
      <c r="H7"/>
      <c r="I7"/>
      <c r="J7"/>
      <c r="K7"/>
      <c r="L7"/>
      <c r="M7"/>
      <c r="N7"/>
      <c r="O7"/>
      <c r="P7"/>
      <c r="Q7"/>
      <c r="R7"/>
      <c r="S7"/>
      <c r="T7"/>
      <c r="U7"/>
      <c r="V7"/>
      <c r="W7"/>
    </row>
    <row r="8" spans="1:23" ht="15" customHeight="1">
      <c r="A8"/>
      <c r="B8"/>
      <c r="C8"/>
      <c r="D8"/>
      <c r="E8"/>
      <c r="F8"/>
      <c r="G8"/>
      <c r="H8"/>
      <c r="I8"/>
      <c r="J8"/>
      <c r="K8"/>
      <c r="L8"/>
      <c r="M8"/>
      <c r="N8"/>
      <c r="O8"/>
      <c r="P8"/>
      <c r="Q8"/>
      <c r="R8"/>
      <c r="S8"/>
      <c r="T8"/>
      <c r="U8"/>
      <c r="V8"/>
      <c r="W8"/>
    </row>
    <row r="9" spans="1:23" ht="15" customHeight="1">
      <c r="A9"/>
      <c r="B9"/>
      <c r="C9"/>
      <c r="D9"/>
      <c r="E9"/>
      <c r="F9"/>
      <c r="G9"/>
      <c r="H9"/>
      <c r="I9"/>
      <c r="J9"/>
      <c r="K9"/>
      <c r="L9"/>
      <c r="M9"/>
      <c r="N9"/>
      <c r="O9"/>
      <c r="P9"/>
      <c r="Q9"/>
      <c r="R9"/>
      <c r="S9"/>
      <c r="T9"/>
      <c r="U9"/>
      <c r="V9"/>
      <c r="W9"/>
    </row>
    <row r="10" spans="1:23" ht="15" customHeight="1">
      <c r="A10"/>
      <c r="B10"/>
      <c r="C10"/>
      <c r="D10"/>
      <c r="E10"/>
      <c r="F10"/>
      <c r="G10"/>
      <c r="H10"/>
      <c r="I10"/>
      <c r="J10"/>
      <c r="K10"/>
      <c r="L10"/>
      <c r="M10"/>
      <c r="N10"/>
      <c r="O10"/>
      <c r="P10"/>
      <c r="Q10"/>
      <c r="R10"/>
      <c r="S10"/>
      <c r="T10"/>
      <c r="U10"/>
      <c r="V10"/>
      <c r="W10"/>
    </row>
    <row r="11" spans="1:23" ht="15" customHeight="1">
      <c r="A11"/>
      <c r="B11"/>
      <c r="C11"/>
      <c r="D11"/>
      <c r="E11"/>
      <c r="F11"/>
      <c r="G11"/>
      <c r="H11"/>
      <c r="I11"/>
      <c r="J11"/>
      <c r="K11"/>
      <c r="L11"/>
      <c r="M11"/>
      <c r="N11"/>
      <c r="O11"/>
      <c r="P11"/>
      <c r="Q11"/>
      <c r="R11"/>
      <c r="S11"/>
      <c r="T11"/>
      <c r="U11"/>
      <c r="V11"/>
      <c r="W11"/>
    </row>
    <row r="12" spans="1:23" ht="15" customHeight="1">
      <c r="A12"/>
      <c r="B12"/>
      <c r="C12"/>
      <c r="D12"/>
      <c r="E12"/>
      <c r="F12"/>
      <c r="G12"/>
      <c r="H12"/>
      <c r="I12"/>
      <c r="J12"/>
      <c r="K12"/>
      <c r="L12"/>
      <c r="M12"/>
      <c r="N12"/>
      <c r="O12"/>
      <c r="P12"/>
      <c r="Q12"/>
      <c r="R12"/>
      <c r="S12"/>
      <c r="T12"/>
      <c r="U12"/>
      <c r="V12"/>
      <c r="W12"/>
    </row>
    <row r="13" spans="1:23" ht="15" customHeight="1">
      <c r="A13"/>
      <c r="B13"/>
      <c r="C13"/>
      <c r="D13"/>
      <c r="E13"/>
      <c r="F13"/>
      <c r="G13"/>
      <c r="H13"/>
      <c r="I13"/>
      <c r="J13"/>
      <c r="K13"/>
      <c r="L13"/>
      <c r="M13"/>
      <c r="N13"/>
      <c r="O13"/>
      <c r="P13"/>
      <c r="Q13"/>
      <c r="R13"/>
      <c r="S13"/>
      <c r="T13"/>
      <c r="U13"/>
      <c r="V13"/>
      <c r="W13"/>
    </row>
    <row r="14" spans="1:23" ht="15" customHeight="1">
      <c r="A14"/>
      <c r="B14"/>
      <c r="C14"/>
      <c r="D14"/>
      <c r="E14"/>
      <c r="F14"/>
      <c r="G14"/>
      <c r="H14"/>
      <c r="I14"/>
      <c r="J14"/>
      <c r="K14"/>
      <c r="L14"/>
      <c r="M14"/>
      <c r="N14"/>
      <c r="O14"/>
      <c r="P14"/>
      <c r="Q14"/>
      <c r="R14"/>
      <c r="S14"/>
      <c r="T14"/>
      <c r="U14"/>
      <c r="V14"/>
      <c r="W14"/>
    </row>
    <row r="15" spans="1:23" ht="15" customHeight="1">
      <c r="A15"/>
      <c r="B15"/>
      <c r="C15"/>
      <c r="D15"/>
      <c r="E15"/>
      <c r="F15"/>
      <c r="G15"/>
      <c r="H15"/>
      <c r="I15"/>
      <c r="J15"/>
      <c r="K15"/>
      <c r="L15"/>
      <c r="M15"/>
      <c r="N15"/>
      <c r="O15"/>
      <c r="P15"/>
      <c r="Q15"/>
      <c r="R15"/>
      <c r="S15"/>
      <c r="T15"/>
      <c r="U15"/>
      <c r="V15"/>
      <c r="W15"/>
    </row>
    <row r="16" spans="1:23" ht="15" customHeight="1">
      <c r="A16"/>
      <c r="B16"/>
      <c r="C16"/>
      <c r="D16"/>
      <c r="E16"/>
      <c r="F16"/>
      <c r="G16"/>
      <c r="H16"/>
      <c r="I16"/>
      <c r="J16"/>
      <c r="K16"/>
      <c r="L16"/>
      <c r="M16"/>
      <c r="N16"/>
      <c r="O16"/>
      <c r="P16"/>
      <c r="Q16"/>
      <c r="R16"/>
      <c r="S16"/>
      <c r="T16"/>
      <c r="U16"/>
      <c r="V16"/>
      <c r="W16"/>
    </row>
    <row r="17" spans="1:23" ht="15" customHeight="1">
      <c r="A17"/>
      <c r="B17"/>
      <c r="C17"/>
      <c r="D17"/>
      <c r="E17"/>
      <c r="F17"/>
      <c r="G17"/>
      <c r="H17"/>
      <c r="I17"/>
      <c r="J17"/>
      <c r="K17"/>
      <c r="L17"/>
      <c r="M17"/>
      <c r="N17"/>
      <c r="O17"/>
      <c r="P17"/>
      <c r="Q17"/>
      <c r="R17"/>
      <c r="S17"/>
      <c r="T17"/>
      <c r="U17"/>
      <c r="V17"/>
      <c r="W17"/>
    </row>
    <row r="18" spans="1:23" ht="15" customHeight="1">
      <c r="A18"/>
      <c r="B18"/>
      <c r="C18"/>
      <c r="D18"/>
      <c r="E18"/>
      <c r="F18"/>
      <c r="G18"/>
      <c r="H18"/>
      <c r="I18"/>
      <c r="J18"/>
      <c r="K18"/>
      <c r="L18"/>
      <c r="M18"/>
      <c r="N18"/>
      <c r="O18"/>
      <c r="P18"/>
      <c r="Q18"/>
      <c r="R18"/>
      <c r="S18"/>
      <c r="T18"/>
      <c r="U18"/>
      <c r="V18"/>
      <c r="W18"/>
    </row>
    <row r="19" spans="1:23" ht="15" customHeight="1">
      <c r="A19"/>
      <c r="B19"/>
      <c r="C19"/>
      <c r="D19"/>
      <c r="E19"/>
      <c r="F19"/>
      <c r="G19"/>
      <c r="H19"/>
      <c r="I19"/>
      <c r="J19"/>
      <c r="K19"/>
      <c r="L19"/>
      <c r="M19"/>
      <c r="N19"/>
      <c r="O19"/>
      <c r="P19"/>
      <c r="Q19"/>
      <c r="R19"/>
      <c r="S19"/>
      <c r="T19"/>
      <c r="U19"/>
      <c r="V19"/>
      <c r="W19"/>
    </row>
    <row r="20" spans="1:23" ht="15" customHeight="1">
      <c r="A20"/>
      <c r="B20"/>
      <c r="C20"/>
      <c r="D20"/>
      <c r="E20"/>
      <c r="F20"/>
      <c r="G20"/>
      <c r="H20"/>
      <c r="I20"/>
      <c r="J20"/>
      <c r="K20"/>
      <c r="L20"/>
      <c r="M20"/>
      <c r="N20"/>
      <c r="O20"/>
      <c r="P20"/>
      <c r="Q20"/>
      <c r="R20"/>
      <c r="S20"/>
      <c r="T20"/>
      <c r="U20"/>
      <c r="V20"/>
      <c r="W20"/>
    </row>
    <row r="21" spans="1:23" ht="15" customHeight="1">
      <c r="A21"/>
      <c r="B21"/>
      <c r="C21"/>
      <c r="D21"/>
      <c r="E21"/>
      <c r="F21"/>
      <c r="G21"/>
      <c r="H21"/>
      <c r="I21"/>
      <c r="J21"/>
      <c r="K21"/>
      <c r="L21"/>
      <c r="M21"/>
      <c r="N21"/>
      <c r="O21"/>
      <c r="P21"/>
      <c r="Q21"/>
      <c r="R21"/>
      <c r="S21"/>
      <c r="T21"/>
      <c r="U21"/>
      <c r="V21"/>
      <c r="W21"/>
    </row>
    <row r="22" spans="1:23" ht="15" customHeight="1">
      <c r="A22"/>
      <c r="B22"/>
      <c r="C22"/>
      <c r="D22"/>
      <c r="E22"/>
      <c r="F22"/>
      <c r="G22"/>
      <c r="H22"/>
      <c r="I22"/>
      <c r="J22"/>
      <c r="K22"/>
      <c r="L22"/>
      <c r="M22"/>
      <c r="N22"/>
      <c r="O22"/>
      <c r="P22"/>
      <c r="Q22"/>
      <c r="R22"/>
      <c r="S22"/>
      <c r="T22"/>
      <c r="U22"/>
      <c r="V22"/>
      <c r="W22"/>
    </row>
    <row r="23" spans="1:23" ht="15" customHeight="1">
      <c r="A23"/>
      <c r="B23"/>
      <c r="C23"/>
      <c r="D23"/>
      <c r="E23"/>
      <c r="F23"/>
      <c r="G23"/>
      <c r="H23"/>
      <c r="I23"/>
      <c r="J23"/>
      <c r="K23"/>
      <c r="L23"/>
      <c r="M23"/>
      <c r="N23"/>
      <c r="O23"/>
      <c r="P23"/>
      <c r="Q23"/>
      <c r="R23"/>
      <c r="S23"/>
      <c r="T23"/>
      <c r="U23"/>
      <c r="V23"/>
      <c r="W23"/>
    </row>
    <row r="24" spans="1:23" ht="15" customHeight="1">
      <c r="A24"/>
      <c r="B24"/>
      <c r="C24"/>
      <c r="D24"/>
      <c r="E24"/>
      <c r="F24"/>
      <c r="G24"/>
      <c r="H24"/>
      <c r="I24"/>
      <c r="J24"/>
      <c r="K24"/>
      <c r="L24"/>
      <c r="M24"/>
      <c r="N24"/>
      <c r="O24"/>
      <c r="P24"/>
      <c r="Q24"/>
      <c r="R24"/>
      <c r="S24"/>
      <c r="T24"/>
      <c r="U24"/>
      <c r="V24"/>
      <c r="W24"/>
    </row>
    <row r="25" spans="1:23" ht="15" customHeight="1">
      <c r="A25"/>
      <c r="B25"/>
      <c r="C25"/>
      <c r="D25"/>
      <c r="E25"/>
      <c r="F25"/>
      <c r="G25"/>
      <c r="H25"/>
      <c r="I25"/>
      <c r="J25"/>
      <c r="K25"/>
      <c r="L25"/>
      <c r="M25"/>
      <c r="N25"/>
      <c r="O25"/>
      <c r="P25"/>
      <c r="Q25"/>
      <c r="R25"/>
      <c r="S25"/>
      <c r="T25"/>
      <c r="U25"/>
      <c r="V25"/>
      <c r="W25"/>
    </row>
    <row r="26" spans="1:23" ht="15" customHeight="1">
      <c r="A26"/>
      <c r="B26"/>
      <c r="C26"/>
      <c r="D26"/>
      <c r="E26"/>
      <c r="F26"/>
      <c r="G26"/>
      <c r="H26"/>
      <c r="I26"/>
      <c r="J26"/>
      <c r="K26"/>
      <c r="L26"/>
      <c r="M26"/>
      <c r="N26"/>
      <c r="O26"/>
      <c r="P26"/>
      <c r="Q26"/>
      <c r="R26"/>
      <c r="S26"/>
      <c r="T26"/>
      <c r="U26"/>
      <c r="V26"/>
      <c r="W26"/>
    </row>
    <row r="27" spans="1:23" ht="15" customHeight="1">
      <c r="A27"/>
      <c r="B27"/>
      <c r="C27"/>
      <c r="D27"/>
      <c r="E27"/>
      <c r="F27"/>
      <c r="G27"/>
      <c r="H27"/>
      <c r="I27"/>
      <c r="J27"/>
      <c r="K27"/>
      <c r="L27"/>
      <c r="M27"/>
      <c r="N27"/>
      <c r="O27"/>
      <c r="P27"/>
      <c r="Q27"/>
      <c r="R27"/>
      <c r="S27"/>
      <c r="T27"/>
      <c r="U27"/>
      <c r="V27"/>
      <c r="W27"/>
    </row>
    <row r="28" spans="1:23" ht="15" customHeight="1">
      <c r="A28"/>
      <c r="B28"/>
      <c r="C28"/>
      <c r="D28"/>
      <c r="E28"/>
      <c r="F28"/>
      <c r="G28"/>
      <c r="H28"/>
      <c r="I28"/>
      <c r="J28"/>
      <c r="K28"/>
      <c r="L28"/>
      <c r="M28"/>
      <c r="N28"/>
      <c r="O28"/>
      <c r="P28"/>
      <c r="Q28"/>
      <c r="R28"/>
      <c r="S28"/>
      <c r="T28"/>
      <c r="U28"/>
      <c r="V28"/>
      <c r="W28"/>
    </row>
    <row r="29" spans="1:23" ht="15" customHeight="1">
      <c r="A29"/>
      <c r="B29"/>
      <c r="C29"/>
      <c r="D29"/>
      <c r="E29"/>
      <c r="F29"/>
      <c r="G29"/>
      <c r="H29"/>
      <c r="I29"/>
      <c r="J29"/>
      <c r="K29"/>
      <c r="L29"/>
      <c r="M29"/>
      <c r="N29"/>
      <c r="O29"/>
      <c r="P29"/>
      <c r="Q29"/>
      <c r="R29"/>
      <c r="S29"/>
      <c r="T29"/>
      <c r="U29"/>
      <c r="V29"/>
      <c r="W29"/>
    </row>
    <row r="30" spans="1:23" ht="15" customHeight="1">
      <c r="A30"/>
      <c r="B30"/>
      <c r="C30"/>
      <c r="D30"/>
      <c r="E30"/>
      <c r="F30"/>
      <c r="G30"/>
      <c r="H30"/>
      <c r="I30"/>
      <c r="J30"/>
      <c r="K30"/>
      <c r="L30"/>
      <c r="M30"/>
      <c r="N30"/>
      <c r="O30"/>
      <c r="P30"/>
      <c r="Q30"/>
      <c r="R30"/>
      <c r="S30"/>
      <c r="T30"/>
      <c r="U30"/>
      <c r="V30"/>
      <c r="W30"/>
    </row>
    <row r="31" spans="1:23" ht="15" customHeight="1">
      <c r="A31"/>
      <c r="B31"/>
      <c r="C31"/>
      <c r="D31"/>
      <c r="E31"/>
      <c r="F31"/>
      <c r="G31"/>
      <c r="H31"/>
      <c r="I31"/>
      <c r="J31"/>
      <c r="K31"/>
      <c r="L31"/>
      <c r="M31"/>
      <c r="N31"/>
      <c r="O31"/>
      <c r="P31"/>
      <c r="Q31"/>
      <c r="R31"/>
      <c r="S31"/>
      <c r="T31"/>
      <c r="U31"/>
      <c r="V31"/>
      <c r="W31"/>
    </row>
    <row r="32" spans="1:23" ht="15" customHeight="1">
      <c r="A32"/>
      <c r="B32"/>
      <c r="C32"/>
      <c r="D32"/>
      <c r="E32"/>
      <c r="F32"/>
      <c r="G32"/>
      <c r="H32"/>
      <c r="I32"/>
      <c r="J32"/>
      <c r="K32"/>
      <c r="L32"/>
      <c r="M32"/>
      <c r="N32"/>
      <c r="O32"/>
      <c r="P32"/>
      <c r="Q32"/>
      <c r="R32"/>
      <c r="S32"/>
      <c r="T32"/>
      <c r="U32"/>
      <c r="V32"/>
      <c r="W32"/>
    </row>
    <row r="33" spans="1:23" ht="15" customHeight="1">
      <c r="A33"/>
      <c r="B33"/>
      <c r="C33"/>
      <c r="D33"/>
      <c r="E33"/>
      <c r="F33"/>
      <c r="G33"/>
      <c r="H33"/>
      <c r="I33"/>
      <c r="J33"/>
      <c r="K33"/>
      <c r="L33"/>
      <c r="M33"/>
      <c r="N33"/>
      <c r="O33"/>
      <c r="P33"/>
      <c r="Q33"/>
      <c r="R33"/>
      <c r="S33"/>
      <c r="T33"/>
      <c r="U33"/>
      <c r="V33"/>
      <c r="W33"/>
    </row>
    <row r="34" spans="1:23" ht="15" customHeight="1">
      <c r="A34"/>
      <c r="B34"/>
      <c r="C34"/>
      <c r="D34"/>
      <c r="E34"/>
      <c r="F34"/>
      <c r="G34"/>
      <c r="H34"/>
      <c r="I34"/>
      <c r="J34"/>
      <c r="K34"/>
      <c r="L34"/>
      <c r="M34"/>
      <c r="N34"/>
      <c r="O34"/>
      <c r="P34"/>
      <c r="Q34"/>
      <c r="R34"/>
      <c r="S34"/>
      <c r="T34"/>
      <c r="U34"/>
      <c r="V34"/>
      <c r="W34"/>
    </row>
    <row r="35" spans="1:23" ht="15" customHeight="1">
      <c r="A35"/>
      <c r="B35"/>
      <c r="C35"/>
      <c r="D35"/>
      <c r="E35"/>
      <c r="F35"/>
      <c r="G35"/>
      <c r="H35"/>
      <c r="I35"/>
      <c r="J35"/>
      <c r="K35"/>
      <c r="L35"/>
      <c r="M35"/>
      <c r="N35"/>
      <c r="O35"/>
      <c r="P35"/>
      <c r="Q35"/>
      <c r="R35"/>
      <c r="S35"/>
      <c r="T35"/>
      <c r="U35"/>
      <c r="V35"/>
      <c r="W35"/>
    </row>
    <row r="36" spans="1:23" ht="15" customHeight="1">
      <c r="A36"/>
      <c r="B36"/>
      <c r="C36"/>
      <c r="D36"/>
      <c r="E36"/>
      <c r="F36"/>
      <c r="G36"/>
      <c r="H36"/>
      <c r="I36"/>
      <c r="J36"/>
      <c r="K36"/>
      <c r="L36"/>
      <c r="M36"/>
      <c r="N36"/>
      <c r="O36"/>
      <c r="P36"/>
      <c r="Q36"/>
      <c r="R36"/>
      <c r="S36"/>
      <c r="T36"/>
      <c r="U36"/>
      <c r="V36"/>
      <c r="W36"/>
    </row>
    <row r="37" spans="1:23">
      <c r="A37"/>
      <c r="B37"/>
      <c r="C37"/>
      <c r="D37"/>
      <c r="E37"/>
      <c r="F37"/>
      <c r="G37"/>
      <c r="H37"/>
      <c r="I37"/>
      <c r="J37"/>
      <c r="K37"/>
      <c r="L37"/>
      <c r="M37"/>
      <c r="N37"/>
      <c r="O37"/>
      <c r="P37"/>
      <c r="Q37"/>
      <c r="R37"/>
      <c r="S37"/>
      <c r="T37"/>
      <c r="U37"/>
      <c r="V37"/>
      <c r="W37"/>
    </row>
  </sheetData>
  <sheetProtection algorithmName="SHA-512" hashValue="BC/IAJOLrUqz/nlsCtpZ4sEBMFCFYMNWBq9J91JVzlUEmIlTjX8BSfbbt/0vB0sU6G2dVoppYYL9WFbbbc3OfQ==" saltValue="tsO1XiPVAgy1dwZOJYgY6A==" spinCount="100000" sheet="1" objects="1" scenarios="1"/>
  <pageMargins left="0.7" right="0.7" top="0.75" bottom="0.75" header="0.3" footer="0.3"/>
  <pageSetup paperSize="9" scale="36" orientation="portrait" r:id="rId1"/>
  <customProperties>
    <customPr name="_pios_id"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03A66-BD8C-41C5-AEF3-DC100B7954D9}">
  <sheetPr codeName="Hoja25"/>
  <dimension ref="A1:A33"/>
  <sheetViews>
    <sheetView workbookViewId="0"/>
  </sheetViews>
  <sheetFormatPr baseColWidth="10" defaultColWidth="11.42578125" defaultRowHeight="15"/>
  <cols>
    <col min="1" max="1" width="19.140625" customWidth="1"/>
  </cols>
  <sheetData>
    <row r="1" spans="1:1">
      <c r="A1" t="s">
        <v>0</v>
      </c>
    </row>
    <row r="2" spans="1:1">
      <c r="A2">
        <v>1</v>
      </c>
    </row>
    <row r="3" spans="1:1">
      <c r="A3">
        <v>2</v>
      </c>
    </row>
    <row r="4" spans="1:1">
      <c r="A4">
        <v>3</v>
      </c>
    </row>
    <row r="5" spans="1:1">
      <c r="A5">
        <v>4</v>
      </c>
    </row>
    <row r="8" spans="1:1">
      <c r="A8" t="s">
        <v>1</v>
      </c>
    </row>
    <row r="9" spans="1:1">
      <c r="A9" t="s">
        <v>2</v>
      </c>
    </row>
    <row r="10" spans="1:1">
      <c r="A10" t="s">
        <v>3</v>
      </c>
    </row>
    <row r="12" spans="1:1">
      <c r="A12" t="s">
        <v>4</v>
      </c>
    </row>
    <row r="13" spans="1:1">
      <c r="A13" t="s">
        <v>5</v>
      </c>
    </row>
    <row r="14" spans="1:1">
      <c r="A14" t="s">
        <v>6</v>
      </c>
    </row>
    <row r="15" spans="1:1">
      <c r="A15" t="s">
        <v>7</v>
      </c>
    </row>
    <row r="18" spans="1:1">
      <c r="A18" t="s">
        <v>8</v>
      </c>
    </row>
    <row r="19" spans="1:1">
      <c r="A19" t="s">
        <v>9</v>
      </c>
    </row>
    <row r="20" spans="1:1">
      <c r="A20" t="s">
        <v>10</v>
      </c>
    </row>
    <row r="21" spans="1:1">
      <c r="A21" t="s">
        <v>11</v>
      </c>
    </row>
    <row r="22" spans="1:1">
      <c r="A22" s="1653" t="s">
        <v>12</v>
      </c>
    </row>
    <row r="23" spans="1:1">
      <c r="A23" s="1653" t="s">
        <v>13</v>
      </c>
    </row>
    <row r="25" spans="1:1">
      <c r="A25" t="s">
        <v>14</v>
      </c>
    </row>
    <row r="26" spans="1:1">
      <c r="A26" t="s">
        <v>15</v>
      </c>
    </row>
    <row r="27" spans="1:1">
      <c r="A27" t="s">
        <v>16</v>
      </c>
    </row>
    <row r="28" spans="1:1" ht="17.25">
      <c r="A28" t="s">
        <v>17</v>
      </c>
    </row>
    <row r="29" spans="1:1" ht="17.25">
      <c r="A29" t="s">
        <v>18</v>
      </c>
    </row>
    <row r="32" spans="1:1">
      <c r="A32" t="s">
        <v>19</v>
      </c>
    </row>
    <row r="33" spans="1:1">
      <c r="A33" t="s">
        <v>20</v>
      </c>
    </row>
  </sheetData>
  <sheetProtection algorithmName="SHA-512" hashValue="W2C2UrLJ819eTV5n7SoTkKxzBI1Dxf4/wjew6mBUkvjFu8B0kfjH1erOubjc/3UYTtywkDbVorgNSSHvh+HKoQ==" saltValue="8b9CbK7g6NZKjbu2XQJH7w==" spinCount="100000" sheet="1" objects="1" scenarios="1"/>
  <pageMargins left="0.7" right="0.7" top="0.75" bottom="0.75" header="0.3" footer="0.3"/>
  <customProperties>
    <customPr name="_pios_id" r:id="rId1"/>
  </customProperties>
  <tableParts count="6">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1429F-6D9F-4950-9CDB-0DDF9535B5CE}">
  <sheetPr codeName="Hoja3"/>
  <dimension ref="A1:H74"/>
  <sheetViews>
    <sheetView showGridLines="0" zoomScale="80" zoomScaleNormal="80" workbookViewId="0"/>
  </sheetViews>
  <sheetFormatPr baseColWidth="10" defaultColWidth="11.42578125" defaultRowHeight="15" customHeight="1"/>
  <cols>
    <col min="1" max="1" width="20.7109375" style="678" customWidth="1"/>
    <col min="2" max="2" width="11.42578125" style="680"/>
    <col min="3" max="3" width="83.42578125" style="680" customWidth="1"/>
    <col min="4" max="6" width="11.42578125" style="680"/>
    <col min="7" max="7" width="12" style="679" bestFit="1" customWidth="1"/>
    <col min="8" max="16384" width="11.42578125" style="679"/>
  </cols>
  <sheetData>
    <row r="1" spans="1:4" ht="15" customHeight="1">
      <c r="A1" s="693"/>
    </row>
    <row r="7" spans="1:4" ht="15" customHeight="1">
      <c r="C7" s="1552" t="s">
        <v>21</v>
      </c>
      <c r="D7" s="1553"/>
    </row>
    <row r="8" spans="1:4" ht="15" customHeight="1">
      <c r="D8" s="2212"/>
    </row>
    <row r="9" spans="1:4" ht="15" customHeight="1">
      <c r="C9" s="3845" t="s">
        <v>22</v>
      </c>
      <c r="D9" s="3845"/>
    </row>
    <row r="10" spans="1:4" ht="15" customHeight="1">
      <c r="C10" s="3845"/>
      <c r="D10" s="3845"/>
    </row>
    <row r="11" spans="1:4" ht="15" customHeight="1">
      <c r="C11" s="3845"/>
      <c r="D11" s="3845"/>
    </row>
    <row r="12" spans="1:4" ht="15" customHeight="1">
      <c r="C12" s="3845"/>
      <c r="D12" s="3845"/>
    </row>
    <row r="13" spans="1:4" ht="15" customHeight="1">
      <c r="C13" s="3845"/>
      <c r="D13" s="3845"/>
    </row>
    <row r="14" spans="1:4" ht="15" customHeight="1">
      <c r="C14" s="3845"/>
      <c r="D14" s="3845"/>
    </row>
    <row r="15" spans="1:4" ht="15" customHeight="1">
      <c r="C15" s="3845"/>
      <c r="D15" s="3845"/>
    </row>
    <row r="16" spans="1:4" ht="15" customHeight="1">
      <c r="C16" s="3845"/>
      <c r="D16" s="3845"/>
    </row>
    <row r="17" spans="3:6" ht="15" customHeight="1">
      <c r="C17" s="3845"/>
      <c r="D17" s="3845"/>
    </row>
    <row r="18" spans="3:6" ht="15" customHeight="1">
      <c r="C18" s="3845"/>
      <c r="D18" s="3845"/>
    </row>
    <row r="19" spans="3:6" ht="15" customHeight="1" thickBot="1">
      <c r="C19" s="2213"/>
    </row>
    <row r="20" spans="3:6" ht="15" customHeight="1" thickBot="1">
      <c r="C20" s="2214" t="s">
        <v>23</v>
      </c>
      <c r="D20" s="2244" t="s">
        <v>2</v>
      </c>
    </row>
    <row r="24" spans="3:6" ht="15" customHeight="1">
      <c r="C24" s="1552" t="s">
        <v>24</v>
      </c>
      <c r="D24" s="1553"/>
    </row>
    <row r="25" spans="3:6" ht="15" customHeight="1">
      <c r="C25" s="3846" t="s">
        <v>25</v>
      </c>
      <c r="D25" s="3846"/>
    </row>
    <row r="26" spans="3:6" ht="15" customHeight="1">
      <c r="C26" s="3846"/>
      <c r="D26" s="3846"/>
    </row>
    <row r="27" spans="3:6" ht="15" customHeight="1">
      <c r="C27" s="3846"/>
      <c r="D27" s="3846"/>
    </row>
    <row r="28" spans="3:6" ht="15" customHeight="1">
      <c r="C28" s="3846"/>
      <c r="D28" s="3846"/>
    </row>
    <row r="29" spans="3:6" ht="15" customHeight="1">
      <c r="C29" s="3846"/>
      <c r="D29" s="3846"/>
    </row>
    <row r="30" spans="3:6" ht="15" customHeight="1">
      <c r="C30" s="2215"/>
      <c r="D30" s="2215"/>
      <c r="E30" s="2215"/>
      <c r="F30" s="2215"/>
    </row>
    <row r="31" spans="3:6" ht="15" customHeight="1">
      <c r="C31" s="2216" t="s">
        <v>26</v>
      </c>
      <c r="D31" s="2217"/>
    </row>
    <row r="32" spans="3:6" ht="15" customHeight="1">
      <c r="C32" s="2217"/>
      <c r="D32" s="2217"/>
      <c r="E32" s="2215"/>
      <c r="F32" s="2215"/>
    </row>
    <row r="33" spans="2:8" ht="15" customHeight="1" thickBot="1">
      <c r="B33" s="2218"/>
      <c r="C33" s="3844" t="s">
        <v>27</v>
      </c>
      <c r="D33" s="3844"/>
    </row>
    <row r="34" spans="2:8" ht="15" customHeight="1" thickBot="1">
      <c r="C34" s="2219" t="s">
        <v>28</v>
      </c>
      <c r="D34" s="2242" t="s">
        <v>29</v>
      </c>
      <c r="E34" s="2215"/>
      <c r="F34" s="2215"/>
    </row>
    <row r="35" spans="2:8" ht="15" customHeight="1" thickBot="1">
      <c r="C35" s="2219" t="s">
        <v>30</v>
      </c>
      <c r="D35" s="2242" t="s">
        <v>9</v>
      </c>
    </row>
    <row r="37" spans="2:8" ht="15" customHeight="1">
      <c r="C37" s="2217"/>
      <c r="D37" s="2217"/>
      <c r="E37" s="2215"/>
      <c r="F37" s="2215"/>
    </row>
    <row r="38" spans="2:8" ht="15" customHeight="1">
      <c r="C38" s="2216" t="s">
        <v>31</v>
      </c>
      <c r="D38" s="2217"/>
    </row>
    <row r="39" spans="2:8" ht="15" customHeight="1">
      <c r="C39" s="2217"/>
      <c r="D39" s="2217"/>
      <c r="E39" s="2215"/>
      <c r="F39" s="2215"/>
    </row>
    <row r="40" spans="2:8" ht="15" customHeight="1" thickBot="1">
      <c r="B40" s="2218"/>
      <c r="C40" s="3844" t="s">
        <v>32</v>
      </c>
      <c r="D40" s="3844"/>
    </row>
    <row r="41" spans="2:8" ht="15" customHeight="1" thickBot="1">
      <c r="C41" s="2219" t="s">
        <v>28</v>
      </c>
      <c r="D41" s="2242" t="s">
        <v>29</v>
      </c>
      <c r="E41" s="2215"/>
      <c r="F41" s="2215"/>
    </row>
    <row r="42" spans="2:8" ht="15" customHeight="1" thickBot="1">
      <c r="C42" s="2219" t="s">
        <v>30</v>
      </c>
      <c r="D42" s="2243" t="s">
        <v>9</v>
      </c>
    </row>
    <row r="43" spans="2:8" ht="15" customHeight="1">
      <c r="C43" s="680" t="s">
        <v>33</v>
      </c>
    </row>
    <row r="44" spans="2:8" ht="15" customHeight="1" thickBot="1">
      <c r="B44" s="2218"/>
      <c r="C44" s="3844" t="s">
        <v>34</v>
      </c>
      <c r="D44" s="3844"/>
    </row>
    <row r="45" spans="2:8" ht="15" customHeight="1" thickBot="1">
      <c r="C45" s="2219" t="s">
        <v>28</v>
      </c>
      <c r="D45" s="2242" t="s">
        <v>35</v>
      </c>
    </row>
    <row r="46" spans="2:8" ht="15" customHeight="1" thickBot="1">
      <c r="C46" s="2219" t="s">
        <v>30</v>
      </c>
      <c r="D46" s="2242" t="s">
        <v>9</v>
      </c>
    </row>
    <row r="48" spans="2:8" ht="15" customHeight="1" thickBot="1">
      <c r="B48" s="2218"/>
      <c r="C48" s="3844" t="s">
        <v>36</v>
      </c>
      <c r="D48" s="3844"/>
      <c r="H48" s="680"/>
    </row>
    <row r="49" spans="2:4" ht="15" customHeight="1" thickBot="1">
      <c r="C49" s="2219" t="s">
        <v>28</v>
      </c>
      <c r="D49" s="2242" t="s">
        <v>35</v>
      </c>
    </row>
    <row r="50" spans="2:4" ht="15" customHeight="1" thickBot="1">
      <c r="C50" s="2219" t="s">
        <v>30</v>
      </c>
      <c r="D50" s="2242" t="s">
        <v>9</v>
      </c>
    </row>
    <row r="52" spans="2:4" ht="15" customHeight="1" thickBot="1">
      <c r="B52" s="2218"/>
      <c r="C52" s="3844" t="s">
        <v>37</v>
      </c>
      <c r="D52" s="3844"/>
    </row>
    <row r="53" spans="2:4" ht="15" customHeight="1" thickBot="1">
      <c r="C53" s="2219" t="s">
        <v>28</v>
      </c>
      <c r="D53" s="2242" t="s">
        <v>35</v>
      </c>
    </row>
    <row r="54" spans="2:4" ht="15" customHeight="1" thickBot="1">
      <c r="C54" s="2219" t="s">
        <v>30</v>
      </c>
      <c r="D54" s="2242" t="s">
        <v>9</v>
      </c>
    </row>
    <row r="56" spans="2:4" ht="15" customHeight="1" thickBot="1">
      <c r="B56" s="2218"/>
      <c r="C56" s="3844" t="s">
        <v>38</v>
      </c>
      <c r="D56" s="3844"/>
    </row>
    <row r="57" spans="2:4" ht="15" customHeight="1" thickBot="1">
      <c r="C57" s="2219" t="s">
        <v>28</v>
      </c>
      <c r="D57" s="2242" t="s">
        <v>35</v>
      </c>
    </row>
    <row r="58" spans="2:4" ht="15" customHeight="1" thickBot="1">
      <c r="C58" s="2219" t="s">
        <v>30</v>
      </c>
      <c r="D58" s="2242" t="s">
        <v>9</v>
      </c>
    </row>
    <row r="60" spans="2:4" ht="15" customHeight="1" thickBot="1">
      <c r="B60" s="2218"/>
      <c r="C60" s="3844" t="s">
        <v>39</v>
      </c>
      <c r="D60" s="3844"/>
    </row>
    <row r="61" spans="2:4" ht="15" customHeight="1" thickBot="1">
      <c r="C61" s="2219" t="s">
        <v>28</v>
      </c>
      <c r="D61" s="2242" t="s">
        <v>35</v>
      </c>
    </row>
    <row r="62" spans="2:4" ht="15" customHeight="1" thickBot="1">
      <c r="C62" s="2219" t="s">
        <v>30</v>
      </c>
      <c r="D62" s="2242" t="s">
        <v>9</v>
      </c>
    </row>
    <row r="64" spans="2:4" ht="15" customHeight="1" thickBot="1">
      <c r="B64" s="2218"/>
      <c r="C64" s="3844" t="s">
        <v>40</v>
      </c>
      <c r="D64" s="3844"/>
    </row>
    <row r="65" spans="2:4" ht="15" customHeight="1" thickBot="1">
      <c r="C65" s="2219" t="s">
        <v>28</v>
      </c>
      <c r="D65" s="2242" t="s">
        <v>35</v>
      </c>
    </row>
    <row r="66" spans="2:4" ht="15" customHeight="1" thickBot="1">
      <c r="C66" s="2219" t="s">
        <v>30</v>
      </c>
      <c r="D66" s="2242" t="s">
        <v>9</v>
      </c>
    </row>
    <row r="68" spans="2:4" ht="15" customHeight="1" thickBot="1">
      <c r="B68" s="2218"/>
      <c r="C68" s="3844" t="s">
        <v>41</v>
      </c>
      <c r="D68" s="3844"/>
    </row>
    <row r="69" spans="2:4" ht="15" customHeight="1" thickBot="1">
      <c r="C69" s="2219" t="s">
        <v>28</v>
      </c>
      <c r="D69" s="2242" t="s">
        <v>35</v>
      </c>
    </row>
    <row r="70" spans="2:4" ht="15" customHeight="1" thickBot="1">
      <c r="C70" s="2219" t="s">
        <v>30</v>
      </c>
      <c r="D70" s="2242" t="s">
        <v>9</v>
      </c>
    </row>
    <row r="72" spans="2:4" ht="15" customHeight="1" thickBot="1">
      <c r="B72" s="2218"/>
      <c r="C72" s="3844" t="s">
        <v>42</v>
      </c>
      <c r="D72" s="3844"/>
    </row>
    <row r="73" spans="2:4" ht="15" customHeight="1" thickBot="1">
      <c r="C73" s="2219" t="s">
        <v>28</v>
      </c>
      <c r="D73" s="2242" t="s">
        <v>35</v>
      </c>
    </row>
    <row r="74" spans="2:4" ht="15" customHeight="1" thickBot="1">
      <c r="C74" s="2219" t="s">
        <v>43</v>
      </c>
      <c r="D74" s="2242" t="s">
        <v>16</v>
      </c>
    </row>
  </sheetData>
  <sheetProtection algorithmName="SHA-512" hashValue="3s/cB4p6O+Fi/73+jXeLJbC0UA2cPiEvcLSawoLU8eSdstndk+A58y4q12gNTiVNoFU91rFsuv236sODYjvKmg==" saltValue="YzJh55VdrglSJGKhcd4YKg==" spinCount="100000" sheet="1" objects="1" scenarios="1"/>
  <mergeCells count="12">
    <mergeCell ref="C9:D18"/>
    <mergeCell ref="C40:D40"/>
    <mergeCell ref="C44:D44"/>
    <mergeCell ref="C68:D68"/>
    <mergeCell ref="C33:D33"/>
    <mergeCell ref="C25:D29"/>
    <mergeCell ref="C72:D72"/>
    <mergeCell ref="C48:D48"/>
    <mergeCell ref="C52:D52"/>
    <mergeCell ref="C56:D56"/>
    <mergeCell ref="C60:D60"/>
    <mergeCell ref="C64:D64"/>
  </mergeCells>
  <phoneticPr fontId="11" type="noConversion"/>
  <pageMargins left="0.7" right="0.7" top="0.75" bottom="0.75" header="0.3" footer="0.3"/>
  <pageSetup paperSize="9" scale="50" orientation="portrait" r:id="rId1"/>
  <customProperties>
    <customPr name="_pios_id" r:id="rId2"/>
  </customProperties>
  <drawing r:id="rId3"/>
  <extLst>
    <ext xmlns:x14="http://schemas.microsoft.com/office/spreadsheetml/2009/9/main" uri="{CCE6A557-97BC-4b89-ADB6-D9C93CAAB3DF}">
      <x14:dataValidations xmlns:xm="http://schemas.microsoft.com/office/excel/2006/main" count="4">
        <x14:dataValidation type="list" allowBlank="1" showInputMessage="1" showErrorMessage="1" error="Debe seleccionar las opciones dispuestas en la lista desplegable" prompt="Por favor, seleccione los PCG que desee utilizar para el cálculo" xr:uid="{E1A3F1E6-CA29-4DBF-8CA5-07D80E330A62}">
          <x14:formula1>
            <xm:f>'DESPLEGABLES (ocultar)'!$A$9:$A$10</xm:f>
          </x14:formula1>
          <xm:sqref>D20</xm:sqref>
        </x14:dataValidation>
        <x14:dataValidation type="list" allowBlank="1" showInputMessage="1" showErrorMessage="1" error="Debe seleccionar las opciones dispuestas en la lista desplegable" prompt="Por favor, seleccione las unidades que desee utilizar para la representación gráfica _x000a_" xr:uid="{8D02EA5A-1FB9-4521-8FBE-F270F2507610}">
          <x14:formula1>
            <xm:f>'DESPLEGABLES (ocultar)'!$A$13:$A$15</xm:f>
          </x14:formula1>
          <xm:sqref>D34 D73 D45 D49 D53 D57 D61 D65 D69 D41</xm:sqref>
        </x14:dataValidation>
        <x14:dataValidation type="list" allowBlank="1" showInputMessage="1" showErrorMessage="1" error="Debe seleccionar las opciones dispuestas en la lista desplegable" prompt="Por favor, seleccione las unidades que desee utilizar para la representación gráfica_x000a_" xr:uid="{51A3448C-F4C1-4BF9-8F0B-EBA35D17F60F}">
          <x14:formula1>
            <xm:f>'DESPLEGABLES (ocultar)'!$A$26:$A$29</xm:f>
          </x14:formula1>
          <xm:sqref>D74</xm:sqref>
        </x14:dataValidation>
        <x14:dataValidation type="list" allowBlank="1" showInputMessage="1" showErrorMessage="1" error="Debe seleccionar las opciones dispuestas en la lista desplegable" prompt="Por favor, seleccione las unidades que desee utilizar para la representación gráfica_x000a_" xr:uid="{F17EBBC5-9ABC-46F7-BB1F-531557AFB332}">
          <x14:formula1>
            <xm:f>'DESPLEGABLES (ocultar)'!$A$19:$A$23</xm:f>
          </x14:formula1>
          <xm:sqref>D35 D42 D66 D46 D50 D54 D58 D62 D70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8FFC7-E0BF-4BDA-9600-148DBE29D0C9}">
  <sheetPr codeName="Hoja9"/>
  <dimension ref="A1:X477"/>
  <sheetViews>
    <sheetView showGridLines="0" zoomScale="80" zoomScaleNormal="80" workbookViewId="0"/>
  </sheetViews>
  <sheetFormatPr baseColWidth="10" defaultColWidth="11.42578125" defaultRowHeight="15"/>
  <cols>
    <col min="1" max="1" width="20.7109375" style="678" customWidth="1"/>
    <col min="2" max="16384" width="11.42578125" style="3"/>
  </cols>
  <sheetData>
    <row r="1" spans="1:18" ht="15" customHeight="1">
      <c r="A1" s="693"/>
    </row>
    <row r="2" spans="1:18" ht="15" customHeight="1"/>
    <row r="3" spans="1:18" ht="15" customHeight="1">
      <c r="A3" s="1559"/>
    </row>
    <row r="4" spans="1:18" ht="15" customHeight="1"/>
    <row r="5" spans="1:18" ht="15" customHeight="1">
      <c r="A5" s="1559"/>
    </row>
    <row r="6" spans="1:18" ht="15" customHeight="1"/>
    <row r="7" spans="1:18" ht="15" customHeight="1">
      <c r="C7" s="3143" t="s">
        <v>44</v>
      </c>
      <c r="D7" s="2210"/>
      <c r="E7" s="2210"/>
      <c r="F7" s="2210"/>
      <c r="G7" s="2210"/>
      <c r="H7" s="2210"/>
      <c r="I7" s="2210"/>
      <c r="J7" s="670"/>
      <c r="K7" s="671"/>
      <c r="L7" s="671"/>
      <c r="M7" s="671"/>
      <c r="N7" s="671"/>
      <c r="O7" s="671"/>
      <c r="P7" s="671"/>
      <c r="Q7" s="671"/>
      <c r="R7" s="671"/>
    </row>
    <row r="8" spans="1:18" ht="15" customHeight="1"/>
    <row r="9" spans="1:18" ht="15" customHeight="1"/>
    <row r="10" spans="1:18" ht="15" customHeight="1"/>
    <row r="11" spans="1:18" ht="15" customHeight="1"/>
    <row r="12" spans="1:18" ht="15" customHeight="1"/>
    <row r="13" spans="1:18" ht="15" customHeight="1"/>
    <row r="14" spans="1:18" ht="15" customHeight="1"/>
    <row r="15" spans="1:18" ht="15" customHeight="1"/>
    <row r="16" spans="1:18" ht="15" customHeight="1"/>
    <row r="17" spans="3:21" ht="15" customHeight="1"/>
    <row r="18" spans="3:21" ht="15" customHeight="1"/>
    <row r="19" spans="3:21" ht="15" customHeight="1"/>
    <row r="20" spans="3:21" ht="15" customHeight="1">
      <c r="U20"/>
    </row>
    <row r="21" spans="3:21" ht="15" customHeight="1"/>
    <row r="22" spans="3:21" ht="15" customHeight="1"/>
    <row r="23" spans="3:21" ht="15" customHeight="1"/>
    <row r="24" spans="3:21" ht="15" customHeight="1"/>
    <row r="25" spans="3:21" ht="15" customHeight="1"/>
    <row r="26" spans="3:21" ht="15" customHeight="1">
      <c r="C26" s="3143" t="s">
        <v>45</v>
      </c>
      <c r="D26" s="2210"/>
      <c r="E26" s="670"/>
      <c r="F26" s="670"/>
      <c r="G26" s="670"/>
      <c r="H26" s="670"/>
      <c r="I26" s="670"/>
      <c r="J26" s="670"/>
      <c r="K26" s="671"/>
      <c r="L26" s="671"/>
      <c r="M26" s="671"/>
      <c r="N26" s="671"/>
      <c r="O26" s="671"/>
      <c r="P26" s="671"/>
      <c r="Q26" s="671"/>
      <c r="R26" s="671"/>
    </row>
    <row r="27" spans="3:21" ht="15" customHeight="1"/>
    <row r="28" spans="3:21" ht="15" customHeight="1">
      <c r="N28" s="673"/>
      <c r="O28" s="673"/>
      <c r="P28" s="673"/>
    </row>
    <row r="29" spans="3:21" ht="15" customHeight="1">
      <c r="N29" s="673"/>
      <c r="O29" s="673"/>
      <c r="P29" s="673"/>
    </row>
    <row r="30" spans="3:21" ht="15" customHeight="1">
      <c r="N30" s="673"/>
      <c r="O30" s="673"/>
      <c r="P30" s="673"/>
    </row>
    <row r="31" spans="3:21" ht="15" customHeight="1">
      <c r="N31" s="673"/>
      <c r="O31" s="673"/>
      <c r="P31" s="673"/>
    </row>
    <row r="32" spans="3:21" ht="15" customHeight="1">
      <c r="N32" s="673"/>
      <c r="O32" s="673"/>
      <c r="P32" s="673"/>
    </row>
    <row r="33" spans="1:17" ht="15" customHeight="1"/>
    <row r="34" spans="1:17" ht="15" customHeight="1">
      <c r="L34" s="674"/>
      <c r="M34" s="674"/>
      <c r="N34" s="674"/>
      <c r="O34" s="674"/>
      <c r="P34" s="674"/>
      <c r="Q34" s="674"/>
    </row>
    <row r="35" spans="1:17" ht="15" customHeight="1">
      <c r="A35" s="1559"/>
      <c r="L35" s="674"/>
      <c r="M35" s="674"/>
      <c r="N35" s="674"/>
      <c r="O35" s="674"/>
      <c r="P35" s="674"/>
      <c r="Q35" s="674"/>
    </row>
    <row r="36" spans="1:17" ht="15" customHeight="1">
      <c r="L36" s="674"/>
      <c r="M36" s="674"/>
      <c r="N36" s="674"/>
      <c r="O36" s="674"/>
      <c r="P36" s="674"/>
      <c r="Q36" s="674"/>
    </row>
    <row r="37" spans="1:17" ht="15" customHeight="1">
      <c r="L37" s="674"/>
      <c r="M37" s="674"/>
      <c r="N37" s="674"/>
      <c r="O37" s="674"/>
      <c r="P37" s="674"/>
      <c r="Q37" s="674"/>
    </row>
    <row r="38" spans="1:17" ht="15" customHeight="1">
      <c r="L38" s="674"/>
      <c r="M38" s="674"/>
      <c r="N38" s="674"/>
      <c r="O38" s="674"/>
      <c r="P38" s="674"/>
      <c r="Q38" s="674"/>
    </row>
    <row r="39" spans="1:17" ht="15" customHeight="1">
      <c r="L39" s="674"/>
      <c r="M39" s="674"/>
      <c r="N39" s="674"/>
      <c r="O39" s="674"/>
      <c r="P39" s="674"/>
      <c r="Q39" s="674"/>
    </row>
    <row r="40" spans="1:17" ht="15" customHeight="1"/>
    <row r="41" spans="1:17" ht="15" customHeight="1"/>
    <row r="42" spans="1:17" ht="15" customHeight="1"/>
    <row r="43" spans="1:17" ht="15" customHeight="1"/>
    <row r="44" spans="1:17" ht="15" customHeight="1"/>
    <row r="45" spans="1:17" ht="15" customHeight="1">
      <c r="H45" s="673"/>
      <c r="I45" s="673"/>
      <c r="J45" s="673"/>
    </row>
    <row r="46" spans="1:17" ht="15" customHeight="1">
      <c r="E46" s="673"/>
      <c r="F46" s="673"/>
      <c r="G46" s="673"/>
      <c r="H46" s="673"/>
      <c r="I46" s="673"/>
      <c r="J46" s="673"/>
    </row>
    <row r="47" spans="1:17" ht="15" customHeight="1">
      <c r="C47" s="669" t="s">
        <v>46</v>
      </c>
      <c r="D47" s="669"/>
      <c r="E47" s="670"/>
      <c r="F47" s="670"/>
      <c r="G47" s="670"/>
      <c r="H47" s="670"/>
      <c r="I47" s="670"/>
      <c r="J47" s="670"/>
      <c r="K47" s="671"/>
      <c r="L47" s="671"/>
      <c r="M47" s="671"/>
      <c r="N47" s="671"/>
      <c r="O47" s="671"/>
      <c r="P47" s="671"/>
    </row>
    <row r="48" spans="1:17" ht="15" customHeight="1"/>
    <row r="49" spans="5:18" ht="15" customHeight="1"/>
    <row r="50" spans="5:18" ht="15" customHeight="1"/>
    <row r="51" spans="5:18" ht="15" customHeight="1"/>
    <row r="52" spans="5:18" ht="15" customHeight="1"/>
    <row r="53" spans="5:18" ht="15" customHeight="1">
      <c r="E53" s="673"/>
      <c r="F53" s="673"/>
      <c r="G53" s="673"/>
      <c r="H53" s="673"/>
      <c r="I53" s="673"/>
      <c r="J53" s="673"/>
      <c r="K53" s="674"/>
      <c r="L53" s="674"/>
      <c r="M53" s="674"/>
      <c r="N53" s="674"/>
      <c r="O53" s="674"/>
      <c r="P53" s="674"/>
      <c r="R53" s="675"/>
    </row>
    <row r="54" spans="5:18" ht="15" customHeight="1">
      <c r="E54" s="673"/>
      <c r="F54" s="673"/>
      <c r="G54" s="673"/>
      <c r="H54" s="673"/>
      <c r="I54" s="673"/>
      <c r="J54" s="673"/>
      <c r="K54" s="674"/>
      <c r="L54" s="674"/>
      <c r="M54" s="674"/>
      <c r="N54" s="674"/>
      <c r="O54" s="674"/>
      <c r="P54" s="674"/>
      <c r="R54" s="675"/>
    </row>
    <row r="55" spans="5:18" ht="15" customHeight="1">
      <c r="E55" s="673"/>
      <c r="F55" s="673"/>
      <c r="G55" s="673"/>
      <c r="H55" s="673"/>
      <c r="I55" s="673"/>
      <c r="J55" s="673"/>
      <c r="K55" s="674"/>
      <c r="L55" s="674"/>
      <c r="M55" s="674"/>
      <c r="N55" s="674"/>
      <c r="O55" s="674"/>
      <c r="P55" s="674"/>
      <c r="R55" s="675"/>
    </row>
    <row r="56" spans="5:18" ht="15" customHeight="1">
      <c r="E56" s="673"/>
      <c r="F56" s="673"/>
      <c r="G56" s="673"/>
      <c r="H56" s="673"/>
      <c r="I56" s="673"/>
      <c r="J56" s="673"/>
      <c r="K56" s="674"/>
      <c r="L56" s="674"/>
      <c r="M56" s="674"/>
      <c r="N56" s="674"/>
      <c r="O56" s="674"/>
      <c r="P56" s="674"/>
      <c r="R56" s="675"/>
    </row>
    <row r="57" spans="5:18" ht="15" customHeight="1">
      <c r="E57" s="673"/>
      <c r="F57" s="673"/>
      <c r="G57" s="673"/>
      <c r="H57" s="673"/>
      <c r="I57" s="673"/>
      <c r="J57" s="673"/>
      <c r="K57" s="674"/>
      <c r="L57" s="674"/>
      <c r="M57" s="674"/>
      <c r="N57" s="674"/>
      <c r="O57" s="674"/>
      <c r="P57" s="674"/>
      <c r="R57" s="675"/>
    </row>
    <row r="58" spans="5:18" ht="15" customHeight="1">
      <c r="E58" s="673"/>
      <c r="F58" s="673"/>
      <c r="G58" s="673"/>
      <c r="H58" s="673"/>
      <c r="I58" s="673"/>
      <c r="J58" s="673"/>
      <c r="K58" s="674"/>
      <c r="L58" s="674"/>
      <c r="M58" s="674"/>
      <c r="N58" s="674"/>
      <c r="O58" s="674"/>
      <c r="P58" s="674"/>
      <c r="R58" s="675"/>
    </row>
    <row r="59" spans="5:18" ht="15" customHeight="1">
      <c r="E59" s="673"/>
      <c r="F59" s="673"/>
      <c r="G59" s="673"/>
      <c r="H59" s="673"/>
      <c r="I59" s="673"/>
      <c r="J59" s="673"/>
      <c r="K59" s="674"/>
      <c r="L59" s="674"/>
      <c r="M59" s="674"/>
      <c r="N59" s="674"/>
      <c r="O59" s="674"/>
      <c r="P59" s="674"/>
      <c r="R59" s="675"/>
    </row>
    <row r="60" spans="5:18" ht="15" customHeight="1">
      <c r="E60" s="673"/>
      <c r="F60" s="673"/>
      <c r="G60" s="673"/>
      <c r="H60" s="673"/>
      <c r="I60" s="673"/>
      <c r="J60" s="673"/>
      <c r="K60" s="674"/>
      <c r="L60" s="674"/>
      <c r="M60" s="674"/>
      <c r="N60" s="674"/>
      <c r="O60" s="674"/>
      <c r="P60" s="674"/>
      <c r="R60" s="675"/>
    </row>
    <row r="61" spans="5:18" ht="15" customHeight="1">
      <c r="E61" s="673"/>
      <c r="F61" s="673"/>
      <c r="G61" s="673"/>
      <c r="H61" s="673"/>
      <c r="I61" s="673"/>
      <c r="J61" s="673"/>
      <c r="K61" s="674"/>
      <c r="L61" s="674"/>
      <c r="M61" s="674"/>
      <c r="N61" s="674"/>
      <c r="O61" s="674"/>
      <c r="P61" s="674"/>
      <c r="R61" s="675"/>
    </row>
    <row r="62" spans="5:18" ht="15" customHeight="1">
      <c r="E62" s="673"/>
      <c r="F62" s="673"/>
      <c r="G62" s="673"/>
      <c r="H62" s="673"/>
      <c r="I62" s="673"/>
      <c r="J62" s="673"/>
      <c r="K62" s="674"/>
      <c r="L62" s="674"/>
      <c r="M62" s="674"/>
      <c r="N62" s="674"/>
      <c r="O62" s="674"/>
      <c r="P62" s="674"/>
      <c r="R62" s="675"/>
    </row>
    <row r="63" spans="5:18" ht="15" customHeight="1">
      <c r="E63" s="673"/>
      <c r="F63" s="673"/>
      <c r="G63" s="673"/>
      <c r="H63" s="673"/>
      <c r="I63" s="673"/>
      <c r="J63" s="673"/>
      <c r="K63" s="674"/>
      <c r="L63" s="674"/>
      <c r="M63" s="674"/>
      <c r="N63" s="674"/>
      <c r="O63" s="674"/>
      <c r="P63" s="674"/>
      <c r="R63" s="675"/>
    </row>
    <row r="64" spans="5:18" ht="15" customHeight="1">
      <c r="E64" s="673"/>
      <c r="F64" s="673"/>
      <c r="G64" s="673"/>
      <c r="H64" s="673"/>
      <c r="I64" s="673"/>
      <c r="J64" s="673"/>
      <c r="K64" s="674"/>
      <c r="L64" s="674"/>
      <c r="M64" s="674"/>
      <c r="N64" s="674"/>
      <c r="O64" s="674"/>
      <c r="P64" s="674"/>
      <c r="R64" s="675"/>
    </row>
    <row r="65" spans="5:18" ht="15" customHeight="1">
      <c r="E65" s="673"/>
      <c r="F65" s="673"/>
      <c r="G65" s="673"/>
      <c r="H65" s="673"/>
      <c r="I65" s="673"/>
      <c r="J65" s="673"/>
      <c r="K65" s="674"/>
      <c r="L65" s="674"/>
      <c r="M65" s="674"/>
      <c r="N65" s="674"/>
      <c r="O65" s="674"/>
      <c r="P65" s="674"/>
      <c r="R65" s="675"/>
    </row>
    <row r="66" spans="5:18" ht="15" customHeight="1">
      <c r="E66" s="673"/>
      <c r="F66" s="673"/>
      <c r="G66" s="673"/>
      <c r="H66" s="673"/>
      <c r="I66" s="673"/>
      <c r="J66" s="673"/>
      <c r="K66" s="674"/>
      <c r="L66" s="674"/>
      <c r="M66" s="674"/>
      <c r="N66" s="674"/>
      <c r="O66" s="674"/>
      <c r="P66" s="674"/>
      <c r="R66" s="675"/>
    </row>
    <row r="67" spans="5:18" ht="15" customHeight="1">
      <c r="E67" s="673"/>
      <c r="F67" s="673"/>
      <c r="G67" s="673"/>
      <c r="H67" s="673"/>
      <c r="I67" s="673"/>
      <c r="J67" s="673"/>
      <c r="K67" s="674"/>
      <c r="L67" s="674"/>
      <c r="M67" s="674"/>
      <c r="N67" s="674"/>
      <c r="O67" s="674"/>
      <c r="P67" s="674"/>
      <c r="R67" s="675"/>
    </row>
    <row r="68" spans="5:18" ht="15" customHeight="1">
      <c r="E68" s="673"/>
      <c r="F68" s="673"/>
      <c r="G68" s="673"/>
      <c r="H68" s="673"/>
      <c r="I68" s="673"/>
      <c r="J68" s="673"/>
      <c r="K68" s="674"/>
      <c r="L68" s="674"/>
      <c r="M68" s="674"/>
      <c r="N68" s="674"/>
      <c r="O68" s="674"/>
      <c r="P68" s="674"/>
      <c r="R68" s="675"/>
    </row>
    <row r="69" spans="5:18" ht="15" customHeight="1">
      <c r="E69" s="673"/>
      <c r="F69" s="673"/>
      <c r="G69" s="673"/>
      <c r="H69" s="673"/>
      <c r="I69" s="673"/>
      <c r="J69" s="673"/>
      <c r="K69" s="674"/>
      <c r="L69" s="674"/>
      <c r="M69" s="674"/>
      <c r="N69" s="674"/>
      <c r="O69" s="674"/>
      <c r="P69" s="674"/>
      <c r="R69" s="675"/>
    </row>
    <row r="70" spans="5:18" ht="15" customHeight="1">
      <c r="E70" s="673"/>
      <c r="F70" s="673"/>
      <c r="G70" s="673"/>
      <c r="H70" s="673"/>
      <c r="I70" s="673"/>
      <c r="J70" s="673"/>
      <c r="K70" s="674"/>
      <c r="L70" s="674"/>
      <c r="M70" s="674"/>
      <c r="N70" s="674"/>
      <c r="O70" s="674"/>
      <c r="P70" s="674"/>
      <c r="R70" s="675"/>
    </row>
    <row r="71" spans="5:18" ht="15" customHeight="1">
      <c r="E71" s="673"/>
      <c r="F71" s="673"/>
      <c r="G71" s="673"/>
      <c r="H71" s="673"/>
      <c r="I71" s="673"/>
      <c r="J71" s="673"/>
      <c r="K71" s="674"/>
      <c r="L71" s="674"/>
      <c r="M71" s="674"/>
      <c r="N71" s="674"/>
      <c r="O71" s="674"/>
      <c r="P71" s="674"/>
      <c r="R71" s="675"/>
    </row>
    <row r="72" spans="5:18" ht="15" customHeight="1">
      <c r="E72" s="673"/>
      <c r="F72" s="673"/>
      <c r="G72" s="673"/>
      <c r="H72" s="673"/>
      <c r="I72" s="673"/>
      <c r="J72" s="673"/>
      <c r="K72" s="674"/>
      <c r="L72" s="674"/>
      <c r="M72" s="674"/>
      <c r="N72" s="674"/>
      <c r="O72" s="674"/>
      <c r="P72" s="674"/>
    </row>
    <row r="73" spans="5:18" ht="15" customHeight="1">
      <c r="E73" s="673"/>
      <c r="F73" s="673"/>
      <c r="G73" s="673"/>
      <c r="H73" s="673"/>
      <c r="I73" s="673"/>
      <c r="J73" s="673"/>
      <c r="K73" s="674"/>
      <c r="L73" s="674"/>
      <c r="M73" s="674"/>
      <c r="N73" s="674"/>
      <c r="O73" s="674"/>
      <c r="P73" s="674"/>
      <c r="R73" s="675"/>
    </row>
    <row r="74" spans="5:18" ht="15" customHeight="1">
      <c r="E74" s="673"/>
      <c r="F74" s="673"/>
      <c r="G74" s="673"/>
      <c r="H74" s="673"/>
      <c r="I74" s="673"/>
      <c r="J74" s="673"/>
      <c r="K74" s="674"/>
      <c r="L74" s="674"/>
      <c r="M74" s="674"/>
      <c r="N74" s="674"/>
      <c r="O74" s="674"/>
      <c r="P74" s="674"/>
      <c r="R74" s="675"/>
    </row>
    <row r="75" spans="5:18" ht="15" customHeight="1">
      <c r="E75" s="673"/>
      <c r="F75" s="673"/>
      <c r="G75" s="673"/>
      <c r="H75" s="673"/>
      <c r="I75" s="673"/>
      <c r="J75" s="673"/>
      <c r="K75" s="674"/>
      <c r="L75" s="674"/>
      <c r="M75" s="674"/>
      <c r="N75" s="674"/>
      <c r="O75" s="674"/>
      <c r="P75" s="674"/>
      <c r="R75" s="675"/>
    </row>
    <row r="76" spans="5:18" ht="15" customHeight="1">
      <c r="E76" s="673"/>
      <c r="F76" s="673"/>
      <c r="G76" s="673"/>
      <c r="H76" s="673"/>
      <c r="I76" s="673"/>
      <c r="J76" s="673"/>
      <c r="K76" s="674"/>
      <c r="L76" s="674"/>
      <c r="M76" s="674"/>
      <c r="N76" s="674"/>
      <c r="O76" s="674"/>
      <c r="P76" s="674"/>
      <c r="R76" s="675"/>
    </row>
    <row r="77" spans="5:18" ht="15" customHeight="1">
      <c r="E77" s="673"/>
      <c r="F77" s="673"/>
      <c r="G77" s="673"/>
      <c r="H77" s="673"/>
      <c r="I77" s="673"/>
      <c r="J77" s="673"/>
      <c r="K77" s="674"/>
      <c r="L77" s="674"/>
      <c r="M77" s="674"/>
      <c r="N77" s="674"/>
      <c r="O77" s="674"/>
      <c r="P77" s="674"/>
      <c r="Q77" s="517"/>
      <c r="R77" s="675"/>
    </row>
    <row r="78" spans="5:18" ht="15" customHeight="1">
      <c r="E78" s="673"/>
      <c r="F78" s="673"/>
      <c r="G78" s="673"/>
      <c r="H78" s="673"/>
      <c r="I78" s="673"/>
      <c r="J78" s="673"/>
      <c r="K78" s="674"/>
      <c r="L78" s="674"/>
      <c r="M78" s="674"/>
      <c r="N78" s="674"/>
      <c r="O78" s="674"/>
      <c r="P78" s="674"/>
      <c r="R78" s="675"/>
    </row>
    <row r="79" spans="5:18" ht="15" customHeight="1">
      <c r="E79" s="673"/>
      <c r="F79" s="673"/>
      <c r="G79" s="673"/>
      <c r="H79" s="673"/>
      <c r="I79" s="673"/>
      <c r="J79" s="673"/>
      <c r="K79" s="674"/>
      <c r="L79" s="674"/>
      <c r="M79" s="674"/>
      <c r="N79" s="674"/>
      <c r="O79" s="674"/>
      <c r="P79" s="674"/>
      <c r="R79" s="675"/>
    </row>
    <row r="80" spans="5:18" ht="15" customHeight="1">
      <c r="E80" s="673"/>
      <c r="F80" s="673"/>
      <c r="G80" s="673"/>
      <c r="H80" s="673"/>
      <c r="I80" s="673"/>
      <c r="J80" s="673"/>
      <c r="K80" s="674"/>
      <c r="L80" s="674"/>
      <c r="M80" s="674"/>
      <c r="N80" s="674"/>
      <c r="O80" s="674"/>
      <c r="P80" s="674"/>
      <c r="R80" s="675"/>
    </row>
    <row r="81" spans="3:18" ht="15" customHeight="1">
      <c r="E81" s="673"/>
      <c r="F81" s="673"/>
      <c r="G81" s="673"/>
      <c r="H81" s="673"/>
      <c r="I81" s="673"/>
      <c r="J81" s="673"/>
      <c r="K81" s="674"/>
      <c r="L81" s="674"/>
      <c r="M81" s="674"/>
      <c r="N81" s="674"/>
      <c r="O81" s="674"/>
      <c r="P81" s="674"/>
      <c r="R81" s="675"/>
    </row>
    <row r="82" spans="3:18" ht="15" customHeight="1">
      <c r="E82" s="673"/>
      <c r="G82" s="673"/>
      <c r="H82" s="673"/>
      <c r="I82" s="673"/>
      <c r="J82" s="673"/>
      <c r="K82" s="674"/>
      <c r="L82" s="674"/>
      <c r="M82" s="674"/>
      <c r="N82" s="674"/>
      <c r="O82" s="674"/>
      <c r="P82" s="674"/>
      <c r="R82" s="675"/>
    </row>
    <row r="83" spans="3:18" ht="15" customHeight="1">
      <c r="E83" s="673"/>
      <c r="F83" s="673"/>
      <c r="G83" s="673"/>
      <c r="H83" s="673"/>
      <c r="I83" s="673"/>
      <c r="J83" s="673"/>
      <c r="K83" s="674"/>
      <c r="L83" s="674"/>
      <c r="M83" s="674"/>
      <c r="N83" s="674"/>
      <c r="O83" s="674"/>
      <c r="P83" s="674"/>
      <c r="R83" s="675"/>
    </row>
    <row r="84" spans="3:18" ht="15" customHeight="1">
      <c r="E84" s="673"/>
      <c r="F84" s="673"/>
      <c r="G84" s="673"/>
      <c r="H84" s="673"/>
      <c r="I84" s="673"/>
      <c r="J84" s="673"/>
      <c r="K84" s="674"/>
      <c r="L84" s="674"/>
      <c r="M84" s="674"/>
      <c r="N84" s="674"/>
      <c r="O84" s="674"/>
      <c r="P84" s="674"/>
      <c r="R84" s="675"/>
    </row>
    <row r="85" spans="3:18" ht="15" customHeight="1">
      <c r="E85" s="673"/>
      <c r="F85" s="673"/>
      <c r="G85" s="673"/>
      <c r="H85" s="673"/>
      <c r="I85" s="673"/>
      <c r="J85" s="673"/>
      <c r="K85" s="674"/>
      <c r="L85" s="674"/>
      <c r="M85" s="674"/>
      <c r="N85" s="674"/>
      <c r="O85" s="674"/>
      <c r="P85" s="674"/>
      <c r="R85" s="675"/>
    </row>
    <row r="86" spans="3:18" ht="15" customHeight="1">
      <c r="E86" s="673"/>
      <c r="F86" s="673"/>
      <c r="G86" s="673"/>
      <c r="H86" s="673"/>
      <c r="I86" s="673"/>
      <c r="J86" s="673"/>
      <c r="K86" s="674"/>
      <c r="L86" s="674"/>
      <c r="M86" s="674"/>
      <c r="N86" s="674"/>
      <c r="O86" s="674"/>
      <c r="P86" s="674"/>
      <c r="R86" s="675"/>
    </row>
    <row r="87" spans="3:18" ht="15" customHeight="1">
      <c r="E87" s="673"/>
      <c r="F87" s="673"/>
      <c r="G87" s="673"/>
      <c r="H87" s="673"/>
      <c r="I87" s="673"/>
      <c r="J87" s="673"/>
      <c r="K87" s="674"/>
      <c r="L87" s="674"/>
      <c r="M87" s="674"/>
      <c r="N87" s="674"/>
      <c r="O87" s="674"/>
      <c r="P87" s="674"/>
      <c r="R87" s="675"/>
    </row>
    <row r="88" spans="3:18" ht="15" customHeight="1">
      <c r="E88" s="673"/>
      <c r="F88" s="673"/>
      <c r="G88" s="673"/>
      <c r="H88" s="673"/>
      <c r="I88" s="673"/>
      <c r="J88" s="673"/>
      <c r="K88" s="674"/>
      <c r="L88" s="674"/>
      <c r="M88" s="674"/>
      <c r="N88" s="674"/>
      <c r="O88" s="674"/>
      <c r="P88" s="674"/>
      <c r="R88" s="675"/>
    </row>
    <row r="89" spans="3:18" ht="15" customHeight="1">
      <c r="E89" s="673"/>
      <c r="F89" s="673"/>
      <c r="G89" s="673"/>
      <c r="H89" s="673"/>
      <c r="I89" s="673"/>
      <c r="J89" s="673"/>
      <c r="K89" s="674"/>
      <c r="L89" s="674"/>
      <c r="M89" s="674"/>
      <c r="N89" s="674"/>
      <c r="O89" s="674"/>
      <c r="P89" s="674"/>
      <c r="R89" s="675"/>
    </row>
    <row r="90" spans="3:18" ht="15" customHeight="1">
      <c r="E90" s="673"/>
      <c r="F90" s="673"/>
      <c r="G90" s="673"/>
      <c r="H90" s="673"/>
      <c r="I90" s="673"/>
      <c r="J90" s="673"/>
      <c r="K90" s="674"/>
      <c r="L90" s="674"/>
      <c r="M90" s="674"/>
      <c r="N90" s="674"/>
      <c r="O90" s="674"/>
      <c r="P90" s="674"/>
      <c r="R90" s="675"/>
    </row>
    <row r="91" spans="3:18" ht="15" customHeight="1">
      <c r="C91" s="669" t="s">
        <v>47</v>
      </c>
      <c r="D91" s="669"/>
      <c r="E91" s="670"/>
      <c r="F91" s="670"/>
      <c r="G91" s="670"/>
      <c r="H91" s="670"/>
      <c r="I91" s="670"/>
      <c r="J91" s="670"/>
      <c r="K91" s="671"/>
      <c r="L91" s="671"/>
      <c r="M91" s="671"/>
      <c r="N91" s="671"/>
      <c r="O91" s="671"/>
      <c r="P91" s="671"/>
      <c r="R91" s="675"/>
    </row>
    <row r="92" spans="3:18" ht="15" customHeight="1">
      <c r="E92" s="673"/>
      <c r="F92" s="673"/>
      <c r="G92" s="673"/>
      <c r="H92" s="673"/>
      <c r="I92" s="673"/>
      <c r="J92" s="673"/>
      <c r="K92" s="674"/>
      <c r="L92" s="674"/>
      <c r="M92" s="674"/>
      <c r="N92" s="674"/>
      <c r="O92" s="674"/>
      <c r="P92" s="674"/>
      <c r="R92" s="675"/>
    </row>
    <row r="93" spans="3:18" ht="15" customHeight="1">
      <c r="E93" s="673"/>
      <c r="F93" s="673"/>
      <c r="G93" s="673"/>
      <c r="H93" s="673"/>
      <c r="I93" s="673"/>
      <c r="J93" s="673"/>
      <c r="K93" s="674"/>
      <c r="L93" s="674"/>
      <c r="M93" s="674"/>
      <c r="N93" s="674"/>
      <c r="O93" s="674"/>
      <c r="P93" s="674"/>
      <c r="R93" s="675"/>
    </row>
    <row r="94" spans="3:18" ht="15" customHeight="1">
      <c r="E94" s="673"/>
      <c r="F94" s="673"/>
      <c r="G94" s="673"/>
      <c r="H94" s="673"/>
      <c r="I94" s="673"/>
      <c r="J94" s="673"/>
      <c r="K94" s="674"/>
      <c r="L94" s="674"/>
      <c r="M94" s="674"/>
      <c r="N94" s="674"/>
      <c r="O94" s="674"/>
      <c r="P94" s="674"/>
      <c r="R94" s="675"/>
    </row>
    <row r="95" spans="3:18" ht="15" customHeight="1">
      <c r="E95" s="673"/>
      <c r="F95" s="673"/>
      <c r="G95" s="673"/>
      <c r="H95" s="673"/>
      <c r="I95" s="673"/>
      <c r="J95" s="673"/>
      <c r="K95" s="674"/>
      <c r="L95" s="674"/>
      <c r="M95" s="674"/>
      <c r="N95" s="674"/>
      <c r="O95" s="674"/>
      <c r="P95" s="674"/>
      <c r="R95" s="675"/>
    </row>
    <row r="96" spans="3:18" ht="15" customHeight="1">
      <c r="C96" s="1560"/>
      <c r="E96" s="673"/>
      <c r="F96" s="673"/>
      <c r="G96" s="673"/>
      <c r="H96" s="673"/>
      <c r="I96" s="673"/>
      <c r="J96" s="673"/>
      <c r="K96" s="674"/>
      <c r="L96" s="674"/>
      <c r="M96" s="674"/>
      <c r="N96" s="674"/>
      <c r="O96" s="674"/>
      <c r="P96" s="674"/>
      <c r="R96" s="675"/>
    </row>
    <row r="97" spans="4:18" ht="15" customHeight="1">
      <c r="D97" s="1561" t="s">
        <v>48</v>
      </c>
      <c r="E97" s="673"/>
      <c r="F97" s="673"/>
      <c r="G97" s="673"/>
      <c r="H97" s="673"/>
      <c r="I97" s="673"/>
      <c r="J97" s="673"/>
      <c r="K97" s="674"/>
      <c r="L97" s="674"/>
      <c r="M97" s="674"/>
      <c r="N97" s="674"/>
      <c r="O97" s="674"/>
      <c r="P97" s="674"/>
      <c r="R97" s="675"/>
    </row>
    <row r="98" spans="4:18" ht="15" customHeight="1">
      <c r="E98" s="673"/>
      <c r="F98" s="673"/>
      <c r="G98" s="673"/>
      <c r="H98" s="673"/>
      <c r="I98" s="673"/>
      <c r="J98" s="673"/>
      <c r="K98" s="674"/>
      <c r="L98" s="674"/>
      <c r="M98" s="674"/>
      <c r="N98" s="674"/>
      <c r="O98" s="674"/>
      <c r="P98" s="674"/>
      <c r="R98" s="675"/>
    </row>
    <row r="99" spans="4:18" ht="15" customHeight="1">
      <c r="E99" s="673"/>
      <c r="F99" s="673"/>
      <c r="G99" s="673"/>
      <c r="H99" s="673"/>
      <c r="I99" s="673"/>
      <c r="J99" s="673"/>
      <c r="K99" s="674"/>
      <c r="L99" s="674"/>
      <c r="M99" s="674"/>
      <c r="N99" s="674"/>
      <c r="O99" s="674"/>
      <c r="P99" s="674"/>
      <c r="R99" s="675"/>
    </row>
    <row r="100" spans="4:18" ht="15" customHeight="1">
      <c r="E100" s="673"/>
      <c r="F100" s="673"/>
      <c r="G100" s="673"/>
      <c r="H100" s="673"/>
      <c r="I100" s="673"/>
      <c r="J100" s="673"/>
      <c r="K100" s="674"/>
      <c r="L100" s="674"/>
      <c r="M100" s="674"/>
      <c r="N100" s="674"/>
      <c r="O100" s="674"/>
      <c r="P100" s="674"/>
      <c r="R100" s="675"/>
    </row>
    <row r="101" spans="4:18" ht="15" customHeight="1">
      <c r="E101" s="673"/>
      <c r="F101" s="673"/>
      <c r="G101" s="673"/>
      <c r="H101" s="673"/>
      <c r="I101" s="673"/>
      <c r="J101" s="673"/>
      <c r="K101" s="674"/>
      <c r="L101" s="674"/>
      <c r="M101" s="674"/>
      <c r="N101" s="674"/>
      <c r="O101" s="674"/>
      <c r="P101" s="674"/>
      <c r="R101" s="675"/>
    </row>
    <row r="102" spans="4:18" ht="15" customHeight="1">
      <c r="E102" s="673"/>
      <c r="F102" s="673"/>
      <c r="G102" s="673"/>
      <c r="H102" s="673"/>
      <c r="I102" s="673"/>
      <c r="J102" s="673"/>
      <c r="K102" s="674"/>
      <c r="L102" s="674"/>
      <c r="M102" s="674"/>
      <c r="N102" s="674"/>
      <c r="O102" s="674"/>
      <c r="P102" s="674"/>
      <c r="R102" s="675"/>
    </row>
    <row r="103" spans="4:18" ht="15" customHeight="1">
      <c r="E103" s="673"/>
      <c r="F103" s="673"/>
      <c r="G103" s="673"/>
      <c r="H103" s="673"/>
      <c r="I103" s="673"/>
      <c r="J103" s="673"/>
      <c r="K103" s="674"/>
      <c r="L103" s="674"/>
      <c r="M103" s="674"/>
      <c r="N103" s="674"/>
      <c r="O103" s="674"/>
      <c r="P103" s="674"/>
      <c r="R103" s="675"/>
    </row>
    <row r="104" spans="4:18" ht="21">
      <c r="D104" s="1561" t="s">
        <v>49</v>
      </c>
      <c r="E104" s="673"/>
      <c r="F104" s="673"/>
      <c r="G104" s="673"/>
      <c r="H104" s="673"/>
      <c r="I104" s="673"/>
      <c r="J104" s="673"/>
      <c r="K104" s="674"/>
      <c r="L104" s="674"/>
      <c r="M104" s="674"/>
      <c r="N104" s="674"/>
      <c r="O104" s="674"/>
      <c r="P104" s="674"/>
      <c r="R104" s="675"/>
    </row>
    <row r="105" spans="4:18" ht="18.75">
      <c r="E105" s="673"/>
      <c r="F105" s="673"/>
      <c r="G105" s="673"/>
      <c r="H105" s="673"/>
      <c r="I105" s="673"/>
      <c r="J105" s="673"/>
      <c r="K105" s="674"/>
      <c r="L105" s="674"/>
      <c r="M105" s="674"/>
      <c r="N105" s="674"/>
      <c r="O105" s="674"/>
      <c r="P105" s="674"/>
      <c r="R105" s="675"/>
    </row>
    <row r="106" spans="4:18" ht="18.75">
      <c r="E106" s="673"/>
      <c r="F106" s="673"/>
      <c r="G106" s="673"/>
      <c r="H106" s="673"/>
      <c r="I106" s="673"/>
      <c r="J106" s="673"/>
      <c r="K106" s="674"/>
      <c r="L106" s="674"/>
      <c r="M106" s="674"/>
      <c r="N106" s="674"/>
      <c r="O106" s="674"/>
      <c r="P106" s="674"/>
      <c r="R106" s="675"/>
    </row>
    <row r="107" spans="4:18" ht="15" customHeight="1">
      <c r="E107" s="673"/>
      <c r="F107" s="673"/>
      <c r="G107" s="673"/>
      <c r="H107" s="673"/>
      <c r="I107" s="673"/>
      <c r="J107" s="673"/>
      <c r="K107" s="674"/>
      <c r="L107" s="674"/>
      <c r="M107" s="674"/>
      <c r="N107" s="674"/>
      <c r="O107" s="674"/>
      <c r="P107" s="674"/>
      <c r="R107" s="675"/>
    </row>
    <row r="108" spans="4:18" ht="15" customHeight="1">
      <c r="E108" s="673"/>
      <c r="F108" s="673"/>
      <c r="G108" s="673"/>
      <c r="H108" s="673"/>
      <c r="I108" s="673"/>
      <c r="J108" s="673"/>
      <c r="K108" s="674"/>
      <c r="L108" s="674"/>
      <c r="M108" s="674"/>
      <c r="N108" s="674"/>
      <c r="O108" s="674"/>
      <c r="P108" s="674"/>
      <c r="R108" s="675"/>
    </row>
    <row r="109" spans="4:18" ht="15" customHeight="1">
      <c r="E109" s="673"/>
      <c r="F109" s="673"/>
      <c r="G109" s="673"/>
      <c r="H109" s="673"/>
      <c r="I109" s="673"/>
      <c r="J109" s="673"/>
      <c r="K109" s="674"/>
      <c r="L109" s="674"/>
      <c r="M109" s="674"/>
      <c r="N109" s="674"/>
      <c r="O109" s="674"/>
      <c r="P109" s="674"/>
      <c r="R109" s="675"/>
    </row>
    <row r="110" spans="4:18" ht="15" customHeight="1">
      <c r="E110" s="673"/>
      <c r="F110" s="673"/>
      <c r="G110" s="673"/>
      <c r="H110" s="673"/>
      <c r="I110" s="673"/>
      <c r="J110" s="673"/>
      <c r="K110" s="674"/>
      <c r="L110" s="674"/>
      <c r="M110" s="674"/>
      <c r="N110" s="674"/>
      <c r="O110" s="674"/>
      <c r="P110" s="674"/>
      <c r="R110" s="675"/>
    </row>
    <row r="111" spans="4:18" ht="15" customHeight="1">
      <c r="D111" s="1561" t="s">
        <v>50</v>
      </c>
      <c r="E111" s="673"/>
      <c r="F111" s="673"/>
      <c r="G111" s="673"/>
      <c r="H111" s="673"/>
      <c r="I111" s="673"/>
      <c r="J111" s="673"/>
      <c r="K111" s="674"/>
      <c r="L111" s="674"/>
      <c r="M111" s="674"/>
      <c r="N111" s="674"/>
      <c r="O111" s="674"/>
      <c r="P111" s="674"/>
      <c r="R111" s="675"/>
    </row>
    <row r="112" spans="4:18" ht="15" customHeight="1">
      <c r="E112" s="673"/>
      <c r="F112" s="673"/>
      <c r="G112" s="673"/>
      <c r="H112" s="673"/>
      <c r="I112" s="673"/>
      <c r="J112" s="673"/>
      <c r="K112" s="674"/>
      <c r="L112" s="674"/>
      <c r="M112" s="674"/>
      <c r="N112" s="674"/>
      <c r="O112" s="674"/>
      <c r="P112" s="674"/>
      <c r="R112" s="675"/>
    </row>
    <row r="113" spans="4:18" ht="15" customHeight="1">
      <c r="E113" s="673"/>
      <c r="F113" s="673"/>
      <c r="G113" s="673"/>
      <c r="H113" s="673"/>
      <c r="I113" s="673"/>
      <c r="J113" s="673"/>
      <c r="K113" s="674"/>
      <c r="L113" s="674"/>
      <c r="M113" s="674"/>
      <c r="N113" s="674"/>
      <c r="O113" s="674"/>
      <c r="P113" s="674"/>
      <c r="R113" s="675"/>
    </row>
    <row r="114" spans="4:18" ht="15" customHeight="1">
      <c r="E114" s="673"/>
      <c r="F114" s="673"/>
      <c r="G114" s="673"/>
      <c r="H114" s="673"/>
      <c r="I114" s="673"/>
      <c r="J114" s="673"/>
      <c r="K114" s="674"/>
      <c r="L114" s="674"/>
      <c r="M114" s="674"/>
      <c r="N114" s="674"/>
      <c r="O114" s="674"/>
      <c r="P114" s="674"/>
      <c r="R114" s="675"/>
    </row>
    <row r="115" spans="4:18" ht="15" customHeight="1">
      <c r="E115" s="673"/>
      <c r="F115" s="673"/>
      <c r="G115" s="673"/>
      <c r="H115" s="673"/>
      <c r="I115" s="673"/>
      <c r="J115" s="673"/>
      <c r="K115" s="674"/>
      <c r="L115" s="674"/>
      <c r="M115" s="674"/>
      <c r="N115" s="674"/>
      <c r="O115" s="674"/>
      <c r="P115" s="674"/>
      <c r="R115" s="675"/>
    </row>
    <row r="116" spans="4:18" ht="15" customHeight="1">
      <c r="E116" s="673"/>
      <c r="F116" s="673"/>
      <c r="G116" s="673"/>
      <c r="H116" s="673"/>
      <c r="I116" s="673"/>
      <c r="J116" s="673"/>
      <c r="K116" s="674"/>
      <c r="L116" s="674"/>
      <c r="M116" s="674"/>
      <c r="N116" s="674"/>
      <c r="O116" s="674"/>
      <c r="P116" s="674"/>
      <c r="R116" s="675"/>
    </row>
    <row r="117" spans="4:18" ht="15" customHeight="1">
      <c r="E117" s="673"/>
      <c r="F117" s="673"/>
      <c r="G117" s="673"/>
      <c r="H117" s="673"/>
      <c r="I117" s="673"/>
      <c r="J117" s="673"/>
      <c r="K117" s="674"/>
      <c r="L117" s="674"/>
      <c r="M117" s="674"/>
      <c r="N117" s="674"/>
      <c r="O117" s="674"/>
      <c r="P117" s="674"/>
      <c r="R117" s="675"/>
    </row>
    <row r="118" spans="4:18" ht="15" customHeight="1">
      <c r="D118" s="1561" t="s">
        <v>51</v>
      </c>
      <c r="E118" s="673"/>
      <c r="F118" s="673"/>
      <c r="G118" s="673"/>
      <c r="H118" s="673"/>
      <c r="I118" s="673"/>
      <c r="J118" s="673"/>
      <c r="K118" s="674"/>
      <c r="L118" s="674"/>
      <c r="M118" s="674"/>
      <c r="N118" s="674"/>
      <c r="O118" s="674"/>
      <c r="P118" s="674"/>
      <c r="R118" s="675"/>
    </row>
    <row r="119" spans="4:18" ht="15" customHeight="1">
      <c r="E119" s="673"/>
      <c r="F119" s="673"/>
      <c r="G119" s="673"/>
      <c r="H119" s="673"/>
      <c r="I119" s="673"/>
      <c r="J119" s="673"/>
      <c r="K119" s="674"/>
      <c r="L119" s="674"/>
      <c r="M119" s="674"/>
      <c r="N119" s="674"/>
      <c r="O119" s="674"/>
      <c r="P119" s="674"/>
      <c r="R119" s="675"/>
    </row>
    <row r="120" spans="4:18" ht="15" customHeight="1">
      <c r="E120" s="673"/>
      <c r="F120" s="673"/>
      <c r="G120" s="673"/>
      <c r="H120" s="673"/>
      <c r="I120" s="673"/>
      <c r="J120" s="673"/>
      <c r="K120" s="674"/>
      <c r="L120" s="674"/>
      <c r="M120" s="674"/>
      <c r="N120" s="674"/>
      <c r="O120" s="674"/>
      <c r="P120" s="674"/>
      <c r="R120" s="675"/>
    </row>
    <row r="121" spans="4:18" ht="15" customHeight="1">
      <c r="E121" s="673"/>
      <c r="F121" s="673"/>
      <c r="G121" s="673"/>
      <c r="H121" s="673"/>
      <c r="I121" s="673"/>
      <c r="J121" s="673"/>
      <c r="K121" s="674"/>
      <c r="L121" s="674"/>
      <c r="M121" s="674"/>
      <c r="N121" s="674"/>
      <c r="O121" s="674"/>
      <c r="P121" s="674"/>
      <c r="R121" s="675"/>
    </row>
    <row r="122" spans="4:18" ht="15" customHeight="1">
      <c r="E122" s="673"/>
      <c r="F122" s="673"/>
      <c r="G122" s="673"/>
      <c r="H122" s="673"/>
      <c r="I122" s="673"/>
      <c r="J122" s="673"/>
      <c r="K122" s="674"/>
      <c r="L122" s="674"/>
      <c r="M122" s="674"/>
      <c r="N122" s="674"/>
      <c r="O122" s="674"/>
      <c r="P122" s="674"/>
      <c r="R122" s="675"/>
    </row>
    <row r="123" spans="4:18" ht="15" customHeight="1">
      <c r="E123" s="673"/>
      <c r="F123" s="673"/>
      <c r="G123" s="673"/>
      <c r="H123" s="673"/>
      <c r="I123" s="673"/>
      <c r="J123" s="673"/>
      <c r="K123" s="674"/>
      <c r="L123" s="674"/>
      <c r="M123" s="674"/>
      <c r="N123" s="674"/>
      <c r="O123" s="674"/>
      <c r="P123" s="674"/>
      <c r="R123" s="675"/>
    </row>
    <row r="124" spans="4:18" ht="15" customHeight="1">
      <c r="D124" s="1561" t="s">
        <v>52</v>
      </c>
      <c r="E124" s="673"/>
      <c r="F124" s="673"/>
      <c r="G124" s="673"/>
      <c r="H124" s="673"/>
      <c r="I124" s="673"/>
      <c r="J124" s="673"/>
      <c r="K124" s="674"/>
      <c r="L124" s="674"/>
      <c r="M124" s="674"/>
      <c r="N124" s="674"/>
      <c r="O124" s="674"/>
      <c r="P124" s="674"/>
      <c r="R124" s="675"/>
    </row>
    <row r="125" spans="4:18" ht="18.75">
      <c r="E125" s="673"/>
      <c r="F125" s="673"/>
      <c r="G125" s="673"/>
      <c r="H125" s="673"/>
      <c r="I125" s="673"/>
      <c r="J125" s="673"/>
      <c r="K125" s="674"/>
      <c r="L125" s="674"/>
      <c r="M125" s="674"/>
      <c r="N125" s="674"/>
      <c r="O125" s="674"/>
      <c r="P125" s="674"/>
      <c r="R125" s="675"/>
    </row>
    <row r="126" spans="4:18" ht="18.75">
      <c r="E126" s="673"/>
      <c r="F126" s="673"/>
      <c r="G126" s="673"/>
      <c r="H126" s="673"/>
      <c r="I126" s="673"/>
      <c r="J126" s="673"/>
      <c r="K126" s="674"/>
      <c r="L126" s="674"/>
      <c r="M126" s="674"/>
      <c r="N126" s="674"/>
      <c r="O126" s="674"/>
      <c r="P126" s="674"/>
      <c r="R126" s="675"/>
    </row>
    <row r="127" spans="4:18" ht="18.75">
      <c r="E127" s="673"/>
      <c r="F127" s="673"/>
      <c r="G127" s="673"/>
      <c r="H127" s="673"/>
      <c r="I127" s="673"/>
      <c r="J127" s="673"/>
      <c r="K127" s="674"/>
      <c r="L127" s="674"/>
      <c r="M127" s="674"/>
      <c r="N127" s="674"/>
      <c r="O127" s="674"/>
      <c r="P127" s="674"/>
      <c r="R127" s="675"/>
    </row>
    <row r="128" spans="4:18" ht="18.75">
      <c r="E128" s="673"/>
      <c r="F128" s="673"/>
      <c r="G128" s="673"/>
      <c r="H128" s="673"/>
      <c r="I128" s="673"/>
      <c r="J128" s="673"/>
      <c r="K128" s="674"/>
      <c r="L128" s="674"/>
      <c r="M128" s="674"/>
      <c r="N128" s="674"/>
      <c r="O128" s="674"/>
      <c r="P128" s="674"/>
      <c r="R128" s="675"/>
    </row>
    <row r="129" spans="3:18" ht="18.75">
      <c r="E129" s="673"/>
      <c r="F129" s="673"/>
      <c r="G129" s="673"/>
      <c r="H129" s="673"/>
      <c r="I129" s="673"/>
      <c r="J129" s="673"/>
      <c r="K129" s="674"/>
      <c r="L129" s="674"/>
      <c r="M129" s="674"/>
      <c r="N129" s="674"/>
      <c r="O129" s="674"/>
      <c r="P129" s="674"/>
      <c r="R129" s="675"/>
    </row>
    <row r="130" spans="3:18" ht="15.75">
      <c r="R130" s="675"/>
    </row>
    <row r="131" spans="3:18" ht="18.75">
      <c r="C131" s="669" t="s">
        <v>53</v>
      </c>
      <c r="D131" s="676"/>
      <c r="E131" s="676"/>
      <c r="F131" s="676"/>
      <c r="G131" s="676"/>
      <c r="H131" s="676"/>
      <c r="I131" s="676"/>
      <c r="J131" s="676"/>
      <c r="K131" s="676"/>
      <c r="L131" s="676"/>
      <c r="M131" s="676"/>
      <c r="N131" s="676"/>
      <c r="O131" s="676"/>
      <c r="P131" s="676"/>
      <c r="R131" s="675"/>
    </row>
    <row r="132" spans="3:18" ht="15.75">
      <c r="R132" s="675"/>
    </row>
    <row r="142" spans="3:18" ht="15.75">
      <c r="D142" s="675"/>
    </row>
    <row r="146" spans="3:24" ht="18.75">
      <c r="D146" s="672"/>
    </row>
    <row r="154" spans="3:24">
      <c r="U154" s="1948"/>
      <c r="V154" s="1948"/>
      <c r="W154" s="1948"/>
      <c r="X154" s="1948"/>
    </row>
    <row r="155" spans="3:24">
      <c r="U155" s="1948"/>
      <c r="V155" s="1948"/>
      <c r="W155" s="1948"/>
      <c r="X155" s="1948"/>
    </row>
    <row r="159" spans="3:24">
      <c r="C159" s="636"/>
    </row>
    <row r="160" spans="3:24">
      <c r="P160" s="1948"/>
      <c r="Q160" s="1948"/>
      <c r="R160" s="1948"/>
      <c r="S160" s="1948"/>
      <c r="T160" s="1948"/>
    </row>
    <row r="161" spans="3:20">
      <c r="P161" s="1948"/>
      <c r="Q161" s="1948"/>
      <c r="R161" s="1948"/>
      <c r="S161" s="1948"/>
      <c r="T161" s="1948"/>
    </row>
    <row r="164" spans="3:20">
      <c r="C164" s="636" t="s">
        <v>54</v>
      </c>
    </row>
    <row r="165" spans="3:20">
      <c r="C165" s="677" t="s">
        <v>55</v>
      </c>
    </row>
    <row r="168" spans="3:20" ht="18.75">
      <c r="C168" s="669" t="s">
        <v>56</v>
      </c>
      <c r="D168" s="670"/>
      <c r="E168" s="670"/>
      <c r="F168" s="670"/>
      <c r="G168" s="670"/>
      <c r="H168" s="670"/>
      <c r="I168" s="670"/>
      <c r="J168" s="670"/>
      <c r="K168" s="671"/>
      <c r="L168" s="671"/>
      <c r="M168" s="671"/>
      <c r="N168" s="671"/>
      <c r="O168" s="671"/>
      <c r="P168" s="671"/>
    </row>
    <row r="170" spans="3:20" ht="18.75">
      <c r="C170" s="1584"/>
    </row>
    <row r="191" spans="18:18" ht="17.25">
      <c r="R191" s="3409"/>
    </row>
    <row r="194" spans="8:8" ht="15.75">
      <c r="H194" s="1582"/>
    </row>
    <row r="195" spans="8:8">
      <c r="H195" s="1583"/>
    </row>
    <row r="254" spans="3:16" ht="18.75">
      <c r="C254" s="669" t="s">
        <v>57</v>
      </c>
      <c r="D254" s="670"/>
      <c r="E254" s="670"/>
      <c r="F254" s="670"/>
      <c r="G254" s="670"/>
      <c r="H254" s="670"/>
      <c r="I254" s="670"/>
      <c r="J254" s="2210"/>
      <c r="K254" s="2211"/>
      <c r="L254" s="2211"/>
      <c r="M254" s="671"/>
      <c r="N254" s="671"/>
      <c r="O254" s="671"/>
      <c r="P254" s="671"/>
    </row>
    <row r="264" spans="3:3" ht="21">
      <c r="C264" s="1561" t="s">
        <v>32</v>
      </c>
    </row>
    <row r="327" spans="18:20">
      <c r="R327" s="2275"/>
      <c r="S327" s="2275"/>
      <c r="T327" s="2275"/>
    </row>
    <row r="328" spans="18:20">
      <c r="R328" s="2275"/>
      <c r="S328" s="2275"/>
      <c r="T328" s="2275"/>
    </row>
    <row r="329" spans="18:20">
      <c r="R329" s="2275"/>
      <c r="S329" s="2275"/>
      <c r="T329" s="2275"/>
    </row>
    <row r="443" spans="6:6">
      <c r="F443" s="1948"/>
    </row>
    <row r="456" ht="16.5" customHeight="1"/>
    <row r="457" ht="16.5" customHeight="1"/>
    <row r="458" ht="16.5" customHeight="1"/>
    <row r="459" ht="16.5" customHeight="1"/>
    <row r="460" ht="16.5" customHeight="1"/>
    <row r="461" ht="16.5" customHeight="1"/>
    <row r="462" ht="16.5" customHeight="1"/>
    <row r="463" ht="16.5" customHeight="1"/>
    <row r="464" ht="16.5" customHeight="1"/>
    <row r="465" spans="3:16" ht="16.5" customHeight="1">
      <c r="C465" s="3411" t="s">
        <v>58</v>
      </c>
      <c r="D465" s="3412"/>
      <c r="E465" s="3412"/>
      <c r="F465" s="3412"/>
      <c r="G465" s="3412"/>
      <c r="H465" s="3412"/>
      <c r="I465" s="3412"/>
      <c r="J465" s="3412"/>
      <c r="K465" s="3412"/>
      <c r="L465" s="3412"/>
      <c r="M465" s="3412"/>
      <c r="N465" s="3412"/>
      <c r="O465" s="3412"/>
      <c r="P465" s="3412"/>
    </row>
    <row r="466" spans="3:16" ht="16.5" customHeight="1"/>
    <row r="467" spans="3:16" ht="16.5" customHeight="1"/>
    <row r="468" spans="3:16" ht="16.5" customHeight="1"/>
    <row r="469" spans="3:16" ht="16.5" customHeight="1"/>
    <row r="470" spans="3:16" ht="16.5" customHeight="1"/>
    <row r="471" spans="3:16" ht="16.5" customHeight="1"/>
    <row r="472" spans="3:16" ht="16.5" customHeight="1"/>
    <row r="473" spans="3:16" ht="16.5" customHeight="1"/>
    <row r="474" spans="3:16" ht="16.5" customHeight="1"/>
    <row r="475" spans="3:16" ht="16.5" customHeight="1"/>
    <row r="476" spans="3:16" ht="16.5" customHeight="1"/>
    <row r="477" spans="3:16" ht="16.5" customHeight="1"/>
  </sheetData>
  <pageMargins left="0.7" right="0.7" top="0.75" bottom="0.75" header="0.3" footer="0.3"/>
  <pageSetup paperSize="9" scale="36" orientation="portrait" r:id="rId1"/>
  <customProperties>
    <customPr name="_pios_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D02C9-FFA2-4056-A2AE-4BCAAEDF7484}">
  <sheetPr codeName="Hoja24"/>
  <dimension ref="A1:F135"/>
  <sheetViews>
    <sheetView zoomScale="80" zoomScaleNormal="80" workbookViewId="0"/>
  </sheetViews>
  <sheetFormatPr baseColWidth="10" defaultColWidth="11.42578125" defaultRowHeight="15"/>
  <cols>
    <col min="1" max="1" width="20.7109375" style="678" customWidth="1"/>
    <col min="2" max="2" width="11.42578125" style="680"/>
    <col min="3" max="4" width="90.7109375" style="680" customWidth="1"/>
    <col min="5" max="16384" width="11.42578125" style="680"/>
  </cols>
  <sheetData>
    <row r="1" spans="1:4" ht="15" customHeight="1">
      <c r="A1" s="693"/>
    </row>
    <row r="2" spans="1:4" ht="15" customHeight="1"/>
    <row r="3" spans="1:4" ht="15" customHeight="1">
      <c r="A3" s="1559"/>
    </row>
    <row r="4" spans="1:4" ht="15" customHeight="1"/>
    <row r="5" spans="1:4" ht="15" customHeight="1">
      <c r="A5" s="1559"/>
    </row>
    <row r="6" spans="1:4" ht="15" customHeight="1"/>
    <row r="7" spans="1:4" ht="15" customHeight="1"/>
    <row r="8" spans="1:4" ht="15" customHeight="1"/>
    <row r="9" spans="1:4" ht="15" customHeight="1"/>
    <row r="10" spans="1:4" ht="15" customHeight="1"/>
    <row r="11" spans="1:4" ht="15" customHeight="1"/>
    <row r="12" spans="1:4" ht="15" customHeight="1" thickBot="1"/>
    <row r="13" spans="1:4" ht="15" customHeight="1">
      <c r="C13" s="3847" t="s">
        <v>59</v>
      </c>
      <c r="D13" s="3847" t="s">
        <v>60</v>
      </c>
    </row>
    <row r="14" spans="1:4" ht="15" customHeight="1" thickBot="1">
      <c r="C14" s="3848"/>
      <c r="D14" s="3848"/>
    </row>
    <row r="15" spans="1:4" ht="15" customHeight="1">
      <c r="C15" s="2220" t="s">
        <v>32</v>
      </c>
      <c r="D15" s="2220" t="s">
        <v>61</v>
      </c>
    </row>
    <row r="16" spans="1:4" ht="15" customHeight="1">
      <c r="C16" s="2221" t="s">
        <v>62</v>
      </c>
      <c r="D16" s="2221" t="s">
        <v>63</v>
      </c>
    </row>
    <row r="17" spans="3:4" ht="15" customHeight="1">
      <c r="C17" s="2221" t="s">
        <v>64</v>
      </c>
      <c r="D17" s="2221" t="s">
        <v>65</v>
      </c>
    </row>
    <row r="18" spans="3:4" ht="15" customHeight="1">
      <c r="C18" s="2222" t="s">
        <v>66</v>
      </c>
      <c r="D18" s="2223" t="s">
        <v>67</v>
      </c>
    </row>
    <row r="19" spans="3:4" ht="15" customHeight="1">
      <c r="C19" s="2222" t="s">
        <v>36</v>
      </c>
      <c r="D19" s="2222" t="s">
        <v>68</v>
      </c>
    </row>
    <row r="20" spans="3:4" ht="15" customHeight="1">
      <c r="C20" s="2222" t="s">
        <v>69</v>
      </c>
      <c r="D20" s="2222" t="s">
        <v>70</v>
      </c>
    </row>
    <row r="21" spans="3:4">
      <c r="C21" s="2222" t="s">
        <v>71</v>
      </c>
      <c r="D21" s="2224" t="s">
        <v>72</v>
      </c>
    </row>
    <row r="22" spans="3:4">
      <c r="C22" s="2225" t="s">
        <v>73</v>
      </c>
      <c r="D22" s="2226" t="s">
        <v>74</v>
      </c>
    </row>
    <row r="23" spans="3:4">
      <c r="C23" s="2225" t="s">
        <v>75</v>
      </c>
      <c r="D23" s="2226" t="s">
        <v>76</v>
      </c>
    </row>
    <row r="24" spans="3:4">
      <c r="C24" s="2225" t="s">
        <v>77</v>
      </c>
      <c r="D24" s="2226" t="s">
        <v>78</v>
      </c>
    </row>
    <row r="25" spans="3:4">
      <c r="C25" s="2225" t="s">
        <v>79</v>
      </c>
      <c r="D25" s="2226" t="s">
        <v>80</v>
      </c>
    </row>
    <row r="26" spans="3:4">
      <c r="C26" s="2225" t="s">
        <v>81</v>
      </c>
      <c r="D26" s="2227" t="s">
        <v>72</v>
      </c>
    </row>
    <row r="27" spans="3:4">
      <c r="C27" s="2225" t="s">
        <v>82</v>
      </c>
      <c r="D27" s="2226" t="s">
        <v>83</v>
      </c>
    </row>
    <row r="28" spans="3:4">
      <c r="C28" s="2225" t="s">
        <v>84</v>
      </c>
      <c r="D28" s="2227" t="s">
        <v>72</v>
      </c>
    </row>
    <row r="29" spans="3:4" ht="15" customHeight="1">
      <c r="C29" s="2222" t="s">
        <v>85</v>
      </c>
      <c r="D29" s="2222" t="s">
        <v>86</v>
      </c>
    </row>
    <row r="30" spans="3:4" ht="15" customHeight="1">
      <c r="C30" s="2225" t="s">
        <v>87</v>
      </c>
      <c r="D30" s="2226" t="s">
        <v>88</v>
      </c>
    </row>
    <row r="31" spans="3:4" ht="15" customHeight="1">
      <c r="C31" s="2225" t="s">
        <v>89</v>
      </c>
      <c r="D31" s="2226" t="s">
        <v>90</v>
      </c>
    </row>
    <row r="32" spans="3:4" ht="15" customHeight="1">
      <c r="C32" s="2228" t="s">
        <v>91</v>
      </c>
      <c r="D32" s="2228" t="s">
        <v>92</v>
      </c>
    </row>
    <row r="33" spans="1:4" ht="15" customHeight="1">
      <c r="C33" s="2229" t="s">
        <v>93</v>
      </c>
      <c r="D33" s="2230" t="s">
        <v>94</v>
      </c>
    </row>
    <row r="34" spans="1:4" ht="15" customHeight="1">
      <c r="C34" s="2229" t="s">
        <v>95</v>
      </c>
      <c r="D34" s="2230" t="s">
        <v>94</v>
      </c>
    </row>
    <row r="35" spans="1:4" ht="15" customHeight="1">
      <c r="A35" s="1559"/>
      <c r="C35" s="2229" t="s">
        <v>96</v>
      </c>
      <c r="D35" s="2230" t="s">
        <v>97</v>
      </c>
    </row>
    <row r="36" spans="1:4" ht="15" customHeight="1">
      <c r="C36" s="2231" t="s">
        <v>39</v>
      </c>
      <c r="D36" s="2228" t="s">
        <v>98</v>
      </c>
    </row>
    <row r="37" spans="1:4" ht="15" customHeight="1">
      <c r="C37" s="2232" t="s">
        <v>99</v>
      </c>
      <c r="D37" s="2230" t="s">
        <v>100</v>
      </c>
    </row>
    <row r="38" spans="1:4" ht="15" customHeight="1">
      <c r="C38" s="2232" t="s">
        <v>101</v>
      </c>
      <c r="D38" s="2230" t="s">
        <v>102</v>
      </c>
    </row>
    <row r="39" spans="1:4" ht="15" customHeight="1">
      <c r="C39" s="2232" t="s">
        <v>103</v>
      </c>
      <c r="D39" s="2230" t="s">
        <v>104</v>
      </c>
    </row>
    <row r="40" spans="1:4" ht="15" customHeight="1">
      <c r="C40" s="2232" t="s">
        <v>105</v>
      </c>
      <c r="D40" s="2230" t="s">
        <v>106</v>
      </c>
    </row>
    <row r="41" spans="1:4" ht="15" customHeight="1">
      <c r="C41" s="2231" t="s">
        <v>40</v>
      </c>
      <c r="D41" s="2231" t="s">
        <v>107</v>
      </c>
    </row>
    <row r="42" spans="1:4" ht="15" customHeight="1">
      <c r="C42" s="2232" t="s">
        <v>108</v>
      </c>
      <c r="D42" s="2233" t="s">
        <v>109</v>
      </c>
    </row>
    <row r="43" spans="1:4" ht="15" customHeight="1">
      <c r="C43" s="2232" t="s">
        <v>110</v>
      </c>
      <c r="D43" s="2233"/>
    </row>
    <row r="44" spans="1:4" ht="15" customHeight="1">
      <c r="C44" s="2232" t="s">
        <v>111</v>
      </c>
      <c r="D44" s="2233"/>
    </row>
    <row r="45" spans="1:4" ht="15" customHeight="1">
      <c r="C45" s="2231" t="s">
        <v>41</v>
      </c>
      <c r="D45" s="2231" t="s">
        <v>107</v>
      </c>
    </row>
    <row r="46" spans="1:4" ht="15" customHeight="1">
      <c r="C46" s="2232" t="s">
        <v>112</v>
      </c>
      <c r="D46" s="2234" t="s">
        <v>113</v>
      </c>
    </row>
    <row r="47" spans="1:4" ht="15" customHeight="1">
      <c r="C47" s="2232" t="s">
        <v>114</v>
      </c>
      <c r="D47" s="2235" t="s">
        <v>115</v>
      </c>
    </row>
    <row r="48" spans="1:4" ht="15" customHeight="1">
      <c r="C48" s="2232" t="s">
        <v>116</v>
      </c>
      <c r="D48" s="2233" t="s">
        <v>117</v>
      </c>
    </row>
    <row r="49" spans="3:4" ht="15" customHeight="1">
      <c r="C49" s="2231" t="s">
        <v>42</v>
      </c>
      <c r="D49" s="2231" t="s">
        <v>118</v>
      </c>
    </row>
    <row r="50" spans="3:4" ht="15" customHeight="1">
      <c r="C50" s="2232" t="s">
        <v>119</v>
      </c>
      <c r="D50" s="2233" t="s">
        <v>120</v>
      </c>
    </row>
    <row r="51" spans="3:4" ht="15" customHeight="1" thickBot="1">
      <c r="C51" s="2236" t="s">
        <v>121</v>
      </c>
      <c r="D51" s="3146" t="s">
        <v>120</v>
      </c>
    </row>
    <row r="52" spans="3:4" ht="15" customHeight="1"/>
    <row r="53" spans="3:4" ht="15" customHeight="1"/>
    <row r="54" spans="3:4" ht="15" customHeight="1"/>
    <row r="55" spans="3:4" ht="15" customHeight="1"/>
    <row r="56" spans="3:4" ht="15" customHeight="1"/>
    <row r="57" spans="3:4" ht="15" customHeight="1"/>
    <row r="58" spans="3:4" ht="15" customHeight="1"/>
    <row r="59" spans="3:4" ht="15" customHeight="1"/>
    <row r="60" spans="3:4" ht="15" customHeight="1"/>
    <row r="61" spans="3:4" ht="15" customHeight="1"/>
    <row r="62" spans="3:4" ht="15" customHeight="1"/>
    <row r="63" spans="3:4" ht="15" customHeight="1"/>
    <row r="64" spans="3:4" ht="15" customHeight="1"/>
    <row r="65" spans="6:6" ht="15" customHeight="1"/>
    <row r="66" spans="6:6" ht="15" customHeight="1">
      <c r="F66" s="2237"/>
    </row>
    <row r="67" spans="6:6" ht="15" customHeight="1">
      <c r="F67" s="2237"/>
    </row>
    <row r="68" spans="6:6" ht="15" customHeight="1">
      <c r="F68" s="2237"/>
    </row>
    <row r="69" spans="6:6" ht="15" customHeight="1">
      <c r="F69" s="2237"/>
    </row>
    <row r="70" spans="6:6" ht="15" customHeight="1">
      <c r="F70" s="2237"/>
    </row>
    <row r="71" spans="6:6" ht="15" customHeight="1">
      <c r="F71" s="2237"/>
    </row>
    <row r="72" spans="6:6" ht="15" customHeight="1">
      <c r="F72" s="2237"/>
    </row>
    <row r="73" spans="6:6" ht="15" customHeight="1"/>
    <row r="74" spans="6:6" ht="15" customHeight="1"/>
    <row r="75" spans="6:6" ht="15" customHeight="1"/>
    <row r="76" spans="6:6" ht="15" customHeight="1"/>
    <row r="77" spans="6:6" ht="15" customHeight="1"/>
    <row r="78" spans="6:6" ht="15" customHeight="1"/>
    <row r="79" spans="6:6" ht="15" customHeight="1"/>
    <row r="80" spans="6:6" ht="15" customHeight="1"/>
    <row r="81" spans="6:6" ht="15" customHeight="1"/>
    <row r="82" spans="6:6" ht="15" customHeight="1"/>
    <row r="83" spans="6:6" ht="15" customHeight="1"/>
    <row r="84" spans="6:6" ht="15" customHeight="1"/>
    <row r="85" spans="6:6" ht="15" customHeight="1"/>
    <row r="86" spans="6:6" ht="15" customHeight="1"/>
    <row r="87" spans="6:6" ht="15" customHeight="1"/>
    <row r="88" spans="6:6" ht="15" customHeight="1">
      <c r="F88" s="2237"/>
    </row>
    <row r="89" spans="6:6" ht="15" customHeight="1">
      <c r="F89" s="2237"/>
    </row>
    <row r="90" spans="6:6" ht="15" customHeight="1">
      <c r="F90" s="2237"/>
    </row>
    <row r="91" spans="6:6" ht="15" customHeight="1">
      <c r="F91" s="2237"/>
    </row>
    <row r="92" spans="6:6" ht="15" customHeight="1">
      <c r="F92" s="2237"/>
    </row>
    <row r="93" spans="6:6" ht="15" customHeight="1">
      <c r="F93" s="2237"/>
    </row>
    <row r="94" spans="6:6" ht="15" customHeight="1">
      <c r="F94" s="2237"/>
    </row>
    <row r="95" spans="6:6" ht="15" customHeight="1">
      <c r="F95" s="2237"/>
    </row>
    <row r="96" spans="6:6" ht="15" customHeight="1">
      <c r="F96" s="2237"/>
    </row>
    <row r="97" spans="6:6" ht="15" customHeight="1">
      <c r="F97" s="2237"/>
    </row>
    <row r="98" spans="6:6" ht="15" customHeight="1">
      <c r="F98" s="2237"/>
    </row>
    <row r="99" spans="6:6" ht="15" customHeight="1">
      <c r="F99" s="2237"/>
    </row>
    <row r="100" spans="6:6" ht="15" customHeight="1">
      <c r="F100" s="2237"/>
    </row>
    <row r="101" spans="6:6" ht="15" customHeight="1">
      <c r="F101" s="2237"/>
    </row>
    <row r="102" spans="6:6" ht="15" customHeight="1">
      <c r="F102" s="2237"/>
    </row>
    <row r="103" spans="6:6" ht="15" customHeight="1">
      <c r="F103" s="2237"/>
    </row>
    <row r="104" spans="6:6" ht="15" customHeight="1">
      <c r="F104" s="2237"/>
    </row>
    <row r="105" spans="6:6" ht="15" customHeight="1">
      <c r="F105" s="2237"/>
    </row>
    <row r="106" spans="6:6" ht="15" customHeight="1">
      <c r="F106" s="2237"/>
    </row>
    <row r="107" spans="6:6" ht="15" customHeight="1">
      <c r="F107" s="2237"/>
    </row>
    <row r="108" spans="6:6" ht="15" customHeight="1">
      <c r="F108" s="2237"/>
    </row>
    <row r="109" spans="6:6" ht="15" customHeight="1">
      <c r="F109" s="2237"/>
    </row>
    <row r="110" spans="6:6" ht="15" customHeight="1">
      <c r="F110" s="2237"/>
    </row>
    <row r="111" spans="6:6" ht="15" customHeight="1">
      <c r="F111" s="2237"/>
    </row>
    <row r="112" spans="6:6" ht="15" customHeight="1">
      <c r="F112" s="2237"/>
    </row>
    <row r="113" spans="6:6" ht="15" customHeight="1">
      <c r="F113" s="2237"/>
    </row>
    <row r="114" spans="6:6" ht="15" customHeight="1">
      <c r="F114" s="2237"/>
    </row>
    <row r="115" spans="6:6" ht="15" customHeight="1">
      <c r="F115" s="2237"/>
    </row>
    <row r="116" spans="6:6" ht="15" customHeight="1">
      <c r="F116" s="2237"/>
    </row>
    <row r="117" spans="6:6" ht="15.75">
      <c r="F117" s="2237"/>
    </row>
    <row r="118" spans="6:6" ht="15.75">
      <c r="F118" s="2237"/>
    </row>
    <row r="119" spans="6:6" ht="15.75">
      <c r="F119" s="2237"/>
    </row>
    <row r="120" spans="6:6" ht="15.75">
      <c r="F120" s="2237"/>
    </row>
    <row r="121" spans="6:6" ht="15.75">
      <c r="F121" s="2237"/>
    </row>
    <row r="122" spans="6:6" ht="15.75">
      <c r="F122" s="2237"/>
    </row>
    <row r="123" spans="6:6" ht="15.75">
      <c r="F123" s="2237"/>
    </row>
    <row r="124" spans="6:6" ht="15.75">
      <c r="F124" s="2237"/>
    </row>
    <row r="125" spans="6:6" ht="15.75">
      <c r="F125" s="2237"/>
    </row>
    <row r="126" spans="6:6" ht="15.75">
      <c r="F126" s="2237"/>
    </row>
    <row r="127" spans="6:6" ht="15.75">
      <c r="F127" s="2237"/>
    </row>
    <row r="128" spans="6:6" ht="15.75">
      <c r="F128" s="2237"/>
    </row>
    <row r="129" spans="6:6" ht="15.75">
      <c r="F129" s="2237"/>
    </row>
    <row r="130" spans="6:6" ht="15.75">
      <c r="F130" s="2237"/>
    </row>
    <row r="131" spans="6:6" ht="15.75">
      <c r="F131" s="2237"/>
    </row>
    <row r="132" spans="6:6" ht="15.75">
      <c r="F132" s="2237"/>
    </row>
    <row r="133" spans="6:6" ht="15.75">
      <c r="F133" s="2237"/>
    </row>
    <row r="134" spans="6:6" ht="15.75">
      <c r="F134" s="2237"/>
    </row>
    <row r="135" spans="6:6" ht="15.75">
      <c r="F135" s="2237"/>
    </row>
  </sheetData>
  <sheetProtection algorithmName="SHA-512" hashValue="LEvzRaC9J4pms6fm4AbuTPFnrf94Qi3LSBIiNWyfT5pfH6tCP1OUXxNCS83hYSUWzXhKTEgud6wlgTr3AAVfcQ==" saltValue="60O0JoqwNCmGyGjMCYxY0A==" spinCount="100000" sheet="1" objects="1" scenarios="1"/>
  <mergeCells count="2">
    <mergeCell ref="C13:C14"/>
    <mergeCell ref="D13:D14"/>
  </mergeCells>
  <pageMargins left="0.7" right="0.7" top="0.75" bottom="0.75" header="0.3" footer="0.3"/>
  <pageSetup paperSize="9" orientation="portrait" r:id="rId1"/>
  <customProperties>
    <customPr name="_pios_id" r:id="rId2"/>
  </customPropertie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0E306-C9CE-478B-90DD-9A3E83AB75EB}">
  <sheetPr codeName="Hoja2">
    <pageSetUpPr fitToPage="1"/>
  </sheetPr>
  <dimension ref="A1:I94"/>
  <sheetViews>
    <sheetView showGridLines="0" topLeftCell="A4" zoomScale="80" zoomScaleNormal="80" workbookViewId="0"/>
  </sheetViews>
  <sheetFormatPr baseColWidth="10" defaultColWidth="11.42578125" defaultRowHeight="15"/>
  <cols>
    <col min="1" max="1" width="20.7109375" style="678" customWidth="1"/>
    <col min="2" max="2" width="11.140625" style="679" customWidth="1"/>
    <col min="3" max="3" width="113.28515625" style="679" customWidth="1"/>
    <col min="4" max="4" width="8" style="679" customWidth="1"/>
    <col min="5" max="16384" width="11.42578125" style="679"/>
  </cols>
  <sheetData>
    <row r="1" spans="1:1" ht="15" customHeight="1">
      <c r="A1" s="693"/>
    </row>
    <row r="2" spans="1:1" ht="15" customHeight="1"/>
    <row r="3" spans="1:1" ht="15" customHeight="1"/>
    <row r="4" spans="1:1" ht="15" customHeight="1"/>
    <row r="5" spans="1:1" ht="15" customHeight="1">
      <c r="A5" s="1559"/>
    </row>
    <row r="6" spans="1:1" ht="15" customHeight="1"/>
    <row r="7" spans="1:1" ht="15" customHeight="1"/>
    <row r="8" spans="1:1" ht="15" customHeight="1"/>
    <row r="9" spans="1:1" ht="15" customHeight="1"/>
    <row r="10" spans="1:1" ht="15" customHeight="1"/>
    <row r="11" spans="1:1" ht="15" customHeight="1"/>
    <row r="12" spans="1:1" ht="15" customHeight="1"/>
    <row r="13" spans="1:1" ht="15" customHeight="1"/>
    <row r="14" spans="1:1" ht="15" customHeight="1"/>
    <row r="15" spans="1:1" ht="15" customHeight="1"/>
    <row r="16" spans="1:1" ht="15" customHeight="1"/>
    <row r="17" spans="1:6" s="680" customFormat="1" ht="15" customHeight="1">
      <c r="A17" s="678"/>
      <c r="C17" s="679"/>
      <c r="D17" s="679"/>
      <c r="E17" s="679"/>
      <c r="F17" s="679"/>
    </row>
    <row r="18" spans="1:6" ht="15" customHeight="1">
      <c r="C18" s="681" t="s">
        <v>122</v>
      </c>
      <c r="D18" s="681"/>
    </row>
    <row r="19" spans="1:6" ht="15" customHeight="1">
      <c r="C19" s="682"/>
      <c r="D19" s="682"/>
    </row>
    <row r="20" spans="1:6" ht="15" customHeight="1">
      <c r="C20" s="3330" t="s">
        <v>123</v>
      </c>
      <c r="D20" s="2252">
        <v>1</v>
      </c>
      <c r="E20" s="680"/>
    </row>
    <row r="21" spans="1:6" ht="15" customHeight="1">
      <c r="C21" s="683"/>
    </row>
    <row r="22" spans="1:6" ht="15" customHeight="1">
      <c r="C22" s="681" t="s">
        <v>124</v>
      </c>
      <c r="D22" s="681"/>
    </row>
    <row r="23" spans="1:6" ht="15" customHeight="1">
      <c r="C23" s="682"/>
      <c r="D23" s="682"/>
    </row>
    <row r="24" spans="1:6" ht="15" customHeight="1">
      <c r="C24" s="3330" t="s">
        <v>125</v>
      </c>
      <c r="D24" s="2252">
        <v>1</v>
      </c>
    </row>
    <row r="25" spans="1:6" ht="15" customHeight="1">
      <c r="C25" s="680"/>
    </row>
    <row r="26" spans="1:6" ht="15" customHeight="1">
      <c r="C26" s="681" t="s">
        <v>36</v>
      </c>
      <c r="D26" s="681"/>
    </row>
    <row r="27" spans="1:6" ht="15" customHeight="1">
      <c r="C27" s="684"/>
      <c r="D27" s="684"/>
    </row>
    <row r="28" spans="1:6" ht="15" customHeight="1">
      <c r="C28" s="3330" t="s">
        <v>126</v>
      </c>
      <c r="D28" s="2252">
        <v>1</v>
      </c>
    </row>
    <row r="29" spans="1:6" ht="15" customHeight="1">
      <c r="C29" s="3330" t="s">
        <v>127</v>
      </c>
      <c r="D29" s="2252">
        <v>1</v>
      </c>
    </row>
    <row r="30" spans="1:6" ht="15" customHeight="1">
      <c r="C30" s="3330" t="s">
        <v>128</v>
      </c>
      <c r="D30" s="2252">
        <v>1</v>
      </c>
      <c r="F30" s="2865"/>
    </row>
    <row r="31" spans="1:6" ht="15" customHeight="1">
      <c r="C31" s="3330" t="s">
        <v>129</v>
      </c>
      <c r="D31" s="2252">
        <v>1</v>
      </c>
    </row>
    <row r="32" spans="1:6" ht="15" customHeight="1">
      <c r="C32" s="680"/>
    </row>
    <row r="33" spans="1:4" ht="15" customHeight="1">
      <c r="C33" s="681" t="s">
        <v>69</v>
      </c>
      <c r="D33" s="681"/>
    </row>
    <row r="34" spans="1:4" ht="15" customHeight="1">
      <c r="C34" s="685"/>
    </row>
    <row r="35" spans="1:4" ht="15" customHeight="1">
      <c r="A35" s="1559"/>
      <c r="C35" s="686" t="s">
        <v>130</v>
      </c>
      <c r="D35" s="687"/>
    </row>
    <row r="36" spans="1:4" ht="15" customHeight="1">
      <c r="C36" s="3330" t="s">
        <v>131</v>
      </c>
      <c r="D36" s="2252">
        <v>1</v>
      </c>
    </row>
    <row r="37" spans="1:4" ht="15" customHeight="1">
      <c r="C37" s="680"/>
      <c r="D37" s="687"/>
    </row>
    <row r="38" spans="1:4" ht="15" customHeight="1">
      <c r="C38" s="686" t="s">
        <v>132</v>
      </c>
    </row>
    <row r="39" spans="1:4" ht="15" customHeight="1">
      <c r="C39" s="3330" t="s">
        <v>133</v>
      </c>
      <c r="D39" s="2252">
        <v>1</v>
      </c>
    </row>
    <row r="40" spans="1:4" ht="15" customHeight="1">
      <c r="C40" s="3330" t="s">
        <v>134</v>
      </c>
      <c r="D40" s="2252">
        <v>1</v>
      </c>
    </row>
    <row r="41" spans="1:4" ht="15" customHeight="1">
      <c r="C41" s="680"/>
      <c r="D41" s="680"/>
    </row>
    <row r="42" spans="1:4" ht="15" customHeight="1">
      <c r="C42" s="681" t="s">
        <v>38</v>
      </c>
      <c r="D42" s="681"/>
    </row>
    <row r="43" spans="1:4" ht="15" customHeight="1">
      <c r="C43" s="688"/>
      <c r="D43" s="688"/>
    </row>
    <row r="44" spans="1:4" ht="15" customHeight="1">
      <c r="C44" s="686" t="s">
        <v>135</v>
      </c>
      <c r="D44" s="685"/>
    </row>
    <row r="45" spans="1:4" ht="15" customHeight="1">
      <c r="C45" s="3345" t="s">
        <v>136</v>
      </c>
      <c r="D45" s="685"/>
    </row>
    <row r="46" spans="1:4" ht="15" customHeight="1">
      <c r="C46" s="3330" t="s">
        <v>137</v>
      </c>
      <c r="D46" s="2252">
        <v>1</v>
      </c>
    </row>
    <row r="47" spans="1:4" ht="15" customHeight="1">
      <c r="C47" s="3345" t="s">
        <v>138</v>
      </c>
    </row>
    <row r="48" spans="1:4" ht="15" customHeight="1">
      <c r="C48" s="3330" t="s">
        <v>139</v>
      </c>
      <c r="D48" s="2252">
        <v>1</v>
      </c>
    </row>
    <row r="49" spans="3:9" ht="15" customHeight="1">
      <c r="C49" s="3330" t="s">
        <v>140</v>
      </c>
      <c r="D49" s="2252">
        <v>1</v>
      </c>
    </row>
    <row r="50" spans="3:9" ht="15" customHeight="1">
      <c r="C50" s="3330" t="s">
        <v>141</v>
      </c>
      <c r="D50" s="2252">
        <v>1</v>
      </c>
    </row>
    <row r="51" spans="3:9" ht="15" customHeight="1">
      <c r="C51" s="3345" t="s">
        <v>142</v>
      </c>
    </row>
    <row r="52" spans="3:9" ht="15" customHeight="1">
      <c r="C52" s="3330" t="s">
        <v>143</v>
      </c>
      <c r="D52" s="2252">
        <v>1</v>
      </c>
    </row>
    <row r="53" spans="3:9" ht="15" customHeight="1">
      <c r="C53" s="689"/>
      <c r="D53" s="680"/>
      <c r="I53" s="1563"/>
    </row>
    <row r="54" spans="3:9" ht="15" customHeight="1">
      <c r="C54" s="686" t="s">
        <v>144</v>
      </c>
      <c r="D54" s="680"/>
    </row>
    <row r="55" spans="3:9" ht="15" customHeight="1">
      <c r="C55" s="3345" t="s">
        <v>145</v>
      </c>
      <c r="D55" s="680"/>
    </row>
    <row r="56" spans="3:9" ht="15" customHeight="1">
      <c r="C56" s="3330" t="s">
        <v>146</v>
      </c>
      <c r="D56" s="2252">
        <v>1</v>
      </c>
    </row>
    <row r="57" spans="3:9" ht="15" customHeight="1">
      <c r="C57" s="3345" t="s">
        <v>147</v>
      </c>
    </row>
    <row r="58" spans="3:9" ht="15" customHeight="1">
      <c r="C58" s="3330" t="s">
        <v>148</v>
      </c>
      <c r="D58" s="2252">
        <v>1</v>
      </c>
    </row>
    <row r="59" spans="3:9">
      <c r="C59" s="680"/>
      <c r="D59" s="680"/>
    </row>
    <row r="60" spans="3:9">
      <c r="C60" s="681" t="s">
        <v>39</v>
      </c>
      <c r="D60" s="681"/>
    </row>
    <row r="61" spans="3:9">
      <c r="C61" s="688"/>
      <c r="D61" s="688"/>
      <c r="E61" s="680"/>
    </row>
    <row r="62" spans="3:9" ht="15.75">
      <c r="C62" s="686" t="s">
        <v>99</v>
      </c>
      <c r="D62" s="688"/>
      <c r="E62" s="680"/>
    </row>
    <row r="63" spans="3:9" ht="15.75">
      <c r="C63" s="3330" t="s">
        <v>149</v>
      </c>
      <c r="D63" s="2252">
        <v>1</v>
      </c>
      <c r="E63" s="680"/>
    </row>
    <row r="64" spans="3:9" ht="15.75">
      <c r="C64" s="3330" t="s">
        <v>150</v>
      </c>
      <c r="D64" s="2252">
        <v>1</v>
      </c>
      <c r="E64" s="680"/>
    </row>
    <row r="65" spans="3:5" ht="15.75">
      <c r="C65" s="690"/>
      <c r="D65" s="1562"/>
      <c r="E65" s="680"/>
    </row>
    <row r="66" spans="3:5" ht="15.75">
      <c r="C66" s="686" t="s">
        <v>101</v>
      </c>
      <c r="D66" s="1562"/>
      <c r="E66" s="680"/>
    </row>
    <row r="67" spans="3:5" ht="15.75">
      <c r="C67" s="3330" t="s">
        <v>151</v>
      </c>
      <c r="D67" s="2252">
        <v>1</v>
      </c>
      <c r="E67" s="680"/>
    </row>
    <row r="68" spans="3:5" ht="15.75">
      <c r="C68" s="3330" t="s">
        <v>152</v>
      </c>
      <c r="D68" s="2252">
        <v>1</v>
      </c>
      <c r="E68" s="680"/>
    </row>
    <row r="69" spans="3:5" ht="15.75">
      <c r="C69" s="690"/>
      <c r="D69" s="1562"/>
      <c r="E69" s="680"/>
    </row>
    <row r="70" spans="3:5" ht="15.75">
      <c r="C70" s="686" t="s">
        <v>153</v>
      </c>
      <c r="D70" s="1562"/>
      <c r="E70" s="680"/>
    </row>
    <row r="71" spans="3:5" ht="15.75">
      <c r="C71" s="3330" t="s">
        <v>154</v>
      </c>
      <c r="D71" s="2252">
        <v>1</v>
      </c>
      <c r="E71" s="680"/>
    </row>
    <row r="72" spans="3:5" ht="15.75">
      <c r="C72" s="691"/>
      <c r="D72" s="1562"/>
      <c r="E72" s="680"/>
    </row>
    <row r="73" spans="3:5" ht="15.75">
      <c r="C73" s="686" t="s">
        <v>155</v>
      </c>
      <c r="D73" s="1562"/>
      <c r="E73" s="680"/>
    </row>
    <row r="74" spans="3:5" ht="15.75">
      <c r="C74" s="3330" t="s">
        <v>156</v>
      </c>
      <c r="D74" s="2252">
        <v>1</v>
      </c>
      <c r="E74" s="680"/>
    </row>
    <row r="75" spans="3:5">
      <c r="C75" s="680"/>
      <c r="D75" s="680"/>
      <c r="E75" s="680"/>
    </row>
    <row r="76" spans="3:5">
      <c r="C76" s="681" t="s">
        <v>40</v>
      </c>
      <c r="D76" s="681"/>
      <c r="E76" s="680"/>
    </row>
    <row r="77" spans="3:5">
      <c r="C77" s="688"/>
      <c r="D77" s="688"/>
      <c r="E77" s="680"/>
    </row>
    <row r="78" spans="3:5" ht="15.75">
      <c r="C78" s="3330" t="s">
        <v>108</v>
      </c>
      <c r="D78" s="2252">
        <v>1</v>
      </c>
      <c r="E78" s="680"/>
    </row>
    <row r="79" spans="3:5" ht="15.75">
      <c r="C79" s="3330" t="s">
        <v>110</v>
      </c>
      <c r="D79" s="2252">
        <v>1</v>
      </c>
      <c r="E79" s="680"/>
    </row>
    <row r="80" spans="3:5" ht="15.75">
      <c r="C80" s="3330" t="s">
        <v>111</v>
      </c>
      <c r="D80" s="2252">
        <v>1</v>
      </c>
      <c r="E80" s="680"/>
    </row>
    <row r="81" spans="3:5">
      <c r="C81" s="680"/>
      <c r="D81" s="680"/>
      <c r="E81" s="680"/>
    </row>
    <row r="82" spans="3:5">
      <c r="C82" s="681" t="s">
        <v>41</v>
      </c>
      <c r="D82" s="681"/>
      <c r="E82" s="680"/>
    </row>
    <row r="83" spans="3:5">
      <c r="C83" s="688"/>
      <c r="D83" s="688"/>
      <c r="E83" s="680"/>
    </row>
    <row r="84" spans="3:5" ht="15.75">
      <c r="C84" s="3330" t="s">
        <v>112</v>
      </c>
      <c r="D84" s="2252">
        <v>1</v>
      </c>
      <c r="E84" s="680"/>
    </row>
    <row r="85" spans="3:5" ht="15.75">
      <c r="C85" s="3330" t="s">
        <v>114</v>
      </c>
      <c r="D85" s="2252">
        <v>1</v>
      </c>
      <c r="E85" s="680"/>
    </row>
    <row r="86" spans="3:5" ht="15.75">
      <c r="C86" s="3330" t="s">
        <v>116</v>
      </c>
      <c r="D86" s="2252">
        <v>1</v>
      </c>
      <c r="E86" s="680"/>
    </row>
    <row r="87" spans="3:5">
      <c r="C87" s="692"/>
      <c r="D87" s="680"/>
      <c r="E87" s="680"/>
    </row>
    <row r="88" spans="3:5">
      <c r="C88" s="681" t="s">
        <v>157</v>
      </c>
      <c r="D88" s="681"/>
      <c r="E88" s="680"/>
    </row>
    <row r="89" spans="3:5">
      <c r="C89" s="688"/>
      <c r="D89" s="688"/>
      <c r="E89" s="680"/>
    </row>
    <row r="90" spans="3:5" ht="15.75">
      <c r="C90" s="3330" t="s">
        <v>119</v>
      </c>
      <c r="D90" s="2252">
        <v>1</v>
      </c>
      <c r="E90" s="680"/>
    </row>
    <row r="91" spans="3:5" ht="15.75">
      <c r="C91" s="3330" t="s">
        <v>121</v>
      </c>
      <c r="D91" s="2252">
        <v>1</v>
      </c>
    </row>
    <row r="92" spans="3:5">
      <c r="C92" s="680"/>
      <c r="D92" s="680"/>
    </row>
    <row r="93" spans="3:5">
      <c r="C93" s="680"/>
      <c r="D93" s="680"/>
    </row>
    <row r="94" spans="3:5">
      <c r="C94" s="680"/>
      <c r="D94" s="680"/>
    </row>
  </sheetData>
  <sheetProtection algorithmName="SHA-512" hashValue="BeWpKOayq9zZYMAMsuGzfwYPDw3ImU8C81R6Ip8lk6ppnAYP8Vg5lj7ifv3qhxzC/hE0iZVpIiBe8RW47m6iLA==" saltValue="oTO0rJSLyUkX1UPrhF1CnQ==" spinCount="100000" sheet="1" objects="1" scenarios="1"/>
  <conditionalFormatting sqref="D20 D28:D31 D90:D91 D46 D56 D48:D50 D52 D58">
    <cfRule type="cellIs" dxfId="225" priority="289" operator="equal">
      <formula>1</formula>
    </cfRule>
    <cfRule type="cellIs" dxfId="224" priority="290" operator="equal">
      <formula>2</formula>
    </cfRule>
    <cfRule type="cellIs" dxfId="223" priority="291" operator="equal">
      <formula>3</formula>
    </cfRule>
    <cfRule type="cellIs" dxfId="222" priority="292" operator="equal">
      <formula>4</formula>
    </cfRule>
  </conditionalFormatting>
  <conditionalFormatting sqref="D24">
    <cfRule type="cellIs" dxfId="221" priority="49" operator="equal">
      <formula>1</formula>
    </cfRule>
    <cfRule type="cellIs" dxfId="220" priority="50" operator="equal">
      <formula>2</formula>
    </cfRule>
    <cfRule type="cellIs" dxfId="219" priority="51" operator="equal">
      <formula>3</formula>
    </cfRule>
    <cfRule type="cellIs" dxfId="218" priority="52" operator="equal">
      <formula>4</formula>
    </cfRule>
  </conditionalFormatting>
  <conditionalFormatting sqref="D36">
    <cfRule type="cellIs" dxfId="217" priority="117" operator="equal">
      <formula>1</formula>
    </cfRule>
    <cfRule type="cellIs" dxfId="216" priority="118" operator="equal">
      <formula>2</formula>
    </cfRule>
    <cfRule type="cellIs" dxfId="215" priority="119" operator="equal">
      <formula>3</formula>
    </cfRule>
    <cfRule type="cellIs" dxfId="214" priority="120" operator="equal">
      <formula>4</formula>
    </cfRule>
  </conditionalFormatting>
  <conditionalFormatting sqref="D39:D40">
    <cfRule type="cellIs" dxfId="213" priority="113" operator="equal">
      <formula>1</formula>
    </cfRule>
    <cfRule type="cellIs" dxfId="212" priority="114" operator="equal">
      <formula>2</formula>
    </cfRule>
    <cfRule type="cellIs" dxfId="211" priority="115" operator="equal">
      <formula>3</formula>
    </cfRule>
    <cfRule type="cellIs" dxfId="210" priority="116" operator="equal">
      <formula>4</formula>
    </cfRule>
  </conditionalFormatting>
  <conditionalFormatting sqref="D63:D64">
    <cfRule type="cellIs" dxfId="209" priority="69" operator="equal">
      <formula>1</formula>
    </cfRule>
    <cfRule type="cellIs" dxfId="208" priority="70" operator="equal">
      <formula>2</formula>
    </cfRule>
    <cfRule type="cellIs" dxfId="207" priority="71" operator="equal">
      <formula>3</formula>
    </cfRule>
    <cfRule type="cellIs" dxfId="206" priority="72" operator="equal">
      <formula>4</formula>
    </cfRule>
  </conditionalFormatting>
  <conditionalFormatting sqref="D67:D68">
    <cfRule type="cellIs" dxfId="205" priority="37" operator="equal">
      <formula>1</formula>
    </cfRule>
    <cfRule type="cellIs" dxfId="204" priority="38" operator="equal">
      <formula>2</formula>
    </cfRule>
    <cfRule type="cellIs" dxfId="203" priority="39" operator="equal">
      <formula>3</formula>
    </cfRule>
    <cfRule type="cellIs" dxfId="202" priority="40" operator="equal">
      <formula>4</formula>
    </cfRule>
  </conditionalFormatting>
  <conditionalFormatting sqref="D71">
    <cfRule type="cellIs" dxfId="201" priority="33" operator="equal">
      <formula>1</formula>
    </cfRule>
    <cfRule type="cellIs" dxfId="200" priority="34" operator="equal">
      <formula>2</formula>
    </cfRule>
    <cfRule type="cellIs" dxfId="199" priority="35" operator="equal">
      <formula>3</formula>
    </cfRule>
    <cfRule type="cellIs" dxfId="198" priority="36" operator="equal">
      <formula>4</formula>
    </cfRule>
  </conditionalFormatting>
  <conditionalFormatting sqref="D74">
    <cfRule type="cellIs" dxfId="197" priority="29" operator="equal">
      <formula>1</formula>
    </cfRule>
    <cfRule type="cellIs" dxfId="196" priority="30" operator="equal">
      <formula>2</formula>
    </cfRule>
    <cfRule type="cellIs" dxfId="195" priority="31" operator="equal">
      <formula>3</formula>
    </cfRule>
    <cfRule type="cellIs" dxfId="194" priority="32" operator="equal">
      <formula>4</formula>
    </cfRule>
  </conditionalFormatting>
  <conditionalFormatting sqref="D78:D80">
    <cfRule type="cellIs" dxfId="193" priority="21" operator="equal">
      <formula>1</formula>
    </cfRule>
    <cfRule type="cellIs" dxfId="192" priority="22" operator="equal">
      <formula>2</formula>
    </cfRule>
    <cfRule type="cellIs" dxfId="191" priority="23" operator="equal">
      <formula>3</formula>
    </cfRule>
    <cfRule type="cellIs" dxfId="190" priority="24" operator="equal">
      <formula>4</formula>
    </cfRule>
  </conditionalFormatting>
  <conditionalFormatting sqref="D84:D86">
    <cfRule type="cellIs" dxfId="189" priority="13" operator="equal">
      <formula>1</formula>
    </cfRule>
    <cfRule type="cellIs" dxfId="188" priority="14" operator="equal">
      <formula>2</formula>
    </cfRule>
    <cfRule type="cellIs" dxfId="187" priority="15" operator="equal">
      <formula>3</formula>
    </cfRule>
    <cfRule type="cellIs" dxfId="186" priority="16" operator="equal">
      <formula>4</formula>
    </cfRule>
  </conditionalFormatting>
  <hyperlinks>
    <hyperlink ref="C20" location="INFO_TRAYECTORIAS!B10" display="Eficiencia energética en producción de hidrocarburos" xr:uid="{AA6C95D4-039B-47E6-9BCB-AB6161CE3CED}"/>
    <hyperlink ref="C24" location="INFO_TRAYECTORIAS!B14" display="Transición a una generación eléctrica baja en carbono" xr:uid="{B217760F-EB6A-434C-AE89-A98BB1A014C5}"/>
    <hyperlink ref="C28" location="INFO_TRAYECTORIAS!B18" display="Eficiencia energética y optimización de procesos industriales" xr:uid="{092AB144-18D7-4B96-A7CD-A680C923F1AC}"/>
    <hyperlink ref="C29" location="INFO_TRAYECTORIAS!B19" display="Procesos productivos sostenibles" xr:uid="{6458AE49-99AE-4A64-BE13-B4E307791B4B}"/>
    <hyperlink ref="C30" location="INFO_TRAYECTORIAS!B20" display="Sustitución de gases refrigerantes" xr:uid="{BE2F161A-A259-43A5-9143-D539202888C5}"/>
    <hyperlink ref="C31" location="INFO_TRAYECTORIAS!B21" display="Gestión de desarrollo integral de ladrilleras" xr:uid="{D6B9F961-C507-4EBF-AAD9-4522557622C6}"/>
    <hyperlink ref="C36" location="INFO_TRAYECTORIAS!B26" display="Reducción y mejora de la gestión de Residuos Sólidos " xr:uid="{6CC4A275-6D24-486B-8DD4-4CA523863C35}"/>
    <hyperlink ref="C39" location="INFO_TRAYECTORIAS!B30" display="Aprovechamiento del biogás de las aguas residuales" xr:uid="{A8A92927-594B-4FD1-981D-11DD689A0DC4}"/>
    <hyperlink ref="C40" location="INFO_TRAYECTORIAS!B31" display="Aumento del tratamiento de las Aguas Residuales y su reutilización" xr:uid="{CDFA5C9D-42F2-4CDB-9DDE-59BE7770D7B9}"/>
    <hyperlink ref="C46" location="INFO_TRAYECTORIAS!B36" display="Diseño y eficiencia energética para el acondicionamiento de espacios" xr:uid="{6D9521B8-30C3-4799-9F41-FE3E9947693B}"/>
    <hyperlink ref="C48" location="INFO_TRAYECTORIAS!B37" display="Eficiencia energética y equipos eficientes en viviendas" xr:uid="{F0A1B483-4590-4C9F-9364-46BD439C3952}"/>
    <hyperlink ref="C49" location="INFO_TRAYECTORIAS!B39" display="Uso y habitos de consumo" xr:uid="{1C316CE8-DAE4-40CF-A06D-A63DE400D1BB}"/>
    <hyperlink ref="C50" location="INFO_TRAYECTORIAS!B38" display="Potencia instalada para autogeneración solar fotovoltaica" xr:uid="{1B0CEBF2-FD65-41C6-9971-7881A4AC6F9C}"/>
    <hyperlink ref="C52" location="INFO_TRAYECTORIAS!B40" display="Eficiencia energética para viviendas rurales" xr:uid="{0ED415B4-9DAC-4EC6-98F3-2BED76522F48}"/>
    <hyperlink ref="C56" location="INFO_TRAYECTORIAS!B43" display="Acondicionamiento de espacios comercial y de servicios" xr:uid="{9811AA3F-1DCC-4ADE-A58F-7D478BE10C08}"/>
    <hyperlink ref="C58" location="INFO_TRAYECTORIAS!B44" display="Usos térmicos y equipamiento comercial y de servicios" xr:uid="{C39CB531-A240-4539-BF85-3D937A2067F8}"/>
    <hyperlink ref="C63" location="INFO_TRAYECTORIAS!B49" display="Gestión de la demanda de transporte de pasajeros" xr:uid="{453EECFD-ACBA-4365-9F4A-F62B2531B026}"/>
    <hyperlink ref="C64" location="INFO_TRAYECTORIAS!B50" display="Eficiencia energética y uso de tecnologías limpias en el transporte de pasajeros" xr:uid="{806A580E-A0F3-462D-9839-70C9C957D8B6}"/>
    <hyperlink ref="C67" location="INFO_TRAYECTORIAS!B53" display="Gestión de la demanda en el transporte de carga" xr:uid="{0097A8AE-1D8D-4484-9342-A404ADC6E646}"/>
    <hyperlink ref="C68" location="INFO_TRAYECTORIAS!B54" display="Eficiencia energética y uso de tecnologías limpias en el transporte de carga" xr:uid="{556E5E7C-7817-47C7-BFE8-ECE886AA710B}"/>
    <hyperlink ref="C71" location="INFO_TRAYECTORIAS!B57" display="Gestión de la demanda de transporte aéreo internacional" xr:uid="{2BFDF8DA-C10A-4F8F-B067-35A339FAC7FC}"/>
    <hyperlink ref="C74" location="INFO_TRAYECTORIAS!B60" display="Gestión de la demanda de transporte marino internacional" xr:uid="{FA95F55A-39C6-41EF-8A16-907088A94AEC}"/>
    <hyperlink ref="C78" location="INFO_TRAYECTORIAS!B64" display="Mejores prácticas agrícolas" xr:uid="{7788B524-6368-424C-9902-D6668FCF62C4}"/>
    <hyperlink ref="C79" location="INFO_TRAYECTORIAS!B65" display="Producción de biomasa" xr:uid="{D72EFF22-CE25-4D31-B6A5-528FC64810CF}"/>
    <hyperlink ref="C80" location="INFO_TRAYECTORIAS!B66" display="Tierra dedicada para biocombustibles" xr:uid="{97F5FC58-42C3-46F2-ACFC-BCF5BF32B016}"/>
    <hyperlink ref="C84" location="INFO_TRAYECTORIAS!B70" display="Prácticas sostenibles en suelos ganaderos" xr:uid="{039CE88D-3487-406E-A460-54BED0802521}"/>
    <hyperlink ref="C85" location="INFO_TRAYECTORIAS!B71" display="Mejores prácticas pecuarias" xr:uid="{FA48EA19-907F-4A5C-BA07-9FE8E2FFC3F2}"/>
    <hyperlink ref="C86" location="INFO_TRAYECTORIAS!B72" display="Poducción de estiércol para bioenergía" xr:uid="{3DA27690-9EB5-48CE-9958-37B7E5D22E88}"/>
    <hyperlink ref="C90" location="INFO_TRAYECTORIAS!B76" display="Desarrollo y consolidación de la cadena productiva de las plantaciones forestales con fines comerciales" xr:uid="{CD2066CC-80C1-4A5A-A402-E1FD27428220}"/>
    <hyperlink ref="C91" location="INFO_TRAYECTORIAS!B77" display="Reducción intersectorial de la deforestación" xr:uid="{4A3BA4CF-8F63-4EF3-AEDD-83E32B3AB9F4}"/>
  </hyperlinks>
  <pageMargins left="0.7" right="0.7" top="0.75" bottom="0.75" header="0.3" footer="0.3"/>
  <pageSetup paperSize="9" scale="39" orientation="portrait" r:id="rId1"/>
  <customProperties>
    <customPr name="_pios_id" r:id="rId2"/>
  </customProperties>
  <drawing r:id="rId3"/>
  <extLst>
    <ext xmlns:x14="http://schemas.microsoft.com/office/spreadsheetml/2009/9/main" uri="{CCE6A557-97BC-4b89-ADB6-D9C93CAAB3DF}">
      <x14:dataValidations xmlns:xm="http://schemas.microsoft.com/office/excel/2006/main" count="1">
        <x14:dataValidation type="list" allowBlank="1" showErrorMessage="1" xr:uid="{4D1E4308-4077-4748-A4CA-7B7948965873}">
          <x14:formula1>
            <xm:f>'DESPLEGABLES (ocultar)'!$A$2:$A$5</xm:f>
          </x14:formula1>
          <xm:sqref>D24 D74 D90:D91 D67:D68 D36 D39:D40 D84:D86 D71 D63:D64 D20 D28:D31 D78:D80 D52 D46 D48:D50 D56 D58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8CC7C-AFDE-4A4D-A2A0-FDD5235D1CD1}">
  <sheetPr codeName="Hoja26"/>
  <dimension ref="A1:R181"/>
  <sheetViews>
    <sheetView zoomScale="80" zoomScaleNormal="80" workbookViewId="0"/>
  </sheetViews>
  <sheetFormatPr baseColWidth="10" defaultColWidth="11.42578125" defaultRowHeight="15"/>
  <cols>
    <col min="1" max="1" width="20.7109375" style="678" customWidth="1"/>
    <col min="2" max="2" width="11.42578125" style="680"/>
    <col min="3" max="3" width="9.7109375" style="680" customWidth="1"/>
    <col min="4" max="4" width="28" style="680" customWidth="1"/>
    <col min="5" max="5" width="193.28515625" style="680" customWidth="1"/>
    <col min="6" max="16384" width="11.42578125" style="680"/>
  </cols>
  <sheetData>
    <row r="1" spans="1:5" ht="15" customHeight="1">
      <c r="A1" s="693"/>
    </row>
    <row r="2" spans="1:5" ht="15" customHeight="1"/>
    <row r="3" spans="1:5" ht="15" customHeight="1">
      <c r="A3" s="1559"/>
    </row>
    <row r="4" spans="1:5" ht="15" customHeight="1"/>
    <row r="5" spans="1:5" ht="15" customHeight="1">
      <c r="A5" s="1559"/>
    </row>
    <row r="6" spans="1:5" ht="15" customHeight="1"/>
    <row r="7" spans="1:5" ht="15" customHeight="1"/>
    <row r="8" spans="1:5" ht="15" customHeight="1"/>
    <row r="9" spans="1:5" ht="15" customHeight="1">
      <c r="C9" s="3216"/>
    </row>
    <row r="10" spans="1:5" ht="15" customHeight="1"/>
    <row r="11" spans="1:5" ht="15" customHeight="1"/>
    <row r="12" spans="1:5" ht="15" customHeight="1">
      <c r="C12" s="3849">
        <v>1</v>
      </c>
      <c r="D12" s="3849" t="s">
        <v>158</v>
      </c>
      <c r="E12" s="3855" t="s">
        <v>159</v>
      </c>
    </row>
    <row r="13" spans="1:5" ht="15" customHeight="1">
      <c r="C13" s="3850"/>
      <c r="D13" s="3850"/>
      <c r="E13" s="3856"/>
    </row>
    <row r="14" spans="1:5" ht="15" customHeight="1">
      <c r="C14" s="3850"/>
      <c r="D14" s="3850"/>
      <c r="E14" s="3856"/>
    </row>
    <row r="15" spans="1:5" ht="15" customHeight="1">
      <c r="C15" s="3851"/>
      <c r="D15" s="3851"/>
      <c r="E15" s="3857"/>
    </row>
    <row r="16" spans="1:5" ht="15" customHeight="1">
      <c r="C16" s="3849">
        <v>2</v>
      </c>
      <c r="D16" s="3849" t="s">
        <v>160</v>
      </c>
      <c r="E16" s="3855" t="s">
        <v>161</v>
      </c>
    </row>
    <row r="17" spans="3:5" ht="15" customHeight="1">
      <c r="C17" s="3850"/>
      <c r="D17" s="3850"/>
      <c r="E17" s="3856"/>
    </row>
    <row r="18" spans="3:5" ht="15" customHeight="1">
      <c r="C18" s="3850"/>
      <c r="D18" s="3850"/>
      <c r="E18" s="3856"/>
    </row>
    <row r="19" spans="3:5" ht="15" customHeight="1">
      <c r="C19" s="3851"/>
      <c r="D19" s="3851"/>
      <c r="E19" s="3857"/>
    </row>
    <row r="20" spans="3:5" ht="15" customHeight="1">
      <c r="C20" s="3849">
        <v>3</v>
      </c>
      <c r="D20" s="3849" t="s">
        <v>162</v>
      </c>
      <c r="E20" s="3855" t="s">
        <v>163</v>
      </c>
    </row>
    <row r="21" spans="3:5" ht="15" customHeight="1">
      <c r="C21" s="3850"/>
      <c r="D21" s="3850"/>
      <c r="E21" s="3856"/>
    </row>
    <row r="22" spans="3:5" ht="15" customHeight="1">
      <c r="C22" s="3850"/>
      <c r="D22" s="3850"/>
      <c r="E22" s="3856"/>
    </row>
    <row r="23" spans="3:5" ht="15" customHeight="1">
      <c r="C23" s="3851"/>
      <c r="D23" s="3851"/>
      <c r="E23" s="3857"/>
    </row>
    <row r="24" spans="3:5" ht="15" customHeight="1">
      <c r="C24" s="3849">
        <v>4</v>
      </c>
      <c r="D24" s="3849" t="s">
        <v>164</v>
      </c>
      <c r="E24" s="3855" t="s">
        <v>165</v>
      </c>
    </row>
    <row r="25" spans="3:5" ht="15" customHeight="1">
      <c r="C25" s="3850"/>
      <c r="D25" s="3850"/>
      <c r="E25" s="3856"/>
    </row>
    <row r="26" spans="3:5" ht="15" customHeight="1">
      <c r="C26" s="3850"/>
      <c r="D26" s="3850"/>
      <c r="E26" s="3856"/>
    </row>
    <row r="27" spans="3:5" ht="15" customHeight="1">
      <c r="C27" s="3851"/>
      <c r="D27" s="3851"/>
      <c r="E27" s="3857"/>
    </row>
    <row r="28" spans="3:5" ht="15" customHeight="1">
      <c r="C28" s="3849">
        <v>5</v>
      </c>
      <c r="D28" s="3852" t="s">
        <v>166</v>
      </c>
      <c r="E28" s="3855" t="s">
        <v>167</v>
      </c>
    </row>
    <row r="29" spans="3:5" ht="15" customHeight="1">
      <c r="C29" s="3850"/>
      <c r="D29" s="3853"/>
      <c r="E29" s="3856"/>
    </row>
    <row r="30" spans="3:5" ht="15" customHeight="1">
      <c r="C30" s="3850"/>
      <c r="D30" s="3853"/>
      <c r="E30" s="3856"/>
    </row>
    <row r="31" spans="3:5" ht="15" customHeight="1">
      <c r="C31" s="3851"/>
      <c r="D31" s="3854"/>
      <c r="E31" s="3857"/>
    </row>
    <row r="32" spans="3:5" ht="15" customHeight="1">
      <c r="C32" s="3849">
        <v>6</v>
      </c>
      <c r="D32" s="3861" t="s">
        <v>168</v>
      </c>
      <c r="E32" s="3855" t="s">
        <v>169</v>
      </c>
    </row>
    <row r="33" spans="1:18" ht="15" customHeight="1">
      <c r="C33" s="3850"/>
      <c r="D33" s="3862"/>
      <c r="E33" s="3856"/>
    </row>
    <row r="34" spans="1:18" ht="15" customHeight="1">
      <c r="C34" s="3850"/>
      <c r="D34" s="3862"/>
      <c r="E34" s="3856"/>
    </row>
    <row r="35" spans="1:18" ht="15" customHeight="1">
      <c r="A35" s="1559"/>
      <c r="C35" s="3850"/>
      <c r="D35" s="3862"/>
      <c r="E35" s="3856"/>
    </row>
    <row r="36" spans="1:18" ht="15" customHeight="1">
      <c r="C36" s="3850"/>
      <c r="D36" s="3862"/>
      <c r="E36" s="3857"/>
    </row>
    <row r="37" spans="1:18" ht="15" customHeight="1">
      <c r="C37" s="3849">
        <v>7</v>
      </c>
      <c r="D37" s="3852" t="s">
        <v>170</v>
      </c>
      <c r="E37" s="3855" t="s">
        <v>171</v>
      </c>
    </row>
    <row r="38" spans="1:18" ht="15" customHeight="1">
      <c r="C38" s="3850"/>
      <c r="D38" s="3853"/>
      <c r="E38" s="3856"/>
    </row>
    <row r="39" spans="1:18" ht="15" customHeight="1">
      <c r="C39" s="3850"/>
      <c r="D39" s="3853"/>
      <c r="E39" s="3856"/>
    </row>
    <row r="40" spans="1:18" ht="15" customHeight="1">
      <c r="C40" s="3851"/>
      <c r="D40" s="3854"/>
      <c r="E40" s="3857"/>
    </row>
    <row r="41" spans="1:18" ht="15" customHeight="1">
      <c r="C41" s="3849">
        <v>8</v>
      </c>
      <c r="D41" s="3849" t="s">
        <v>172</v>
      </c>
      <c r="E41" s="3855" t="s">
        <v>173</v>
      </c>
    </row>
    <row r="42" spans="1:18" ht="15" customHeight="1">
      <c r="C42" s="3850"/>
      <c r="D42" s="3850"/>
      <c r="E42" s="3856"/>
    </row>
    <row r="43" spans="1:18" ht="15" customHeight="1">
      <c r="C43" s="3850"/>
      <c r="D43" s="3850"/>
      <c r="E43" s="3856"/>
    </row>
    <row r="44" spans="1:18" ht="15" customHeight="1">
      <c r="C44" s="3851"/>
      <c r="D44" s="3851"/>
      <c r="E44" s="3857"/>
    </row>
    <row r="45" spans="1:18" ht="15" customHeight="1">
      <c r="C45" s="3849">
        <v>9</v>
      </c>
      <c r="D45" s="3849" t="s">
        <v>174</v>
      </c>
      <c r="E45" s="3855" t="s">
        <v>175</v>
      </c>
    </row>
    <row r="46" spans="1:18" ht="15" customHeight="1">
      <c r="C46" s="3850"/>
      <c r="D46" s="3850"/>
      <c r="E46" s="3856"/>
      <c r="R46" s="2237"/>
    </row>
    <row r="47" spans="1:18" ht="15" customHeight="1">
      <c r="C47" s="3850"/>
      <c r="D47" s="3850"/>
      <c r="E47" s="3856"/>
      <c r="R47" s="2237"/>
    </row>
    <row r="48" spans="1:18" ht="15" customHeight="1">
      <c r="C48" s="3851"/>
      <c r="D48" s="3851"/>
      <c r="E48" s="3857"/>
      <c r="R48" s="2237"/>
    </row>
    <row r="49" spans="3:18" ht="15" customHeight="1">
      <c r="C49" s="3849">
        <v>10</v>
      </c>
      <c r="D49" s="3852" t="s">
        <v>176</v>
      </c>
      <c r="E49" s="3858" t="s">
        <v>177</v>
      </c>
      <c r="R49" s="2237"/>
    </row>
    <row r="50" spans="3:18" ht="15" customHeight="1">
      <c r="C50" s="3850"/>
      <c r="D50" s="3853"/>
      <c r="E50" s="3859"/>
      <c r="R50" s="2237"/>
    </row>
    <row r="51" spans="3:18" ht="15" customHeight="1">
      <c r="C51" s="3850"/>
      <c r="D51" s="3853"/>
      <c r="E51" s="3859"/>
      <c r="R51" s="2237"/>
    </row>
    <row r="52" spans="3:18" ht="15" customHeight="1">
      <c r="C52" s="3851"/>
      <c r="D52" s="3854"/>
      <c r="E52" s="3860"/>
      <c r="R52" s="2237"/>
    </row>
    <row r="53" spans="3:18" ht="15" customHeight="1">
      <c r="C53" s="3849">
        <v>11</v>
      </c>
      <c r="D53" s="3849" t="s">
        <v>178</v>
      </c>
      <c r="E53" s="3855" t="s">
        <v>179</v>
      </c>
      <c r="R53" s="2237"/>
    </row>
    <row r="54" spans="3:18" ht="15" customHeight="1">
      <c r="C54" s="3850"/>
      <c r="D54" s="3850"/>
      <c r="E54" s="3856"/>
      <c r="R54" s="2237"/>
    </row>
    <row r="55" spans="3:18" ht="15" customHeight="1">
      <c r="C55" s="3850"/>
      <c r="D55" s="3850"/>
      <c r="E55" s="3856"/>
      <c r="R55" s="2237"/>
    </row>
    <row r="56" spans="3:18" ht="15" customHeight="1">
      <c r="C56" s="3851"/>
      <c r="D56" s="3851"/>
      <c r="E56" s="3857"/>
      <c r="R56" s="2237"/>
    </row>
    <row r="57" spans="3:18" ht="15" customHeight="1">
      <c r="C57" s="3849">
        <v>12</v>
      </c>
      <c r="D57" s="3852" t="s">
        <v>180</v>
      </c>
      <c r="E57" s="3855" t="s">
        <v>181</v>
      </c>
      <c r="R57" s="2237"/>
    </row>
    <row r="58" spans="3:18" ht="15" customHeight="1">
      <c r="C58" s="3850"/>
      <c r="D58" s="3853"/>
      <c r="E58" s="3856"/>
      <c r="R58" s="2237"/>
    </row>
    <row r="59" spans="3:18" ht="15" customHeight="1">
      <c r="C59" s="3850"/>
      <c r="D59" s="3853"/>
      <c r="E59" s="3856"/>
      <c r="R59" s="2237"/>
    </row>
    <row r="60" spans="3:18" ht="15" customHeight="1">
      <c r="C60" s="3851"/>
      <c r="D60" s="3854"/>
      <c r="E60" s="3857"/>
      <c r="R60" s="2237"/>
    </row>
    <row r="61" spans="3:18" ht="15" customHeight="1">
      <c r="C61" s="3849">
        <v>15</v>
      </c>
      <c r="D61" s="3852" t="s">
        <v>182</v>
      </c>
      <c r="E61" s="3855" t="s">
        <v>183</v>
      </c>
      <c r="R61" s="2237"/>
    </row>
    <row r="62" spans="3:18" ht="15" customHeight="1">
      <c r="C62" s="3850"/>
      <c r="D62" s="3853"/>
      <c r="E62" s="3856"/>
      <c r="R62" s="2237"/>
    </row>
    <row r="63" spans="3:18" ht="15" customHeight="1">
      <c r="C63" s="3850"/>
      <c r="D63" s="3853"/>
      <c r="E63" s="3856"/>
      <c r="R63" s="2237"/>
    </row>
    <row r="64" spans="3:18" ht="15" customHeight="1">
      <c r="C64" s="3851"/>
      <c r="D64" s="3854"/>
      <c r="E64" s="3857"/>
      <c r="R64" s="2237"/>
    </row>
    <row r="65" spans="3:18" ht="15" customHeight="1">
      <c r="C65" s="3849">
        <v>16</v>
      </c>
      <c r="D65" s="3852" t="s">
        <v>184</v>
      </c>
      <c r="E65" s="3855" t="s">
        <v>185</v>
      </c>
      <c r="R65" s="2237"/>
    </row>
    <row r="66" spans="3:18" ht="15" customHeight="1">
      <c r="C66" s="3850"/>
      <c r="D66" s="3853"/>
      <c r="E66" s="3856"/>
      <c r="R66" s="2237"/>
    </row>
    <row r="67" spans="3:18" ht="15" customHeight="1">
      <c r="C67" s="3850"/>
      <c r="D67" s="3853"/>
      <c r="E67" s="3856"/>
      <c r="R67" s="2237"/>
    </row>
    <row r="68" spans="3:18" ht="15" customHeight="1">
      <c r="C68" s="3850"/>
      <c r="D68" s="3853"/>
      <c r="E68" s="3856"/>
      <c r="R68" s="2237"/>
    </row>
    <row r="69" spans="3:18" ht="15" customHeight="1">
      <c r="C69" s="3851"/>
      <c r="D69" s="3854"/>
      <c r="E69" s="3857"/>
      <c r="R69" s="2237"/>
    </row>
    <row r="70" spans="3:18" ht="15" customHeight="1">
      <c r="C70" s="3849">
        <v>17</v>
      </c>
      <c r="D70" s="3852" t="s">
        <v>186</v>
      </c>
      <c r="E70" s="3855" t="s">
        <v>187</v>
      </c>
      <c r="R70" s="2237"/>
    </row>
    <row r="71" spans="3:18" ht="15" customHeight="1">
      <c r="C71" s="3850"/>
      <c r="D71" s="3853"/>
      <c r="E71" s="3856"/>
      <c r="R71" s="2237"/>
    </row>
    <row r="72" spans="3:18" ht="15" customHeight="1">
      <c r="C72" s="3850"/>
      <c r="D72" s="3853"/>
      <c r="E72" s="3856"/>
      <c r="R72" s="2237"/>
    </row>
    <row r="73" spans="3:18" ht="15" customHeight="1">
      <c r="C73" s="3851"/>
      <c r="D73" s="3854"/>
      <c r="E73" s="3857"/>
      <c r="R73" s="2237"/>
    </row>
    <row r="74" spans="3:18" ht="15" customHeight="1">
      <c r="C74" s="3849">
        <v>18</v>
      </c>
      <c r="D74" s="3852" t="s">
        <v>188</v>
      </c>
      <c r="E74" s="3855" t="s">
        <v>189</v>
      </c>
      <c r="R74" s="2237"/>
    </row>
    <row r="75" spans="3:18" ht="15" customHeight="1">
      <c r="C75" s="3850"/>
      <c r="D75" s="3853"/>
      <c r="E75" s="3856"/>
      <c r="R75" s="2237"/>
    </row>
    <row r="76" spans="3:18" ht="15" customHeight="1">
      <c r="C76" s="3850"/>
      <c r="D76" s="3853"/>
      <c r="E76" s="3856"/>
      <c r="R76" s="2237"/>
    </row>
    <row r="77" spans="3:18" ht="15" customHeight="1">
      <c r="C77" s="3851"/>
      <c r="D77" s="3854"/>
      <c r="E77" s="3857"/>
      <c r="R77" s="2237"/>
    </row>
    <row r="78" spans="3:18" ht="15" customHeight="1">
      <c r="C78" s="3849">
        <v>19</v>
      </c>
      <c r="D78" s="3852" t="s">
        <v>190</v>
      </c>
      <c r="E78" s="3855" t="s">
        <v>191</v>
      </c>
      <c r="R78" s="2237"/>
    </row>
    <row r="79" spans="3:18" ht="15" customHeight="1">
      <c r="C79" s="3850"/>
      <c r="D79" s="3853"/>
      <c r="E79" s="3856"/>
      <c r="R79" s="2237"/>
    </row>
    <row r="80" spans="3:18" ht="15" customHeight="1">
      <c r="C80" s="3850"/>
      <c r="D80" s="3853"/>
      <c r="E80" s="3856"/>
      <c r="R80" s="2237"/>
    </row>
    <row r="81" spans="3:18" ht="16.5" customHeight="1">
      <c r="C81" s="3851"/>
      <c r="D81" s="3854"/>
      <c r="E81" s="3857"/>
      <c r="R81" s="2237"/>
    </row>
    <row r="82" spans="3:18" ht="23.25" customHeight="1">
      <c r="C82" s="3849">
        <v>20</v>
      </c>
      <c r="D82" s="3852" t="s">
        <v>192</v>
      </c>
      <c r="E82" s="3855" t="s">
        <v>193</v>
      </c>
      <c r="R82" s="2237"/>
    </row>
    <row r="83" spans="3:18" ht="18.75" customHeight="1">
      <c r="C83" s="3850"/>
      <c r="D83" s="3853"/>
      <c r="E83" s="3856"/>
      <c r="R83" s="2237"/>
    </row>
    <row r="84" spans="3:18" ht="20.25" customHeight="1">
      <c r="C84" s="3850"/>
      <c r="D84" s="3853"/>
      <c r="E84" s="3856"/>
      <c r="R84" s="2237"/>
    </row>
    <row r="85" spans="3:18" ht="27.75" customHeight="1">
      <c r="C85" s="3851"/>
      <c r="D85" s="3854"/>
      <c r="E85" s="3857"/>
      <c r="R85" s="2237"/>
    </row>
    <row r="86" spans="3:18" ht="21" customHeight="1">
      <c r="C86" s="3849">
        <v>21</v>
      </c>
      <c r="D86" s="3852" t="s">
        <v>194</v>
      </c>
      <c r="E86" s="3855" t="s">
        <v>195</v>
      </c>
      <c r="R86" s="2237"/>
    </row>
    <row r="87" spans="3:18" ht="21" customHeight="1">
      <c r="C87" s="3850"/>
      <c r="D87" s="3853"/>
      <c r="E87" s="3856"/>
      <c r="R87" s="2237"/>
    </row>
    <row r="88" spans="3:18" ht="19.5" customHeight="1">
      <c r="C88" s="3850"/>
      <c r="D88" s="3853"/>
      <c r="E88" s="3856"/>
      <c r="R88" s="2237"/>
    </row>
    <row r="89" spans="3:18" ht="21" customHeight="1">
      <c r="C89" s="3851"/>
      <c r="D89" s="3854"/>
      <c r="E89" s="3857"/>
      <c r="R89" s="2237"/>
    </row>
    <row r="90" spans="3:18" ht="15" customHeight="1">
      <c r="C90" s="3849">
        <v>23</v>
      </c>
      <c r="D90" s="3852" t="s">
        <v>196</v>
      </c>
      <c r="E90" s="3855" t="s">
        <v>197</v>
      </c>
      <c r="R90" s="2237"/>
    </row>
    <row r="91" spans="3:18" ht="15" customHeight="1">
      <c r="C91" s="3850"/>
      <c r="D91" s="3853"/>
      <c r="E91" s="3856"/>
      <c r="R91" s="2237"/>
    </row>
    <row r="92" spans="3:18" ht="15" customHeight="1">
      <c r="C92" s="3850"/>
      <c r="D92" s="3853"/>
      <c r="E92" s="3856"/>
      <c r="R92" s="2237"/>
    </row>
    <row r="93" spans="3:18" ht="15" customHeight="1">
      <c r="C93" s="3851"/>
      <c r="D93" s="3854"/>
      <c r="E93" s="3857"/>
      <c r="R93" s="2237"/>
    </row>
    <row r="94" spans="3:18" ht="15" customHeight="1">
      <c r="C94" s="3849">
        <v>24</v>
      </c>
      <c r="D94" s="3852" t="s">
        <v>198</v>
      </c>
      <c r="E94" s="3858" t="s">
        <v>199</v>
      </c>
      <c r="R94" s="2237"/>
    </row>
    <row r="95" spans="3:18" ht="15" customHeight="1">
      <c r="C95" s="3850"/>
      <c r="D95" s="3853"/>
      <c r="E95" s="3859"/>
      <c r="R95" s="2237"/>
    </row>
    <row r="96" spans="3:18" ht="15" customHeight="1">
      <c r="C96" s="3850"/>
      <c r="D96" s="3853"/>
      <c r="E96" s="3859"/>
      <c r="R96" s="2237"/>
    </row>
    <row r="97" spans="3:18" ht="15" customHeight="1">
      <c r="C97" s="3851"/>
      <c r="D97" s="3854"/>
      <c r="E97" s="3860"/>
      <c r="R97" s="2237"/>
    </row>
    <row r="98" spans="3:18" ht="15" customHeight="1">
      <c r="C98" s="3849">
        <v>25</v>
      </c>
      <c r="D98" s="3852" t="s">
        <v>200</v>
      </c>
      <c r="E98" s="3855" t="s">
        <v>201</v>
      </c>
      <c r="R98" s="2237"/>
    </row>
    <row r="99" spans="3:18" ht="15" customHeight="1">
      <c r="C99" s="3850"/>
      <c r="D99" s="3853"/>
      <c r="E99" s="3856"/>
      <c r="R99" s="2237"/>
    </row>
    <row r="100" spans="3:18" ht="15" customHeight="1">
      <c r="C100" s="3850"/>
      <c r="D100" s="3853"/>
      <c r="E100" s="3856"/>
      <c r="R100" s="2237"/>
    </row>
    <row r="101" spans="3:18" ht="15" customHeight="1">
      <c r="C101" s="3851"/>
      <c r="D101" s="3854"/>
      <c r="E101" s="3857"/>
      <c r="R101" s="2237"/>
    </row>
    <row r="102" spans="3:18" ht="20.25" customHeight="1">
      <c r="C102" s="3849">
        <v>26</v>
      </c>
      <c r="D102" s="3852" t="s">
        <v>202</v>
      </c>
      <c r="E102" s="3855" t="s">
        <v>203</v>
      </c>
      <c r="R102" s="2237"/>
    </row>
    <row r="103" spans="3:18" ht="20.25" customHeight="1">
      <c r="C103" s="3850"/>
      <c r="D103" s="3853"/>
      <c r="E103" s="3856"/>
      <c r="R103" s="2237"/>
    </row>
    <row r="104" spans="3:18" ht="20.25" customHeight="1">
      <c r="C104" s="3850"/>
      <c r="D104" s="3853"/>
      <c r="E104" s="3856"/>
      <c r="R104" s="2237"/>
    </row>
    <row r="105" spans="3:18" ht="20.25" customHeight="1">
      <c r="C105" s="3851"/>
      <c r="D105" s="3854"/>
      <c r="E105" s="3857"/>
      <c r="R105" s="2237"/>
    </row>
    <row r="106" spans="3:18" ht="20.25" customHeight="1">
      <c r="C106" s="3849">
        <v>27</v>
      </c>
      <c r="D106" s="3852" t="s">
        <v>204</v>
      </c>
      <c r="E106" s="3855" t="s">
        <v>205</v>
      </c>
      <c r="R106" s="2237"/>
    </row>
    <row r="107" spans="3:18" ht="20.25" customHeight="1">
      <c r="C107" s="3850"/>
      <c r="D107" s="3853"/>
      <c r="E107" s="3856"/>
      <c r="R107" s="2237"/>
    </row>
    <row r="108" spans="3:18" ht="20.25" customHeight="1">
      <c r="C108" s="3850"/>
      <c r="D108" s="3853"/>
      <c r="E108" s="3856"/>
      <c r="R108" s="2237"/>
    </row>
    <row r="109" spans="3:18" ht="20.25" customHeight="1">
      <c r="C109" s="3851"/>
      <c r="D109" s="3854"/>
      <c r="E109" s="3857"/>
      <c r="R109" s="2237"/>
    </row>
    <row r="110" spans="3:18" ht="20.25" customHeight="1">
      <c r="C110" s="3849">
        <v>27</v>
      </c>
      <c r="D110" s="3852" t="s">
        <v>206</v>
      </c>
      <c r="E110" s="3855" t="s">
        <v>207</v>
      </c>
      <c r="R110" s="2237"/>
    </row>
    <row r="111" spans="3:18" ht="20.25" customHeight="1">
      <c r="C111" s="3850"/>
      <c r="D111" s="3853"/>
      <c r="E111" s="3856"/>
      <c r="R111" s="2237"/>
    </row>
    <row r="112" spans="3:18" ht="20.25" customHeight="1">
      <c r="C112" s="3850"/>
      <c r="D112" s="3853"/>
      <c r="E112" s="3856"/>
      <c r="R112" s="2237"/>
    </row>
    <row r="113" spans="3:18" ht="20.25" customHeight="1">
      <c r="C113" s="3851"/>
      <c r="D113" s="3854"/>
      <c r="E113" s="3857"/>
      <c r="R113" s="2237"/>
    </row>
    <row r="114" spans="3:18" ht="15" customHeight="1">
      <c r="C114" s="3849">
        <v>27</v>
      </c>
      <c r="D114" s="3852" t="s">
        <v>208</v>
      </c>
      <c r="E114" s="3855" t="s">
        <v>209</v>
      </c>
      <c r="R114" s="2237"/>
    </row>
    <row r="115" spans="3:18" ht="15" customHeight="1">
      <c r="C115" s="3850"/>
      <c r="D115" s="3853"/>
      <c r="E115" s="3856"/>
      <c r="R115" s="2237"/>
    </row>
    <row r="116" spans="3:18" ht="15" customHeight="1">
      <c r="C116" s="3850"/>
      <c r="D116" s="3853"/>
      <c r="E116" s="3856"/>
      <c r="R116" s="2237"/>
    </row>
    <row r="117" spans="3:18" ht="15" customHeight="1">
      <c r="C117" s="3851"/>
      <c r="D117" s="3854"/>
      <c r="E117" s="3857"/>
      <c r="R117" s="2237"/>
    </row>
    <row r="118" spans="3:18" ht="15" customHeight="1">
      <c r="C118" s="3849">
        <v>28</v>
      </c>
      <c r="D118" s="3852" t="s">
        <v>210</v>
      </c>
      <c r="E118" s="3855" t="s">
        <v>211</v>
      </c>
      <c r="R118" s="2237"/>
    </row>
    <row r="119" spans="3:18" ht="15" customHeight="1">
      <c r="C119" s="3850"/>
      <c r="D119" s="3853"/>
      <c r="E119" s="3856"/>
      <c r="R119" s="2237"/>
    </row>
    <row r="120" spans="3:18" ht="15" customHeight="1">
      <c r="C120" s="3850"/>
      <c r="D120" s="3853"/>
      <c r="E120" s="3856"/>
      <c r="R120" s="2237"/>
    </row>
    <row r="121" spans="3:18" ht="15" customHeight="1">
      <c r="C121" s="3851"/>
      <c r="D121" s="3854"/>
      <c r="E121" s="3857"/>
      <c r="R121" s="2237"/>
    </row>
    <row r="122" spans="3:18" ht="15" customHeight="1">
      <c r="C122" s="3849">
        <v>29</v>
      </c>
      <c r="D122" s="3852" t="s">
        <v>212</v>
      </c>
      <c r="E122" s="3855" t="s">
        <v>213</v>
      </c>
      <c r="R122" s="2237"/>
    </row>
    <row r="123" spans="3:18" ht="22.5" customHeight="1">
      <c r="C123" s="3850"/>
      <c r="D123" s="3853"/>
      <c r="E123" s="3856"/>
      <c r="R123" s="2237"/>
    </row>
    <row r="124" spans="3:18" ht="22.5" customHeight="1">
      <c r="C124" s="3850"/>
      <c r="D124" s="3853"/>
      <c r="E124" s="3856"/>
      <c r="R124" s="2237"/>
    </row>
    <row r="125" spans="3:18" ht="24" customHeight="1">
      <c r="C125" s="3851"/>
      <c r="D125" s="3854"/>
      <c r="E125" s="3857"/>
      <c r="R125" s="2237"/>
    </row>
    <row r="126" spans="3:18" ht="15" customHeight="1">
      <c r="C126" s="3849">
        <v>30</v>
      </c>
      <c r="D126" s="3852" t="s">
        <v>214</v>
      </c>
      <c r="E126" s="3855" t="s">
        <v>215</v>
      </c>
      <c r="R126" s="2237"/>
    </row>
    <row r="127" spans="3:18" ht="15" customHeight="1">
      <c r="C127" s="3850"/>
      <c r="D127" s="3853"/>
      <c r="E127" s="3856"/>
      <c r="R127" s="2237"/>
    </row>
    <row r="128" spans="3:18" ht="15.75">
      <c r="C128" s="3850"/>
      <c r="D128" s="3853"/>
      <c r="E128" s="3856"/>
      <c r="R128" s="2237"/>
    </row>
    <row r="129" spans="3:18" ht="15.75">
      <c r="C129" s="3851"/>
      <c r="D129" s="3854"/>
      <c r="E129" s="3857"/>
      <c r="R129" s="2237"/>
    </row>
    <row r="130" spans="3:18" ht="15.75">
      <c r="C130" s="3849">
        <v>31</v>
      </c>
      <c r="D130" s="3852" t="s">
        <v>216</v>
      </c>
      <c r="E130" s="3855" t="s">
        <v>217</v>
      </c>
      <c r="R130" s="2237"/>
    </row>
    <row r="131" spans="3:18" ht="15.75">
      <c r="C131" s="3850"/>
      <c r="D131" s="3853"/>
      <c r="E131" s="3856"/>
      <c r="R131" s="2237"/>
    </row>
    <row r="132" spans="3:18" ht="15.75">
      <c r="C132" s="3850"/>
      <c r="D132" s="3853"/>
      <c r="E132" s="3856"/>
      <c r="R132" s="2237"/>
    </row>
    <row r="133" spans="3:18" ht="15" customHeight="1">
      <c r="C133" s="3851"/>
      <c r="D133" s="3854"/>
      <c r="E133" s="3857"/>
    </row>
    <row r="134" spans="3:18" ht="15" customHeight="1">
      <c r="C134" s="3849">
        <v>32</v>
      </c>
      <c r="D134" s="3852" t="s">
        <v>218</v>
      </c>
      <c r="E134" s="3855" t="s">
        <v>219</v>
      </c>
    </row>
    <row r="135" spans="3:18" ht="15" customHeight="1">
      <c r="C135" s="3850"/>
      <c r="D135" s="3853"/>
      <c r="E135" s="3856"/>
    </row>
    <row r="136" spans="3:18" ht="15" customHeight="1">
      <c r="C136" s="3850"/>
      <c r="D136" s="3853"/>
      <c r="E136" s="3856"/>
    </row>
    <row r="137" spans="3:18" ht="15" customHeight="1">
      <c r="C137" s="3851"/>
      <c r="D137" s="3854"/>
      <c r="E137" s="3857"/>
    </row>
    <row r="138" spans="3:18" ht="15" customHeight="1">
      <c r="C138" s="3849">
        <v>33</v>
      </c>
      <c r="D138" s="3852" t="s">
        <v>220</v>
      </c>
      <c r="E138" s="3855" t="s">
        <v>221</v>
      </c>
    </row>
    <row r="139" spans="3:18" ht="15" customHeight="1">
      <c r="C139" s="3850"/>
      <c r="D139" s="3853"/>
      <c r="E139" s="3856"/>
    </row>
    <row r="140" spans="3:18" ht="15" customHeight="1">
      <c r="C140" s="3850"/>
      <c r="D140" s="3853"/>
      <c r="E140" s="3856"/>
    </row>
    <row r="141" spans="3:18" ht="15" customHeight="1">
      <c r="C141" s="3851"/>
      <c r="D141" s="3854"/>
      <c r="E141" s="3857"/>
    </row>
    <row r="142" spans="3:18" ht="15" customHeight="1">
      <c r="C142" s="3849">
        <v>34</v>
      </c>
      <c r="D142" s="3852" t="s">
        <v>222</v>
      </c>
      <c r="E142" s="3855" t="s">
        <v>223</v>
      </c>
    </row>
    <row r="143" spans="3:18" ht="15" customHeight="1">
      <c r="C143" s="3850"/>
      <c r="D143" s="3853"/>
      <c r="E143" s="3856"/>
    </row>
    <row r="144" spans="3:18" ht="15" customHeight="1">
      <c r="C144" s="3850"/>
      <c r="D144" s="3853"/>
      <c r="E144" s="3856"/>
    </row>
    <row r="145" spans="3:5" ht="15" customHeight="1">
      <c r="C145" s="3851"/>
      <c r="D145" s="3854"/>
      <c r="E145" s="3857"/>
    </row>
    <row r="146" spans="3:5" ht="15" customHeight="1">
      <c r="C146" s="3849">
        <v>35</v>
      </c>
      <c r="D146" s="3852" t="s">
        <v>224</v>
      </c>
      <c r="E146" s="3855" t="s">
        <v>225</v>
      </c>
    </row>
    <row r="147" spans="3:5" ht="15" customHeight="1">
      <c r="C147" s="3850"/>
      <c r="D147" s="3853"/>
      <c r="E147" s="3856"/>
    </row>
    <row r="148" spans="3:5" ht="15" customHeight="1">
      <c r="C148" s="3850"/>
      <c r="D148" s="3853"/>
      <c r="E148" s="3856"/>
    </row>
    <row r="149" spans="3:5" ht="15" customHeight="1">
      <c r="C149" s="3851"/>
      <c r="D149" s="3854"/>
      <c r="E149" s="3857"/>
    </row>
    <row r="150" spans="3:5" ht="15" customHeight="1">
      <c r="C150" s="3849">
        <v>36</v>
      </c>
      <c r="D150" s="3852" t="s">
        <v>226</v>
      </c>
      <c r="E150" s="3855" t="s">
        <v>227</v>
      </c>
    </row>
    <row r="151" spans="3:5" ht="15" customHeight="1">
      <c r="C151" s="3850"/>
      <c r="D151" s="3853"/>
      <c r="E151" s="3856"/>
    </row>
    <row r="152" spans="3:5" ht="15" customHeight="1">
      <c r="C152" s="3850"/>
      <c r="D152" s="3853"/>
      <c r="E152" s="3856"/>
    </row>
    <row r="153" spans="3:5" ht="15" customHeight="1">
      <c r="C153" s="3851"/>
      <c r="D153" s="3854"/>
      <c r="E153" s="3857"/>
    </row>
    <row r="154" spans="3:5" ht="15" customHeight="1">
      <c r="C154" s="3849">
        <v>37</v>
      </c>
      <c r="D154" s="3852" t="s">
        <v>228</v>
      </c>
      <c r="E154" s="3855" t="s">
        <v>229</v>
      </c>
    </row>
    <row r="155" spans="3:5" ht="15" customHeight="1">
      <c r="C155" s="3850"/>
      <c r="D155" s="3853"/>
      <c r="E155" s="3856"/>
    </row>
    <row r="156" spans="3:5" ht="15" customHeight="1">
      <c r="C156" s="3850"/>
      <c r="D156" s="3853"/>
      <c r="E156" s="3856"/>
    </row>
    <row r="157" spans="3:5" ht="15" customHeight="1">
      <c r="C157" s="3851"/>
      <c r="D157" s="3854"/>
      <c r="E157" s="3857"/>
    </row>
    <row r="158" spans="3:5" ht="15" customHeight="1">
      <c r="C158" s="3849">
        <v>38</v>
      </c>
      <c r="D158" s="3852" t="s">
        <v>230</v>
      </c>
      <c r="E158" s="3855" t="s">
        <v>231</v>
      </c>
    </row>
    <row r="159" spans="3:5" ht="15" customHeight="1">
      <c r="C159" s="3850"/>
      <c r="D159" s="3853"/>
      <c r="E159" s="3856"/>
    </row>
    <row r="160" spans="3:5" ht="15" customHeight="1">
      <c r="C160" s="3850"/>
      <c r="D160" s="3853"/>
      <c r="E160" s="3856"/>
    </row>
    <row r="161" spans="3:5" ht="15" customHeight="1">
      <c r="C161" s="3851"/>
      <c r="D161" s="3854"/>
      <c r="E161" s="3857"/>
    </row>
    <row r="162" spans="3:5" ht="15" customHeight="1">
      <c r="C162" s="3849">
        <v>39</v>
      </c>
      <c r="D162" s="3852" t="s">
        <v>232</v>
      </c>
      <c r="E162" s="3855" t="s">
        <v>233</v>
      </c>
    </row>
    <row r="163" spans="3:5" ht="15" customHeight="1">
      <c r="C163" s="3850"/>
      <c r="D163" s="3853"/>
      <c r="E163" s="3856"/>
    </row>
    <row r="164" spans="3:5" ht="15" customHeight="1">
      <c r="C164" s="3850"/>
      <c r="D164" s="3853"/>
      <c r="E164" s="3856"/>
    </row>
    <row r="165" spans="3:5" ht="15" customHeight="1">
      <c r="C165" s="3851"/>
      <c r="D165" s="3854"/>
      <c r="E165" s="3857"/>
    </row>
    <row r="166" spans="3:5" ht="15" customHeight="1">
      <c r="C166" s="2880"/>
      <c r="D166" s="2881"/>
      <c r="E166" s="2882"/>
    </row>
    <row r="167" spans="3:5" ht="15" customHeight="1"/>
    <row r="168" spans="3:5" ht="15" customHeight="1"/>
    <row r="169" spans="3:5" ht="15" customHeight="1">
      <c r="D169" s="3145" t="s">
        <v>234</v>
      </c>
      <c r="E169" s="3144" t="s">
        <v>235</v>
      </c>
    </row>
    <row r="170" spans="3:5" ht="15" customHeight="1"/>
    <row r="171" spans="3:5" ht="15" customHeight="1"/>
    <row r="172" spans="3:5" ht="15" customHeight="1"/>
    <row r="173" spans="3:5" ht="15" customHeight="1"/>
    <row r="174" spans="3:5" ht="15" customHeight="1"/>
    <row r="175" spans="3:5" ht="15" customHeight="1"/>
    <row r="176" spans="3:5" ht="15" customHeight="1"/>
    <row r="177" ht="15" customHeight="1"/>
    <row r="178" ht="15" customHeight="1"/>
    <row r="179" ht="15" customHeight="1"/>
    <row r="180" ht="15" customHeight="1"/>
    <row r="181" ht="15" customHeight="1"/>
  </sheetData>
  <sheetProtection algorithmName="SHA-512" hashValue="wUda01SH0i18oFlz470/Vbqs9IpUZ58TD1pNqJ6oij7SRkwqZM/oyRDcZB0gCTGoeQCsESIDKSX0ARUDLhkjqg==" saltValue="ENKp7XdTjVlb/yUlT3O52w==" spinCount="100000" sheet="1" objects="1" scenarios="1"/>
  <mergeCells count="114">
    <mergeCell ref="C37:C40"/>
    <mergeCell ref="D37:D40"/>
    <mergeCell ref="E37:E40"/>
    <mergeCell ref="C130:C133"/>
    <mergeCell ref="D130:D133"/>
    <mergeCell ref="E130:E133"/>
    <mergeCell ref="C118:C121"/>
    <mergeCell ref="D118:D121"/>
    <mergeCell ref="E118:E121"/>
    <mergeCell ref="C122:C125"/>
    <mergeCell ref="D122:D125"/>
    <mergeCell ref="E122:E125"/>
    <mergeCell ref="C126:C129"/>
    <mergeCell ref="D126:D129"/>
    <mergeCell ref="E126:E129"/>
    <mergeCell ref="C45:C48"/>
    <mergeCell ref="D45:D48"/>
    <mergeCell ref="E45:E48"/>
    <mergeCell ref="C49:C52"/>
    <mergeCell ref="D49:D52"/>
    <mergeCell ref="E49:E52"/>
    <mergeCell ref="C57:C60"/>
    <mergeCell ref="D57:D60"/>
    <mergeCell ref="E57:E60"/>
    <mergeCell ref="C24:C27"/>
    <mergeCell ref="D24:D27"/>
    <mergeCell ref="E24:E27"/>
    <mergeCell ref="D28:D31"/>
    <mergeCell ref="E28:E31"/>
    <mergeCell ref="C28:C31"/>
    <mergeCell ref="E32:E36"/>
    <mergeCell ref="D32:D36"/>
    <mergeCell ref="C32:C36"/>
    <mergeCell ref="D20:D23"/>
    <mergeCell ref="E20:E23"/>
    <mergeCell ref="C12:C15"/>
    <mergeCell ref="D12:D15"/>
    <mergeCell ref="E12:E15"/>
    <mergeCell ref="C16:C19"/>
    <mergeCell ref="D16:D19"/>
    <mergeCell ref="E16:E19"/>
    <mergeCell ref="C20:C23"/>
    <mergeCell ref="C53:C56"/>
    <mergeCell ref="D53:D56"/>
    <mergeCell ref="E53:E56"/>
    <mergeCell ref="C61:C64"/>
    <mergeCell ref="D61:D64"/>
    <mergeCell ref="E61:E64"/>
    <mergeCell ref="C65:C69"/>
    <mergeCell ref="D65:D69"/>
    <mergeCell ref="E65:E69"/>
    <mergeCell ref="C78:C81"/>
    <mergeCell ref="D78:D81"/>
    <mergeCell ref="E78:E81"/>
    <mergeCell ref="C70:C73"/>
    <mergeCell ref="D70:D73"/>
    <mergeCell ref="E70:E73"/>
    <mergeCell ref="C74:C77"/>
    <mergeCell ref="D74:D77"/>
    <mergeCell ref="E74:E77"/>
    <mergeCell ref="C98:C101"/>
    <mergeCell ref="D98:D101"/>
    <mergeCell ref="E98:E101"/>
    <mergeCell ref="C94:C97"/>
    <mergeCell ref="D94:D97"/>
    <mergeCell ref="E94:E97"/>
    <mergeCell ref="C82:C85"/>
    <mergeCell ref="D82:D85"/>
    <mergeCell ref="E82:E85"/>
    <mergeCell ref="C86:C89"/>
    <mergeCell ref="D86:D89"/>
    <mergeCell ref="E86:E89"/>
    <mergeCell ref="E90:E93"/>
    <mergeCell ref="D90:D93"/>
    <mergeCell ref="C90:C93"/>
    <mergeCell ref="C138:C141"/>
    <mergeCell ref="D138:D141"/>
    <mergeCell ref="E138:E141"/>
    <mergeCell ref="C102:C105"/>
    <mergeCell ref="D102:D105"/>
    <mergeCell ref="E102:E105"/>
    <mergeCell ref="C114:C117"/>
    <mergeCell ref="D114:D117"/>
    <mergeCell ref="E114:E117"/>
    <mergeCell ref="C106:C109"/>
    <mergeCell ref="D106:D109"/>
    <mergeCell ref="E106:E109"/>
    <mergeCell ref="C110:C113"/>
    <mergeCell ref="D110:D113"/>
    <mergeCell ref="E110:E113"/>
    <mergeCell ref="C154:C157"/>
    <mergeCell ref="D154:D157"/>
    <mergeCell ref="E154:E157"/>
    <mergeCell ref="C162:C165"/>
    <mergeCell ref="D162:D165"/>
    <mergeCell ref="E162:E165"/>
    <mergeCell ref="C41:C44"/>
    <mergeCell ref="D41:D44"/>
    <mergeCell ref="E41:E44"/>
    <mergeCell ref="C150:C153"/>
    <mergeCell ref="D150:D153"/>
    <mergeCell ref="E150:E153"/>
    <mergeCell ref="C158:C161"/>
    <mergeCell ref="D158:D161"/>
    <mergeCell ref="E158:E161"/>
    <mergeCell ref="C142:C145"/>
    <mergeCell ref="D142:D145"/>
    <mergeCell ref="E142:E145"/>
    <mergeCell ref="C146:C149"/>
    <mergeCell ref="D146:D149"/>
    <mergeCell ref="E146:E149"/>
    <mergeCell ref="C134:C137"/>
    <mergeCell ref="D134:D137"/>
    <mergeCell ref="E134:E137"/>
  </mergeCells>
  <hyperlinks>
    <hyperlink ref="E169" r:id="rId1" xr:uid="{306B061B-A883-4595-A2AE-4639970C7DB6}"/>
  </hyperlinks>
  <pageMargins left="0.7" right="0.7" top="0.75" bottom="0.75" header="0.3" footer="0.3"/>
  <pageSetup paperSize="9" orientation="portrait" r:id="rId2"/>
  <customProperties>
    <customPr name="_pios_id" r:id="rId3"/>
  </customProperties>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563B9-2753-4E24-A018-9471DC449E29}">
  <sheetPr codeName="Hoja11">
    <pageSetUpPr fitToPage="1"/>
  </sheetPr>
  <dimension ref="A1:AV960"/>
  <sheetViews>
    <sheetView workbookViewId="0"/>
  </sheetViews>
  <sheetFormatPr baseColWidth="10" defaultColWidth="11.42578125" defaultRowHeight="15" customHeight="1"/>
  <cols>
    <col min="1" max="1" width="20.7109375" style="678" customWidth="1"/>
    <col min="2" max="2" width="7.7109375" style="679" customWidth="1"/>
    <col min="3" max="3" width="25.7109375" style="679" customWidth="1"/>
    <col min="4" max="4" width="81.28515625" style="679" customWidth="1"/>
    <col min="5" max="5" width="18.42578125" style="679" customWidth="1"/>
    <col min="6" max="14" width="15.7109375" style="679" customWidth="1"/>
    <col min="15" max="15" width="15.7109375" style="679" hidden="1" customWidth="1"/>
    <col min="16" max="41" width="15.7109375" style="679" customWidth="1"/>
    <col min="42" max="44" width="48.5703125" style="679" bestFit="1" customWidth="1"/>
    <col min="45" max="45" width="62" style="679" customWidth="1"/>
    <col min="46" max="46" width="11.42578125" style="679"/>
    <col min="47" max="47" width="81.140625" style="679" bestFit="1" customWidth="1"/>
    <col min="48" max="16384" width="11.42578125" style="679"/>
  </cols>
  <sheetData>
    <row r="1" spans="1:48" s="680" customFormat="1" ht="15" customHeight="1">
      <c r="A1" s="678"/>
      <c r="B1" s="679"/>
      <c r="C1" s="679"/>
      <c r="D1" s="679"/>
      <c r="E1" s="679"/>
      <c r="F1" s="679"/>
      <c r="G1" s="679"/>
      <c r="H1" s="679"/>
      <c r="I1" s="679"/>
      <c r="J1" s="679"/>
      <c r="K1" s="679"/>
      <c r="L1" s="679"/>
    </row>
    <row r="2" spans="1:48" ht="17.25" customHeight="1">
      <c r="E2" s="3252"/>
    </row>
    <row r="3" spans="1:48" ht="15" customHeight="1">
      <c r="B3" s="680"/>
      <c r="C3" s="680"/>
    </row>
    <row r="4" spans="1:48" ht="15" customHeight="1">
      <c r="B4" s="680"/>
      <c r="C4" s="680"/>
    </row>
    <row r="5" spans="1:48" ht="15" customHeight="1">
      <c r="A5" s="1559"/>
      <c r="B5" s="680"/>
      <c r="C5" s="680"/>
    </row>
    <row r="6" spans="1:48" ht="15" customHeight="1">
      <c r="B6" s="680"/>
      <c r="C6" s="680"/>
    </row>
    <row r="7" spans="1:48" ht="15" customHeight="1">
      <c r="B7" s="680"/>
      <c r="C7" s="680"/>
      <c r="I7"/>
      <c r="J7"/>
      <c r="K7"/>
      <c r="L7"/>
      <c r="M7"/>
    </row>
    <row r="8" spans="1:48" ht="16.5" thickBot="1">
      <c r="B8" s="680"/>
      <c r="C8" s="3328" t="s">
        <v>236</v>
      </c>
      <c r="F8" s="3251"/>
      <c r="G8" s="3251"/>
      <c r="N8"/>
      <c r="O8"/>
      <c r="P8"/>
      <c r="Q8"/>
      <c r="R8"/>
      <c r="S8"/>
      <c r="T8"/>
      <c r="U8"/>
      <c r="V8"/>
      <c r="W8"/>
      <c r="X8"/>
      <c r="Y8"/>
      <c r="Z8"/>
      <c r="AA8"/>
      <c r="AB8"/>
      <c r="AC8"/>
      <c r="AD8"/>
      <c r="AE8"/>
      <c r="AF8"/>
      <c r="AG8"/>
      <c r="AH8"/>
      <c r="AI8"/>
      <c r="AJ8"/>
      <c r="AK8"/>
      <c r="AL8"/>
      <c r="AM8"/>
      <c r="AN8"/>
      <c r="AO8"/>
    </row>
    <row r="9" spans="1:48" ht="15" customHeight="1" thickBot="1">
      <c r="B9" s="680"/>
      <c r="C9" s="3433"/>
      <c r="D9" s="3433"/>
      <c r="E9" s="3433"/>
      <c r="F9" s="3433"/>
      <c r="G9" s="3433"/>
      <c r="H9" s="3433"/>
      <c r="I9" s="3870" t="s">
        <v>237</v>
      </c>
      <c r="J9" s="3871"/>
      <c r="K9" s="3871"/>
      <c r="L9" s="3872"/>
      <c r="M9" s="3433"/>
      <c r="N9" s="3433"/>
      <c r="O9" s="3433"/>
      <c r="P9" s="3433"/>
      <c r="Q9" s="3433"/>
      <c r="R9" s="3873" t="s">
        <v>238</v>
      </c>
      <c r="S9" s="3874"/>
      <c r="T9" s="3874"/>
      <c r="U9" s="3875"/>
      <c r="V9" s="3876" t="s">
        <v>239</v>
      </c>
      <c r="W9" s="3877"/>
      <c r="X9" s="3877"/>
      <c r="Y9" s="3878"/>
      <c r="Z9" s="3879" t="s">
        <v>240</v>
      </c>
      <c r="AA9" s="3880"/>
      <c r="AB9" s="3880"/>
      <c r="AC9" s="3881"/>
      <c r="AD9" s="3882" t="s">
        <v>241</v>
      </c>
      <c r="AE9" s="3883"/>
      <c r="AF9" s="3883"/>
      <c r="AG9" s="3884"/>
      <c r="AH9" s="3866" t="s">
        <v>242</v>
      </c>
      <c r="AI9" s="3867"/>
      <c r="AJ9" s="3867"/>
      <c r="AK9" s="3885"/>
      <c r="AL9" s="3866" t="s">
        <v>242</v>
      </c>
      <c r="AM9" s="3867"/>
      <c r="AN9" s="3867"/>
      <c r="AO9" s="3868"/>
      <c r="AP9" s="3869" t="s">
        <v>242</v>
      </c>
      <c r="AQ9" s="3867"/>
      <c r="AR9" s="3867"/>
      <c r="AS9" s="3868"/>
    </row>
    <row r="10" spans="1:48" ht="15" customHeight="1" thickBot="1">
      <c r="B10" s="680"/>
      <c r="C10" s="3433"/>
      <c r="D10" s="3433"/>
      <c r="E10" s="3434" t="s">
        <v>238</v>
      </c>
      <c r="F10" s="3435" t="s">
        <v>243</v>
      </c>
      <c r="G10" s="3435" t="s">
        <v>240</v>
      </c>
      <c r="H10" s="3435" t="s">
        <v>241</v>
      </c>
      <c r="I10" s="3436" t="s">
        <v>238</v>
      </c>
      <c r="J10" s="3437" t="s">
        <v>243</v>
      </c>
      <c r="K10" s="3437" t="s">
        <v>240</v>
      </c>
      <c r="L10" s="3438" t="s">
        <v>241</v>
      </c>
      <c r="M10" s="3434" t="s">
        <v>238</v>
      </c>
      <c r="N10" s="3435" t="s">
        <v>243</v>
      </c>
      <c r="O10" s="3439"/>
      <c r="P10" s="3435" t="s">
        <v>240</v>
      </c>
      <c r="Q10" s="3440" t="s">
        <v>241</v>
      </c>
      <c r="R10" s="3441">
        <v>0</v>
      </c>
      <c r="S10" s="3442">
        <v>1</v>
      </c>
      <c r="T10" s="3442">
        <v>2</v>
      </c>
      <c r="U10" s="3443">
        <v>3</v>
      </c>
      <c r="V10" s="3253">
        <v>0</v>
      </c>
      <c r="W10" s="3254">
        <v>1</v>
      </c>
      <c r="X10" s="3254">
        <v>2</v>
      </c>
      <c r="Y10" s="3255">
        <v>3</v>
      </c>
      <c r="Z10" s="3256">
        <v>0</v>
      </c>
      <c r="AA10" s="3257">
        <v>1</v>
      </c>
      <c r="AB10" s="3257">
        <v>2</v>
      </c>
      <c r="AC10" s="3258">
        <v>3</v>
      </c>
      <c r="AD10" s="3259">
        <v>0</v>
      </c>
      <c r="AE10" s="3260">
        <v>1</v>
      </c>
      <c r="AF10" s="3260">
        <v>2</v>
      </c>
      <c r="AG10" s="3261">
        <v>3</v>
      </c>
      <c r="AH10" s="3262">
        <v>0</v>
      </c>
      <c r="AI10" s="3263">
        <v>1</v>
      </c>
      <c r="AJ10" s="3263">
        <v>2</v>
      </c>
      <c r="AK10" s="3323">
        <v>3</v>
      </c>
      <c r="AL10" s="3241">
        <v>0</v>
      </c>
      <c r="AM10" s="3242">
        <v>1</v>
      </c>
      <c r="AN10" s="3242">
        <v>2</v>
      </c>
      <c r="AO10" s="3243">
        <v>3</v>
      </c>
      <c r="AP10" s="3324">
        <v>0</v>
      </c>
      <c r="AQ10" s="3242">
        <v>1</v>
      </c>
      <c r="AR10" s="3242">
        <v>2</v>
      </c>
      <c r="AS10" s="3243">
        <v>3</v>
      </c>
      <c r="AU10" s="3222" t="s">
        <v>244</v>
      </c>
    </row>
    <row r="11" spans="1:48" ht="16.5" thickBot="1">
      <c r="B11" s="680"/>
      <c r="C11" s="3444" t="s">
        <v>32</v>
      </c>
      <c r="D11" s="3445" t="s">
        <v>123</v>
      </c>
      <c r="E11" s="3446">
        <v>2.75</v>
      </c>
      <c r="F11" s="3447">
        <v>1.5</v>
      </c>
      <c r="G11" s="3447">
        <v>3</v>
      </c>
      <c r="H11" s="3448">
        <v>4.125</v>
      </c>
      <c r="I11" s="3446">
        <v>4.125</v>
      </c>
      <c r="J11" s="3447">
        <v>3</v>
      </c>
      <c r="K11" s="3447">
        <v>3</v>
      </c>
      <c r="L11" s="3448">
        <v>3</v>
      </c>
      <c r="M11" s="3449">
        <f>E11*I11</f>
        <v>11.34375</v>
      </c>
      <c r="N11" s="3450">
        <f t="shared" ref="N11:N25" si="0">F11*J11</f>
        <v>4.5</v>
      </c>
      <c r="O11" s="3450"/>
      <c r="P11" s="3450">
        <f t="shared" ref="P11:P21" si="1">G11*K11</f>
        <v>9</v>
      </c>
      <c r="Q11" s="3451">
        <f t="shared" ref="Q11:Q21" si="2">H11*L11</f>
        <v>12.375</v>
      </c>
      <c r="R11" s="3452">
        <f>M11*$R$10</f>
        <v>0</v>
      </c>
      <c r="S11" s="3453">
        <f>M11*$S$10</f>
        <v>11.34375</v>
      </c>
      <c r="T11" s="3453">
        <f>M11*$T$10</f>
        <v>22.6875</v>
      </c>
      <c r="U11" s="3454">
        <f>M11*$U$10</f>
        <v>34.03125</v>
      </c>
      <c r="V11" s="3264">
        <f>N11*$V$10</f>
        <v>0</v>
      </c>
      <c r="W11" s="3265">
        <f>N11*$W$10</f>
        <v>4.5</v>
      </c>
      <c r="X11" s="3265">
        <f>N11*$X$10</f>
        <v>9</v>
      </c>
      <c r="Y11" s="3266">
        <f>N11*$Y$10</f>
        <v>13.5</v>
      </c>
      <c r="Z11" s="3267">
        <f>P11*$Z$10</f>
        <v>0</v>
      </c>
      <c r="AA11" s="3268">
        <f>P11*$AA$10</f>
        <v>9</v>
      </c>
      <c r="AB11" s="3268">
        <f>P11*$AB$10</f>
        <v>18</v>
      </c>
      <c r="AC11" s="3269">
        <f>P11*$AC$10</f>
        <v>27</v>
      </c>
      <c r="AD11" s="3270">
        <f>Q11*$AD$10</f>
        <v>0</v>
      </c>
      <c r="AE11" s="3271">
        <f>Q11*$AE$10</f>
        <v>12.375</v>
      </c>
      <c r="AF11" s="3271">
        <f>Q11*$AF$10</f>
        <v>24.75</v>
      </c>
      <c r="AG11" s="3272">
        <f>Q11*$AG$10</f>
        <v>37.125</v>
      </c>
      <c r="AH11" s="3273">
        <f>R11+V11+Z11+AD11</f>
        <v>0</v>
      </c>
      <c r="AI11" s="3274">
        <f>S11+W11+AA11+AE11</f>
        <v>37.21875</v>
      </c>
      <c r="AJ11" s="3274">
        <f t="shared" ref="AJ11:AK42" si="3">T11+X11+AB11+AF11</f>
        <v>74.4375</v>
      </c>
      <c r="AK11" s="3275">
        <f t="shared" si="3"/>
        <v>111.65625</v>
      </c>
      <c r="AL11" s="3325">
        <f>AH11</f>
        <v>0</v>
      </c>
      <c r="AM11" s="3326">
        <f>AI11</f>
        <v>37.21875</v>
      </c>
      <c r="AN11" s="3326">
        <f t="shared" ref="AL11:AO39" si="4">AJ11</f>
        <v>74.4375</v>
      </c>
      <c r="AO11" s="3327">
        <f t="shared" si="4"/>
        <v>111.65625</v>
      </c>
      <c r="AP11" s="3320" t="str">
        <f>IF(AL11&lt;0,"La medida empeora la calidad del aire",IF(AL11=0,"La medida no afecta a la calidad del aire",IF(AL11&lt;150,"La medida mejora la calidad del aire",IF(AL11&lt;300,"La medida mejora significativamente la calidad del aire","Error"))))</f>
        <v>La medida no afecta a la calidad del aire</v>
      </c>
      <c r="AQ11" s="3321" t="str">
        <f>IF(AM11&lt;0,"La medida empeora la calidad del aire",IF(AM11=0,"La medida no afecta a la calidad del aire",IF(AM11&lt;150,"La medida mejora la calidad del aire",IF(AM11&lt;300,"La medida mejora significativamente la calidad del aire","Error"))))</f>
        <v>La medida mejora la calidad del aire</v>
      </c>
      <c r="AR11" s="3321" t="str">
        <f>IF(AN11&lt;0,"La medida empeora la calidad del aire",IF(AN11=0,"La medida no afecta a la calidad del aire",IF(AN11&lt;150,"La medida mejora la calidad del aire",IF(AN11&lt;300,"La medida mejora significativamente la calidad del aire","Error"))))</f>
        <v>La medida mejora la calidad del aire</v>
      </c>
      <c r="AS11" s="3322" t="str">
        <f>IF(AO11&lt;0,"La medida empeora la calidad del aire",IF(AO11=0,"La medida no afecta a la calidad del aire",IF(AO11&lt;150,"La medida mejora la calidad del aire",IF(AO11&lt;300,"La medida mejora significativamente la calidad del aire","Error"))))</f>
        <v>La medida mejora la calidad del aire</v>
      </c>
      <c r="AU11" s="3223" t="s">
        <v>245</v>
      </c>
      <c r="AV11" s="679">
        <v>-1</v>
      </c>
    </row>
    <row r="12" spans="1:48" ht="16.5" thickBot="1">
      <c r="B12" s="680"/>
      <c r="C12" s="3444" t="s">
        <v>66</v>
      </c>
      <c r="D12" s="3445" t="s">
        <v>125</v>
      </c>
      <c r="E12" s="3446">
        <v>4.375</v>
      </c>
      <c r="F12" s="3447">
        <v>3.75</v>
      </c>
      <c r="G12" s="3447">
        <v>4.375</v>
      </c>
      <c r="H12" s="3448">
        <v>4.375</v>
      </c>
      <c r="I12" s="3446">
        <v>4.125</v>
      </c>
      <c r="J12" s="3447">
        <v>3</v>
      </c>
      <c r="K12" s="3447">
        <v>3</v>
      </c>
      <c r="L12" s="3448">
        <v>3</v>
      </c>
      <c r="M12" s="3449">
        <f t="shared" ref="M12:N39" si="5">E12*I12</f>
        <v>18.046875</v>
      </c>
      <c r="N12" s="3450">
        <f t="shared" si="0"/>
        <v>11.25</v>
      </c>
      <c r="O12" s="3450"/>
      <c r="P12" s="3450">
        <f t="shared" si="1"/>
        <v>13.125</v>
      </c>
      <c r="Q12" s="3451">
        <f t="shared" si="2"/>
        <v>13.125</v>
      </c>
      <c r="R12" s="3452">
        <f t="shared" ref="R12:R39" si="6">M12*$R$10</f>
        <v>0</v>
      </c>
      <c r="S12" s="3453">
        <f t="shared" ref="S12:S39" si="7">M12*$S$10</f>
        <v>18.046875</v>
      </c>
      <c r="T12" s="3453">
        <f t="shared" ref="T12:T39" si="8">M12*$T$10</f>
        <v>36.09375</v>
      </c>
      <c r="U12" s="3454">
        <f t="shared" ref="U12:U39" si="9">M12*$U$10</f>
        <v>54.140625</v>
      </c>
      <c r="V12" s="3264">
        <f t="shared" ref="V12:V39" si="10">N12*$V$10</f>
        <v>0</v>
      </c>
      <c r="W12" s="3265">
        <f t="shared" ref="W12:W39" si="11">N12*$W$10</f>
        <v>11.25</v>
      </c>
      <c r="X12" s="3265">
        <f t="shared" ref="X12:X39" si="12">N12*$X$10</f>
        <v>22.5</v>
      </c>
      <c r="Y12" s="3266">
        <f t="shared" ref="Y12:Y39" si="13">N12*$Y$10</f>
        <v>33.75</v>
      </c>
      <c r="Z12" s="3267">
        <f t="shared" ref="Z12:Z39" si="14">P12*$Z$10</f>
        <v>0</v>
      </c>
      <c r="AA12" s="3268">
        <f t="shared" ref="AA12:AA39" si="15">P12*$AA$10</f>
        <v>13.125</v>
      </c>
      <c r="AB12" s="3268">
        <f t="shared" ref="AB12:AB39" si="16">P12*$AB$10</f>
        <v>26.25</v>
      </c>
      <c r="AC12" s="3269">
        <f t="shared" ref="AC12:AC39" si="17">P12*$AC$10</f>
        <v>39.375</v>
      </c>
      <c r="AD12" s="3270">
        <f t="shared" ref="AD12:AD39" si="18">Q12*$AD$10</f>
        <v>0</v>
      </c>
      <c r="AE12" s="3271">
        <f t="shared" ref="AE12:AE39" si="19">Q12*$AE$10</f>
        <v>13.125</v>
      </c>
      <c r="AF12" s="3271">
        <f t="shared" ref="AF12:AF39" si="20">Q12*$AF$10</f>
        <v>26.25</v>
      </c>
      <c r="AG12" s="3272">
        <f t="shared" ref="AG12:AG39" si="21">Q12*$AG$10</f>
        <v>39.375</v>
      </c>
      <c r="AH12" s="3273">
        <f t="shared" ref="AH12:AI42" si="22">R12+V12+Z12+AD12</f>
        <v>0</v>
      </c>
      <c r="AI12" s="3274">
        <f t="shared" si="22"/>
        <v>55.546875</v>
      </c>
      <c r="AJ12" s="3274">
        <f t="shared" si="3"/>
        <v>111.09375</v>
      </c>
      <c r="AK12" s="3275">
        <f t="shared" si="3"/>
        <v>166.640625</v>
      </c>
      <c r="AL12" s="3314">
        <f t="shared" si="4"/>
        <v>0</v>
      </c>
      <c r="AM12" s="3276">
        <f t="shared" si="4"/>
        <v>55.546875</v>
      </c>
      <c r="AN12" s="3276">
        <f t="shared" si="4"/>
        <v>111.09375</v>
      </c>
      <c r="AO12" s="3315">
        <f t="shared" si="4"/>
        <v>166.640625</v>
      </c>
      <c r="AP12" s="3310" t="str">
        <f t="shared" ref="AP12:AP39" si="23">IF(AL12&lt;0,"La medida empeora la calidad del aire",IF(AL12=0,"La medida no afecta a la calidad del aire",IF(AL12&lt;150,"La medida mejora la calidad del aire",IF(AL12&lt;300,"La medida mejora significativamente la calidad del aire","Error"))))</f>
        <v>La medida no afecta a la calidad del aire</v>
      </c>
      <c r="AQ12" s="3277" t="str">
        <f t="shared" ref="AQ12:AQ39" si="24">IF(AM12&lt;0,"La medida empeora la calidad del aire",IF(AM12=0,"La medida no afecta a la calidad del aire",IF(AM12&lt;150,"La medida mejora la calidad del aire",IF(AM12&lt;300,"La medida mejora significativamente la calidad del aire","Error"))))</f>
        <v>La medida mejora la calidad del aire</v>
      </c>
      <c r="AR12" s="3277" t="str">
        <f t="shared" ref="AR12:AR39" si="25">IF(AN12&lt;0,"La medida empeora la calidad del aire",IF(AN12=0,"La medida no afecta a la calidad del aire",IF(AN12&lt;150,"La medida mejora la calidad del aire",IF(AN12&lt;300,"La medida mejora significativamente la calidad del aire","Error"))))</f>
        <v>La medida mejora la calidad del aire</v>
      </c>
      <c r="AS12" s="3278" t="str">
        <f t="shared" ref="AS12:AS39" si="26">IF(AO12&lt;0,"La medida empeora la calidad del aire",IF(AO12=0,"La medida no afecta a la calidad del aire",IF(AO12&lt;150,"La medida mejora la calidad del aire",IF(AO12&lt;300,"La medida mejora significativamente la calidad del aire","Error"))))</f>
        <v>La medida mejora significativamente la calidad del aire</v>
      </c>
      <c r="AU12" s="3224" t="s">
        <v>246</v>
      </c>
      <c r="AV12" s="679">
        <v>0</v>
      </c>
    </row>
    <row r="13" spans="1:48" ht="15.75">
      <c r="B13" s="680"/>
      <c r="C13" s="3863" t="s">
        <v>36</v>
      </c>
      <c r="D13" s="3455" t="s">
        <v>126</v>
      </c>
      <c r="E13" s="3456">
        <v>2.875</v>
      </c>
      <c r="F13" s="3457">
        <v>4.375</v>
      </c>
      <c r="G13" s="3457">
        <v>3.75</v>
      </c>
      <c r="H13" s="3458">
        <v>3.75</v>
      </c>
      <c r="I13" s="3456">
        <v>3</v>
      </c>
      <c r="J13" s="3457">
        <v>5</v>
      </c>
      <c r="K13" s="3457">
        <v>3</v>
      </c>
      <c r="L13" s="3458">
        <v>3</v>
      </c>
      <c r="M13" s="3459">
        <f t="shared" si="5"/>
        <v>8.625</v>
      </c>
      <c r="N13" s="3460">
        <f t="shared" si="0"/>
        <v>21.875</v>
      </c>
      <c r="O13" s="3460"/>
      <c r="P13" s="3460">
        <f t="shared" si="1"/>
        <v>11.25</v>
      </c>
      <c r="Q13" s="3461">
        <f t="shared" si="2"/>
        <v>11.25</v>
      </c>
      <c r="R13" s="3462">
        <f t="shared" si="6"/>
        <v>0</v>
      </c>
      <c r="S13" s="3463">
        <f t="shared" si="7"/>
        <v>8.625</v>
      </c>
      <c r="T13" s="3463">
        <f t="shared" si="8"/>
        <v>17.25</v>
      </c>
      <c r="U13" s="3464">
        <f t="shared" si="9"/>
        <v>25.875</v>
      </c>
      <c r="V13" s="3279">
        <f t="shared" si="10"/>
        <v>0</v>
      </c>
      <c r="W13" s="3280">
        <f t="shared" si="11"/>
        <v>21.875</v>
      </c>
      <c r="X13" s="3280">
        <f t="shared" si="12"/>
        <v>43.75</v>
      </c>
      <c r="Y13" s="3281">
        <f t="shared" si="13"/>
        <v>65.625</v>
      </c>
      <c r="Z13" s="3282">
        <f t="shared" si="14"/>
        <v>0</v>
      </c>
      <c r="AA13" s="3283">
        <f t="shared" si="15"/>
        <v>11.25</v>
      </c>
      <c r="AB13" s="3283">
        <f t="shared" si="16"/>
        <v>22.5</v>
      </c>
      <c r="AC13" s="3284">
        <f t="shared" si="17"/>
        <v>33.75</v>
      </c>
      <c r="AD13" s="3285">
        <f t="shared" si="18"/>
        <v>0</v>
      </c>
      <c r="AE13" s="3286">
        <f t="shared" si="19"/>
        <v>11.25</v>
      </c>
      <c r="AF13" s="3286">
        <f t="shared" si="20"/>
        <v>22.5</v>
      </c>
      <c r="AG13" s="3287">
        <f t="shared" si="21"/>
        <v>33.75</v>
      </c>
      <c r="AH13" s="3288">
        <f t="shared" si="22"/>
        <v>0</v>
      </c>
      <c r="AI13" s="3289">
        <f t="shared" si="22"/>
        <v>53</v>
      </c>
      <c r="AJ13" s="3289">
        <f t="shared" si="3"/>
        <v>106</v>
      </c>
      <c r="AK13" s="3290">
        <f t="shared" si="3"/>
        <v>159</v>
      </c>
      <c r="AL13" s="3308">
        <f t="shared" si="4"/>
        <v>0</v>
      </c>
      <c r="AM13" s="3291">
        <f t="shared" si="4"/>
        <v>53</v>
      </c>
      <c r="AN13" s="3291">
        <f t="shared" si="4"/>
        <v>106</v>
      </c>
      <c r="AO13" s="3316">
        <f t="shared" si="4"/>
        <v>159</v>
      </c>
      <c r="AP13" s="3311" t="str">
        <f t="shared" si="23"/>
        <v>La medida no afecta a la calidad del aire</v>
      </c>
      <c r="AQ13" s="3292" t="str">
        <f t="shared" si="24"/>
        <v>La medida mejora la calidad del aire</v>
      </c>
      <c r="AR13" s="3292" t="str">
        <f t="shared" si="25"/>
        <v>La medida mejora la calidad del aire</v>
      </c>
      <c r="AS13" s="3293" t="str">
        <f t="shared" si="26"/>
        <v>La medida mejora significativamente la calidad del aire</v>
      </c>
      <c r="AU13" s="3225" t="s">
        <v>247</v>
      </c>
      <c r="AV13" s="679">
        <v>1</v>
      </c>
    </row>
    <row r="14" spans="1:48" ht="15.75">
      <c r="B14" s="680"/>
      <c r="C14" s="3864"/>
      <c r="D14" s="3465" t="s">
        <v>128</v>
      </c>
      <c r="E14" s="3466">
        <v>0</v>
      </c>
      <c r="F14" s="3467">
        <v>0</v>
      </c>
      <c r="G14" s="3467">
        <v>0</v>
      </c>
      <c r="H14" s="3468">
        <v>0</v>
      </c>
      <c r="I14" s="3466">
        <v>3</v>
      </c>
      <c r="J14" s="3467">
        <v>5</v>
      </c>
      <c r="K14" s="3467">
        <v>3</v>
      </c>
      <c r="L14" s="3468">
        <v>3</v>
      </c>
      <c r="M14" s="3469">
        <f t="shared" si="5"/>
        <v>0</v>
      </c>
      <c r="N14" s="3470">
        <f t="shared" si="0"/>
        <v>0</v>
      </c>
      <c r="O14" s="3470"/>
      <c r="P14" s="3470">
        <f t="shared" si="1"/>
        <v>0</v>
      </c>
      <c r="Q14" s="3471">
        <f t="shared" si="2"/>
        <v>0</v>
      </c>
      <c r="R14" s="3472">
        <f t="shared" si="6"/>
        <v>0</v>
      </c>
      <c r="S14" s="3473">
        <f t="shared" si="7"/>
        <v>0</v>
      </c>
      <c r="T14" s="3473">
        <f t="shared" si="8"/>
        <v>0</v>
      </c>
      <c r="U14" s="3474">
        <f t="shared" si="9"/>
        <v>0</v>
      </c>
      <c r="V14" s="3228">
        <f t="shared" si="10"/>
        <v>0</v>
      </c>
      <c r="W14" s="3217">
        <f t="shared" si="11"/>
        <v>0</v>
      </c>
      <c r="X14" s="3217">
        <f t="shared" si="12"/>
        <v>0</v>
      </c>
      <c r="Y14" s="3229">
        <f t="shared" si="13"/>
        <v>0</v>
      </c>
      <c r="Z14" s="3234">
        <f t="shared" si="14"/>
        <v>0</v>
      </c>
      <c r="AA14" s="3218">
        <f t="shared" si="15"/>
        <v>0</v>
      </c>
      <c r="AB14" s="3218">
        <f t="shared" si="16"/>
        <v>0</v>
      </c>
      <c r="AC14" s="3235">
        <f t="shared" si="17"/>
        <v>0</v>
      </c>
      <c r="AD14" s="3233">
        <f t="shared" si="18"/>
        <v>0</v>
      </c>
      <c r="AE14" s="3219">
        <f t="shared" si="19"/>
        <v>0</v>
      </c>
      <c r="AF14" s="3219">
        <f t="shared" si="20"/>
        <v>0</v>
      </c>
      <c r="AG14" s="3245">
        <f t="shared" si="21"/>
        <v>0</v>
      </c>
      <c r="AH14" s="3246">
        <f t="shared" si="22"/>
        <v>0</v>
      </c>
      <c r="AI14" s="3221">
        <f t="shared" si="22"/>
        <v>0</v>
      </c>
      <c r="AJ14" s="3221">
        <f t="shared" si="3"/>
        <v>0</v>
      </c>
      <c r="AK14" s="3247">
        <f t="shared" si="3"/>
        <v>0</v>
      </c>
      <c r="AL14" s="3317">
        <f t="shared" si="4"/>
        <v>0</v>
      </c>
      <c r="AM14" s="3220">
        <f t="shared" si="4"/>
        <v>0</v>
      </c>
      <c r="AN14" s="3220">
        <f t="shared" si="4"/>
        <v>0</v>
      </c>
      <c r="AO14" s="3318">
        <f t="shared" si="4"/>
        <v>0</v>
      </c>
      <c r="AP14" s="3312" t="str">
        <f t="shared" si="23"/>
        <v>La medida no afecta a la calidad del aire</v>
      </c>
      <c r="AQ14" s="3227" t="str">
        <f t="shared" si="24"/>
        <v>La medida no afecta a la calidad del aire</v>
      </c>
      <c r="AR14" s="3227" t="str">
        <f t="shared" si="25"/>
        <v>La medida no afecta a la calidad del aire</v>
      </c>
      <c r="AS14" s="3294" t="str">
        <f t="shared" si="26"/>
        <v>La medida no afecta a la calidad del aire</v>
      </c>
      <c r="AU14" s="3226" t="s">
        <v>248</v>
      </c>
      <c r="AV14" s="679">
        <v>2</v>
      </c>
    </row>
    <row r="15" spans="1:48" ht="16.5" thickBot="1">
      <c r="B15" s="680"/>
      <c r="C15" s="3865"/>
      <c r="D15" s="3475" t="s">
        <v>129</v>
      </c>
      <c r="E15" s="3476">
        <v>3</v>
      </c>
      <c r="F15" s="3477">
        <v>3.5</v>
      </c>
      <c r="G15" s="3477">
        <v>3.125</v>
      </c>
      <c r="H15" s="3478">
        <v>3.125</v>
      </c>
      <c r="I15" s="3476">
        <v>3</v>
      </c>
      <c r="J15" s="3477">
        <v>5</v>
      </c>
      <c r="K15" s="3477">
        <v>3</v>
      </c>
      <c r="L15" s="3478">
        <v>3</v>
      </c>
      <c r="M15" s="3479">
        <f t="shared" si="5"/>
        <v>9</v>
      </c>
      <c r="N15" s="3480">
        <f t="shared" si="0"/>
        <v>17.5</v>
      </c>
      <c r="O15" s="3480"/>
      <c r="P15" s="3480">
        <f t="shared" si="1"/>
        <v>9.375</v>
      </c>
      <c r="Q15" s="3481">
        <f t="shared" si="2"/>
        <v>9.375</v>
      </c>
      <c r="R15" s="3482">
        <f t="shared" si="6"/>
        <v>0</v>
      </c>
      <c r="S15" s="3483">
        <f t="shared" si="7"/>
        <v>9</v>
      </c>
      <c r="T15" s="3483">
        <f t="shared" si="8"/>
        <v>18</v>
      </c>
      <c r="U15" s="3484">
        <f t="shared" si="9"/>
        <v>27</v>
      </c>
      <c r="V15" s="3230">
        <f t="shared" si="10"/>
        <v>0</v>
      </c>
      <c r="W15" s="3231">
        <f t="shared" si="11"/>
        <v>17.5</v>
      </c>
      <c r="X15" s="3231">
        <f t="shared" si="12"/>
        <v>35</v>
      </c>
      <c r="Y15" s="3232">
        <f t="shared" si="13"/>
        <v>52.5</v>
      </c>
      <c r="Z15" s="3236">
        <f t="shared" si="14"/>
        <v>0</v>
      </c>
      <c r="AA15" s="3237">
        <f t="shared" si="15"/>
        <v>9.375</v>
      </c>
      <c r="AB15" s="3237">
        <f t="shared" si="16"/>
        <v>18.75</v>
      </c>
      <c r="AC15" s="3238">
        <f t="shared" si="17"/>
        <v>28.125</v>
      </c>
      <c r="AD15" s="3295">
        <f t="shared" si="18"/>
        <v>0</v>
      </c>
      <c r="AE15" s="3296">
        <f t="shared" si="19"/>
        <v>9.375</v>
      </c>
      <c r="AF15" s="3296">
        <f t="shared" si="20"/>
        <v>18.75</v>
      </c>
      <c r="AG15" s="3297">
        <f t="shared" si="21"/>
        <v>28.125</v>
      </c>
      <c r="AH15" s="3248">
        <f t="shared" si="22"/>
        <v>0</v>
      </c>
      <c r="AI15" s="3249">
        <f t="shared" si="22"/>
        <v>45.25</v>
      </c>
      <c r="AJ15" s="3249">
        <f t="shared" si="3"/>
        <v>90.5</v>
      </c>
      <c r="AK15" s="3250">
        <f t="shared" si="3"/>
        <v>135.75</v>
      </c>
      <c r="AL15" s="3309">
        <f t="shared" si="4"/>
        <v>0</v>
      </c>
      <c r="AM15" s="3298">
        <f t="shared" si="4"/>
        <v>45.25</v>
      </c>
      <c r="AN15" s="3298">
        <f t="shared" si="4"/>
        <v>90.5</v>
      </c>
      <c r="AO15" s="3319">
        <f t="shared" si="4"/>
        <v>135.75</v>
      </c>
      <c r="AP15" s="3313" t="str">
        <f t="shared" si="23"/>
        <v>La medida no afecta a la calidad del aire</v>
      </c>
      <c r="AQ15" s="3299" t="str">
        <f t="shared" si="24"/>
        <v>La medida mejora la calidad del aire</v>
      </c>
      <c r="AR15" s="3299" t="str">
        <f t="shared" si="25"/>
        <v>La medida mejora la calidad del aire</v>
      </c>
      <c r="AS15" s="3300" t="str">
        <f t="shared" si="26"/>
        <v>La medida mejora la calidad del aire</v>
      </c>
    </row>
    <row r="16" spans="1:48" ht="15.75">
      <c r="B16" s="680"/>
      <c r="C16" s="3485" t="s">
        <v>69</v>
      </c>
      <c r="D16" s="3455" t="s">
        <v>249</v>
      </c>
      <c r="E16" s="3456">
        <v>1.25</v>
      </c>
      <c r="F16" s="3457">
        <v>1.75</v>
      </c>
      <c r="G16" s="3457">
        <v>1.25</v>
      </c>
      <c r="H16" s="3458">
        <v>0.75</v>
      </c>
      <c r="I16" s="3456">
        <v>2</v>
      </c>
      <c r="J16" s="3457">
        <v>1</v>
      </c>
      <c r="K16" s="3457">
        <v>1</v>
      </c>
      <c r="L16" s="3458">
        <v>0.25</v>
      </c>
      <c r="M16" s="3459">
        <f t="shared" si="5"/>
        <v>2.5</v>
      </c>
      <c r="N16" s="3460">
        <f t="shared" si="0"/>
        <v>1.75</v>
      </c>
      <c r="O16" s="3460"/>
      <c r="P16" s="3460">
        <f t="shared" si="1"/>
        <v>1.25</v>
      </c>
      <c r="Q16" s="3461">
        <f t="shared" si="2"/>
        <v>0.1875</v>
      </c>
      <c r="R16" s="3462">
        <f t="shared" si="6"/>
        <v>0</v>
      </c>
      <c r="S16" s="3463">
        <f t="shared" si="7"/>
        <v>2.5</v>
      </c>
      <c r="T16" s="3463">
        <f t="shared" si="8"/>
        <v>5</v>
      </c>
      <c r="U16" s="3464">
        <f t="shared" si="9"/>
        <v>7.5</v>
      </c>
      <c r="V16" s="3279">
        <f t="shared" si="10"/>
        <v>0</v>
      </c>
      <c r="W16" s="3280">
        <f t="shared" si="11"/>
        <v>1.75</v>
      </c>
      <c r="X16" s="3280">
        <f t="shared" si="12"/>
        <v>3.5</v>
      </c>
      <c r="Y16" s="3281">
        <f t="shared" si="13"/>
        <v>5.25</v>
      </c>
      <c r="Z16" s="3282">
        <f t="shared" si="14"/>
        <v>0</v>
      </c>
      <c r="AA16" s="3283">
        <f t="shared" si="15"/>
        <v>1.25</v>
      </c>
      <c r="AB16" s="3283">
        <f t="shared" si="16"/>
        <v>2.5</v>
      </c>
      <c r="AC16" s="3284">
        <f t="shared" si="17"/>
        <v>3.75</v>
      </c>
      <c r="AD16" s="3285">
        <f t="shared" si="18"/>
        <v>0</v>
      </c>
      <c r="AE16" s="3286">
        <f t="shared" si="19"/>
        <v>0.1875</v>
      </c>
      <c r="AF16" s="3286">
        <f t="shared" si="20"/>
        <v>0.375</v>
      </c>
      <c r="AG16" s="3287">
        <f t="shared" si="21"/>
        <v>0.5625</v>
      </c>
      <c r="AH16" s="3288">
        <f t="shared" si="22"/>
        <v>0</v>
      </c>
      <c r="AI16" s="3289">
        <f t="shared" si="22"/>
        <v>5.6875</v>
      </c>
      <c r="AJ16" s="3289">
        <f t="shared" si="3"/>
        <v>11.375</v>
      </c>
      <c r="AK16" s="3290">
        <f t="shared" si="3"/>
        <v>17.0625</v>
      </c>
      <c r="AL16" s="3308">
        <f t="shared" si="4"/>
        <v>0</v>
      </c>
      <c r="AM16" s="3291">
        <f t="shared" si="4"/>
        <v>5.6875</v>
      </c>
      <c r="AN16" s="3291">
        <f t="shared" si="4"/>
        <v>11.375</v>
      </c>
      <c r="AO16" s="3316">
        <f t="shared" si="4"/>
        <v>17.0625</v>
      </c>
      <c r="AP16" s="3311" t="str">
        <f t="shared" si="23"/>
        <v>La medida no afecta a la calidad del aire</v>
      </c>
      <c r="AQ16" s="3292" t="str">
        <f t="shared" si="24"/>
        <v>La medida mejora la calidad del aire</v>
      </c>
      <c r="AR16" s="3292" t="str">
        <f t="shared" si="25"/>
        <v>La medida mejora la calidad del aire</v>
      </c>
      <c r="AS16" s="3293" t="str">
        <f t="shared" si="26"/>
        <v>La medida mejora la calidad del aire</v>
      </c>
    </row>
    <row r="17" spans="2:45" ht="15.75">
      <c r="B17" s="680"/>
      <c r="C17" s="3486" t="s">
        <v>69</v>
      </c>
      <c r="D17" s="3465" t="s">
        <v>133</v>
      </c>
      <c r="E17" s="3466">
        <v>-0.25</v>
      </c>
      <c r="F17" s="3467">
        <v>-1</v>
      </c>
      <c r="G17" s="3467">
        <v>-1</v>
      </c>
      <c r="H17" s="3468">
        <v>-0.5</v>
      </c>
      <c r="I17" s="3466">
        <v>2</v>
      </c>
      <c r="J17" s="3467">
        <v>1</v>
      </c>
      <c r="K17" s="3467">
        <v>1</v>
      </c>
      <c r="L17" s="3468">
        <v>0.25</v>
      </c>
      <c r="M17" s="3469">
        <f t="shared" si="5"/>
        <v>-0.5</v>
      </c>
      <c r="N17" s="3470">
        <f t="shared" si="0"/>
        <v>-1</v>
      </c>
      <c r="O17" s="3470"/>
      <c r="P17" s="3470">
        <f t="shared" si="1"/>
        <v>-1</v>
      </c>
      <c r="Q17" s="3471">
        <f t="shared" si="2"/>
        <v>-0.125</v>
      </c>
      <c r="R17" s="3472">
        <f t="shared" si="6"/>
        <v>0</v>
      </c>
      <c r="S17" s="3473">
        <f t="shared" si="7"/>
        <v>-0.5</v>
      </c>
      <c r="T17" s="3473">
        <f t="shared" si="8"/>
        <v>-1</v>
      </c>
      <c r="U17" s="3474">
        <f t="shared" si="9"/>
        <v>-1.5</v>
      </c>
      <c r="V17" s="3228">
        <f t="shared" si="10"/>
        <v>0</v>
      </c>
      <c r="W17" s="3217">
        <f t="shared" si="11"/>
        <v>-1</v>
      </c>
      <c r="X17" s="3217">
        <f t="shared" si="12"/>
        <v>-2</v>
      </c>
      <c r="Y17" s="3229">
        <f t="shared" si="13"/>
        <v>-3</v>
      </c>
      <c r="Z17" s="3234">
        <f t="shared" si="14"/>
        <v>0</v>
      </c>
      <c r="AA17" s="3218">
        <f t="shared" si="15"/>
        <v>-1</v>
      </c>
      <c r="AB17" s="3218">
        <f t="shared" si="16"/>
        <v>-2</v>
      </c>
      <c r="AC17" s="3235">
        <f t="shared" si="17"/>
        <v>-3</v>
      </c>
      <c r="AD17" s="3233">
        <f t="shared" si="18"/>
        <v>0</v>
      </c>
      <c r="AE17" s="3219">
        <f t="shared" si="19"/>
        <v>-0.125</v>
      </c>
      <c r="AF17" s="3219">
        <f t="shared" si="20"/>
        <v>-0.25</v>
      </c>
      <c r="AG17" s="3245">
        <f t="shared" si="21"/>
        <v>-0.375</v>
      </c>
      <c r="AH17" s="3246">
        <f t="shared" si="22"/>
        <v>0</v>
      </c>
      <c r="AI17" s="3221">
        <f t="shared" si="22"/>
        <v>-2.625</v>
      </c>
      <c r="AJ17" s="3221">
        <f t="shared" si="3"/>
        <v>-5.25</v>
      </c>
      <c r="AK17" s="3247">
        <f t="shared" si="3"/>
        <v>-7.875</v>
      </c>
      <c r="AL17" s="3317">
        <f t="shared" si="4"/>
        <v>0</v>
      </c>
      <c r="AM17" s="3220">
        <f t="shared" si="4"/>
        <v>-2.625</v>
      </c>
      <c r="AN17" s="3220">
        <f t="shared" si="4"/>
        <v>-5.25</v>
      </c>
      <c r="AO17" s="3318">
        <f t="shared" si="4"/>
        <v>-7.875</v>
      </c>
      <c r="AP17" s="3312" t="str">
        <f t="shared" si="23"/>
        <v>La medida no afecta a la calidad del aire</v>
      </c>
      <c r="AQ17" s="3227" t="str">
        <f t="shared" si="24"/>
        <v>La medida empeora la calidad del aire</v>
      </c>
      <c r="AR17" s="3227" t="str">
        <f t="shared" si="25"/>
        <v>La medida empeora la calidad del aire</v>
      </c>
      <c r="AS17" s="3294" t="str">
        <f t="shared" si="26"/>
        <v>La medida empeora la calidad del aire</v>
      </c>
    </row>
    <row r="18" spans="2:45" ht="16.5" thickBot="1">
      <c r="B18" s="680"/>
      <c r="C18" s="3487" t="s">
        <v>69</v>
      </c>
      <c r="D18" s="3475" t="s">
        <v>250</v>
      </c>
      <c r="E18" s="3476">
        <v>1.25</v>
      </c>
      <c r="F18" s="3477">
        <v>1</v>
      </c>
      <c r="G18" s="3477">
        <v>1.25</v>
      </c>
      <c r="H18" s="3478">
        <v>0.5</v>
      </c>
      <c r="I18" s="3476">
        <v>2</v>
      </c>
      <c r="J18" s="3477">
        <v>1</v>
      </c>
      <c r="K18" s="3477">
        <v>1</v>
      </c>
      <c r="L18" s="3478">
        <v>0.25</v>
      </c>
      <c r="M18" s="3479">
        <f t="shared" si="5"/>
        <v>2.5</v>
      </c>
      <c r="N18" s="3480">
        <f t="shared" si="0"/>
        <v>1</v>
      </c>
      <c r="O18" s="3480"/>
      <c r="P18" s="3480">
        <f t="shared" si="1"/>
        <v>1.25</v>
      </c>
      <c r="Q18" s="3481">
        <f t="shared" si="2"/>
        <v>0.125</v>
      </c>
      <c r="R18" s="3482">
        <f t="shared" si="6"/>
        <v>0</v>
      </c>
      <c r="S18" s="3483">
        <f t="shared" si="7"/>
        <v>2.5</v>
      </c>
      <c r="T18" s="3483">
        <f t="shared" si="8"/>
        <v>5</v>
      </c>
      <c r="U18" s="3484">
        <f t="shared" si="9"/>
        <v>7.5</v>
      </c>
      <c r="V18" s="3230">
        <f t="shared" si="10"/>
        <v>0</v>
      </c>
      <c r="W18" s="3231">
        <f t="shared" si="11"/>
        <v>1</v>
      </c>
      <c r="X18" s="3231">
        <f t="shared" si="12"/>
        <v>2</v>
      </c>
      <c r="Y18" s="3232">
        <f t="shared" si="13"/>
        <v>3</v>
      </c>
      <c r="Z18" s="3236">
        <f t="shared" si="14"/>
        <v>0</v>
      </c>
      <c r="AA18" s="3237">
        <f t="shared" si="15"/>
        <v>1.25</v>
      </c>
      <c r="AB18" s="3237">
        <f t="shared" si="16"/>
        <v>2.5</v>
      </c>
      <c r="AC18" s="3238">
        <f t="shared" si="17"/>
        <v>3.75</v>
      </c>
      <c r="AD18" s="3295">
        <f t="shared" si="18"/>
        <v>0</v>
      </c>
      <c r="AE18" s="3296">
        <f t="shared" si="19"/>
        <v>0.125</v>
      </c>
      <c r="AF18" s="3296">
        <f t="shared" si="20"/>
        <v>0.25</v>
      </c>
      <c r="AG18" s="3297">
        <f t="shared" si="21"/>
        <v>0.375</v>
      </c>
      <c r="AH18" s="3248">
        <f t="shared" si="22"/>
        <v>0</v>
      </c>
      <c r="AI18" s="3249">
        <f t="shared" si="22"/>
        <v>4.875</v>
      </c>
      <c r="AJ18" s="3249">
        <f t="shared" si="3"/>
        <v>9.75</v>
      </c>
      <c r="AK18" s="3250">
        <f t="shared" si="3"/>
        <v>14.625</v>
      </c>
      <c r="AL18" s="3309">
        <f t="shared" si="4"/>
        <v>0</v>
      </c>
      <c r="AM18" s="3298">
        <f t="shared" si="4"/>
        <v>4.875</v>
      </c>
      <c r="AN18" s="3298">
        <f t="shared" si="4"/>
        <v>9.75</v>
      </c>
      <c r="AO18" s="3319">
        <f t="shared" si="4"/>
        <v>14.625</v>
      </c>
      <c r="AP18" s="3313" t="str">
        <f t="shared" si="23"/>
        <v>La medida no afecta a la calidad del aire</v>
      </c>
      <c r="AQ18" s="3299" t="str">
        <f t="shared" si="24"/>
        <v>La medida mejora la calidad del aire</v>
      </c>
      <c r="AR18" s="3299" t="str">
        <f t="shared" si="25"/>
        <v>La medida mejora la calidad del aire</v>
      </c>
      <c r="AS18" s="3300" t="str">
        <f t="shared" si="26"/>
        <v>La medida mejora la calidad del aire</v>
      </c>
    </row>
    <row r="19" spans="2:45" ht="15.75">
      <c r="B19" s="680"/>
      <c r="C19" s="3485" t="s">
        <v>38</v>
      </c>
      <c r="D19" s="3455" t="s">
        <v>137</v>
      </c>
      <c r="E19" s="3456">
        <v>2.5</v>
      </c>
      <c r="F19" s="3457">
        <v>1.75</v>
      </c>
      <c r="G19" s="3457">
        <v>2.75</v>
      </c>
      <c r="H19" s="3458">
        <v>2.75</v>
      </c>
      <c r="I19" s="3456">
        <v>4</v>
      </c>
      <c r="J19" s="3457">
        <v>3</v>
      </c>
      <c r="K19" s="3457">
        <v>4</v>
      </c>
      <c r="L19" s="3458">
        <v>4</v>
      </c>
      <c r="M19" s="3459">
        <f>E19*I19</f>
        <v>10</v>
      </c>
      <c r="N19" s="3460">
        <f t="shared" si="0"/>
        <v>5.25</v>
      </c>
      <c r="O19" s="3460"/>
      <c r="P19" s="3460">
        <f t="shared" si="1"/>
        <v>11</v>
      </c>
      <c r="Q19" s="3461">
        <f t="shared" si="2"/>
        <v>11</v>
      </c>
      <c r="R19" s="3462">
        <f t="shared" si="6"/>
        <v>0</v>
      </c>
      <c r="S19" s="3463">
        <f t="shared" si="7"/>
        <v>10</v>
      </c>
      <c r="T19" s="3463">
        <f t="shared" si="8"/>
        <v>20</v>
      </c>
      <c r="U19" s="3464">
        <f t="shared" si="9"/>
        <v>30</v>
      </c>
      <c r="V19" s="3279">
        <f t="shared" si="10"/>
        <v>0</v>
      </c>
      <c r="W19" s="3280">
        <f t="shared" si="11"/>
        <v>5.25</v>
      </c>
      <c r="X19" s="3280">
        <f t="shared" si="12"/>
        <v>10.5</v>
      </c>
      <c r="Y19" s="3281">
        <f t="shared" si="13"/>
        <v>15.75</v>
      </c>
      <c r="Z19" s="3282">
        <f t="shared" si="14"/>
        <v>0</v>
      </c>
      <c r="AA19" s="3283">
        <f t="shared" si="15"/>
        <v>11</v>
      </c>
      <c r="AB19" s="3283">
        <f t="shared" si="16"/>
        <v>22</v>
      </c>
      <c r="AC19" s="3284">
        <f t="shared" si="17"/>
        <v>33</v>
      </c>
      <c r="AD19" s="3285">
        <f t="shared" si="18"/>
        <v>0</v>
      </c>
      <c r="AE19" s="3286">
        <f t="shared" si="19"/>
        <v>11</v>
      </c>
      <c r="AF19" s="3286">
        <f t="shared" si="20"/>
        <v>22</v>
      </c>
      <c r="AG19" s="3287">
        <f t="shared" si="21"/>
        <v>33</v>
      </c>
      <c r="AH19" s="3288">
        <f t="shared" si="22"/>
        <v>0</v>
      </c>
      <c r="AI19" s="3289">
        <f t="shared" si="22"/>
        <v>37.25</v>
      </c>
      <c r="AJ19" s="3289">
        <f t="shared" si="3"/>
        <v>74.5</v>
      </c>
      <c r="AK19" s="3290">
        <f t="shared" si="3"/>
        <v>111.75</v>
      </c>
      <c r="AL19" s="3308">
        <f t="shared" si="4"/>
        <v>0</v>
      </c>
      <c r="AM19" s="3291">
        <f t="shared" si="4"/>
        <v>37.25</v>
      </c>
      <c r="AN19" s="3291">
        <f t="shared" si="4"/>
        <v>74.5</v>
      </c>
      <c r="AO19" s="3316">
        <f t="shared" si="4"/>
        <v>111.75</v>
      </c>
      <c r="AP19" s="3311" t="str">
        <f t="shared" si="23"/>
        <v>La medida no afecta a la calidad del aire</v>
      </c>
      <c r="AQ19" s="3292" t="str">
        <f t="shared" si="24"/>
        <v>La medida mejora la calidad del aire</v>
      </c>
      <c r="AR19" s="3292" t="str">
        <f t="shared" si="25"/>
        <v>La medida mejora la calidad del aire</v>
      </c>
      <c r="AS19" s="3293" t="str">
        <f t="shared" si="26"/>
        <v>La medida mejora la calidad del aire</v>
      </c>
    </row>
    <row r="20" spans="2:45" ht="15.75">
      <c r="B20" s="680"/>
      <c r="C20" s="3486" t="s">
        <v>38</v>
      </c>
      <c r="D20" s="3488" t="s">
        <v>139</v>
      </c>
      <c r="E20" s="3466">
        <v>4</v>
      </c>
      <c r="F20" s="3467">
        <v>1.5</v>
      </c>
      <c r="G20" s="3467">
        <v>3.75</v>
      </c>
      <c r="H20" s="3468">
        <v>3.5</v>
      </c>
      <c r="I20" s="3466">
        <v>4</v>
      </c>
      <c r="J20" s="3467">
        <v>3</v>
      </c>
      <c r="K20" s="3467">
        <v>4</v>
      </c>
      <c r="L20" s="3468">
        <v>4</v>
      </c>
      <c r="M20" s="3469">
        <f t="shared" si="5"/>
        <v>16</v>
      </c>
      <c r="N20" s="3470">
        <f t="shared" si="0"/>
        <v>4.5</v>
      </c>
      <c r="O20" s="3470"/>
      <c r="P20" s="3470">
        <f t="shared" si="1"/>
        <v>15</v>
      </c>
      <c r="Q20" s="3471">
        <f t="shared" si="2"/>
        <v>14</v>
      </c>
      <c r="R20" s="3472">
        <f t="shared" si="6"/>
        <v>0</v>
      </c>
      <c r="S20" s="3473">
        <f t="shared" si="7"/>
        <v>16</v>
      </c>
      <c r="T20" s="3473">
        <f t="shared" si="8"/>
        <v>32</v>
      </c>
      <c r="U20" s="3474">
        <f t="shared" si="9"/>
        <v>48</v>
      </c>
      <c r="V20" s="3228">
        <f t="shared" si="10"/>
        <v>0</v>
      </c>
      <c r="W20" s="3217">
        <f t="shared" si="11"/>
        <v>4.5</v>
      </c>
      <c r="X20" s="3217">
        <f t="shared" si="12"/>
        <v>9</v>
      </c>
      <c r="Y20" s="3229">
        <f t="shared" si="13"/>
        <v>13.5</v>
      </c>
      <c r="Z20" s="3234">
        <f t="shared" si="14"/>
        <v>0</v>
      </c>
      <c r="AA20" s="3218">
        <f t="shared" si="15"/>
        <v>15</v>
      </c>
      <c r="AB20" s="3218">
        <f t="shared" si="16"/>
        <v>30</v>
      </c>
      <c r="AC20" s="3235">
        <f t="shared" si="17"/>
        <v>45</v>
      </c>
      <c r="AD20" s="3233">
        <f t="shared" si="18"/>
        <v>0</v>
      </c>
      <c r="AE20" s="3219">
        <f t="shared" si="19"/>
        <v>14</v>
      </c>
      <c r="AF20" s="3219">
        <f t="shared" si="20"/>
        <v>28</v>
      </c>
      <c r="AG20" s="3245">
        <f t="shared" si="21"/>
        <v>42</v>
      </c>
      <c r="AH20" s="3246">
        <f t="shared" si="22"/>
        <v>0</v>
      </c>
      <c r="AI20" s="3221">
        <f t="shared" si="22"/>
        <v>49.5</v>
      </c>
      <c r="AJ20" s="3221">
        <f t="shared" si="3"/>
        <v>99</v>
      </c>
      <c r="AK20" s="3247">
        <f t="shared" si="3"/>
        <v>148.5</v>
      </c>
      <c r="AL20" s="3317">
        <f t="shared" si="4"/>
        <v>0</v>
      </c>
      <c r="AM20" s="3220">
        <f t="shared" si="4"/>
        <v>49.5</v>
      </c>
      <c r="AN20" s="3220">
        <f t="shared" si="4"/>
        <v>99</v>
      </c>
      <c r="AO20" s="3318">
        <f t="shared" si="4"/>
        <v>148.5</v>
      </c>
      <c r="AP20" s="3312" t="str">
        <f t="shared" si="23"/>
        <v>La medida no afecta a la calidad del aire</v>
      </c>
      <c r="AQ20" s="3227" t="str">
        <f t="shared" si="24"/>
        <v>La medida mejora la calidad del aire</v>
      </c>
      <c r="AR20" s="3227" t="str">
        <f t="shared" si="25"/>
        <v>La medida mejora la calidad del aire</v>
      </c>
      <c r="AS20" s="3294" t="str">
        <f t="shared" si="26"/>
        <v>La medida mejora la calidad del aire</v>
      </c>
    </row>
    <row r="21" spans="2:45" ht="15.75">
      <c r="B21" s="680"/>
      <c r="C21" s="3486" t="s">
        <v>38</v>
      </c>
      <c r="D21" s="3488" t="s">
        <v>141</v>
      </c>
      <c r="E21" s="3466">
        <v>2.25</v>
      </c>
      <c r="F21" s="3467">
        <v>0.75</v>
      </c>
      <c r="G21" s="3467">
        <v>2.25</v>
      </c>
      <c r="H21" s="3468">
        <v>2</v>
      </c>
      <c r="I21" s="3466">
        <v>4</v>
      </c>
      <c r="J21" s="3467">
        <v>3</v>
      </c>
      <c r="K21" s="3467">
        <v>4</v>
      </c>
      <c r="L21" s="3468">
        <v>4</v>
      </c>
      <c r="M21" s="3469">
        <f t="shared" si="5"/>
        <v>9</v>
      </c>
      <c r="N21" s="3470">
        <f t="shared" si="0"/>
        <v>2.25</v>
      </c>
      <c r="O21" s="3470"/>
      <c r="P21" s="3470">
        <f t="shared" si="1"/>
        <v>9</v>
      </c>
      <c r="Q21" s="3471">
        <f t="shared" si="2"/>
        <v>8</v>
      </c>
      <c r="R21" s="3472">
        <f t="shared" si="6"/>
        <v>0</v>
      </c>
      <c r="S21" s="3473">
        <f t="shared" si="7"/>
        <v>9</v>
      </c>
      <c r="T21" s="3473">
        <f t="shared" si="8"/>
        <v>18</v>
      </c>
      <c r="U21" s="3474">
        <f t="shared" si="9"/>
        <v>27</v>
      </c>
      <c r="V21" s="3228">
        <f t="shared" si="10"/>
        <v>0</v>
      </c>
      <c r="W21" s="3217">
        <f t="shared" si="11"/>
        <v>2.25</v>
      </c>
      <c r="X21" s="3217">
        <f t="shared" si="12"/>
        <v>4.5</v>
      </c>
      <c r="Y21" s="3229">
        <f t="shared" si="13"/>
        <v>6.75</v>
      </c>
      <c r="Z21" s="3234">
        <f t="shared" si="14"/>
        <v>0</v>
      </c>
      <c r="AA21" s="3218">
        <f t="shared" si="15"/>
        <v>9</v>
      </c>
      <c r="AB21" s="3218">
        <f t="shared" si="16"/>
        <v>18</v>
      </c>
      <c r="AC21" s="3235">
        <f t="shared" si="17"/>
        <v>27</v>
      </c>
      <c r="AD21" s="3233">
        <f t="shared" si="18"/>
        <v>0</v>
      </c>
      <c r="AE21" s="3219">
        <f t="shared" si="19"/>
        <v>8</v>
      </c>
      <c r="AF21" s="3219">
        <f t="shared" si="20"/>
        <v>16</v>
      </c>
      <c r="AG21" s="3245">
        <f t="shared" si="21"/>
        <v>24</v>
      </c>
      <c r="AH21" s="3246">
        <f t="shared" si="22"/>
        <v>0</v>
      </c>
      <c r="AI21" s="3221">
        <f t="shared" si="22"/>
        <v>28.25</v>
      </c>
      <c r="AJ21" s="3221">
        <f t="shared" si="3"/>
        <v>56.5</v>
      </c>
      <c r="AK21" s="3247">
        <f t="shared" si="3"/>
        <v>84.75</v>
      </c>
      <c r="AL21" s="3317">
        <f t="shared" si="4"/>
        <v>0</v>
      </c>
      <c r="AM21" s="3220">
        <f t="shared" si="4"/>
        <v>28.25</v>
      </c>
      <c r="AN21" s="3220">
        <f t="shared" si="4"/>
        <v>56.5</v>
      </c>
      <c r="AO21" s="3318">
        <f t="shared" si="4"/>
        <v>84.75</v>
      </c>
      <c r="AP21" s="3312" t="str">
        <f t="shared" si="23"/>
        <v>La medida no afecta a la calidad del aire</v>
      </c>
      <c r="AQ21" s="3227" t="str">
        <f t="shared" si="24"/>
        <v>La medida mejora la calidad del aire</v>
      </c>
      <c r="AR21" s="3227" t="str">
        <f t="shared" si="25"/>
        <v>La medida mejora la calidad del aire</v>
      </c>
      <c r="AS21" s="3294" t="str">
        <f t="shared" si="26"/>
        <v>La medida mejora la calidad del aire</v>
      </c>
    </row>
    <row r="22" spans="2:45" ht="15.75">
      <c r="B22" s="680"/>
      <c r="C22" s="3486" t="s">
        <v>38</v>
      </c>
      <c r="D22" s="3488" t="s">
        <v>140</v>
      </c>
      <c r="E22" s="3466">
        <v>2.5</v>
      </c>
      <c r="F22" s="3467">
        <v>1.75</v>
      </c>
      <c r="G22" s="3467">
        <v>2.75</v>
      </c>
      <c r="H22" s="3468">
        <v>2.75</v>
      </c>
      <c r="I22" s="3466">
        <v>4</v>
      </c>
      <c r="J22" s="3467">
        <v>3</v>
      </c>
      <c r="K22" s="3467">
        <v>4</v>
      </c>
      <c r="L22" s="3468">
        <v>4</v>
      </c>
      <c r="M22" s="3469">
        <f>E22*I22</f>
        <v>10</v>
      </c>
      <c r="N22" s="3470">
        <f>F22*J22</f>
        <v>5.25</v>
      </c>
      <c r="O22" s="3470"/>
      <c r="P22" s="3470">
        <f>G22*K22</f>
        <v>11</v>
      </c>
      <c r="Q22" s="3471">
        <f>H22*L22</f>
        <v>11</v>
      </c>
      <c r="R22" s="3472">
        <f>M22*$R$10</f>
        <v>0</v>
      </c>
      <c r="S22" s="3473">
        <f>M22*$S$10</f>
        <v>10</v>
      </c>
      <c r="T22" s="3473">
        <f>M22*$T$10</f>
        <v>20</v>
      </c>
      <c r="U22" s="3474">
        <f>M22*$U$10</f>
        <v>30</v>
      </c>
      <c r="V22" s="3228">
        <f>N22*$V$10</f>
        <v>0</v>
      </c>
      <c r="W22" s="3217">
        <f>N22*$W$10</f>
        <v>5.25</v>
      </c>
      <c r="X22" s="3217">
        <f>N22*$X$10</f>
        <v>10.5</v>
      </c>
      <c r="Y22" s="3229">
        <f>N22*$Y$10</f>
        <v>15.75</v>
      </c>
      <c r="Z22" s="3234">
        <f>P22*$Z$10</f>
        <v>0</v>
      </c>
      <c r="AA22" s="3218">
        <f>P22*$AA$10</f>
        <v>11</v>
      </c>
      <c r="AB22" s="3218">
        <f>P22*$AB$10</f>
        <v>22</v>
      </c>
      <c r="AC22" s="3235">
        <f>P22*$AC$10</f>
        <v>33</v>
      </c>
      <c r="AD22" s="3233">
        <f>Q22*$AD$10</f>
        <v>0</v>
      </c>
      <c r="AE22" s="3219">
        <f>Q22*$AE$10</f>
        <v>11</v>
      </c>
      <c r="AF22" s="3219">
        <f>Q22*$AF$10</f>
        <v>22</v>
      </c>
      <c r="AG22" s="3245">
        <f>Q22*$AG$10</f>
        <v>33</v>
      </c>
      <c r="AH22" s="3246">
        <f>R22+V22+Z22+AD22</f>
        <v>0</v>
      </c>
      <c r="AI22" s="3221">
        <f>S22+W22+AA22+AE22</f>
        <v>37.25</v>
      </c>
      <c r="AJ22" s="3221">
        <f>T22+X22+AB22+AF22</f>
        <v>74.5</v>
      </c>
      <c r="AK22" s="3247">
        <f>U22+Y22+AC22+AG22</f>
        <v>111.75</v>
      </c>
      <c r="AL22" s="3317">
        <f>AH22</f>
        <v>0</v>
      </c>
      <c r="AM22" s="3220">
        <f>AI22</f>
        <v>37.25</v>
      </c>
      <c r="AN22" s="3220">
        <f>AJ22</f>
        <v>74.5</v>
      </c>
      <c r="AO22" s="3318">
        <f>AK22</f>
        <v>111.75</v>
      </c>
      <c r="AP22" s="3312" t="str">
        <f>IF(AL22&lt;0,"La medida empeora la calidad del aire",IF(AL22=0,"La medida no afecta a la calidad del aire",IF(AL22&lt;150,"La medida mejora la calidad del aire",IF(AL22&lt;300,"La medida mejora significativamente la calidad del aire","Error"))))</f>
        <v>La medida no afecta a la calidad del aire</v>
      </c>
      <c r="AQ22" s="3227" t="str">
        <f>IF(AM22&lt;0,"La medida empeora la calidad del aire",IF(AM22=0,"La medida no afecta a la calidad del aire",IF(AM22&lt;150,"La medida mejora la calidad del aire",IF(AM22&lt;300,"La medida mejora significativamente la calidad del aire","Error"))))</f>
        <v>La medida mejora la calidad del aire</v>
      </c>
      <c r="AR22" s="3227" t="str">
        <f>IF(AN22&lt;0,"La medida empeora la calidad del aire",IF(AN22=0,"La medida no afecta a la calidad del aire",IF(AN22&lt;150,"La medida mejora la calidad del aire",IF(AN22&lt;300,"La medida mejora significativamente la calidad del aire","Error"))))</f>
        <v>La medida mejora la calidad del aire</v>
      </c>
      <c r="AS22" s="3294" t="str">
        <f>IF(AO22&lt;0,"La medida empeora la calidad del aire",IF(AO22=0,"La medida no afecta a la calidad del aire",IF(AO22&lt;150,"La medida mejora la calidad del aire",IF(AO22&lt;300,"La medida mejora significativamente la calidad del aire","Error"))))</f>
        <v>La medida mejora la calidad del aire</v>
      </c>
    </row>
    <row r="23" spans="2:45" ht="15.75">
      <c r="B23" s="680"/>
      <c r="C23" s="3486" t="s">
        <v>38</v>
      </c>
      <c r="D23" s="3488" t="s">
        <v>143</v>
      </c>
      <c r="E23" s="3466">
        <v>3.25</v>
      </c>
      <c r="F23" s="3467">
        <v>2.25</v>
      </c>
      <c r="G23" s="3467">
        <v>3.25</v>
      </c>
      <c r="H23" s="3468">
        <v>3.25</v>
      </c>
      <c r="I23" s="3466">
        <v>4</v>
      </c>
      <c r="J23" s="3467">
        <v>3</v>
      </c>
      <c r="K23" s="3467">
        <v>4</v>
      </c>
      <c r="L23" s="3468">
        <v>4</v>
      </c>
      <c r="M23" s="3469">
        <f t="shared" si="5"/>
        <v>13</v>
      </c>
      <c r="N23" s="3470">
        <f t="shared" si="0"/>
        <v>6.75</v>
      </c>
      <c r="O23" s="3470"/>
      <c r="P23" s="3470">
        <f t="shared" ref="P23:P31" si="27">G23*K23</f>
        <v>13</v>
      </c>
      <c r="Q23" s="3471">
        <f t="shared" ref="Q23:Q31" si="28">H23*L23</f>
        <v>13</v>
      </c>
      <c r="R23" s="3472">
        <f t="shared" si="6"/>
        <v>0</v>
      </c>
      <c r="S23" s="3473">
        <f t="shared" si="7"/>
        <v>13</v>
      </c>
      <c r="T23" s="3473">
        <f t="shared" si="8"/>
        <v>26</v>
      </c>
      <c r="U23" s="3474">
        <f t="shared" si="9"/>
        <v>39</v>
      </c>
      <c r="V23" s="3228">
        <f t="shared" si="10"/>
        <v>0</v>
      </c>
      <c r="W23" s="3217">
        <f t="shared" si="11"/>
        <v>6.75</v>
      </c>
      <c r="X23" s="3217">
        <f t="shared" si="12"/>
        <v>13.5</v>
      </c>
      <c r="Y23" s="3229">
        <f t="shared" si="13"/>
        <v>20.25</v>
      </c>
      <c r="Z23" s="3234">
        <f t="shared" si="14"/>
        <v>0</v>
      </c>
      <c r="AA23" s="3218">
        <f t="shared" si="15"/>
        <v>13</v>
      </c>
      <c r="AB23" s="3218">
        <f t="shared" si="16"/>
        <v>26</v>
      </c>
      <c r="AC23" s="3235">
        <f t="shared" si="17"/>
        <v>39</v>
      </c>
      <c r="AD23" s="3233">
        <f t="shared" si="18"/>
        <v>0</v>
      </c>
      <c r="AE23" s="3219">
        <f t="shared" si="19"/>
        <v>13</v>
      </c>
      <c r="AF23" s="3219">
        <f t="shared" si="20"/>
        <v>26</v>
      </c>
      <c r="AG23" s="3245">
        <f t="shared" si="21"/>
        <v>39</v>
      </c>
      <c r="AH23" s="3246">
        <f t="shared" si="22"/>
        <v>0</v>
      </c>
      <c r="AI23" s="3221">
        <f t="shared" si="22"/>
        <v>45.75</v>
      </c>
      <c r="AJ23" s="3221">
        <f t="shared" si="3"/>
        <v>91.5</v>
      </c>
      <c r="AK23" s="3247">
        <f t="shared" si="3"/>
        <v>137.25</v>
      </c>
      <c r="AL23" s="3317">
        <f t="shared" si="4"/>
        <v>0</v>
      </c>
      <c r="AM23" s="3220">
        <f t="shared" si="4"/>
        <v>45.75</v>
      </c>
      <c r="AN23" s="3220">
        <f t="shared" si="4"/>
        <v>91.5</v>
      </c>
      <c r="AO23" s="3318">
        <f t="shared" si="4"/>
        <v>137.25</v>
      </c>
      <c r="AP23" s="3312" t="str">
        <f t="shared" si="23"/>
        <v>La medida no afecta a la calidad del aire</v>
      </c>
      <c r="AQ23" s="3227" t="str">
        <f t="shared" si="24"/>
        <v>La medida mejora la calidad del aire</v>
      </c>
      <c r="AR23" s="3227" t="str">
        <f t="shared" si="25"/>
        <v>La medida mejora la calidad del aire</v>
      </c>
      <c r="AS23" s="3294" t="str">
        <f t="shared" si="26"/>
        <v>La medida mejora la calidad del aire</v>
      </c>
    </row>
    <row r="24" spans="2:45" ht="15.75">
      <c r="B24" s="680"/>
      <c r="C24" s="3486" t="s">
        <v>38</v>
      </c>
      <c r="D24" s="3488" t="s">
        <v>146</v>
      </c>
      <c r="E24" s="3466">
        <v>0</v>
      </c>
      <c r="F24" s="3467">
        <v>0</v>
      </c>
      <c r="G24" s="3467">
        <v>0</v>
      </c>
      <c r="H24" s="3468">
        <v>0</v>
      </c>
      <c r="I24" s="3466">
        <v>4</v>
      </c>
      <c r="J24" s="3467">
        <v>3</v>
      </c>
      <c r="K24" s="3467">
        <v>4</v>
      </c>
      <c r="L24" s="3468">
        <v>4</v>
      </c>
      <c r="M24" s="3469">
        <f t="shared" si="5"/>
        <v>0</v>
      </c>
      <c r="N24" s="3470">
        <f t="shared" si="0"/>
        <v>0</v>
      </c>
      <c r="O24" s="3470"/>
      <c r="P24" s="3470">
        <f t="shared" si="27"/>
        <v>0</v>
      </c>
      <c r="Q24" s="3471">
        <f t="shared" si="28"/>
        <v>0</v>
      </c>
      <c r="R24" s="3472">
        <f t="shared" si="6"/>
        <v>0</v>
      </c>
      <c r="S24" s="3473">
        <f t="shared" si="7"/>
        <v>0</v>
      </c>
      <c r="T24" s="3473">
        <f t="shared" si="8"/>
        <v>0</v>
      </c>
      <c r="U24" s="3474">
        <f t="shared" si="9"/>
        <v>0</v>
      </c>
      <c r="V24" s="3228">
        <f t="shared" si="10"/>
        <v>0</v>
      </c>
      <c r="W24" s="3217">
        <f t="shared" si="11"/>
        <v>0</v>
      </c>
      <c r="X24" s="3217">
        <f t="shared" si="12"/>
        <v>0</v>
      </c>
      <c r="Y24" s="3229">
        <f t="shared" si="13"/>
        <v>0</v>
      </c>
      <c r="Z24" s="3234">
        <f t="shared" si="14"/>
        <v>0</v>
      </c>
      <c r="AA24" s="3218">
        <f t="shared" si="15"/>
        <v>0</v>
      </c>
      <c r="AB24" s="3218">
        <f t="shared" si="16"/>
        <v>0</v>
      </c>
      <c r="AC24" s="3235">
        <f t="shared" si="17"/>
        <v>0</v>
      </c>
      <c r="AD24" s="3233">
        <f t="shared" si="18"/>
        <v>0</v>
      </c>
      <c r="AE24" s="3219">
        <f t="shared" si="19"/>
        <v>0</v>
      </c>
      <c r="AF24" s="3219">
        <f t="shared" si="20"/>
        <v>0</v>
      </c>
      <c r="AG24" s="3245">
        <f t="shared" si="21"/>
        <v>0</v>
      </c>
      <c r="AH24" s="3246">
        <f t="shared" si="22"/>
        <v>0</v>
      </c>
      <c r="AI24" s="3221">
        <f t="shared" si="22"/>
        <v>0</v>
      </c>
      <c r="AJ24" s="3221">
        <f t="shared" si="3"/>
        <v>0</v>
      </c>
      <c r="AK24" s="3247">
        <f t="shared" si="3"/>
        <v>0</v>
      </c>
      <c r="AL24" s="3317">
        <f t="shared" si="4"/>
        <v>0</v>
      </c>
      <c r="AM24" s="3220">
        <f t="shared" si="4"/>
        <v>0</v>
      </c>
      <c r="AN24" s="3220">
        <f t="shared" si="4"/>
        <v>0</v>
      </c>
      <c r="AO24" s="3318">
        <f t="shared" si="4"/>
        <v>0</v>
      </c>
      <c r="AP24" s="3312" t="str">
        <f t="shared" si="23"/>
        <v>La medida no afecta a la calidad del aire</v>
      </c>
      <c r="AQ24" s="3227" t="str">
        <f t="shared" si="24"/>
        <v>La medida no afecta a la calidad del aire</v>
      </c>
      <c r="AR24" s="3227" t="str">
        <f t="shared" si="25"/>
        <v>La medida no afecta a la calidad del aire</v>
      </c>
      <c r="AS24" s="3294" t="str">
        <f t="shared" si="26"/>
        <v>La medida no afecta a la calidad del aire</v>
      </c>
    </row>
    <row r="25" spans="2:45" ht="16.5" thickBot="1">
      <c r="B25" s="680"/>
      <c r="C25" s="3487" t="s">
        <v>38</v>
      </c>
      <c r="D25" s="3489" t="s">
        <v>148</v>
      </c>
      <c r="E25" s="3476">
        <v>2.75</v>
      </c>
      <c r="F25" s="3477">
        <v>1.5</v>
      </c>
      <c r="G25" s="3477">
        <v>2.875</v>
      </c>
      <c r="H25" s="3478">
        <v>2.75</v>
      </c>
      <c r="I25" s="3476">
        <v>4</v>
      </c>
      <c r="J25" s="3477">
        <v>3</v>
      </c>
      <c r="K25" s="3477">
        <v>4</v>
      </c>
      <c r="L25" s="3478">
        <v>4</v>
      </c>
      <c r="M25" s="3479">
        <f t="shared" si="5"/>
        <v>11</v>
      </c>
      <c r="N25" s="3480">
        <f t="shared" si="0"/>
        <v>4.5</v>
      </c>
      <c r="O25" s="3480"/>
      <c r="P25" s="3480">
        <f t="shared" si="27"/>
        <v>11.5</v>
      </c>
      <c r="Q25" s="3481">
        <f t="shared" si="28"/>
        <v>11</v>
      </c>
      <c r="R25" s="3482">
        <f t="shared" si="6"/>
        <v>0</v>
      </c>
      <c r="S25" s="3483">
        <f t="shared" si="7"/>
        <v>11</v>
      </c>
      <c r="T25" s="3483">
        <f t="shared" si="8"/>
        <v>22</v>
      </c>
      <c r="U25" s="3484">
        <f t="shared" si="9"/>
        <v>33</v>
      </c>
      <c r="V25" s="3230">
        <f t="shared" si="10"/>
        <v>0</v>
      </c>
      <c r="W25" s="3231">
        <f t="shared" si="11"/>
        <v>4.5</v>
      </c>
      <c r="X25" s="3231">
        <f t="shared" si="12"/>
        <v>9</v>
      </c>
      <c r="Y25" s="3232">
        <f t="shared" si="13"/>
        <v>13.5</v>
      </c>
      <c r="Z25" s="3236">
        <f t="shared" si="14"/>
        <v>0</v>
      </c>
      <c r="AA25" s="3237">
        <f t="shared" si="15"/>
        <v>11.5</v>
      </c>
      <c r="AB25" s="3237">
        <f t="shared" si="16"/>
        <v>23</v>
      </c>
      <c r="AC25" s="3238">
        <f t="shared" si="17"/>
        <v>34.5</v>
      </c>
      <c r="AD25" s="3295">
        <f t="shared" si="18"/>
        <v>0</v>
      </c>
      <c r="AE25" s="3296">
        <f t="shared" si="19"/>
        <v>11</v>
      </c>
      <c r="AF25" s="3296">
        <f t="shared" si="20"/>
        <v>22</v>
      </c>
      <c r="AG25" s="3297">
        <f t="shared" si="21"/>
        <v>33</v>
      </c>
      <c r="AH25" s="3248">
        <f t="shared" si="22"/>
        <v>0</v>
      </c>
      <c r="AI25" s="3249">
        <f t="shared" si="22"/>
        <v>38</v>
      </c>
      <c r="AJ25" s="3249">
        <f t="shared" si="3"/>
        <v>76</v>
      </c>
      <c r="AK25" s="3250">
        <f t="shared" si="3"/>
        <v>114</v>
      </c>
      <c r="AL25" s="3309">
        <f t="shared" si="4"/>
        <v>0</v>
      </c>
      <c r="AM25" s="3298">
        <f t="shared" si="4"/>
        <v>38</v>
      </c>
      <c r="AN25" s="3298">
        <f t="shared" si="4"/>
        <v>76</v>
      </c>
      <c r="AO25" s="3319">
        <f t="shared" si="4"/>
        <v>114</v>
      </c>
      <c r="AP25" s="3313" t="str">
        <f t="shared" si="23"/>
        <v>La medida no afecta a la calidad del aire</v>
      </c>
      <c r="AQ25" s="3299" t="str">
        <f t="shared" si="24"/>
        <v>La medida mejora la calidad del aire</v>
      </c>
      <c r="AR25" s="3299" t="str">
        <f t="shared" si="25"/>
        <v>La medida mejora la calidad del aire</v>
      </c>
      <c r="AS25" s="3300" t="str">
        <f t="shared" si="26"/>
        <v>La medida mejora la calidad del aire</v>
      </c>
    </row>
    <row r="26" spans="2:45" ht="15.75">
      <c r="B26" s="680"/>
      <c r="C26" s="3485" t="s">
        <v>39</v>
      </c>
      <c r="D26" s="3490" t="s">
        <v>149</v>
      </c>
      <c r="E26" s="3456">
        <v>3.25</v>
      </c>
      <c r="F26" s="3457">
        <v>2.5</v>
      </c>
      <c r="G26" s="3457">
        <v>3</v>
      </c>
      <c r="H26" s="3458">
        <v>3</v>
      </c>
      <c r="I26" s="3456">
        <v>5</v>
      </c>
      <c r="J26" s="3457">
        <v>2</v>
      </c>
      <c r="K26" s="3457">
        <v>4</v>
      </c>
      <c r="L26" s="3458">
        <v>4</v>
      </c>
      <c r="M26" s="3459">
        <f t="shared" si="5"/>
        <v>16.25</v>
      </c>
      <c r="N26" s="3460">
        <f>F26*J26</f>
        <v>5</v>
      </c>
      <c r="O26" s="3460"/>
      <c r="P26" s="3460">
        <f t="shared" si="27"/>
        <v>12</v>
      </c>
      <c r="Q26" s="3461">
        <f t="shared" si="28"/>
        <v>12</v>
      </c>
      <c r="R26" s="3462">
        <f t="shared" si="6"/>
        <v>0</v>
      </c>
      <c r="S26" s="3463">
        <f t="shared" si="7"/>
        <v>16.25</v>
      </c>
      <c r="T26" s="3463">
        <f t="shared" si="8"/>
        <v>32.5</v>
      </c>
      <c r="U26" s="3464">
        <f t="shared" si="9"/>
        <v>48.75</v>
      </c>
      <c r="V26" s="3279">
        <f t="shared" si="10"/>
        <v>0</v>
      </c>
      <c r="W26" s="3280">
        <f t="shared" si="11"/>
        <v>5</v>
      </c>
      <c r="X26" s="3280">
        <f t="shared" si="12"/>
        <v>10</v>
      </c>
      <c r="Y26" s="3281">
        <f t="shared" si="13"/>
        <v>15</v>
      </c>
      <c r="Z26" s="3282">
        <f t="shared" si="14"/>
        <v>0</v>
      </c>
      <c r="AA26" s="3283">
        <f t="shared" si="15"/>
        <v>12</v>
      </c>
      <c r="AB26" s="3283">
        <f t="shared" si="16"/>
        <v>24</v>
      </c>
      <c r="AC26" s="3284">
        <f t="shared" si="17"/>
        <v>36</v>
      </c>
      <c r="AD26" s="3285">
        <f t="shared" si="18"/>
        <v>0</v>
      </c>
      <c r="AE26" s="3286">
        <f t="shared" si="19"/>
        <v>12</v>
      </c>
      <c r="AF26" s="3286">
        <f t="shared" si="20"/>
        <v>24</v>
      </c>
      <c r="AG26" s="3287">
        <f t="shared" si="21"/>
        <v>36</v>
      </c>
      <c r="AH26" s="3288">
        <f t="shared" si="22"/>
        <v>0</v>
      </c>
      <c r="AI26" s="3289">
        <f t="shared" si="22"/>
        <v>45.25</v>
      </c>
      <c r="AJ26" s="3289">
        <f t="shared" si="3"/>
        <v>90.5</v>
      </c>
      <c r="AK26" s="3290">
        <f t="shared" si="3"/>
        <v>135.75</v>
      </c>
      <c r="AL26" s="3308">
        <f t="shared" si="4"/>
        <v>0</v>
      </c>
      <c r="AM26" s="3291">
        <f t="shared" si="4"/>
        <v>45.25</v>
      </c>
      <c r="AN26" s="3291">
        <f t="shared" si="4"/>
        <v>90.5</v>
      </c>
      <c r="AO26" s="3316">
        <f t="shared" si="4"/>
        <v>135.75</v>
      </c>
      <c r="AP26" s="3311" t="str">
        <f t="shared" si="23"/>
        <v>La medida no afecta a la calidad del aire</v>
      </c>
      <c r="AQ26" s="3292" t="str">
        <f t="shared" si="24"/>
        <v>La medida mejora la calidad del aire</v>
      </c>
      <c r="AR26" s="3292" t="str">
        <f t="shared" si="25"/>
        <v>La medida mejora la calidad del aire</v>
      </c>
      <c r="AS26" s="3293" t="str">
        <f t="shared" si="26"/>
        <v>La medida mejora la calidad del aire</v>
      </c>
    </row>
    <row r="27" spans="2:45" ht="15.75">
      <c r="B27" s="680"/>
      <c r="C27" s="3486" t="s">
        <v>39</v>
      </c>
      <c r="D27" s="3488" t="s">
        <v>150</v>
      </c>
      <c r="E27" s="3466">
        <v>4.5</v>
      </c>
      <c r="F27" s="3467">
        <v>2.875</v>
      </c>
      <c r="G27" s="3467">
        <v>4.125</v>
      </c>
      <c r="H27" s="3468">
        <v>3.875</v>
      </c>
      <c r="I27" s="3466">
        <v>5</v>
      </c>
      <c r="J27" s="3467">
        <v>2</v>
      </c>
      <c r="K27" s="3467">
        <v>4</v>
      </c>
      <c r="L27" s="3468">
        <v>4</v>
      </c>
      <c r="M27" s="3469">
        <f t="shared" si="5"/>
        <v>22.5</v>
      </c>
      <c r="N27" s="3470">
        <f t="shared" si="5"/>
        <v>5.75</v>
      </c>
      <c r="O27" s="3470"/>
      <c r="P27" s="3470">
        <f t="shared" si="27"/>
        <v>16.5</v>
      </c>
      <c r="Q27" s="3471">
        <f t="shared" si="28"/>
        <v>15.5</v>
      </c>
      <c r="R27" s="3472">
        <f t="shared" si="6"/>
        <v>0</v>
      </c>
      <c r="S27" s="3473">
        <f t="shared" si="7"/>
        <v>22.5</v>
      </c>
      <c r="T27" s="3473">
        <f t="shared" si="8"/>
        <v>45</v>
      </c>
      <c r="U27" s="3474">
        <f t="shared" si="9"/>
        <v>67.5</v>
      </c>
      <c r="V27" s="3228">
        <f t="shared" si="10"/>
        <v>0</v>
      </c>
      <c r="W27" s="3217">
        <f t="shared" si="11"/>
        <v>5.75</v>
      </c>
      <c r="X27" s="3217">
        <f t="shared" si="12"/>
        <v>11.5</v>
      </c>
      <c r="Y27" s="3229">
        <f t="shared" si="13"/>
        <v>17.25</v>
      </c>
      <c r="Z27" s="3234">
        <f t="shared" si="14"/>
        <v>0</v>
      </c>
      <c r="AA27" s="3218">
        <f t="shared" si="15"/>
        <v>16.5</v>
      </c>
      <c r="AB27" s="3218">
        <f t="shared" si="16"/>
        <v>33</v>
      </c>
      <c r="AC27" s="3235">
        <f t="shared" si="17"/>
        <v>49.5</v>
      </c>
      <c r="AD27" s="3233">
        <f t="shared" si="18"/>
        <v>0</v>
      </c>
      <c r="AE27" s="3219">
        <f t="shared" si="19"/>
        <v>15.5</v>
      </c>
      <c r="AF27" s="3219">
        <f t="shared" si="20"/>
        <v>31</v>
      </c>
      <c r="AG27" s="3245">
        <f t="shared" si="21"/>
        <v>46.5</v>
      </c>
      <c r="AH27" s="3246">
        <f t="shared" si="22"/>
        <v>0</v>
      </c>
      <c r="AI27" s="3221">
        <f t="shared" si="22"/>
        <v>60.25</v>
      </c>
      <c r="AJ27" s="3221">
        <f t="shared" si="3"/>
        <v>120.5</v>
      </c>
      <c r="AK27" s="3247">
        <f t="shared" si="3"/>
        <v>180.75</v>
      </c>
      <c r="AL27" s="3317">
        <f t="shared" si="4"/>
        <v>0</v>
      </c>
      <c r="AM27" s="3220">
        <f t="shared" si="4"/>
        <v>60.25</v>
      </c>
      <c r="AN27" s="3220">
        <f t="shared" si="4"/>
        <v>120.5</v>
      </c>
      <c r="AO27" s="3318">
        <f t="shared" si="4"/>
        <v>180.75</v>
      </c>
      <c r="AP27" s="3312" t="str">
        <f t="shared" si="23"/>
        <v>La medida no afecta a la calidad del aire</v>
      </c>
      <c r="AQ27" s="3227" t="str">
        <f t="shared" si="24"/>
        <v>La medida mejora la calidad del aire</v>
      </c>
      <c r="AR27" s="3227" t="str">
        <f t="shared" si="25"/>
        <v>La medida mejora la calidad del aire</v>
      </c>
      <c r="AS27" s="3294" t="str">
        <f t="shared" si="26"/>
        <v>La medida mejora significativamente la calidad del aire</v>
      </c>
    </row>
    <row r="28" spans="2:45" ht="15.75">
      <c r="B28" s="680"/>
      <c r="C28" s="3486" t="s">
        <v>39</v>
      </c>
      <c r="D28" s="3488" t="s">
        <v>151</v>
      </c>
      <c r="E28" s="3466">
        <v>2.75</v>
      </c>
      <c r="F28" s="3467">
        <v>2.5</v>
      </c>
      <c r="G28" s="3467">
        <v>3</v>
      </c>
      <c r="H28" s="3468">
        <v>3</v>
      </c>
      <c r="I28" s="3466">
        <v>5</v>
      </c>
      <c r="J28" s="3467">
        <v>2</v>
      </c>
      <c r="K28" s="3467">
        <v>4</v>
      </c>
      <c r="L28" s="3468">
        <v>4</v>
      </c>
      <c r="M28" s="3469">
        <f t="shared" si="5"/>
        <v>13.75</v>
      </c>
      <c r="N28" s="3470">
        <f t="shared" si="5"/>
        <v>5</v>
      </c>
      <c r="O28" s="3470"/>
      <c r="P28" s="3470">
        <f t="shared" si="27"/>
        <v>12</v>
      </c>
      <c r="Q28" s="3471">
        <f t="shared" si="28"/>
        <v>12</v>
      </c>
      <c r="R28" s="3472">
        <f t="shared" si="6"/>
        <v>0</v>
      </c>
      <c r="S28" s="3473">
        <f t="shared" si="7"/>
        <v>13.75</v>
      </c>
      <c r="T28" s="3473">
        <f t="shared" si="8"/>
        <v>27.5</v>
      </c>
      <c r="U28" s="3474">
        <f t="shared" si="9"/>
        <v>41.25</v>
      </c>
      <c r="V28" s="3228">
        <f t="shared" si="10"/>
        <v>0</v>
      </c>
      <c r="W28" s="3217">
        <f t="shared" si="11"/>
        <v>5</v>
      </c>
      <c r="X28" s="3217">
        <f t="shared" si="12"/>
        <v>10</v>
      </c>
      <c r="Y28" s="3229">
        <f t="shared" si="13"/>
        <v>15</v>
      </c>
      <c r="Z28" s="3234">
        <f t="shared" si="14"/>
        <v>0</v>
      </c>
      <c r="AA28" s="3218">
        <f t="shared" si="15"/>
        <v>12</v>
      </c>
      <c r="AB28" s="3218">
        <f t="shared" si="16"/>
        <v>24</v>
      </c>
      <c r="AC28" s="3235">
        <f t="shared" si="17"/>
        <v>36</v>
      </c>
      <c r="AD28" s="3233">
        <f t="shared" si="18"/>
        <v>0</v>
      </c>
      <c r="AE28" s="3219">
        <f t="shared" si="19"/>
        <v>12</v>
      </c>
      <c r="AF28" s="3219">
        <f t="shared" si="20"/>
        <v>24</v>
      </c>
      <c r="AG28" s="3245">
        <f t="shared" si="21"/>
        <v>36</v>
      </c>
      <c r="AH28" s="3246">
        <f t="shared" si="22"/>
        <v>0</v>
      </c>
      <c r="AI28" s="3221">
        <f t="shared" si="22"/>
        <v>42.75</v>
      </c>
      <c r="AJ28" s="3221">
        <f t="shared" si="3"/>
        <v>85.5</v>
      </c>
      <c r="AK28" s="3247">
        <f t="shared" si="3"/>
        <v>128.25</v>
      </c>
      <c r="AL28" s="3317">
        <f t="shared" si="4"/>
        <v>0</v>
      </c>
      <c r="AM28" s="3220">
        <f t="shared" si="4"/>
        <v>42.75</v>
      </c>
      <c r="AN28" s="3220">
        <f t="shared" si="4"/>
        <v>85.5</v>
      </c>
      <c r="AO28" s="3318">
        <f t="shared" si="4"/>
        <v>128.25</v>
      </c>
      <c r="AP28" s="3312" t="str">
        <f t="shared" si="23"/>
        <v>La medida no afecta a la calidad del aire</v>
      </c>
      <c r="AQ28" s="3227" t="str">
        <f t="shared" si="24"/>
        <v>La medida mejora la calidad del aire</v>
      </c>
      <c r="AR28" s="3227" t="str">
        <f t="shared" si="25"/>
        <v>La medida mejora la calidad del aire</v>
      </c>
      <c r="AS28" s="3294" t="str">
        <f t="shared" si="26"/>
        <v>La medida mejora la calidad del aire</v>
      </c>
    </row>
    <row r="29" spans="2:45" ht="15.75">
      <c r="B29" s="680"/>
      <c r="C29" s="3486" t="s">
        <v>39</v>
      </c>
      <c r="D29" s="3488" t="s">
        <v>152</v>
      </c>
      <c r="E29" s="3466">
        <v>4.5</v>
      </c>
      <c r="F29" s="3467">
        <v>2.875</v>
      </c>
      <c r="G29" s="3467">
        <v>4.125</v>
      </c>
      <c r="H29" s="3468">
        <v>3.875</v>
      </c>
      <c r="I29" s="3466">
        <v>5</v>
      </c>
      <c r="J29" s="3467">
        <v>2</v>
      </c>
      <c r="K29" s="3467">
        <v>4</v>
      </c>
      <c r="L29" s="3468">
        <v>4</v>
      </c>
      <c r="M29" s="3469">
        <f t="shared" si="5"/>
        <v>22.5</v>
      </c>
      <c r="N29" s="3470">
        <f t="shared" si="5"/>
        <v>5.75</v>
      </c>
      <c r="O29" s="3470"/>
      <c r="P29" s="3470">
        <f t="shared" si="27"/>
        <v>16.5</v>
      </c>
      <c r="Q29" s="3471">
        <f t="shared" si="28"/>
        <v>15.5</v>
      </c>
      <c r="R29" s="3472">
        <f t="shared" si="6"/>
        <v>0</v>
      </c>
      <c r="S29" s="3473">
        <f t="shared" si="7"/>
        <v>22.5</v>
      </c>
      <c r="T29" s="3473">
        <f t="shared" si="8"/>
        <v>45</v>
      </c>
      <c r="U29" s="3474">
        <f t="shared" si="9"/>
        <v>67.5</v>
      </c>
      <c r="V29" s="3228">
        <f t="shared" si="10"/>
        <v>0</v>
      </c>
      <c r="W29" s="3217">
        <f t="shared" si="11"/>
        <v>5.75</v>
      </c>
      <c r="X29" s="3217">
        <f t="shared" si="12"/>
        <v>11.5</v>
      </c>
      <c r="Y29" s="3229">
        <f t="shared" si="13"/>
        <v>17.25</v>
      </c>
      <c r="Z29" s="3234">
        <f t="shared" si="14"/>
        <v>0</v>
      </c>
      <c r="AA29" s="3218">
        <f t="shared" si="15"/>
        <v>16.5</v>
      </c>
      <c r="AB29" s="3218">
        <f t="shared" si="16"/>
        <v>33</v>
      </c>
      <c r="AC29" s="3235">
        <f t="shared" si="17"/>
        <v>49.5</v>
      </c>
      <c r="AD29" s="3233">
        <f t="shared" si="18"/>
        <v>0</v>
      </c>
      <c r="AE29" s="3219">
        <f t="shared" si="19"/>
        <v>15.5</v>
      </c>
      <c r="AF29" s="3219">
        <f t="shared" si="20"/>
        <v>31</v>
      </c>
      <c r="AG29" s="3245">
        <f t="shared" si="21"/>
        <v>46.5</v>
      </c>
      <c r="AH29" s="3246">
        <f t="shared" si="22"/>
        <v>0</v>
      </c>
      <c r="AI29" s="3221">
        <f t="shared" si="22"/>
        <v>60.25</v>
      </c>
      <c r="AJ29" s="3221">
        <f t="shared" si="3"/>
        <v>120.5</v>
      </c>
      <c r="AK29" s="3247">
        <f t="shared" si="3"/>
        <v>180.75</v>
      </c>
      <c r="AL29" s="3317">
        <f t="shared" si="4"/>
        <v>0</v>
      </c>
      <c r="AM29" s="3220">
        <f t="shared" si="4"/>
        <v>60.25</v>
      </c>
      <c r="AN29" s="3220">
        <f t="shared" si="4"/>
        <v>120.5</v>
      </c>
      <c r="AO29" s="3318">
        <f t="shared" si="4"/>
        <v>180.75</v>
      </c>
      <c r="AP29" s="3312" t="str">
        <f t="shared" si="23"/>
        <v>La medida no afecta a la calidad del aire</v>
      </c>
      <c r="AQ29" s="3227" t="str">
        <f t="shared" si="24"/>
        <v>La medida mejora la calidad del aire</v>
      </c>
      <c r="AR29" s="3227" t="str">
        <f t="shared" si="25"/>
        <v>La medida mejora la calidad del aire</v>
      </c>
      <c r="AS29" s="3294" t="str">
        <f t="shared" si="26"/>
        <v>La medida mejora significativamente la calidad del aire</v>
      </c>
    </row>
    <row r="30" spans="2:45" ht="15.75">
      <c r="B30" s="680"/>
      <c r="C30" s="3486" t="s">
        <v>39</v>
      </c>
      <c r="D30" s="3488" t="s">
        <v>251</v>
      </c>
      <c r="E30" s="3466">
        <v>3.25</v>
      </c>
      <c r="F30" s="3467">
        <v>2.5</v>
      </c>
      <c r="G30" s="3467">
        <v>3</v>
      </c>
      <c r="H30" s="3468">
        <v>3</v>
      </c>
      <c r="I30" s="3466">
        <v>5</v>
      </c>
      <c r="J30" s="3467">
        <v>2</v>
      </c>
      <c r="K30" s="3467">
        <v>4</v>
      </c>
      <c r="L30" s="3468">
        <v>4</v>
      </c>
      <c r="M30" s="3469">
        <f t="shared" si="5"/>
        <v>16.25</v>
      </c>
      <c r="N30" s="3470">
        <f t="shared" si="5"/>
        <v>5</v>
      </c>
      <c r="O30" s="3470"/>
      <c r="P30" s="3470">
        <f t="shared" si="27"/>
        <v>12</v>
      </c>
      <c r="Q30" s="3471">
        <f t="shared" si="28"/>
        <v>12</v>
      </c>
      <c r="R30" s="3472">
        <f t="shared" si="6"/>
        <v>0</v>
      </c>
      <c r="S30" s="3473">
        <f t="shared" si="7"/>
        <v>16.25</v>
      </c>
      <c r="T30" s="3473">
        <f t="shared" si="8"/>
        <v>32.5</v>
      </c>
      <c r="U30" s="3474">
        <f t="shared" si="9"/>
        <v>48.75</v>
      </c>
      <c r="V30" s="3228">
        <f t="shared" si="10"/>
        <v>0</v>
      </c>
      <c r="W30" s="3217">
        <f t="shared" si="11"/>
        <v>5</v>
      </c>
      <c r="X30" s="3217">
        <f t="shared" si="12"/>
        <v>10</v>
      </c>
      <c r="Y30" s="3229">
        <f t="shared" si="13"/>
        <v>15</v>
      </c>
      <c r="Z30" s="3234">
        <f t="shared" si="14"/>
        <v>0</v>
      </c>
      <c r="AA30" s="3218">
        <f t="shared" si="15"/>
        <v>12</v>
      </c>
      <c r="AB30" s="3218">
        <f t="shared" si="16"/>
        <v>24</v>
      </c>
      <c r="AC30" s="3235">
        <f t="shared" si="17"/>
        <v>36</v>
      </c>
      <c r="AD30" s="3233">
        <f t="shared" si="18"/>
        <v>0</v>
      </c>
      <c r="AE30" s="3219">
        <f t="shared" si="19"/>
        <v>12</v>
      </c>
      <c r="AF30" s="3219">
        <f t="shared" si="20"/>
        <v>24</v>
      </c>
      <c r="AG30" s="3245">
        <f t="shared" si="21"/>
        <v>36</v>
      </c>
      <c r="AH30" s="3246">
        <f t="shared" si="22"/>
        <v>0</v>
      </c>
      <c r="AI30" s="3221">
        <f t="shared" si="22"/>
        <v>45.25</v>
      </c>
      <c r="AJ30" s="3221">
        <f t="shared" si="3"/>
        <v>90.5</v>
      </c>
      <c r="AK30" s="3247">
        <f t="shared" si="3"/>
        <v>135.75</v>
      </c>
      <c r="AL30" s="3317">
        <f t="shared" si="4"/>
        <v>0</v>
      </c>
      <c r="AM30" s="3220">
        <f t="shared" si="4"/>
        <v>45.25</v>
      </c>
      <c r="AN30" s="3220">
        <f t="shared" si="4"/>
        <v>90.5</v>
      </c>
      <c r="AO30" s="3318">
        <f t="shared" si="4"/>
        <v>135.75</v>
      </c>
      <c r="AP30" s="3312" t="str">
        <f t="shared" si="23"/>
        <v>La medida no afecta a la calidad del aire</v>
      </c>
      <c r="AQ30" s="3227" t="str">
        <f t="shared" si="24"/>
        <v>La medida mejora la calidad del aire</v>
      </c>
      <c r="AR30" s="3227" t="str">
        <f t="shared" si="25"/>
        <v>La medida mejora la calidad del aire</v>
      </c>
      <c r="AS30" s="3294" t="str">
        <f t="shared" si="26"/>
        <v>La medida mejora la calidad del aire</v>
      </c>
    </row>
    <row r="31" spans="2:45" ht="16.5" thickBot="1">
      <c r="B31" s="680"/>
      <c r="C31" s="3487" t="s">
        <v>39</v>
      </c>
      <c r="D31" s="3489" t="s">
        <v>252</v>
      </c>
      <c r="E31" s="3476">
        <v>3.625</v>
      </c>
      <c r="F31" s="3477">
        <v>2.5</v>
      </c>
      <c r="G31" s="3477">
        <v>2.5</v>
      </c>
      <c r="H31" s="3478">
        <v>2</v>
      </c>
      <c r="I31" s="3476">
        <v>5</v>
      </c>
      <c r="J31" s="3477">
        <v>2</v>
      </c>
      <c r="K31" s="3477">
        <v>4</v>
      </c>
      <c r="L31" s="3478">
        <v>4</v>
      </c>
      <c r="M31" s="3479">
        <f t="shared" si="5"/>
        <v>18.125</v>
      </c>
      <c r="N31" s="3480">
        <f t="shared" si="5"/>
        <v>5</v>
      </c>
      <c r="O31" s="3480"/>
      <c r="P31" s="3480">
        <f t="shared" si="27"/>
        <v>10</v>
      </c>
      <c r="Q31" s="3481">
        <f t="shared" si="28"/>
        <v>8</v>
      </c>
      <c r="R31" s="3482">
        <f t="shared" si="6"/>
        <v>0</v>
      </c>
      <c r="S31" s="3483">
        <f t="shared" si="7"/>
        <v>18.125</v>
      </c>
      <c r="T31" s="3483">
        <f t="shared" si="8"/>
        <v>36.25</v>
      </c>
      <c r="U31" s="3484">
        <f t="shared" si="9"/>
        <v>54.375</v>
      </c>
      <c r="V31" s="3230">
        <f t="shared" si="10"/>
        <v>0</v>
      </c>
      <c r="W31" s="3231">
        <f t="shared" si="11"/>
        <v>5</v>
      </c>
      <c r="X31" s="3231">
        <f t="shared" si="12"/>
        <v>10</v>
      </c>
      <c r="Y31" s="3232">
        <f t="shared" si="13"/>
        <v>15</v>
      </c>
      <c r="Z31" s="3236">
        <f t="shared" si="14"/>
        <v>0</v>
      </c>
      <c r="AA31" s="3237">
        <f t="shared" si="15"/>
        <v>10</v>
      </c>
      <c r="AB31" s="3237">
        <f t="shared" si="16"/>
        <v>20</v>
      </c>
      <c r="AC31" s="3238">
        <f t="shared" si="17"/>
        <v>30</v>
      </c>
      <c r="AD31" s="3295">
        <f t="shared" si="18"/>
        <v>0</v>
      </c>
      <c r="AE31" s="3296">
        <f t="shared" si="19"/>
        <v>8</v>
      </c>
      <c r="AF31" s="3296">
        <f t="shared" si="20"/>
        <v>16</v>
      </c>
      <c r="AG31" s="3297">
        <f t="shared" si="21"/>
        <v>24</v>
      </c>
      <c r="AH31" s="3248">
        <f t="shared" si="22"/>
        <v>0</v>
      </c>
      <c r="AI31" s="3249">
        <f t="shared" si="22"/>
        <v>41.125</v>
      </c>
      <c r="AJ31" s="3249">
        <f t="shared" si="3"/>
        <v>82.25</v>
      </c>
      <c r="AK31" s="3250">
        <f t="shared" si="3"/>
        <v>123.375</v>
      </c>
      <c r="AL31" s="3309">
        <f t="shared" si="4"/>
        <v>0</v>
      </c>
      <c r="AM31" s="3298">
        <f t="shared" si="4"/>
        <v>41.125</v>
      </c>
      <c r="AN31" s="3298">
        <f t="shared" si="4"/>
        <v>82.25</v>
      </c>
      <c r="AO31" s="3319">
        <f t="shared" si="4"/>
        <v>123.375</v>
      </c>
      <c r="AP31" s="3313" t="str">
        <f t="shared" si="23"/>
        <v>La medida no afecta a la calidad del aire</v>
      </c>
      <c r="AQ31" s="3299" t="str">
        <f t="shared" si="24"/>
        <v>La medida mejora la calidad del aire</v>
      </c>
      <c r="AR31" s="3299" t="str">
        <f t="shared" si="25"/>
        <v>La medida mejora la calidad del aire</v>
      </c>
      <c r="AS31" s="3300" t="str">
        <f t="shared" si="26"/>
        <v>La medida mejora la calidad del aire</v>
      </c>
    </row>
    <row r="32" spans="2:45" ht="15.75">
      <c r="B32" s="680"/>
      <c r="C32" s="3485" t="s">
        <v>40</v>
      </c>
      <c r="D32" s="3490" t="s">
        <v>108</v>
      </c>
      <c r="E32" s="3456">
        <v>2.75</v>
      </c>
      <c r="F32" s="3457">
        <v>1.5</v>
      </c>
      <c r="G32" s="3457">
        <v>2.875</v>
      </c>
      <c r="H32" s="3458">
        <v>2.75</v>
      </c>
      <c r="I32" s="3456">
        <v>3</v>
      </c>
      <c r="J32" s="3457">
        <v>1</v>
      </c>
      <c r="K32" s="3457">
        <v>2</v>
      </c>
      <c r="L32" s="3458">
        <v>0.25</v>
      </c>
      <c r="M32" s="3459">
        <f>E32*I32</f>
        <v>8.25</v>
      </c>
      <c r="N32" s="3460">
        <f>F32*J32</f>
        <v>1.5</v>
      </c>
      <c r="O32" s="3460"/>
      <c r="P32" s="3460">
        <f>G32*K32</f>
        <v>5.75</v>
      </c>
      <c r="Q32" s="3461">
        <f>H32*L32</f>
        <v>0.6875</v>
      </c>
      <c r="R32" s="3462">
        <f>M32*$R$10</f>
        <v>0</v>
      </c>
      <c r="S32" s="3463">
        <f>M32*$S$10</f>
        <v>8.25</v>
      </c>
      <c r="T32" s="3463">
        <f>M32*$T$10</f>
        <v>16.5</v>
      </c>
      <c r="U32" s="3464">
        <f>M32*$U$10</f>
        <v>24.75</v>
      </c>
      <c r="V32" s="3279">
        <f>N32*$V$10</f>
        <v>0</v>
      </c>
      <c r="W32" s="3280">
        <f>N32*$W$10</f>
        <v>1.5</v>
      </c>
      <c r="X32" s="3280">
        <f>N32*$X$10</f>
        <v>3</v>
      </c>
      <c r="Y32" s="3281">
        <f>N32*$Y$10</f>
        <v>4.5</v>
      </c>
      <c r="Z32" s="3282">
        <f>P32*$Z$10</f>
        <v>0</v>
      </c>
      <c r="AA32" s="3283">
        <f>P32*$AA$10</f>
        <v>5.75</v>
      </c>
      <c r="AB32" s="3283">
        <f>P32*$AB$10</f>
        <v>11.5</v>
      </c>
      <c r="AC32" s="3284">
        <f>P32*$AC$10</f>
        <v>17.25</v>
      </c>
      <c r="AD32" s="3285">
        <f>Q32*$AD$10</f>
        <v>0</v>
      </c>
      <c r="AE32" s="3286">
        <f>Q32*$AE$10</f>
        <v>0.6875</v>
      </c>
      <c r="AF32" s="3286">
        <f>Q32*$AF$10</f>
        <v>1.375</v>
      </c>
      <c r="AG32" s="3287">
        <f>Q32*$AG$10</f>
        <v>2.0625</v>
      </c>
      <c r="AH32" s="3288">
        <f>R32+V32+Z32+AD32</f>
        <v>0</v>
      </c>
      <c r="AI32" s="3289">
        <f>S32+W32+AA32+AE32</f>
        <v>16.1875</v>
      </c>
      <c r="AJ32" s="3289">
        <f>T32+X32+AB32+AF32</f>
        <v>32.375</v>
      </c>
      <c r="AK32" s="3290">
        <f>U32+Y32+AC32+AG32</f>
        <v>48.5625</v>
      </c>
      <c r="AL32" s="3308">
        <f>AH32</f>
        <v>0</v>
      </c>
      <c r="AM32" s="3291">
        <f>AI32</f>
        <v>16.1875</v>
      </c>
      <c r="AN32" s="3291">
        <f>AJ32</f>
        <v>32.375</v>
      </c>
      <c r="AO32" s="3316">
        <f>AK32</f>
        <v>48.5625</v>
      </c>
      <c r="AP32" s="3311" t="str">
        <f>IF(AL32&lt;0,"La medida empeora la calidad del aire",IF(AL32=0,"La medida no afecta a la calidad del aire",IF(AL32&lt;150,"La medida mejora la calidad del aire",IF(AL32&lt;300,"La medida mejora significativamente la calidad del aire","Error"))))</f>
        <v>La medida no afecta a la calidad del aire</v>
      </c>
      <c r="AQ32" s="3292" t="str">
        <f>IF(AM32&lt;0,"La medida empeora la calidad del aire",IF(AM32=0,"La medida no afecta a la calidad del aire",IF(AM32&lt;150,"La medida mejora la calidad del aire",IF(AM32&lt;300,"La medida mejora significativamente la calidad del aire","Error"))))</f>
        <v>La medida mejora la calidad del aire</v>
      </c>
      <c r="AR32" s="3292" t="str">
        <f>IF(AN32&lt;0,"La medida empeora la calidad del aire",IF(AN32=0,"La medida no afecta a la calidad del aire",IF(AN32&lt;150,"La medida mejora la calidad del aire",IF(AN32&lt;300,"La medida mejora significativamente la calidad del aire","Error"))))</f>
        <v>La medida mejora la calidad del aire</v>
      </c>
      <c r="AS32" s="3293" t="str">
        <f>IF(AO32&lt;0,"La medida empeora la calidad del aire",IF(AO32=0,"La medida no afecta a la calidad del aire",IF(AO32&lt;150,"La medida mejora la calidad del aire",IF(AO32&lt;300,"La medida mejora significativamente la calidad del aire","Error"))))</f>
        <v>La medida mejora la calidad del aire</v>
      </c>
    </row>
    <row r="33" spans="2:45" ht="15.75">
      <c r="B33" s="680"/>
      <c r="C33" s="3486" t="s">
        <v>40</v>
      </c>
      <c r="D33" s="3488" t="s">
        <v>253</v>
      </c>
      <c r="E33" s="3466">
        <v>-2.25</v>
      </c>
      <c r="F33" s="3467">
        <v>-2</v>
      </c>
      <c r="G33" s="3467">
        <v>-2</v>
      </c>
      <c r="H33" s="3468">
        <v>-2.5</v>
      </c>
      <c r="I33" s="3466">
        <v>3</v>
      </c>
      <c r="J33" s="3467">
        <v>1</v>
      </c>
      <c r="K33" s="3467">
        <v>2</v>
      </c>
      <c r="L33" s="3468">
        <v>0.25</v>
      </c>
      <c r="M33" s="3469">
        <f t="shared" si="5"/>
        <v>-6.75</v>
      </c>
      <c r="N33" s="3470">
        <f t="shared" si="5"/>
        <v>-2</v>
      </c>
      <c r="O33" s="3470"/>
      <c r="P33" s="3470">
        <f t="shared" ref="P33:P39" si="29">G33*K33</f>
        <v>-4</v>
      </c>
      <c r="Q33" s="3471">
        <f t="shared" ref="Q33:Q39" si="30">H33*L33</f>
        <v>-0.625</v>
      </c>
      <c r="R33" s="3472">
        <f t="shared" si="6"/>
        <v>0</v>
      </c>
      <c r="S33" s="3473">
        <f t="shared" si="7"/>
        <v>-6.75</v>
      </c>
      <c r="T33" s="3473">
        <f t="shared" si="8"/>
        <v>-13.5</v>
      </c>
      <c r="U33" s="3474">
        <f t="shared" si="9"/>
        <v>-20.25</v>
      </c>
      <c r="V33" s="3228">
        <f t="shared" si="10"/>
        <v>0</v>
      </c>
      <c r="W33" s="3217">
        <f t="shared" si="11"/>
        <v>-2</v>
      </c>
      <c r="X33" s="3217">
        <f t="shared" si="12"/>
        <v>-4</v>
      </c>
      <c r="Y33" s="3229">
        <f t="shared" si="13"/>
        <v>-6</v>
      </c>
      <c r="Z33" s="3234">
        <f t="shared" si="14"/>
        <v>0</v>
      </c>
      <c r="AA33" s="3218">
        <f t="shared" si="15"/>
        <v>-4</v>
      </c>
      <c r="AB33" s="3218">
        <f t="shared" si="16"/>
        <v>-8</v>
      </c>
      <c r="AC33" s="3235">
        <f t="shared" si="17"/>
        <v>-12</v>
      </c>
      <c r="AD33" s="3233">
        <f t="shared" si="18"/>
        <v>0</v>
      </c>
      <c r="AE33" s="3219">
        <f t="shared" si="19"/>
        <v>-0.625</v>
      </c>
      <c r="AF33" s="3219">
        <f t="shared" si="20"/>
        <v>-1.25</v>
      </c>
      <c r="AG33" s="3245">
        <f t="shared" si="21"/>
        <v>-1.875</v>
      </c>
      <c r="AH33" s="3246">
        <f t="shared" si="22"/>
        <v>0</v>
      </c>
      <c r="AI33" s="3221">
        <f t="shared" si="22"/>
        <v>-13.375</v>
      </c>
      <c r="AJ33" s="3221">
        <f t="shared" si="3"/>
        <v>-26.75</v>
      </c>
      <c r="AK33" s="3247">
        <f t="shared" si="3"/>
        <v>-40.125</v>
      </c>
      <c r="AL33" s="3317">
        <f t="shared" si="4"/>
        <v>0</v>
      </c>
      <c r="AM33" s="3220">
        <f t="shared" si="4"/>
        <v>-13.375</v>
      </c>
      <c r="AN33" s="3220">
        <f t="shared" si="4"/>
        <v>-26.75</v>
      </c>
      <c r="AO33" s="3318">
        <f t="shared" si="4"/>
        <v>-40.125</v>
      </c>
      <c r="AP33" s="3312" t="str">
        <f t="shared" si="23"/>
        <v>La medida no afecta a la calidad del aire</v>
      </c>
      <c r="AQ33" s="3227" t="str">
        <f t="shared" si="24"/>
        <v>La medida empeora la calidad del aire</v>
      </c>
      <c r="AR33" s="3227" t="str">
        <f t="shared" si="25"/>
        <v>La medida empeora la calidad del aire</v>
      </c>
      <c r="AS33" s="3294" t="str">
        <f t="shared" si="26"/>
        <v>La medida empeora la calidad del aire</v>
      </c>
    </row>
    <row r="34" spans="2:45" ht="16.5" thickBot="1">
      <c r="B34" s="680"/>
      <c r="C34" s="3487" t="s">
        <v>40</v>
      </c>
      <c r="D34" s="3489" t="s">
        <v>111</v>
      </c>
      <c r="E34" s="3476">
        <v>-1</v>
      </c>
      <c r="F34" s="3477">
        <v>-1</v>
      </c>
      <c r="G34" s="3477">
        <v>-1.5</v>
      </c>
      <c r="H34" s="3478">
        <v>-1.5</v>
      </c>
      <c r="I34" s="3476">
        <v>3</v>
      </c>
      <c r="J34" s="3477">
        <v>1</v>
      </c>
      <c r="K34" s="3477">
        <v>2</v>
      </c>
      <c r="L34" s="3478">
        <v>0.25</v>
      </c>
      <c r="M34" s="3479">
        <f t="shared" si="5"/>
        <v>-3</v>
      </c>
      <c r="N34" s="3480">
        <f t="shared" si="5"/>
        <v>-1</v>
      </c>
      <c r="O34" s="3480"/>
      <c r="P34" s="3480">
        <f t="shared" si="29"/>
        <v>-3</v>
      </c>
      <c r="Q34" s="3481">
        <f t="shared" si="30"/>
        <v>-0.375</v>
      </c>
      <c r="R34" s="3482">
        <f t="shared" si="6"/>
        <v>0</v>
      </c>
      <c r="S34" s="3483">
        <f t="shared" si="7"/>
        <v>-3</v>
      </c>
      <c r="T34" s="3483">
        <f t="shared" si="8"/>
        <v>-6</v>
      </c>
      <c r="U34" s="3484">
        <f t="shared" si="9"/>
        <v>-9</v>
      </c>
      <c r="V34" s="3230">
        <f t="shared" si="10"/>
        <v>0</v>
      </c>
      <c r="W34" s="3231">
        <f t="shared" si="11"/>
        <v>-1</v>
      </c>
      <c r="X34" s="3231">
        <f t="shared" si="12"/>
        <v>-2</v>
      </c>
      <c r="Y34" s="3232">
        <f t="shared" si="13"/>
        <v>-3</v>
      </c>
      <c r="Z34" s="3236">
        <f t="shared" si="14"/>
        <v>0</v>
      </c>
      <c r="AA34" s="3237">
        <f t="shared" si="15"/>
        <v>-3</v>
      </c>
      <c r="AB34" s="3237">
        <f t="shared" si="16"/>
        <v>-6</v>
      </c>
      <c r="AC34" s="3238">
        <f t="shared" si="17"/>
        <v>-9</v>
      </c>
      <c r="AD34" s="3295">
        <f t="shared" si="18"/>
        <v>0</v>
      </c>
      <c r="AE34" s="3296">
        <f t="shared" si="19"/>
        <v>-0.375</v>
      </c>
      <c r="AF34" s="3296">
        <f t="shared" si="20"/>
        <v>-0.75</v>
      </c>
      <c r="AG34" s="3297">
        <f t="shared" si="21"/>
        <v>-1.125</v>
      </c>
      <c r="AH34" s="3248">
        <f t="shared" si="22"/>
        <v>0</v>
      </c>
      <c r="AI34" s="3249">
        <f t="shared" si="22"/>
        <v>-7.375</v>
      </c>
      <c r="AJ34" s="3249">
        <f t="shared" si="3"/>
        <v>-14.75</v>
      </c>
      <c r="AK34" s="3250">
        <f t="shared" si="3"/>
        <v>-22.125</v>
      </c>
      <c r="AL34" s="3309">
        <f t="shared" si="4"/>
        <v>0</v>
      </c>
      <c r="AM34" s="3298">
        <f t="shared" si="4"/>
        <v>-7.375</v>
      </c>
      <c r="AN34" s="3298">
        <f t="shared" si="4"/>
        <v>-14.75</v>
      </c>
      <c r="AO34" s="3319">
        <f t="shared" si="4"/>
        <v>-22.125</v>
      </c>
      <c r="AP34" s="3313" t="str">
        <f t="shared" si="23"/>
        <v>La medida no afecta a la calidad del aire</v>
      </c>
      <c r="AQ34" s="3299" t="str">
        <f t="shared" si="24"/>
        <v>La medida empeora la calidad del aire</v>
      </c>
      <c r="AR34" s="3299" t="str">
        <f t="shared" si="25"/>
        <v>La medida empeora la calidad del aire</v>
      </c>
      <c r="AS34" s="3300" t="str">
        <f t="shared" si="26"/>
        <v>La medida empeora la calidad del aire</v>
      </c>
    </row>
    <row r="35" spans="2:45" ht="15.75">
      <c r="B35" s="680"/>
      <c r="C35" s="3485" t="s">
        <v>41</v>
      </c>
      <c r="D35" s="3490" t="s">
        <v>112</v>
      </c>
      <c r="E35" s="3456">
        <v>0</v>
      </c>
      <c r="F35" s="3457">
        <v>0</v>
      </c>
      <c r="G35" s="3457">
        <v>0</v>
      </c>
      <c r="H35" s="3458">
        <v>0</v>
      </c>
      <c r="I35" s="3456">
        <v>3</v>
      </c>
      <c r="J35" s="3457">
        <v>1</v>
      </c>
      <c r="K35" s="3457">
        <v>2</v>
      </c>
      <c r="L35" s="3458">
        <v>0.25</v>
      </c>
      <c r="M35" s="3459">
        <f t="shared" si="5"/>
        <v>0</v>
      </c>
      <c r="N35" s="3460">
        <f t="shared" si="5"/>
        <v>0</v>
      </c>
      <c r="O35" s="3460"/>
      <c r="P35" s="3460">
        <f t="shared" si="29"/>
        <v>0</v>
      </c>
      <c r="Q35" s="3461">
        <f t="shared" si="30"/>
        <v>0</v>
      </c>
      <c r="R35" s="3462">
        <f t="shared" si="6"/>
        <v>0</v>
      </c>
      <c r="S35" s="3463">
        <f t="shared" si="7"/>
        <v>0</v>
      </c>
      <c r="T35" s="3463">
        <f t="shared" si="8"/>
        <v>0</v>
      </c>
      <c r="U35" s="3464">
        <f t="shared" si="9"/>
        <v>0</v>
      </c>
      <c r="V35" s="3279">
        <f t="shared" si="10"/>
        <v>0</v>
      </c>
      <c r="W35" s="3280">
        <f t="shared" si="11"/>
        <v>0</v>
      </c>
      <c r="X35" s="3280">
        <f t="shared" si="12"/>
        <v>0</v>
      </c>
      <c r="Y35" s="3281">
        <f t="shared" si="13"/>
        <v>0</v>
      </c>
      <c r="Z35" s="3282">
        <f t="shared" si="14"/>
        <v>0</v>
      </c>
      <c r="AA35" s="3283">
        <f t="shared" si="15"/>
        <v>0</v>
      </c>
      <c r="AB35" s="3283">
        <f t="shared" si="16"/>
        <v>0</v>
      </c>
      <c r="AC35" s="3284">
        <f t="shared" si="17"/>
        <v>0</v>
      </c>
      <c r="AD35" s="3285">
        <f t="shared" si="18"/>
        <v>0</v>
      </c>
      <c r="AE35" s="3286">
        <f t="shared" si="19"/>
        <v>0</v>
      </c>
      <c r="AF35" s="3286">
        <f t="shared" si="20"/>
        <v>0</v>
      </c>
      <c r="AG35" s="3287">
        <f t="shared" si="21"/>
        <v>0</v>
      </c>
      <c r="AH35" s="3288">
        <f t="shared" si="22"/>
        <v>0</v>
      </c>
      <c r="AI35" s="3289">
        <f t="shared" si="22"/>
        <v>0</v>
      </c>
      <c r="AJ35" s="3289">
        <f t="shared" si="3"/>
        <v>0</v>
      </c>
      <c r="AK35" s="3290">
        <f t="shared" si="3"/>
        <v>0</v>
      </c>
      <c r="AL35" s="3308">
        <f t="shared" si="4"/>
        <v>0</v>
      </c>
      <c r="AM35" s="3291">
        <f t="shared" si="4"/>
        <v>0</v>
      </c>
      <c r="AN35" s="3291">
        <f t="shared" si="4"/>
        <v>0</v>
      </c>
      <c r="AO35" s="3316">
        <f t="shared" si="4"/>
        <v>0</v>
      </c>
      <c r="AP35" s="3311" t="str">
        <f t="shared" si="23"/>
        <v>La medida no afecta a la calidad del aire</v>
      </c>
      <c r="AQ35" s="3292" t="str">
        <f t="shared" si="24"/>
        <v>La medida no afecta a la calidad del aire</v>
      </c>
      <c r="AR35" s="3292" t="str">
        <f t="shared" si="25"/>
        <v>La medida no afecta a la calidad del aire</v>
      </c>
      <c r="AS35" s="3293" t="str">
        <f t="shared" si="26"/>
        <v>La medida no afecta a la calidad del aire</v>
      </c>
    </row>
    <row r="36" spans="2:45" ht="15.75">
      <c r="B36" s="680"/>
      <c r="C36" s="3486" t="s">
        <v>41</v>
      </c>
      <c r="D36" s="3488" t="s">
        <v>114</v>
      </c>
      <c r="E36" s="3466">
        <v>0</v>
      </c>
      <c r="F36" s="3467">
        <v>0</v>
      </c>
      <c r="G36" s="3467">
        <v>0</v>
      </c>
      <c r="H36" s="3468">
        <v>0</v>
      </c>
      <c r="I36" s="3466">
        <v>3</v>
      </c>
      <c r="J36" s="3467">
        <v>1</v>
      </c>
      <c r="K36" s="3467">
        <v>2</v>
      </c>
      <c r="L36" s="3468">
        <v>0.25</v>
      </c>
      <c r="M36" s="3469">
        <f t="shared" si="5"/>
        <v>0</v>
      </c>
      <c r="N36" s="3470">
        <f t="shared" si="5"/>
        <v>0</v>
      </c>
      <c r="O36" s="3470"/>
      <c r="P36" s="3470">
        <f t="shared" si="29"/>
        <v>0</v>
      </c>
      <c r="Q36" s="3471">
        <f t="shared" si="30"/>
        <v>0</v>
      </c>
      <c r="R36" s="3472">
        <f t="shared" si="6"/>
        <v>0</v>
      </c>
      <c r="S36" s="3473">
        <f t="shared" si="7"/>
        <v>0</v>
      </c>
      <c r="T36" s="3473">
        <f t="shared" si="8"/>
        <v>0</v>
      </c>
      <c r="U36" s="3474">
        <f t="shared" si="9"/>
        <v>0</v>
      </c>
      <c r="V36" s="3228">
        <f t="shared" si="10"/>
        <v>0</v>
      </c>
      <c r="W36" s="3217">
        <f t="shared" si="11"/>
        <v>0</v>
      </c>
      <c r="X36" s="3217">
        <f t="shared" si="12"/>
        <v>0</v>
      </c>
      <c r="Y36" s="3229">
        <f t="shared" si="13"/>
        <v>0</v>
      </c>
      <c r="Z36" s="3234">
        <f t="shared" si="14"/>
        <v>0</v>
      </c>
      <c r="AA36" s="3218">
        <f t="shared" si="15"/>
        <v>0</v>
      </c>
      <c r="AB36" s="3218">
        <f t="shared" si="16"/>
        <v>0</v>
      </c>
      <c r="AC36" s="3235">
        <f t="shared" si="17"/>
        <v>0</v>
      </c>
      <c r="AD36" s="3233">
        <f t="shared" si="18"/>
        <v>0</v>
      </c>
      <c r="AE36" s="3219">
        <f t="shared" si="19"/>
        <v>0</v>
      </c>
      <c r="AF36" s="3219">
        <f t="shared" si="20"/>
        <v>0</v>
      </c>
      <c r="AG36" s="3245">
        <f t="shared" si="21"/>
        <v>0</v>
      </c>
      <c r="AH36" s="3246">
        <f t="shared" si="22"/>
        <v>0</v>
      </c>
      <c r="AI36" s="3221">
        <f t="shared" si="22"/>
        <v>0</v>
      </c>
      <c r="AJ36" s="3221">
        <f t="shared" si="3"/>
        <v>0</v>
      </c>
      <c r="AK36" s="3247">
        <f t="shared" si="3"/>
        <v>0</v>
      </c>
      <c r="AL36" s="3317">
        <f t="shared" si="4"/>
        <v>0</v>
      </c>
      <c r="AM36" s="3220">
        <f t="shared" si="4"/>
        <v>0</v>
      </c>
      <c r="AN36" s="3220">
        <f t="shared" si="4"/>
        <v>0</v>
      </c>
      <c r="AO36" s="3318">
        <f t="shared" si="4"/>
        <v>0</v>
      </c>
      <c r="AP36" s="3312" t="str">
        <f t="shared" si="23"/>
        <v>La medida no afecta a la calidad del aire</v>
      </c>
      <c r="AQ36" s="3227" t="str">
        <f t="shared" si="24"/>
        <v>La medida no afecta a la calidad del aire</v>
      </c>
      <c r="AR36" s="3227" t="str">
        <f t="shared" si="25"/>
        <v>La medida no afecta a la calidad del aire</v>
      </c>
      <c r="AS36" s="3294" t="str">
        <f t="shared" si="26"/>
        <v>La medida no afecta a la calidad del aire</v>
      </c>
    </row>
    <row r="37" spans="2:45" ht="16.5" thickBot="1">
      <c r="B37" s="680"/>
      <c r="C37" s="3487" t="s">
        <v>41</v>
      </c>
      <c r="D37" s="3489" t="s">
        <v>116</v>
      </c>
      <c r="E37" s="3476">
        <v>-0.5</v>
      </c>
      <c r="F37" s="3477">
        <v>-1</v>
      </c>
      <c r="G37" s="3477">
        <v>-0.5</v>
      </c>
      <c r="H37" s="3478">
        <v>0</v>
      </c>
      <c r="I37" s="3476">
        <v>3</v>
      </c>
      <c r="J37" s="3477">
        <v>1</v>
      </c>
      <c r="K37" s="3477">
        <v>2</v>
      </c>
      <c r="L37" s="3478">
        <v>0.25</v>
      </c>
      <c r="M37" s="3479">
        <f t="shared" si="5"/>
        <v>-1.5</v>
      </c>
      <c r="N37" s="3480">
        <f t="shared" si="5"/>
        <v>-1</v>
      </c>
      <c r="O37" s="3480"/>
      <c r="P37" s="3480">
        <f t="shared" si="29"/>
        <v>-1</v>
      </c>
      <c r="Q37" s="3481">
        <f t="shared" si="30"/>
        <v>0</v>
      </c>
      <c r="R37" s="3482">
        <f t="shared" si="6"/>
        <v>0</v>
      </c>
      <c r="S37" s="3483">
        <f t="shared" si="7"/>
        <v>-1.5</v>
      </c>
      <c r="T37" s="3483">
        <f t="shared" si="8"/>
        <v>-3</v>
      </c>
      <c r="U37" s="3484">
        <f t="shared" si="9"/>
        <v>-4.5</v>
      </c>
      <c r="V37" s="3230">
        <f t="shared" si="10"/>
        <v>0</v>
      </c>
      <c r="W37" s="3231">
        <f t="shared" si="11"/>
        <v>-1</v>
      </c>
      <c r="X37" s="3231">
        <f t="shared" si="12"/>
        <v>-2</v>
      </c>
      <c r="Y37" s="3232">
        <f t="shared" si="13"/>
        <v>-3</v>
      </c>
      <c r="Z37" s="3236">
        <f t="shared" si="14"/>
        <v>0</v>
      </c>
      <c r="AA37" s="3237">
        <f t="shared" si="15"/>
        <v>-1</v>
      </c>
      <c r="AB37" s="3237">
        <f t="shared" si="16"/>
        <v>-2</v>
      </c>
      <c r="AC37" s="3238">
        <f t="shared" si="17"/>
        <v>-3</v>
      </c>
      <c r="AD37" s="3295">
        <f t="shared" si="18"/>
        <v>0</v>
      </c>
      <c r="AE37" s="3296">
        <f t="shared" si="19"/>
        <v>0</v>
      </c>
      <c r="AF37" s="3296">
        <f t="shared" si="20"/>
        <v>0</v>
      </c>
      <c r="AG37" s="3297">
        <f t="shared" si="21"/>
        <v>0</v>
      </c>
      <c r="AH37" s="3248">
        <f t="shared" si="22"/>
        <v>0</v>
      </c>
      <c r="AI37" s="3249">
        <f t="shared" si="22"/>
        <v>-3.5</v>
      </c>
      <c r="AJ37" s="3249">
        <f t="shared" si="3"/>
        <v>-7</v>
      </c>
      <c r="AK37" s="3250">
        <f t="shared" si="3"/>
        <v>-10.5</v>
      </c>
      <c r="AL37" s="3309">
        <f t="shared" si="4"/>
        <v>0</v>
      </c>
      <c r="AM37" s="3298">
        <f t="shared" si="4"/>
        <v>-3.5</v>
      </c>
      <c r="AN37" s="3298">
        <f t="shared" si="4"/>
        <v>-7</v>
      </c>
      <c r="AO37" s="3319">
        <f t="shared" si="4"/>
        <v>-10.5</v>
      </c>
      <c r="AP37" s="3313" t="str">
        <f t="shared" si="23"/>
        <v>La medida no afecta a la calidad del aire</v>
      </c>
      <c r="AQ37" s="3299" t="str">
        <f t="shared" si="24"/>
        <v>La medida empeora la calidad del aire</v>
      </c>
      <c r="AR37" s="3299" t="str">
        <f t="shared" si="25"/>
        <v>La medida empeora la calidad del aire</v>
      </c>
      <c r="AS37" s="3300" t="str">
        <f t="shared" si="26"/>
        <v>La medida empeora la calidad del aire</v>
      </c>
    </row>
    <row r="38" spans="2:45" ht="30" customHeight="1">
      <c r="B38" s="680"/>
      <c r="C38" s="3491" t="s">
        <v>157</v>
      </c>
      <c r="D38" s="3492" t="s">
        <v>119</v>
      </c>
      <c r="E38" s="3456">
        <v>0</v>
      </c>
      <c r="F38" s="3457">
        <v>0</v>
      </c>
      <c r="G38" s="3457">
        <v>0.25</v>
      </c>
      <c r="H38" s="3458">
        <v>0</v>
      </c>
      <c r="I38" s="3456">
        <v>1</v>
      </c>
      <c r="J38" s="3457">
        <v>1</v>
      </c>
      <c r="K38" s="3457">
        <v>3</v>
      </c>
      <c r="L38" s="3458">
        <v>3</v>
      </c>
      <c r="M38" s="3459">
        <f t="shared" si="5"/>
        <v>0</v>
      </c>
      <c r="N38" s="3460">
        <f t="shared" si="5"/>
        <v>0</v>
      </c>
      <c r="O38" s="3460"/>
      <c r="P38" s="3460">
        <f t="shared" si="29"/>
        <v>0.75</v>
      </c>
      <c r="Q38" s="3461">
        <f t="shared" si="30"/>
        <v>0</v>
      </c>
      <c r="R38" s="3462">
        <f t="shared" si="6"/>
        <v>0</v>
      </c>
      <c r="S38" s="3463">
        <f t="shared" si="7"/>
        <v>0</v>
      </c>
      <c r="T38" s="3463">
        <f t="shared" si="8"/>
        <v>0</v>
      </c>
      <c r="U38" s="3464">
        <f t="shared" si="9"/>
        <v>0</v>
      </c>
      <c r="V38" s="3279">
        <f t="shared" si="10"/>
        <v>0</v>
      </c>
      <c r="W38" s="3280">
        <f t="shared" si="11"/>
        <v>0</v>
      </c>
      <c r="X38" s="3280">
        <f t="shared" si="12"/>
        <v>0</v>
      </c>
      <c r="Y38" s="3281">
        <f t="shared" si="13"/>
        <v>0</v>
      </c>
      <c r="Z38" s="3282">
        <f t="shared" si="14"/>
        <v>0</v>
      </c>
      <c r="AA38" s="3283">
        <f t="shared" si="15"/>
        <v>0.75</v>
      </c>
      <c r="AB38" s="3283">
        <f t="shared" si="16"/>
        <v>1.5</v>
      </c>
      <c r="AC38" s="3284">
        <f t="shared" si="17"/>
        <v>2.25</v>
      </c>
      <c r="AD38" s="3285">
        <f t="shared" si="18"/>
        <v>0</v>
      </c>
      <c r="AE38" s="3286">
        <f t="shared" si="19"/>
        <v>0</v>
      </c>
      <c r="AF38" s="3286">
        <f t="shared" si="20"/>
        <v>0</v>
      </c>
      <c r="AG38" s="3287">
        <f t="shared" si="21"/>
        <v>0</v>
      </c>
      <c r="AH38" s="3288">
        <f t="shared" si="22"/>
        <v>0</v>
      </c>
      <c r="AI38" s="3289">
        <f t="shared" si="22"/>
        <v>0.75</v>
      </c>
      <c r="AJ38" s="3289">
        <f t="shared" si="3"/>
        <v>1.5</v>
      </c>
      <c r="AK38" s="3290">
        <f t="shared" si="3"/>
        <v>2.25</v>
      </c>
      <c r="AL38" s="3308">
        <f t="shared" si="4"/>
        <v>0</v>
      </c>
      <c r="AM38" s="3291">
        <f t="shared" si="4"/>
        <v>0.75</v>
      </c>
      <c r="AN38" s="3291">
        <f t="shared" si="4"/>
        <v>1.5</v>
      </c>
      <c r="AO38" s="3316">
        <f t="shared" si="4"/>
        <v>2.25</v>
      </c>
      <c r="AP38" s="3311" t="str">
        <f t="shared" si="23"/>
        <v>La medida no afecta a la calidad del aire</v>
      </c>
      <c r="AQ38" s="3292" t="str">
        <f t="shared" si="24"/>
        <v>La medida mejora la calidad del aire</v>
      </c>
      <c r="AR38" s="3292" t="str">
        <f t="shared" si="25"/>
        <v>La medida mejora la calidad del aire</v>
      </c>
      <c r="AS38" s="3293" t="str">
        <f t="shared" si="26"/>
        <v>La medida mejora la calidad del aire</v>
      </c>
    </row>
    <row r="39" spans="2:45" ht="16.5" thickBot="1">
      <c r="B39" s="680"/>
      <c r="C39" s="3487" t="s">
        <v>157</v>
      </c>
      <c r="D39" s="3489" t="s">
        <v>121</v>
      </c>
      <c r="E39" s="3476">
        <v>1.5</v>
      </c>
      <c r="F39" s="3477">
        <v>0</v>
      </c>
      <c r="G39" s="3477">
        <v>0.25</v>
      </c>
      <c r="H39" s="3478">
        <v>0</v>
      </c>
      <c r="I39" s="3476">
        <v>1</v>
      </c>
      <c r="J39" s="3477">
        <v>1</v>
      </c>
      <c r="K39" s="3477">
        <v>3</v>
      </c>
      <c r="L39" s="3478">
        <v>3</v>
      </c>
      <c r="M39" s="3479">
        <f t="shared" si="5"/>
        <v>1.5</v>
      </c>
      <c r="N39" s="3480">
        <f t="shared" si="5"/>
        <v>0</v>
      </c>
      <c r="O39" s="3480"/>
      <c r="P39" s="3480">
        <f t="shared" si="29"/>
        <v>0.75</v>
      </c>
      <c r="Q39" s="3481">
        <f t="shared" si="30"/>
        <v>0</v>
      </c>
      <c r="R39" s="3482">
        <f t="shared" si="6"/>
        <v>0</v>
      </c>
      <c r="S39" s="3483">
        <f t="shared" si="7"/>
        <v>1.5</v>
      </c>
      <c r="T39" s="3483">
        <f t="shared" si="8"/>
        <v>3</v>
      </c>
      <c r="U39" s="3484">
        <f t="shared" si="9"/>
        <v>4.5</v>
      </c>
      <c r="V39" s="3230">
        <f t="shared" si="10"/>
        <v>0</v>
      </c>
      <c r="W39" s="3231">
        <f t="shared" si="11"/>
        <v>0</v>
      </c>
      <c r="X39" s="3231">
        <f t="shared" si="12"/>
        <v>0</v>
      </c>
      <c r="Y39" s="3232">
        <f t="shared" si="13"/>
        <v>0</v>
      </c>
      <c r="Z39" s="3236">
        <f t="shared" si="14"/>
        <v>0</v>
      </c>
      <c r="AA39" s="3237">
        <f t="shared" si="15"/>
        <v>0.75</v>
      </c>
      <c r="AB39" s="3237">
        <f t="shared" si="16"/>
        <v>1.5</v>
      </c>
      <c r="AC39" s="3238">
        <f t="shared" si="17"/>
        <v>2.25</v>
      </c>
      <c r="AD39" s="3295">
        <f t="shared" si="18"/>
        <v>0</v>
      </c>
      <c r="AE39" s="3296">
        <f t="shared" si="19"/>
        <v>0</v>
      </c>
      <c r="AF39" s="3296">
        <f t="shared" si="20"/>
        <v>0</v>
      </c>
      <c r="AG39" s="3297">
        <f t="shared" si="21"/>
        <v>0</v>
      </c>
      <c r="AH39" s="3248">
        <f t="shared" si="22"/>
        <v>0</v>
      </c>
      <c r="AI39" s="3249">
        <f t="shared" si="22"/>
        <v>2.25</v>
      </c>
      <c r="AJ39" s="3249">
        <f t="shared" si="3"/>
        <v>4.5</v>
      </c>
      <c r="AK39" s="3250">
        <f t="shared" si="3"/>
        <v>6.75</v>
      </c>
      <c r="AL39" s="3309">
        <f t="shared" si="4"/>
        <v>0</v>
      </c>
      <c r="AM39" s="3298">
        <f t="shared" si="4"/>
        <v>2.25</v>
      </c>
      <c r="AN39" s="3298">
        <f t="shared" si="4"/>
        <v>4.5</v>
      </c>
      <c r="AO39" s="3319">
        <f t="shared" si="4"/>
        <v>6.75</v>
      </c>
      <c r="AP39" s="3313" t="str">
        <f t="shared" si="23"/>
        <v>La medida no afecta a la calidad del aire</v>
      </c>
      <c r="AQ39" s="3299" t="str">
        <f t="shared" si="24"/>
        <v>La medida mejora la calidad del aire</v>
      </c>
      <c r="AR39" s="3299" t="str">
        <f t="shared" si="25"/>
        <v>La medida mejora la calidad del aire</v>
      </c>
      <c r="AS39" s="3300" t="str">
        <f t="shared" si="26"/>
        <v>La medida mejora la calidad del aire</v>
      </c>
    </row>
    <row r="40" spans="2:45" ht="16.5" thickBot="1">
      <c r="B40" s="680"/>
      <c r="C40" s="3493"/>
      <c r="D40" s="3493"/>
      <c r="E40" s="3494"/>
      <c r="F40" s="3495"/>
      <c r="G40" s="3495"/>
      <c r="H40" s="3496"/>
      <c r="I40" s="3494"/>
      <c r="J40" s="3495"/>
      <c r="K40" s="3495"/>
      <c r="L40" s="3496"/>
      <c r="M40" s="3497"/>
      <c r="N40" s="3498"/>
      <c r="O40" s="3498"/>
      <c r="P40" s="3499"/>
      <c r="Q40" s="3500"/>
      <c r="R40" s="3501"/>
      <c r="S40" s="3502"/>
      <c r="T40" s="3502"/>
      <c r="U40" s="3503"/>
      <c r="V40" s="3301"/>
      <c r="W40" s="3302"/>
      <c r="X40" s="3302"/>
      <c r="Y40" s="3303"/>
      <c r="Z40" s="3304"/>
      <c r="AA40" s="3305"/>
      <c r="AB40" s="3305"/>
      <c r="AC40" s="3306"/>
      <c r="AD40" s="3335"/>
      <c r="AE40" s="3336"/>
      <c r="AF40" s="3336"/>
      <c r="AG40" s="3337"/>
      <c r="AH40" s="3338"/>
      <c r="AI40" s="3339"/>
      <c r="AJ40" s="3339"/>
      <c r="AK40" s="3340"/>
      <c r="AL40" s="3341"/>
      <c r="AM40" s="3342"/>
      <c r="AN40" s="3342"/>
      <c r="AO40" s="3342"/>
      <c r="AP40" s="3343"/>
      <c r="AQ40" s="3343"/>
      <c r="AR40" s="3343"/>
      <c r="AS40" s="3343"/>
    </row>
    <row r="41" spans="2:45" ht="16.5" thickBot="1">
      <c r="B41" s="680"/>
      <c r="C41" s="3493"/>
      <c r="D41" s="3493"/>
      <c r="E41" s="3494"/>
      <c r="F41" s="3495"/>
      <c r="G41" s="3495"/>
      <c r="H41" s="3496"/>
      <c r="I41" s="3494"/>
      <c r="J41" s="3495"/>
      <c r="K41" s="3495"/>
      <c r="L41" s="3496"/>
      <c r="M41" s="3497"/>
      <c r="N41" s="3498"/>
      <c r="O41" s="3498"/>
      <c r="P41" s="3499"/>
      <c r="Q41" s="3500"/>
      <c r="R41" s="3501"/>
      <c r="S41" s="3502"/>
      <c r="T41" s="3502"/>
      <c r="U41" s="3503"/>
      <c r="V41" s="3301"/>
      <c r="W41" s="3302"/>
      <c r="X41" s="3302"/>
      <c r="Y41" s="3303"/>
      <c r="Z41" s="3304"/>
      <c r="AA41" s="3305"/>
      <c r="AB41" s="3305"/>
      <c r="AC41" s="3306"/>
      <c r="AD41" s="3335"/>
      <c r="AE41" s="3336"/>
      <c r="AF41" s="3336"/>
      <c r="AG41" s="3337"/>
      <c r="AH41" s="3338"/>
      <c r="AI41" s="3339"/>
      <c r="AJ41" s="3339"/>
      <c r="AK41" s="3340"/>
      <c r="AL41" s="3341"/>
      <c r="AM41" s="3342"/>
      <c r="AN41" s="3342"/>
      <c r="AO41" s="3342"/>
      <c r="AP41" s="3343"/>
      <c r="AQ41" s="3343"/>
      <c r="AR41" s="3343"/>
      <c r="AS41" s="3343"/>
    </row>
    <row r="42" spans="2:45" ht="16.5" thickBot="1">
      <c r="B42" s="680"/>
      <c r="C42" s="3504"/>
      <c r="D42" s="3505"/>
      <c r="E42" s="3506" t="s">
        <v>254</v>
      </c>
      <c r="F42" s="3507">
        <v>5</v>
      </c>
      <c r="G42" s="3507"/>
      <c r="H42" s="3508"/>
      <c r="I42" s="3506" t="s">
        <v>254</v>
      </c>
      <c r="J42" s="3507">
        <v>5</v>
      </c>
      <c r="K42" s="3507"/>
      <c r="L42" s="3508"/>
      <c r="M42" s="3506" t="s">
        <v>255</v>
      </c>
      <c r="N42" s="3507">
        <f>F42*J42</f>
        <v>25</v>
      </c>
      <c r="O42" s="3507"/>
      <c r="P42" s="3506"/>
      <c r="Q42" s="3509" t="s">
        <v>254</v>
      </c>
      <c r="R42" s="3501">
        <f t="shared" ref="R42:AG42" si="31">$L$37*R10</f>
        <v>0</v>
      </c>
      <c r="S42" s="3502">
        <f t="shared" si="31"/>
        <v>0.25</v>
      </c>
      <c r="T42" s="3502">
        <f t="shared" si="31"/>
        <v>0.5</v>
      </c>
      <c r="U42" s="3503">
        <f t="shared" si="31"/>
        <v>0.75</v>
      </c>
      <c r="V42" s="3301">
        <f t="shared" si="31"/>
        <v>0</v>
      </c>
      <c r="W42" s="3302">
        <f t="shared" si="31"/>
        <v>0.25</v>
      </c>
      <c r="X42" s="3302">
        <f t="shared" si="31"/>
        <v>0.5</v>
      </c>
      <c r="Y42" s="3303">
        <f t="shared" si="31"/>
        <v>0.75</v>
      </c>
      <c r="Z42" s="3304">
        <f t="shared" si="31"/>
        <v>0</v>
      </c>
      <c r="AA42" s="3305">
        <f t="shared" si="31"/>
        <v>0.25</v>
      </c>
      <c r="AB42" s="3305">
        <f t="shared" si="31"/>
        <v>0.5</v>
      </c>
      <c r="AC42" s="3306">
        <f t="shared" si="31"/>
        <v>0.75</v>
      </c>
      <c r="AD42" s="3239">
        <f t="shared" si="31"/>
        <v>0</v>
      </c>
      <c r="AE42" s="3240">
        <f t="shared" si="31"/>
        <v>0.25</v>
      </c>
      <c r="AF42" s="3240">
        <f t="shared" si="31"/>
        <v>0.5</v>
      </c>
      <c r="AG42" s="3244">
        <f t="shared" si="31"/>
        <v>0.75</v>
      </c>
      <c r="AH42" s="3273">
        <f t="shared" si="22"/>
        <v>0</v>
      </c>
      <c r="AI42" s="3274">
        <f t="shared" si="22"/>
        <v>1</v>
      </c>
      <c r="AJ42" s="3274">
        <f t="shared" si="3"/>
        <v>2</v>
      </c>
      <c r="AK42" s="3275">
        <f t="shared" si="3"/>
        <v>3</v>
      </c>
      <c r="AL42" s="623"/>
      <c r="AM42" s="3307"/>
      <c r="AN42" s="3307"/>
      <c r="AO42" s="3307"/>
      <c r="AP42" s="623"/>
      <c r="AQ42" s="3307"/>
      <c r="AR42" s="3307"/>
      <c r="AS42" s="3307"/>
    </row>
    <row r="43" spans="2:45" ht="15" customHeight="1">
      <c r="B43" s="680"/>
      <c r="C43" s="3329" t="s">
        <v>256</v>
      </c>
      <c r="D43" s="2237"/>
      <c r="E43" s="2237"/>
      <c r="F43" s="2237"/>
      <c r="G43" s="2237"/>
      <c r="H43" s="2237"/>
      <c r="I43" s="2237"/>
      <c r="J43" s="2237"/>
      <c r="K43" s="2237"/>
      <c r="L43" s="2237"/>
      <c r="M43" s="2237"/>
      <c r="N43" s="2237"/>
      <c r="O43" s="2237"/>
      <c r="P43" s="3421"/>
      <c r="Q43" s="3421"/>
      <c r="R43" s="3421"/>
      <c r="S43" s="3421"/>
      <c r="T43" s="3421"/>
      <c r="U43" s="3421"/>
    </row>
    <row r="44" spans="2:45" ht="30.75" customHeight="1" thickBot="1">
      <c r="B44" s="680"/>
      <c r="C44" s="2237"/>
      <c r="D44" s="2237"/>
      <c r="E44" s="2237"/>
      <c r="F44" s="2237"/>
      <c r="G44" s="2237"/>
      <c r="H44" s="2237"/>
      <c r="I44" s="2237"/>
      <c r="J44" s="2237"/>
      <c r="K44" s="2237"/>
      <c r="L44" s="2237"/>
      <c r="M44" s="2237"/>
      <c r="N44" s="2237"/>
      <c r="O44" s="2237"/>
      <c r="P44" s="3421"/>
      <c r="Q44" s="3421"/>
      <c r="R44" s="3421"/>
      <c r="S44" s="3421"/>
      <c r="T44" s="3421"/>
      <c r="U44" s="3421"/>
    </row>
    <row r="45" spans="2:45" ht="81" customHeight="1">
      <c r="B45" s="680"/>
      <c r="C45" s="3892" t="s">
        <v>257</v>
      </c>
      <c r="D45" s="3523" t="s">
        <v>258</v>
      </c>
      <c r="E45" s="3889" t="s">
        <v>259</v>
      </c>
      <c r="F45" s="3886" t="s">
        <v>260</v>
      </c>
      <c r="G45" s="2237"/>
      <c r="H45" s="2237"/>
      <c r="I45" s="2237"/>
      <c r="J45" s="2237"/>
      <c r="K45" s="2237"/>
      <c r="L45" s="2237"/>
      <c r="M45" s="2237"/>
      <c r="N45" s="2237"/>
      <c r="O45" s="2237"/>
      <c r="P45" s="3421"/>
      <c r="Q45" s="3421"/>
      <c r="R45" s="3421"/>
      <c r="S45" s="3421"/>
      <c r="T45" s="3421"/>
      <c r="U45" s="3421"/>
    </row>
    <row r="46" spans="2:45" ht="81" customHeight="1">
      <c r="B46" s="680"/>
      <c r="C46" s="3893"/>
      <c r="D46" s="3524" t="s">
        <v>261</v>
      </c>
      <c r="E46" s="3890"/>
      <c r="F46" s="3887"/>
      <c r="G46" s="2237"/>
      <c r="H46" s="2237"/>
      <c r="I46" s="2237"/>
      <c r="J46" s="2237"/>
      <c r="K46" s="2237"/>
      <c r="L46" s="2237"/>
      <c r="M46" s="2237"/>
      <c r="N46" s="2237"/>
      <c r="O46" s="2237"/>
      <c r="P46" s="3421"/>
      <c r="Q46" s="3421"/>
      <c r="R46" s="3421"/>
      <c r="S46" s="3421"/>
      <c r="T46" s="3421"/>
      <c r="U46" s="3421"/>
    </row>
    <row r="47" spans="2:45" ht="81" customHeight="1">
      <c r="B47" s="680"/>
      <c r="C47" s="3893"/>
      <c r="D47" s="3524" t="s">
        <v>262</v>
      </c>
      <c r="E47" s="3890"/>
      <c r="F47" s="3887"/>
      <c r="G47" s="2237"/>
      <c r="H47" s="2237"/>
      <c r="I47" s="2237"/>
      <c r="J47" s="2237"/>
      <c r="K47" s="2237"/>
      <c r="L47" s="2237"/>
      <c r="M47" s="2237"/>
      <c r="N47" s="2237"/>
      <c r="O47" s="2237"/>
      <c r="P47" s="3421"/>
      <c r="Q47" s="3421"/>
      <c r="R47" s="3421"/>
      <c r="S47" s="3421"/>
      <c r="T47" s="3421"/>
      <c r="U47" s="3421"/>
    </row>
    <row r="48" spans="2:45" ht="81" customHeight="1">
      <c r="B48" s="680"/>
      <c r="C48" s="3893"/>
      <c r="D48" s="3524" t="s">
        <v>263</v>
      </c>
      <c r="E48" s="3890"/>
      <c r="F48" s="3887"/>
      <c r="G48" s="2237"/>
      <c r="H48" s="2237"/>
      <c r="I48" s="2237"/>
      <c r="J48" s="2237"/>
      <c r="K48" s="2237"/>
      <c r="L48" s="2237"/>
      <c r="M48" s="2237"/>
      <c r="N48" s="2237"/>
      <c r="O48" s="2237"/>
      <c r="P48" s="3421"/>
      <c r="Q48" s="3421"/>
      <c r="R48" s="3421"/>
      <c r="S48" s="3421"/>
      <c r="T48" s="3421"/>
      <c r="U48" s="3421"/>
    </row>
    <row r="49" spans="2:21" ht="81" customHeight="1">
      <c r="B49" s="680"/>
      <c r="C49" s="3893"/>
      <c r="D49" s="3524" t="s">
        <v>264</v>
      </c>
      <c r="E49" s="3890"/>
      <c r="F49" s="3887"/>
      <c r="G49" s="2237"/>
      <c r="H49" s="2237"/>
      <c r="I49" s="2237"/>
      <c r="J49" s="2237"/>
      <c r="K49" s="2237"/>
      <c r="L49" s="2237"/>
      <c r="M49" s="2237"/>
      <c r="N49" s="2237"/>
      <c r="O49" s="2237"/>
      <c r="P49" s="3421"/>
      <c r="Q49" s="3421"/>
      <c r="R49" s="3421"/>
      <c r="S49" s="3421"/>
      <c r="T49" s="3421"/>
      <c r="U49" s="3421"/>
    </row>
    <row r="50" spans="2:21" ht="81" customHeight="1" thickBot="1">
      <c r="B50" s="680"/>
      <c r="C50" s="3894"/>
      <c r="D50" s="3525" t="s">
        <v>265</v>
      </c>
      <c r="E50" s="3891"/>
      <c r="F50" s="3888"/>
      <c r="G50" s="2237"/>
      <c r="H50" s="2237"/>
      <c r="I50" s="2237"/>
      <c r="J50" s="2237"/>
      <c r="K50" s="2237"/>
      <c r="L50" s="2237"/>
      <c r="M50" s="2237"/>
      <c r="N50" s="2237"/>
      <c r="O50" s="2237"/>
      <c r="P50" s="3421"/>
      <c r="Q50" s="3421"/>
      <c r="R50" s="3421"/>
      <c r="S50" s="3421"/>
      <c r="T50" s="3421"/>
      <c r="U50" s="3421"/>
    </row>
    <row r="51" spans="2:21" ht="97.5" customHeight="1">
      <c r="B51" s="680"/>
      <c r="C51" s="3892" t="s">
        <v>266</v>
      </c>
      <c r="D51" s="3523" t="s">
        <v>267</v>
      </c>
      <c r="E51" s="3889" t="s">
        <v>268</v>
      </c>
      <c r="F51" s="3886" t="s">
        <v>260</v>
      </c>
      <c r="G51" s="2237"/>
      <c r="H51" s="2237"/>
      <c r="I51" s="2237"/>
      <c r="J51" s="2237"/>
      <c r="K51" s="2237"/>
      <c r="L51" s="2237"/>
      <c r="M51" s="2237"/>
      <c r="N51" s="2237"/>
      <c r="O51" s="2237"/>
      <c r="P51" s="3421"/>
      <c r="Q51" s="3421"/>
      <c r="R51" s="3421"/>
      <c r="S51" s="3421"/>
      <c r="T51" s="3421"/>
      <c r="U51" s="3421"/>
    </row>
    <row r="52" spans="2:21" ht="97.5" customHeight="1">
      <c r="B52" s="680"/>
      <c r="C52" s="3893"/>
      <c r="D52" s="3524" t="s">
        <v>269</v>
      </c>
      <c r="E52" s="3890"/>
      <c r="F52" s="3887"/>
      <c r="G52" s="2237"/>
      <c r="H52" s="2237"/>
      <c r="I52" s="2237"/>
      <c r="J52" s="2237"/>
      <c r="K52" s="2237"/>
      <c r="L52" s="2237"/>
      <c r="M52" s="2237"/>
      <c r="N52" s="2237"/>
      <c r="O52" s="2237"/>
      <c r="P52" s="3421"/>
      <c r="Q52" s="3421"/>
      <c r="R52" s="3421"/>
      <c r="S52" s="3421"/>
      <c r="T52" s="3421"/>
      <c r="U52" s="3421"/>
    </row>
    <row r="53" spans="2:21" ht="97.5" customHeight="1">
      <c r="B53" s="680"/>
      <c r="C53" s="3893"/>
      <c r="D53" s="3524" t="s">
        <v>270</v>
      </c>
      <c r="E53" s="3890"/>
      <c r="F53" s="3887"/>
      <c r="G53" s="2237"/>
      <c r="H53" s="2237"/>
      <c r="I53" s="2237"/>
      <c r="J53" s="2237"/>
      <c r="K53" s="2237"/>
      <c r="L53" s="2237"/>
      <c r="M53" s="2237"/>
      <c r="N53" s="2237"/>
      <c r="O53" s="2237"/>
      <c r="P53" s="3421"/>
      <c r="Q53" s="3421"/>
      <c r="R53" s="3421"/>
      <c r="S53" s="3421"/>
      <c r="T53" s="3421"/>
      <c r="U53" s="3421"/>
    </row>
    <row r="54" spans="2:21" ht="97.5" customHeight="1">
      <c r="B54" s="680"/>
      <c r="C54" s="3893"/>
      <c r="D54" s="3524" t="s">
        <v>271</v>
      </c>
      <c r="E54" s="3890"/>
      <c r="F54" s="3887"/>
      <c r="G54" s="2237"/>
      <c r="H54" s="2237"/>
      <c r="I54" s="2237"/>
      <c r="J54" s="2237"/>
      <c r="K54" s="2237"/>
      <c r="L54" s="2237"/>
      <c r="M54" s="2237"/>
      <c r="N54" s="2237"/>
      <c r="O54" s="2237"/>
      <c r="P54" s="3421"/>
      <c r="Q54" s="3421"/>
      <c r="R54" s="3421"/>
      <c r="S54" s="3421"/>
      <c r="T54" s="3421"/>
      <c r="U54" s="3421"/>
    </row>
    <row r="55" spans="2:21" ht="97.5" customHeight="1" thickBot="1">
      <c r="B55" s="680"/>
      <c r="C55" s="3894"/>
      <c r="D55" s="3526" t="s">
        <v>272</v>
      </c>
      <c r="E55" s="3891"/>
      <c r="F55" s="3888"/>
      <c r="G55" s="2237"/>
      <c r="H55" s="2237"/>
      <c r="I55" s="2237"/>
      <c r="J55" s="2237"/>
      <c r="K55" s="2237"/>
      <c r="L55" s="2237"/>
      <c r="M55" s="2237"/>
      <c r="N55" s="2237"/>
      <c r="O55" s="2237"/>
      <c r="P55" s="3421"/>
      <c r="Q55" s="3421"/>
      <c r="R55" s="3421"/>
      <c r="S55" s="3421"/>
      <c r="T55" s="3421"/>
      <c r="U55" s="3421"/>
    </row>
    <row r="56" spans="2:21" ht="59.25" customHeight="1" thickBot="1">
      <c r="B56" s="680"/>
      <c r="C56" s="3510" t="s">
        <v>273</v>
      </c>
      <c r="D56" s="3527" t="s">
        <v>274</v>
      </c>
      <c r="E56" s="3528"/>
      <c r="F56" s="3511" t="s">
        <v>260</v>
      </c>
      <c r="G56" s="2237"/>
      <c r="H56" s="2237"/>
      <c r="I56" s="2237"/>
      <c r="J56" s="2237"/>
      <c r="K56" s="2237"/>
      <c r="L56" s="2237"/>
      <c r="M56" s="2237"/>
      <c r="N56" s="2237"/>
      <c r="O56" s="2237"/>
      <c r="P56" s="3421"/>
      <c r="Q56" s="3421"/>
      <c r="R56" s="3421"/>
      <c r="S56" s="3421"/>
      <c r="T56" s="3421"/>
      <c r="U56" s="3421"/>
    </row>
    <row r="57" spans="2:21" ht="15.75">
      <c r="B57" s="680"/>
      <c r="C57" s="2237"/>
      <c r="D57" s="3529"/>
      <c r="E57" s="3529"/>
      <c r="F57" s="2237"/>
      <c r="G57" s="2237"/>
      <c r="H57" s="2237"/>
      <c r="I57" s="2237"/>
      <c r="J57" s="2237"/>
      <c r="K57" s="2237"/>
      <c r="L57" s="2237"/>
      <c r="M57" s="2237"/>
      <c r="N57" s="2237"/>
      <c r="O57" s="2237"/>
      <c r="P57" s="3421"/>
      <c r="Q57" s="3421"/>
      <c r="R57" s="3421"/>
      <c r="S57" s="3421"/>
      <c r="T57" s="3421"/>
      <c r="U57" s="3421"/>
    </row>
    <row r="58" spans="2:21" ht="15.75">
      <c r="B58" s="680"/>
      <c r="C58" s="2237"/>
      <c r="D58" s="2237"/>
      <c r="E58" s="2237"/>
      <c r="F58" s="2237"/>
      <c r="G58" s="2237"/>
      <c r="H58" s="2237"/>
      <c r="I58" s="2237"/>
      <c r="J58" s="2237"/>
      <c r="K58" s="2237"/>
      <c r="L58" s="2237"/>
      <c r="M58" s="2237"/>
      <c r="N58" s="2237"/>
      <c r="O58" s="2237"/>
      <c r="P58" s="3421"/>
      <c r="Q58" s="3421"/>
      <c r="R58" s="3421"/>
      <c r="S58" s="3421"/>
      <c r="T58" s="3421"/>
      <c r="U58" s="3421"/>
    </row>
    <row r="59" spans="2:21" ht="15.75">
      <c r="B59" s="680"/>
      <c r="C59" s="2237" t="s">
        <v>275</v>
      </c>
      <c r="D59" s="2237"/>
      <c r="E59" s="2237"/>
      <c r="F59" s="2237"/>
      <c r="G59" s="2237"/>
      <c r="H59" s="2237"/>
      <c r="I59" s="2237"/>
      <c r="J59" s="2237"/>
      <c r="K59" s="2237"/>
      <c r="L59" s="2237"/>
      <c r="M59" s="2237"/>
      <c r="N59" s="2237"/>
      <c r="O59" s="2237"/>
      <c r="P59" s="3421"/>
      <c r="Q59" s="3421"/>
      <c r="R59" s="3421"/>
      <c r="S59" s="3421"/>
      <c r="T59" s="3421"/>
      <c r="U59" s="3421"/>
    </row>
    <row r="60" spans="2:21" ht="15.75">
      <c r="B60" s="680"/>
      <c r="C60" s="2237" t="s">
        <v>276</v>
      </c>
      <c r="D60" s="2237"/>
      <c r="E60" s="2237"/>
      <c r="F60" s="2237"/>
      <c r="G60" s="2237"/>
      <c r="H60" s="2237"/>
      <c r="I60" s="2237"/>
      <c r="J60" s="2237"/>
      <c r="K60" s="2237"/>
      <c r="L60" s="2237"/>
      <c r="M60" s="2237"/>
      <c r="N60" s="2237"/>
      <c r="O60" s="2237"/>
      <c r="P60" s="3421"/>
      <c r="Q60" s="3421"/>
      <c r="R60" s="3421"/>
      <c r="S60" s="3421"/>
      <c r="T60" s="3421"/>
      <c r="U60" s="3421"/>
    </row>
    <row r="61" spans="2:21" ht="15.75">
      <c r="B61" s="680"/>
      <c r="C61" s="2237" t="s">
        <v>277</v>
      </c>
      <c r="D61" s="2237"/>
      <c r="E61" s="2237"/>
      <c r="F61" s="2237"/>
      <c r="G61" s="2237"/>
      <c r="H61" s="2237"/>
      <c r="I61" s="2237"/>
      <c r="J61" s="2237"/>
      <c r="K61" s="2237"/>
      <c r="L61" s="2237"/>
      <c r="M61" s="2237"/>
      <c r="N61" s="2237"/>
      <c r="O61" s="2237"/>
      <c r="P61" s="3421"/>
      <c r="Q61" s="3421"/>
      <c r="R61" s="3421"/>
      <c r="S61" s="3421"/>
      <c r="T61" s="3421"/>
      <c r="U61" s="3421"/>
    </row>
    <row r="62" spans="2:21" ht="15.75">
      <c r="B62" s="680"/>
      <c r="C62" s="2237" t="s">
        <v>278</v>
      </c>
      <c r="D62" s="2237"/>
      <c r="E62" s="2237"/>
      <c r="F62" s="2237"/>
      <c r="G62" s="2237"/>
      <c r="H62" s="2237"/>
      <c r="I62" s="2237"/>
      <c r="J62" s="2237"/>
      <c r="K62" s="2237"/>
      <c r="L62" s="2237"/>
      <c r="M62" s="2237"/>
      <c r="N62" s="2237"/>
      <c r="O62" s="2237"/>
      <c r="P62" s="3421"/>
      <c r="Q62" s="3421"/>
      <c r="R62" s="3421"/>
      <c r="S62" s="3421"/>
      <c r="T62" s="3421"/>
      <c r="U62" s="3421"/>
    </row>
    <row r="63" spans="2:21" ht="15" customHeight="1">
      <c r="B63" s="680"/>
      <c r="C63" s="2237"/>
      <c r="D63" s="2237"/>
      <c r="E63" s="2237"/>
      <c r="F63" s="2237"/>
      <c r="G63" s="2237"/>
      <c r="H63" s="2237"/>
      <c r="I63" s="2237"/>
      <c r="J63" s="2237"/>
      <c r="K63" s="2237"/>
      <c r="L63" s="2237"/>
      <c r="M63" s="2237"/>
      <c r="N63" s="2237"/>
      <c r="O63" s="2237"/>
      <c r="P63" s="3421"/>
      <c r="Q63" s="3421"/>
      <c r="R63" s="3421"/>
      <c r="S63" s="3421"/>
      <c r="T63" s="3421"/>
      <c r="U63" s="3421"/>
    </row>
    <row r="64" spans="2:21" ht="15" customHeight="1">
      <c r="B64" s="680"/>
      <c r="C64" s="2237"/>
      <c r="D64" s="2237"/>
      <c r="E64" s="2237"/>
      <c r="F64" s="2237"/>
      <c r="G64" s="2237"/>
      <c r="H64" s="2237"/>
      <c r="I64" s="2237"/>
      <c r="J64" s="2237"/>
      <c r="K64" s="2237"/>
      <c r="L64" s="2237"/>
      <c r="M64" s="2237"/>
      <c r="N64" s="2237"/>
      <c r="O64" s="2237"/>
      <c r="P64" s="3421"/>
      <c r="Q64" s="3421"/>
      <c r="R64" s="3421"/>
      <c r="S64" s="3421"/>
      <c r="T64" s="3421"/>
      <c r="U64" s="3421"/>
    </row>
    <row r="65" spans="2:21" ht="15" customHeight="1">
      <c r="B65" s="680"/>
      <c r="C65" s="2237"/>
      <c r="D65" s="2237"/>
      <c r="E65" s="2237"/>
      <c r="F65" s="2237"/>
      <c r="G65" s="2237"/>
      <c r="H65" s="2237"/>
      <c r="I65" s="2237"/>
      <c r="J65" s="2237"/>
      <c r="K65" s="2237"/>
      <c r="L65" s="2237"/>
      <c r="M65" s="2237"/>
      <c r="N65" s="2237"/>
      <c r="O65" s="2237"/>
      <c r="P65" s="3421"/>
      <c r="Q65" s="3421"/>
      <c r="R65" s="3421"/>
      <c r="S65" s="3421"/>
      <c r="T65" s="3421"/>
      <c r="U65" s="3421"/>
    </row>
    <row r="66" spans="2:21" ht="15" customHeight="1">
      <c r="B66" s="680"/>
      <c r="C66" s="2237"/>
      <c r="D66" s="2237"/>
      <c r="E66" s="2237"/>
      <c r="F66" s="2237"/>
      <c r="G66" s="2237"/>
      <c r="H66" s="2237"/>
      <c r="I66" s="2237"/>
      <c r="J66" s="2237"/>
      <c r="K66" s="2237"/>
      <c r="L66" s="2237"/>
      <c r="M66" s="2237"/>
      <c r="N66" s="2237"/>
      <c r="O66" s="2237"/>
      <c r="P66" s="3421"/>
      <c r="Q66" s="3421"/>
      <c r="R66" s="3421"/>
      <c r="S66" s="3421"/>
      <c r="T66" s="3421"/>
      <c r="U66" s="3421"/>
    </row>
    <row r="67" spans="2:21" ht="15" customHeight="1">
      <c r="B67" s="680"/>
      <c r="C67" s="2237"/>
      <c r="D67" s="2237"/>
      <c r="E67" s="2237"/>
      <c r="F67" s="2237"/>
      <c r="G67" s="2237"/>
      <c r="H67" s="2237"/>
      <c r="I67" s="2237"/>
      <c r="J67" s="2237"/>
      <c r="K67" s="2237"/>
      <c r="L67" s="2237"/>
      <c r="M67" s="2237"/>
      <c r="N67" s="2237"/>
      <c r="O67" s="2237"/>
      <c r="P67" s="3421"/>
      <c r="Q67" s="3421"/>
      <c r="R67" s="3421"/>
      <c r="S67" s="3421"/>
      <c r="T67" s="3421"/>
      <c r="U67" s="3421"/>
    </row>
    <row r="68" spans="2:21" ht="15" customHeight="1">
      <c r="B68" s="680"/>
      <c r="C68" s="2237"/>
      <c r="D68" s="2237"/>
      <c r="E68" s="2237"/>
      <c r="F68" s="2237"/>
      <c r="G68" s="2237"/>
      <c r="H68" s="2237"/>
      <c r="I68" s="2237"/>
      <c r="J68" s="2237"/>
      <c r="K68" s="2237"/>
      <c r="L68" s="2237"/>
      <c r="M68" s="2237"/>
      <c r="N68" s="2237"/>
      <c r="O68" s="2237"/>
      <c r="P68" s="3421"/>
      <c r="Q68" s="3421"/>
      <c r="R68" s="3421"/>
      <c r="S68" s="3421"/>
      <c r="T68" s="3421"/>
      <c r="U68" s="3421"/>
    </row>
    <row r="69" spans="2:21" ht="15" customHeight="1">
      <c r="B69" s="680"/>
      <c r="C69" s="2237"/>
      <c r="D69" s="2237"/>
      <c r="E69" s="2237"/>
      <c r="F69" s="2237"/>
      <c r="G69" s="2237"/>
      <c r="H69" s="2237"/>
      <c r="I69" s="2237"/>
      <c r="J69" s="2237"/>
      <c r="K69" s="2237"/>
      <c r="L69" s="2237"/>
      <c r="M69" s="2237"/>
      <c r="N69" s="2237"/>
      <c r="O69" s="2237"/>
      <c r="P69" s="3421"/>
      <c r="Q69" s="3421"/>
      <c r="R69" s="3421"/>
      <c r="S69" s="3421"/>
      <c r="T69" s="3421"/>
      <c r="U69" s="3421"/>
    </row>
    <row r="70" spans="2:21" ht="15" customHeight="1">
      <c r="B70" s="680"/>
      <c r="C70" s="2237"/>
      <c r="D70" s="2237"/>
      <c r="E70" s="2237"/>
      <c r="F70" s="2237"/>
      <c r="G70" s="2237"/>
      <c r="H70" s="2237"/>
      <c r="I70" s="2237"/>
      <c r="J70" s="2237"/>
      <c r="K70" s="2237"/>
      <c r="L70" s="2237"/>
      <c r="M70" s="2237"/>
      <c r="N70" s="2237"/>
      <c r="O70" s="2237"/>
      <c r="P70" s="3421"/>
      <c r="Q70" s="3421"/>
      <c r="R70" s="3421"/>
      <c r="S70" s="3421"/>
      <c r="T70" s="3421"/>
      <c r="U70" s="3421"/>
    </row>
    <row r="71" spans="2:21" ht="15" customHeight="1">
      <c r="B71" s="680"/>
      <c r="C71" s="2237"/>
      <c r="D71" s="2237"/>
      <c r="E71" s="2237"/>
      <c r="F71" s="2237"/>
      <c r="G71" s="2237"/>
      <c r="H71" s="2237"/>
      <c r="I71" s="2237"/>
      <c r="J71" s="2237"/>
      <c r="K71" s="2237"/>
      <c r="L71" s="2237"/>
      <c r="M71" s="2237"/>
      <c r="N71" s="2237"/>
      <c r="O71" s="2237"/>
      <c r="P71" s="3421"/>
      <c r="Q71" s="3421"/>
      <c r="R71" s="3421"/>
      <c r="S71" s="3421"/>
      <c r="T71" s="3421"/>
      <c r="U71" s="3421"/>
    </row>
    <row r="72" spans="2:21" ht="15" customHeight="1">
      <c r="B72" s="680"/>
      <c r="C72" s="2237"/>
      <c r="D72" s="2237"/>
      <c r="E72" s="2237"/>
      <c r="F72" s="2237"/>
      <c r="G72" s="2237"/>
      <c r="H72" s="2237"/>
      <c r="I72" s="2237"/>
      <c r="J72" s="2237"/>
      <c r="K72" s="2237"/>
      <c r="L72" s="2237"/>
      <c r="M72" s="2237"/>
      <c r="N72" s="2237"/>
      <c r="O72" s="2237"/>
      <c r="P72" s="3421"/>
      <c r="Q72" s="3421"/>
      <c r="R72" s="3421"/>
      <c r="S72" s="3421"/>
      <c r="T72" s="3421"/>
      <c r="U72" s="3421"/>
    </row>
    <row r="73" spans="2:21" ht="15" customHeight="1">
      <c r="B73" s="680"/>
      <c r="C73" s="2237"/>
      <c r="D73" s="2237"/>
      <c r="E73" s="2237"/>
      <c r="F73" s="2237"/>
      <c r="G73" s="2237"/>
      <c r="H73" s="2237"/>
      <c r="I73" s="2237"/>
      <c r="J73" s="2237"/>
      <c r="K73" s="2237"/>
      <c r="L73" s="2237"/>
      <c r="M73" s="2237"/>
      <c r="N73" s="2237"/>
      <c r="O73" s="2237"/>
      <c r="P73" s="3421"/>
      <c r="Q73" s="3421"/>
      <c r="R73" s="3421"/>
      <c r="S73" s="3421"/>
      <c r="T73" s="3421"/>
      <c r="U73" s="3421"/>
    </row>
    <row r="74" spans="2:21" ht="15" customHeight="1">
      <c r="B74" s="680"/>
      <c r="C74" s="2237"/>
      <c r="D74" s="2237"/>
      <c r="E74" s="2237"/>
      <c r="F74" s="2237"/>
      <c r="G74" s="2237"/>
      <c r="H74" s="2237"/>
      <c r="I74" s="2237"/>
      <c r="J74" s="2237"/>
      <c r="K74" s="2237"/>
      <c r="L74" s="2237"/>
      <c r="M74" s="2237"/>
      <c r="N74" s="2237"/>
      <c r="O74" s="2237"/>
      <c r="P74" s="3421"/>
      <c r="Q74" s="3421"/>
      <c r="R74" s="3421"/>
      <c r="S74" s="3421"/>
      <c r="T74" s="3421"/>
      <c r="U74" s="3421"/>
    </row>
    <row r="75" spans="2:21" ht="15" customHeight="1">
      <c r="B75" s="680"/>
      <c r="C75" s="2237"/>
      <c r="D75" s="2237"/>
      <c r="E75" s="2237"/>
      <c r="F75" s="2237"/>
      <c r="G75" s="2237"/>
      <c r="H75" s="2237"/>
      <c r="I75" s="2237"/>
      <c r="J75" s="2237"/>
      <c r="K75" s="2237"/>
      <c r="L75" s="2237"/>
      <c r="M75" s="2237"/>
      <c r="N75" s="2237"/>
      <c r="O75" s="2237"/>
      <c r="P75" s="3421"/>
      <c r="Q75" s="3421"/>
      <c r="R75" s="3421"/>
      <c r="S75" s="3421"/>
      <c r="T75" s="3421"/>
      <c r="U75" s="3421"/>
    </row>
    <row r="76" spans="2:21" ht="15" customHeight="1">
      <c r="B76" s="680"/>
      <c r="C76" s="2237"/>
      <c r="D76" s="2237"/>
      <c r="E76" s="2237"/>
      <c r="F76" s="2237"/>
      <c r="G76" s="2237"/>
      <c r="H76" s="2237"/>
      <c r="I76" s="2237"/>
      <c r="J76" s="2237"/>
      <c r="K76" s="2237"/>
      <c r="L76" s="2237"/>
      <c r="M76" s="2237"/>
      <c r="N76" s="2237"/>
      <c r="O76" s="2237"/>
      <c r="P76" s="3421"/>
      <c r="Q76" s="3421"/>
      <c r="R76" s="3421"/>
      <c r="S76" s="3421"/>
      <c r="T76" s="3421"/>
      <c r="U76" s="3421"/>
    </row>
    <row r="77" spans="2:21" ht="15" customHeight="1">
      <c r="B77" s="680"/>
      <c r="C77" s="2237"/>
      <c r="D77" s="2237"/>
      <c r="E77" s="2237"/>
      <c r="F77" s="2237"/>
      <c r="G77" s="2237"/>
      <c r="H77" s="2237"/>
      <c r="I77" s="2237"/>
      <c r="J77" s="2237"/>
      <c r="K77" s="2237"/>
      <c r="L77" s="2237"/>
      <c r="M77" s="2237"/>
      <c r="N77" s="2237"/>
      <c r="O77" s="2237"/>
      <c r="P77" s="3421"/>
      <c r="Q77" s="3421"/>
      <c r="R77" s="3421"/>
      <c r="S77" s="3421"/>
      <c r="T77" s="3421"/>
      <c r="U77" s="3421"/>
    </row>
    <row r="78" spans="2:21" ht="15" customHeight="1">
      <c r="B78" s="680"/>
      <c r="C78" s="2237"/>
      <c r="D78" s="2237"/>
      <c r="E78" s="2237"/>
      <c r="F78" s="2237"/>
      <c r="G78" s="2237"/>
      <c r="H78" s="2237"/>
      <c r="I78" s="2237"/>
      <c r="J78" s="2237"/>
      <c r="K78" s="2237"/>
      <c r="L78" s="2237"/>
      <c r="M78" s="2237"/>
      <c r="N78" s="2237"/>
      <c r="O78" s="2237"/>
      <c r="P78" s="3421"/>
      <c r="Q78" s="3421"/>
      <c r="R78" s="3421"/>
      <c r="S78" s="3421"/>
      <c r="T78" s="3421"/>
      <c r="U78" s="3421"/>
    </row>
    <row r="79" spans="2:21" ht="15" customHeight="1">
      <c r="B79" s="680"/>
      <c r="C79" s="2237"/>
      <c r="D79" s="2237"/>
      <c r="E79" s="2237"/>
      <c r="F79" s="2237"/>
      <c r="G79" s="2237"/>
      <c r="H79" s="2237"/>
      <c r="I79" s="2237"/>
      <c r="J79" s="2237"/>
      <c r="K79" s="2237"/>
      <c r="L79" s="2237"/>
      <c r="M79" s="2237"/>
      <c r="N79" s="2237"/>
      <c r="O79" s="2237"/>
      <c r="P79" s="3421"/>
      <c r="Q79" s="3421"/>
      <c r="R79" s="3421"/>
      <c r="S79" s="3421"/>
      <c r="T79" s="3421"/>
      <c r="U79" s="3421"/>
    </row>
    <row r="80" spans="2:21" ht="15" customHeight="1">
      <c r="B80" s="680"/>
      <c r="C80" s="2237"/>
      <c r="D80" s="2237"/>
      <c r="E80" s="2237"/>
      <c r="F80" s="2237"/>
      <c r="G80" s="2237"/>
      <c r="H80" s="2237"/>
      <c r="I80" s="2237"/>
      <c r="J80" s="2237"/>
      <c r="K80" s="2237"/>
      <c r="L80" s="2237"/>
      <c r="M80" s="2237"/>
      <c r="N80" s="2237"/>
      <c r="O80" s="2237"/>
      <c r="P80" s="3421"/>
      <c r="Q80" s="3421"/>
      <c r="R80" s="3421"/>
      <c r="S80" s="3421"/>
      <c r="T80" s="3421"/>
      <c r="U80" s="3421"/>
    </row>
    <row r="81" spans="2:21" ht="15" customHeight="1">
      <c r="B81" s="680"/>
      <c r="C81" s="2237"/>
      <c r="D81" s="2237"/>
      <c r="E81" s="2237"/>
      <c r="F81" s="2237"/>
      <c r="G81" s="2237"/>
      <c r="H81" s="2237"/>
      <c r="I81" s="2237"/>
      <c r="J81" s="2237"/>
      <c r="K81" s="2237"/>
      <c r="L81" s="2237"/>
      <c r="M81" s="2237"/>
      <c r="N81" s="2237"/>
      <c r="O81" s="2237"/>
      <c r="P81" s="3421"/>
      <c r="Q81" s="3421"/>
      <c r="R81" s="3421"/>
      <c r="S81" s="3421"/>
      <c r="T81" s="3421"/>
      <c r="U81" s="3421"/>
    </row>
    <row r="82" spans="2:21" ht="15" customHeight="1">
      <c r="B82" s="680"/>
      <c r="C82" s="2237"/>
      <c r="D82" s="2237"/>
      <c r="E82" s="2237"/>
      <c r="F82" s="2237"/>
      <c r="G82" s="2237"/>
      <c r="H82" s="2237"/>
      <c r="I82" s="2237"/>
      <c r="J82" s="2237"/>
      <c r="K82" s="2237"/>
      <c r="L82" s="2237"/>
      <c r="M82" s="2237"/>
      <c r="N82" s="2237"/>
      <c r="O82" s="2237"/>
      <c r="P82" s="3421"/>
      <c r="Q82" s="3421"/>
      <c r="R82" s="3421"/>
      <c r="S82" s="3421"/>
      <c r="T82" s="3421"/>
      <c r="U82" s="3421"/>
    </row>
    <row r="83" spans="2:21" ht="15" customHeight="1">
      <c r="B83" s="680"/>
      <c r="C83" s="2237"/>
      <c r="D83" s="2237"/>
      <c r="E83" s="2237"/>
      <c r="F83" s="2237"/>
      <c r="G83" s="2237"/>
      <c r="H83" s="2237"/>
      <c r="I83" s="2237"/>
      <c r="J83" s="2237"/>
      <c r="K83" s="2237"/>
      <c r="L83" s="2237"/>
      <c r="M83" s="2237"/>
      <c r="N83" s="2237"/>
      <c r="O83" s="2237"/>
      <c r="P83" s="3421"/>
      <c r="Q83" s="3421"/>
      <c r="R83" s="3421"/>
      <c r="S83" s="3421"/>
      <c r="T83" s="3421"/>
      <c r="U83" s="3421"/>
    </row>
    <row r="84" spans="2:21" ht="15" customHeight="1">
      <c r="B84" s="680"/>
      <c r="C84" s="2237"/>
      <c r="D84" s="2237"/>
      <c r="E84" s="2237"/>
      <c r="F84" s="2237"/>
      <c r="G84" s="2237"/>
      <c r="H84" s="2237"/>
      <c r="I84" s="2237"/>
      <c r="J84" s="2237"/>
      <c r="K84" s="2237"/>
      <c r="L84" s="2237"/>
      <c r="M84" s="2237"/>
      <c r="N84" s="2237"/>
      <c r="O84" s="2237"/>
      <c r="P84" s="3421"/>
      <c r="Q84" s="3421"/>
      <c r="R84" s="3421"/>
      <c r="S84" s="3421"/>
      <c r="T84" s="3421"/>
      <c r="U84" s="3421"/>
    </row>
    <row r="85" spans="2:21" ht="15" customHeight="1">
      <c r="B85" s="680"/>
      <c r="C85" s="2237"/>
      <c r="D85" s="2237"/>
      <c r="E85" s="2237"/>
      <c r="F85" s="2237"/>
      <c r="G85" s="2237"/>
      <c r="H85" s="2237"/>
      <c r="I85" s="2237"/>
      <c r="J85" s="2237"/>
      <c r="K85" s="2237"/>
      <c r="L85" s="2237"/>
      <c r="M85" s="2237"/>
      <c r="N85" s="2237"/>
      <c r="O85" s="2237"/>
      <c r="P85" s="3421"/>
      <c r="Q85" s="3421"/>
      <c r="R85" s="3421"/>
      <c r="S85" s="3421"/>
      <c r="T85" s="3421"/>
      <c r="U85" s="3421"/>
    </row>
    <row r="86" spans="2:21" ht="15" customHeight="1">
      <c r="B86" s="680"/>
      <c r="C86" s="2237"/>
      <c r="D86" s="2237"/>
      <c r="E86" s="2237"/>
      <c r="F86" s="2237"/>
      <c r="G86" s="2237"/>
      <c r="H86" s="2237"/>
      <c r="I86" s="2237"/>
      <c r="J86" s="2237"/>
      <c r="K86" s="2237"/>
      <c r="L86" s="2237"/>
      <c r="M86" s="2237"/>
      <c r="N86" s="2237"/>
      <c r="O86" s="2237"/>
      <c r="P86" s="3421"/>
      <c r="Q86" s="3421"/>
      <c r="R86" s="3421"/>
      <c r="S86" s="3421"/>
      <c r="T86" s="3421"/>
      <c r="U86" s="3421"/>
    </row>
    <row r="87" spans="2:21" ht="15" customHeight="1">
      <c r="B87" s="680"/>
      <c r="C87" s="2237"/>
      <c r="D87" s="2237"/>
      <c r="E87" s="2237"/>
      <c r="F87" s="2237"/>
      <c r="G87" s="2237"/>
      <c r="H87" s="2237"/>
      <c r="I87" s="2237"/>
      <c r="J87" s="2237"/>
      <c r="K87" s="2237"/>
      <c r="L87" s="2237"/>
      <c r="M87" s="2237"/>
      <c r="N87" s="2237"/>
      <c r="O87" s="2237"/>
      <c r="P87" s="3421"/>
      <c r="Q87" s="3421"/>
      <c r="R87" s="3421"/>
      <c r="S87" s="3421"/>
      <c r="T87" s="3421"/>
      <c r="U87" s="3421"/>
    </row>
    <row r="88" spans="2:21" ht="15" customHeight="1">
      <c r="B88" s="680"/>
      <c r="C88" s="2237"/>
      <c r="D88" s="2237"/>
      <c r="E88" s="2237"/>
      <c r="F88" s="2237"/>
      <c r="G88" s="2237"/>
      <c r="H88" s="2237"/>
      <c r="I88" s="2237"/>
      <c r="J88" s="2237"/>
      <c r="K88" s="2237"/>
      <c r="L88" s="2237"/>
      <c r="M88" s="2237"/>
      <c r="N88" s="2237"/>
      <c r="O88" s="2237"/>
      <c r="P88" s="3421"/>
      <c r="Q88" s="3421"/>
      <c r="R88" s="3421"/>
      <c r="S88" s="3421"/>
      <c r="T88" s="3421"/>
      <c r="U88" s="3421"/>
    </row>
    <row r="89" spans="2:21" ht="15" customHeight="1">
      <c r="B89" s="680"/>
      <c r="C89" s="2237"/>
      <c r="D89" s="2237"/>
      <c r="E89" s="2237"/>
      <c r="F89" s="2237"/>
      <c r="G89" s="2237"/>
      <c r="H89" s="2237"/>
      <c r="I89" s="2237"/>
      <c r="J89" s="2237"/>
      <c r="K89" s="2237"/>
      <c r="L89" s="2237"/>
      <c r="M89" s="2237"/>
      <c r="N89" s="2237"/>
      <c r="O89" s="2237"/>
      <c r="P89" s="3421"/>
      <c r="Q89" s="3421"/>
      <c r="R89" s="3421"/>
      <c r="S89" s="3421"/>
      <c r="T89" s="3421"/>
      <c r="U89" s="3421"/>
    </row>
    <row r="90" spans="2:21" ht="15" customHeight="1">
      <c r="B90" s="680"/>
      <c r="C90" s="2237"/>
      <c r="D90" s="2237"/>
      <c r="E90" s="2237"/>
      <c r="F90" s="2237"/>
      <c r="G90" s="2237"/>
      <c r="H90" s="2237"/>
      <c r="I90" s="2237"/>
      <c r="J90" s="2237"/>
      <c r="K90" s="2237"/>
      <c r="L90" s="2237"/>
      <c r="M90" s="2237"/>
      <c r="N90" s="2237"/>
      <c r="O90" s="2237"/>
      <c r="P90" s="3421"/>
      <c r="Q90" s="3421"/>
      <c r="R90" s="3421"/>
      <c r="S90" s="3421"/>
      <c r="T90" s="3421"/>
      <c r="U90" s="3421"/>
    </row>
    <row r="91" spans="2:21" ht="15" customHeight="1">
      <c r="B91" s="680"/>
      <c r="C91" s="2237"/>
      <c r="D91" s="2237"/>
      <c r="E91" s="2237"/>
      <c r="F91" s="2237"/>
      <c r="G91" s="2237"/>
      <c r="H91" s="2237"/>
      <c r="I91" s="2237"/>
      <c r="J91" s="2237"/>
      <c r="K91" s="2237"/>
      <c r="L91" s="2237"/>
      <c r="M91" s="2237"/>
      <c r="N91" s="2237"/>
      <c r="O91" s="2237"/>
      <c r="P91" s="3421"/>
      <c r="Q91" s="3421"/>
      <c r="R91" s="3421"/>
      <c r="S91" s="3421"/>
      <c r="T91" s="3421"/>
      <c r="U91" s="3421"/>
    </row>
    <row r="92" spans="2:21" ht="15" customHeight="1">
      <c r="B92" s="680"/>
      <c r="C92" s="2237"/>
      <c r="D92" s="2237"/>
      <c r="E92" s="2237"/>
      <c r="F92" s="2237"/>
      <c r="G92" s="2237"/>
      <c r="H92" s="2237"/>
      <c r="I92" s="2237"/>
      <c r="J92" s="2237"/>
      <c r="K92" s="2237"/>
      <c r="L92" s="2237"/>
      <c r="M92" s="2237"/>
      <c r="N92" s="2237"/>
      <c r="O92" s="2237"/>
      <c r="P92" s="3421"/>
      <c r="Q92" s="3421"/>
      <c r="R92" s="3421"/>
      <c r="S92" s="3421"/>
      <c r="T92" s="3421"/>
      <c r="U92" s="3421"/>
    </row>
    <row r="93" spans="2:21" ht="15" customHeight="1">
      <c r="B93" s="680"/>
      <c r="C93" s="2237"/>
      <c r="D93" s="2237"/>
      <c r="E93" s="2237"/>
      <c r="F93" s="2237"/>
      <c r="G93" s="2237"/>
      <c r="H93" s="2237"/>
      <c r="I93" s="2237"/>
      <c r="J93" s="2237"/>
      <c r="K93" s="2237"/>
      <c r="L93" s="2237"/>
      <c r="M93" s="2237"/>
      <c r="N93" s="2237"/>
      <c r="O93" s="2237"/>
      <c r="P93" s="3421"/>
      <c r="Q93" s="3421"/>
      <c r="R93" s="3421"/>
      <c r="S93" s="3421"/>
      <c r="T93" s="3421"/>
      <c r="U93" s="3421"/>
    </row>
    <row r="94" spans="2:21" ht="15" customHeight="1">
      <c r="B94" s="680"/>
      <c r="C94" s="2237"/>
      <c r="D94" s="2237"/>
      <c r="E94" s="2237"/>
      <c r="F94" s="2237"/>
      <c r="G94" s="2237"/>
      <c r="H94" s="2237"/>
      <c r="I94" s="2237"/>
      <c r="J94" s="2237"/>
      <c r="K94" s="2237"/>
      <c r="L94" s="2237"/>
      <c r="M94" s="2237"/>
      <c r="N94" s="2237"/>
      <c r="O94" s="2237"/>
      <c r="P94" s="3421"/>
      <c r="Q94" s="3421"/>
      <c r="R94" s="3421"/>
      <c r="S94" s="3421"/>
      <c r="T94" s="3421"/>
      <c r="U94" s="3421"/>
    </row>
    <row r="95" spans="2:21" ht="15" customHeight="1">
      <c r="B95" s="680"/>
      <c r="C95" s="2237"/>
      <c r="D95" s="2237"/>
      <c r="E95" s="2237"/>
      <c r="F95" s="2237"/>
      <c r="G95" s="2237"/>
      <c r="H95" s="2237"/>
      <c r="I95" s="2237"/>
      <c r="J95" s="2237"/>
      <c r="K95" s="2237"/>
      <c r="L95" s="2237"/>
      <c r="M95" s="2237"/>
      <c r="N95" s="2237"/>
      <c r="O95" s="2237"/>
      <c r="P95" s="3421"/>
      <c r="Q95" s="3421"/>
      <c r="R95" s="3421"/>
      <c r="S95" s="3421"/>
      <c r="T95" s="3421"/>
      <c r="U95" s="3421"/>
    </row>
    <row r="96" spans="2:21" ht="15" customHeight="1">
      <c r="B96" s="680"/>
      <c r="C96" s="2237"/>
      <c r="D96" s="2237"/>
      <c r="E96" s="2237"/>
      <c r="F96" s="2237"/>
      <c r="G96" s="2237"/>
      <c r="H96" s="2237"/>
      <c r="I96" s="2237"/>
      <c r="J96" s="2237"/>
      <c r="K96" s="2237"/>
      <c r="L96" s="2237"/>
      <c r="M96" s="2237"/>
      <c r="N96" s="2237"/>
      <c r="O96" s="2237"/>
      <c r="P96" s="3421"/>
      <c r="Q96" s="3421"/>
      <c r="R96" s="3421"/>
      <c r="S96" s="3421"/>
      <c r="T96" s="3421"/>
      <c r="U96" s="3421"/>
    </row>
    <row r="97" spans="2:21" ht="15" customHeight="1">
      <c r="B97" s="680"/>
      <c r="C97" s="2237"/>
      <c r="D97" s="2237"/>
      <c r="E97" s="2237"/>
      <c r="F97" s="2237"/>
      <c r="G97" s="2237"/>
      <c r="H97" s="2237"/>
      <c r="I97" s="2237"/>
      <c r="J97" s="2237"/>
      <c r="K97" s="2237"/>
      <c r="L97" s="2237"/>
      <c r="M97" s="2237"/>
      <c r="N97" s="2237"/>
      <c r="O97" s="2237"/>
      <c r="P97" s="3421"/>
      <c r="Q97" s="3421"/>
      <c r="R97" s="3421"/>
      <c r="S97" s="3421"/>
      <c r="T97" s="3421"/>
      <c r="U97" s="3421"/>
    </row>
    <row r="98" spans="2:21" ht="15" customHeight="1">
      <c r="B98" s="680"/>
      <c r="C98" s="2237"/>
      <c r="D98" s="2237"/>
      <c r="E98" s="2237"/>
      <c r="F98" s="2237"/>
      <c r="G98" s="2237"/>
      <c r="H98" s="2237"/>
      <c r="I98" s="2237"/>
      <c r="J98" s="2237"/>
      <c r="K98" s="2237"/>
      <c r="L98" s="2237"/>
      <c r="M98" s="2237"/>
      <c r="N98" s="2237"/>
      <c r="O98" s="2237"/>
      <c r="P98" s="3421"/>
      <c r="Q98" s="3421"/>
      <c r="R98" s="3421"/>
      <c r="S98" s="3421"/>
      <c r="T98" s="3421"/>
      <c r="U98" s="3421"/>
    </row>
    <row r="99" spans="2:21" ht="15" customHeight="1">
      <c r="B99" s="680"/>
      <c r="C99" s="2237"/>
      <c r="D99" s="2237"/>
      <c r="E99" s="2237"/>
      <c r="F99" s="2237"/>
      <c r="G99" s="2237"/>
      <c r="H99" s="2237"/>
      <c r="I99" s="2237"/>
      <c r="J99" s="2237"/>
      <c r="K99" s="2237"/>
      <c r="L99" s="2237"/>
      <c r="M99" s="2237"/>
      <c r="N99" s="2237"/>
      <c r="O99" s="2237"/>
      <c r="P99" s="3421"/>
      <c r="Q99" s="3421"/>
      <c r="R99" s="3421"/>
      <c r="S99" s="3421"/>
      <c r="T99" s="3421"/>
      <c r="U99" s="3421"/>
    </row>
    <row r="100" spans="2:21" ht="15" customHeight="1">
      <c r="B100" s="680"/>
      <c r="C100" s="2237"/>
      <c r="D100" s="2237"/>
      <c r="E100" s="2237"/>
      <c r="F100" s="2237"/>
      <c r="G100" s="2237"/>
      <c r="H100" s="2237"/>
      <c r="I100" s="2237"/>
      <c r="J100" s="2237"/>
      <c r="K100" s="2237"/>
      <c r="L100" s="2237"/>
      <c r="M100" s="2237"/>
      <c r="N100" s="2237"/>
      <c r="O100" s="2237"/>
      <c r="P100" s="3421"/>
      <c r="Q100" s="3421"/>
      <c r="R100" s="3421"/>
      <c r="S100" s="3421"/>
      <c r="T100" s="3421"/>
      <c r="U100" s="3421"/>
    </row>
    <row r="101" spans="2:21" ht="15" customHeight="1">
      <c r="B101" s="680"/>
      <c r="C101" s="2237"/>
      <c r="D101" s="2237"/>
      <c r="E101" s="2237"/>
      <c r="F101" s="2237"/>
      <c r="G101" s="2237"/>
      <c r="H101" s="2237"/>
      <c r="I101" s="2237"/>
      <c r="J101" s="2237"/>
      <c r="K101" s="2237"/>
      <c r="L101" s="2237"/>
      <c r="M101" s="2237"/>
      <c r="N101" s="2237"/>
      <c r="O101" s="2237"/>
      <c r="P101" s="3421"/>
      <c r="Q101" s="3421"/>
      <c r="R101" s="3421"/>
      <c r="S101" s="3421"/>
      <c r="T101" s="3421"/>
      <c r="U101" s="3421"/>
    </row>
    <row r="102" spans="2:21" ht="15" customHeight="1">
      <c r="B102" s="680"/>
      <c r="C102" s="2237"/>
      <c r="D102" s="2237"/>
      <c r="E102" s="2237"/>
      <c r="F102" s="2237"/>
      <c r="G102" s="2237"/>
      <c r="H102" s="2237"/>
      <c r="I102" s="2237"/>
      <c r="J102" s="2237"/>
      <c r="K102" s="2237"/>
      <c r="L102" s="2237"/>
      <c r="M102" s="2237"/>
      <c r="N102" s="2237"/>
      <c r="O102" s="2237"/>
      <c r="P102" s="3421"/>
      <c r="Q102" s="3421"/>
      <c r="R102" s="3421"/>
      <c r="S102" s="3421"/>
      <c r="T102" s="3421"/>
      <c r="U102" s="3421"/>
    </row>
    <row r="103" spans="2:21" ht="15" customHeight="1">
      <c r="B103" s="680"/>
      <c r="C103" s="2237"/>
      <c r="D103" s="2237"/>
      <c r="E103" s="2237"/>
      <c r="F103" s="2237"/>
      <c r="G103" s="2237"/>
      <c r="H103" s="2237"/>
      <c r="I103" s="2237"/>
      <c r="J103" s="2237"/>
      <c r="K103" s="2237"/>
      <c r="L103" s="2237"/>
      <c r="M103" s="2237"/>
      <c r="N103" s="2237"/>
      <c r="O103" s="2237"/>
      <c r="P103" s="3421"/>
      <c r="Q103" s="3421"/>
      <c r="R103" s="3421"/>
      <c r="S103" s="3421"/>
      <c r="T103" s="3421"/>
      <c r="U103" s="3421"/>
    </row>
    <row r="104" spans="2:21" ht="15" customHeight="1">
      <c r="B104" s="680"/>
      <c r="C104" s="2237"/>
      <c r="D104" s="2237"/>
      <c r="E104" s="2237"/>
      <c r="F104" s="2237"/>
      <c r="G104" s="2237"/>
      <c r="H104" s="2237"/>
      <c r="I104" s="2237"/>
      <c r="J104" s="2237"/>
      <c r="K104" s="2237"/>
      <c r="L104" s="2237"/>
      <c r="M104" s="2237"/>
      <c r="N104" s="2237"/>
      <c r="O104" s="2237"/>
      <c r="P104" s="3421"/>
      <c r="Q104" s="3421"/>
      <c r="R104" s="3421"/>
      <c r="S104" s="3421"/>
      <c r="T104" s="3421"/>
      <c r="U104" s="3421"/>
    </row>
    <row r="105" spans="2:21" ht="15" customHeight="1">
      <c r="B105" s="680"/>
      <c r="C105" s="2237"/>
      <c r="D105" s="2237"/>
      <c r="E105" s="2237"/>
      <c r="F105" s="2237"/>
      <c r="G105" s="2237"/>
      <c r="H105" s="2237"/>
      <c r="I105" s="2237"/>
      <c r="J105" s="2237"/>
      <c r="K105" s="2237"/>
      <c r="L105" s="2237"/>
      <c r="M105" s="2237"/>
      <c r="N105" s="2237"/>
      <c r="O105" s="2237"/>
      <c r="P105" s="3421"/>
      <c r="Q105" s="3421"/>
      <c r="R105" s="3421"/>
      <c r="S105" s="3421"/>
      <c r="T105" s="3421"/>
      <c r="U105" s="3421"/>
    </row>
    <row r="106" spans="2:21" ht="15" customHeight="1">
      <c r="B106" s="680"/>
      <c r="C106" s="2237"/>
      <c r="D106" s="2237"/>
      <c r="E106" s="2237"/>
      <c r="F106" s="2237"/>
      <c r="G106" s="2237"/>
      <c r="H106" s="2237"/>
      <c r="I106" s="2237"/>
      <c r="J106" s="2237"/>
      <c r="K106" s="2237"/>
      <c r="L106" s="2237"/>
      <c r="M106" s="2237"/>
      <c r="N106" s="2237"/>
      <c r="O106" s="2237"/>
      <c r="P106" s="3421"/>
      <c r="Q106" s="3421"/>
      <c r="R106" s="3421"/>
      <c r="S106" s="3421"/>
      <c r="T106" s="3421"/>
      <c r="U106" s="3421"/>
    </row>
    <row r="107" spans="2:21" ht="15" customHeight="1">
      <c r="B107" s="680"/>
      <c r="C107" s="2237"/>
      <c r="D107" s="2237"/>
      <c r="E107" s="2237"/>
      <c r="F107" s="2237"/>
      <c r="G107" s="2237"/>
      <c r="H107" s="2237"/>
      <c r="I107" s="2237"/>
      <c r="J107" s="2237"/>
      <c r="K107" s="2237"/>
      <c r="L107" s="2237"/>
      <c r="M107" s="2237"/>
      <c r="N107" s="2237"/>
      <c r="O107" s="2237"/>
      <c r="P107" s="3421"/>
      <c r="Q107" s="3421"/>
      <c r="R107" s="3421"/>
      <c r="S107" s="3421"/>
      <c r="T107" s="3421"/>
      <c r="U107" s="3421"/>
    </row>
    <row r="108" spans="2:21" ht="15" customHeight="1">
      <c r="B108" s="680"/>
      <c r="C108" s="2237"/>
      <c r="D108" s="2237"/>
      <c r="E108" s="2237"/>
      <c r="F108" s="2237"/>
      <c r="G108" s="2237"/>
      <c r="H108" s="2237"/>
      <c r="I108" s="2237"/>
      <c r="J108" s="2237"/>
      <c r="K108" s="2237"/>
      <c r="L108" s="2237"/>
      <c r="M108" s="2237"/>
      <c r="N108" s="2237"/>
      <c r="O108" s="2237"/>
      <c r="P108" s="3421"/>
      <c r="Q108" s="3421"/>
      <c r="R108" s="3421"/>
      <c r="S108" s="3421"/>
      <c r="T108" s="3421"/>
      <c r="U108" s="3421"/>
    </row>
    <row r="109" spans="2:21" ht="15" customHeight="1">
      <c r="B109" s="680"/>
      <c r="C109" s="2237"/>
      <c r="D109" s="2237"/>
      <c r="E109" s="2237"/>
      <c r="F109" s="2237"/>
      <c r="G109" s="2237"/>
      <c r="H109" s="2237"/>
      <c r="I109" s="2237"/>
      <c r="J109" s="2237"/>
      <c r="K109" s="2237"/>
      <c r="L109" s="2237"/>
      <c r="M109" s="2237"/>
      <c r="N109" s="2237"/>
      <c r="O109" s="2237"/>
      <c r="P109" s="3421"/>
      <c r="Q109" s="3421"/>
      <c r="R109" s="3421"/>
      <c r="S109" s="3421"/>
      <c r="T109" s="3421"/>
      <c r="U109" s="3421"/>
    </row>
    <row r="110" spans="2:21" ht="15" customHeight="1">
      <c r="B110" s="680"/>
      <c r="C110" s="2237"/>
      <c r="D110" s="2237"/>
      <c r="E110" s="2237"/>
      <c r="F110" s="2237"/>
      <c r="G110" s="2237"/>
      <c r="H110" s="2237"/>
      <c r="I110" s="2237"/>
      <c r="J110" s="2237"/>
      <c r="K110" s="2237"/>
      <c r="L110" s="2237"/>
      <c r="M110" s="2237"/>
      <c r="N110" s="2237"/>
      <c r="O110" s="2237"/>
      <c r="P110" s="3421"/>
      <c r="Q110" s="3421"/>
      <c r="R110" s="3421"/>
      <c r="S110" s="3421"/>
      <c r="T110" s="3421"/>
      <c r="U110" s="3421"/>
    </row>
    <row r="111" spans="2:21" ht="15" customHeight="1">
      <c r="B111" s="680"/>
      <c r="C111" s="2237"/>
      <c r="D111" s="2237"/>
      <c r="E111" s="2237"/>
      <c r="F111" s="2237"/>
      <c r="G111" s="2237"/>
      <c r="H111" s="2237"/>
      <c r="I111" s="2237"/>
      <c r="J111" s="2237"/>
      <c r="K111" s="2237"/>
      <c r="L111" s="2237"/>
      <c r="M111" s="2237"/>
      <c r="N111" s="2237"/>
      <c r="O111" s="2237"/>
      <c r="P111" s="3421"/>
      <c r="Q111" s="3421"/>
      <c r="R111" s="3421"/>
      <c r="S111" s="3421"/>
      <c r="T111" s="3421"/>
      <c r="U111" s="3421"/>
    </row>
    <row r="112" spans="2:21" ht="15" customHeight="1">
      <c r="B112" s="680"/>
      <c r="C112" s="2237"/>
      <c r="D112" s="2237"/>
      <c r="E112" s="2237"/>
      <c r="F112" s="2237"/>
      <c r="G112" s="2237"/>
      <c r="H112" s="2237"/>
      <c r="I112" s="2237"/>
      <c r="J112" s="2237"/>
      <c r="K112" s="2237"/>
      <c r="L112" s="2237"/>
      <c r="M112" s="2237"/>
      <c r="N112" s="2237"/>
      <c r="O112" s="2237"/>
      <c r="P112" s="3421"/>
      <c r="Q112" s="3421"/>
      <c r="R112" s="3421"/>
      <c r="S112" s="3421"/>
      <c r="T112" s="3421"/>
      <c r="U112" s="3421"/>
    </row>
    <row r="113" spans="2:21" ht="15" customHeight="1">
      <c r="B113" s="680"/>
      <c r="C113" s="2237"/>
      <c r="D113" s="2237"/>
      <c r="E113" s="2237"/>
      <c r="F113" s="2237"/>
      <c r="G113" s="2237"/>
      <c r="H113" s="2237"/>
      <c r="I113" s="2237"/>
      <c r="J113" s="2237"/>
      <c r="K113" s="2237"/>
      <c r="L113" s="2237"/>
      <c r="M113" s="2237"/>
      <c r="N113" s="2237"/>
      <c r="O113" s="2237"/>
      <c r="P113" s="3421"/>
      <c r="Q113" s="3421"/>
      <c r="R113" s="3421"/>
      <c r="S113" s="3421"/>
      <c r="T113" s="3421"/>
      <c r="U113" s="3421"/>
    </row>
    <row r="114" spans="2:21" ht="15" customHeight="1">
      <c r="B114" s="680"/>
      <c r="C114" s="2237"/>
      <c r="D114" s="2237"/>
      <c r="E114" s="2237"/>
      <c r="F114" s="2237"/>
      <c r="G114" s="2237"/>
      <c r="H114" s="2237"/>
      <c r="I114" s="2237"/>
      <c r="J114" s="2237"/>
      <c r="K114" s="2237"/>
      <c r="L114" s="2237"/>
      <c r="M114" s="2237"/>
      <c r="N114" s="2237"/>
      <c r="O114" s="2237"/>
      <c r="P114" s="3421"/>
      <c r="Q114" s="3421"/>
      <c r="R114" s="3421"/>
      <c r="S114" s="3421"/>
      <c r="T114" s="3421"/>
      <c r="U114" s="3421"/>
    </row>
    <row r="115" spans="2:21" ht="15" customHeight="1">
      <c r="B115" s="680"/>
      <c r="C115" s="2237"/>
      <c r="D115" s="2237"/>
      <c r="E115" s="2237"/>
      <c r="F115" s="2237"/>
      <c r="G115" s="2237"/>
      <c r="H115" s="2237"/>
      <c r="I115" s="2237"/>
      <c r="J115" s="2237"/>
      <c r="K115" s="2237"/>
      <c r="L115" s="2237"/>
      <c r="M115" s="2237"/>
      <c r="N115" s="2237"/>
      <c r="O115" s="2237"/>
      <c r="P115" s="3421"/>
      <c r="Q115" s="3421"/>
      <c r="R115" s="3421"/>
      <c r="S115" s="3421"/>
      <c r="T115" s="3421"/>
      <c r="U115" s="3421"/>
    </row>
    <row r="116" spans="2:21" ht="15" customHeight="1">
      <c r="B116" s="680"/>
      <c r="C116" s="2237"/>
      <c r="D116" s="2237"/>
      <c r="E116" s="2237"/>
      <c r="F116" s="2237"/>
      <c r="G116" s="2237"/>
      <c r="H116" s="2237"/>
      <c r="I116" s="2237"/>
      <c r="J116" s="2237"/>
      <c r="K116" s="2237"/>
      <c r="L116" s="2237"/>
      <c r="M116" s="2237"/>
      <c r="N116" s="2237"/>
      <c r="O116" s="2237"/>
      <c r="P116" s="3421"/>
      <c r="Q116" s="3421"/>
      <c r="R116" s="3421"/>
      <c r="S116" s="3421"/>
      <c r="T116" s="3421"/>
      <c r="U116" s="3421"/>
    </row>
    <row r="117" spans="2:21" ht="15" customHeight="1">
      <c r="B117" s="680"/>
      <c r="C117" s="2237"/>
      <c r="D117" s="2237"/>
      <c r="E117" s="2237"/>
      <c r="F117" s="2237"/>
      <c r="G117" s="2237"/>
      <c r="H117" s="2237"/>
      <c r="I117" s="2237"/>
      <c r="J117" s="2237"/>
      <c r="K117" s="2237"/>
      <c r="L117" s="2237"/>
      <c r="M117" s="2237"/>
      <c r="N117" s="2237"/>
      <c r="O117" s="2237"/>
      <c r="P117" s="3421"/>
      <c r="Q117" s="3421"/>
      <c r="R117" s="3421"/>
      <c r="S117" s="3421"/>
      <c r="T117" s="3421"/>
      <c r="U117" s="3421"/>
    </row>
    <row r="118" spans="2:21" ht="15" customHeight="1">
      <c r="B118" s="680"/>
      <c r="C118" s="2237"/>
      <c r="D118" s="2237"/>
      <c r="E118" s="2237"/>
      <c r="F118" s="2237"/>
      <c r="G118" s="2237"/>
      <c r="H118" s="2237"/>
      <c r="I118" s="2237"/>
      <c r="J118" s="2237"/>
      <c r="K118" s="2237"/>
      <c r="L118" s="2237"/>
      <c r="M118" s="2237"/>
      <c r="N118" s="2237"/>
      <c r="O118" s="2237"/>
      <c r="P118" s="3421"/>
      <c r="Q118" s="3421"/>
      <c r="R118" s="3421"/>
      <c r="S118" s="3421"/>
      <c r="T118" s="3421"/>
      <c r="U118" s="3421"/>
    </row>
    <row r="119" spans="2:21" ht="15" customHeight="1">
      <c r="B119" s="680"/>
      <c r="C119" s="2237"/>
      <c r="D119" s="2237"/>
      <c r="E119" s="2237"/>
      <c r="F119" s="2237"/>
      <c r="G119" s="2237"/>
      <c r="H119" s="2237"/>
      <c r="I119" s="2237"/>
      <c r="J119" s="2237"/>
      <c r="K119" s="2237"/>
      <c r="L119" s="2237"/>
      <c r="M119" s="2237"/>
      <c r="N119" s="2237"/>
      <c r="O119" s="2237"/>
      <c r="P119" s="3421"/>
      <c r="Q119" s="3421"/>
      <c r="R119" s="3421"/>
      <c r="S119" s="3421"/>
      <c r="T119" s="3421"/>
      <c r="U119" s="3421"/>
    </row>
    <row r="120" spans="2:21" ht="15" customHeight="1">
      <c r="B120" s="680"/>
      <c r="C120" s="2237"/>
      <c r="D120" s="2237"/>
      <c r="E120" s="2237"/>
      <c r="F120" s="2237"/>
      <c r="G120" s="2237"/>
      <c r="H120" s="2237"/>
      <c r="I120" s="2237"/>
      <c r="J120" s="2237"/>
      <c r="K120" s="2237"/>
      <c r="L120" s="2237"/>
      <c r="M120" s="2237"/>
      <c r="N120" s="2237"/>
      <c r="O120" s="2237"/>
      <c r="P120" s="3421"/>
      <c r="Q120" s="3421"/>
      <c r="R120" s="3421"/>
      <c r="S120" s="3421"/>
      <c r="T120" s="3421"/>
      <c r="U120" s="3421"/>
    </row>
    <row r="121" spans="2:21" ht="15" customHeight="1">
      <c r="B121" s="680"/>
      <c r="C121" s="2237"/>
      <c r="D121" s="2237"/>
      <c r="E121" s="2237"/>
      <c r="F121" s="2237"/>
      <c r="G121" s="2237"/>
      <c r="H121" s="2237"/>
      <c r="I121" s="2237"/>
      <c r="J121" s="2237"/>
      <c r="K121" s="2237"/>
      <c r="L121" s="2237"/>
      <c r="M121" s="2237"/>
      <c r="N121" s="2237"/>
      <c r="O121" s="2237"/>
      <c r="P121" s="3421"/>
      <c r="Q121" s="3421"/>
      <c r="R121" s="3421"/>
      <c r="S121" s="3421"/>
      <c r="T121" s="3421"/>
      <c r="U121" s="3421"/>
    </row>
    <row r="122" spans="2:21" ht="15" customHeight="1">
      <c r="B122" s="680"/>
      <c r="C122" s="2237"/>
      <c r="D122" s="2237"/>
      <c r="E122" s="2237"/>
      <c r="F122" s="2237"/>
      <c r="G122" s="2237"/>
      <c r="H122" s="2237"/>
      <c r="I122" s="2237"/>
      <c r="J122" s="2237"/>
      <c r="K122" s="2237"/>
      <c r="L122" s="2237"/>
      <c r="M122" s="2237"/>
      <c r="N122" s="2237"/>
      <c r="O122" s="2237"/>
      <c r="P122" s="3421"/>
      <c r="Q122" s="3421"/>
      <c r="R122" s="3421"/>
      <c r="S122" s="3421"/>
      <c r="T122" s="3421"/>
      <c r="U122" s="3421"/>
    </row>
    <row r="123" spans="2:21" ht="15" customHeight="1">
      <c r="B123" s="680"/>
      <c r="C123" s="2237"/>
      <c r="D123" s="2237"/>
      <c r="E123" s="2237"/>
      <c r="F123" s="2237"/>
      <c r="G123" s="2237"/>
      <c r="H123" s="2237"/>
      <c r="I123" s="2237"/>
      <c r="J123" s="2237"/>
      <c r="K123" s="2237"/>
      <c r="L123" s="2237"/>
      <c r="M123" s="2237"/>
      <c r="N123" s="2237"/>
      <c r="O123" s="2237"/>
      <c r="P123" s="3421"/>
      <c r="Q123" s="3421"/>
      <c r="R123" s="3421"/>
      <c r="S123" s="3421"/>
      <c r="T123" s="3421"/>
      <c r="U123" s="3421"/>
    </row>
    <row r="124" spans="2:21" ht="15" customHeight="1">
      <c r="B124" s="680"/>
      <c r="C124" s="2237"/>
      <c r="D124" s="2237"/>
      <c r="E124" s="2237"/>
      <c r="F124" s="2237"/>
      <c r="G124" s="2237"/>
      <c r="H124" s="2237"/>
      <c r="I124" s="2237"/>
      <c r="J124" s="2237"/>
      <c r="K124" s="2237"/>
      <c r="L124" s="2237"/>
      <c r="M124" s="2237"/>
      <c r="N124" s="2237"/>
      <c r="O124" s="2237"/>
      <c r="P124" s="3421"/>
      <c r="Q124" s="3421"/>
      <c r="R124" s="3421"/>
      <c r="S124" s="3421"/>
      <c r="T124" s="3421"/>
      <c r="U124" s="3421"/>
    </row>
    <row r="125" spans="2:21" ht="15" customHeight="1">
      <c r="B125" s="680"/>
      <c r="C125" s="2237"/>
      <c r="D125" s="2237"/>
      <c r="E125" s="2237"/>
      <c r="F125" s="2237"/>
      <c r="G125" s="2237"/>
      <c r="H125" s="2237"/>
      <c r="I125" s="2237"/>
      <c r="J125" s="2237"/>
      <c r="K125" s="2237"/>
      <c r="L125" s="2237"/>
      <c r="M125" s="2237"/>
      <c r="N125" s="2237"/>
      <c r="O125" s="2237"/>
      <c r="P125" s="3421"/>
      <c r="Q125" s="3421"/>
      <c r="R125" s="3421"/>
      <c r="S125" s="3421"/>
      <c r="T125" s="3421"/>
      <c r="U125" s="3421"/>
    </row>
    <row r="126" spans="2:21" ht="15" customHeight="1">
      <c r="B126" s="680"/>
      <c r="C126" s="2237"/>
      <c r="D126" s="2237"/>
      <c r="E126" s="2237"/>
      <c r="F126" s="2237"/>
      <c r="G126" s="2237"/>
      <c r="H126" s="2237"/>
      <c r="I126" s="2237"/>
      <c r="J126" s="2237"/>
      <c r="K126" s="2237"/>
      <c r="L126" s="2237"/>
      <c r="M126" s="2237"/>
      <c r="N126" s="2237"/>
      <c r="O126" s="2237"/>
      <c r="P126" s="3421"/>
      <c r="Q126" s="3421"/>
      <c r="R126" s="3421"/>
      <c r="S126" s="3421"/>
      <c r="T126" s="3421"/>
      <c r="U126" s="3421"/>
    </row>
    <row r="127" spans="2:21" ht="15" customHeight="1">
      <c r="B127" s="680"/>
      <c r="C127" s="2237"/>
      <c r="D127" s="2237"/>
      <c r="E127" s="2237"/>
      <c r="F127" s="2237"/>
      <c r="G127" s="2237"/>
      <c r="H127" s="2237"/>
      <c r="I127" s="2237"/>
      <c r="J127" s="2237"/>
      <c r="K127" s="2237"/>
      <c r="L127" s="2237"/>
      <c r="M127" s="2237"/>
      <c r="N127" s="2237"/>
      <c r="O127" s="2237"/>
      <c r="P127" s="3421"/>
      <c r="Q127" s="3421"/>
      <c r="R127" s="3421"/>
      <c r="S127" s="3421"/>
      <c r="T127" s="3421"/>
      <c r="U127" s="3421"/>
    </row>
    <row r="128" spans="2:21" ht="15" customHeight="1">
      <c r="B128" s="680"/>
      <c r="C128" s="2237"/>
      <c r="D128" s="2237"/>
      <c r="E128" s="2237"/>
      <c r="F128" s="2237"/>
      <c r="G128" s="2237"/>
      <c r="H128" s="2237"/>
      <c r="I128" s="2237"/>
      <c r="J128" s="2237"/>
      <c r="K128" s="2237"/>
      <c r="L128" s="2237"/>
      <c r="M128" s="2237"/>
      <c r="N128" s="2237"/>
      <c r="O128" s="2237"/>
      <c r="P128" s="3421"/>
      <c r="Q128" s="3421"/>
      <c r="R128" s="3421"/>
      <c r="S128" s="3421"/>
      <c r="T128" s="3421"/>
      <c r="U128" s="3421"/>
    </row>
    <row r="129" spans="2:21" ht="15" customHeight="1">
      <c r="B129" s="680"/>
      <c r="C129" s="2237"/>
      <c r="D129" s="2237"/>
      <c r="E129" s="2237"/>
      <c r="F129" s="2237"/>
      <c r="G129" s="2237"/>
      <c r="H129" s="2237"/>
      <c r="I129" s="2237"/>
      <c r="J129" s="2237"/>
      <c r="K129" s="2237"/>
      <c r="L129" s="2237"/>
      <c r="M129" s="2237"/>
      <c r="N129" s="2237"/>
      <c r="O129" s="2237"/>
      <c r="P129" s="3421"/>
      <c r="Q129" s="3421"/>
      <c r="R129" s="3421"/>
      <c r="S129" s="3421"/>
      <c r="T129" s="3421"/>
      <c r="U129" s="3421"/>
    </row>
    <row r="130" spans="2:21" ht="15" customHeight="1">
      <c r="B130" s="680"/>
      <c r="C130" s="2237"/>
      <c r="D130" s="2237"/>
      <c r="E130" s="2237"/>
      <c r="F130" s="2237"/>
      <c r="G130" s="2237"/>
      <c r="H130" s="2237"/>
      <c r="I130" s="2237"/>
      <c r="J130" s="2237"/>
      <c r="K130" s="2237"/>
      <c r="L130" s="2237"/>
      <c r="M130" s="2237"/>
      <c r="N130" s="2237"/>
      <c r="O130" s="2237"/>
      <c r="P130" s="3421"/>
      <c r="Q130" s="3421"/>
      <c r="R130" s="3421"/>
      <c r="S130" s="3421"/>
      <c r="T130" s="3421"/>
      <c r="U130" s="3421"/>
    </row>
    <row r="131" spans="2:21" ht="15" customHeight="1">
      <c r="B131" s="680"/>
      <c r="C131" s="2237"/>
      <c r="D131" s="2237"/>
      <c r="E131" s="2237"/>
      <c r="F131" s="2237"/>
      <c r="G131" s="2237"/>
      <c r="H131" s="2237"/>
      <c r="I131" s="2237"/>
      <c r="J131" s="2237"/>
      <c r="K131" s="2237"/>
      <c r="L131" s="2237"/>
      <c r="M131" s="2237"/>
      <c r="N131" s="2237"/>
      <c r="O131" s="2237"/>
      <c r="P131" s="3421"/>
      <c r="Q131" s="3421"/>
      <c r="R131" s="3421"/>
      <c r="S131" s="3421"/>
      <c r="T131" s="3421"/>
      <c r="U131" s="3421"/>
    </row>
    <row r="132" spans="2:21" ht="15" customHeight="1">
      <c r="B132" s="680"/>
      <c r="C132" s="2237"/>
      <c r="D132" s="2237"/>
      <c r="E132" s="2237"/>
      <c r="F132" s="2237"/>
      <c r="G132" s="2237"/>
      <c r="H132" s="2237"/>
      <c r="I132" s="2237"/>
      <c r="J132" s="2237"/>
      <c r="K132" s="2237"/>
      <c r="L132" s="2237"/>
      <c r="M132" s="2237"/>
      <c r="N132" s="2237"/>
      <c r="O132" s="2237"/>
      <c r="P132" s="3421"/>
      <c r="Q132" s="3421"/>
      <c r="R132" s="3421"/>
      <c r="S132" s="3421"/>
      <c r="T132" s="3421"/>
      <c r="U132" s="3421"/>
    </row>
    <row r="133" spans="2:21" ht="15" customHeight="1">
      <c r="B133" s="680"/>
      <c r="C133" s="2237"/>
      <c r="D133" s="2237"/>
      <c r="E133" s="2237"/>
      <c r="F133" s="2237"/>
      <c r="G133" s="2237"/>
      <c r="H133" s="2237"/>
      <c r="I133" s="2237"/>
      <c r="J133" s="2237"/>
      <c r="K133" s="2237"/>
      <c r="L133" s="2237"/>
      <c r="M133" s="2237"/>
      <c r="N133" s="2237"/>
      <c r="O133" s="2237"/>
      <c r="P133" s="3421"/>
      <c r="Q133" s="3421"/>
      <c r="R133" s="3421"/>
      <c r="S133" s="3421"/>
      <c r="T133" s="3421"/>
      <c r="U133" s="3421"/>
    </row>
    <row r="134" spans="2:21" ht="15" customHeight="1">
      <c r="B134" s="680"/>
      <c r="C134" s="2237"/>
      <c r="D134" s="2237"/>
      <c r="E134" s="2237"/>
      <c r="F134" s="2237"/>
      <c r="G134" s="2237"/>
      <c r="H134" s="2237"/>
      <c r="I134" s="2237"/>
      <c r="J134" s="2237"/>
      <c r="K134" s="2237"/>
      <c r="L134" s="2237"/>
      <c r="M134" s="2237"/>
      <c r="N134" s="2237"/>
      <c r="O134" s="2237"/>
      <c r="P134" s="3421"/>
      <c r="Q134" s="3421"/>
      <c r="R134" s="3421"/>
      <c r="S134" s="3421"/>
      <c r="T134" s="3421"/>
      <c r="U134" s="3421"/>
    </row>
    <row r="135" spans="2:21" ht="15" customHeight="1">
      <c r="B135" s="680"/>
      <c r="C135" s="2237"/>
      <c r="D135" s="2237"/>
      <c r="E135" s="2237"/>
      <c r="F135" s="2237"/>
      <c r="G135" s="2237"/>
      <c r="H135" s="2237"/>
      <c r="I135" s="2237"/>
      <c r="J135" s="2237"/>
      <c r="K135" s="2237"/>
      <c r="L135" s="2237"/>
      <c r="M135" s="2237"/>
      <c r="N135" s="2237"/>
      <c r="O135" s="2237"/>
      <c r="P135" s="3421"/>
      <c r="Q135" s="3421"/>
      <c r="R135" s="3421"/>
      <c r="S135" s="3421"/>
      <c r="T135" s="3421"/>
      <c r="U135" s="3421"/>
    </row>
    <row r="136" spans="2:21" ht="15" customHeight="1">
      <c r="B136" s="680"/>
      <c r="C136" s="2237"/>
      <c r="D136" s="2237"/>
      <c r="E136" s="2237"/>
      <c r="F136" s="2237"/>
      <c r="G136" s="2237"/>
      <c r="H136" s="2237"/>
      <c r="I136" s="2237"/>
      <c r="J136" s="2237"/>
      <c r="K136" s="2237"/>
      <c r="L136" s="2237"/>
      <c r="M136" s="2237"/>
      <c r="N136" s="2237"/>
      <c r="O136" s="2237"/>
      <c r="P136" s="3421"/>
      <c r="Q136" s="3421"/>
      <c r="R136" s="3421"/>
      <c r="S136" s="3421"/>
      <c r="T136" s="3421"/>
      <c r="U136" s="3421"/>
    </row>
    <row r="137" spans="2:21" ht="15" customHeight="1">
      <c r="B137" s="680"/>
      <c r="C137" s="2237"/>
      <c r="D137" s="2237"/>
      <c r="E137" s="2237"/>
      <c r="F137" s="2237"/>
      <c r="G137" s="2237"/>
      <c r="H137" s="2237"/>
      <c r="I137" s="2237"/>
      <c r="J137" s="2237"/>
      <c r="K137" s="2237"/>
      <c r="L137" s="2237"/>
      <c r="M137" s="2237"/>
      <c r="N137" s="2237"/>
      <c r="O137" s="2237"/>
      <c r="P137" s="3421"/>
      <c r="Q137" s="3421"/>
      <c r="R137" s="3421"/>
      <c r="S137" s="3421"/>
      <c r="T137" s="3421"/>
      <c r="U137" s="3421"/>
    </row>
    <row r="138" spans="2:21" ht="15" customHeight="1">
      <c r="B138" s="680"/>
      <c r="C138" s="2237"/>
      <c r="D138" s="2237"/>
      <c r="E138" s="2237"/>
      <c r="F138" s="2237"/>
      <c r="G138" s="2237"/>
      <c r="H138" s="2237"/>
      <c r="I138" s="2237"/>
      <c r="J138" s="2237"/>
      <c r="K138" s="2237"/>
      <c r="L138" s="2237"/>
      <c r="M138" s="2237"/>
      <c r="N138" s="2237"/>
      <c r="O138" s="2237"/>
      <c r="P138" s="3421"/>
      <c r="Q138" s="3421"/>
      <c r="R138" s="3421"/>
      <c r="S138" s="3421"/>
      <c r="T138" s="3421"/>
      <c r="U138" s="3421"/>
    </row>
    <row r="139" spans="2:21" ht="15" customHeight="1">
      <c r="B139" s="680"/>
      <c r="C139" s="2237"/>
      <c r="D139" s="2237"/>
      <c r="E139" s="2237"/>
      <c r="F139" s="2237"/>
      <c r="G139" s="2237"/>
      <c r="H139" s="2237"/>
      <c r="I139" s="2237"/>
      <c r="J139" s="2237"/>
      <c r="K139" s="2237"/>
      <c r="L139" s="2237"/>
      <c r="M139" s="2237"/>
      <c r="N139" s="2237"/>
      <c r="O139" s="2237"/>
      <c r="P139" s="3421"/>
      <c r="Q139" s="3421"/>
      <c r="R139" s="3421"/>
      <c r="S139" s="3421"/>
      <c r="T139" s="3421"/>
      <c r="U139" s="3421"/>
    </row>
    <row r="140" spans="2:21" ht="15" customHeight="1">
      <c r="B140" s="680"/>
      <c r="C140" s="2237"/>
      <c r="D140" s="2237"/>
      <c r="E140" s="2237"/>
      <c r="F140" s="2237"/>
      <c r="G140" s="2237"/>
      <c r="H140" s="2237"/>
      <c r="I140" s="2237"/>
      <c r="J140" s="2237"/>
      <c r="K140" s="2237"/>
      <c r="L140" s="2237"/>
      <c r="M140" s="2237"/>
      <c r="N140" s="2237"/>
      <c r="O140" s="2237"/>
      <c r="P140" s="3421"/>
      <c r="Q140" s="3421"/>
      <c r="R140" s="3421"/>
      <c r="S140" s="3421"/>
      <c r="T140" s="3421"/>
      <c r="U140" s="3421"/>
    </row>
    <row r="141" spans="2:21" ht="15" customHeight="1">
      <c r="B141" s="680"/>
      <c r="C141" s="2237"/>
      <c r="D141" s="2237"/>
      <c r="E141" s="2237"/>
      <c r="F141" s="2237"/>
      <c r="G141" s="2237"/>
      <c r="H141" s="2237"/>
      <c r="I141" s="2237"/>
      <c r="J141" s="2237"/>
      <c r="K141" s="2237"/>
      <c r="L141" s="2237"/>
      <c r="M141" s="2237"/>
      <c r="N141" s="2237"/>
      <c r="O141" s="2237"/>
      <c r="P141" s="3421"/>
      <c r="Q141" s="3421"/>
      <c r="R141" s="3421"/>
      <c r="S141" s="3421"/>
      <c r="T141" s="3421"/>
      <c r="U141" s="3421"/>
    </row>
    <row r="142" spans="2:21" ht="15" customHeight="1">
      <c r="B142" s="680"/>
      <c r="C142" s="2237"/>
      <c r="D142" s="2237"/>
      <c r="E142" s="2237"/>
      <c r="F142" s="2237"/>
      <c r="G142" s="2237"/>
      <c r="H142" s="2237"/>
      <c r="I142" s="2237"/>
      <c r="J142" s="2237"/>
      <c r="K142" s="2237"/>
      <c r="L142" s="2237"/>
      <c r="M142" s="2237"/>
      <c r="N142" s="2237"/>
      <c r="O142" s="2237"/>
      <c r="P142" s="3421"/>
      <c r="Q142" s="3421"/>
      <c r="R142" s="3421"/>
      <c r="S142" s="3421"/>
      <c r="T142" s="3421"/>
      <c r="U142" s="3421"/>
    </row>
    <row r="143" spans="2:21" ht="15" customHeight="1">
      <c r="B143" s="680"/>
      <c r="C143" s="2237"/>
      <c r="D143" s="2237"/>
      <c r="E143" s="2237"/>
      <c r="F143" s="2237"/>
      <c r="G143" s="2237"/>
      <c r="H143" s="2237"/>
      <c r="I143" s="2237"/>
      <c r="J143" s="2237"/>
      <c r="K143" s="2237"/>
      <c r="L143" s="2237"/>
      <c r="M143" s="2237"/>
      <c r="N143" s="2237"/>
      <c r="O143" s="2237"/>
      <c r="P143" s="3421"/>
      <c r="Q143" s="3421"/>
      <c r="R143" s="3421"/>
      <c r="S143" s="3421"/>
      <c r="T143" s="3421"/>
      <c r="U143" s="3421"/>
    </row>
    <row r="144" spans="2:21" ht="15" customHeight="1">
      <c r="B144" s="680"/>
      <c r="C144" s="2237"/>
      <c r="D144" s="2237"/>
      <c r="E144" s="2237"/>
      <c r="F144" s="2237"/>
      <c r="G144" s="2237"/>
      <c r="H144" s="2237"/>
      <c r="I144" s="2237"/>
      <c r="J144" s="2237"/>
      <c r="K144" s="2237"/>
      <c r="L144" s="2237"/>
      <c r="M144" s="2237"/>
      <c r="N144" s="2237"/>
      <c r="O144" s="2237"/>
      <c r="P144" s="3421"/>
      <c r="Q144" s="3421"/>
      <c r="R144" s="3421"/>
      <c r="S144" s="3421"/>
      <c r="T144" s="3421"/>
      <c r="U144" s="3421"/>
    </row>
    <row r="145" spans="2:21" ht="15" customHeight="1">
      <c r="B145" s="680"/>
      <c r="C145" s="2237"/>
      <c r="D145" s="2237"/>
      <c r="E145" s="2237"/>
      <c r="F145" s="2237"/>
      <c r="G145" s="2237"/>
      <c r="H145" s="2237"/>
      <c r="I145" s="2237"/>
      <c r="J145" s="2237"/>
      <c r="K145" s="2237"/>
      <c r="L145" s="2237"/>
      <c r="M145" s="2237"/>
      <c r="N145" s="2237"/>
      <c r="O145" s="2237"/>
      <c r="P145" s="3421"/>
      <c r="Q145" s="3421"/>
      <c r="R145" s="3421"/>
      <c r="S145" s="3421"/>
      <c r="T145" s="3421"/>
      <c r="U145" s="3421"/>
    </row>
    <row r="146" spans="2:21" ht="15" customHeight="1">
      <c r="B146" s="680"/>
      <c r="C146" s="2237"/>
      <c r="D146" s="2237"/>
      <c r="E146" s="2237"/>
      <c r="F146" s="2237"/>
      <c r="G146" s="2237"/>
      <c r="H146" s="2237"/>
      <c r="I146" s="2237"/>
      <c r="J146" s="2237"/>
      <c r="K146" s="2237"/>
      <c r="L146" s="2237"/>
      <c r="M146" s="2237"/>
      <c r="N146" s="2237"/>
      <c r="O146" s="2237"/>
      <c r="P146" s="3421"/>
      <c r="Q146" s="3421"/>
      <c r="R146" s="3421"/>
      <c r="S146" s="3421"/>
      <c r="T146" s="3421"/>
      <c r="U146" s="3421"/>
    </row>
    <row r="147" spans="2:21" ht="15" customHeight="1">
      <c r="B147" s="680"/>
      <c r="C147" s="2237"/>
      <c r="D147" s="2237"/>
      <c r="E147" s="2237"/>
      <c r="F147" s="2237"/>
      <c r="G147" s="2237"/>
      <c r="H147" s="2237"/>
      <c r="I147" s="2237"/>
      <c r="J147" s="2237"/>
      <c r="K147" s="2237"/>
      <c r="L147" s="2237"/>
      <c r="M147" s="2237"/>
      <c r="N147" s="2237"/>
      <c r="O147" s="2237"/>
      <c r="P147" s="3421"/>
      <c r="Q147" s="3421"/>
      <c r="R147" s="3421"/>
      <c r="S147" s="3421"/>
      <c r="T147" s="3421"/>
      <c r="U147" s="3421"/>
    </row>
    <row r="148" spans="2:21" ht="15" customHeight="1">
      <c r="B148" s="680"/>
      <c r="C148" s="2237"/>
      <c r="D148" s="2237"/>
      <c r="E148" s="2237"/>
      <c r="F148" s="2237"/>
      <c r="G148" s="2237"/>
      <c r="H148" s="2237"/>
      <c r="I148" s="2237"/>
      <c r="J148" s="2237"/>
      <c r="K148" s="2237"/>
      <c r="L148" s="2237"/>
      <c r="M148" s="2237"/>
      <c r="N148" s="2237"/>
      <c r="O148" s="2237"/>
      <c r="P148" s="3421"/>
      <c r="Q148" s="3421"/>
      <c r="R148" s="3421"/>
      <c r="S148" s="3421"/>
      <c r="T148" s="3421"/>
      <c r="U148" s="3421"/>
    </row>
    <row r="149" spans="2:21" ht="15" customHeight="1">
      <c r="B149" s="680"/>
      <c r="C149" s="2237"/>
      <c r="D149" s="2237"/>
      <c r="E149" s="2237"/>
      <c r="F149" s="2237"/>
      <c r="G149" s="2237"/>
      <c r="H149" s="2237"/>
      <c r="I149" s="2237"/>
      <c r="J149" s="2237"/>
      <c r="K149" s="2237"/>
      <c r="L149" s="2237"/>
      <c r="M149" s="2237"/>
      <c r="N149" s="2237"/>
      <c r="O149" s="2237"/>
      <c r="P149" s="3421"/>
      <c r="Q149" s="3421"/>
      <c r="R149" s="3421"/>
      <c r="S149" s="3421"/>
      <c r="T149" s="3421"/>
      <c r="U149" s="3421"/>
    </row>
    <row r="150" spans="2:21" ht="15" customHeight="1">
      <c r="B150" s="680"/>
      <c r="C150" s="2237"/>
      <c r="D150" s="2237"/>
      <c r="E150" s="2237"/>
      <c r="F150" s="2237"/>
      <c r="G150" s="2237"/>
      <c r="H150" s="2237"/>
      <c r="I150" s="2237"/>
      <c r="J150" s="2237"/>
      <c r="K150" s="2237"/>
      <c r="L150" s="2237"/>
      <c r="M150" s="2237"/>
      <c r="N150" s="2237"/>
      <c r="O150" s="2237"/>
      <c r="P150" s="3421"/>
      <c r="Q150" s="3421"/>
      <c r="R150" s="3421"/>
      <c r="S150" s="3421"/>
      <c r="T150" s="3421"/>
      <c r="U150" s="3421"/>
    </row>
    <row r="151" spans="2:21" ht="15" customHeight="1">
      <c r="B151" s="680"/>
      <c r="C151" s="2237"/>
      <c r="D151" s="2237"/>
      <c r="E151" s="2237"/>
      <c r="F151" s="2237"/>
      <c r="G151" s="2237"/>
      <c r="H151" s="2237"/>
      <c r="I151" s="2237"/>
      <c r="J151" s="2237"/>
      <c r="K151" s="2237"/>
      <c r="L151" s="2237"/>
      <c r="M151" s="2237"/>
      <c r="N151" s="2237"/>
      <c r="O151" s="2237"/>
      <c r="P151" s="3421"/>
      <c r="Q151" s="3421"/>
      <c r="R151" s="3421"/>
      <c r="S151" s="3421"/>
      <c r="T151" s="3421"/>
      <c r="U151" s="3421"/>
    </row>
    <row r="152" spans="2:21" ht="15" customHeight="1">
      <c r="B152" s="680"/>
      <c r="C152" s="2237"/>
      <c r="D152" s="2237"/>
      <c r="E152" s="2237"/>
      <c r="F152" s="2237"/>
      <c r="G152" s="2237"/>
      <c r="H152" s="2237"/>
      <c r="I152" s="2237"/>
      <c r="J152" s="2237"/>
      <c r="K152" s="2237"/>
      <c r="L152" s="2237"/>
      <c r="M152" s="2237"/>
      <c r="N152" s="2237"/>
      <c r="O152" s="2237"/>
      <c r="P152" s="3421"/>
      <c r="Q152" s="3421"/>
      <c r="R152" s="3421"/>
      <c r="S152" s="3421"/>
      <c r="T152" s="3421"/>
      <c r="U152" s="3421"/>
    </row>
    <row r="153" spans="2:21" ht="15" customHeight="1">
      <c r="B153" s="680"/>
      <c r="C153" s="2237"/>
      <c r="D153" s="2237"/>
      <c r="E153" s="2237"/>
      <c r="F153" s="2237"/>
      <c r="G153" s="2237"/>
      <c r="H153" s="2237"/>
      <c r="I153" s="2237"/>
      <c r="J153" s="2237"/>
      <c r="K153" s="2237"/>
      <c r="L153" s="2237"/>
      <c r="M153" s="2237"/>
      <c r="N153" s="2237"/>
      <c r="O153" s="2237"/>
      <c r="P153" s="3421"/>
      <c r="Q153" s="3421"/>
      <c r="R153" s="3421"/>
      <c r="S153" s="3421"/>
      <c r="T153" s="3421"/>
      <c r="U153" s="3421"/>
    </row>
    <row r="154" spans="2:21" ht="15" customHeight="1">
      <c r="B154" s="680"/>
      <c r="C154" s="2237"/>
      <c r="D154" s="2237"/>
      <c r="E154" s="2237"/>
      <c r="F154" s="2237"/>
      <c r="G154" s="2237"/>
      <c r="H154" s="2237"/>
      <c r="I154" s="2237"/>
      <c r="J154" s="2237"/>
      <c r="K154" s="2237"/>
      <c r="L154" s="2237"/>
      <c r="M154" s="2237"/>
      <c r="N154" s="2237"/>
      <c r="O154" s="2237"/>
      <c r="P154" s="3421"/>
      <c r="Q154" s="3421"/>
      <c r="R154" s="3421"/>
      <c r="S154" s="3421"/>
      <c r="T154" s="3421"/>
      <c r="U154" s="3421"/>
    </row>
    <row r="155" spans="2:21" ht="15" customHeight="1">
      <c r="B155" s="680"/>
      <c r="C155" s="2237"/>
      <c r="D155" s="2237"/>
      <c r="E155" s="2237"/>
      <c r="F155" s="2237"/>
      <c r="G155" s="2237"/>
      <c r="H155" s="2237"/>
      <c r="I155" s="2237"/>
      <c r="J155" s="2237"/>
      <c r="K155" s="2237"/>
      <c r="L155" s="2237"/>
      <c r="M155" s="2237"/>
      <c r="N155" s="2237"/>
      <c r="O155" s="2237"/>
      <c r="P155" s="3421"/>
      <c r="Q155" s="3421"/>
      <c r="R155" s="3421"/>
      <c r="S155" s="3421"/>
      <c r="T155" s="3421"/>
      <c r="U155" s="3421"/>
    </row>
    <row r="156" spans="2:21" ht="15" customHeight="1">
      <c r="B156" s="680"/>
      <c r="C156" s="2237"/>
      <c r="D156" s="2237"/>
      <c r="E156" s="2237"/>
      <c r="F156" s="2237"/>
      <c r="G156" s="2237"/>
      <c r="H156" s="2237"/>
      <c r="I156" s="2237"/>
      <c r="J156" s="2237"/>
      <c r="K156" s="2237"/>
      <c r="L156" s="2237"/>
      <c r="M156" s="2237"/>
      <c r="N156" s="2237"/>
      <c r="O156" s="2237"/>
      <c r="P156" s="3421"/>
      <c r="Q156" s="3421"/>
      <c r="R156" s="3421"/>
      <c r="S156" s="3421"/>
      <c r="T156" s="3421"/>
      <c r="U156" s="3421"/>
    </row>
    <row r="157" spans="2:21" ht="15" customHeight="1">
      <c r="B157" s="680"/>
      <c r="C157" s="2237"/>
      <c r="D157" s="2237"/>
      <c r="E157" s="2237"/>
      <c r="F157" s="2237"/>
      <c r="G157" s="2237"/>
      <c r="H157" s="2237"/>
      <c r="I157" s="2237"/>
      <c r="J157" s="2237"/>
      <c r="K157" s="2237"/>
      <c r="L157" s="2237"/>
      <c r="M157" s="2237"/>
      <c r="N157" s="2237"/>
      <c r="O157" s="2237"/>
      <c r="P157" s="3421"/>
      <c r="Q157" s="3421"/>
      <c r="R157" s="3421"/>
      <c r="S157" s="3421"/>
      <c r="T157" s="3421"/>
      <c r="U157" s="3421"/>
    </row>
    <row r="158" spans="2:21" ht="15" customHeight="1">
      <c r="B158" s="680"/>
      <c r="C158" s="2237"/>
      <c r="D158" s="2237"/>
      <c r="E158" s="2237"/>
      <c r="F158" s="2237"/>
      <c r="G158" s="2237"/>
      <c r="H158" s="2237"/>
      <c r="I158" s="2237"/>
      <c r="J158" s="2237"/>
      <c r="K158" s="2237"/>
      <c r="L158" s="2237"/>
      <c r="M158" s="2237"/>
      <c r="N158" s="2237"/>
      <c r="O158" s="2237"/>
      <c r="P158" s="3421"/>
      <c r="Q158" s="3421"/>
      <c r="R158" s="3421"/>
      <c r="S158" s="3421"/>
      <c r="T158" s="3421"/>
      <c r="U158" s="3421"/>
    </row>
    <row r="159" spans="2:21" ht="15" customHeight="1">
      <c r="B159" s="680"/>
      <c r="C159" s="2237"/>
      <c r="D159" s="2237"/>
      <c r="E159" s="2237"/>
      <c r="F159" s="2237"/>
      <c r="G159" s="2237"/>
      <c r="H159" s="2237"/>
      <c r="I159" s="2237"/>
      <c r="J159" s="2237"/>
      <c r="K159" s="2237"/>
      <c r="L159" s="2237"/>
      <c r="M159" s="2237"/>
      <c r="N159" s="2237"/>
      <c r="O159" s="2237"/>
      <c r="P159" s="3421"/>
      <c r="Q159" s="3421"/>
      <c r="R159" s="3421"/>
      <c r="S159" s="3421"/>
      <c r="T159" s="3421"/>
      <c r="U159" s="3421"/>
    </row>
    <row r="160" spans="2:21" ht="15" customHeight="1">
      <c r="B160" s="680"/>
      <c r="C160" s="2237"/>
      <c r="D160" s="2237"/>
      <c r="E160" s="2237"/>
      <c r="F160" s="2237"/>
      <c r="G160" s="2237"/>
      <c r="H160" s="2237"/>
      <c r="I160" s="2237"/>
      <c r="J160" s="2237"/>
      <c r="K160" s="2237"/>
      <c r="L160" s="2237"/>
      <c r="M160" s="2237"/>
      <c r="N160" s="2237"/>
      <c r="O160" s="2237"/>
      <c r="P160" s="3421"/>
      <c r="Q160" s="3421"/>
      <c r="R160" s="3421"/>
      <c r="S160" s="3421"/>
      <c r="T160" s="3421"/>
      <c r="U160" s="3421"/>
    </row>
    <row r="161" spans="2:21" ht="15" customHeight="1">
      <c r="B161" s="680"/>
      <c r="C161" s="2237"/>
      <c r="D161" s="2237"/>
      <c r="E161" s="2237"/>
      <c r="F161" s="2237"/>
      <c r="G161" s="2237"/>
      <c r="H161" s="2237"/>
      <c r="I161" s="2237"/>
      <c r="J161" s="2237"/>
      <c r="K161" s="2237"/>
      <c r="L161" s="2237"/>
      <c r="M161" s="2237"/>
      <c r="N161" s="2237"/>
      <c r="O161" s="2237"/>
      <c r="P161" s="3421"/>
      <c r="Q161" s="3421"/>
      <c r="R161" s="3421"/>
      <c r="S161" s="3421"/>
      <c r="T161" s="3421"/>
      <c r="U161" s="3421"/>
    </row>
    <row r="162" spans="2:21" ht="15" customHeight="1">
      <c r="B162" s="680"/>
      <c r="C162" s="2237"/>
      <c r="D162" s="2237"/>
      <c r="E162" s="2237"/>
      <c r="F162" s="2237"/>
      <c r="G162" s="2237"/>
      <c r="H162" s="2237"/>
      <c r="I162" s="2237"/>
      <c r="J162" s="2237"/>
      <c r="K162" s="2237"/>
      <c r="L162" s="2237"/>
      <c r="M162" s="2237"/>
      <c r="N162" s="2237"/>
      <c r="O162" s="2237"/>
      <c r="P162" s="3421"/>
      <c r="Q162" s="3421"/>
      <c r="R162" s="3421"/>
      <c r="S162" s="3421"/>
      <c r="T162" s="3421"/>
      <c r="U162" s="3421"/>
    </row>
    <row r="163" spans="2:21" ht="15" customHeight="1">
      <c r="B163" s="680"/>
      <c r="C163" s="2237"/>
      <c r="D163" s="2237"/>
      <c r="E163" s="2237"/>
      <c r="F163" s="2237"/>
      <c r="G163" s="2237"/>
      <c r="H163" s="2237"/>
      <c r="I163" s="2237"/>
      <c r="J163" s="2237"/>
      <c r="K163" s="2237"/>
      <c r="L163" s="2237"/>
      <c r="M163" s="2237"/>
      <c r="N163" s="2237"/>
      <c r="O163" s="2237"/>
      <c r="P163" s="3421"/>
      <c r="Q163" s="3421"/>
      <c r="R163" s="3421"/>
      <c r="S163" s="3421"/>
      <c r="T163" s="3421"/>
      <c r="U163" s="3421"/>
    </row>
    <row r="164" spans="2:21" ht="15" customHeight="1">
      <c r="B164" s="680"/>
      <c r="C164" s="2237"/>
      <c r="D164" s="2237"/>
      <c r="E164" s="2237"/>
      <c r="F164" s="2237"/>
      <c r="G164" s="2237"/>
      <c r="H164" s="2237"/>
      <c r="I164" s="2237"/>
      <c r="J164" s="2237"/>
      <c r="K164" s="2237"/>
      <c r="L164" s="2237"/>
      <c r="M164" s="2237"/>
      <c r="N164" s="2237"/>
      <c r="O164" s="2237"/>
      <c r="P164" s="3421"/>
      <c r="Q164" s="3421"/>
      <c r="R164" s="3421"/>
      <c r="S164" s="3421"/>
      <c r="T164" s="3421"/>
      <c r="U164" s="3421"/>
    </row>
    <row r="165" spans="2:21" ht="15" customHeight="1">
      <c r="B165" s="680"/>
      <c r="C165" s="2237"/>
      <c r="D165" s="2237"/>
      <c r="E165" s="2237"/>
      <c r="F165" s="2237"/>
      <c r="G165" s="2237"/>
      <c r="H165" s="2237"/>
      <c r="I165" s="2237"/>
      <c r="J165" s="2237"/>
      <c r="K165" s="2237"/>
      <c r="L165" s="2237"/>
      <c r="M165" s="2237"/>
      <c r="N165" s="2237"/>
      <c r="O165" s="2237"/>
      <c r="P165" s="3421"/>
      <c r="Q165" s="3421"/>
      <c r="R165" s="3421"/>
      <c r="S165" s="3421"/>
      <c r="T165" s="3421"/>
      <c r="U165" s="3421"/>
    </row>
    <row r="166" spans="2:21" ht="15" customHeight="1">
      <c r="B166" s="680"/>
      <c r="C166" s="2237"/>
      <c r="D166" s="2237"/>
      <c r="E166" s="2237"/>
      <c r="F166" s="2237"/>
      <c r="G166" s="2237"/>
      <c r="H166" s="2237"/>
      <c r="I166" s="2237"/>
      <c r="J166" s="2237"/>
      <c r="K166" s="2237"/>
      <c r="L166" s="2237"/>
      <c r="M166" s="2237"/>
      <c r="N166" s="2237"/>
      <c r="O166" s="2237"/>
      <c r="P166" s="3421"/>
      <c r="Q166" s="3421"/>
      <c r="R166" s="3421"/>
      <c r="S166" s="3421"/>
      <c r="T166" s="3421"/>
      <c r="U166" s="3421"/>
    </row>
    <row r="167" spans="2:21" ht="15" customHeight="1">
      <c r="B167" s="680"/>
      <c r="C167" s="2237"/>
      <c r="D167" s="2237"/>
      <c r="E167" s="2237"/>
      <c r="F167" s="2237"/>
      <c r="G167" s="2237"/>
      <c r="H167" s="2237"/>
      <c r="I167" s="2237"/>
      <c r="J167" s="2237"/>
      <c r="K167" s="2237"/>
      <c r="L167" s="2237"/>
      <c r="M167" s="2237"/>
      <c r="N167" s="2237"/>
      <c r="O167" s="2237"/>
      <c r="P167" s="3421"/>
      <c r="Q167" s="3421"/>
      <c r="R167" s="3421"/>
      <c r="S167" s="3421"/>
      <c r="T167" s="3421"/>
      <c r="U167" s="3421"/>
    </row>
    <row r="168" spans="2:21" ht="15" customHeight="1">
      <c r="B168" s="680"/>
      <c r="C168" s="2237"/>
      <c r="D168" s="2237"/>
      <c r="E168" s="2237"/>
      <c r="F168" s="2237"/>
      <c r="G168" s="2237"/>
      <c r="H168" s="2237"/>
      <c r="I168" s="2237"/>
      <c r="J168" s="2237"/>
      <c r="K168" s="2237"/>
      <c r="L168" s="2237"/>
      <c r="M168" s="2237"/>
      <c r="N168" s="2237"/>
      <c r="O168" s="2237"/>
      <c r="P168" s="3421"/>
      <c r="Q168" s="3421"/>
      <c r="R168" s="3421"/>
      <c r="S168" s="3421"/>
      <c r="T168" s="3421"/>
      <c r="U168" s="3421"/>
    </row>
    <row r="169" spans="2:21" ht="15" customHeight="1">
      <c r="B169" s="680"/>
      <c r="C169" s="2237"/>
      <c r="D169" s="2237"/>
      <c r="E169" s="2237"/>
      <c r="F169" s="2237"/>
      <c r="G169" s="2237"/>
      <c r="H169" s="2237"/>
      <c r="I169" s="2237"/>
      <c r="J169" s="2237"/>
      <c r="K169" s="2237"/>
      <c r="L169" s="2237"/>
      <c r="M169" s="2237"/>
      <c r="N169" s="2237"/>
      <c r="O169" s="2237"/>
      <c r="P169" s="3421"/>
      <c r="Q169" s="3421"/>
      <c r="R169" s="3421"/>
      <c r="S169" s="3421"/>
      <c r="T169" s="3421"/>
      <c r="U169" s="3421"/>
    </row>
    <row r="170" spans="2:21" ht="15" customHeight="1">
      <c r="B170" s="680"/>
      <c r="C170" s="2237"/>
      <c r="D170" s="2237"/>
      <c r="E170" s="2237"/>
      <c r="F170" s="2237"/>
      <c r="G170" s="2237"/>
      <c r="H170" s="2237"/>
      <c r="I170" s="2237"/>
      <c r="J170" s="2237"/>
      <c r="K170" s="2237"/>
      <c r="L170" s="2237"/>
      <c r="M170" s="2237"/>
      <c r="N170" s="2237"/>
      <c r="O170" s="2237"/>
      <c r="P170" s="3421"/>
      <c r="Q170" s="3421"/>
      <c r="R170" s="3421"/>
      <c r="S170" s="3421"/>
      <c r="T170" s="3421"/>
      <c r="U170" s="3421"/>
    </row>
    <row r="171" spans="2:21" ht="15" customHeight="1">
      <c r="B171" s="680"/>
      <c r="C171" s="2237"/>
      <c r="D171" s="2237"/>
      <c r="E171" s="2237"/>
      <c r="F171" s="2237"/>
      <c r="G171" s="2237"/>
      <c r="H171" s="2237"/>
      <c r="I171" s="2237"/>
      <c r="J171" s="2237"/>
      <c r="K171" s="2237"/>
      <c r="L171" s="2237"/>
      <c r="M171" s="2237"/>
      <c r="N171" s="2237"/>
      <c r="O171" s="2237"/>
      <c r="P171" s="3421"/>
      <c r="Q171" s="3421"/>
      <c r="R171" s="3421"/>
      <c r="S171" s="3421"/>
      <c r="T171" s="3421"/>
      <c r="U171" s="3421"/>
    </row>
    <row r="172" spans="2:21" ht="15" customHeight="1">
      <c r="B172" s="680"/>
      <c r="C172" s="2237"/>
      <c r="D172" s="2237"/>
      <c r="E172" s="2237"/>
      <c r="F172" s="2237"/>
      <c r="G172" s="2237"/>
      <c r="H172" s="2237"/>
      <c r="I172" s="2237"/>
      <c r="J172" s="2237"/>
      <c r="K172" s="2237"/>
      <c r="L172" s="2237"/>
      <c r="M172" s="2237"/>
      <c r="N172" s="2237"/>
      <c r="O172" s="2237"/>
      <c r="P172" s="3421"/>
      <c r="Q172" s="3421"/>
      <c r="R172" s="3421"/>
      <c r="S172" s="3421"/>
      <c r="T172" s="3421"/>
      <c r="U172" s="3421"/>
    </row>
    <row r="173" spans="2:21" ht="15" customHeight="1">
      <c r="B173" s="680"/>
      <c r="C173" s="2237"/>
      <c r="D173" s="2237"/>
      <c r="E173" s="2237"/>
      <c r="F173" s="2237"/>
      <c r="G173" s="2237"/>
      <c r="H173" s="2237"/>
      <c r="I173" s="2237"/>
      <c r="J173" s="2237"/>
      <c r="K173" s="2237"/>
      <c r="L173" s="2237"/>
      <c r="M173" s="2237"/>
      <c r="N173" s="2237"/>
      <c r="O173" s="2237"/>
      <c r="P173" s="3421"/>
      <c r="Q173" s="3421"/>
      <c r="R173" s="3421"/>
      <c r="S173" s="3421"/>
      <c r="T173" s="3421"/>
      <c r="U173" s="3421"/>
    </row>
    <row r="174" spans="2:21" ht="15" customHeight="1">
      <c r="B174" s="680"/>
      <c r="C174" s="2237"/>
      <c r="D174" s="2237"/>
      <c r="E174" s="2237"/>
      <c r="F174" s="2237"/>
      <c r="G174" s="2237"/>
      <c r="H174" s="2237"/>
      <c r="I174" s="2237"/>
      <c r="J174" s="2237"/>
      <c r="K174" s="2237"/>
      <c r="L174" s="2237"/>
      <c r="M174" s="2237"/>
      <c r="N174" s="2237"/>
      <c r="O174" s="2237"/>
      <c r="P174" s="3421"/>
      <c r="Q174" s="3421"/>
      <c r="R174" s="3421"/>
      <c r="S174" s="3421"/>
      <c r="T174" s="3421"/>
      <c r="U174" s="3421"/>
    </row>
    <row r="175" spans="2:21" ht="15" customHeight="1">
      <c r="B175" s="680"/>
      <c r="C175" s="2237"/>
      <c r="D175" s="2237"/>
      <c r="E175" s="2237"/>
      <c r="F175" s="2237"/>
      <c r="G175" s="2237"/>
      <c r="H175" s="2237"/>
      <c r="I175" s="2237"/>
      <c r="J175" s="2237"/>
      <c r="K175" s="2237"/>
      <c r="L175" s="2237"/>
      <c r="M175" s="2237"/>
      <c r="N175" s="2237"/>
      <c r="O175" s="2237"/>
      <c r="P175" s="3421"/>
      <c r="Q175" s="3421"/>
      <c r="R175" s="3421"/>
      <c r="S175" s="3421"/>
      <c r="T175" s="3421"/>
      <c r="U175" s="3421"/>
    </row>
    <row r="176" spans="2:21" ht="15" customHeight="1">
      <c r="B176" s="680"/>
      <c r="C176" s="2237"/>
      <c r="D176" s="2237"/>
      <c r="E176" s="2237"/>
      <c r="F176" s="2237"/>
      <c r="G176" s="2237"/>
      <c r="H176" s="2237"/>
      <c r="I176" s="2237"/>
      <c r="J176" s="2237"/>
      <c r="K176" s="2237"/>
      <c r="L176" s="2237"/>
      <c r="M176" s="2237"/>
      <c r="N176" s="2237"/>
      <c r="O176" s="2237"/>
      <c r="P176" s="3421"/>
      <c r="Q176" s="3421"/>
      <c r="R176" s="3421"/>
      <c r="S176" s="3421"/>
      <c r="T176" s="3421"/>
      <c r="U176" s="3421"/>
    </row>
    <row r="177" spans="2:21" ht="15" customHeight="1">
      <c r="B177" s="680"/>
      <c r="C177" s="2237"/>
      <c r="D177" s="2237"/>
      <c r="E177" s="2237"/>
      <c r="F177" s="2237"/>
      <c r="G177" s="2237"/>
      <c r="H177" s="2237"/>
      <c r="I177" s="2237"/>
      <c r="J177" s="2237"/>
      <c r="K177" s="2237"/>
      <c r="L177" s="2237"/>
      <c r="M177" s="2237"/>
      <c r="N177" s="2237"/>
      <c r="O177" s="2237"/>
      <c r="P177" s="3421"/>
      <c r="Q177" s="3421"/>
      <c r="R177" s="3421"/>
      <c r="S177" s="3421"/>
      <c r="T177" s="3421"/>
      <c r="U177" s="3421"/>
    </row>
    <row r="178" spans="2:21" ht="15" customHeight="1">
      <c r="B178" s="680"/>
      <c r="C178" s="2237"/>
      <c r="D178" s="2237"/>
      <c r="E178" s="2237"/>
      <c r="F178" s="2237"/>
      <c r="G178" s="2237"/>
      <c r="H178" s="2237"/>
      <c r="I178" s="2237"/>
      <c r="J178" s="2237"/>
      <c r="K178" s="2237"/>
      <c r="L178" s="2237"/>
      <c r="M178" s="2237"/>
      <c r="N178" s="2237"/>
      <c r="O178" s="2237"/>
      <c r="P178" s="3421"/>
      <c r="Q178" s="3421"/>
      <c r="R178" s="3421"/>
      <c r="S178" s="3421"/>
      <c r="T178" s="3421"/>
      <c r="U178" s="3421"/>
    </row>
    <row r="179" spans="2:21" ht="15" customHeight="1">
      <c r="B179" s="680"/>
      <c r="C179" s="2237"/>
      <c r="D179" s="2237"/>
      <c r="E179" s="2237"/>
      <c r="F179" s="2237"/>
      <c r="G179" s="2237"/>
      <c r="H179" s="2237"/>
      <c r="I179" s="2237"/>
      <c r="J179" s="2237"/>
      <c r="K179" s="2237"/>
      <c r="L179" s="2237"/>
      <c r="M179" s="2237"/>
      <c r="N179" s="2237"/>
      <c r="O179" s="2237"/>
      <c r="P179" s="3421"/>
      <c r="Q179" s="3421"/>
      <c r="R179" s="3421"/>
      <c r="S179" s="3421"/>
      <c r="T179" s="3421"/>
      <c r="U179" s="3421"/>
    </row>
    <row r="180" spans="2:21" ht="15" customHeight="1">
      <c r="B180" s="680"/>
      <c r="C180" s="2237"/>
      <c r="D180" s="2237"/>
      <c r="E180" s="2237"/>
      <c r="F180" s="2237"/>
      <c r="G180" s="2237"/>
      <c r="H180" s="2237"/>
      <c r="I180" s="2237"/>
      <c r="J180" s="2237"/>
      <c r="K180" s="2237"/>
      <c r="L180" s="2237"/>
      <c r="M180" s="2237"/>
      <c r="N180" s="2237"/>
      <c r="O180" s="2237"/>
      <c r="P180" s="3421"/>
      <c r="Q180" s="3421"/>
      <c r="R180" s="3421"/>
      <c r="S180" s="3421"/>
      <c r="T180" s="3421"/>
      <c r="U180" s="3421"/>
    </row>
    <row r="181" spans="2:21" ht="15" customHeight="1">
      <c r="B181" s="680"/>
      <c r="C181" s="2237"/>
      <c r="D181" s="2237"/>
      <c r="E181" s="2237"/>
      <c r="F181" s="2237"/>
      <c r="G181" s="2237"/>
      <c r="H181" s="2237"/>
      <c r="I181" s="2237"/>
      <c r="J181" s="2237"/>
      <c r="K181" s="2237"/>
      <c r="L181" s="2237"/>
      <c r="M181" s="2237"/>
      <c r="N181" s="2237"/>
      <c r="O181" s="2237"/>
      <c r="P181" s="3421"/>
      <c r="Q181" s="3421"/>
      <c r="R181" s="3421"/>
      <c r="S181" s="3421"/>
      <c r="T181" s="3421"/>
      <c r="U181" s="3421"/>
    </row>
    <row r="182" spans="2:21" ht="15" customHeight="1">
      <c r="B182" s="680"/>
      <c r="C182" s="2237"/>
      <c r="D182" s="2237"/>
      <c r="E182" s="2237"/>
      <c r="F182" s="2237"/>
      <c r="G182" s="2237"/>
      <c r="H182" s="2237"/>
      <c r="I182" s="2237"/>
      <c r="J182" s="2237"/>
      <c r="K182" s="2237"/>
      <c r="L182" s="2237"/>
      <c r="M182" s="2237"/>
      <c r="N182" s="2237"/>
      <c r="O182" s="2237"/>
      <c r="P182" s="3421"/>
      <c r="Q182" s="3421"/>
      <c r="R182" s="3421"/>
      <c r="S182" s="3421"/>
      <c r="T182" s="3421"/>
      <c r="U182" s="3421"/>
    </row>
    <row r="183" spans="2:21" ht="15" customHeight="1">
      <c r="B183" s="680"/>
      <c r="C183" s="2237"/>
      <c r="D183" s="2237"/>
      <c r="E183" s="2237"/>
      <c r="F183" s="2237"/>
      <c r="G183" s="2237"/>
      <c r="H183" s="2237"/>
      <c r="I183" s="2237"/>
      <c r="J183" s="2237"/>
      <c r="K183" s="2237"/>
      <c r="L183" s="2237"/>
      <c r="M183" s="2237"/>
      <c r="N183" s="2237"/>
      <c r="O183" s="2237"/>
      <c r="P183" s="3421"/>
      <c r="Q183" s="3421"/>
      <c r="R183" s="3421"/>
      <c r="S183" s="3421"/>
      <c r="T183" s="3421"/>
      <c r="U183" s="3421"/>
    </row>
    <row r="184" spans="2:21" ht="15" customHeight="1">
      <c r="B184" s="680"/>
      <c r="C184" s="2237"/>
      <c r="D184" s="2237"/>
      <c r="E184" s="2237"/>
      <c r="F184" s="2237"/>
      <c r="G184" s="2237"/>
      <c r="H184" s="2237"/>
      <c r="I184" s="2237"/>
      <c r="J184" s="2237"/>
      <c r="K184" s="2237"/>
      <c r="L184" s="2237"/>
      <c r="M184" s="2237"/>
      <c r="N184" s="2237"/>
      <c r="O184" s="2237"/>
      <c r="P184" s="3421"/>
      <c r="Q184" s="3421"/>
      <c r="R184" s="3421"/>
      <c r="S184" s="3421"/>
      <c r="T184" s="3421"/>
      <c r="U184" s="3421"/>
    </row>
    <row r="185" spans="2:21" ht="15" customHeight="1">
      <c r="B185" s="680"/>
      <c r="C185" s="2237"/>
      <c r="D185" s="2237"/>
      <c r="E185" s="2237"/>
      <c r="F185" s="2237"/>
      <c r="G185" s="2237"/>
      <c r="H185" s="2237"/>
      <c r="I185" s="2237"/>
      <c r="J185" s="2237"/>
      <c r="K185" s="2237"/>
      <c r="L185" s="2237"/>
      <c r="M185" s="2237"/>
      <c r="N185" s="2237"/>
      <c r="O185" s="2237"/>
      <c r="P185" s="3421"/>
      <c r="Q185" s="3421"/>
      <c r="R185" s="3421"/>
      <c r="S185" s="3421"/>
      <c r="T185" s="3421"/>
      <c r="U185" s="3421"/>
    </row>
    <row r="186" spans="2:21" ht="15" customHeight="1">
      <c r="B186" s="680"/>
      <c r="C186" s="2237"/>
      <c r="D186" s="2237"/>
      <c r="E186" s="2237"/>
      <c r="F186" s="2237"/>
      <c r="G186" s="2237"/>
      <c r="H186" s="2237"/>
      <c r="I186" s="2237"/>
      <c r="J186" s="2237"/>
      <c r="K186" s="2237"/>
      <c r="L186" s="2237"/>
      <c r="M186" s="2237"/>
      <c r="N186" s="2237"/>
      <c r="O186" s="2237"/>
      <c r="P186" s="3421"/>
      <c r="Q186" s="3421"/>
      <c r="R186" s="3421"/>
      <c r="S186" s="3421"/>
      <c r="T186" s="3421"/>
      <c r="U186" s="3421"/>
    </row>
    <row r="187" spans="2:21" ht="15" customHeight="1">
      <c r="B187" s="680"/>
      <c r="C187" s="2237"/>
      <c r="D187" s="2237"/>
      <c r="E187" s="2237"/>
      <c r="F187" s="2237"/>
      <c r="G187" s="2237"/>
      <c r="H187" s="2237"/>
      <c r="I187" s="2237"/>
      <c r="J187" s="2237"/>
      <c r="K187" s="2237"/>
      <c r="L187" s="2237"/>
      <c r="M187" s="2237"/>
      <c r="N187" s="2237"/>
      <c r="O187" s="2237"/>
      <c r="P187" s="3421"/>
      <c r="Q187" s="3421"/>
      <c r="R187" s="3421"/>
      <c r="S187" s="3421"/>
      <c r="T187" s="3421"/>
      <c r="U187" s="3421"/>
    </row>
    <row r="188" spans="2:21" ht="15" customHeight="1">
      <c r="B188" s="680"/>
      <c r="C188" s="2237"/>
      <c r="D188" s="2237"/>
      <c r="E188" s="2237"/>
      <c r="F188" s="2237"/>
      <c r="G188" s="2237"/>
      <c r="H188" s="2237"/>
      <c r="I188" s="2237"/>
      <c r="J188" s="2237"/>
      <c r="K188" s="2237"/>
      <c r="L188" s="2237"/>
      <c r="M188" s="2237"/>
      <c r="N188" s="2237"/>
      <c r="O188" s="2237"/>
      <c r="P188" s="3421"/>
      <c r="Q188" s="3421"/>
      <c r="R188" s="3421"/>
      <c r="S188" s="3421"/>
      <c r="T188" s="3421"/>
      <c r="U188" s="3421"/>
    </row>
    <row r="189" spans="2:21" ht="15" customHeight="1">
      <c r="B189" s="680"/>
      <c r="C189" s="2237"/>
      <c r="D189" s="2237"/>
      <c r="E189" s="2237"/>
      <c r="F189" s="2237"/>
      <c r="G189" s="2237"/>
      <c r="H189" s="2237"/>
      <c r="I189" s="2237"/>
      <c r="J189" s="2237"/>
      <c r="K189" s="2237"/>
      <c r="L189" s="2237"/>
      <c r="M189" s="2237"/>
      <c r="N189" s="2237"/>
      <c r="O189" s="2237"/>
      <c r="P189" s="3421"/>
      <c r="Q189" s="3421"/>
      <c r="R189" s="3421"/>
      <c r="S189" s="3421"/>
      <c r="T189" s="3421"/>
      <c r="U189" s="3421"/>
    </row>
    <row r="190" spans="2:21" ht="15" customHeight="1">
      <c r="B190" s="680"/>
      <c r="C190" s="2237"/>
      <c r="D190" s="2237"/>
      <c r="E190" s="2237"/>
      <c r="F190" s="2237"/>
      <c r="G190" s="2237"/>
      <c r="H190" s="2237"/>
      <c r="I190" s="2237"/>
      <c r="J190" s="2237"/>
      <c r="K190" s="2237"/>
      <c r="L190" s="2237"/>
      <c r="M190" s="2237"/>
      <c r="N190" s="2237"/>
      <c r="O190" s="2237"/>
      <c r="P190" s="3421"/>
      <c r="Q190" s="3421"/>
      <c r="R190" s="3421"/>
      <c r="S190" s="3421"/>
      <c r="T190" s="3421"/>
      <c r="U190" s="3421"/>
    </row>
    <row r="191" spans="2:21" ht="15" customHeight="1">
      <c r="B191" s="680"/>
      <c r="C191" s="2237"/>
      <c r="D191" s="2237"/>
      <c r="E191" s="2237"/>
      <c r="F191" s="2237"/>
      <c r="G191" s="2237"/>
      <c r="H191" s="2237"/>
      <c r="I191" s="2237"/>
      <c r="J191" s="2237"/>
      <c r="K191" s="2237"/>
      <c r="L191" s="2237"/>
      <c r="M191" s="2237"/>
      <c r="N191" s="2237"/>
      <c r="O191" s="2237"/>
      <c r="P191" s="3421"/>
      <c r="Q191" s="3421"/>
      <c r="R191" s="3421"/>
      <c r="S191" s="3421"/>
      <c r="T191" s="3421"/>
      <c r="U191" s="3421"/>
    </row>
    <row r="192" spans="2:21" ht="15" customHeight="1">
      <c r="B192" s="680"/>
      <c r="C192" s="2237"/>
      <c r="D192" s="2237"/>
      <c r="E192" s="2237"/>
      <c r="F192" s="2237"/>
      <c r="G192" s="2237"/>
      <c r="H192" s="2237"/>
      <c r="I192" s="2237"/>
      <c r="J192" s="2237"/>
      <c r="K192" s="2237"/>
      <c r="L192" s="2237"/>
      <c r="M192" s="2237"/>
      <c r="N192" s="2237"/>
      <c r="O192" s="2237"/>
      <c r="P192" s="3421"/>
      <c r="Q192" s="3421"/>
      <c r="R192" s="3421"/>
      <c r="S192" s="3421"/>
      <c r="T192" s="3421"/>
      <c r="U192" s="3421"/>
    </row>
    <row r="193" spans="2:21" ht="15" customHeight="1">
      <c r="B193" s="680"/>
      <c r="C193" s="2237"/>
      <c r="D193" s="2237"/>
      <c r="E193" s="2237"/>
      <c r="F193" s="2237"/>
      <c r="G193" s="2237"/>
      <c r="H193" s="2237"/>
      <c r="I193" s="2237"/>
      <c r="J193" s="2237"/>
      <c r="K193" s="2237"/>
      <c r="L193" s="2237"/>
      <c r="M193" s="2237"/>
      <c r="N193" s="2237"/>
      <c r="O193" s="2237"/>
      <c r="P193" s="3421"/>
      <c r="Q193" s="3421"/>
      <c r="R193" s="3421"/>
      <c r="S193" s="3421"/>
      <c r="T193" s="3421"/>
      <c r="U193" s="3421"/>
    </row>
    <row r="194" spans="2:21" ht="15" customHeight="1">
      <c r="B194" s="680"/>
      <c r="C194" s="2237"/>
      <c r="D194" s="2237"/>
      <c r="E194" s="2237"/>
      <c r="F194" s="2237"/>
      <c r="G194" s="2237"/>
      <c r="H194" s="2237"/>
      <c r="I194" s="2237"/>
      <c r="J194" s="2237"/>
      <c r="K194" s="2237"/>
      <c r="L194" s="2237"/>
      <c r="M194" s="2237"/>
      <c r="N194" s="2237"/>
      <c r="O194" s="2237"/>
      <c r="P194" s="3421"/>
      <c r="Q194" s="3421"/>
      <c r="R194" s="3421"/>
      <c r="S194" s="3421"/>
      <c r="T194" s="3421"/>
      <c r="U194" s="3421"/>
    </row>
    <row r="195" spans="2:21" ht="15" customHeight="1">
      <c r="B195" s="680"/>
      <c r="C195" s="2237"/>
      <c r="D195" s="2237"/>
      <c r="E195" s="2237"/>
      <c r="F195" s="2237"/>
      <c r="G195" s="2237"/>
      <c r="H195" s="2237"/>
      <c r="I195" s="2237"/>
      <c r="J195" s="2237"/>
      <c r="K195" s="2237"/>
      <c r="L195" s="2237"/>
      <c r="M195" s="2237"/>
      <c r="N195" s="2237"/>
      <c r="O195" s="2237"/>
      <c r="P195" s="3421"/>
      <c r="Q195" s="3421"/>
      <c r="R195" s="3421"/>
      <c r="S195" s="3421"/>
      <c r="T195" s="3421"/>
      <c r="U195" s="3421"/>
    </row>
    <row r="196" spans="2:21" ht="15" customHeight="1">
      <c r="B196" s="680"/>
      <c r="C196" s="2237"/>
      <c r="D196" s="2237"/>
      <c r="E196" s="2237"/>
      <c r="F196" s="2237"/>
      <c r="G196" s="2237"/>
      <c r="H196" s="2237"/>
      <c r="I196" s="2237"/>
      <c r="J196" s="2237"/>
      <c r="K196" s="2237"/>
      <c r="L196" s="2237"/>
      <c r="M196" s="2237"/>
      <c r="N196" s="2237"/>
      <c r="O196" s="2237"/>
      <c r="P196" s="3421"/>
      <c r="Q196" s="3421"/>
      <c r="R196" s="3421"/>
      <c r="S196" s="3421"/>
      <c r="T196" s="3421"/>
      <c r="U196" s="3421"/>
    </row>
    <row r="197" spans="2:21" ht="15" customHeight="1">
      <c r="B197" s="680"/>
      <c r="C197" s="2237"/>
      <c r="D197" s="2237"/>
      <c r="E197" s="2237"/>
      <c r="F197" s="2237"/>
      <c r="G197" s="2237"/>
      <c r="H197" s="2237"/>
      <c r="I197" s="2237"/>
      <c r="J197" s="2237"/>
      <c r="K197" s="2237"/>
      <c r="L197" s="2237"/>
      <c r="M197" s="2237"/>
      <c r="N197" s="2237"/>
      <c r="O197" s="2237"/>
      <c r="P197" s="3421"/>
      <c r="Q197" s="3421"/>
      <c r="R197" s="3421"/>
      <c r="S197" s="3421"/>
      <c r="T197" s="3421"/>
      <c r="U197" s="3421"/>
    </row>
    <row r="198" spans="2:21" ht="15" customHeight="1">
      <c r="B198" s="680"/>
      <c r="C198" s="2237"/>
      <c r="D198" s="2237"/>
      <c r="E198" s="2237"/>
      <c r="F198" s="2237"/>
      <c r="G198" s="2237"/>
      <c r="H198" s="2237"/>
      <c r="I198" s="2237"/>
      <c r="J198" s="2237"/>
      <c r="K198" s="2237"/>
      <c r="L198" s="2237"/>
      <c r="M198" s="2237"/>
      <c r="N198" s="2237"/>
      <c r="O198" s="2237"/>
      <c r="P198" s="3421"/>
      <c r="Q198" s="3421"/>
      <c r="R198" s="3421"/>
      <c r="S198" s="3421"/>
      <c r="T198" s="3421"/>
      <c r="U198" s="3421"/>
    </row>
    <row r="199" spans="2:21" ht="15" customHeight="1">
      <c r="B199" s="680"/>
      <c r="C199" s="2237"/>
      <c r="D199" s="2237"/>
      <c r="E199" s="2237"/>
      <c r="F199" s="2237"/>
      <c r="G199" s="2237"/>
      <c r="H199" s="2237"/>
      <c r="I199" s="2237"/>
      <c r="J199" s="2237"/>
      <c r="K199" s="2237"/>
      <c r="L199" s="2237"/>
      <c r="M199" s="2237"/>
      <c r="N199" s="2237"/>
      <c r="O199" s="2237"/>
      <c r="P199" s="3421"/>
      <c r="Q199" s="3421"/>
      <c r="R199" s="3421"/>
      <c r="S199" s="3421"/>
      <c r="T199" s="3421"/>
      <c r="U199" s="3421"/>
    </row>
    <row r="200" spans="2:21" ht="15" customHeight="1">
      <c r="B200" s="680"/>
      <c r="C200" s="2237"/>
      <c r="D200" s="2237"/>
      <c r="E200" s="2237"/>
      <c r="F200" s="2237"/>
      <c r="G200" s="2237"/>
      <c r="H200" s="2237"/>
      <c r="I200" s="2237"/>
      <c r="J200" s="2237"/>
      <c r="K200" s="2237"/>
      <c r="L200" s="2237"/>
      <c r="M200" s="2237"/>
      <c r="N200" s="2237"/>
      <c r="O200" s="2237"/>
      <c r="P200" s="3421"/>
      <c r="Q200" s="3421"/>
      <c r="R200" s="3421"/>
      <c r="S200" s="3421"/>
      <c r="T200" s="3421"/>
      <c r="U200" s="3421"/>
    </row>
    <row r="201" spans="2:21" ht="15" customHeight="1">
      <c r="B201" s="680"/>
      <c r="C201" s="2237"/>
      <c r="D201" s="2237"/>
      <c r="E201" s="2237"/>
      <c r="F201" s="2237"/>
      <c r="G201" s="2237"/>
      <c r="H201" s="2237"/>
      <c r="I201" s="2237"/>
      <c r="J201" s="2237"/>
      <c r="K201" s="2237"/>
      <c r="L201" s="2237"/>
      <c r="M201" s="2237"/>
      <c r="N201" s="2237"/>
      <c r="O201" s="2237"/>
      <c r="P201" s="3421"/>
      <c r="Q201" s="3421"/>
      <c r="R201" s="3421"/>
      <c r="S201" s="3421"/>
      <c r="T201" s="3421"/>
      <c r="U201" s="3421"/>
    </row>
    <row r="202" spans="2:21" ht="15" customHeight="1">
      <c r="B202" s="680"/>
      <c r="C202" s="2237"/>
      <c r="D202" s="2237"/>
      <c r="E202" s="2237"/>
      <c r="F202" s="2237"/>
      <c r="G202" s="2237"/>
      <c r="H202" s="2237"/>
      <c r="I202" s="2237"/>
      <c r="J202" s="2237"/>
      <c r="K202" s="2237"/>
      <c r="L202" s="2237"/>
      <c r="M202" s="2237"/>
      <c r="N202" s="2237"/>
      <c r="O202" s="2237"/>
      <c r="P202" s="3421"/>
      <c r="Q202" s="3421"/>
      <c r="R202" s="3421"/>
      <c r="S202" s="3421"/>
      <c r="T202" s="3421"/>
      <c r="U202" s="3421"/>
    </row>
    <row r="203" spans="2:21" ht="15" customHeight="1">
      <c r="B203" s="680"/>
      <c r="C203" s="2237"/>
      <c r="D203" s="2237"/>
      <c r="E203" s="2237"/>
      <c r="F203" s="2237"/>
      <c r="G203" s="2237"/>
      <c r="H203" s="2237"/>
      <c r="I203" s="2237"/>
      <c r="J203" s="2237"/>
      <c r="K203" s="2237"/>
      <c r="L203" s="2237"/>
      <c r="M203" s="2237"/>
      <c r="N203" s="2237"/>
      <c r="O203" s="2237"/>
      <c r="P203" s="3421"/>
      <c r="Q203" s="3421"/>
      <c r="R203" s="3421"/>
      <c r="S203" s="3421"/>
      <c r="T203" s="3421"/>
      <c r="U203" s="3421"/>
    </row>
    <row r="204" spans="2:21" ht="15" customHeight="1">
      <c r="B204" s="680"/>
      <c r="C204" s="2237"/>
      <c r="D204" s="2237"/>
      <c r="E204" s="2237"/>
      <c r="F204" s="2237"/>
      <c r="G204" s="2237"/>
      <c r="H204" s="2237"/>
      <c r="I204" s="2237"/>
      <c r="J204" s="2237"/>
      <c r="K204" s="2237"/>
      <c r="L204" s="2237"/>
      <c r="M204" s="2237"/>
      <c r="N204" s="2237"/>
      <c r="O204" s="2237"/>
      <c r="P204" s="3421"/>
      <c r="Q204" s="3421"/>
      <c r="R204" s="3421"/>
      <c r="S204" s="3421"/>
      <c r="T204" s="3421"/>
      <c r="U204" s="3421"/>
    </row>
    <row r="205" spans="2:21" ht="15" customHeight="1">
      <c r="B205" s="680"/>
      <c r="C205" s="2237"/>
      <c r="D205" s="2237"/>
      <c r="E205" s="2237"/>
      <c r="F205" s="2237"/>
      <c r="G205" s="2237"/>
      <c r="H205" s="2237"/>
      <c r="I205" s="2237"/>
      <c r="J205" s="2237"/>
      <c r="K205" s="2237"/>
      <c r="L205" s="2237"/>
      <c r="M205" s="2237"/>
      <c r="N205" s="2237"/>
      <c r="O205" s="2237"/>
      <c r="P205" s="3421"/>
      <c r="Q205" s="3421"/>
      <c r="R205" s="3421"/>
      <c r="S205" s="3421"/>
      <c r="T205" s="3421"/>
      <c r="U205" s="3421"/>
    </row>
    <row r="206" spans="2:21" ht="15" customHeight="1">
      <c r="B206" s="680"/>
      <c r="C206" s="2237"/>
      <c r="D206" s="2237"/>
      <c r="E206" s="2237"/>
      <c r="F206" s="2237"/>
      <c r="G206" s="2237"/>
      <c r="H206" s="2237"/>
      <c r="I206" s="2237"/>
      <c r="J206" s="2237"/>
      <c r="K206" s="2237"/>
      <c r="L206" s="2237"/>
      <c r="M206" s="2237"/>
      <c r="N206" s="2237"/>
      <c r="O206" s="2237"/>
      <c r="P206" s="3421"/>
      <c r="Q206" s="3421"/>
      <c r="R206" s="3421"/>
      <c r="S206" s="3421"/>
      <c r="T206" s="3421"/>
      <c r="U206" s="3421"/>
    </row>
    <row r="207" spans="2:21" ht="15" customHeight="1">
      <c r="B207" s="680"/>
      <c r="C207" s="2237"/>
      <c r="D207" s="2237"/>
      <c r="E207" s="2237"/>
      <c r="F207" s="2237"/>
      <c r="G207" s="2237"/>
      <c r="H207" s="2237"/>
      <c r="I207" s="2237"/>
      <c r="J207" s="2237"/>
      <c r="K207" s="2237"/>
      <c r="L207" s="2237"/>
      <c r="M207" s="2237"/>
      <c r="N207" s="2237"/>
      <c r="O207" s="2237"/>
      <c r="P207" s="3421"/>
      <c r="Q207" s="3421"/>
      <c r="R207" s="3421"/>
      <c r="S207" s="3421"/>
      <c r="T207" s="3421"/>
      <c r="U207" s="3421"/>
    </row>
    <row r="208" spans="2:21" ht="15" customHeight="1">
      <c r="B208" s="680"/>
      <c r="C208" s="2237"/>
      <c r="D208" s="2237"/>
      <c r="E208" s="2237"/>
      <c r="F208" s="2237"/>
      <c r="G208" s="2237"/>
      <c r="H208" s="2237"/>
      <c r="I208" s="2237"/>
      <c r="J208" s="2237"/>
      <c r="K208" s="2237"/>
      <c r="L208" s="2237"/>
      <c r="M208" s="2237"/>
      <c r="N208" s="2237"/>
      <c r="O208" s="2237"/>
      <c r="P208" s="3421"/>
      <c r="Q208" s="3421"/>
      <c r="R208" s="3421"/>
      <c r="S208" s="3421"/>
      <c r="T208" s="3421"/>
      <c r="U208" s="3421"/>
    </row>
    <row r="209" spans="2:21" ht="15" customHeight="1">
      <c r="B209" s="680"/>
      <c r="C209" s="2237"/>
      <c r="D209" s="2237"/>
      <c r="E209" s="2237"/>
      <c r="F209" s="2237"/>
      <c r="G209" s="2237"/>
      <c r="H209" s="2237"/>
      <c r="I209" s="2237"/>
      <c r="J209" s="2237"/>
      <c r="K209" s="2237"/>
      <c r="L209" s="2237"/>
      <c r="M209" s="2237"/>
      <c r="N209" s="2237"/>
      <c r="O209" s="2237"/>
      <c r="P209" s="3421"/>
      <c r="Q209" s="3421"/>
      <c r="R209" s="3421"/>
      <c r="S209" s="3421"/>
      <c r="T209" s="3421"/>
      <c r="U209" s="3421"/>
    </row>
    <row r="210" spans="2:21" ht="15" customHeight="1">
      <c r="B210" s="680"/>
      <c r="C210" s="2237"/>
      <c r="D210" s="2237"/>
      <c r="E210" s="2237"/>
      <c r="F210" s="2237"/>
      <c r="G210" s="2237"/>
      <c r="H210" s="2237"/>
      <c r="I210" s="2237"/>
      <c r="J210" s="2237"/>
      <c r="K210" s="2237"/>
      <c r="L210" s="2237"/>
      <c r="M210" s="2237"/>
      <c r="N210" s="2237"/>
      <c r="O210" s="2237"/>
      <c r="P210" s="3421"/>
      <c r="Q210" s="3421"/>
      <c r="R210" s="3421"/>
      <c r="S210" s="3421"/>
      <c r="T210" s="3421"/>
      <c r="U210" s="3421"/>
    </row>
    <row r="211" spans="2:21" ht="15" customHeight="1">
      <c r="B211" s="680"/>
      <c r="C211" s="2237"/>
      <c r="D211" s="2237"/>
      <c r="E211" s="2237"/>
      <c r="F211" s="2237"/>
      <c r="G211" s="2237"/>
      <c r="H211" s="2237"/>
      <c r="I211" s="2237"/>
      <c r="J211" s="2237"/>
      <c r="K211" s="2237"/>
      <c r="L211" s="2237"/>
      <c r="M211" s="2237"/>
      <c r="N211" s="2237"/>
      <c r="O211" s="2237"/>
      <c r="P211" s="3421"/>
      <c r="Q211" s="3421"/>
      <c r="R211" s="3421"/>
      <c r="S211" s="3421"/>
      <c r="T211" s="3421"/>
      <c r="U211" s="3421"/>
    </row>
    <row r="212" spans="2:21" ht="15" customHeight="1">
      <c r="B212" s="680"/>
      <c r="C212" s="2237"/>
      <c r="D212" s="2237"/>
      <c r="E212" s="2237"/>
      <c r="F212" s="2237"/>
      <c r="G212" s="2237"/>
      <c r="H212" s="2237"/>
      <c r="I212" s="2237"/>
      <c r="J212" s="2237"/>
      <c r="K212" s="2237"/>
      <c r="L212" s="2237"/>
      <c r="M212" s="2237"/>
      <c r="N212" s="2237"/>
      <c r="O212" s="2237"/>
      <c r="P212" s="3421"/>
      <c r="Q212" s="3421"/>
      <c r="R212" s="3421"/>
      <c r="S212" s="3421"/>
      <c r="T212" s="3421"/>
      <c r="U212" s="3421"/>
    </row>
    <row r="213" spans="2:21" ht="15" customHeight="1">
      <c r="B213" s="680"/>
      <c r="C213" s="2237"/>
      <c r="D213" s="2237"/>
      <c r="E213" s="2237"/>
      <c r="F213" s="2237"/>
      <c r="G213" s="2237"/>
      <c r="H213" s="2237"/>
      <c r="I213" s="2237"/>
      <c r="J213" s="2237"/>
      <c r="K213" s="2237"/>
      <c r="L213" s="2237"/>
      <c r="M213" s="2237"/>
      <c r="N213" s="2237"/>
      <c r="O213" s="2237"/>
      <c r="P213" s="3421"/>
      <c r="Q213" s="3421"/>
      <c r="R213" s="3421"/>
      <c r="S213" s="3421"/>
      <c r="T213" s="3421"/>
      <c r="U213" s="3421"/>
    </row>
    <row r="214" spans="2:21" ht="15" customHeight="1">
      <c r="B214" s="680"/>
      <c r="C214" s="2237"/>
      <c r="D214" s="2237"/>
      <c r="E214" s="2237"/>
      <c r="F214" s="2237"/>
      <c r="G214" s="2237"/>
      <c r="H214" s="2237"/>
      <c r="I214" s="2237"/>
      <c r="J214" s="2237"/>
      <c r="K214" s="2237"/>
      <c r="L214" s="2237"/>
      <c r="M214" s="2237"/>
      <c r="N214" s="2237"/>
      <c r="O214" s="2237"/>
      <c r="P214" s="3421"/>
      <c r="Q214" s="3421"/>
      <c r="R214" s="3421"/>
      <c r="S214" s="3421"/>
      <c r="T214" s="3421"/>
      <c r="U214" s="3421"/>
    </row>
    <row r="215" spans="2:21" ht="15" customHeight="1">
      <c r="B215" s="680"/>
      <c r="C215" s="2237"/>
      <c r="D215" s="2237"/>
      <c r="E215" s="2237"/>
      <c r="F215" s="2237"/>
      <c r="G215" s="2237"/>
      <c r="H215" s="2237"/>
      <c r="I215" s="2237"/>
      <c r="J215" s="2237"/>
      <c r="K215" s="2237"/>
      <c r="L215" s="2237"/>
      <c r="M215" s="2237"/>
      <c r="N215" s="2237"/>
      <c r="O215" s="2237"/>
      <c r="P215" s="3421"/>
      <c r="Q215" s="3421"/>
      <c r="R215" s="3421"/>
      <c r="S215" s="3421"/>
      <c r="T215" s="3421"/>
      <c r="U215" s="3421"/>
    </row>
    <row r="216" spans="2:21" ht="15" customHeight="1">
      <c r="B216" s="680"/>
      <c r="C216" s="2237"/>
      <c r="D216" s="2237"/>
      <c r="E216" s="2237"/>
      <c r="F216" s="2237"/>
      <c r="G216" s="2237"/>
      <c r="H216" s="2237"/>
      <c r="I216" s="2237"/>
      <c r="J216" s="2237"/>
      <c r="K216" s="2237"/>
      <c r="L216" s="2237"/>
      <c r="M216" s="2237"/>
      <c r="N216" s="2237"/>
      <c r="O216" s="2237"/>
      <c r="P216" s="3421"/>
      <c r="Q216" s="3421"/>
      <c r="R216" s="3421"/>
      <c r="S216" s="3421"/>
      <c r="T216" s="3421"/>
      <c r="U216" s="3421"/>
    </row>
    <row r="217" spans="2:21" ht="15" customHeight="1">
      <c r="B217" s="680"/>
      <c r="C217" s="2237"/>
      <c r="D217" s="2237"/>
      <c r="E217" s="2237"/>
      <c r="F217" s="2237"/>
      <c r="G217" s="2237"/>
      <c r="H217" s="2237"/>
      <c r="I217" s="2237"/>
      <c r="J217" s="2237"/>
      <c r="K217" s="2237"/>
      <c r="L217" s="2237"/>
      <c r="M217" s="2237"/>
      <c r="N217" s="2237"/>
      <c r="O217" s="2237"/>
      <c r="P217" s="3421"/>
      <c r="Q217" s="3421"/>
      <c r="R217" s="3421"/>
      <c r="S217" s="3421"/>
      <c r="T217" s="3421"/>
      <c r="U217" s="3421"/>
    </row>
    <row r="218" spans="2:21" ht="15" customHeight="1">
      <c r="B218" s="680"/>
      <c r="C218" s="2237"/>
      <c r="D218" s="2237"/>
      <c r="E218" s="2237"/>
      <c r="F218" s="2237"/>
      <c r="G218" s="2237"/>
      <c r="H218" s="2237"/>
      <c r="I218" s="2237"/>
      <c r="J218" s="2237"/>
      <c r="K218" s="2237"/>
      <c r="L218" s="2237"/>
      <c r="M218" s="2237"/>
      <c r="N218" s="2237"/>
      <c r="O218" s="2237"/>
      <c r="P218" s="3421"/>
      <c r="Q218" s="3421"/>
      <c r="R218" s="3421"/>
      <c r="S218" s="3421"/>
      <c r="T218" s="3421"/>
      <c r="U218" s="3421"/>
    </row>
    <row r="219" spans="2:21" ht="15" customHeight="1">
      <c r="B219" s="680"/>
      <c r="C219" s="2237"/>
      <c r="D219" s="2237"/>
      <c r="E219" s="2237"/>
      <c r="F219" s="2237"/>
      <c r="G219" s="2237"/>
      <c r="H219" s="2237"/>
      <c r="I219" s="2237"/>
      <c r="J219" s="2237"/>
      <c r="K219" s="2237"/>
      <c r="L219" s="2237"/>
      <c r="M219" s="2237"/>
      <c r="N219" s="2237"/>
      <c r="O219" s="2237"/>
      <c r="P219" s="3421"/>
      <c r="Q219" s="3421"/>
      <c r="R219" s="3421"/>
      <c r="S219" s="3421"/>
      <c r="T219" s="3421"/>
      <c r="U219" s="3421"/>
    </row>
    <row r="220" spans="2:21" ht="15" customHeight="1">
      <c r="B220" s="680"/>
      <c r="C220" s="2237"/>
      <c r="D220" s="2237"/>
      <c r="E220" s="2237"/>
      <c r="F220" s="2237"/>
      <c r="G220" s="2237"/>
      <c r="H220" s="2237"/>
      <c r="I220" s="2237"/>
      <c r="J220" s="2237"/>
      <c r="K220" s="2237"/>
      <c r="L220" s="2237"/>
      <c r="M220" s="2237"/>
      <c r="N220" s="2237"/>
      <c r="O220" s="2237"/>
      <c r="P220" s="3421"/>
      <c r="Q220" s="3421"/>
      <c r="R220" s="3421"/>
      <c r="S220" s="3421"/>
      <c r="T220" s="3421"/>
      <c r="U220" s="3421"/>
    </row>
    <row r="221" spans="2:21" ht="15" customHeight="1">
      <c r="B221" s="680"/>
      <c r="C221" s="2237"/>
      <c r="D221" s="2237"/>
      <c r="E221" s="2237"/>
      <c r="F221" s="2237"/>
      <c r="G221" s="2237"/>
      <c r="H221" s="2237"/>
      <c r="I221" s="2237"/>
      <c r="J221" s="2237"/>
      <c r="K221" s="2237"/>
      <c r="L221" s="2237"/>
      <c r="M221" s="2237"/>
      <c r="N221" s="2237"/>
      <c r="O221" s="2237"/>
      <c r="P221" s="3421"/>
      <c r="Q221" s="3421"/>
      <c r="R221" s="3421"/>
      <c r="S221" s="3421"/>
      <c r="T221" s="3421"/>
      <c r="U221" s="3421"/>
    </row>
    <row r="222" spans="2:21" ht="15" customHeight="1">
      <c r="B222" s="680"/>
      <c r="C222" s="2237"/>
      <c r="D222" s="2237"/>
      <c r="E222" s="2237"/>
      <c r="F222" s="2237"/>
      <c r="G222" s="2237"/>
      <c r="H222" s="2237"/>
      <c r="I222" s="2237"/>
      <c r="J222" s="2237"/>
      <c r="K222" s="2237"/>
      <c r="L222" s="2237"/>
      <c r="M222" s="2237"/>
      <c r="N222" s="2237"/>
      <c r="O222" s="2237"/>
      <c r="P222" s="3421"/>
      <c r="Q222" s="3421"/>
      <c r="R222" s="3421"/>
      <c r="S222" s="3421"/>
      <c r="T222" s="3421"/>
      <c r="U222" s="3421"/>
    </row>
    <row r="223" spans="2:21" ht="15" customHeight="1">
      <c r="B223" s="680"/>
      <c r="C223" s="2237"/>
      <c r="D223" s="2237"/>
      <c r="E223" s="2237"/>
      <c r="F223" s="2237"/>
      <c r="G223" s="2237"/>
      <c r="H223" s="2237"/>
      <c r="I223" s="2237"/>
      <c r="J223" s="2237"/>
      <c r="K223" s="2237"/>
      <c r="L223" s="2237"/>
      <c r="M223" s="2237"/>
      <c r="N223" s="2237"/>
      <c r="O223" s="2237"/>
      <c r="P223" s="3421"/>
      <c r="Q223" s="3421"/>
      <c r="R223" s="3421"/>
      <c r="S223" s="3421"/>
      <c r="T223" s="3421"/>
      <c r="U223" s="3421"/>
    </row>
    <row r="224" spans="2:21" ht="15" customHeight="1">
      <c r="B224" s="680"/>
      <c r="C224" s="2237"/>
      <c r="D224" s="2237"/>
      <c r="E224" s="2237"/>
      <c r="F224" s="2237"/>
      <c r="G224" s="2237"/>
      <c r="H224" s="2237"/>
      <c r="I224" s="2237"/>
      <c r="J224" s="2237"/>
      <c r="K224" s="2237"/>
      <c r="L224" s="2237"/>
      <c r="M224" s="2237"/>
      <c r="N224" s="2237"/>
      <c r="O224" s="2237"/>
      <c r="P224" s="3421"/>
      <c r="Q224" s="3421"/>
      <c r="R224" s="3421"/>
      <c r="S224" s="3421"/>
      <c r="T224" s="3421"/>
      <c r="U224" s="3421"/>
    </row>
    <row r="225" spans="2:21" ht="15" customHeight="1">
      <c r="B225" s="680"/>
      <c r="C225" s="2237"/>
      <c r="D225" s="2237"/>
      <c r="E225" s="2237"/>
      <c r="F225" s="2237"/>
      <c r="G225" s="2237"/>
      <c r="H225" s="2237"/>
      <c r="I225" s="2237"/>
      <c r="J225" s="2237"/>
      <c r="K225" s="2237"/>
      <c r="L225" s="2237"/>
      <c r="M225" s="2237"/>
      <c r="N225" s="2237"/>
      <c r="O225" s="2237"/>
      <c r="P225" s="3421"/>
      <c r="Q225" s="3421"/>
      <c r="R225" s="3421"/>
      <c r="S225" s="3421"/>
      <c r="T225" s="3421"/>
      <c r="U225" s="3421"/>
    </row>
    <row r="226" spans="2:21" ht="15" customHeight="1">
      <c r="B226" s="680"/>
      <c r="C226" s="2237"/>
      <c r="D226" s="3421"/>
      <c r="E226" s="2237"/>
      <c r="F226" s="2237"/>
      <c r="G226" s="2237"/>
      <c r="H226" s="2237"/>
      <c r="I226" s="2237"/>
      <c r="J226" s="2237"/>
      <c r="K226" s="2237"/>
      <c r="L226" s="2237"/>
      <c r="M226" s="2237"/>
      <c r="N226" s="2237"/>
      <c r="O226" s="2237"/>
      <c r="P226" s="3421"/>
      <c r="Q226" s="3421"/>
      <c r="R226" s="3421"/>
      <c r="S226" s="3421"/>
      <c r="T226" s="3421"/>
      <c r="U226" s="3421"/>
    </row>
    <row r="227" spans="2:21" ht="15" customHeight="1">
      <c r="B227" s="680"/>
      <c r="C227" s="2237"/>
      <c r="D227" s="3421"/>
      <c r="E227" s="2237"/>
      <c r="F227" s="2237"/>
      <c r="G227" s="2237"/>
      <c r="H227" s="2237"/>
      <c r="I227" s="2237"/>
      <c r="J227" s="2237"/>
      <c r="K227" s="2237"/>
      <c r="L227" s="2237"/>
      <c r="M227" s="2237"/>
      <c r="N227" s="2237"/>
      <c r="O227" s="2237"/>
      <c r="P227" s="3421"/>
      <c r="Q227" s="3421"/>
      <c r="R227" s="3421"/>
      <c r="S227" s="3421"/>
      <c r="T227" s="3421"/>
      <c r="U227" s="3421"/>
    </row>
    <row r="228" spans="2:21" ht="15" customHeight="1">
      <c r="B228" s="680"/>
      <c r="C228" s="2237"/>
      <c r="D228" s="3421"/>
      <c r="E228" s="2237"/>
      <c r="F228" s="2237"/>
      <c r="G228" s="2237"/>
      <c r="H228" s="2237"/>
      <c r="I228" s="2237"/>
      <c r="J228" s="2237"/>
      <c r="K228" s="2237"/>
      <c r="L228" s="2237"/>
      <c r="M228" s="2237"/>
      <c r="N228" s="2237"/>
      <c r="O228" s="2237"/>
      <c r="P228" s="3421"/>
      <c r="Q228" s="3421"/>
      <c r="R228" s="3421"/>
      <c r="S228" s="3421"/>
      <c r="T228" s="3421"/>
      <c r="U228" s="3421"/>
    </row>
    <row r="229" spans="2:21" ht="15" customHeight="1">
      <c r="B229" s="680"/>
      <c r="C229" s="2237"/>
      <c r="D229" s="3421"/>
      <c r="E229" s="2237"/>
      <c r="F229" s="2237"/>
      <c r="G229" s="2237"/>
      <c r="H229" s="2237"/>
      <c r="I229" s="2237"/>
      <c r="J229" s="2237"/>
      <c r="K229" s="2237"/>
      <c r="L229" s="2237"/>
      <c r="M229" s="2237"/>
      <c r="N229" s="2237"/>
      <c r="O229" s="2237"/>
      <c r="P229" s="3421"/>
      <c r="Q229" s="3421"/>
      <c r="R229" s="3421"/>
      <c r="S229" s="3421"/>
      <c r="T229" s="3421"/>
      <c r="U229" s="3421"/>
    </row>
    <row r="230" spans="2:21" ht="15" customHeight="1">
      <c r="B230" s="680"/>
      <c r="C230" s="2237"/>
      <c r="D230" s="3421"/>
      <c r="E230" s="2237"/>
      <c r="F230" s="2237"/>
      <c r="G230" s="2237"/>
      <c r="H230" s="2237"/>
      <c r="I230" s="2237"/>
      <c r="J230" s="2237"/>
      <c r="K230" s="2237"/>
      <c r="L230" s="2237"/>
      <c r="M230" s="2237"/>
      <c r="N230" s="2237"/>
      <c r="O230" s="2237"/>
      <c r="P230" s="3421"/>
      <c r="Q230" s="3421"/>
      <c r="R230" s="3421"/>
      <c r="S230" s="3421"/>
      <c r="T230" s="3421"/>
      <c r="U230" s="3421"/>
    </row>
    <row r="231" spans="2:21" ht="15" customHeight="1">
      <c r="B231" s="680"/>
      <c r="C231" s="2237"/>
      <c r="D231" s="3421"/>
      <c r="E231" s="2237"/>
      <c r="F231" s="2237"/>
      <c r="G231" s="2237"/>
      <c r="H231" s="2237"/>
      <c r="I231" s="2237"/>
      <c r="J231" s="2237"/>
      <c r="K231" s="2237"/>
      <c r="L231" s="2237"/>
      <c r="M231" s="2237"/>
      <c r="N231" s="2237"/>
      <c r="O231" s="2237"/>
      <c r="P231" s="3421"/>
      <c r="Q231" s="3421"/>
      <c r="R231" s="3421"/>
      <c r="S231" s="3421"/>
      <c r="T231" s="3421"/>
      <c r="U231" s="3421"/>
    </row>
    <row r="232" spans="2:21" ht="15" customHeight="1">
      <c r="B232" s="680"/>
      <c r="C232" s="2237"/>
      <c r="D232" s="3421"/>
      <c r="E232" s="2237"/>
      <c r="F232" s="2237"/>
      <c r="G232" s="2237"/>
      <c r="H232" s="2237"/>
      <c r="I232" s="2237"/>
      <c r="J232" s="2237"/>
      <c r="K232" s="2237"/>
      <c r="L232" s="2237"/>
      <c r="M232" s="2237"/>
      <c r="N232" s="2237"/>
      <c r="O232" s="2237"/>
      <c r="P232" s="3421"/>
      <c r="Q232" s="3421"/>
      <c r="R232" s="3421"/>
      <c r="S232" s="3421"/>
      <c r="T232" s="3421"/>
      <c r="U232" s="3421"/>
    </row>
    <row r="233" spans="2:21" ht="15" customHeight="1">
      <c r="B233" s="680"/>
      <c r="C233" s="2237"/>
      <c r="D233" s="3421"/>
      <c r="E233" s="2237"/>
      <c r="F233" s="2237"/>
      <c r="G233" s="2237"/>
      <c r="H233" s="2237"/>
      <c r="I233" s="2237"/>
      <c r="J233" s="2237"/>
      <c r="K233" s="2237"/>
      <c r="L233" s="2237"/>
      <c r="M233" s="2237"/>
      <c r="N233" s="2237"/>
      <c r="O233" s="2237"/>
      <c r="P233" s="3421"/>
      <c r="Q233" s="3421"/>
      <c r="R233" s="3421"/>
      <c r="S233" s="3421"/>
      <c r="T233" s="3421"/>
      <c r="U233" s="3421"/>
    </row>
    <row r="234" spans="2:21" ht="15" customHeight="1">
      <c r="B234" s="680"/>
      <c r="C234" s="2237"/>
      <c r="D234" s="3421"/>
      <c r="E234" s="2237"/>
      <c r="F234" s="2237"/>
      <c r="G234" s="2237"/>
      <c r="H234" s="2237"/>
      <c r="I234" s="2237"/>
      <c r="J234" s="2237"/>
      <c r="K234" s="2237"/>
      <c r="L234" s="2237"/>
      <c r="M234" s="2237"/>
      <c r="N234" s="2237"/>
      <c r="O234" s="2237"/>
      <c r="P234" s="3421"/>
      <c r="Q234" s="3421"/>
      <c r="R234" s="3421"/>
      <c r="S234" s="3421"/>
      <c r="T234" s="3421"/>
      <c r="U234" s="3421"/>
    </row>
    <row r="235" spans="2:21" ht="15" customHeight="1">
      <c r="B235" s="680"/>
      <c r="C235" s="2237"/>
      <c r="D235" s="3421"/>
      <c r="E235" s="2237"/>
      <c r="F235" s="2237"/>
      <c r="G235" s="2237"/>
      <c r="H235" s="2237"/>
      <c r="I235" s="2237"/>
      <c r="J235" s="2237"/>
      <c r="K235" s="2237"/>
      <c r="L235" s="2237"/>
      <c r="M235" s="2237"/>
      <c r="N235" s="2237"/>
      <c r="O235" s="2237"/>
      <c r="P235" s="3421"/>
      <c r="Q235" s="3421"/>
      <c r="R235" s="3421"/>
      <c r="S235" s="3421"/>
      <c r="T235" s="3421"/>
      <c r="U235" s="3421"/>
    </row>
    <row r="236" spans="2:21" ht="15" customHeight="1">
      <c r="B236" s="680"/>
      <c r="C236" s="2237"/>
      <c r="D236" s="3421"/>
      <c r="E236" s="2237"/>
      <c r="F236" s="2237"/>
      <c r="G236" s="2237"/>
      <c r="H236" s="2237"/>
      <c r="I236" s="2237"/>
      <c r="J236" s="2237"/>
      <c r="K236" s="2237"/>
      <c r="L236" s="2237"/>
      <c r="M236" s="2237"/>
      <c r="N236" s="2237"/>
      <c r="O236" s="2237"/>
      <c r="P236" s="3421"/>
      <c r="Q236" s="3421"/>
      <c r="R236" s="3421"/>
      <c r="S236" s="3421"/>
      <c r="T236" s="3421"/>
      <c r="U236" s="3421"/>
    </row>
    <row r="237" spans="2:21" ht="15" customHeight="1">
      <c r="B237" s="680"/>
      <c r="C237" s="2237"/>
      <c r="D237" s="3421"/>
      <c r="E237" s="2237"/>
      <c r="F237" s="2237"/>
      <c r="G237" s="2237"/>
      <c r="H237" s="2237"/>
      <c r="I237" s="2237"/>
      <c r="J237" s="2237"/>
      <c r="K237" s="2237"/>
      <c r="L237" s="2237"/>
      <c r="M237" s="2237"/>
      <c r="N237" s="2237"/>
      <c r="O237" s="2237"/>
      <c r="P237" s="3421"/>
      <c r="Q237" s="3421"/>
      <c r="R237" s="3421"/>
      <c r="S237" s="3421"/>
      <c r="T237" s="3421"/>
      <c r="U237" s="3421"/>
    </row>
    <row r="238" spans="2:21" ht="15" customHeight="1">
      <c r="B238" s="680"/>
      <c r="C238" s="2237"/>
      <c r="D238" s="2237"/>
      <c r="E238" s="2237"/>
      <c r="F238" s="2237"/>
      <c r="G238" s="2237"/>
      <c r="H238" s="2237"/>
      <c r="I238" s="2237"/>
      <c r="J238" s="2237"/>
      <c r="K238" s="2237"/>
      <c r="L238" s="2237"/>
      <c r="M238" s="2237"/>
      <c r="N238" s="2237"/>
      <c r="O238" s="2237"/>
      <c r="P238" s="3421"/>
      <c r="Q238" s="3421"/>
      <c r="R238" s="3421"/>
      <c r="S238" s="3421"/>
      <c r="T238" s="3421"/>
      <c r="U238" s="3421"/>
    </row>
    <row r="239" spans="2:21" ht="15" customHeight="1">
      <c r="B239" s="680"/>
      <c r="C239" s="2237"/>
      <c r="D239" s="2237"/>
      <c r="E239" s="2237"/>
      <c r="F239" s="2237"/>
      <c r="G239" s="2237"/>
      <c r="H239" s="2237"/>
      <c r="I239" s="2237"/>
      <c r="J239" s="2237"/>
      <c r="K239" s="2237"/>
      <c r="L239" s="2237"/>
      <c r="M239" s="2237"/>
      <c r="N239" s="2237"/>
      <c r="O239" s="2237"/>
      <c r="P239" s="3421"/>
      <c r="Q239" s="3421"/>
      <c r="R239" s="3421"/>
      <c r="S239" s="3421"/>
      <c r="T239" s="3421"/>
      <c r="U239" s="3421"/>
    </row>
    <row r="240" spans="2:21" ht="15" customHeight="1">
      <c r="B240" s="680"/>
      <c r="C240" s="2237"/>
      <c r="D240" s="2237"/>
      <c r="E240" s="2237"/>
      <c r="F240" s="2237"/>
      <c r="G240" s="2237"/>
      <c r="H240" s="2237"/>
      <c r="I240" s="2237"/>
      <c r="J240" s="2237"/>
      <c r="K240" s="2237"/>
      <c r="L240" s="2237"/>
      <c r="M240" s="2237"/>
      <c r="N240" s="2237"/>
      <c r="O240" s="2237"/>
      <c r="P240" s="3421"/>
      <c r="Q240" s="3421"/>
      <c r="R240" s="3421"/>
      <c r="S240" s="3421"/>
      <c r="T240" s="3421"/>
      <c r="U240" s="3421"/>
    </row>
    <row r="241" spans="2:21" ht="15" customHeight="1">
      <c r="B241" s="680"/>
      <c r="C241" s="2237"/>
      <c r="D241" s="2237"/>
      <c r="E241" s="2237"/>
      <c r="F241" s="2237"/>
      <c r="G241" s="2237"/>
      <c r="H241" s="2237"/>
      <c r="I241" s="2237"/>
      <c r="J241" s="2237"/>
      <c r="K241" s="2237"/>
      <c r="L241" s="2237"/>
      <c r="M241" s="2237"/>
      <c r="N241" s="2237"/>
      <c r="O241" s="2237"/>
      <c r="P241" s="3421"/>
      <c r="Q241" s="3421"/>
      <c r="R241" s="3421"/>
      <c r="S241" s="3421"/>
      <c r="T241" s="3421"/>
      <c r="U241" s="3421"/>
    </row>
    <row r="242" spans="2:21" ht="15" customHeight="1">
      <c r="B242" s="680"/>
      <c r="C242" s="2237"/>
      <c r="D242" s="2237"/>
      <c r="E242" s="2237"/>
      <c r="F242" s="2237"/>
      <c r="G242" s="2237"/>
      <c r="H242" s="2237"/>
      <c r="I242" s="2237"/>
      <c r="J242" s="2237"/>
      <c r="K242" s="2237"/>
      <c r="L242" s="2237"/>
      <c r="M242" s="2237"/>
      <c r="N242" s="2237"/>
      <c r="O242" s="2237"/>
      <c r="P242" s="3421"/>
      <c r="Q242" s="3421"/>
      <c r="R242" s="3421"/>
      <c r="S242" s="3421"/>
      <c r="T242" s="3421"/>
      <c r="U242" s="3421"/>
    </row>
    <row r="243" spans="2:21" ht="15" customHeight="1">
      <c r="C243" s="2237"/>
      <c r="D243" s="2237"/>
      <c r="E243" s="2237"/>
      <c r="F243" s="2237"/>
      <c r="G243" s="2237"/>
      <c r="H243" s="2237"/>
      <c r="I243" s="2237"/>
      <c r="J243" s="2237"/>
      <c r="K243" s="2237"/>
      <c r="L243" s="2237"/>
      <c r="M243" s="2237"/>
      <c r="N243" s="2237"/>
      <c r="O243" s="2237"/>
      <c r="P243" s="3421"/>
      <c r="Q243" s="3421"/>
      <c r="R243" s="3421"/>
      <c r="S243" s="3421"/>
      <c r="T243" s="3421"/>
      <c r="U243" s="3421"/>
    </row>
    <row r="244" spans="2:21" ht="15" customHeight="1">
      <c r="C244" s="3421"/>
      <c r="D244" s="3421"/>
      <c r="E244" s="3421"/>
      <c r="F244" s="3421"/>
      <c r="G244" s="3421"/>
      <c r="H244" s="3421"/>
      <c r="I244" s="3421"/>
      <c r="J244" s="3421"/>
      <c r="K244" s="3421"/>
      <c r="L244" s="3421"/>
      <c r="M244" s="3421"/>
      <c r="N244" s="3421"/>
      <c r="O244" s="3421"/>
      <c r="P244" s="3421"/>
      <c r="Q244" s="3421"/>
      <c r="R244" s="3421"/>
      <c r="S244" s="3421"/>
      <c r="T244" s="3421"/>
      <c r="U244" s="3421"/>
    </row>
    <row r="245" spans="2:21" ht="15" customHeight="1" thickBot="1">
      <c r="C245" s="3421"/>
      <c r="D245" s="3421"/>
      <c r="E245" s="3421"/>
      <c r="F245" s="3421"/>
      <c r="G245" s="3421"/>
      <c r="H245" s="3421"/>
      <c r="I245" s="3421"/>
      <c r="J245" s="3421"/>
      <c r="K245" s="3421"/>
      <c r="L245" s="3421"/>
      <c r="M245" s="3512" t="s">
        <v>279</v>
      </c>
      <c r="N245" s="3512" t="s">
        <v>280</v>
      </c>
      <c r="O245" s="3512" t="s">
        <v>281</v>
      </c>
      <c r="P245" s="3512" t="s">
        <v>282</v>
      </c>
      <c r="Q245" s="3512" t="s">
        <v>283</v>
      </c>
      <c r="R245" s="3421"/>
      <c r="S245" s="3421"/>
      <c r="T245" s="3421"/>
      <c r="U245" s="3421"/>
    </row>
    <row r="246" spans="2:21" ht="15" customHeight="1" thickBot="1">
      <c r="C246" s="3328" t="s">
        <v>284</v>
      </c>
      <c r="D246" s="3421"/>
      <c r="E246" s="3421"/>
      <c r="F246" s="3421"/>
      <c r="G246" s="3421"/>
      <c r="H246" s="3421"/>
      <c r="I246" s="3421">
        <f>3805*COSTOS_2019_Euros_MMCOP</f>
        <v>1.3267540350000001E-2</v>
      </c>
      <c r="J246" s="3421"/>
      <c r="K246" s="3421"/>
      <c r="L246" s="3421"/>
      <c r="M246" s="3513" t="s">
        <v>285</v>
      </c>
      <c r="N246" s="3513">
        <v>1E-3</v>
      </c>
      <c r="O246" s="3513">
        <f>(N246*10^9)*COSTOS_2019_US_dolares_MMCOP</f>
        <v>2.9564299999999997</v>
      </c>
      <c r="P246" s="3513">
        <v>21</v>
      </c>
      <c r="Q246" s="3421">
        <f>P246/O246</f>
        <v>7.1031615833961919</v>
      </c>
      <c r="R246" s="3421"/>
      <c r="S246" s="3421"/>
      <c r="T246" s="3421"/>
      <c r="U246" s="3421"/>
    </row>
    <row r="247" spans="2:21" ht="15" customHeight="1" thickBot="1">
      <c r="C247" s="3514" t="s">
        <v>286</v>
      </c>
      <c r="D247" s="3514" t="s">
        <v>287</v>
      </c>
      <c r="E247" s="3514" t="s">
        <v>288</v>
      </c>
      <c r="F247" s="3514" t="s">
        <v>289</v>
      </c>
      <c r="G247" s="3514" t="s">
        <v>290</v>
      </c>
      <c r="H247" s="3421"/>
      <c r="I247" s="3421"/>
      <c r="J247" s="3421"/>
      <c r="K247" s="3421"/>
      <c r="L247" s="3421"/>
      <c r="M247" s="3513" t="s">
        <v>291</v>
      </c>
      <c r="N247" s="3513">
        <v>1E-3</v>
      </c>
      <c r="O247" s="3513">
        <f t="shared" ref="O247:O275" si="32">N247*10^9*COSTOS_2019_US_dolares_MMCOP</f>
        <v>2.9564299999999997</v>
      </c>
      <c r="P247" s="3513">
        <v>15</v>
      </c>
      <c r="Q247" s="3421">
        <f t="shared" ref="Q247:Q275" si="33">P247/O247</f>
        <v>5.0736868452829942</v>
      </c>
      <c r="R247" s="3421"/>
      <c r="S247" s="3421"/>
      <c r="T247" s="3421"/>
      <c r="U247" s="3421"/>
    </row>
    <row r="248" spans="2:21" ht="15" customHeight="1" thickBot="1">
      <c r="C248" s="3421" t="s">
        <v>292</v>
      </c>
      <c r="D248" s="3534">
        <f>Q270</f>
        <v>5.4119326349685268</v>
      </c>
      <c r="E248" s="3536">
        <v>0.3</v>
      </c>
      <c r="F248" s="3536">
        <v>0.3</v>
      </c>
      <c r="G248" s="3536">
        <v>0.4</v>
      </c>
      <c r="H248" s="3515"/>
      <c r="I248" s="3421"/>
      <c r="J248" s="3421"/>
      <c r="K248" s="3421"/>
      <c r="L248" s="3421"/>
      <c r="M248" s="3513" t="s">
        <v>293</v>
      </c>
      <c r="N248" s="3513">
        <v>1E-3</v>
      </c>
      <c r="O248" s="3513">
        <f t="shared" si="32"/>
        <v>2.9564299999999997</v>
      </c>
      <c r="P248" s="3513">
        <v>11</v>
      </c>
      <c r="Q248" s="3421">
        <f t="shared" si="33"/>
        <v>3.7207036865408623</v>
      </c>
      <c r="R248" s="3421"/>
      <c r="S248" s="3421"/>
      <c r="T248" s="3421"/>
      <c r="U248" s="3421"/>
    </row>
    <row r="249" spans="2:21" ht="15" customHeight="1" thickBot="1">
      <c r="C249" s="3421" t="s">
        <v>294</v>
      </c>
      <c r="D249" s="3534">
        <f>Q248</f>
        <v>3.7207036865408623</v>
      </c>
      <c r="E249" s="3536">
        <v>0.3</v>
      </c>
      <c r="F249" s="3536">
        <v>0.3</v>
      </c>
      <c r="G249" s="3536">
        <v>0.4</v>
      </c>
      <c r="H249" s="3515"/>
      <c r="I249" s="3421"/>
      <c r="J249" s="3421"/>
      <c r="K249" s="3421"/>
      <c r="L249" s="3421"/>
      <c r="M249" s="3513" t="s">
        <v>295</v>
      </c>
      <c r="N249" s="3513">
        <v>1E-3</v>
      </c>
      <c r="O249" s="3513">
        <f t="shared" si="32"/>
        <v>2.9564299999999997</v>
      </c>
      <c r="P249" s="3513">
        <v>10</v>
      </c>
      <c r="Q249" s="3421">
        <f t="shared" si="33"/>
        <v>3.3824578968553292</v>
      </c>
      <c r="R249" s="3516"/>
      <c r="S249" s="3516"/>
      <c r="T249" s="3421"/>
      <c r="U249" s="3421"/>
    </row>
    <row r="250" spans="2:21" ht="15" customHeight="1" thickBot="1">
      <c r="C250" s="3421" t="s">
        <v>296</v>
      </c>
      <c r="D250" s="3534">
        <f>Q260</f>
        <v>4.7354410555974606</v>
      </c>
      <c r="E250" s="3536">
        <f>5/14</f>
        <v>0.35714285714285715</v>
      </c>
      <c r="F250" s="3536">
        <f>3/14</f>
        <v>0.21428571428571427</v>
      </c>
      <c r="G250" s="3536">
        <f>6/14</f>
        <v>0.42857142857142855</v>
      </c>
      <c r="H250" s="3515"/>
      <c r="I250" s="3421"/>
      <c r="J250" s="3421"/>
      <c r="K250" s="3421"/>
      <c r="L250" s="3421"/>
      <c r="M250" s="3513" t="s">
        <v>297</v>
      </c>
      <c r="N250" s="3513">
        <v>1E-3</v>
      </c>
      <c r="O250" s="3513">
        <f t="shared" si="32"/>
        <v>2.9564299999999997</v>
      </c>
      <c r="P250" s="3513">
        <v>13</v>
      </c>
      <c r="Q250" s="3421">
        <f t="shared" si="33"/>
        <v>4.397195265911928</v>
      </c>
      <c r="R250" s="3516"/>
      <c r="S250" s="3516"/>
      <c r="T250" s="3421"/>
      <c r="U250" s="3421"/>
    </row>
    <row r="251" spans="2:21" ht="15" customHeight="1" thickBot="1">
      <c r="C251" s="3421" t="s">
        <v>298</v>
      </c>
      <c r="D251" s="3534">
        <f>Q252</f>
        <v>5.0736868452829942</v>
      </c>
      <c r="E251" s="3536">
        <f>7/15</f>
        <v>0.46666666666666667</v>
      </c>
      <c r="F251" s="3536">
        <f>3/15</f>
        <v>0.2</v>
      </c>
      <c r="G251" s="3536">
        <f>5/15</f>
        <v>0.33333333333333331</v>
      </c>
      <c r="H251" s="3515"/>
      <c r="I251" s="3421"/>
      <c r="J251" s="3421"/>
      <c r="K251" s="3421"/>
      <c r="L251" s="3421"/>
      <c r="M251" s="3513" t="s">
        <v>299</v>
      </c>
      <c r="N251" s="3513">
        <v>1E-3</v>
      </c>
      <c r="O251" s="3513">
        <f t="shared" si="32"/>
        <v>2.9564299999999997</v>
      </c>
      <c r="P251" s="3513">
        <v>19</v>
      </c>
      <c r="Q251" s="3421">
        <f t="shared" si="33"/>
        <v>6.4266700040251257</v>
      </c>
      <c r="R251" s="3516"/>
      <c r="S251" s="3516"/>
      <c r="T251" s="3421"/>
      <c r="U251" s="3421"/>
    </row>
    <row r="252" spans="2:21" ht="15" customHeight="1" thickBot="1">
      <c r="C252" s="3421" t="s">
        <v>132</v>
      </c>
      <c r="D252" s="3534">
        <f>Q247</f>
        <v>5.0736868452829942</v>
      </c>
      <c r="E252" s="3536">
        <f>6/14</f>
        <v>0.42857142857142855</v>
      </c>
      <c r="F252" s="3536">
        <f>3/14</f>
        <v>0.21428571428571427</v>
      </c>
      <c r="G252" s="3536">
        <f>5/14</f>
        <v>0.35714285714285715</v>
      </c>
      <c r="H252" s="3515"/>
      <c r="I252" s="3421"/>
      <c r="J252" s="3421"/>
      <c r="K252" s="3421"/>
      <c r="L252" s="3421"/>
      <c r="M252" s="3513" t="s">
        <v>300</v>
      </c>
      <c r="N252" s="3513">
        <v>1E-3</v>
      </c>
      <c r="O252" s="3513">
        <f t="shared" si="32"/>
        <v>2.9564299999999997</v>
      </c>
      <c r="P252" s="3513">
        <v>15</v>
      </c>
      <c r="Q252" s="3421">
        <f t="shared" si="33"/>
        <v>5.0736868452829942</v>
      </c>
      <c r="R252" s="3421"/>
      <c r="S252" s="3421"/>
      <c r="T252" s="3421"/>
      <c r="U252" s="3421"/>
    </row>
    <row r="253" spans="2:21" ht="15" customHeight="1" thickBot="1">
      <c r="C253" s="3421" t="s">
        <v>93</v>
      </c>
      <c r="D253" s="3534">
        <f>Q259</f>
        <v>4.397195265911928</v>
      </c>
      <c r="E253" s="3536">
        <f>5/14</f>
        <v>0.35714285714285715</v>
      </c>
      <c r="F253" s="3536">
        <f>4/14</f>
        <v>0.2857142857142857</v>
      </c>
      <c r="G253" s="3536">
        <f>5/14</f>
        <v>0.35714285714285715</v>
      </c>
      <c r="H253" s="3515"/>
      <c r="I253" s="3421"/>
      <c r="J253" s="3421"/>
      <c r="K253" s="3421"/>
      <c r="L253" s="3421"/>
      <c r="M253" s="3513" t="s">
        <v>301</v>
      </c>
      <c r="N253" s="3513">
        <v>1E-3</v>
      </c>
      <c r="O253" s="3513">
        <f t="shared" si="32"/>
        <v>2.9564299999999997</v>
      </c>
      <c r="P253" s="3513">
        <v>19</v>
      </c>
      <c r="Q253" s="3421">
        <f t="shared" si="33"/>
        <v>6.4266700040251257</v>
      </c>
      <c r="R253" s="3421"/>
      <c r="S253" s="3421"/>
      <c r="T253" s="3421"/>
      <c r="U253" s="3421"/>
    </row>
    <row r="254" spans="2:21" ht="15" customHeight="1" thickBot="1">
      <c r="C254" s="3421" t="s">
        <v>302</v>
      </c>
      <c r="D254" s="3534">
        <f>Q259</f>
        <v>4.397195265911928</v>
      </c>
      <c r="E254" s="3536">
        <f>5/14</f>
        <v>0.35714285714285715</v>
      </c>
      <c r="F254" s="3536">
        <f>4/14</f>
        <v>0.2857142857142857</v>
      </c>
      <c r="G254" s="3536">
        <f>5/14</f>
        <v>0.35714285714285715</v>
      </c>
      <c r="H254" s="3421"/>
      <c r="I254" s="3421"/>
      <c r="J254" s="3421"/>
      <c r="K254" s="3421"/>
      <c r="L254" s="3421"/>
      <c r="M254" s="3513" t="s">
        <v>303</v>
      </c>
      <c r="N254" s="3513">
        <v>1E-3</v>
      </c>
      <c r="O254" s="3513">
        <f t="shared" si="32"/>
        <v>2.9564299999999997</v>
      </c>
      <c r="P254" s="3513">
        <v>21</v>
      </c>
      <c r="Q254" s="3421">
        <f t="shared" si="33"/>
        <v>7.1031615833961919</v>
      </c>
      <c r="R254" s="3421"/>
      <c r="S254" s="3421"/>
      <c r="T254" s="3421"/>
      <c r="U254" s="3421"/>
    </row>
    <row r="255" spans="2:21" ht="15" customHeight="1" thickBot="1">
      <c r="C255" s="3421" t="s">
        <v>99</v>
      </c>
      <c r="D255" s="3534">
        <f>Q261</f>
        <v>3.0442121071697965</v>
      </c>
      <c r="E255" s="3536">
        <f>1/9</f>
        <v>0.1111111111111111</v>
      </c>
      <c r="F255" s="3536">
        <f>4/9</f>
        <v>0.44444444444444442</v>
      </c>
      <c r="G255" s="3536">
        <f>4/9</f>
        <v>0.44444444444444442</v>
      </c>
      <c r="H255" s="3421"/>
      <c r="I255" s="3421"/>
      <c r="J255" s="3421"/>
      <c r="K255" s="3421"/>
      <c r="L255" s="3421"/>
      <c r="M255" s="3513" t="s">
        <v>304</v>
      </c>
      <c r="N255" s="3513">
        <v>1E-3</v>
      </c>
      <c r="O255" s="3513">
        <f t="shared" si="32"/>
        <v>2.9564299999999997</v>
      </c>
      <c r="P255" s="3513">
        <v>11</v>
      </c>
      <c r="Q255" s="3421">
        <f t="shared" si="33"/>
        <v>3.7207036865408623</v>
      </c>
      <c r="R255" s="3421"/>
      <c r="S255" s="3421"/>
      <c r="T255" s="3421"/>
      <c r="U255" s="3421"/>
    </row>
    <row r="256" spans="2:21" ht="15" customHeight="1" thickBot="1">
      <c r="C256" s="3421" t="s">
        <v>101</v>
      </c>
      <c r="D256" s="3534">
        <f>Q261</f>
        <v>3.0442121071697965</v>
      </c>
      <c r="E256" s="3536">
        <f>1/9</f>
        <v>0.1111111111111111</v>
      </c>
      <c r="F256" s="3536">
        <f>4/9</f>
        <v>0.44444444444444442</v>
      </c>
      <c r="G256" s="3536">
        <f>4/9</f>
        <v>0.44444444444444442</v>
      </c>
      <c r="H256" s="3421"/>
      <c r="I256" s="3421"/>
      <c r="J256" s="3421"/>
      <c r="K256" s="3421"/>
      <c r="L256" s="3421"/>
      <c r="M256" s="3513" t="s">
        <v>305</v>
      </c>
      <c r="N256" s="3513">
        <v>1E-3</v>
      </c>
      <c r="O256" s="3513">
        <f t="shared" si="32"/>
        <v>2.9564299999999997</v>
      </c>
      <c r="P256" s="3513">
        <v>21</v>
      </c>
      <c r="Q256" s="3421">
        <f t="shared" si="33"/>
        <v>7.1031615833961919</v>
      </c>
      <c r="R256" s="3421"/>
      <c r="S256" s="3421"/>
      <c r="T256" s="3421"/>
      <c r="U256" s="3421"/>
    </row>
    <row r="257" spans="3:21" ht="15" customHeight="1" thickBot="1">
      <c r="C257" s="3421" t="s">
        <v>306</v>
      </c>
      <c r="D257" s="3534">
        <f>Q269</f>
        <v>5.4119326349685268</v>
      </c>
      <c r="E257" s="3536">
        <f>14/24</f>
        <v>0.58333333333333337</v>
      </c>
      <c r="F257" s="3536">
        <f>5/24</f>
        <v>0.20833333333333334</v>
      </c>
      <c r="G257" s="3536">
        <f>5/24</f>
        <v>0.20833333333333334</v>
      </c>
      <c r="H257" s="3421"/>
      <c r="I257" s="3421"/>
      <c r="J257" s="3421"/>
      <c r="K257" s="3421"/>
      <c r="L257" s="3421"/>
      <c r="M257" s="3513" t="s">
        <v>307</v>
      </c>
      <c r="N257" s="3513">
        <v>1E-3</v>
      </c>
      <c r="O257" s="3513">
        <f t="shared" si="32"/>
        <v>2.9564299999999997</v>
      </c>
      <c r="P257" s="3513">
        <v>9</v>
      </c>
      <c r="Q257" s="3421">
        <f t="shared" si="33"/>
        <v>3.0442121071697965</v>
      </c>
      <c r="R257" s="3421"/>
      <c r="S257" s="3421"/>
      <c r="T257" s="3421"/>
      <c r="U257" s="3421"/>
    </row>
    <row r="258" spans="3:21" ht="15" customHeight="1" thickBot="1">
      <c r="C258" s="3421" t="s">
        <v>308</v>
      </c>
      <c r="D258" s="3534">
        <f>Q267</f>
        <v>8.1178989524527907</v>
      </c>
      <c r="E258" s="3536">
        <f>14/24</f>
        <v>0.58333333333333337</v>
      </c>
      <c r="F258" s="3536">
        <f>5/24</f>
        <v>0.20833333333333334</v>
      </c>
      <c r="G258" s="3536">
        <f>5/24</f>
        <v>0.20833333333333334</v>
      </c>
      <c r="H258" s="3421"/>
      <c r="I258" s="3421"/>
      <c r="J258" s="3421"/>
      <c r="K258" s="3421"/>
      <c r="L258" s="3421"/>
      <c r="M258" s="3513" t="s">
        <v>309</v>
      </c>
      <c r="N258" s="3513">
        <v>1E-3</v>
      </c>
      <c r="O258" s="3513">
        <f t="shared" si="32"/>
        <v>2.9564299999999997</v>
      </c>
      <c r="P258" s="3513">
        <v>10</v>
      </c>
      <c r="Q258" s="3421">
        <f t="shared" si="33"/>
        <v>3.3824578968553292</v>
      </c>
      <c r="R258" s="3421"/>
      <c r="S258" s="3421"/>
      <c r="T258" s="3421"/>
      <c r="U258" s="3421"/>
    </row>
    <row r="259" spans="3:21" ht="15" customHeight="1" thickBot="1">
      <c r="C259" s="3421" t="s">
        <v>310</v>
      </c>
      <c r="D259" s="3534">
        <f>Q272</f>
        <v>7.7796531627672572</v>
      </c>
      <c r="E259" s="3536">
        <f>13/22</f>
        <v>0.59090909090909094</v>
      </c>
      <c r="F259" s="3536">
        <f>3/22</f>
        <v>0.13636363636363635</v>
      </c>
      <c r="G259" s="3536">
        <f>6/22</f>
        <v>0.27272727272727271</v>
      </c>
      <c r="H259" s="3421"/>
      <c r="I259" s="3421"/>
      <c r="J259" s="3421"/>
      <c r="K259" s="3421"/>
      <c r="L259" s="3421"/>
      <c r="M259" s="3513" t="s">
        <v>311</v>
      </c>
      <c r="N259" s="3513">
        <v>1E-3</v>
      </c>
      <c r="O259" s="3513">
        <f t="shared" si="32"/>
        <v>2.9564299999999997</v>
      </c>
      <c r="P259" s="3513">
        <v>13</v>
      </c>
      <c r="Q259" s="3421">
        <f t="shared" si="33"/>
        <v>4.397195265911928</v>
      </c>
      <c r="R259" s="3421"/>
      <c r="S259" s="3421"/>
      <c r="T259" s="3421"/>
      <c r="U259" s="3421"/>
    </row>
    <row r="260" spans="3:21" ht="15" customHeight="1" thickBot="1">
      <c r="C260" s="3421"/>
      <c r="D260" s="3421"/>
      <c r="E260" s="3421"/>
      <c r="F260" s="3421"/>
      <c r="G260" s="3421"/>
      <c r="H260" s="3421"/>
      <c r="I260" s="3421"/>
      <c r="J260" s="3421"/>
      <c r="K260" s="3421"/>
      <c r="L260" s="3421"/>
      <c r="M260" s="3513" t="s">
        <v>312</v>
      </c>
      <c r="N260" s="3513">
        <v>1E-3</v>
      </c>
      <c r="O260" s="3513">
        <f t="shared" si="32"/>
        <v>2.9564299999999997</v>
      </c>
      <c r="P260" s="3513">
        <v>14</v>
      </c>
      <c r="Q260" s="3421">
        <f t="shared" si="33"/>
        <v>4.7354410555974606</v>
      </c>
      <c r="R260" s="3421"/>
      <c r="S260" s="3421"/>
      <c r="T260" s="3421"/>
      <c r="U260" s="3421"/>
    </row>
    <row r="261" spans="3:21" ht="15" customHeight="1" thickBot="1">
      <c r="C261" s="3421"/>
      <c r="D261" s="3421"/>
      <c r="E261" s="3421"/>
      <c r="F261" s="3421"/>
      <c r="G261" s="3421"/>
      <c r="H261" s="3421"/>
      <c r="I261" s="3421"/>
      <c r="J261" s="3421"/>
      <c r="K261" s="3421"/>
      <c r="L261" s="3421"/>
      <c r="M261" s="3513" t="s">
        <v>313</v>
      </c>
      <c r="N261" s="3513">
        <v>1E-3</v>
      </c>
      <c r="O261" s="3513">
        <f t="shared" si="32"/>
        <v>2.9564299999999997</v>
      </c>
      <c r="P261" s="3513">
        <v>9</v>
      </c>
      <c r="Q261" s="3421">
        <f t="shared" si="33"/>
        <v>3.0442121071697965</v>
      </c>
      <c r="R261" s="3421"/>
      <c r="S261" s="3421"/>
      <c r="T261" s="3421"/>
      <c r="U261" s="3421"/>
    </row>
    <row r="262" spans="3:21" ht="15" customHeight="1" thickBot="1">
      <c r="C262" s="3421"/>
      <c r="D262" s="3421"/>
      <c r="E262" s="3421"/>
      <c r="F262" s="3421"/>
      <c r="G262" s="3421"/>
      <c r="H262" s="3421"/>
      <c r="I262" s="3421"/>
      <c r="J262" s="3421"/>
      <c r="K262" s="3421"/>
      <c r="L262" s="3421"/>
      <c r="M262" s="3513" t="s">
        <v>314</v>
      </c>
      <c r="N262" s="3513">
        <v>1E-3</v>
      </c>
      <c r="O262" s="3513">
        <f t="shared" si="32"/>
        <v>2.9564299999999997</v>
      </c>
      <c r="P262" s="3513">
        <v>12</v>
      </c>
      <c r="Q262" s="3421">
        <f t="shared" si="33"/>
        <v>4.0589494762263953</v>
      </c>
      <c r="R262" s="3421"/>
      <c r="S262" s="3421"/>
      <c r="T262" s="3421"/>
      <c r="U262" s="3421"/>
    </row>
    <row r="263" spans="3:21" ht="15" customHeight="1" thickBot="1">
      <c r="C263" s="3421"/>
      <c r="D263" s="3517"/>
      <c r="E263" s="3421"/>
      <c r="F263" s="3421"/>
      <c r="G263" s="3421"/>
      <c r="H263" s="3421"/>
      <c r="I263" s="3421"/>
      <c r="J263" s="3421"/>
      <c r="K263" s="3421"/>
      <c r="L263" s="3421"/>
      <c r="M263" s="3513" t="s">
        <v>315</v>
      </c>
      <c r="N263" s="3513">
        <v>1E-3</v>
      </c>
      <c r="O263" s="3513">
        <f t="shared" si="32"/>
        <v>2.9564299999999997</v>
      </c>
      <c r="P263" s="3513">
        <v>11</v>
      </c>
      <c r="Q263" s="3421">
        <f t="shared" si="33"/>
        <v>3.7207036865408623</v>
      </c>
      <c r="R263" s="3421"/>
      <c r="S263" s="3421"/>
      <c r="T263" s="3421"/>
      <c r="U263" s="3421"/>
    </row>
    <row r="264" spans="3:21" ht="15" customHeight="1" thickBot="1">
      <c r="C264" s="3421"/>
      <c r="D264" s="3421"/>
      <c r="E264" s="3421"/>
      <c r="F264" s="3421"/>
      <c r="G264" s="3421"/>
      <c r="H264" s="3421"/>
      <c r="I264" s="3421"/>
      <c r="J264" s="3421"/>
      <c r="K264" s="3421"/>
      <c r="L264" s="3421"/>
      <c r="M264" s="3513" t="s">
        <v>316</v>
      </c>
      <c r="N264" s="3513">
        <v>1E-3</v>
      </c>
      <c r="O264" s="3513">
        <f t="shared" si="32"/>
        <v>2.9564299999999997</v>
      </c>
      <c r="P264" s="3513">
        <v>12</v>
      </c>
      <c r="Q264" s="3421">
        <f t="shared" si="33"/>
        <v>4.0589494762263953</v>
      </c>
      <c r="R264" s="3421"/>
      <c r="S264" s="3421"/>
      <c r="T264" s="3421"/>
      <c r="U264" s="3421"/>
    </row>
    <row r="265" spans="3:21" ht="15" customHeight="1" thickBot="1">
      <c r="C265" s="3421"/>
      <c r="D265" s="3681"/>
      <c r="E265" s="3421"/>
      <c r="F265" s="3421"/>
      <c r="G265" s="3421"/>
      <c r="H265" s="3421"/>
      <c r="I265" s="3421"/>
      <c r="J265" s="3421"/>
      <c r="K265" s="3421"/>
      <c r="L265" s="3421"/>
      <c r="M265" s="3513" t="s">
        <v>317</v>
      </c>
      <c r="N265" s="3513">
        <v>1E-3</v>
      </c>
      <c r="O265" s="3513">
        <f t="shared" si="32"/>
        <v>2.9564299999999997</v>
      </c>
      <c r="P265" s="3513">
        <v>24</v>
      </c>
      <c r="Q265" s="3421">
        <f t="shared" si="33"/>
        <v>8.1178989524527907</v>
      </c>
      <c r="R265" s="3421"/>
      <c r="S265" s="3421"/>
      <c r="T265" s="3421"/>
      <c r="U265" s="3421"/>
    </row>
    <row r="266" spans="3:21" ht="15" customHeight="1" thickBot="1">
      <c r="C266" s="3421"/>
      <c r="D266" s="3421"/>
      <c r="E266" s="3421"/>
      <c r="F266" s="3421"/>
      <c r="G266" s="3421"/>
      <c r="H266" s="3421"/>
      <c r="I266" s="3421"/>
      <c r="J266" s="3421"/>
      <c r="K266" s="3421"/>
      <c r="L266" s="3421"/>
      <c r="M266" s="3513" t="s">
        <v>318</v>
      </c>
      <c r="N266" s="3513">
        <v>1E-3</v>
      </c>
      <c r="O266" s="3513">
        <f t="shared" si="32"/>
        <v>2.9564299999999997</v>
      </c>
      <c r="P266" s="3513">
        <v>19</v>
      </c>
      <c r="Q266" s="3421">
        <f t="shared" si="33"/>
        <v>6.4266700040251257</v>
      </c>
      <c r="R266" s="3421"/>
      <c r="S266" s="3421"/>
      <c r="T266" s="3421"/>
      <c r="U266" s="3421"/>
    </row>
    <row r="267" spans="3:21" ht="15" customHeight="1" thickBot="1">
      <c r="C267" s="3328" t="s">
        <v>319</v>
      </c>
      <c r="D267" s="3328"/>
      <c r="E267" s="3328"/>
      <c r="F267" s="3328"/>
      <c r="G267" s="3328"/>
      <c r="H267" s="3328"/>
      <c r="I267" s="3328"/>
      <c r="J267" s="3328"/>
      <c r="K267" s="3328"/>
      <c r="L267" s="3421"/>
      <c r="M267" s="3513" t="s">
        <v>320</v>
      </c>
      <c r="N267" s="3513">
        <v>1E-3</v>
      </c>
      <c r="O267" s="3513">
        <f t="shared" si="32"/>
        <v>2.9564299999999997</v>
      </c>
      <c r="P267" s="3513">
        <v>24</v>
      </c>
      <c r="Q267" s="3421">
        <f t="shared" si="33"/>
        <v>8.1178989524527907</v>
      </c>
      <c r="R267" s="3421"/>
      <c r="S267" s="3421"/>
      <c r="T267" s="3421"/>
      <c r="U267" s="3421"/>
    </row>
    <row r="268" spans="3:21" ht="15" customHeight="1" thickBot="1">
      <c r="C268" s="3530" t="s">
        <v>321</v>
      </c>
      <c r="D268" s="3530">
        <v>2018</v>
      </c>
      <c r="E268" s="3530" t="s">
        <v>322</v>
      </c>
      <c r="F268" s="3530" t="s">
        <v>323</v>
      </c>
      <c r="G268" s="3530" t="s">
        <v>324</v>
      </c>
      <c r="H268" s="3530" t="s">
        <v>325</v>
      </c>
      <c r="I268" s="3530" t="s">
        <v>326</v>
      </c>
      <c r="J268" s="3530" t="s">
        <v>327</v>
      </c>
      <c r="K268" s="3530" t="s">
        <v>328</v>
      </c>
      <c r="L268" s="3421"/>
      <c r="M268" s="3513" t="s">
        <v>329</v>
      </c>
      <c r="N268" s="3513">
        <v>1E-3</v>
      </c>
      <c r="O268" s="3513">
        <f t="shared" si="32"/>
        <v>2.9564299999999997</v>
      </c>
      <c r="P268" s="3513">
        <v>22</v>
      </c>
      <c r="Q268" s="3421">
        <f t="shared" si="33"/>
        <v>7.4414073730817245</v>
      </c>
      <c r="R268" s="3421"/>
      <c r="S268" s="3421"/>
      <c r="T268" s="3421"/>
      <c r="U268" s="3421"/>
    </row>
    <row r="269" spans="3:21" ht="15" customHeight="1" thickBot="1">
      <c r="C269" s="3421" t="s">
        <v>292</v>
      </c>
      <c r="D269" s="3518">
        <v>0</v>
      </c>
      <c r="E269" s="3518">
        <v>0</v>
      </c>
      <c r="F269" s="3518">
        <v>0</v>
      </c>
      <c r="G269" s="3518">
        <v>0</v>
      </c>
      <c r="H269" s="3518">
        <v>0</v>
      </c>
      <c r="I269" s="3518">
        <v>0</v>
      </c>
      <c r="J269" s="3518">
        <v>0</v>
      </c>
      <c r="K269" s="3518">
        <v>0</v>
      </c>
      <c r="L269" s="3421"/>
      <c r="M269" s="3513" t="s">
        <v>330</v>
      </c>
      <c r="N269" s="3513">
        <v>1E-3</v>
      </c>
      <c r="O269" s="3513">
        <f t="shared" si="32"/>
        <v>2.9564299999999997</v>
      </c>
      <c r="P269" s="3513">
        <v>16</v>
      </c>
      <c r="Q269" s="3421">
        <f t="shared" si="33"/>
        <v>5.4119326349685268</v>
      </c>
      <c r="R269" s="3421"/>
      <c r="S269" s="3421"/>
      <c r="T269" s="3421"/>
      <c r="U269" s="3421"/>
    </row>
    <row r="270" spans="3:21" ht="15" customHeight="1" thickBot="1">
      <c r="C270" s="3421" t="s">
        <v>294</v>
      </c>
      <c r="D270" s="3518" cm="1">
        <f t="array" ref="D270:K270">'ELECT_ Electricidad'!F445:M445</f>
        <v>0</v>
      </c>
      <c r="E270" s="3518">
        <v>0</v>
      </c>
      <c r="F270" s="3518">
        <v>33081.327286229738</v>
      </c>
      <c r="G270" s="3518">
        <v>0</v>
      </c>
      <c r="H270" s="3518">
        <v>15378.595456072231</v>
      </c>
      <c r="I270" s="3518">
        <v>7143.8702091940877</v>
      </c>
      <c r="J270" s="3518">
        <v>34238.904923399212</v>
      </c>
      <c r="K270" s="3518">
        <v>15630.025239382043</v>
      </c>
      <c r="L270" s="3421"/>
      <c r="M270" s="3513" t="s">
        <v>331</v>
      </c>
      <c r="N270" s="3513">
        <v>1E-3</v>
      </c>
      <c r="O270" s="3513">
        <f t="shared" si="32"/>
        <v>2.9564299999999997</v>
      </c>
      <c r="P270" s="3513">
        <v>16</v>
      </c>
      <c r="Q270" s="3421">
        <f t="shared" si="33"/>
        <v>5.4119326349685268</v>
      </c>
      <c r="R270" s="3421"/>
      <c r="S270" s="3421"/>
      <c r="T270" s="3421"/>
      <c r="U270" s="3421"/>
    </row>
    <row r="271" spans="3:21" ht="15" customHeight="1" thickBot="1">
      <c r="C271" s="3421" t="s">
        <v>296</v>
      </c>
      <c r="D271" s="3518" cm="1">
        <f t="array" ref="D271:K271">IND_!E777:L777</f>
        <v>206576.73112363415</v>
      </c>
      <c r="E271" s="3518">
        <v>206576.73112363415</v>
      </c>
      <c r="F271" s="3518">
        <v>238791.41982548113</v>
      </c>
      <c r="G271" s="3518">
        <v>271405.5818876613</v>
      </c>
      <c r="H271" s="3518">
        <v>271405.5818876613</v>
      </c>
      <c r="I271" s="3518">
        <v>271405.5818876613</v>
      </c>
      <c r="J271" s="3518">
        <v>271405.5818876613</v>
      </c>
      <c r="K271" s="3518">
        <v>271405.5818876613</v>
      </c>
      <c r="L271" s="3421"/>
      <c r="M271" s="3513" t="s">
        <v>332</v>
      </c>
      <c r="N271" s="3513">
        <v>1E-3</v>
      </c>
      <c r="O271" s="3513">
        <f t="shared" si="32"/>
        <v>2.9564299999999997</v>
      </c>
      <c r="P271" s="3513">
        <v>16</v>
      </c>
      <c r="Q271" s="3421">
        <f t="shared" si="33"/>
        <v>5.4119326349685268</v>
      </c>
      <c r="R271" s="3421"/>
      <c r="S271" s="3421"/>
      <c r="T271" s="3421"/>
      <c r="U271" s="3421"/>
    </row>
    <row r="272" spans="3:21" ht="15" customHeight="1" thickBot="1">
      <c r="C272" s="3421" t="s">
        <v>298</v>
      </c>
      <c r="D272" s="3518" cm="1">
        <f t="array" ref="D272:K272">_xlfn.ANCHORARRAY(RES_SOL!G410)</f>
        <v>190.13354106412905</v>
      </c>
      <c r="E272" s="3518">
        <v>205.4724986386835</v>
      </c>
      <c r="F272" s="3518">
        <v>244.44333168153926</v>
      </c>
      <c r="G272" s="3518">
        <v>284.71620814639715</v>
      </c>
      <c r="H272" s="3518">
        <v>284.71620814639715</v>
      </c>
      <c r="I272" s="3518">
        <v>284.71620814639715</v>
      </c>
      <c r="J272" s="3518">
        <v>284.71620814639715</v>
      </c>
      <c r="K272" s="3518">
        <v>284.71620814639715</v>
      </c>
      <c r="L272" s="3421"/>
      <c r="M272" s="3513" t="s">
        <v>333</v>
      </c>
      <c r="N272" s="3513">
        <v>1E-3</v>
      </c>
      <c r="O272" s="3513">
        <f t="shared" si="32"/>
        <v>2.9564299999999997</v>
      </c>
      <c r="P272" s="3513">
        <v>23</v>
      </c>
      <c r="Q272" s="3421">
        <f t="shared" si="33"/>
        <v>7.7796531627672572</v>
      </c>
      <c r="R272" s="3421"/>
      <c r="S272" s="3421"/>
      <c r="T272" s="3421"/>
      <c r="U272" s="3421"/>
    </row>
    <row r="273" spans="3:21" ht="15" customHeight="1" thickBot="1">
      <c r="C273" s="3421" t="s">
        <v>132</v>
      </c>
      <c r="D273" s="3518" cm="1">
        <f t="array" ref="D273:K273">_xlfn.ANCHORARRAY(RES_AGU!F254)</f>
        <v>8.1689607405765923</v>
      </c>
      <c r="E273" s="3518">
        <v>8.1689607405765923</v>
      </c>
      <c r="F273" s="3518">
        <v>8.1689607405765923</v>
      </c>
      <c r="G273" s="3518">
        <v>8.1689607405765923</v>
      </c>
      <c r="H273" s="3518">
        <v>8.1689607405765923</v>
      </c>
      <c r="I273" s="3518">
        <v>8.1689607405765923</v>
      </c>
      <c r="J273" s="3518">
        <v>8.1689607405765923</v>
      </c>
      <c r="K273" s="3518">
        <v>8.1689607405765923</v>
      </c>
      <c r="L273" s="3421"/>
      <c r="M273" s="3513" t="s">
        <v>334</v>
      </c>
      <c r="N273" s="3513">
        <v>1E-3</v>
      </c>
      <c r="O273" s="3513">
        <f t="shared" si="32"/>
        <v>2.9564299999999997</v>
      </c>
      <c r="P273" s="3513">
        <v>29</v>
      </c>
      <c r="Q273" s="3421">
        <f t="shared" si="33"/>
        <v>9.8091279008804548</v>
      </c>
      <c r="R273" s="3421"/>
      <c r="S273" s="3421"/>
      <c r="T273" s="3421"/>
      <c r="U273" s="3421"/>
    </row>
    <row r="274" spans="3:21" ht="15" customHeight="1" thickBot="1">
      <c r="C274" s="3421" t="s">
        <v>93</v>
      </c>
      <c r="D274" s="3518" cm="1">
        <f t="array" ref="D274:K274">_xlfn.ANCHORARRAY(EDI_RES_URB_AER!F485)+_xlfn.ANCHORARRAY(EDI_RES_URB_IRCO!F736)+EDI_RES_RURAL!F85:M85</f>
        <v>382.44417176481886</v>
      </c>
      <c r="E274" s="3518">
        <v>444.54334781564916</v>
      </c>
      <c r="F274" s="3518">
        <v>568.80080799218581</v>
      </c>
      <c r="G274" s="3518">
        <v>718.90161959443776</v>
      </c>
      <c r="H274" s="3518">
        <v>833.46762023833821</v>
      </c>
      <c r="I274" s="3518">
        <v>989.9983692549913</v>
      </c>
      <c r="J274" s="3518">
        <v>1159.2770518305797</v>
      </c>
      <c r="K274" s="3518">
        <v>1292.8485626163774</v>
      </c>
      <c r="L274" s="3421"/>
      <c r="M274" s="3513" t="s">
        <v>335</v>
      </c>
      <c r="N274" s="3513">
        <v>1E-3</v>
      </c>
      <c r="O274" s="3513">
        <f t="shared" si="32"/>
        <v>2.9564299999999997</v>
      </c>
      <c r="P274" s="3513">
        <v>17</v>
      </c>
      <c r="Q274" s="3421">
        <f t="shared" si="33"/>
        <v>5.7501784246540595</v>
      </c>
      <c r="R274" s="3421"/>
      <c r="S274" s="3421"/>
      <c r="T274" s="3421"/>
      <c r="U274" s="3421"/>
    </row>
    <row r="275" spans="3:21" ht="15" customHeight="1" thickBot="1">
      <c r="C275" s="3421" t="s">
        <v>302</v>
      </c>
      <c r="D275" s="3518" cm="1">
        <f t="array" ref="D275:K275">_xlfn.ANCHORARRAY(EDI_COM_UTE!F290)+EDI_COM_AEC!F178:M178</f>
        <v>0</v>
      </c>
      <c r="E275" s="3518">
        <v>0</v>
      </c>
      <c r="F275" s="3518">
        <v>0</v>
      </c>
      <c r="G275" s="3518">
        <v>0</v>
      </c>
      <c r="H275" s="3518">
        <v>0</v>
      </c>
      <c r="I275" s="3518">
        <v>0</v>
      </c>
      <c r="J275" s="3518">
        <v>0</v>
      </c>
      <c r="K275" s="3518">
        <v>0</v>
      </c>
      <c r="L275" s="3421"/>
      <c r="M275" s="3513" t="s">
        <v>336</v>
      </c>
      <c r="N275" s="3513">
        <v>1E-3</v>
      </c>
      <c r="O275" s="3513">
        <f t="shared" si="32"/>
        <v>2.9564299999999997</v>
      </c>
      <c r="P275" s="3513">
        <v>16</v>
      </c>
      <c r="Q275" s="3421">
        <f t="shared" si="33"/>
        <v>5.4119326349685268</v>
      </c>
      <c r="R275" s="3421"/>
      <c r="S275" s="3421"/>
      <c r="T275" s="3421"/>
      <c r="U275" s="3421"/>
    </row>
    <row r="276" spans="3:21" ht="15" customHeight="1">
      <c r="C276" s="3421" t="s">
        <v>99</v>
      </c>
      <c r="D276" s="3518" cm="1">
        <f t="array" ref="D276:K276">_xlfn.ANCHORARRAY(TRANS_PAS!F1186)+_xlfn.ANCHORARRAY(TRANS_PAS!F1196)</f>
        <v>0</v>
      </c>
      <c r="E276" s="3518">
        <v>14619.66556362233</v>
      </c>
      <c r="F276" s="3518">
        <v>12315.858216792141</v>
      </c>
      <c r="G276" s="3518">
        <v>10526.991810945365</v>
      </c>
      <c r="H276" s="3518">
        <v>9008.5616884056089</v>
      </c>
      <c r="I276" s="3518">
        <v>8983.6715024614787</v>
      </c>
      <c r="J276" s="3518">
        <v>9386.0740790740838</v>
      </c>
      <c r="K276" s="3518">
        <v>9960.4399878528457</v>
      </c>
      <c r="L276" s="3421"/>
      <c r="M276" s="3519"/>
      <c r="N276" s="3520"/>
      <c r="O276" s="3520"/>
      <c r="P276" s="3520"/>
      <c r="Q276" s="3421"/>
      <c r="R276" s="3421"/>
      <c r="S276" s="3421"/>
      <c r="T276" s="3421"/>
      <c r="U276" s="3421"/>
    </row>
    <row r="277" spans="3:21" ht="15" customHeight="1">
      <c r="C277" s="3421" t="s">
        <v>101</v>
      </c>
      <c r="D277" s="3518" cm="1">
        <f t="array" ref="D277:K277">_xlfn.ANCHORARRAY(TRANS_CAR!F546)+_xlfn.ANCHORARRAY(TRANS_CAR!F556)</f>
        <v>0</v>
      </c>
      <c r="E277" s="3518">
        <v>4544.0879038076419</v>
      </c>
      <c r="F277" s="3518">
        <v>2619.7180707687089</v>
      </c>
      <c r="G277" s="3518">
        <v>2865.144733020823</v>
      </c>
      <c r="H277" s="3518">
        <v>3340.2848450223496</v>
      </c>
      <c r="I277" s="3518">
        <v>4025.5614060776461</v>
      </c>
      <c r="J277" s="3518">
        <v>4966.2808696133625</v>
      </c>
      <c r="K277" s="3518">
        <v>6106.9991654680362</v>
      </c>
      <c r="L277" s="3421"/>
      <c r="M277" s="3421"/>
      <c r="N277" s="3421"/>
      <c r="O277" s="3421"/>
      <c r="P277" s="3421"/>
      <c r="Q277" s="3421"/>
      <c r="R277" s="3421"/>
      <c r="S277" s="3421"/>
      <c r="T277" s="3421"/>
      <c r="U277" s="3421"/>
    </row>
    <row r="278" spans="3:21" ht="15" customHeight="1">
      <c r="C278" s="3421" t="s">
        <v>306</v>
      </c>
      <c r="D278" s="3518" cm="1">
        <f t="array" ref="D278:K278">_xlfn.ANCHORARRAY(AGRO_!E326)+_xlfn.ANCHORARRAY(AGRO_!E332)+_xlfn.ANCHORARRAY(AGRO_!E338)+_xlfn.ANCHORARRAY(AGRO_!E344)+_xlfn.ANCHORARRAY(AGRO_!E352)+_xlfn.ANCHORARRAY(AGRO_!E358)</f>
        <v>0.23605809460798444</v>
      </c>
      <c r="E278" s="3518">
        <v>0.46557753557990117</v>
      </c>
      <c r="F278" s="3518">
        <v>0.44962435479742419</v>
      </c>
      <c r="G278" s="3518">
        <v>0.43421781546052601</v>
      </c>
      <c r="H278" s="3518">
        <v>0.41933918670455339</v>
      </c>
      <c r="I278" s="3518">
        <v>0.40497037948462999</v>
      </c>
      <c r="J278" s="3518">
        <v>0.39109392458347236</v>
      </c>
      <c r="K278" s="3518">
        <v>0.37769295137277542</v>
      </c>
      <c r="L278" s="3421"/>
      <c r="M278" s="3421"/>
      <c r="N278" s="3421"/>
      <c r="O278" s="3421"/>
      <c r="P278" s="3421"/>
      <c r="Q278" s="3421"/>
      <c r="R278" s="3421"/>
      <c r="S278" s="3421"/>
      <c r="T278" s="3421"/>
      <c r="U278" s="3421"/>
    </row>
    <row r="279" spans="3:21" ht="15" customHeight="1">
      <c r="C279" s="3421" t="s">
        <v>308</v>
      </c>
      <c r="D279" s="3518" cm="1">
        <f t="array" ref="D279:K279">_xlfn.ANCHORARRAY(GANA_!E249)+_xlfn.ANCHORARRAY(GANA_!E256)</f>
        <v>2.7686608455441806</v>
      </c>
      <c r="E279" s="3518">
        <v>2.7303158052378533</v>
      </c>
      <c r="F279" s="3518">
        <v>2.7303158052378533</v>
      </c>
      <c r="G279" s="3518">
        <v>2.7303158052378533</v>
      </c>
      <c r="H279" s="3518">
        <v>2.7303158052378533</v>
      </c>
      <c r="I279" s="3518">
        <v>2.7303158052378533</v>
      </c>
      <c r="J279" s="3518">
        <v>2.7303158052378533</v>
      </c>
      <c r="K279" s="3518">
        <v>2.7303158052378533</v>
      </c>
      <c r="L279" s="3421"/>
      <c r="M279" s="3421"/>
      <c r="N279" s="3421"/>
      <c r="O279" s="3421"/>
      <c r="P279" s="3421"/>
      <c r="Q279" s="3421"/>
      <c r="R279" s="3421"/>
      <c r="S279" s="3421"/>
      <c r="T279" s="3421"/>
      <c r="U279" s="3421"/>
    </row>
    <row r="280" spans="3:21" ht="15" customHeight="1">
      <c r="C280" s="3421" t="s">
        <v>310</v>
      </c>
      <c r="D280" s="3518" cm="1">
        <f t="array" ref="D280:K280">_xlfn.ANCHORARRAY(BOSQ_!E236)</f>
        <v>16604.429297711366</v>
      </c>
      <c r="E280" s="3518">
        <v>0.6619200306480818</v>
      </c>
      <c r="F280" s="3518">
        <v>0.66735748990903487</v>
      </c>
      <c r="G280" s="3518">
        <v>0.72151164148881519</v>
      </c>
      <c r="H280" s="3518">
        <v>0.93267607547272047</v>
      </c>
      <c r="I280" s="3518">
        <v>0.90262237221443709</v>
      </c>
      <c r="J280" s="3518">
        <v>0.90262237221443853</v>
      </c>
      <c r="K280" s="3518">
        <v>0.90262237221443986</v>
      </c>
      <c r="L280" s="3421"/>
      <c r="M280" s="3421"/>
      <c r="N280" s="3421"/>
      <c r="O280" s="3421"/>
      <c r="P280" s="3421"/>
      <c r="Q280" s="3421"/>
      <c r="R280" s="3421"/>
      <c r="S280" s="3421"/>
      <c r="T280" s="3421"/>
      <c r="U280" s="3421"/>
    </row>
    <row r="281" spans="3:21" ht="15" customHeight="1">
      <c r="C281" s="3421"/>
      <c r="D281" s="3421"/>
      <c r="E281" s="3421"/>
      <c r="F281" s="3421"/>
      <c r="G281" s="3421"/>
      <c r="H281" s="3421"/>
      <c r="I281" s="3421"/>
      <c r="J281" s="3421"/>
      <c r="K281" s="3421"/>
      <c r="L281" s="3421"/>
      <c r="M281" s="3421"/>
      <c r="N281" s="3421"/>
      <c r="O281" s="3421"/>
      <c r="P281" s="3421"/>
      <c r="Q281" s="3421"/>
      <c r="R281" s="3421"/>
      <c r="S281" s="3421"/>
      <c r="T281" s="3421"/>
      <c r="U281" s="3421"/>
    </row>
    <row r="282" spans="3:21" ht="15" customHeight="1">
      <c r="C282" s="3421"/>
      <c r="D282" s="3421"/>
      <c r="E282" s="3421"/>
      <c r="F282" s="3421"/>
      <c r="G282" s="3421"/>
      <c r="H282" s="3421"/>
      <c r="I282" s="3421"/>
      <c r="J282" s="3421"/>
      <c r="K282" s="3421"/>
      <c r="L282" s="3421"/>
      <c r="M282" s="3421"/>
      <c r="N282" s="3421"/>
      <c r="O282" s="3421"/>
      <c r="P282" s="3421"/>
      <c r="Q282" s="3421"/>
      <c r="R282" s="3421"/>
      <c r="S282" s="3421"/>
      <c r="T282" s="3421"/>
      <c r="U282" s="3421"/>
    </row>
    <row r="283" spans="3:21" ht="15" customHeight="1">
      <c r="C283" s="3421"/>
      <c r="D283" s="3421"/>
      <c r="E283" s="3421"/>
      <c r="F283" s="3421"/>
      <c r="G283" s="3421"/>
      <c r="H283" s="3421"/>
      <c r="I283" s="3421"/>
      <c r="J283" s="3421"/>
      <c r="K283" s="3421"/>
      <c r="L283" s="3421"/>
      <c r="M283" s="3421"/>
      <c r="N283" s="3421"/>
      <c r="O283" s="3421"/>
      <c r="P283" s="3421"/>
      <c r="Q283" s="3421"/>
      <c r="R283" s="3421"/>
      <c r="S283" s="3421"/>
      <c r="T283" s="3421"/>
      <c r="U283" s="3421"/>
    </row>
    <row r="284" spans="3:21" ht="15" customHeight="1">
      <c r="C284" s="3421"/>
      <c r="D284" s="3421"/>
      <c r="E284" s="3421"/>
      <c r="F284" s="3421"/>
      <c r="G284" s="3421"/>
      <c r="H284" s="3421"/>
      <c r="I284" s="3421"/>
      <c r="J284" s="3421"/>
      <c r="K284" s="3421"/>
      <c r="L284" s="3421"/>
      <c r="M284" s="3421"/>
      <c r="N284" s="3421"/>
      <c r="O284" s="3421"/>
      <c r="P284" s="3421"/>
      <c r="Q284" s="3421"/>
      <c r="R284" s="3421"/>
      <c r="S284" s="3421"/>
      <c r="T284" s="3421"/>
      <c r="U284" s="3421"/>
    </row>
    <row r="285" spans="3:21" ht="15" customHeight="1">
      <c r="C285" s="3328" t="s">
        <v>337</v>
      </c>
      <c r="D285" s="3421"/>
      <c r="E285" s="3421"/>
      <c r="F285" s="3421"/>
      <c r="G285" s="3421"/>
      <c r="H285" s="3421"/>
      <c r="I285" s="3421"/>
      <c r="J285" s="3421"/>
      <c r="K285" s="3421"/>
      <c r="L285" s="3421"/>
      <c r="M285" s="3421"/>
      <c r="N285" s="3421"/>
      <c r="O285" s="3421"/>
      <c r="P285" s="3421"/>
      <c r="Q285" s="3421"/>
      <c r="R285" s="3421"/>
      <c r="S285" s="3421"/>
      <c r="T285" s="3421"/>
      <c r="U285" s="3421"/>
    </row>
    <row r="286" spans="3:21" ht="15" customHeight="1">
      <c r="C286" s="3530" t="s">
        <v>321</v>
      </c>
      <c r="D286" s="3530">
        <v>2018</v>
      </c>
      <c r="E286" s="3530" t="s">
        <v>322</v>
      </c>
      <c r="F286" s="3530" t="s">
        <v>323</v>
      </c>
      <c r="G286" s="3530" t="s">
        <v>324</v>
      </c>
      <c r="H286" s="3530" t="s">
        <v>325</v>
      </c>
      <c r="I286" s="3530" t="s">
        <v>326</v>
      </c>
      <c r="J286" s="3530" t="s">
        <v>327</v>
      </c>
      <c r="K286" s="3530" t="s">
        <v>328</v>
      </c>
      <c r="L286" s="3421"/>
      <c r="M286" s="3421"/>
      <c r="N286" s="3421"/>
      <c r="O286" s="3421"/>
      <c r="P286" s="3421"/>
      <c r="Q286" s="3421"/>
      <c r="R286" s="3421"/>
      <c r="S286" s="3421"/>
      <c r="T286" s="3421"/>
      <c r="U286" s="3421"/>
    </row>
    <row r="287" spans="3:21" ht="15" customHeight="1">
      <c r="C287" s="3421" t="s">
        <v>292</v>
      </c>
      <c r="D287" s="3518"/>
      <c r="E287" s="3518"/>
      <c r="F287" s="3518"/>
      <c r="G287" s="3518"/>
      <c r="H287" s="3518"/>
      <c r="I287" s="3518"/>
      <c r="J287" s="3518"/>
      <c r="K287" s="3533"/>
      <c r="L287" s="3421"/>
      <c r="M287" s="3421"/>
      <c r="N287" s="3421"/>
      <c r="O287" s="3421"/>
      <c r="P287" s="3421"/>
      <c r="Q287" s="3421"/>
      <c r="R287" s="3421"/>
      <c r="S287" s="3421"/>
      <c r="T287" s="3421"/>
      <c r="U287" s="3421"/>
    </row>
    <row r="288" spans="3:21" ht="15" customHeight="1">
      <c r="C288" s="3421" t="s">
        <v>294</v>
      </c>
      <c r="D288" s="3518">
        <f t="shared" ref="D288:K298" si="34">D270*$D$249</f>
        <v>0</v>
      </c>
      <c r="E288" s="3518">
        <f t="shared" si="34"/>
        <v>0</v>
      </c>
      <c r="F288" s="3518">
        <f t="shared" si="34"/>
        <v>123085.8163895398</v>
      </c>
      <c r="G288" s="3518">
        <f t="shared" si="34"/>
        <v>0</v>
      </c>
      <c r="H288" s="3518">
        <f t="shared" si="34"/>
        <v>57219.196807228502</v>
      </c>
      <c r="I288" s="3518">
        <f t="shared" si="34"/>
        <v>26580.224223517882</v>
      </c>
      <c r="J288" s="3518">
        <f t="shared" si="34"/>
        <v>127392.81977161353</v>
      </c>
      <c r="K288" s="3534">
        <f t="shared" si="34"/>
        <v>58154.692528895488</v>
      </c>
      <c r="L288" s="3421"/>
      <c r="M288" s="3421"/>
      <c r="N288" s="3421"/>
      <c r="O288" s="3421"/>
      <c r="P288" s="3421"/>
      <c r="Q288" s="3421"/>
      <c r="R288" s="3421"/>
      <c r="S288" s="3421"/>
      <c r="T288" s="3421"/>
      <c r="U288" s="3421"/>
    </row>
    <row r="289" spans="3:21" ht="15" customHeight="1">
      <c r="C289" s="3421" t="s">
        <v>296</v>
      </c>
      <c r="D289" s="3518">
        <f t="shared" si="34"/>
        <v>768610.80504526605</v>
      </c>
      <c r="E289" s="3518">
        <f t="shared" si="34"/>
        <v>768610.80504526605</v>
      </c>
      <c r="F289" s="3518">
        <f t="shared" si="34"/>
        <v>888472.11605899443</v>
      </c>
      <c r="G289" s="3518">
        <f t="shared" si="34"/>
        <v>1009819.7490771892</v>
      </c>
      <c r="H289" s="3518">
        <f t="shared" si="34"/>
        <v>1009819.7490771892</v>
      </c>
      <c r="I289" s="3518">
        <f t="shared" si="34"/>
        <v>1009819.7490771892</v>
      </c>
      <c r="J289" s="3518">
        <f t="shared" si="34"/>
        <v>1009819.7490771892</v>
      </c>
      <c r="K289" s="3534">
        <f t="shared" si="34"/>
        <v>1009819.7490771892</v>
      </c>
      <c r="L289" s="3421"/>
      <c r="M289" s="3421"/>
      <c r="N289" s="3421"/>
      <c r="O289" s="3421"/>
      <c r="P289" s="3421"/>
      <c r="Q289" s="3421"/>
      <c r="R289" s="3421"/>
      <c r="S289" s="3421"/>
      <c r="T289" s="3421"/>
      <c r="U289" s="3421"/>
    </row>
    <row r="290" spans="3:21" ht="15" customHeight="1">
      <c r="C290" s="3421" t="s">
        <v>298</v>
      </c>
      <c r="D290" s="3518">
        <f t="shared" si="34"/>
        <v>707.43056717237334</v>
      </c>
      <c r="E290" s="3518">
        <f t="shared" si="34"/>
        <v>764.50228316771199</v>
      </c>
      <c r="F290" s="3518">
        <f t="shared" si="34"/>
        <v>909.50120533783388</v>
      </c>
      <c r="G290" s="3518">
        <f t="shared" si="34"/>
        <v>1059.3446452682354</v>
      </c>
      <c r="H290" s="3518">
        <f t="shared" si="34"/>
        <v>1059.3446452682354</v>
      </c>
      <c r="I290" s="3518">
        <f t="shared" si="34"/>
        <v>1059.3446452682354</v>
      </c>
      <c r="J290" s="3518">
        <f t="shared" si="34"/>
        <v>1059.3446452682354</v>
      </c>
      <c r="K290" s="3534">
        <f t="shared" si="34"/>
        <v>1059.3446452682354</v>
      </c>
      <c r="L290" s="3421"/>
      <c r="M290" s="3421"/>
      <c r="N290" s="3421"/>
      <c r="O290" s="3421"/>
      <c r="P290" s="3421"/>
      <c r="Q290" s="3421"/>
      <c r="R290" s="3421"/>
      <c r="S290" s="3421"/>
      <c r="T290" s="3421"/>
      <c r="U290" s="3421"/>
    </row>
    <row r="291" spans="3:21" ht="15" customHeight="1">
      <c r="C291" s="3421" t="s">
        <v>132</v>
      </c>
      <c r="D291" s="3518">
        <f t="shared" si="34"/>
        <v>30.394282342670898</v>
      </c>
      <c r="E291" s="3518">
        <f t="shared" si="34"/>
        <v>30.394282342670898</v>
      </c>
      <c r="F291" s="3518">
        <f t="shared" si="34"/>
        <v>30.394282342670898</v>
      </c>
      <c r="G291" s="3518">
        <f t="shared" si="34"/>
        <v>30.394282342670898</v>
      </c>
      <c r="H291" s="3518">
        <f t="shared" si="34"/>
        <v>30.394282342670898</v>
      </c>
      <c r="I291" s="3518">
        <f t="shared" si="34"/>
        <v>30.394282342670898</v>
      </c>
      <c r="J291" s="3518">
        <f t="shared" si="34"/>
        <v>30.394282342670898</v>
      </c>
      <c r="K291" s="3534">
        <f t="shared" si="34"/>
        <v>30.394282342670898</v>
      </c>
      <c r="L291" s="3421"/>
      <c r="M291" s="3421"/>
      <c r="N291" s="3421"/>
      <c r="O291" s="3421"/>
      <c r="P291" s="3421"/>
      <c r="Q291" s="3421"/>
      <c r="R291" s="3421"/>
      <c r="S291" s="3421"/>
      <c r="T291" s="3421"/>
      <c r="U291" s="3421"/>
    </row>
    <row r="292" spans="3:21" ht="15" customHeight="1">
      <c r="C292" s="3421" t="s">
        <v>93</v>
      </c>
      <c r="D292" s="3518">
        <f t="shared" si="34"/>
        <v>1422.9614397814282</v>
      </c>
      <c r="E292" s="3518">
        <f t="shared" si="34"/>
        <v>1654.0140730449025</v>
      </c>
      <c r="F292" s="3518">
        <f t="shared" si="34"/>
        <v>2116.3392632039468</v>
      </c>
      <c r="G292" s="3518">
        <f t="shared" si="34"/>
        <v>2674.8199062852214</v>
      </c>
      <c r="H292" s="3518">
        <f t="shared" si="34"/>
        <v>3101.0860472332242</v>
      </c>
      <c r="I292" s="3518">
        <f t="shared" si="34"/>
        <v>3683.490582156488</v>
      </c>
      <c r="J292" s="3518">
        <f t="shared" si="34"/>
        <v>4313.3264004682605</v>
      </c>
      <c r="K292" s="3534">
        <f t="shared" si="34"/>
        <v>4810.3064130658104</v>
      </c>
      <c r="L292" s="3421"/>
      <c r="M292" s="3421"/>
      <c r="N292" s="3421"/>
      <c r="O292" s="3421"/>
      <c r="P292" s="3421"/>
      <c r="Q292" s="3421"/>
      <c r="R292" s="3421"/>
      <c r="S292" s="3421"/>
      <c r="T292" s="3421"/>
      <c r="U292" s="3421"/>
    </row>
    <row r="293" spans="3:21" ht="15" customHeight="1">
      <c r="C293" s="3421" t="s">
        <v>302</v>
      </c>
      <c r="D293" s="3518">
        <f>D275*$D$249</f>
        <v>0</v>
      </c>
      <c r="E293" s="3518">
        <f t="shared" si="34"/>
        <v>0</v>
      </c>
      <c r="F293" s="3518">
        <f t="shared" si="34"/>
        <v>0</v>
      </c>
      <c r="G293" s="3518">
        <f t="shared" si="34"/>
        <v>0</v>
      </c>
      <c r="H293" s="3518">
        <f t="shared" si="34"/>
        <v>0</v>
      </c>
      <c r="I293" s="3518">
        <f t="shared" si="34"/>
        <v>0</v>
      </c>
      <c r="J293" s="3518">
        <f t="shared" si="34"/>
        <v>0</v>
      </c>
      <c r="K293" s="3534">
        <f t="shared" si="34"/>
        <v>0</v>
      </c>
      <c r="L293" s="3421"/>
      <c r="M293" s="3421"/>
      <c r="N293" s="3421"/>
      <c r="O293" s="3421"/>
      <c r="P293" s="3421"/>
      <c r="Q293" s="3421"/>
      <c r="R293" s="3421"/>
      <c r="S293" s="3421"/>
      <c r="T293" s="3421"/>
      <c r="U293" s="3421"/>
    </row>
    <row r="294" spans="3:21" ht="15" customHeight="1">
      <c r="C294" s="3421" t="s">
        <v>99</v>
      </c>
      <c r="D294" s="3518">
        <f t="shared" si="34"/>
        <v>0</v>
      </c>
      <c r="E294" s="3518">
        <f t="shared" si="34"/>
        <v>54395.443558564097</v>
      </c>
      <c r="F294" s="3518">
        <f t="shared" si="34"/>
        <v>45823.659070133093</v>
      </c>
      <c r="G294" s="3518">
        <f t="shared" si="34"/>
        <v>39167.817239169883</v>
      </c>
      <c r="H294" s="3518">
        <f t="shared" si="34"/>
        <v>33518.188684481524</v>
      </c>
      <c r="I294" s="3518">
        <f t="shared" si="34"/>
        <v>33425.579677880509</v>
      </c>
      <c r="J294" s="3518">
        <f t="shared" si="34"/>
        <v>34922.800428156574</v>
      </c>
      <c r="K294" s="3534">
        <f t="shared" si="34"/>
        <v>37059.845782373101</v>
      </c>
      <c r="L294" s="3421"/>
      <c r="M294" s="3421"/>
      <c r="N294" s="3421"/>
      <c r="O294" s="3421"/>
      <c r="P294" s="3421"/>
      <c r="Q294" s="3421"/>
      <c r="R294" s="3421"/>
      <c r="S294" s="3421"/>
      <c r="T294" s="3421"/>
      <c r="U294" s="3421"/>
    </row>
    <row r="295" spans="3:21" ht="15" customHeight="1">
      <c r="C295" s="3421" t="s">
        <v>101</v>
      </c>
      <c r="D295" s="3518">
        <f t="shared" si="34"/>
        <v>0</v>
      </c>
      <c r="E295" s="3518">
        <f t="shared" si="34"/>
        <v>16907.204615662831</v>
      </c>
      <c r="F295" s="3518">
        <f t="shared" si="34"/>
        <v>9747.194683606851</v>
      </c>
      <c r="G295" s="3518">
        <f t="shared" si="34"/>
        <v>10660.354570623711</v>
      </c>
      <c r="H295" s="3518">
        <f t="shared" si="34"/>
        <v>12428.210136971229</v>
      </c>
      <c r="I295" s="3518">
        <f t="shared" si="34"/>
        <v>14977.921163989715</v>
      </c>
      <c r="J295" s="3518">
        <f t="shared" si="34"/>
        <v>18478.059539967799</v>
      </c>
      <c r="K295" s="3534">
        <f t="shared" si="34"/>
        <v>22722.33430865889</v>
      </c>
      <c r="L295" s="3421"/>
      <c r="M295" s="3421"/>
      <c r="N295" s="3421"/>
      <c r="O295" s="3421"/>
      <c r="P295" s="3421"/>
      <c r="Q295" s="3421"/>
      <c r="R295" s="3421"/>
      <c r="S295" s="3421"/>
      <c r="T295" s="3421"/>
      <c r="U295" s="3421"/>
    </row>
    <row r="296" spans="3:21" ht="15" customHeight="1">
      <c r="C296" s="3421" t="s">
        <v>306</v>
      </c>
      <c r="D296" s="3518">
        <f t="shared" si="34"/>
        <v>0.87830222284573933</v>
      </c>
      <c r="E296" s="3518">
        <f t="shared" si="34"/>
        <v>1.7322760530027477</v>
      </c>
      <c r="F296" s="3518">
        <f t="shared" si="34"/>
        <v>1.6729189944533327</v>
      </c>
      <c r="G296" s="3518">
        <f t="shared" si="34"/>
        <v>1.6155958267456989</v>
      </c>
      <c r="H296" s="3518">
        <f t="shared" si="34"/>
        <v>1.5602368578826786</v>
      </c>
      <c r="I296" s="3518">
        <f t="shared" si="34"/>
        <v>1.5067747838883148</v>
      </c>
      <c r="J296" s="3518">
        <f t="shared" si="34"/>
        <v>1.4551446069814595</v>
      </c>
      <c r="K296" s="3534">
        <f t="shared" si="34"/>
        <v>1.405283556553184</v>
      </c>
      <c r="L296" s="3421"/>
      <c r="M296" s="3421"/>
      <c r="N296" s="3421"/>
      <c r="O296" s="3421"/>
      <c r="P296" s="3421"/>
      <c r="Q296" s="3421"/>
      <c r="R296" s="3421"/>
      <c r="S296" s="3421"/>
      <c r="T296" s="3421"/>
      <c r="U296" s="3421"/>
    </row>
    <row r="297" spans="3:21" ht="15" customHeight="1">
      <c r="C297" s="3421" t="s">
        <v>308</v>
      </c>
      <c r="D297" s="3518">
        <f t="shared" si="34"/>
        <v>10.301366614797573</v>
      </c>
      <c r="E297" s="3518">
        <f t="shared" si="34"/>
        <v>10.158696081969264</v>
      </c>
      <c r="F297" s="3518">
        <f t="shared" si="34"/>
        <v>10.158696081969264</v>
      </c>
      <c r="G297" s="3518">
        <f t="shared" si="34"/>
        <v>10.158696081969264</v>
      </c>
      <c r="H297" s="3518">
        <f t="shared" si="34"/>
        <v>10.158696081969264</v>
      </c>
      <c r="I297" s="3518">
        <f t="shared" si="34"/>
        <v>10.158696081969264</v>
      </c>
      <c r="J297" s="3518">
        <f t="shared" si="34"/>
        <v>10.158696081969264</v>
      </c>
      <c r="K297" s="3534">
        <f t="shared" si="34"/>
        <v>10.158696081969264</v>
      </c>
      <c r="L297" s="3421"/>
      <c r="M297" s="3421"/>
      <c r="N297" s="3421"/>
      <c r="O297" s="3421"/>
      <c r="P297" s="3421"/>
      <c r="Q297" s="3421"/>
      <c r="R297" s="3421"/>
      <c r="S297" s="3421"/>
      <c r="T297" s="3421"/>
      <c r="U297" s="3421"/>
    </row>
    <row r="298" spans="3:21" ht="15" customHeight="1">
      <c r="C298" s="3421" t="s">
        <v>310</v>
      </c>
      <c r="D298" s="3518">
        <f t="shared" si="34"/>
        <v>61780.161300901775</v>
      </c>
      <c r="E298" s="3518">
        <f t="shared" si="34"/>
        <v>2.4628082982275585</v>
      </c>
      <c r="F298" s="3518">
        <f t="shared" si="34"/>
        <v>2.4830394729452023</v>
      </c>
      <c r="G298" s="3518">
        <f t="shared" si="34"/>
        <v>2.6845310243695835</v>
      </c>
      <c r="H298" s="3518">
        <f t="shared" si="34"/>
        <v>3.4702113123598144</v>
      </c>
      <c r="I298" s="3518">
        <f t="shared" si="34"/>
        <v>3.3583903878525145</v>
      </c>
      <c r="J298" s="3518">
        <f t="shared" si="34"/>
        <v>3.3583903878525199</v>
      </c>
      <c r="K298" s="3534">
        <f t="shared" si="34"/>
        <v>3.3583903878525247</v>
      </c>
      <c r="L298" s="3421"/>
      <c r="M298" s="3421"/>
      <c r="N298" s="3421"/>
      <c r="O298" s="3421"/>
      <c r="P298" s="3421"/>
      <c r="Q298" s="3421"/>
      <c r="R298" s="3421"/>
      <c r="S298" s="3421"/>
      <c r="T298" s="3421"/>
      <c r="U298" s="3421"/>
    </row>
    <row r="299" spans="3:21" ht="15" customHeight="1">
      <c r="C299" s="3421"/>
      <c r="D299" s="3518"/>
      <c r="E299" s="3518"/>
      <c r="F299" s="3518"/>
      <c r="G299" s="3518"/>
      <c r="H299" s="3518"/>
      <c r="I299" s="3518"/>
      <c r="J299" s="3518"/>
      <c r="K299" s="3533"/>
      <c r="L299" s="3421"/>
      <c r="M299" s="3421"/>
      <c r="N299" s="3421"/>
      <c r="O299" s="3421"/>
      <c r="P299" s="3421"/>
      <c r="Q299" s="3421"/>
      <c r="R299" s="3421"/>
      <c r="S299" s="3421"/>
      <c r="T299" s="3421"/>
      <c r="U299" s="3421"/>
    </row>
    <row r="300" spans="3:21" ht="15" customHeight="1">
      <c r="C300" s="3531" t="s">
        <v>338</v>
      </c>
      <c r="D300" s="3535">
        <f t="shared" ref="D300:K300" si="35">SUM(D288:D298)</f>
        <v>832562.93230430188</v>
      </c>
      <c r="E300" s="3535">
        <f t="shared" si="35"/>
        <v>842376.71763848129</v>
      </c>
      <c r="F300" s="3535">
        <f t="shared" si="35"/>
        <v>1070199.3356077077</v>
      </c>
      <c r="G300" s="3535">
        <f t="shared" si="35"/>
        <v>1063426.9385438121</v>
      </c>
      <c r="H300" s="3535">
        <f t="shared" si="35"/>
        <v>1117191.3588249669</v>
      </c>
      <c r="I300" s="3535">
        <f t="shared" si="35"/>
        <v>1089591.7275135983</v>
      </c>
      <c r="J300" s="3535">
        <f t="shared" si="35"/>
        <v>1196031.4663760832</v>
      </c>
      <c r="K300" s="3535">
        <f t="shared" si="35"/>
        <v>1133671.58940782</v>
      </c>
      <c r="L300" s="3421"/>
      <c r="M300" s="3421"/>
      <c r="N300" s="3421"/>
      <c r="O300" s="3421"/>
      <c r="P300" s="3421"/>
      <c r="Q300" s="3421"/>
      <c r="R300" s="3421"/>
      <c r="S300" s="3421"/>
      <c r="T300" s="3421"/>
      <c r="U300" s="3421"/>
    </row>
    <row r="301" spans="3:21" ht="15" customHeight="1">
      <c r="C301" s="3421"/>
      <c r="D301" s="3421"/>
      <c r="E301" s="3421"/>
      <c r="F301" s="3421"/>
      <c r="G301" s="3421"/>
      <c r="H301" s="3421"/>
      <c r="I301" s="3421"/>
      <c r="J301" s="3421"/>
      <c r="K301" s="3421"/>
      <c r="L301" s="3421"/>
      <c r="M301" s="3421"/>
      <c r="N301" s="3421"/>
      <c r="O301" s="3421"/>
      <c r="P301" s="3421"/>
      <c r="Q301" s="3421"/>
      <c r="R301" s="3421"/>
      <c r="S301" s="3421"/>
      <c r="T301" s="3421"/>
      <c r="U301" s="3421"/>
    </row>
    <row r="302" spans="3:21" ht="15" customHeight="1">
      <c r="C302" s="3421"/>
      <c r="D302" s="3421"/>
      <c r="E302" s="3421"/>
      <c r="F302" s="3421"/>
      <c r="G302" s="3421"/>
      <c r="H302" s="3421"/>
      <c r="I302" s="3421"/>
      <c r="J302" s="3421"/>
      <c r="K302" s="3421"/>
      <c r="L302" s="3421"/>
      <c r="M302" s="3421"/>
      <c r="N302" s="3421"/>
      <c r="O302" s="3421"/>
      <c r="P302" s="3421"/>
      <c r="Q302" s="3421"/>
      <c r="R302" s="3421"/>
      <c r="S302" s="3421"/>
      <c r="T302" s="3421"/>
      <c r="U302" s="3421"/>
    </row>
    <row r="303" spans="3:21" ht="15" customHeight="1">
      <c r="C303" s="3421"/>
      <c r="D303" s="3421"/>
      <c r="E303" s="3421"/>
      <c r="F303" s="3421"/>
      <c r="G303" s="3421"/>
      <c r="H303" s="3421"/>
      <c r="I303" s="3421"/>
      <c r="J303" s="3421"/>
      <c r="K303" s="3421"/>
      <c r="L303" s="3421"/>
      <c r="M303" s="3421"/>
      <c r="N303" s="3421"/>
      <c r="O303" s="3421"/>
      <c r="P303" s="3421"/>
      <c r="Q303" s="3421"/>
      <c r="R303" s="3421"/>
      <c r="S303" s="3421"/>
      <c r="T303" s="3421"/>
      <c r="U303" s="3421"/>
    </row>
    <row r="304" spans="3:21" ht="15" customHeight="1">
      <c r="C304" s="3421"/>
      <c r="D304" s="3421"/>
      <c r="E304" s="3421"/>
      <c r="F304" s="3421"/>
      <c r="G304" s="3421"/>
      <c r="H304" s="3421"/>
      <c r="I304" s="3421"/>
      <c r="J304" s="3421"/>
      <c r="K304" s="3421"/>
      <c r="L304" s="3421"/>
      <c r="M304" s="3421"/>
      <c r="N304" s="3421"/>
      <c r="O304" s="3421"/>
      <c r="P304" s="3421"/>
      <c r="Q304" s="3421"/>
      <c r="R304" s="3421"/>
      <c r="S304" s="3421"/>
      <c r="T304" s="3421"/>
      <c r="U304" s="3421"/>
    </row>
    <row r="305" spans="3:21" ht="15" customHeight="1">
      <c r="C305" s="3328" t="s">
        <v>339</v>
      </c>
      <c r="D305" s="3421"/>
      <c r="E305" s="3421"/>
      <c r="F305" s="3421"/>
      <c r="G305" s="3421"/>
      <c r="H305" s="3421"/>
      <c r="I305" s="3421"/>
      <c r="J305" s="3421"/>
      <c r="K305" s="3421"/>
      <c r="L305" s="3421"/>
      <c r="M305" s="3421"/>
      <c r="N305" s="3421"/>
      <c r="O305" s="3421"/>
      <c r="P305" s="3421"/>
      <c r="Q305" s="3421"/>
      <c r="R305" s="3421"/>
      <c r="S305" s="3421"/>
      <c r="T305" s="3421"/>
      <c r="U305" s="3421"/>
    </row>
    <row r="306" spans="3:21" ht="15" customHeight="1">
      <c r="C306" s="3530" t="s">
        <v>321</v>
      </c>
      <c r="D306" s="3530">
        <v>2018</v>
      </c>
      <c r="E306" s="3530" t="s">
        <v>322</v>
      </c>
      <c r="F306" s="3530" t="s">
        <v>323</v>
      </c>
      <c r="G306" s="3530" t="s">
        <v>324</v>
      </c>
      <c r="H306" s="3530" t="s">
        <v>325</v>
      </c>
      <c r="I306" s="3530" t="s">
        <v>326</v>
      </c>
      <c r="J306" s="3530" t="s">
        <v>327</v>
      </c>
      <c r="K306" s="3530" t="s">
        <v>328</v>
      </c>
      <c r="L306" s="3421"/>
      <c r="M306" s="3421"/>
      <c r="N306" s="3421"/>
      <c r="O306" s="3421"/>
      <c r="P306" s="3421"/>
      <c r="Q306" s="3421"/>
      <c r="R306" s="3421"/>
      <c r="S306" s="3421"/>
      <c r="T306" s="3421"/>
      <c r="U306" s="3421"/>
    </row>
    <row r="307" spans="3:21" ht="15" customHeight="1">
      <c r="C307" s="3421" t="s">
        <v>292</v>
      </c>
      <c r="D307" s="3517" cm="1">
        <f t="array" ref="D307:K307">D287:K287*E248</f>
        <v>0</v>
      </c>
      <c r="E307" s="3517">
        <v>0</v>
      </c>
      <c r="F307" s="3517">
        <v>0</v>
      </c>
      <c r="G307" s="3517">
        <v>0</v>
      </c>
      <c r="H307" s="3517">
        <v>0</v>
      </c>
      <c r="I307" s="3517">
        <v>0</v>
      </c>
      <c r="J307" s="3517">
        <v>0</v>
      </c>
      <c r="K307" s="3517">
        <v>0</v>
      </c>
      <c r="L307" s="3421"/>
      <c r="M307" s="3421"/>
      <c r="N307" s="3421"/>
      <c r="O307" s="3421"/>
      <c r="P307" s="3421"/>
      <c r="Q307" s="3421"/>
      <c r="R307" s="3421"/>
      <c r="S307" s="3421"/>
      <c r="T307" s="3421"/>
      <c r="U307" s="3421"/>
    </row>
    <row r="308" spans="3:21" ht="15" customHeight="1">
      <c r="C308" s="3421" t="s">
        <v>294</v>
      </c>
      <c r="D308" s="3517" cm="1">
        <f t="array" ref="D308:K308">D288:K288*E249</f>
        <v>0</v>
      </c>
      <c r="E308" s="3517">
        <v>0</v>
      </c>
      <c r="F308" s="3517">
        <v>36925.744916861942</v>
      </c>
      <c r="G308" s="3517">
        <v>0</v>
      </c>
      <c r="H308" s="3517">
        <v>17165.759042168549</v>
      </c>
      <c r="I308" s="3517">
        <v>7974.067267055364</v>
      </c>
      <c r="J308" s="3517">
        <v>38217.845931484058</v>
      </c>
      <c r="K308" s="3517">
        <v>17446.407758668647</v>
      </c>
      <c r="L308" s="3421"/>
      <c r="M308" s="3421"/>
      <c r="N308" s="3421"/>
      <c r="O308" s="3421"/>
      <c r="P308" s="3421"/>
      <c r="Q308" s="3421"/>
      <c r="R308" s="3421"/>
      <c r="S308" s="3421"/>
      <c r="T308" s="3421"/>
      <c r="U308" s="3421"/>
    </row>
    <row r="309" spans="3:21" ht="15" customHeight="1">
      <c r="C309" s="3421" t="s">
        <v>296</v>
      </c>
      <c r="D309" s="3517" cm="1">
        <f t="array" ref="D309:K309">D289:K289*E250</f>
        <v>274503.85894473788</v>
      </c>
      <c r="E309" s="3517">
        <v>274503.85894473788</v>
      </c>
      <c r="F309" s="3517">
        <v>317311.47002106946</v>
      </c>
      <c r="G309" s="3517">
        <v>360649.91038471047</v>
      </c>
      <c r="H309" s="3517">
        <v>360649.91038471047</v>
      </c>
      <c r="I309" s="3517">
        <v>360649.91038471047</v>
      </c>
      <c r="J309" s="3517">
        <v>360649.91038471047</v>
      </c>
      <c r="K309" s="3517">
        <v>360649.91038471047</v>
      </c>
      <c r="L309" s="3421"/>
      <c r="M309" s="3421"/>
      <c r="N309" s="3421"/>
      <c r="O309" s="3421"/>
      <c r="P309" s="3421"/>
      <c r="Q309" s="3421"/>
      <c r="R309" s="3421"/>
      <c r="S309" s="3421"/>
      <c r="T309" s="3421"/>
      <c r="U309" s="3421"/>
    </row>
    <row r="310" spans="3:21" ht="15" customHeight="1">
      <c r="C310" s="3421" t="s">
        <v>298</v>
      </c>
      <c r="D310" s="3517" cm="1">
        <f t="array" ref="D310:K310">D290:K290*E251</f>
        <v>330.13426468044088</v>
      </c>
      <c r="E310" s="3517">
        <v>356.76773214493227</v>
      </c>
      <c r="F310" s="3517">
        <v>424.43389582432246</v>
      </c>
      <c r="G310" s="3517">
        <v>494.36083445850983</v>
      </c>
      <c r="H310" s="3517">
        <v>494.36083445850983</v>
      </c>
      <c r="I310" s="3517">
        <v>494.36083445850983</v>
      </c>
      <c r="J310" s="3517">
        <v>494.36083445850983</v>
      </c>
      <c r="K310" s="3517">
        <v>494.36083445850983</v>
      </c>
      <c r="L310" s="3421"/>
      <c r="M310" s="3421"/>
      <c r="N310" s="3421"/>
      <c r="O310" s="3421"/>
      <c r="P310" s="3421"/>
      <c r="Q310" s="3421"/>
      <c r="R310" s="3421"/>
      <c r="S310" s="3421"/>
      <c r="T310" s="3421"/>
      <c r="U310" s="3421"/>
    </row>
    <row r="311" spans="3:21" ht="15" customHeight="1">
      <c r="C311" s="3421" t="s">
        <v>132</v>
      </c>
      <c r="D311" s="3517" cm="1">
        <f t="array" ref="D311:K311">D291:K291*E252</f>
        <v>13.026121004001812</v>
      </c>
      <c r="E311" s="3517">
        <v>13.026121004001812</v>
      </c>
      <c r="F311" s="3517">
        <v>13.026121004001812</v>
      </c>
      <c r="G311" s="3517">
        <v>13.026121004001812</v>
      </c>
      <c r="H311" s="3517">
        <v>13.026121004001812</v>
      </c>
      <c r="I311" s="3517">
        <v>13.026121004001812</v>
      </c>
      <c r="J311" s="3517">
        <v>13.026121004001812</v>
      </c>
      <c r="K311" s="3517">
        <v>13.026121004001812</v>
      </c>
      <c r="L311" s="3421"/>
      <c r="M311" s="3421"/>
      <c r="N311" s="3421"/>
      <c r="O311" s="3421"/>
      <c r="P311" s="3421"/>
      <c r="Q311" s="3421"/>
      <c r="R311" s="3421"/>
      <c r="S311" s="3421"/>
      <c r="T311" s="3421"/>
      <c r="U311" s="3421"/>
    </row>
    <row r="312" spans="3:21" ht="15" customHeight="1">
      <c r="C312" s="3421" t="s">
        <v>93</v>
      </c>
      <c r="D312" s="3517" cm="1">
        <f t="array" ref="D312:K312">D292:K292*E253</f>
        <v>508.20051420765293</v>
      </c>
      <c r="E312" s="3517">
        <v>590.71931180175091</v>
      </c>
      <c r="F312" s="3517">
        <v>755.8354511442667</v>
      </c>
      <c r="G312" s="3517">
        <v>955.29282367329336</v>
      </c>
      <c r="H312" s="3517">
        <v>1107.5307311547231</v>
      </c>
      <c r="I312" s="3517">
        <v>1315.5323507701744</v>
      </c>
      <c r="J312" s="3517">
        <v>1540.4737144529502</v>
      </c>
      <c r="K312" s="3517">
        <v>1717.9665760949324</v>
      </c>
      <c r="L312" s="3421"/>
      <c r="M312" s="3421"/>
      <c r="N312" s="3421"/>
      <c r="O312" s="3421"/>
      <c r="P312" s="3421"/>
      <c r="Q312" s="3421"/>
      <c r="R312" s="3421"/>
      <c r="S312" s="3421"/>
      <c r="T312" s="3421"/>
      <c r="U312" s="3421"/>
    </row>
    <row r="313" spans="3:21" ht="15" customHeight="1">
      <c r="C313" s="3421" t="s">
        <v>302</v>
      </c>
      <c r="D313" s="3517" cm="1">
        <f t="array" ref="D313:K313">D293:K293*E254</f>
        <v>0</v>
      </c>
      <c r="E313" s="3517">
        <v>0</v>
      </c>
      <c r="F313" s="3517">
        <v>0</v>
      </c>
      <c r="G313" s="3517">
        <v>0</v>
      </c>
      <c r="H313" s="3517">
        <v>0</v>
      </c>
      <c r="I313" s="3517">
        <v>0</v>
      </c>
      <c r="J313" s="3517">
        <v>0</v>
      </c>
      <c r="K313" s="3517">
        <v>0</v>
      </c>
      <c r="L313" s="3421"/>
      <c r="M313" s="3421"/>
      <c r="N313" s="3421"/>
      <c r="O313" s="3421"/>
      <c r="P313" s="3421"/>
      <c r="Q313" s="3421"/>
      <c r="R313" s="3421"/>
      <c r="S313" s="3421"/>
      <c r="T313" s="3421"/>
      <c r="U313" s="3421"/>
    </row>
    <row r="314" spans="3:21" ht="15" customHeight="1">
      <c r="C314" s="3421" t="s">
        <v>99</v>
      </c>
      <c r="D314" s="3517" cm="1">
        <f t="array" ref="D314:K314">D294:K294*E255</f>
        <v>0</v>
      </c>
      <c r="E314" s="3517">
        <v>6043.9381731737885</v>
      </c>
      <c r="F314" s="3517">
        <v>5091.5176744592327</v>
      </c>
      <c r="G314" s="3517">
        <v>4351.9796932410982</v>
      </c>
      <c r="H314" s="3517">
        <v>3724.2431871646136</v>
      </c>
      <c r="I314" s="3517">
        <v>3713.9532975422785</v>
      </c>
      <c r="J314" s="3517">
        <v>3880.3111586840637</v>
      </c>
      <c r="K314" s="3517">
        <v>4117.7606424858996</v>
      </c>
      <c r="L314" s="3421"/>
      <c r="M314" s="3421"/>
      <c r="N314" s="3421"/>
      <c r="O314" s="3421"/>
      <c r="P314" s="3421"/>
      <c r="Q314" s="3421"/>
      <c r="R314" s="3421"/>
      <c r="S314" s="3421"/>
      <c r="T314" s="3421"/>
      <c r="U314" s="3421"/>
    </row>
    <row r="315" spans="3:21" ht="15" customHeight="1">
      <c r="C315" s="3421" t="s">
        <v>101</v>
      </c>
      <c r="D315" s="3517" cm="1">
        <f t="array" ref="D315:K315">D295:K295*E256</f>
        <v>0</v>
      </c>
      <c r="E315" s="3517">
        <v>1878.5782906292034</v>
      </c>
      <c r="F315" s="3517">
        <v>1083.0216315118723</v>
      </c>
      <c r="G315" s="3517">
        <v>1184.4838411804124</v>
      </c>
      <c r="H315" s="3517">
        <v>1380.9122374412475</v>
      </c>
      <c r="I315" s="3517">
        <v>1664.2134626655238</v>
      </c>
      <c r="J315" s="3517">
        <v>2053.1177266630884</v>
      </c>
      <c r="K315" s="3517">
        <v>2524.70381207321</v>
      </c>
      <c r="L315" s="3421"/>
      <c r="M315" s="3421"/>
      <c r="N315" s="3421"/>
      <c r="O315" s="3421"/>
      <c r="P315" s="3421"/>
      <c r="Q315" s="3421"/>
      <c r="R315" s="3421"/>
      <c r="S315" s="3421"/>
      <c r="T315" s="3421"/>
      <c r="U315" s="3421"/>
    </row>
    <row r="316" spans="3:21" ht="15" customHeight="1">
      <c r="C316" s="3421" t="s">
        <v>306</v>
      </c>
      <c r="D316" s="3517" cm="1">
        <f t="array" ref="D316:K316">D296:K296*E257</f>
        <v>0.51234296332668128</v>
      </c>
      <c r="E316" s="3517">
        <v>1.0104943642516029</v>
      </c>
      <c r="F316" s="3517">
        <v>0.97586941343111078</v>
      </c>
      <c r="G316" s="3517">
        <v>0.9424308989349911</v>
      </c>
      <c r="H316" s="3517">
        <v>0.91013816709822926</v>
      </c>
      <c r="I316" s="3517">
        <v>0.87895195726818365</v>
      </c>
      <c r="J316" s="3517">
        <v>0.84883435407251806</v>
      </c>
      <c r="K316" s="3517">
        <v>0.81974874132269071</v>
      </c>
      <c r="L316" s="3421"/>
      <c r="M316" s="3421"/>
      <c r="N316" s="3421"/>
      <c r="O316" s="3421"/>
      <c r="P316" s="3421"/>
      <c r="Q316" s="3421"/>
      <c r="R316" s="3421"/>
      <c r="S316" s="3421"/>
      <c r="T316" s="3421"/>
      <c r="U316" s="3421"/>
    </row>
    <row r="317" spans="3:21" ht="15" customHeight="1">
      <c r="C317" s="3421" t="s">
        <v>308</v>
      </c>
      <c r="D317" s="3517" cm="1">
        <f t="array" ref="D317:K317">D297:K297*E258</f>
        <v>6.009130525298584</v>
      </c>
      <c r="E317" s="3517">
        <v>5.9259060478154044</v>
      </c>
      <c r="F317" s="3517">
        <v>5.9259060478154044</v>
      </c>
      <c r="G317" s="3517">
        <v>5.9259060478154044</v>
      </c>
      <c r="H317" s="3517">
        <v>5.9259060478154044</v>
      </c>
      <c r="I317" s="3517">
        <v>5.9259060478154044</v>
      </c>
      <c r="J317" s="3517">
        <v>5.9259060478154044</v>
      </c>
      <c r="K317" s="3517">
        <v>5.9259060478154044</v>
      </c>
      <c r="L317" s="3421"/>
      <c r="M317" s="3421"/>
      <c r="N317" s="3421"/>
      <c r="O317" s="3421"/>
      <c r="P317" s="3421"/>
      <c r="Q317" s="3421"/>
      <c r="R317" s="3421"/>
      <c r="S317" s="3421"/>
      <c r="T317" s="3421"/>
      <c r="U317" s="3421"/>
    </row>
    <row r="318" spans="3:21" ht="15" customHeight="1">
      <c r="C318" s="3421" t="s">
        <v>310</v>
      </c>
      <c r="D318" s="3517" cm="1">
        <f t="array" ref="D318:K318">D298:K298*E259</f>
        <v>36506.458950532869</v>
      </c>
      <c r="E318" s="3517">
        <v>1.4552958125890119</v>
      </c>
      <c r="F318" s="3517">
        <v>1.4672505976494379</v>
      </c>
      <c r="G318" s="3517">
        <v>1.5863137871274813</v>
      </c>
      <c r="H318" s="3517">
        <v>2.0505794118489815</v>
      </c>
      <c r="I318" s="3517">
        <v>1.9845034110037587</v>
      </c>
      <c r="J318" s="3517">
        <v>1.9845034110037618</v>
      </c>
      <c r="K318" s="3517">
        <v>1.9845034110037647</v>
      </c>
      <c r="L318" s="3421"/>
      <c r="M318" s="3421"/>
      <c r="N318" s="3421"/>
      <c r="O318" s="3421"/>
      <c r="P318" s="3421"/>
      <c r="Q318" s="3421"/>
      <c r="R318" s="3421"/>
      <c r="S318" s="3421"/>
      <c r="T318" s="3421"/>
      <c r="U318" s="3421"/>
    </row>
    <row r="319" spans="3:21" ht="15" customHeight="1">
      <c r="C319" s="3421"/>
      <c r="D319" s="3517"/>
      <c r="E319" s="3517"/>
      <c r="F319" s="3517"/>
      <c r="G319" s="3517"/>
      <c r="H319" s="3517"/>
      <c r="I319" s="3517"/>
      <c r="J319" s="3517"/>
      <c r="K319" s="3517"/>
      <c r="L319" s="3421"/>
      <c r="M319" s="3421"/>
      <c r="N319" s="3421"/>
      <c r="O319" s="3421"/>
      <c r="P319" s="3421"/>
      <c r="Q319" s="3421"/>
      <c r="R319" s="3421"/>
      <c r="S319" s="3421"/>
      <c r="T319" s="3421"/>
      <c r="U319" s="3421"/>
    </row>
    <row r="320" spans="3:21" ht="15" customHeight="1">
      <c r="C320" s="3531" t="s">
        <v>338</v>
      </c>
      <c r="D320" s="3532">
        <f t="shared" ref="D320:K320" si="36">SUM(D308:D318)</f>
        <v>311868.20026865148</v>
      </c>
      <c r="E320" s="3532">
        <f t="shared" si="36"/>
        <v>283395.28026971623</v>
      </c>
      <c r="F320" s="3532">
        <f t="shared" si="36"/>
        <v>361613.41873793397</v>
      </c>
      <c r="G320" s="3532">
        <f t="shared" si="36"/>
        <v>367657.5083490017</v>
      </c>
      <c r="H320" s="3532">
        <f t="shared" si="36"/>
        <v>384544.62916172884</v>
      </c>
      <c r="I320" s="3532">
        <f t="shared" si="36"/>
        <v>375833.85307962244</v>
      </c>
      <c r="J320" s="3532">
        <f t="shared" si="36"/>
        <v>406857.80511527002</v>
      </c>
      <c r="K320" s="3532">
        <f t="shared" si="36"/>
        <v>386972.86628769583</v>
      </c>
      <c r="L320" s="3421"/>
      <c r="M320" s="3421"/>
      <c r="N320" s="3421"/>
      <c r="O320" s="3421"/>
      <c r="P320" s="3421"/>
      <c r="Q320" s="3421"/>
      <c r="R320" s="3421"/>
      <c r="S320" s="3421"/>
      <c r="T320" s="3421"/>
      <c r="U320" s="3421"/>
    </row>
    <row r="321" spans="3:21" ht="15" customHeight="1">
      <c r="C321" s="3421"/>
      <c r="D321" s="3421"/>
      <c r="E321" s="3421"/>
      <c r="F321" s="3421"/>
      <c r="G321" s="3421"/>
      <c r="H321" s="3421"/>
      <c r="I321" s="3421"/>
      <c r="J321" s="3421"/>
      <c r="K321" s="3421"/>
      <c r="L321" s="3421"/>
      <c r="M321" s="3421"/>
      <c r="N321" s="3421"/>
      <c r="O321" s="3421"/>
      <c r="P321" s="3421"/>
      <c r="Q321" s="3421"/>
      <c r="R321" s="3421"/>
      <c r="S321" s="3421"/>
      <c r="T321" s="3421"/>
      <c r="U321" s="3421"/>
    </row>
    <row r="322" spans="3:21" ht="15" customHeight="1">
      <c r="C322" s="3421"/>
      <c r="D322" s="3421"/>
      <c r="E322" s="3421"/>
      <c r="F322" s="3421"/>
      <c r="G322" s="3421"/>
      <c r="H322" s="3421"/>
      <c r="I322" s="3421"/>
      <c r="J322" s="3421"/>
      <c r="K322" s="3421"/>
      <c r="L322" s="3421"/>
      <c r="M322" s="3421"/>
      <c r="N322" s="3421"/>
      <c r="O322" s="3421"/>
      <c r="P322" s="3421"/>
      <c r="Q322" s="3421"/>
      <c r="R322" s="3421"/>
      <c r="S322" s="3421"/>
      <c r="T322" s="3421"/>
      <c r="U322" s="3421"/>
    </row>
    <row r="323" spans="3:21" ht="15" customHeight="1">
      <c r="C323" s="3328" t="s">
        <v>340</v>
      </c>
      <c r="D323" s="3421"/>
      <c r="E323" s="3421"/>
      <c r="F323" s="3421"/>
      <c r="G323" s="3421"/>
      <c r="H323" s="3421"/>
      <c r="I323" s="3421"/>
      <c r="J323" s="3421"/>
      <c r="K323" s="3421"/>
      <c r="L323" s="3421"/>
      <c r="M323" s="3421"/>
      <c r="N323" s="3421"/>
      <c r="O323" s="3421"/>
      <c r="P323" s="3421"/>
      <c r="Q323" s="3421"/>
      <c r="R323" s="3421"/>
      <c r="S323" s="3421"/>
      <c r="T323" s="3421"/>
      <c r="U323" s="3421"/>
    </row>
    <row r="324" spans="3:21" ht="15" customHeight="1">
      <c r="C324" s="3530" t="s">
        <v>321</v>
      </c>
      <c r="D324" s="3530">
        <v>2018</v>
      </c>
      <c r="E324" s="3530" t="s">
        <v>322</v>
      </c>
      <c r="F324" s="3530" t="s">
        <v>323</v>
      </c>
      <c r="G324" s="3530" t="s">
        <v>324</v>
      </c>
      <c r="H324" s="3530" t="s">
        <v>325</v>
      </c>
      <c r="I324" s="3530" t="s">
        <v>326</v>
      </c>
      <c r="J324" s="3530" t="s">
        <v>327</v>
      </c>
      <c r="K324" s="3530" t="s">
        <v>328</v>
      </c>
      <c r="L324" s="3421"/>
      <c r="M324" s="3421"/>
      <c r="N324" s="3421"/>
      <c r="O324" s="3421"/>
      <c r="P324" s="3421"/>
      <c r="Q324" s="3421"/>
      <c r="R324" s="3421"/>
      <c r="S324" s="3421"/>
      <c r="T324" s="3421"/>
      <c r="U324" s="3421"/>
    </row>
    <row r="325" spans="3:21" ht="15" customHeight="1">
      <c r="C325" s="3421" t="s">
        <v>292</v>
      </c>
      <c r="D325" s="3517">
        <f t="shared" ref="D325:K336" si="37">D287*$F248</f>
        <v>0</v>
      </c>
      <c r="E325" s="3517">
        <f t="shared" si="37"/>
        <v>0</v>
      </c>
      <c r="F325" s="3517">
        <f t="shared" si="37"/>
        <v>0</v>
      </c>
      <c r="G325" s="3517">
        <f t="shared" si="37"/>
        <v>0</v>
      </c>
      <c r="H325" s="3517">
        <f t="shared" si="37"/>
        <v>0</v>
      </c>
      <c r="I325" s="3517">
        <f t="shared" si="37"/>
        <v>0</v>
      </c>
      <c r="J325" s="3517">
        <f t="shared" si="37"/>
        <v>0</v>
      </c>
      <c r="K325" s="3517">
        <f t="shared" si="37"/>
        <v>0</v>
      </c>
      <c r="L325" s="3421"/>
      <c r="M325" s="3421"/>
      <c r="N325" s="3421"/>
      <c r="O325" s="3421"/>
      <c r="P325" s="3421"/>
      <c r="Q325" s="3421"/>
      <c r="R325" s="3421"/>
      <c r="S325" s="3421"/>
      <c r="T325" s="3421"/>
      <c r="U325" s="3421"/>
    </row>
    <row r="326" spans="3:21" ht="15" customHeight="1">
      <c r="C326" s="3421" t="s">
        <v>294</v>
      </c>
      <c r="D326" s="3517">
        <f t="shared" si="37"/>
        <v>0</v>
      </c>
      <c r="E326" s="3517">
        <f t="shared" si="37"/>
        <v>0</v>
      </c>
      <c r="F326" s="3517">
        <f t="shared" si="37"/>
        <v>36925.744916861942</v>
      </c>
      <c r="G326" s="3517">
        <f t="shared" si="37"/>
        <v>0</v>
      </c>
      <c r="H326" s="3517">
        <f t="shared" si="37"/>
        <v>17165.759042168549</v>
      </c>
      <c r="I326" s="3517">
        <f t="shared" si="37"/>
        <v>7974.067267055364</v>
      </c>
      <c r="J326" s="3517">
        <f t="shared" si="37"/>
        <v>38217.845931484058</v>
      </c>
      <c r="K326" s="3517">
        <f t="shared" si="37"/>
        <v>17446.407758668647</v>
      </c>
      <c r="L326" s="3421"/>
      <c r="M326" s="3421"/>
      <c r="N326" s="3421"/>
      <c r="O326" s="3421"/>
      <c r="P326" s="3421"/>
      <c r="Q326" s="3421"/>
      <c r="R326" s="3421"/>
      <c r="S326" s="3421"/>
      <c r="T326" s="3421"/>
      <c r="U326" s="3421"/>
    </row>
    <row r="327" spans="3:21" ht="15" customHeight="1">
      <c r="C327" s="3421" t="s">
        <v>296</v>
      </c>
      <c r="D327" s="3517">
        <f t="shared" si="37"/>
        <v>164702.31536684273</v>
      </c>
      <c r="E327" s="3517">
        <f t="shared" si="37"/>
        <v>164702.31536684273</v>
      </c>
      <c r="F327" s="3517">
        <f t="shared" si="37"/>
        <v>190386.88201264164</v>
      </c>
      <c r="G327" s="3517">
        <f t="shared" si="37"/>
        <v>216389.94623082626</v>
      </c>
      <c r="H327" s="3517">
        <f t="shared" si="37"/>
        <v>216389.94623082626</v>
      </c>
      <c r="I327" s="3517">
        <f t="shared" si="37"/>
        <v>216389.94623082626</v>
      </c>
      <c r="J327" s="3517">
        <f t="shared" si="37"/>
        <v>216389.94623082626</v>
      </c>
      <c r="K327" s="3517">
        <f t="shared" si="37"/>
        <v>216389.94623082626</v>
      </c>
      <c r="L327" s="3421"/>
      <c r="M327" s="3421"/>
      <c r="N327" s="3421"/>
      <c r="O327" s="3421"/>
      <c r="P327" s="3421"/>
      <c r="Q327" s="3421"/>
      <c r="R327" s="3421"/>
      <c r="S327" s="3421"/>
      <c r="T327" s="3421"/>
      <c r="U327" s="3421"/>
    </row>
    <row r="328" spans="3:21" ht="15" customHeight="1">
      <c r="C328" s="3421" t="s">
        <v>298</v>
      </c>
      <c r="D328" s="3517">
        <f t="shared" si="37"/>
        <v>141.48611343447467</v>
      </c>
      <c r="E328" s="3517">
        <f t="shared" si="37"/>
        <v>152.9004566335424</v>
      </c>
      <c r="F328" s="3517">
        <f t="shared" si="37"/>
        <v>181.90024106756678</v>
      </c>
      <c r="G328" s="3517">
        <f t="shared" si="37"/>
        <v>211.86892905364709</v>
      </c>
      <c r="H328" s="3517">
        <f t="shared" si="37"/>
        <v>211.86892905364709</v>
      </c>
      <c r="I328" s="3517">
        <f t="shared" si="37"/>
        <v>211.86892905364709</v>
      </c>
      <c r="J328" s="3517">
        <f t="shared" si="37"/>
        <v>211.86892905364709</v>
      </c>
      <c r="K328" s="3517">
        <f t="shared" si="37"/>
        <v>211.86892905364709</v>
      </c>
      <c r="L328" s="3421"/>
      <c r="M328" s="3421"/>
      <c r="N328" s="3421"/>
      <c r="O328" s="3421"/>
      <c r="P328" s="3421"/>
      <c r="Q328" s="3421"/>
      <c r="R328" s="3421"/>
      <c r="S328" s="3421"/>
      <c r="T328" s="3421"/>
      <c r="U328" s="3421"/>
    </row>
    <row r="329" spans="3:21" ht="15" customHeight="1">
      <c r="C329" s="3421" t="s">
        <v>132</v>
      </c>
      <c r="D329" s="3517">
        <f t="shared" si="37"/>
        <v>6.513060502000906</v>
      </c>
      <c r="E329" s="3517">
        <f t="shared" si="37"/>
        <v>6.513060502000906</v>
      </c>
      <c r="F329" s="3517">
        <f t="shared" si="37"/>
        <v>6.513060502000906</v>
      </c>
      <c r="G329" s="3517">
        <f t="shared" si="37"/>
        <v>6.513060502000906</v>
      </c>
      <c r="H329" s="3517">
        <f t="shared" si="37"/>
        <v>6.513060502000906</v>
      </c>
      <c r="I329" s="3517">
        <f t="shared" si="37"/>
        <v>6.513060502000906</v>
      </c>
      <c r="J329" s="3517">
        <f t="shared" si="37"/>
        <v>6.513060502000906</v>
      </c>
      <c r="K329" s="3517">
        <f t="shared" si="37"/>
        <v>6.513060502000906</v>
      </c>
      <c r="L329" s="3421"/>
      <c r="M329" s="3421"/>
      <c r="N329" s="3421"/>
      <c r="O329" s="3421"/>
      <c r="P329" s="3421"/>
      <c r="Q329" s="3421"/>
      <c r="R329" s="3421"/>
      <c r="S329" s="3421"/>
      <c r="T329" s="3421"/>
      <c r="U329" s="3421"/>
    </row>
    <row r="330" spans="3:21" ht="15" customHeight="1">
      <c r="C330" s="3421" t="s">
        <v>93</v>
      </c>
      <c r="D330" s="3517">
        <f t="shared" si="37"/>
        <v>406.56041136612231</v>
      </c>
      <c r="E330" s="3517">
        <f t="shared" si="37"/>
        <v>472.57544944140068</v>
      </c>
      <c r="F330" s="3517">
        <f t="shared" si="37"/>
        <v>604.66836091541336</v>
      </c>
      <c r="G330" s="3517">
        <f t="shared" si="37"/>
        <v>764.23425893863464</v>
      </c>
      <c r="H330" s="3517">
        <f t="shared" si="37"/>
        <v>886.02458492377832</v>
      </c>
      <c r="I330" s="3517">
        <f t="shared" si="37"/>
        <v>1052.4258806161395</v>
      </c>
      <c r="J330" s="3517">
        <f t="shared" si="37"/>
        <v>1232.37897156236</v>
      </c>
      <c r="K330" s="3517">
        <f t="shared" si="37"/>
        <v>1374.3732608759458</v>
      </c>
      <c r="L330" s="3421"/>
      <c r="M330" s="3421"/>
      <c r="N330" s="3421"/>
      <c r="O330" s="3421"/>
      <c r="P330" s="3421"/>
      <c r="Q330" s="3421"/>
      <c r="R330" s="3421"/>
      <c r="S330" s="3421"/>
      <c r="T330" s="3421"/>
      <c r="U330" s="3421"/>
    </row>
    <row r="331" spans="3:21" ht="15" customHeight="1">
      <c r="C331" s="3421" t="s">
        <v>302</v>
      </c>
      <c r="D331" s="3517">
        <f t="shared" si="37"/>
        <v>0</v>
      </c>
      <c r="E331" s="3517">
        <f t="shared" si="37"/>
        <v>0</v>
      </c>
      <c r="F331" s="3517">
        <f t="shared" si="37"/>
        <v>0</v>
      </c>
      <c r="G331" s="3517">
        <f t="shared" si="37"/>
        <v>0</v>
      </c>
      <c r="H331" s="3517">
        <f t="shared" si="37"/>
        <v>0</v>
      </c>
      <c r="I331" s="3517">
        <f t="shared" si="37"/>
        <v>0</v>
      </c>
      <c r="J331" s="3517">
        <f t="shared" si="37"/>
        <v>0</v>
      </c>
      <c r="K331" s="3517">
        <f t="shared" si="37"/>
        <v>0</v>
      </c>
      <c r="L331" s="3421"/>
      <c r="M331" s="3421"/>
      <c r="N331" s="3421"/>
      <c r="O331" s="3421"/>
      <c r="P331" s="3421"/>
      <c r="Q331" s="3421"/>
      <c r="R331" s="3421"/>
      <c r="S331" s="3421"/>
      <c r="T331" s="3421"/>
      <c r="U331" s="3421"/>
    </row>
    <row r="332" spans="3:21" ht="15" customHeight="1">
      <c r="C332" s="3421" t="s">
        <v>99</v>
      </c>
      <c r="D332" s="3517">
        <f t="shared" si="37"/>
        <v>0</v>
      </c>
      <c r="E332" s="3517">
        <f t="shared" si="37"/>
        <v>24175.752692695154</v>
      </c>
      <c r="F332" s="3517">
        <f t="shared" si="37"/>
        <v>20366.070697836931</v>
      </c>
      <c r="G332" s="3517">
        <f t="shared" si="37"/>
        <v>17407.918772964393</v>
      </c>
      <c r="H332" s="3517">
        <f t="shared" si="37"/>
        <v>14896.972748658454</v>
      </c>
      <c r="I332" s="3517">
        <f t="shared" si="37"/>
        <v>14855.813190169114</v>
      </c>
      <c r="J332" s="3517">
        <f t="shared" si="37"/>
        <v>15521.244634736255</v>
      </c>
      <c r="K332" s="3517">
        <f t="shared" si="37"/>
        <v>16471.042569943598</v>
      </c>
      <c r="L332" s="3421"/>
      <c r="M332" s="3421"/>
      <c r="N332" s="3421"/>
      <c r="O332" s="3421"/>
      <c r="P332" s="3421"/>
      <c r="Q332" s="3421"/>
      <c r="R332" s="3421"/>
      <c r="S332" s="3421"/>
      <c r="T332" s="3421"/>
      <c r="U332" s="3421"/>
    </row>
    <row r="333" spans="3:21" ht="15" customHeight="1">
      <c r="C333" s="3421" t="s">
        <v>101</v>
      </c>
      <c r="D333" s="3517">
        <f t="shared" si="37"/>
        <v>0</v>
      </c>
      <c r="E333" s="3517">
        <f t="shared" si="37"/>
        <v>7514.3131625168135</v>
      </c>
      <c r="F333" s="3517">
        <f t="shared" si="37"/>
        <v>4332.0865260474893</v>
      </c>
      <c r="G333" s="3517">
        <f t="shared" si="37"/>
        <v>4737.9353647216494</v>
      </c>
      <c r="H333" s="3517">
        <f t="shared" si="37"/>
        <v>5523.64894976499</v>
      </c>
      <c r="I333" s="3517">
        <f t="shared" si="37"/>
        <v>6656.8538506620953</v>
      </c>
      <c r="J333" s="3517">
        <f t="shared" si="37"/>
        <v>8212.4709066523537</v>
      </c>
      <c r="K333" s="3517">
        <f t="shared" si="37"/>
        <v>10098.81524829284</v>
      </c>
      <c r="L333" s="3421"/>
      <c r="M333" s="3421"/>
      <c r="N333" s="3421"/>
      <c r="O333" s="3421"/>
      <c r="P333" s="3421"/>
      <c r="Q333" s="3421"/>
      <c r="R333" s="3421"/>
      <c r="S333" s="3421"/>
      <c r="T333" s="3421"/>
      <c r="U333" s="3421"/>
    </row>
    <row r="334" spans="3:21" ht="15" customHeight="1">
      <c r="C334" s="3421" t="s">
        <v>306</v>
      </c>
      <c r="D334" s="3517">
        <f t="shared" si="37"/>
        <v>0.18297962975952903</v>
      </c>
      <c r="E334" s="3517">
        <f t="shared" si="37"/>
        <v>0.36089084437557245</v>
      </c>
      <c r="F334" s="3517">
        <f t="shared" si="37"/>
        <v>0.34852479051111102</v>
      </c>
      <c r="G334" s="3517">
        <f t="shared" si="37"/>
        <v>0.33658246390535396</v>
      </c>
      <c r="H334" s="3517">
        <f t="shared" si="37"/>
        <v>0.32504934539222474</v>
      </c>
      <c r="I334" s="3517">
        <f t="shared" si="37"/>
        <v>0.31391141331006561</v>
      </c>
      <c r="J334" s="3517">
        <f t="shared" si="37"/>
        <v>0.30315512645447074</v>
      </c>
      <c r="K334" s="3517">
        <f t="shared" si="37"/>
        <v>0.29276740761524667</v>
      </c>
      <c r="L334" s="3421"/>
      <c r="M334" s="3421"/>
      <c r="N334" s="3421"/>
      <c r="O334" s="3421"/>
      <c r="P334" s="3421"/>
      <c r="Q334" s="3421"/>
      <c r="R334" s="3421"/>
      <c r="S334" s="3421"/>
      <c r="T334" s="3421"/>
      <c r="U334" s="3421"/>
    </row>
    <row r="335" spans="3:21" ht="15" customHeight="1">
      <c r="C335" s="3421" t="s">
        <v>308</v>
      </c>
      <c r="D335" s="3517">
        <f t="shared" si="37"/>
        <v>2.1461180447494943</v>
      </c>
      <c r="E335" s="3517">
        <f t="shared" si="37"/>
        <v>2.1163950170769303</v>
      </c>
      <c r="F335" s="3517">
        <f t="shared" si="37"/>
        <v>2.1163950170769303</v>
      </c>
      <c r="G335" s="3517">
        <f t="shared" si="37"/>
        <v>2.1163950170769303</v>
      </c>
      <c r="H335" s="3517">
        <f t="shared" si="37"/>
        <v>2.1163950170769303</v>
      </c>
      <c r="I335" s="3517">
        <f t="shared" si="37"/>
        <v>2.1163950170769303</v>
      </c>
      <c r="J335" s="3517">
        <f t="shared" si="37"/>
        <v>2.1163950170769303</v>
      </c>
      <c r="K335" s="3517">
        <f t="shared" si="37"/>
        <v>2.1163950170769303</v>
      </c>
      <c r="L335" s="3421"/>
      <c r="M335" s="3421"/>
      <c r="N335" s="3421"/>
      <c r="O335" s="3421"/>
      <c r="P335" s="3421"/>
      <c r="Q335" s="3421"/>
      <c r="R335" s="3421"/>
      <c r="S335" s="3421"/>
      <c r="T335" s="3421"/>
      <c r="U335" s="3421"/>
    </row>
    <row r="336" spans="3:21" ht="15" customHeight="1">
      <c r="C336" s="3421" t="s">
        <v>310</v>
      </c>
      <c r="D336" s="3517">
        <f t="shared" si="37"/>
        <v>8424.5674501229678</v>
      </c>
      <c r="E336" s="3517">
        <f t="shared" si="37"/>
        <v>0.33583749521284889</v>
      </c>
      <c r="F336" s="3517">
        <f t="shared" si="37"/>
        <v>0.33859629176525485</v>
      </c>
      <c r="G336" s="3517">
        <f t="shared" si="37"/>
        <v>0.3660724124140341</v>
      </c>
      <c r="H336" s="3517">
        <f t="shared" si="37"/>
        <v>0.47321063350361103</v>
      </c>
      <c r="I336" s="3517">
        <f t="shared" si="37"/>
        <v>0.45796232561625194</v>
      </c>
      <c r="J336" s="3517">
        <f t="shared" si="37"/>
        <v>0.45796232561625266</v>
      </c>
      <c r="K336" s="3517">
        <f t="shared" si="37"/>
        <v>0.45796232561625333</v>
      </c>
      <c r="L336" s="3421"/>
      <c r="M336" s="3421"/>
      <c r="N336" s="3421"/>
      <c r="O336" s="3421"/>
      <c r="P336" s="3421"/>
      <c r="Q336" s="3421"/>
      <c r="R336" s="3421"/>
      <c r="S336" s="3421"/>
      <c r="T336" s="3421"/>
      <c r="U336" s="3421"/>
    </row>
    <row r="337" spans="3:21" ht="15" customHeight="1">
      <c r="C337" s="3421"/>
      <c r="D337" s="3517"/>
      <c r="E337" s="3517"/>
      <c r="F337" s="3517"/>
      <c r="G337" s="3517"/>
      <c r="H337" s="3517"/>
      <c r="I337" s="3517"/>
      <c r="J337" s="3517"/>
      <c r="K337" s="3517"/>
      <c r="L337" s="3421"/>
      <c r="M337" s="3421"/>
      <c r="N337" s="3421"/>
      <c r="O337" s="3421"/>
      <c r="P337" s="3421"/>
      <c r="Q337" s="3421"/>
      <c r="R337" s="3421"/>
      <c r="S337" s="3421"/>
      <c r="T337" s="3421"/>
      <c r="U337" s="3421"/>
    </row>
    <row r="338" spans="3:21" ht="15" customHeight="1">
      <c r="C338" s="3521" t="s">
        <v>338</v>
      </c>
      <c r="D338" s="3522">
        <f t="shared" ref="D338:K338" si="38">SUM(D325:D336)</f>
        <v>173683.77149994278</v>
      </c>
      <c r="E338" s="3522">
        <f t="shared" si="38"/>
        <v>197027.18331198831</v>
      </c>
      <c r="F338" s="3522">
        <f t="shared" si="38"/>
        <v>252806.66933197234</v>
      </c>
      <c r="G338" s="3522">
        <f t="shared" si="38"/>
        <v>239521.2356669</v>
      </c>
      <c r="H338" s="3522">
        <f t="shared" si="38"/>
        <v>255083.64820089366</v>
      </c>
      <c r="I338" s="3522">
        <f t="shared" si="38"/>
        <v>247150.37667764066</v>
      </c>
      <c r="J338" s="3522">
        <f t="shared" si="38"/>
        <v>279795.14617728611</v>
      </c>
      <c r="K338" s="3522">
        <f t="shared" si="38"/>
        <v>262001.83418291327</v>
      </c>
      <c r="L338" s="3421"/>
      <c r="M338" s="3421"/>
      <c r="N338" s="3421"/>
      <c r="O338" s="3421"/>
      <c r="P338" s="3421"/>
      <c r="Q338" s="3421"/>
      <c r="R338" s="3421"/>
      <c r="S338" s="3421"/>
      <c r="T338" s="3421"/>
      <c r="U338" s="3421"/>
    </row>
    <row r="339" spans="3:21" ht="15" customHeight="1">
      <c r="C339" s="3421"/>
      <c r="D339" s="3421"/>
      <c r="E339" s="3421"/>
      <c r="F339" s="3421"/>
      <c r="G339" s="3421"/>
      <c r="H339" s="3421"/>
      <c r="I339" s="3421"/>
      <c r="J339" s="3421"/>
      <c r="K339" s="3421"/>
      <c r="L339" s="3421"/>
      <c r="M339" s="3421"/>
      <c r="N339" s="3421"/>
      <c r="O339" s="3421"/>
      <c r="P339" s="3421"/>
      <c r="Q339" s="3421"/>
      <c r="R339" s="3421"/>
      <c r="S339" s="3421"/>
      <c r="T339" s="3421"/>
      <c r="U339" s="3421"/>
    </row>
    <row r="340" spans="3:21" ht="15" customHeight="1">
      <c r="C340" s="3328" t="s">
        <v>341</v>
      </c>
      <c r="D340" s="3421"/>
      <c r="E340" s="3421"/>
      <c r="F340" s="3421"/>
      <c r="G340" s="3421"/>
      <c r="H340" s="3421"/>
      <c r="I340" s="3421"/>
      <c r="J340" s="3421"/>
      <c r="K340" s="3421"/>
      <c r="L340" s="3421"/>
      <c r="M340" s="3421"/>
      <c r="N340" s="3421"/>
      <c r="O340" s="3421"/>
      <c r="P340" s="3421"/>
      <c r="Q340" s="3421"/>
      <c r="R340" s="3421"/>
      <c r="S340" s="3421"/>
      <c r="T340" s="3421"/>
      <c r="U340" s="3421"/>
    </row>
    <row r="341" spans="3:21" ht="15" customHeight="1">
      <c r="C341" s="3530" t="s">
        <v>321</v>
      </c>
      <c r="D341" s="3530">
        <v>2018</v>
      </c>
      <c r="E341" s="3530" t="s">
        <v>322</v>
      </c>
      <c r="F341" s="3530" t="s">
        <v>323</v>
      </c>
      <c r="G341" s="3530" t="s">
        <v>324</v>
      </c>
      <c r="H341" s="3530" t="s">
        <v>325</v>
      </c>
      <c r="I341" s="3530" t="s">
        <v>326</v>
      </c>
      <c r="J341" s="3530" t="s">
        <v>327</v>
      </c>
      <c r="K341" s="3530" t="s">
        <v>328</v>
      </c>
      <c r="L341" s="3421"/>
      <c r="M341" s="3421"/>
      <c r="N341" s="3421"/>
      <c r="O341" s="3421"/>
      <c r="P341" s="3421"/>
      <c r="Q341" s="3421"/>
      <c r="R341" s="3421"/>
      <c r="S341" s="3421"/>
      <c r="T341" s="3421"/>
      <c r="U341" s="3421"/>
    </row>
    <row r="342" spans="3:21" ht="15" customHeight="1">
      <c r="C342" s="3421" t="s">
        <v>292</v>
      </c>
      <c r="D342" s="3517">
        <f t="shared" ref="D342:K353" si="39">D287*$G248</f>
        <v>0</v>
      </c>
      <c r="E342" s="3517">
        <f t="shared" si="39"/>
        <v>0</v>
      </c>
      <c r="F342" s="3517">
        <f t="shared" si="39"/>
        <v>0</v>
      </c>
      <c r="G342" s="3517">
        <f t="shared" si="39"/>
        <v>0</v>
      </c>
      <c r="H342" s="3517">
        <f t="shared" si="39"/>
        <v>0</v>
      </c>
      <c r="I342" s="3517">
        <f t="shared" si="39"/>
        <v>0</v>
      </c>
      <c r="J342" s="3517">
        <f t="shared" si="39"/>
        <v>0</v>
      </c>
      <c r="K342" s="3517">
        <f t="shared" si="39"/>
        <v>0</v>
      </c>
      <c r="L342" s="3421"/>
      <c r="M342" s="3421"/>
      <c r="N342" s="3421"/>
      <c r="O342" s="3421"/>
      <c r="P342" s="3421"/>
      <c r="Q342" s="3421"/>
      <c r="R342" s="3421"/>
      <c r="S342" s="3421"/>
      <c r="T342" s="3421"/>
      <c r="U342" s="3421"/>
    </row>
    <row r="343" spans="3:21" ht="15" customHeight="1">
      <c r="C343" s="3421" t="s">
        <v>294</v>
      </c>
      <c r="D343" s="3517">
        <f t="shared" si="39"/>
        <v>0</v>
      </c>
      <c r="E343" s="3517">
        <f t="shared" si="39"/>
        <v>0</v>
      </c>
      <c r="F343" s="3517">
        <f t="shared" si="39"/>
        <v>49234.326555815926</v>
      </c>
      <c r="G343" s="3517">
        <f t="shared" si="39"/>
        <v>0</v>
      </c>
      <c r="H343" s="3517">
        <f t="shared" si="39"/>
        <v>22887.678722891404</v>
      </c>
      <c r="I343" s="3517">
        <f t="shared" si="39"/>
        <v>10632.089689407154</v>
      </c>
      <c r="J343" s="3517">
        <f t="shared" si="39"/>
        <v>50957.127908645416</v>
      </c>
      <c r="K343" s="3517">
        <f t="shared" si="39"/>
        <v>23261.877011558197</v>
      </c>
      <c r="L343" s="3421"/>
      <c r="M343" s="3421"/>
      <c r="N343" s="3421"/>
      <c r="O343" s="3421"/>
      <c r="P343" s="3421"/>
      <c r="Q343" s="3421"/>
      <c r="R343" s="3421"/>
      <c r="S343" s="3421"/>
      <c r="T343" s="3421"/>
      <c r="U343" s="3421"/>
    </row>
    <row r="344" spans="3:21" ht="15" customHeight="1">
      <c r="C344" s="3421" t="s">
        <v>296</v>
      </c>
      <c r="D344" s="3517">
        <f t="shared" si="39"/>
        <v>329404.63073368545</v>
      </c>
      <c r="E344" s="3517">
        <f t="shared" si="39"/>
        <v>329404.63073368545</v>
      </c>
      <c r="F344" s="3517">
        <f t="shared" si="39"/>
        <v>380773.76402528328</v>
      </c>
      <c r="G344" s="3517">
        <f t="shared" si="39"/>
        <v>432779.89246165252</v>
      </c>
      <c r="H344" s="3517">
        <f t="shared" si="39"/>
        <v>432779.89246165252</v>
      </c>
      <c r="I344" s="3517">
        <f t="shared" si="39"/>
        <v>432779.89246165252</v>
      </c>
      <c r="J344" s="3517">
        <f t="shared" si="39"/>
        <v>432779.89246165252</v>
      </c>
      <c r="K344" s="3517">
        <f t="shared" si="39"/>
        <v>432779.89246165252</v>
      </c>
      <c r="L344" s="3421"/>
      <c r="M344" s="3421"/>
      <c r="N344" s="3421"/>
      <c r="O344" s="3421"/>
      <c r="P344" s="3421"/>
      <c r="Q344" s="3421"/>
      <c r="R344" s="3421"/>
      <c r="S344" s="3421"/>
      <c r="T344" s="3421"/>
      <c r="U344" s="3421"/>
    </row>
    <row r="345" spans="3:21" ht="15" customHeight="1">
      <c r="C345" s="3421" t="s">
        <v>298</v>
      </c>
      <c r="D345" s="3517">
        <f t="shared" si="39"/>
        <v>235.81018905745776</v>
      </c>
      <c r="E345" s="3517">
        <f t="shared" si="39"/>
        <v>254.83409438923732</v>
      </c>
      <c r="F345" s="3517">
        <f t="shared" si="39"/>
        <v>303.16706844594461</v>
      </c>
      <c r="G345" s="3517">
        <f t="shared" si="39"/>
        <v>353.11488175607843</v>
      </c>
      <c r="H345" s="3517">
        <f t="shared" si="39"/>
        <v>353.11488175607843</v>
      </c>
      <c r="I345" s="3517">
        <f t="shared" si="39"/>
        <v>353.11488175607843</v>
      </c>
      <c r="J345" s="3517">
        <f t="shared" si="39"/>
        <v>353.11488175607843</v>
      </c>
      <c r="K345" s="3517">
        <f t="shared" si="39"/>
        <v>353.11488175607843</v>
      </c>
      <c r="L345" s="3421"/>
      <c r="M345" s="3421"/>
      <c r="N345" s="3421"/>
      <c r="O345" s="3421"/>
      <c r="P345" s="3421"/>
      <c r="Q345" s="3421"/>
      <c r="R345" s="3421"/>
      <c r="S345" s="3421"/>
      <c r="T345" s="3421"/>
      <c r="U345" s="3421"/>
    </row>
    <row r="346" spans="3:21" ht="15" customHeight="1">
      <c r="C346" s="3421" t="s">
        <v>132</v>
      </c>
      <c r="D346" s="3517">
        <f t="shared" si="39"/>
        <v>10.855100836668178</v>
      </c>
      <c r="E346" s="3517">
        <f t="shared" si="39"/>
        <v>10.855100836668178</v>
      </c>
      <c r="F346" s="3517">
        <f t="shared" si="39"/>
        <v>10.855100836668178</v>
      </c>
      <c r="G346" s="3517">
        <f t="shared" si="39"/>
        <v>10.855100836668178</v>
      </c>
      <c r="H346" s="3517">
        <f t="shared" si="39"/>
        <v>10.855100836668178</v>
      </c>
      <c r="I346" s="3517">
        <f t="shared" si="39"/>
        <v>10.855100836668178</v>
      </c>
      <c r="J346" s="3517">
        <f t="shared" si="39"/>
        <v>10.855100836668178</v>
      </c>
      <c r="K346" s="3517">
        <f t="shared" si="39"/>
        <v>10.855100836668178</v>
      </c>
      <c r="L346" s="3421"/>
      <c r="M346" s="3421"/>
      <c r="N346" s="3421"/>
      <c r="O346" s="3421"/>
      <c r="P346" s="3421"/>
      <c r="Q346" s="3421"/>
      <c r="R346" s="3421"/>
      <c r="S346" s="3421"/>
      <c r="T346" s="3421"/>
      <c r="U346" s="3421"/>
    </row>
    <row r="347" spans="3:21" ht="15" customHeight="1">
      <c r="C347" s="3421" t="s">
        <v>93</v>
      </c>
      <c r="D347" s="3517">
        <f t="shared" si="39"/>
        <v>508.20051420765293</v>
      </c>
      <c r="E347" s="3517">
        <f t="shared" si="39"/>
        <v>590.71931180175091</v>
      </c>
      <c r="F347" s="3517">
        <f t="shared" si="39"/>
        <v>755.8354511442667</v>
      </c>
      <c r="G347" s="3517">
        <f t="shared" si="39"/>
        <v>955.29282367329336</v>
      </c>
      <c r="H347" s="3517">
        <f t="shared" si="39"/>
        <v>1107.5307311547231</v>
      </c>
      <c r="I347" s="3517">
        <f t="shared" si="39"/>
        <v>1315.5323507701744</v>
      </c>
      <c r="J347" s="3517">
        <f t="shared" si="39"/>
        <v>1540.4737144529502</v>
      </c>
      <c r="K347" s="3517">
        <f t="shared" si="39"/>
        <v>1717.9665760949324</v>
      </c>
      <c r="L347" s="3421"/>
      <c r="M347" s="3421"/>
      <c r="N347" s="3421"/>
      <c r="O347" s="3421"/>
      <c r="P347" s="3421"/>
      <c r="Q347" s="3421"/>
      <c r="R347" s="3421"/>
      <c r="S347" s="3421"/>
      <c r="T347" s="3421"/>
      <c r="U347" s="3421"/>
    </row>
    <row r="348" spans="3:21" ht="15" customHeight="1">
      <c r="C348" s="3421" t="s">
        <v>302</v>
      </c>
      <c r="D348" s="3517">
        <f t="shared" si="39"/>
        <v>0</v>
      </c>
      <c r="E348" s="3517">
        <f t="shared" si="39"/>
        <v>0</v>
      </c>
      <c r="F348" s="3517">
        <f t="shared" si="39"/>
        <v>0</v>
      </c>
      <c r="G348" s="3517">
        <f t="shared" si="39"/>
        <v>0</v>
      </c>
      <c r="H348" s="3517">
        <f t="shared" si="39"/>
        <v>0</v>
      </c>
      <c r="I348" s="3517">
        <f t="shared" si="39"/>
        <v>0</v>
      </c>
      <c r="J348" s="3517">
        <f t="shared" si="39"/>
        <v>0</v>
      </c>
      <c r="K348" s="3517">
        <f t="shared" si="39"/>
        <v>0</v>
      </c>
      <c r="L348" s="3421"/>
      <c r="M348" s="3421"/>
      <c r="N348" s="3421"/>
      <c r="O348" s="3421"/>
      <c r="P348" s="3421"/>
      <c r="Q348" s="3421"/>
      <c r="R348" s="3421"/>
      <c r="S348" s="3421"/>
      <c r="T348" s="3421"/>
      <c r="U348" s="3421"/>
    </row>
    <row r="349" spans="3:21" ht="15" customHeight="1">
      <c r="C349" s="3421" t="s">
        <v>99</v>
      </c>
      <c r="D349" s="3517">
        <f t="shared" si="39"/>
        <v>0</v>
      </c>
      <c r="E349" s="3517">
        <f t="shared" si="39"/>
        <v>24175.752692695154</v>
      </c>
      <c r="F349" s="3517">
        <f t="shared" si="39"/>
        <v>20366.070697836931</v>
      </c>
      <c r="G349" s="3517">
        <f t="shared" si="39"/>
        <v>17407.918772964393</v>
      </c>
      <c r="H349" s="3517">
        <f t="shared" si="39"/>
        <v>14896.972748658454</v>
      </c>
      <c r="I349" s="3517">
        <f t="shared" si="39"/>
        <v>14855.813190169114</v>
      </c>
      <c r="J349" s="3517">
        <f t="shared" si="39"/>
        <v>15521.244634736255</v>
      </c>
      <c r="K349" s="3517">
        <f t="shared" si="39"/>
        <v>16471.042569943598</v>
      </c>
      <c r="L349" s="3421"/>
      <c r="M349" s="3421"/>
      <c r="N349" s="3421"/>
      <c r="O349" s="3421"/>
      <c r="P349" s="3421"/>
      <c r="Q349" s="3421"/>
      <c r="R349" s="3421"/>
      <c r="S349" s="3421"/>
      <c r="T349" s="3421"/>
      <c r="U349" s="3421"/>
    </row>
    <row r="350" spans="3:21" ht="15" customHeight="1">
      <c r="C350" s="3421" t="s">
        <v>101</v>
      </c>
      <c r="D350" s="3517">
        <f t="shared" si="39"/>
        <v>0</v>
      </c>
      <c r="E350" s="3517">
        <f t="shared" si="39"/>
        <v>7514.3131625168135</v>
      </c>
      <c r="F350" s="3517">
        <f t="shared" si="39"/>
        <v>4332.0865260474893</v>
      </c>
      <c r="G350" s="3517">
        <f t="shared" si="39"/>
        <v>4737.9353647216494</v>
      </c>
      <c r="H350" s="3517">
        <f t="shared" si="39"/>
        <v>5523.64894976499</v>
      </c>
      <c r="I350" s="3517">
        <f t="shared" si="39"/>
        <v>6656.8538506620953</v>
      </c>
      <c r="J350" s="3517">
        <f t="shared" si="39"/>
        <v>8212.4709066523537</v>
      </c>
      <c r="K350" s="3517">
        <f t="shared" si="39"/>
        <v>10098.81524829284</v>
      </c>
      <c r="L350" s="3421"/>
      <c r="M350" s="3421"/>
      <c r="N350" s="3421"/>
      <c r="O350" s="3421"/>
      <c r="P350" s="3421"/>
      <c r="Q350" s="3421"/>
      <c r="R350" s="3421"/>
      <c r="S350" s="3421"/>
      <c r="T350" s="3421"/>
      <c r="U350" s="3421"/>
    </row>
    <row r="351" spans="3:21" ht="15" customHeight="1">
      <c r="C351" s="3421" t="s">
        <v>306</v>
      </c>
      <c r="D351" s="3517">
        <f t="shared" si="39"/>
        <v>0.18297962975952903</v>
      </c>
      <c r="E351" s="3517">
        <f t="shared" si="39"/>
        <v>0.36089084437557245</v>
      </c>
      <c r="F351" s="3517">
        <f t="shared" si="39"/>
        <v>0.34852479051111102</v>
      </c>
      <c r="G351" s="3517">
        <f t="shared" si="39"/>
        <v>0.33658246390535396</v>
      </c>
      <c r="H351" s="3517">
        <f t="shared" si="39"/>
        <v>0.32504934539222474</v>
      </c>
      <c r="I351" s="3517">
        <f t="shared" si="39"/>
        <v>0.31391141331006561</v>
      </c>
      <c r="J351" s="3517">
        <f t="shared" si="39"/>
        <v>0.30315512645447074</v>
      </c>
      <c r="K351" s="3517">
        <f t="shared" si="39"/>
        <v>0.29276740761524667</v>
      </c>
      <c r="L351" s="3421"/>
      <c r="M351" s="3421"/>
      <c r="N351" s="3421"/>
      <c r="O351" s="3421"/>
      <c r="P351" s="3421"/>
      <c r="Q351" s="3421"/>
      <c r="R351" s="3421"/>
      <c r="S351" s="3421"/>
      <c r="T351" s="3421"/>
      <c r="U351" s="3421"/>
    </row>
    <row r="352" spans="3:21" ht="15" customHeight="1">
      <c r="C352" s="3421" t="s">
        <v>308</v>
      </c>
      <c r="D352" s="3517">
        <f t="shared" si="39"/>
        <v>2.1461180447494943</v>
      </c>
      <c r="E352" s="3517">
        <f t="shared" si="39"/>
        <v>2.1163950170769303</v>
      </c>
      <c r="F352" s="3517">
        <f t="shared" si="39"/>
        <v>2.1163950170769303</v>
      </c>
      <c r="G352" s="3517">
        <f t="shared" si="39"/>
        <v>2.1163950170769303</v>
      </c>
      <c r="H352" s="3517">
        <f t="shared" si="39"/>
        <v>2.1163950170769303</v>
      </c>
      <c r="I352" s="3517">
        <f t="shared" si="39"/>
        <v>2.1163950170769303</v>
      </c>
      <c r="J352" s="3517">
        <f t="shared" si="39"/>
        <v>2.1163950170769303</v>
      </c>
      <c r="K352" s="3517">
        <f t="shared" si="39"/>
        <v>2.1163950170769303</v>
      </c>
      <c r="L352" s="3421"/>
      <c r="M352" s="3421"/>
      <c r="N352" s="3421"/>
      <c r="O352" s="3421"/>
      <c r="P352" s="3421"/>
      <c r="Q352" s="3421"/>
      <c r="R352" s="3421"/>
      <c r="S352" s="3421"/>
      <c r="T352" s="3421"/>
      <c r="U352" s="3421"/>
    </row>
    <row r="353" spans="3:21" ht="15" customHeight="1">
      <c r="C353" s="3421" t="s">
        <v>310</v>
      </c>
      <c r="D353" s="3517">
        <f t="shared" si="39"/>
        <v>16849.134900245936</v>
      </c>
      <c r="E353" s="3517">
        <f t="shared" si="39"/>
        <v>0.67167499042569778</v>
      </c>
      <c r="F353" s="3517">
        <f t="shared" si="39"/>
        <v>0.67719258353050971</v>
      </c>
      <c r="G353" s="3517">
        <f t="shared" si="39"/>
        <v>0.7321448248280682</v>
      </c>
      <c r="H353" s="3517">
        <f t="shared" si="39"/>
        <v>0.94642126700722207</v>
      </c>
      <c r="I353" s="3517">
        <f t="shared" si="39"/>
        <v>0.91592465123250388</v>
      </c>
      <c r="J353" s="3517">
        <f t="shared" si="39"/>
        <v>0.91592465123250533</v>
      </c>
      <c r="K353" s="3517">
        <f t="shared" si="39"/>
        <v>0.91592465123250666</v>
      </c>
      <c r="L353" s="3421"/>
      <c r="M353" s="3421"/>
      <c r="N353" s="3421"/>
      <c r="O353" s="3421"/>
      <c r="P353" s="3421"/>
      <c r="Q353" s="3421"/>
      <c r="R353" s="3421"/>
      <c r="S353" s="3421"/>
      <c r="T353" s="3421"/>
      <c r="U353" s="3421"/>
    </row>
    <row r="354" spans="3:21" ht="15" customHeight="1">
      <c r="C354" s="3421"/>
      <c r="D354" s="3517"/>
      <c r="E354" s="3517"/>
      <c r="F354" s="3517"/>
      <c r="G354" s="3517"/>
      <c r="H354" s="3517"/>
      <c r="I354" s="3517"/>
      <c r="J354" s="3517"/>
      <c r="K354" s="3517"/>
      <c r="L354" s="3421"/>
      <c r="M354" s="3421"/>
      <c r="N354" s="3421"/>
      <c r="O354" s="3421"/>
      <c r="P354" s="3421"/>
      <c r="Q354" s="3421"/>
      <c r="R354" s="3421"/>
      <c r="S354" s="3421"/>
      <c r="T354" s="3421"/>
      <c r="U354" s="3421"/>
    </row>
    <row r="355" spans="3:21" ht="15" customHeight="1">
      <c r="C355" s="3531" t="s">
        <v>338</v>
      </c>
      <c r="D355" s="3532">
        <f t="shared" ref="D355:K355" si="40">SUM(D342:D353)</f>
        <v>347010.96053570765</v>
      </c>
      <c r="E355" s="3532">
        <f t="shared" si="40"/>
        <v>361954.25405677693</v>
      </c>
      <c r="F355" s="3532">
        <f t="shared" si="40"/>
        <v>455779.24753780157</v>
      </c>
      <c r="G355" s="3532">
        <f t="shared" si="40"/>
        <v>456248.19452791038</v>
      </c>
      <c r="H355" s="3532">
        <f t="shared" si="40"/>
        <v>477563.08146234427</v>
      </c>
      <c r="I355" s="3532">
        <f t="shared" si="40"/>
        <v>466607.49775633542</v>
      </c>
      <c r="J355" s="3532">
        <f t="shared" si="40"/>
        <v>509378.51508352702</v>
      </c>
      <c r="K355" s="3532">
        <f t="shared" si="40"/>
        <v>484696.88893721072</v>
      </c>
      <c r="L355" s="3421"/>
      <c r="M355" s="3421"/>
      <c r="N355" s="3421"/>
      <c r="O355" s="3421"/>
      <c r="P355" s="3421"/>
      <c r="Q355" s="3421"/>
      <c r="R355" s="3421"/>
      <c r="S355" s="3421"/>
      <c r="T355" s="3421"/>
      <c r="U355" s="3421"/>
    </row>
    <row r="356" spans="3:21" ht="15" customHeight="1">
      <c r="C356" s="3421"/>
      <c r="D356" s="3421"/>
      <c r="E356" s="3421"/>
      <c r="F356" s="3421"/>
      <c r="G356" s="3421"/>
      <c r="H356" s="3421"/>
      <c r="I356" s="3421"/>
      <c r="J356" s="3421"/>
      <c r="K356" s="3421"/>
      <c r="L356" s="3421"/>
      <c r="M356" s="3421"/>
      <c r="N356" s="3421"/>
      <c r="O356" s="3421"/>
      <c r="P356" s="3421"/>
      <c r="Q356" s="3421"/>
      <c r="R356" s="3421"/>
      <c r="S356" s="3421"/>
      <c r="T356" s="3421"/>
      <c r="U356" s="3421"/>
    </row>
    <row r="357" spans="3:21" ht="15" customHeight="1">
      <c r="C357" s="3421"/>
      <c r="D357" s="3421"/>
      <c r="E357" s="3421"/>
      <c r="F357" s="3421"/>
      <c r="G357" s="3421"/>
      <c r="H357" s="3421"/>
      <c r="I357" s="3421"/>
      <c r="J357" s="3421"/>
      <c r="K357" s="3421"/>
      <c r="L357" s="3421"/>
      <c r="M357" s="3421"/>
      <c r="N357" s="3421"/>
      <c r="O357" s="3421"/>
      <c r="P357" s="3421"/>
      <c r="Q357" s="3421"/>
      <c r="R357" s="3421"/>
      <c r="S357" s="3421"/>
      <c r="T357" s="3421"/>
      <c r="U357" s="3421"/>
    </row>
    <row r="358" spans="3:21" ht="15" customHeight="1">
      <c r="C358" s="3421"/>
      <c r="D358" s="3421"/>
      <c r="E358" s="3421"/>
      <c r="F358" s="3421"/>
      <c r="G358" s="3421"/>
      <c r="H358" s="3421"/>
      <c r="I358" s="3421"/>
      <c r="J358" s="3421"/>
      <c r="K358" s="3421"/>
      <c r="L358" s="3421"/>
      <c r="M358" s="3421"/>
      <c r="N358" s="3421"/>
      <c r="O358" s="3421"/>
      <c r="P358" s="3421"/>
      <c r="Q358" s="3421"/>
      <c r="R358" s="3421"/>
      <c r="S358" s="3421"/>
      <c r="T358" s="3421"/>
      <c r="U358" s="3421"/>
    </row>
    <row r="359" spans="3:21" ht="15" customHeight="1">
      <c r="C359" s="3421"/>
      <c r="D359" s="3421"/>
      <c r="E359" s="3421"/>
      <c r="F359" s="3421"/>
      <c r="G359" s="3421"/>
      <c r="H359" s="3421"/>
      <c r="I359" s="3421"/>
      <c r="J359" s="3421"/>
      <c r="K359" s="3421"/>
      <c r="L359" s="3421"/>
      <c r="M359" s="3421"/>
      <c r="N359" s="3421"/>
      <c r="O359" s="3421"/>
      <c r="P359" s="3421"/>
      <c r="Q359" s="3421"/>
      <c r="R359" s="3421"/>
      <c r="S359" s="3421"/>
      <c r="T359" s="3421"/>
      <c r="U359" s="3421"/>
    </row>
    <row r="360" spans="3:21" ht="15" customHeight="1">
      <c r="C360" s="3421"/>
      <c r="D360" s="3421"/>
      <c r="E360" s="3421"/>
      <c r="F360" s="3421"/>
      <c r="G360" s="3421"/>
      <c r="H360" s="3421"/>
      <c r="I360" s="3421"/>
      <c r="J360" s="3421"/>
      <c r="K360" s="3421"/>
      <c r="L360" s="3421"/>
      <c r="M360" s="3421"/>
      <c r="N360" s="3421"/>
      <c r="O360" s="3421"/>
      <c r="P360" s="3421"/>
      <c r="Q360" s="3421"/>
      <c r="R360" s="3421"/>
      <c r="S360" s="3421"/>
      <c r="T360" s="3421"/>
      <c r="U360" s="3421"/>
    </row>
    <row r="361" spans="3:21" ht="15" customHeight="1">
      <c r="C361" s="3421"/>
      <c r="D361" s="3421"/>
      <c r="E361" s="3421"/>
      <c r="F361" s="3421"/>
      <c r="G361" s="3421"/>
      <c r="H361" s="3421"/>
      <c r="I361" s="3421"/>
      <c r="J361" s="3421"/>
      <c r="K361" s="3421"/>
      <c r="L361" s="3421"/>
      <c r="M361" s="3421"/>
      <c r="N361" s="3421"/>
      <c r="O361" s="3421"/>
      <c r="P361" s="3421"/>
      <c r="Q361" s="3421"/>
      <c r="R361" s="3421"/>
      <c r="S361" s="3421"/>
      <c r="T361" s="3421"/>
      <c r="U361" s="3421"/>
    </row>
    <row r="362" spans="3:21" ht="15" customHeight="1">
      <c r="C362" s="3421"/>
      <c r="D362" s="3421"/>
      <c r="E362" s="3421"/>
      <c r="F362" s="3421"/>
      <c r="G362" s="3421"/>
      <c r="H362" s="3421"/>
      <c r="I362" s="3421"/>
      <c r="J362" s="3421"/>
      <c r="K362" s="3421"/>
      <c r="L362" s="3421"/>
      <c r="M362" s="3421"/>
      <c r="N362" s="3421"/>
      <c r="O362" s="3421"/>
      <c r="P362" s="3421"/>
      <c r="Q362" s="3421"/>
      <c r="R362" s="3421"/>
      <c r="S362" s="3421"/>
      <c r="T362" s="3421"/>
      <c r="U362" s="3421"/>
    </row>
    <row r="363" spans="3:21" ht="15" customHeight="1">
      <c r="C363" s="3421"/>
      <c r="D363" s="3421"/>
      <c r="E363" s="3421"/>
      <c r="F363" s="3421"/>
      <c r="G363" s="3421"/>
      <c r="H363" s="3421"/>
      <c r="I363" s="3421"/>
      <c r="J363" s="3421"/>
      <c r="K363" s="3421"/>
      <c r="L363" s="3421"/>
      <c r="M363" s="3421"/>
      <c r="N363" s="3421"/>
      <c r="O363" s="3421"/>
      <c r="P363" s="3421"/>
      <c r="Q363" s="3421"/>
      <c r="R363" s="3421"/>
      <c r="S363" s="3421"/>
      <c r="T363" s="3421"/>
      <c r="U363" s="3421"/>
    </row>
    <row r="364" spans="3:21" ht="15" customHeight="1">
      <c r="C364" s="3421"/>
      <c r="D364" s="3421"/>
      <c r="E364" s="3421"/>
      <c r="F364" s="3421"/>
      <c r="G364" s="3421"/>
      <c r="H364" s="3421"/>
      <c r="I364" s="3421"/>
      <c r="J364" s="3421"/>
      <c r="K364" s="3421"/>
      <c r="L364" s="3421"/>
      <c r="M364" s="3421"/>
      <c r="N364" s="3421"/>
      <c r="O364" s="3421"/>
      <c r="P364" s="3421"/>
      <c r="Q364" s="3421"/>
      <c r="R364" s="3421"/>
      <c r="S364" s="3421"/>
      <c r="T364" s="3421"/>
      <c r="U364" s="3421"/>
    </row>
    <row r="365" spans="3:21" ht="15" customHeight="1">
      <c r="C365" s="3421"/>
      <c r="D365" s="3421"/>
      <c r="E365" s="3421"/>
      <c r="F365" s="3421"/>
      <c r="G365" s="3421"/>
      <c r="H365" s="3421"/>
      <c r="I365" s="3421"/>
      <c r="J365" s="3421"/>
      <c r="K365" s="3421"/>
      <c r="L365" s="3421"/>
      <c r="M365" s="3421"/>
      <c r="N365" s="3421"/>
      <c r="O365" s="3421"/>
      <c r="P365" s="3421"/>
      <c r="Q365" s="3421"/>
      <c r="R365" s="3421"/>
      <c r="S365" s="3421"/>
      <c r="T365" s="3421"/>
      <c r="U365" s="3421"/>
    </row>
    <row r="366" spans="3:21" ht="15" customHeight="1">
      <c r="C366" s="3421"/>
      <c r="D366" s="3421"/>
      <c r="E366" s="3421"/>
      <c r="F366" s="3421"/>
      <c r="G366" s="3421"/>
      <c r="H366" s="3421"/>
      <c r="I366" s="3421"/>
      <c r="J366" s="3421"/>
      <c r="K366" s="3421"/>
      <c r="L366" s="3421"/>
      <c r="M366" s="3421"/>
      <c r="N366" s="3421"/>
      <c r="O366" s="3421"/>
      <c r="P366" s="3421"/>
      <c r="Q366" s="3421"/>
      <c r="R366" s="3421"/>
      <c r="S366" s="3421"/>
      <c r="T366" s="3421"/>
      <c r="U366" s="3421"/>
    </row>
    <row r="367" spans="3:21" ht="15" customHeight="1">
      <c r="C367" s="3421"/>
      <c r="D367" s="3421"/>
      <c r="E367" s="3421"/>
      <c r="F367" s="3421"/>
      <c r="G367" s="3421"/>
      <c r="H367" s="3421"/>
      <c r="I367" s="3421"/>
      <c r="J367" s="3421"/>
      <c r="K367" s="3421"/>
      <c r="L367" s="3421"/>
      <c r="M367" s="3421"/>
      <c r="N367" s="3421"/>
      <c r="O367" s="3421"/>
      <c r="P367" s="3421"/>
      <c r="Q367" s="3421"/>
      <c r="R367" s="3421"/>
      <c r="S367" s="3421"/>
      <c r="T367" s="3421"/>
      <c r="U367" s="3421"/>
    </row>
    <row r="368" spans="3:21" ht="15" customHeight="1">
      <c r="C368" s="3421"/>
      <c r="D368" s="3421"/>
      <c r="E368" s="3421"/>
      <c r="F368" s="3421"/>
      <c r="G368" s="3421"/>
      <c r="H368" s="3421"/>
      <c r="I368" s="3421"/>
      <c r="J368" s="3421"/>
      <c r="K368" s="3421"/>
      <c r="L368" s="3421"/>
      <c r="M368" s="3421"/>
      <c r="N368" s="3421"/>
      <c r="O368" s="3421"/>
      <c r="P368" s="3421"/>
      <c r="Q368" s="3421"/>
      <c r="R368" s="3421"/>
      <c r="S368" s="3421"/>
      <c r="T368" s="3421"/>
      <c r="U368" s="3421"/>
    </row>
    <row r="369" spans="3:21" ht="15" customHeight="1">
      <c r="C369" s="3421"/>
      <c r="D369" s="3421"/>
      <c r="E369" s="3421"/>
      <c r="F369" s="3421"/>
      <c r="G369" s="3421"/>
      <c r="H369" s="3421"/>
      <c r="I369" s="3421"/>
      <c r="J369" s="3421"/>
      <c r="K369" s="3421"/>
      <c r="L369" s="3421"/>
      <c r="M369" s="3421"/>
      <c r="N369" s="3421"/>
      <c r="O369" s="3421"/>
      <c r="P369" s="3421"/>
      <c r="Q369" s="3421"/>
      <c r="R369" s="3421"/>
      <c r="S369" s="3421"/>
      <c r="T369" s="3421"/>
      <c r="U369" s="3421"/>
    </row>
    <row r="370" spans="3:21" ht="15" customHeight="1">
      <c r="C370" s="3421"/>
      <c r="D370" s="3421"/>
      <c r="E370" s="3421"/>
      <c r="F370" s="3421"/>
      <c r="G370" s="3421"/>
      <c r="H370" s="3421"/>
      <c r="I370" s="3421"/>
      <c r="J370" s="3421"/>
      <c r="K370" s="3421"/>
      <c r="L370" s="3421"/>
      <c r="M370" s="3421"/>
      <c r="N370" s="3421"/>
      <c r="O370" s="3421"/>
      <c r="P370" s="3421"/>
      <c r="Q370" s="3421"/>
      <c r="R370" s="3421"/>
      <c r="S370" s="3421"/>
      <c r="T370" s="3421"/>
      <c r="U370" s="3421"/>
    </row>
    <row r="371" spans="3:21" ht="15" customHeight="1">
      <c r="C371" s="3421"/>
      <c r="D371" s="3421"/>
      <c r="E371" s="3421"/>
      <c r="F371" s="3421"/>
      <c r="G371" s="3421"/>
      <c r="H371" s="3421"/>
      <c r="I371" s="3421"/>
      <c r="J371" s="3421"/>
      <c r="K371" s="3421"/>
      <c r="L371" s="3421"/>
      <c r="M371" s="3421"/>
      <c r="N371" s="3421"/>
      <c r="O371" s="3421"/>
      <c r="P371" s="3421"/>
      <c r="Q371" s="3421"/>
      <c r="R371" s="3421"/>
      <c r="S371" s="3421"/>
      <c r="T371" s="3421"/>
      <c r="U371" s="3421"/>
    </row>
    <row r="372" spans="3:21" ht="15" customHeight="1">
      <c r="C372" s="3421"/>
      <c r="D372" s="3421"/>
      <c r="E372" s="3421"/>
      <c r="F372" s="3421"/>
      <c r="G372" s="3421"/>
      <c r="H372" s="3421"/>
      <c r="I372" s="3421"/>
      <c r="J372" s="3421"/>
      <c r="K372" s="3421"/>
      <c r="L372" s="3421"/>
      <c r="M372" s="3421"/>
      <c r="N372" s="3421"/>
      <c r="O372" s="3421"/>
      <c r="P372" s="3421"/>
      <c r="Q372" s="3421"/>
      <c r="R372" s="3421"/>
      <c r="S372" s="3421"/>
      <c r="T372" s="3421"/>
      <c r="U372" s="3421"/>
    </row>
    <row r="373" spans="3:21" ht="15" customHeight="1">
      <c r="C373" s="3421"/>
      <c r="D373" s="3421"/>
      <c r="E373" s="3421"/>
      <c r="F373" s="3421"/>
      <c r="G373" s="3421"/>
      <c r="H373" s="3421"/>
      <c r="I373" s="3421"/>
      <c r="J373" s="3421"/>
      <c r="K373" s="3421"/>
      <c r="L373" s="3421"/>
      <c r="M373" s="3421"/>
      <c r="N373" s="3421"/>
      <c r="O373" s="3421"/>
      <c r="P373" s="3421"/>
      <c r="Q373" s="3421"/>
      <c r="R373" s="3421"/>
      <c r="S373" s="3421"/>
      <c r="T373" s="3421"/>
      <c r="U373" s="3421"/>
    </row>
    <row r="374" spans="3:21" ht="15" customHeight="1">
      <c r="C374" s="3421"/>
      <c r="D374" s="3421"/>
      <c r="E374" s="3421"/>
      <c r="F374" s="3421"/>
      <c r="G374" s="3421"/>
      <c r="H374" s="3421"/>
      <c r="I374" s="3421"/>
      <c r="J374" s="3421"/>
      <c r="K374" s="3421"/>
      <c r="L374" s="3421"/>
      <c r="M374" s="3421"/>
      <c r="N374" s="3421"/>
      <c r="O374" s="3421"/>
      <c r="P374" s="3421"/>
      <c r="Q374" s="3421"/>
      <c r="R374" s="3421"/>
      <c r="S374" s="3421"/>
      <c r="T374" s="3421"/>
      <c r="U374" s="3421"/>
    </row>
    <row r="375" spans="3:21" ht="15" customHeight="1">
      <c r="C375" s="3421"/>
      <c r="D375" s="3421"/>
      <c r="E375" s="3421"/>
      <c r="F375" s="3421"/>
      <c r="G375" s="3421"/>
      <c r="H375" s="3421"/>
      <c r="I375" s="3421"/>
      <c r="J375" s="3421"/>
      <c r="K375" s="3421"/>
      <c r="L375" s="3421"/>
      <c r="M375" s="3421"/>
      <c r="N375" s="3421"/>
      <c r="O375" s="3421"/>
      <c r="P375" s="3421"/>
      <c r="Q375" s="3421"/>
      <c r="R375" s="3421"/>
      <c r="S375" s="3421"/>
      <c r="T375" s="3421"/>
      <c r="U375" s="3421"/>
    </row>
    <row r="376" spans="3:21" ht="15" customHeight="1">
      <c r="C376" s="3421"/>
      <c r="D376" s="3421"/>
      <c r="E376" s="3421"/>
      <c r="F376" s="3421"/>
      <c r="G376" s="3421"/>
      <c r="H376" s="3421"/>
      <c r="I376" s="3421"/>
      <c r="J376" s="3421"/>
      <c r="K376" s="3421"/>
      <c r="L376" s="3421"/>
      <c r="M376" s="3421"/>
      <c r="N376" s="3421"/>
      <c r="O376" s="3421"/>
      <c r="P376" s="3421"/>
      <c r="Q376" s="3421"/>
      <c r="R376" s="3421"/>
      <c r="S376" s="3421"/>
      <c r="T376" s="3421"/>
      <c r="U376" s="3421"/>
    </row>
    <row r="377" spans="3:21" ht="15" customHeight="1">
      <c r="C377" s="3421"/>
      <c r="D377" s="3421"/>
      <c r="E377" s="3421"/>
      <c r="F377" s="3421"/>
      <c r="G377" s="3421"/>
      <c r="H377" s="3421"/>
      <c r="I377" s="3421"/>
      <c r="J377" s="3421"/>
      <c r="K377" s="3421"/>
      <c r="L377" s="3421"/>
      <c r="M377" s="3421"/>
      <c r="N377" s="3421"/>
      <c r="O377" s="3421"/>
      <c r="P377" s="3421"/>
      <c r="Q377" s="3421"/>
      <c r="R377" s="3421"/>
      <c r="S377" s="3421"/>
      <c r="T377" s="3421"/>
      <c r="U377" s="3421"/>
    </row>
    <row r="378" spans="3:21" ht="15" customHeight="1">
      <c r="C378" s="3421"/>
      <c r="D378" s="3421"/>
      <c r="E378" s="3421"/>
      <c r="F378" s="3421"/>
      <c r="G378" s="3421"/>
      <c r="H378" s="3421"/>
      <c r="I378" s="3421"/>
      <c r="J378" s="3421"/>
      <c r="K378" s="3421"/>
      <c r="L378" s="3421"/>
      <c r="M378" s="3421"/>
      <c r="N378" s="3421"/>
      <c r="O378" s="3421"/>
      <c r="P378" s="3421"/>
      <c r="Q378" s="3421"/>
      <c r="R378" s="3421"/>
      <c r="S378" s="3421"/>
      <c r="T378" s="3421"/>
      <c r="U378" s="3421"/>
    </row>
    <row r="379" spans="3:21" ht="15" customHeight="1">
      <c r="C379" s="3421"/>
      <c r="D379" s="3421"/>
      <c r="E379" s="3421"/>
      <c r="F379" s="3421"/>
      <c r="G379" s="3421"/>
      <c r="H379" s="3421"/>
      <c r="I379" s="3421"/>
      <c r="J379" s="3421"/>
      <c r="K379" s="3421"/>
      <c r="L379" s="3421"/>
      <c r="M379" s="3421"/>
      <c r="N379" s="3421"/>
      <c r="O379" s="3421"/>
      <c r="P379" s="3421"/>
      <c r="Q379" s="3421"/>
      <c r="R379" s="3421"/>
      <c r="S379" s="3421"/>
      <c r="T379" s="3421"/>
      <c r="U379" s="3421"/>
    </row>
    <row r="380" spans="3:21" ht="15" customHeight="1">
      <c r="C380" s="3421"/>
      <c r="D380" s="3421"/>
      <c r="E380" s="3421"/>
      <c r="F380" s="3421"/>
      <c r="G380" s="3421"/>
      <c r="H380" s="3421"/>
      <c r="I380" s="3421"/>
      <c r="J380" s="3421"/>
      <c r="K380" s="3421"/>
      <c r="L380" s="3421"/>
      <c r="M380" s="3421"/>
      <c r="N380" s="3421"/>
      <c r="O380" s="3421"/>
      <c r="P380" s="3421"/>
      <c r="Q380" s="3421"/>
      <c r="R380" s="3421"/>
      <c r="S380" s="3421"/>
      <c r="T380" s="3421"/>
      <c r="U380" s="3421"/>
    </row>
    <row r="381" spans="3:21" ht="15" customHeight="1">
      <c r="C381" s="3421"/>
      <c r="D381" s="3421"/>
      <c r="E381" s="3421"/>
      <c r="F381" s="3421"/>
      <c r="G381" s="3421"/>
      <c r="H381" s="3421"/>
      <c r="I381" s="3421"/>
      <c r="J381" s="3421"/>
      <c r="K381" s="3421"/>
      <c r="L381" s="3421"/>
      <c r="M381" s="3421"/>
      <c r="N381" s="3421"/>
      <c r="O381" s="3421"/>
      <c r="P381" s="3421"/>
      <c r="Q381" s="3421"/>
      <c r="R381" s="3421"/>
      <c r="S381" s="3421"/>
      <c r="T381" s="3421"/>
      <c r="U381" s="3421"/>
    </row>
    <row r="382" spans="3:21" ht="15" customHeight="1">
      <c r="C382" s="3421"/>
      <c r="D382" s="3421"/>
      <c r="E382" s="3421"/>
      <c r="F382" s="3421"/>
      <c r="G382" s="3421"/>
      <c r="H382" s="3421"/>
      <c r="I382" s="3421"/>
      <c r="J382" s="3421"/>
      <c r="K382" s="3421"/>
      <c r="L382" s="3421"/>
      <c r="M382" s="3421"/>
      <c r="N382" s="3421"/>
      <c r="O382" s="3421"/>
      <c r="P382" s="3421"/>
      <c r="Q382" s="3421"/>
      <c r="R382" s="3421"/>
      <c r="S382" s="3421"/>
      <c r="T382" s="3421"/>
      <c r="U382" s="3421"/>
    </row>
    <row r="383" spans="3:21" ht="15" customHeight="1">
      <c r="C383" s="3421"/>
      <c r="D383" s="3421"/>
      <c r="E383" s="3421"/>
      <c r="F383" s="3421"/>
      <c r="G383" s="3421"/>
      <c r="H383" s="3421"/>
      <c r="I383" s="3421"/>
      <c r="J383" s="3421"/>
      <c r="K383" s="3421"/>
      <c r="L383" s="3421"/>
      <c r="M383" s="3421"/>
      <c r="N383" s="3421"/>
      <c r="O383" s="3421"/>
      <c r="P383" s="3421"/>
      <c r="Q383" s="3421"/>
      <c r="R383" s="3421"/>
      <c r="S383" s="3421"/>
      <c r="T383" s="3421"/>
      <c r="U383" s="3421"/>
    </row>
    <row r="384" spans="3:21" ht="15" customHeight="1">
      <c r="C384" s="3421"/>
      <c r="D384" s="3421"/>
      <c r="E384" s="3421"/>
      <c r="F384" s="3421"/>
      <c r="G384" s="3421"/>
      <c r="H384" s="3421"/>
      <c r="I384" s="3421"/>
      <c r="J384" s="3421"/>
      <c r="K384" s="3421"/>
      <c r="L384" s="3421"/>
      <c r="M384" s="3421"/>
      <c r="N384" s="3421"/>
      <c r="O384" s="3421"/>
      <c r="P384" s="3421"/>
      <c r="Q384" s="3421"/>
      <c r="R384" s="3421"/>
      <c r="S384" s="3421"/>
      <c r="T384" s="3421"/>
      <c r="U384" s="3421"/>
    </row>
    <row r="385" spans="3:21" ht="15" customHeight="1">
      <c r="C385" s="3421"/>
      <c r="D385" s="3421"/>
      <c r="E385" s="3421"/>
      <c r="F385" s="3421"/>
      <c r="G385" s="3421"/>
      <c r="H385" s="3421"/>
      <c r="I385" s="3421"/>
      <c r="J385" s="3421"/>
      <c r="K385" s="3421"/>
      <c r="L385" s="3421"/>
      <c r="M385" s="3421"/>
      <c r="N385" s="3421"/>
      <c r="O385" s="3421"/>
      <c r="P385" s="3421"/>
      <c r="Q385" s="3421"/>
      <c r="R385" s="3421"/>
      <c r="S385" s="3421"/>
      <c r="T385" s="3421"/>
      <c r="U385" s="3421"/>
    </row>
    <row r="418" spans="24:24" ht="15" customHeight="1">
      <c r="X418" s="2313"/>
    </row>
    <row r="698"/>
    <row r="942" spans="11:11" ht="15" customHeight="1">
      <c r="K942" s="2429"/>
    </row>
    <row r="943" spans="11:11" ht="15" customHeight="1">
      <c r="K943" s="2430"/>
    </row>
    <row r="944" spans="11:11" ht="15" customHeight="1">
      <c r="K944" s="2430"/>
    </row>
    <row r="945" spans="11:12" ht="15" customHeight="1">
      <c r="K945" s="2430"/>
    </row>
    <row r="946" spans="11:12" ht="15" customHeight="1">
      <c r="K946" s="2430"/>
    </row>
    <row r="953" spans="11:12" ht="15" customHeight="1">
      <c r="K953" s="2429"/>
    </row>
    <row r="954" spans="11:12" ht="15" customHeight="1">
      <c r="K954" s="2430"/>
    </row>
    <row r="955" spans="11:12" ht="15" customHeight="1">
      <c r="K955" s="2430"/>
    </row>
    <row r="956" spans="11:12" ht="15" customHeight="1">
      <c r="K956" s="2430"/>
    </row>
    <row r="957" spans="11:12" ht="15" customHeight="1">
      <c r="K957" s="2430"/>
    </row>
    <row r="960" spans="11:12" ht="15" customHeight="1">
      <c r="K960" s="2431"/>
      <c r="L960" s="2431"/>
    </row>
  </sheetData>
  <sheetProtection algorithmName="SHA-512" hashValue="t16Y3roxrV4wy8Azf/6/645g08y4AAROsNV5hHd+Jp9PGzeUWRr0hfMNtBBW9wlLFX9lSVkph48PA0tq+HyHtQ==" saltValue="I977Vf/76VzxhhtnKox9xg==" spinCount="100000" sheet="1" objects="1" scenarios="1"/>
  <mergeCells count="15">
    <mergeCell ref="F45:F50"/>
    <mergeCell ref="E45:E50"/>
    <mergeCell ref="F51:F55"/>
    <mergeCell ref="E51:E55"/>
    <mergeCell ref="C51:C55"/>
    <mergeCell ref="C45:C50"/>
    <mergeCell ref="C13:C15"/>
    <mergeCell ref="AL9:AO9"/>
    <mergeCell ref="AP9:AS9"/>
    <mergeCell ref="I9:L9"/>
    <mergeCell ref="R9:U9"/>
    <mergeCell ref="V9:Y9"/>
    <mergeCell ref="Z9:AC9"/>
    <mergeCell ref="AD9:AG9"/>
    <mergeCell ref="AH9:AK9"/>
  </mergeCells>
  <phoneticPr fontId="11" type="noConversion"/>
  <conditionalFormatting sqref="AL11:AS41">
    <cfRule type="cellIs" dxfId="185" priority="9" operator="between">
      <formula>150</formula>
      <formula>300</formula>
    </cfRule>
    <cfRule type="cellIs" dxfId="184" priority="10" operator="between">
      <formula>0</formula>
      <formula>0</formula>
    </cfRule>
    <cfRule type="cellIs" dxfId="183" priority="11" operator="between">
      <formula>0</formula>
      <formula>150</formula>
    </cfRule>
    <cfRule type="cellIs" dxfId="182" priority="12" operator="between">
      <formula>0</formula>
      <formula>-300</formula>
    </cfRule>
  </conditionalFormatting>
  <pageMargins left="0.7" right="0.7" top="0.75" bottom="0.75" header="0.3" footer="0.3"/>
  <pageSetup paperSize="9" scale="10" fitToHeight="0" orientation="portrait" r:id="rId1"/>
  <customProperties>
    <customPr name="_pios_id" r:id="rId2"/>
  </customProperties>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1D6CE-03C3-403E-95D4-F72BB9BF87D3}">
  <sheetPr codeName="Hoja50">
    <pageSetUpPr fitToPage="1"/>
  </sheetPr>
  <dimension ref="A1:U565"/>
  <sheetViews>
    <sheetView showGridLines="0" zoomScale="80" zoomScaleNormal="80" workbookViewId="0"/>
  </sheetViews>
  <sheetFormatPr baseColWidth="10" defaultColWidth="11.42578125" defaultRowHeight="15" customHeight="1"/>
  <cols>
    <col min="1" max="1" width="20.7109375" style="678" customWidth="1"/>
    <col min="2" max="16384" width="11.42578125" style="679"/>
  </cols>
  <sheetData>
    <row r="1" spans="1:21" s="680" customFormat="1" ht="15" customHeight="1">
      <c r="A1" s="678"/>
      <c r="C1" s="679"/>
      <c r="D1" s="679"/>
      <c r="E1" s="679"/>
      <c r="F1" s="679"/>
      <c r="G1" s="679"/>
      <c r="H1" s="679"/>
      <c r="I1" s="679"/>
      <c r="J1" s="679"/>
      <c r="K1" s="679"/>
      <c r="L1" s="679"/>
      <c r="M1" s="679"/>
      <c r="N1" s="679"/>
      <c r="O1" s="679"/>
      <c r="P1" s="679"/>
      <c r="Q1" s="679"/>
      <c r="R1" s="679"/>
      <c r="S1" s="679"/>
      <c r="T1" s="679"/>
      <c r="U1" s="679"/>
    </row>
    <row r="5" spans="1:21" ht="15" customHeight="1">
      <c r="A5" s="1559"/>
    </row>
    <row r="8" spans="1:21" ht="15" customHeight="1">
      <c r="C8" s="2488"/>
      <c r="D8" s="2488"/>
      <c r="E8" s="2488"/>
      <c r="F8" s="2488"/>
      <c r="G8" s="2488"/>
      <c r="J8" s="2488"/>
      <c r="K8" s="2488"/>
      <c r="L8" s="2488"/>
      <c r="M8" s="2488"/>
      <c r="N8" s="2488"/>
      <c r="Q8" s="2488"/>
      <c r="R8" s="2488"/>
      <c r="S8" s="2488"/>
      <c r="T8" s="2488"/>
      <c r="U8" s="2488"/>
    </row>
    <row r="9" spans="1:21" ht="15" customHeight="1">
      <c r="C9" s="2488"/>
      <c r="D9" s="2488"/>
      <c r="E9" s="2488"/>
      <c r="F9" s="2488"/>
      <c r="G9" s="2488"/>
      <c r="J9" s="2488"/>
      <c r="K9" s="2488"/>
      <c r="L9" s="2488"/>
      <c r="M9" s="2488"/>
      <c r="N9" s="2488"/>
      <c r="Q9" s="2488"/>
      <c r="R9" s="2488"/>
      <c r="S9" s="2488"/>
      <c r="T9" s="2488"/>
      <c r="U9" s="2488"/>
    </row>
    <row r="10" spans="1:21" ht="15" customHeight="1">
      <c r="C10" s="2488"/>
      <c r="D10" s="2488"/>
      <c r="E10" s="2488"/>
      <c r="F10" s="2488"/>
      <c r="G10" s="2488"/>
      <c r="J10" s="2488"/>
      <c r="K10" s="2488"/>
      <c r="L10" s="2488"/>
      <c r="M10" s="2488"/>
      <c r="N10" s="2488"/>
      <c r="Q10" s="2488"/>
      <c r="R10" s="2488"/>
      <c r="S10" s="2488"/>
      <c r="T10" s="2488"/>
      <c r="U10" s="2488"/>
    </row>
    <row r="11" spans="1:21" ht="15" customHeight="1">
      <c r="C11" s="2488"/>
      <c r="D11" s="2488"/>
      <c r="E11" s="2488"/>
      <c r="F11" s="2488"/>
      <c r="G11" s="2488"/>
      <c r="J11" s="2488"/>
      <c r="K11" s="2488"/>
      <c r="L11" s="2488"/>
      <c r="M11" s="2488"/>
      <c r="N11" s="2488"/>
      <c r="Q11" s="2488"/>
      <c r="R11" s="2488"/>
      <c r="S11" s="2488"/>
      <c r="T11" s="2488"/>
      <c r="U11" s="2488"/>
    </row>
    <row r="12" spans="1:21" ht="15" customHeight="1">
      <c r="C12" s="2488"/>
      <c r="D12" s="2488"/>
      <c r="E12" s="2488"/>
      <c r="F12" s="2488"/>
      <c r="G12" s="2488"/>
      <c r="J12" s="2488"/>
      <c r="K12" s="2488"/>
      <c r="L12" s="2488"/>
      <c r="M12" s="2488"/>
      <c r="N12" s="2488"/>
      <c r="Q12" s="2488"/>
      <c r="R12" s="2488"/>
      <c r="S12" s="2488"/>
      <c r="T12" s="2488"/>
      <c r="U12" s="2488"/>
    </row>
    <row r="13" spans="1:21" ht="15" customHeight="1">
      <c r="C13" s="2488"/>
      <c r="D13" s="2488"/>
      <c r="E13" s="2488"/>
      <c r="F13" s="2488"/>
      <c r="G13" s="2488"/>
      <c r="J13" s="2488"/>
      <c r="K13" s="2488"/>
      <c r="L13" s="2488"/>
      <c r="M13" s="2488"/>
      <c r="N13" s="2488"/>
      <c r="Q13" s="2488"/>
      <c r="R13" s="2488"/>
      <c r="S13" s="2488"/>
      <c r="T13" s="2488"/>
      <c r="U13" s="2488"/>
    </row>
    <row r="14" spans="1:21" ht="15" customHeight="1">
      <c r="C14" s="2488"/>
      <c r="D14" s="2488"/>
      <c r="E14" s="2488"/>
      <c r="F14" s="2488"/>
      <c r="G14" s="2488"/>
      <c r="J14" s="2488"/>
      <c r="K14" s="2488"/>
      <c r="L14" s="2488"/>
      <c r="M14" s="2488"/>
      <c r="N14" s="2488"/>
      <c r="Q14" s="2488"/>
      <c r="R14" s="2488"/>
      <c r="S14" s="2488"/>
      <c r="T14" s="2488"/>
      <c r="U14" s="2488"/>
    </row>
    <row r="15" spans="1:21" ht="15" customHeight="1">
      <c r="C15" s="2488"/>
      <c r="D15" s="2488"/>
      <c r="E15" s="2488"/>
      <c r="F15" s="2488"/>
      <c r="G15" s="2488"/>
      <c r="J15" s="2488"/>
      <c r="K15" s="2488"/>
      <c r="L15" s="2488"/>
      <c r="M15" s="2488"/>
      <c r="N15" s="2488"/>
      <c r="Q15" s="2488"/>
      <c r="R15" s="2488"/>
      <c r="S15" s="2488"/>
      <c r="T15" s="2488"/>
      <c r="U15" s="2488"/>
    </row>
    <row r="16" spans="1:21" ht="15" customHeight="1">
      <c r="C16" s="2488"/>
      <c r="D16" s="2488"/>
      <c r="E16" s="2488"/>
      <c r="F16" s="2488"/>
      <c r="G16" s="2488"/>
      <c r="J16" s="2488"/>
      <c r="K16" s="2488"/>
      <c r="L16" s="2488"/>
      <c r="M16" s="2488"/>
      <c r="N16" s="2488"/>
      <c r="Q16" s="2488"/>
      <c r="R16" s="2488"/>
      <c r="S16" s="2488"/>
      <c r="T16" s="2488"/>
      <c r="U16" s="2488"/>
    </row>
    <row r="17" spans="3:21" ht="15" customHeight="1">
      <c r="C17" s="2488"/>
      <c r="D17" s="2488"/>
      <c r="E17" s="2488"/>
      <c r="F17" s="2488"/>
      <c r="G17" s="2488"/>
      <c r="J17" s="2488"/>
      <c r="K17" s="2488"/>
      <c r="L17" s="2488"/>
      <c r="M17" s="2488"/>
      <c r="N17" s="2488"/>
      <c r="Q17" s="2488"/>
      <c r="R17" s="2488"/>
      <c r="S17" s="2488"/>
      <c r="T17" s="2488"/>
      <c r="U17" s="2488"/>
    </row>
    <row r="18" spans="3:21" ht="15" customHeight="1">
      <c r="C18" s="2488"/>
      <c r="D18" s="2488"/>
      <c r="E18" s="2488"/>
      <c r="F18" s="2488"/>
      <c r="G18" s="2488"/>
      <c r="J18" s="2488"/>
      <c r="K18" s="2488"/>
      <c r="L18" s="2488"/>
      <c r="M18" s="2488"/>
      <c r="N18" s="2488"/>
      <c r="Q18" s="2488"/>
      <c r="R18" s="2488"/>
      <c r="S18" s="2488"/>
      <c r="T18" s="2488"/>
      <c r="U18" s="2488"/>
    </row>
    <row r="19" spans="3:21" ht="15" customHeight="1">
      <c r="C19" s="2488"/>
      <c r="D19" s="2488"/>
      <c r="E19" s="2488"/>
      <c r="F19" s="2488"/>
      <c r="G19" s="2488"/>
      <c r="J19" s="2488"/>
      <c r="K19" s="2488"/>
      <c r="L19" s="2488"/>
      <c r="M19" s="2488"/>
      <c r="N19" s="2488"/>
      <c r="Q19" s="2488"/>
      <c r="R19" s="2488"/>
      <c r="S19" s="2488"/>
      <c r="T19" s="2488"/>
      <c r="U19" s="2488"/>
    </row>
    <row r="20" spans="3:21" ht="15" customHeight="1">
      <c r="C20" s="2488"/>
      <c r="D20" s="2488"/>
      <c r="E20" s="2488"/>
      <c r="F20" s="2488"/>
      <c r="G20" s="2488"/>
      <c r="J20" s="2488"/>
      <c r="K20" s="2488"/>
      <c r="L20" s="2488"/>
      <c r="M20" s="2488"/>
      <c r="N20" s="2488"/>
      <c r="Q20" s="2488"/>
      <c r="R20" s="2488"/>
      <c r="S20" s="2488"/>
      <c r="T20" s="2488"/>
      <c r="U20" s="2488"/>
    </row>
    <row r="21" spans="3:21" ht="15" customHeight="1">
      <c r="C21" s="2488"/>
      <c r="D21" s="2961"/>
      <c r="E21" s="2488"/>
      <c r="F21" s="2488"/>
      <c r="G21" s="2488"/>
      <c r="J21" s="2488"/>
      <c r="K21" s="2488"/>
      <c r="L21" s="2488"/>
      <c r="M21" s="2488"/>
      <c r="N21" s="2488"/>
      <c r="Q21" s="2488"/>
      <c r="R21" s="2488"/>
      <c r="S21" s="2488"/>
      <c r="T21" s="2488"/>
      <c r="U21" s="2488"/>
    </row>
    <row r="22" spans="3:21" ht="15" customHeight="1">
      <c r="C22" s="2488"/>
      <c r="D22" s="2488"/>
      <c r="E22" s="2488"/>
      <c r="F22" s="2488"/>
      <c r="G22" s="2488"/>
      <c r="J22" s="2488"/>
      <c r="K22" s="2488"/>
      <c r="L22" s="2488"/>
      <c r="M22" s="2488"/>
      <c r="N22" s="2488"/>
      <c r="Q22" s="2488"/>
      <c r="R22" s="2488"/>
      <c r="S22" s="2488"/>
      <c r="T22" s="2488"/>
      <c r="U22" s="2488"/>
    </row>
    <row r="23" spans="3:21" ht="15" customHeight="1">
      <c r="C23" s="2488"/>
      <c r="D23" s="2488"/>
      <c r="E23" s="2488"/>
      <c r="F23" s="2488"/>
      <c r="G23" s="2488"/>
      <c r="J23" s="2488"/>
      <c r="K23" s="2488"/>
      <c r="L23" s="2488"/>
      <c r="M23" s="2488"/>
      <c r="N23" s="2488"/>
      <c r="Q23" s="2488"/>
      <c r="R23" s="2488"/>
      <c r="S23" s="2488"/>
      <c r="T23" s="2488"/>
      <c r="U23" s="2488"/>
    </row>
    <row r="24" spans="3:21" ht="15" customHeight="1">
      <c r="C24" s="2488"/>
      <c r="D24" s="2488"/>
      <c r="E24" s="2488"/>
      <c r="F24" s="2488"/>
      <c r="G24" s="2488"/>
      <c r="J24" s="2488"/>
      <c r="K24" s="2488"/>
      <c r="L24" s="2488"/>
      <c r="M24" s="2488"/>
      <c r="N24" s="2488"/>
      <c r="Q24" s="2488"/>
      <c r="R24" s="2488"/>
      <c r="S24" s="2488"/>
      <c r="T24" s="2488"/>
      <c r="U24" s="2488"/>
    </row>
    <row r="25" spans="3:21" ht="15" customHeight="1">
      <c r="C25" s="2488"/>
      <c r="D25" s="2488"/>
      <c r="E25" s="2488"/>
      <c r="F25" s="2488"/>
      <c r="G25" s="2488"/>
      <c r="J25" s="2488"/>
      <c r="K25" s="2488"/>
      <c r="L25" s="2488"/>
      <c r="M25" s="2488"/>
      <c r="N25" s="2488"/>
      <c r="Q25" s="2488"/>
      <c r="R25" s="2488"/>
      <c r="S25" s="2488"/>
      <c r="T25" s="2488"/>
      <c r="U25" s="2488"/>
    </row>
    <row r="26" spans="3:21" ht="15" customHeight="1">
      <c r="C26" s="2488"/>
      <c r="D26" s="2488"/>
      <c r="E26" s="2488"/>
      <c r="F26" s="2488"/>
      <c r="G26" s="2488"/>
      <c r="J26" s="2488"/>
      <c r="K26" s="2488"/>
      <c r="L26" s="2488"/>
      <c r="M26" s="2488"/>
      <c r="N26" s="2488"/>
      <c r="Q26" s="2488"/>
      <c r="R26" s="2488"/>
      <c r="S26" s="2488"/>
      <c r="T26" s="2488"/>
      <c r="U26" s="2488"/>
    </row>
    <row r="27" spans="3:21" ht="15" customHeight="1">
      <c r="C27" s="2488"/>
      <c r="D27" s="2488"/>
      <c r="E27" s="2488"/>
      <c r="F27" s="2488"/>
      <c r="G27" s="2488"/>
      <c r="J27" s="2488"/>
      <c r="K27" s="2488"/>
      <c r="L27" s="2488"/>
      <c r="M27" s="2488"/>
      <c r="N27" s="2488"/>
      <c r="Q27" s="2488"/>
      <c r="R27" s="2488"/>
      <c r="S27" s="2488"/>
      <c r="T27" s="2488"/>
      <c r="U27" s="2488"/>
    </row>
    <row r="28" spans="3:21" ht="15" customHeight="1">
      <c r="C28" s="2488"/>
      <c r="D28" s="2488"/>
      <c r="E28" s="2488"/>
      <c r="F28" s="2488"/>
      <c r="G28" s="2488"/>
      <c r="J28" s="2488"/>
      <c r="K28" s="2488"/>
      <c r="L28" s="2488"/>
      <c r="M28" s="2488"/>
      <c r="N28" s="2488"/>
      <c r="Q28" s="2488"/>
      <c r="R28" s="2488"/>
      <c r="S28" s="2488"/>
      <c r="T28" s="2488"/>
      <c r="U28" s="2488"/>
    </row>
    <row r="29" spans="3:21" ht="15" customHeight="1">
      <c r="C29" s="2488"/>
      <c r="D29" s="2488"/>
      <c r="E29" s="2488"/>
      <c r="F29" s="2488"/>
      <c r="G29" s="2488"/>
      <c r="J29" s="2488"/>
      <c r="K29" s="2488"/>
      <c r="L29" s="2488"/>
      <c r="M29" s="2488"/>
      <c r="N29" s="2488"/>
      <c r="Q29" s="2488"/>
      <c r="R29" s="2488"/>
      <c r="S29" s="2488"/>
      <c r="T29" s="2488"/>
      <c r="U29" s="2488"/>
    </row>
    <row r="33" spans="2:16" ht="15" customHeight="1">
      <c r="B33" s="3"/>
      <c r="C33" s="669" t="s">
        <v>342</v>
      </c>
      <c r="D33" s="669"/>
      <c r="E33" s="670"/>
      <c r="F33" s="670"/>
      <c r="G33" s="670"/>
      <c r="H33" s="670"/>
      <c r="I33" s="670"/>
      <c r="J33" s="670"/>
      <c r="K33" s="671"/>
      <c r="L33" s="671"/>
      <c r="M33" s="671"/>
      <c r="N33" s="671"/>
      <c r="O33" s="671"/>
      <c r="P33" s="671"/>
    </row>
    <row r="565"/>
  </sheetData>
  <sheetProtection algorithmName="SHA-512" hashValue="//8LZ9Bzu106BBtVJWjr95qU3OR6CbJgOa+zdXWNiLMC3cUxDIALHipTXV6kp7uoa/+Nkc+sUfBjneu13hPi2w==" saltValue="6Bg51KscObRH4HIK+49VJQ==" spinCount="100000" sheet="1" objects="1" scenarios="1"/>
  <pageMargins left="0.7" right="0.7" top="0.75" bottom="0.75" header="0.3" footer="0.3"/>
  <pageSetup paperSize="9" scale="35" fitToHeight="0" orientation="portrait" r:id="rId1"/>
  <customProperties>
    <customPr name="_pios_id" r:id="rId2"/>
  </customProperties>
  <drawing r:id="rId3"/>
  <legacyDrawing r:id="rId4"/>
  <extLst>
    <ext xmlns:x14="http://schemas.microsoft.com/office/spreadsheetml/2009/9/main" uri="{78C0D931-6437-407d-A8EE-F0AAD7539E65}">
      <x14:conditionalFormattings>
        <x14:conditionalFormatting xmlns:xm="http://schemas.microsoft.com/office/excel/2006/main">
          <x14:cfRule type="containsText" priority="2" operator="containsText" id="{F7390D6F-E329-4C75-B5D2-E7D84B5AA7E5}">
            <xm:f>NOT(ISERROR(SEARCH(COBENEFICIOS!$AU$11,C8)))</xm:f>
            <xm:f>COBENEFICIOS!$AU$11</xm:f>
            <x14:dxf>
              <font>
                <b/>
                <i val="0"/>
                <color rgb="FFFF0000"/>
              </font>
              <fill>
                <patternFill patternType="solid">
                  <fgColor rgb="FFFFA3A5"/>
                  <bgColor rgb="FFFF9999"/>
                </patternFill>
              </fill>
            </x14:dxf>
          </x14:cfRule>
          <xm:sqref>C8:G29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3EF97-5173-4307-B731-B23397C84AB8}">
  <sheetPr codeName="Hoja51">
    <pageSetUpPr fitToPage="1"/>
  </sheetPr>
  <dimension ref="A1:AA563"/>
  <sheetViews>
    <sheetView showGridLines="0" zoomScale="80" zoomScaleNormal="80" workbookViewId="0"/>
  </sheetViews>
  <sheetFormatPr baseColWidth="10" defaultColWidth="11.42578125" defaultRowHeight="15" customHeight="1"/>
  <cols>
    <col min="1" max="1" width="20.7109375" style="678" customWidth="1"/>
    <col min="2" max="2" width="7.7109375" style="679" customWidth="1"/>
    <col min="3" max="3" width="93.7109375" style="679" bestFit="1" customWidth="1"/>
    <col min="4" max="4" width="58.85546875" style="679" customWidth="1"/>
    <col min="5" max="5" width="7.28515625" style="2959" customWidth="1"/>
    <col min="6" max="6" width="28.42578125" style="1596" bestFit="1" customWidth="1"/>
    <col min="7" max="7" width="20.5703125" style="679" bestFit="1" customWidth="1"/>
    <col min="8" max="8" width="22.28515625" style="679" bestFit="1" customWidth="1"/>
    <col min="9" max="9" width="22.5703125" style="679" bestFit="1" customWidth="1"/>
    <col min="10" max="10" width="22.28515625" style="679" bestFit="1" customWidth="1"/>
    <col min="11" max="11" width="22.5703125" style="679" bestFit="1" customWidth="1"/>
    <col min="12" max="12" width="19.5703125" style="679" bestFit="1" customWidth="1"/>
    <col min="13" max="13" width="14.85546875" style="679" bestFit="1" customWidth="1"/>
    <col min="14" max="16" width="11.42578125" style="679"/>
    <col min="17" max="17" width="79.28515625" style="679" customWidth="1"/>
    <col min="18" max="18" width="14.42578125" style="679" customWidth="1"/>
    <col min="19" max="19" width="21.28515625" style="679" customWidth="1"/>
    <col min="20" max="20" width="12.42578125" style="679" bestFit="1" customWidth="1"/>
    <col min="21" max="21" width="11.42578125" style="679"/>
    <col min="22" max="22" width="48.5703125" style="679" bestFit="1" customWidth="1"/>
    <col min="23" max="16384" width="11.42578125" style="679"/>
  </cols>
  <sheetData>
    <row r="1" spans="1:19" s="680" customFormat="1" ht="15" customHeight="1">
      <c r="A1" s="678"/>
      <c r="B1" s="679"/>
      <c r="C1" s="679"/>
      <c r="D1" s="679"/>
      <c r="E1" s="2959"/>
      <c r="F1" s="1596"/>
      <c r="G1" s="679"/>
      <c r="H1" s="679"/>
      <c r="I1" s="679"/>
      <c r="J1" s="679"/>
      <c r="K1" s="679"/>
      <c r="L1" s="679"/>
    </row>
    <row r="2" spans="1:19" ht="15" customHeight="1">
      <c r="B2" s="680"/>
      <c r="C2" s="680"/>
      <c r="D2" s="680"/>
      <c r="E2" s="3005"/>
      <c r="F2" s="695"/>
      <c r="G2" s="687"/>
      <c r="H2" s="680"/>
      <c r="I2" s="680"/>
      <c r="J2" s="680"/>
      <c r="K2" s="680"/>
      <c r="L2" s="680"/>
      <c r="M2" s="680"/>
      <c r="N2" s="680"/>
    </row>
    <row r="3" spans="1:19" ht="15" customHeight="1">
      <c r="B3" s="680"/>
      <c r="C3" s="680"/>
      <c r="D3" s="680"/>
      <c r="E3" s="2958"/>
      <c r="F3" s="695"/>
      <c r="G3" s="680"/>
      <c r="H3" s="680"/>
      <c r="I3" s="680"/>
      <c r="J3" s="680"/>
      <c r="K3" s="680"/>
      <c r="L3" s="680"/>
      <c r="M3" s="680"/>
      <c r="N3" s="680"/>
    </row>
    <row r="4" spans="1:19" ht="15" customHeight="1">
      <c r="B4" s="680"/>
      <c r="C4" s="680"/>
      <c r="D4" s="680"/>
      <c r="E4" s="2958"/>
      <c r="F4" s="695"/>
      <c r="G4" s="680"/>
      <c r="H4" s="680"/>
      <c r="I4" s="680"/>
      <c r="J4" s="680"/>
      <c r="K4" s="680"/>
      <c r="L4" s="680"/>
      <c r="M4" s="680"/>
      <c r="N4" s="680"/>
    </row>
    <row r="5" spans="1:19" ht="15" customHeight="1">
      <c r="A5" s="1559"/>
      <c r="B5" s="680"/>
      <c r="C5" s="2278" t="s">
        <v>343</v>
      </c>
      <c r="D5" s="2279"/>
      <c r="E5" s="3006"/>
      <c r="F5" s="3004"/>
      <c r="G5" s="2279"/>
      <c r="H5" s="680"/>
      <c r="I5" s="680"/>
      <c r="J5" s="680"/>
      <c r="K5" s="680"/>
      <c r="L5" s="680"/>
      <c r="M5" s="680"/>
      <c r="N5" s="680"/>
    </row>
    <row r="6" spans="1:19" ht="15" customHeight="1">
      <c r="B6" s="680"/>
      <c r="C6" s="680"/>
      <c r="D6" s="680"/>
      <c r="E6" s="2958"/>
      <c r="F6" s="887"/>
      <c r="G6" s="680"/>
      <c r="H6" s="680"/>
      <c r="I6" s="680"/>
      <c r="J6" s="680"/>
      <c r="K6" s="680"/>
      <c r="L6" s="680"/>
      <c r="M6" s="680"/>
      <c r="N6" s="680"/>
    </row>
    <row r="7" spans="1:19" ht="15" customHeight="1">
      <c r="B7" s="680"/>
      <c r="C7" s="680"/>
      <c r="D7" s="680"/>
      <c r="E7" s="2958"/>
      <c r="F7" s="887"/>
      <c r="G7" s="680"/>
      <c r="H7" s="680"/>
      <c r="I7" s="680"/>
      <c r="J7" s="680"/>
      <c r="K7" s="680"/>
      <c r="L7" s="680"/>
      <c r="M7" s="680"/>
      <c r="N7" s="680"/>
      <c r="R7" s="680"/>
      <c r="S7" s="680"/>
    </row>
    <row r="8" spans="1:19" ht="15" customHeight="1">
      <c r="B8" s="680"/>
      <c r="C8" s="680"/>
      <c r="D8" s="680"/>
      <c r="E8" s="2958"/>
      <c r="F8" s="887"/>
      <c r="G8"/>
      <c r="H8" s="680"/>
      <c r="I8" s="680"/>
      <c r="J8" s="680"/>
      <c r="K8" s="680"/>
      <c r="L8" s="680"/>
      <c r="M8" s="680"/>
      <c r="N8" s="680"/>
    </row>
    <row r="9" spans="1:19" ht="15" customHeight="1">
      <c r="B9" s="680"/>
      <c r="C9" s="681" t="s">
        <v>32</v>
      </c>
      <c r="D9" s="2952" t="s">
        <v>344</v>
      </c>
      <c r="E9" s="2958"/>
      <c r="F9" s="887"/>
      <c r="G9"/>
      <c r="H9" s="680"/>
      <c r="I9" s="680"/>
      <c r="J9" s="680"/>
      <c r="K9" s="680"/>
      <c r="L9" s="680"/>
      <c r="M9" s="680"/>
      <c r="N9" s="680"/>
    </row>
    <row r="10" spans="1:19" ht="15" customHeight="1">
      <c r="B10" s="680"/>
      <c r="C10" s="682"/>
      <c r="D10" s="687"/>
      <c r="E10" s="2958"/>
      <c r="F10" s="887"/>
      <c r="G10"/>
      <c r="H10" s="680"/>
      <c r="I10" s="680"/>
      <c r="J10" s="680"/>
      <c r="K10" s="680"/>
      <c r="L10" s="680"/>
      <c r="M10" s="680"/>
      <c r="N10" s="680"/>
    </row>
    <row r="11" spans="1:19" ht="15" customHeight="1">
      <c r="B11" s="680"/>
      <c r="C11" s="2951" t="s">
        <v>123</v>
      </c>
      <c r="D11" s="2953" t="str">
        <f>CHOOSE(TRAYECTORIA_EFICIENCIA_ENERGETICA_PRODUCCION_HIDROCARBUROS,COBENEFICIOS!AP11,COBENEFICIOS!AQ11,COBENEFICIOS!AR11,COBENEFICIOS!AS11)</f>
        <v>La medida no afecta a la calidad del aire</v>
      </c>
      <c r="E11" s="2958">
        <f>IF(D11=COBENEFICIOS!$AU$11,COBENEFICIOS!$AV$11,IF(RESULTADOS_COBENEFICIOS_CA!D11=COBENEFICIOS!$AU$12,COBENEFICIOS!$AV$12,IF(RESULTADOS_COBENEFICIOS_CA!D11=COBENEFICIOS!$AU$13,COBENEFICIOS!$AV$13,IF(RESULTADOS_COBENEFICIOS_CA!D11=COBENEFICIOS!$AU$14,COBENEFICIOS!$AV$14,"ERROR"))))</f>
        <v>0</v>
      </c>
      <c r="F11" s="695"/>
      <c r="G11"/>
      <c r="H11" s="680"/>
      <c r="I11" s="680"/>
      <c r="J11" s="680"/>
      <c r="K11" s="680"/>
      <c r="L11" s="680"/>
      <c r="M11" s="680"/>
      <c r="N11" s="680"/>
    </row>
    <row r="12" spans="1:19" ht="15" customHeight="1">
      <c r="B12" s="680"/>
      <c r="C12" s="683"/>
      <c r="D12" s="2277"/>
      <c r="E12" s="2958"/>
      <c r="F12" s="695"/>
      <c r="G12"/>
      <c r="H12" s="680"/>
      <c r="I12" s="680"/>
      <c r="J12" s="680"/>
      <c r="K12" s="680"/>
      <c r="L12" s="680"/>
      <c r="M12" s="680"/>
      <c r="N12" s="680"/>
    </row>
    <row r="13" spans="1:19" ht="15" customHeight="1">
      <c r="B13" s="680"/>
      <c r="C13" s="681" t="s">
        <v>66</v>
      </c>
      <c r="D13" s="2952" t="s">
        <v>344</v>
      </c>
      <c r="E13" s="2958"/>
      <c r="F13" s="695"/>
      <c r="H13" s="680"/>
      <c r="I13" s="680"/>
      <c r="J13" s="680"/>
      <c r="K13" s="680"/>
      <c r="L13" s="680"/>
      <c r="M13" s="680"/>
      <c r="N13" s="680"/>
    </row>
    <row r="14" spans="1:19" ht="15" customHeight="1">
      <c r="B14" s="680"/>
      <c r="C14" s="682"/>
      <c r="D14" s="685"/>
      <c r="E14" s="2958"/>
      <c r="F14" s="695"/>
      <c r="H14" s="680"/>
      <c r="I14" s="680"/>
      <c r="J14" s="680"/>
      <c r="K14" s="680"/>
      <c r="L14" s="680"/>
      <c r="M14" s="680"/>
      <c r="N14" s="680"/>
    </row>
    <row r="15" spans="1:19" ht="15" customHeight="1">
      <c r="B15" s="680"/>
      <c r="C15" s="2951" t="s">
        <v>125</v>
      </c>
      <c r="D15" s="2953" t="str">
        <f>CHOOSE(TRAYECTORIA_PARTICIPACION_COMBUSTIBLES_FOSILES_GENERACION_ELECTRICA,COBENEFICIOS!AP12,COBENEFICIOS!AQ12,COBENEFICIOS!AR12,COBENEFICIOS!AS12)</f>
        <v>La medida no afecta a la calidad del aire</v>
      </c>
      <c r="E15" s="2958">
        <f>IF(D15=COBENEFICIOS!$AU$11,COBENEFICIOS!$AV$11,IF(RESULTADOS_COBENEFICIOS_CA!D15=COBENEFICIOS!$AU$12,COBENEFICIOS!$AV$12,IF(RESULTADOS_COBENEFICIOS_CA!D15=COBENEFICIOS!$AU$13,COBENEFICIOS!$AV$13,IF(RESULTADOS_COBENEFICIOS_CA!D15=COBENEFICIOS!$AU$14,COBENEFICIOS!$AV$14,"ERROR"))))</f>
        <v>0</v>
      </c>
      <c r="F15" s="695"/>
      <c r="H15" s="680"/>
      <c r="I15" s="680"/>
      <c r="J15" s="680"/>
      <c r="K15" s="680"/>
      <c r="L15" s="680"/>
      <c r="M15" s="680"/>
      <c r="N15" s="680"/>
    </row>
    <row r="16" spans="1:19" ht="15" customHeight="1">
      <c r="B16" s="680"/>
      <c r="C16" s="680"/>
      <c r="D16" s="2277"/>
      <c r="E16" s="2958"/>
      <c r="F16" s="695"/>
      <c r="H16" s="680"/>
      <c r="I16" s="680"/>
      <c r="J16" s="680"/>
      <c r="K16" s="680"/>
      <c r="L16" s="680"/>
      <c r="M16" s="680"/>
      <c r="N16" s="680"/>
    </row>
    <row r="17" spans="2:14" ht="15" customHeight="1">
      <c r="B17" s="680"/>
      <c r="C17" s="681" t="s">
        <v>36</v>
      </c>
      <c r="D17" s="2952" t="s">
        <v>344</v>
      </c>
      <c r="E17" s="2958"/>
      <c r="F17" s="695"/>
      <c r="G17" s="680"/>
      <c r="H17" s="680"/>
      <c r="I17" s="680"/>
      <c r="J17" s="680"/>
      <c r="K17" s="680"/>
      <c r="L17" s="680"/>
      <c r="M17" s="680"/>
      <c r="N17" s="680"/>
    </row>
    <row r="18" spans="2:14" ht="15" customHeight="1">
      <c r="B18" s="680"/>
      <c r="C18" s="684"/>
      <c r="D18" s="688"/>
      <c r="E18" s="2958"/>
      <c r="F18" s="695"/>
      <c r="G18" s="680"/>
      <c r="H18" s="680"/>
      <c r="I18" s="680"/>
      <c r="J18" s="680"/>
      <c r="K18" s="680"/>
      <c r="L18" s="680"/>
      <c r="M18" s="680"/>
      <c r="N18" s="680"/>
    </row>
    <row r="19" spans="2:14" ht="15" customHeight="1">
      <c r="B19" s="680"/>
      <c r="C19" t="s">
        <v>126</v>
      </c>
      <c r="D19" s="620" t="str">
        <f>CHOOSE(TRAYECTORIA_EFICIENCIA_OPTIMIZACION_INDUSTRIA,COBENEFICIOS!AP13,COBENEFICIOS!AQ13,COBENEFICIOS!AR13,COBENEFICIOS!AS13)</f>
        <v>La medida no afecta a la calidad del aire</v>
      </c>
      <c r="E19" s="2958">
        <f>IF(D19=COBENEFICIOS!$AU$11,COBENEFICIOS!$AV$11,IF(RESULTADOS_COBENEFICIOS_CA!D19=COBENEFICIOS!$AU$12,COBENEFICIOS!$AV$12,IF(RESULTADOS_COBENEFICIOS_CA!D19=COBENEFICIOS!$AU$13,COBENEFICIOS!$AV$13,IF(RESULTADOS_COBENEFICIOS_CA!D19=COBENEFICIOS!$AU$14,COBENEFICIOS!$AV$14,"ERROR"))))</f>
        <v>0</v>
      </c>
      <c r="F19" s="695"/>
      <c r="G19" s="680"/>
      <c r="H19" s="680"/>
      <c r="I19" s="680"/>
      <c r="J19" s="680"/>
      <c r="K19" s="680"/>
      <c r="L19" s="680"/>
      <c r="M19" s="680"/>
      <c r="N19" s="680"/>
    </row>
    <row r="20" spans="2:14" ht="15" customHeight="1">
      <c r="B20" s="680"/>
      <c r="C20" t="s">
        <v>128</v>
      </c>
      <c r="D20" s="620" t="str">
        <f>CHOOSE(TRAYECTORIA_SUSTITUCION_GASES_REFRIGERANTES,COBENEFICIOS!AP14,COBENEFICIOS!AQ14,COBENEFICIOS!AR14,COBENEFICIOS!AS14)</f>
        <v>La medida no afecta a la calidad del aire</v>
      </c>
      <c r="E20" s="2958">
        <f>IF(D20=COBENEFICIOS!$AU$11,COBENEFICIOS!$AV$11,IF(RESULTADOS_COBENEFICIOS_CA!D20=COBENEFICIOS!$AU$12,COBENEFICIOS!$AV$12,IF(RESULTADOS_COBENEFICIOS_CA!D20=COBENEFICIOS!$AU$13,COBENEFICIOS!$AV$13,IF(RESULTADOS_COBENEFICIOS_CA!D20=COBENEFICIOS!$AU$14,COBENEFICIOS!$AV$14,"ERROR"))))</f>
        <v>0</v>
      </c>
      <c r="F20" s="695"/>
      <c r="G20" s="680"/>
      <c r="H20" s="680"/>
      <c r="I20" s="680"/>
      <c r="J20" s="680"/>
      <c r="K20" s="680"/>
      <c r="L20" s="680"/>
      <c r="M20" s="680"/>
      <c r="N20" s="680"/>
    </row>
    <row r="21" spans="2:14" ht="15" customHeight="1">
      <c r="B21" s="680"/>
      <c r="C21" s="2951" t="s">
        <v>129</v>
      </c>
      <c r="D21" s="2953" t="str">
        <f>CHOOSE(TRAYECTORIA_GESTION_LADRILLERAS,COBENEFICIOS!AP15,COBENEFICIOS!AQ15,COBENEFICIOS!AR15,COBENEFICIOS!AS15)</f>
        <v>La medida no afecta a la calidad del aire</v>
      </c>
      <c r="E21" s="2958">
        <f>IF(D21=COBENEFICIOS!$AU$11,COBENEFICIOS!$AV$11,IF(RESULTADOS_COBENEFICIOS_CA!D21=COBENEFICIOS!$AU$12,COBENEFICIOS!$AV$12,IF(RESULTADOS_COBENEFICIOS_CA!D21=COBENEFICIOS!$AU$13,COBENEFICIOS!$AV$13,IF(RESULTADOS_COBENEFICIOS_CA!D21=COBENEFICIOS!$AU$14,COBENEFICIOS!$AV$14,"ERROR"))))</f>
        <v>0</v>
      </c>
      <c r="F21" s="695"/>
      <c r="G21" s="680"/>
      <c r="H21" s="680"/>
      <c r="I21" s="680"/>
      <c r="J21" s="680"/>
      <c r="K21" s="680"/>
      <c r="L21" s="680"/>
      <c r="M21" s="680"/>
      <c r="N21" s="680"/>
    </row>
    <row r="22" spans="2:14" ht="15" customHeight="1">
      <c r="B22" s="680"/>
      <c r="C22" s="680"/>
      <c r="D22" s="687"/>
      <c r="E22" s="2958"/>
      <c r="F22" s="695"/>
      <c r="G22" s="680"/>
      <c r="H22" s="680"/>
      <c r="I22" s="680"/>
      <c r="J22" s="680"/>
      <c r="K22" s="680"/>
      <c r="L22" s="680"/>
      <c r="M22" s="680"/>
      <c r="N22" s="680"/>
    </row>
    <row r="23" spans="2:14" ht="15" customHeight="1">
      <c r="B23" s="680"/>
      <c r="C23" s="681" t="s">
        <v>69</v>
      </c>
      <c r="D23" s="2952" t="s">
        <v>344</v>
      </c>
      <c r="E23" s="2958"/>
      <c r="F23" s="695"/>
      <c r="G23" s="680"/>
      <c r="H23" s="680"/>
      <c r="I23" s="680"/>
      <c r="J23" s="680"/>
      <c r="K23" s="680"/>
      <c r="L23" s="680"/>
      <c r="M23" s="680"/>
      <c r="N23" s="680"/>
    </row>
    <row r="24" spans="2:14" ht="15" customHeight="1">
      <c r="B24" s="680"/>
      <c r="C24" s="685"/>
      <c r="D24" s="685"/>
      <c r="E24" s="2958"/>
      <c r="F24" s="695"/>
      <c r="G24" s="680"/>
      <c r="H24" s="680"/>
      <c r="I24" s="680"/>
      <c r="J24" s="680"/>
      <c r="K24" s="680"/>
      <c r="L24" s="680"/>
      <c r="M24" s="680"/>
      <c r="N24" s="680"/>
    </row>
    <row r="25" spans="2:14" ht="15" customHeight="1">
      <c r="B25" s="680"/>
      <c r="C25" s="686" t="s">
        <v>130</v>
      </c>
      <c r="D25" s="2954"/>
      <c r="E25" s="2958"/>
      <c r="F25" s="695"/>
      <c r="G25" s="680"/>
      <c r="H25" s="680"/>
      <c r="I25" s="680"/>
      <c r="J25" s="680"/>
      <c r="K25" s="680"/>
      <c r="L25" s="680"/>
      <c r="M25" s="680"/>
      <c r="N25" s="680"/>
    </row>
    <row r="26" spans="2:14" ht="15" customHeight="1">
      <c r="B26" s="680"/>
      <c r="C26" s="2951" t="s">
        <v>131</v>
      </c>
      <c r="D26" s="2953" t="str">
        <f>CHOOSE(TRAYECTORIA_RESIDUOS_SOLIDOS,COBENEFICIOS!AP16,COBENEFICIOS!AQ16,COBENEFICIOS!AR16,COBENEFICIOS!AS16)</f>
        <v>La medida no afecta a la calidad del aire</v>
      </c>
      <c r="E26" s="2958">
        <f>IF(D26=COBENEFICIOS!$AU$11,COBENEFICIOS!$AV$11,IF(RESULTADOS_COBENEFICIOS_CA!D26=COBENEFICIOS!$AU$12,COBENEFICIOS!$AV$12,IF(RESULTADOS_COBENEFICIOS_CA!D26=COBENEFICIOS!$AU$13,COBENEFICIOS!$AV$13,IF(RESULTADOS_COBENEFICIOS_CA!D26=COBENEFICIOS!$AU$14,COBENEFICIOS!$AV$14,"ERROR"))))</f>
        <v>0</v>
      </c>
      <c r="F26" s="697"/>
      <c r="G26" s="680"/>
      <c r="H26" s="680"/>
      <c r="I26" s="680"/>
      <c r="J26" s="680"/>
      <c r="K26" s="680"/>
      <c r="L26" s="680"/>
      <c r="M26" s="680"/>
      <c r="N26" s="680"/>
    </row>
    <row r="27" spans="2:14" ht="15" customHeight="1">
      <c r="B27" s="680"/>
      <c r="C27" s="680"/>
      <c r="D27" s="687"/>
      <c r="E27" s="2958"/>
      <c r="F27" s="697"/>
      <c r="G27" s="680"/>
      <c r="H27" s="680"/>
      <c r="I27" s="680"/>
      <c r="J27" s="680"/>
      <c r="K27" s="680"/>
      <c r="L27" s="680"/>
      <c r="M27" s="680"/>
      <c r="N27" s="680"/>
    </row>
    <row r="28" spans="2:14" ht="15" customHeight="1">
      <c r="B28" s="680"/>
      <c r="C28" s="686" t="s">
        <v>132</v>
      </c>
      <c r="D28" s="2954"/>
      <c r="E28" s="2958"/>
      <c r="F28" s="697"/>
      <c r="G28" s="680"/>
      <c r="H28" s="680"/>
      <c r="I28" s="680"/>
      <c r="J28" s="680"/>
      <c r="K28" s="680"/>
      <c r="L28" s="680"/>
      <c r="M28" s="680"/>
      <c r="N28" s="680"/>
    </row>
    <row r="29" spans="2:14" ht="15" customHeight="1">
      <c r="B29" s="680"/>
      <c r="C29" s="2951" t="s">
        <v>133</v>
      </c>
      <c r="D29" s="2953" t="str">
        <f>CHOOSE(TRAYECTORIA_APROVECHAMIENTO_BIOGAS,COBENEFICIOS!AP17,COBENEFICIOS!AQ17,COBENEFICIOS!AR17,COBENEFICIOS!AS17)</f>
        <v>La medida no afecta a la calidad del aire</v>
      </c>
      <c r="E29" s="2958">
        <f>IF(D29=COBENEFICIOS!$AU$11,COBENEFICIOS!$AV$11,IF(RESULTADOS_COBENEFICIOS_CA!D29=COBENEFICIOS!$AU$12,COBENEFICIOS!$AV$12,IF(RESULTADOS_COBENEFICIOS_CA!D29=COBENEFICIOS!$AU$13,COBENEFICIOS!$AV$13,IF(RESULTADOS_COBENEFICIOS_CA!D29=COBENEFICIOS!$AU$14,COBENEFICIOS!$AV$14,"ERROR"))))</f>
        <v>0</v>
      </c>
      <c r="F29" s="697"/>
      <c r="G29" s="680"/>
      <c r="H29" s="680"/>
      <c r="I29" s="680"/>
      <c r="J29" s="680"/>
      <c r="K29" s="680"/>
      <c r="L29" s="680"/>
      <c r="M29" s="680"/>
      <c r="N29" s="680"/>
    </row>
    <row r="30" spans="2:14" ht="15" customHeight="1">
      <c r="B30" s="680"/>
      <c r="C30" s="2951" t="s">
        <v>134</v>
      </c>
      <c r="D30" s="2953" t="str">
        <f>CHOOSE(TRAYECTORIA_AUMENTO_TRAT_AGUA,COBENEFICIOS!AP18,COBENEFICIOS!AQ18,COBENEFICIOS!AR18,COBENEFICIOS!AS18)</f>
        <v>La medida no afecta a la calidad del aire</v>
      </c>
      <c r="E30" s="2958">
        <f>IF(D30=COBENEFICIOS!$AU$11,COBENEFICIOS!$AV$11,IF(RESULTADOS_COBENEFICIOS_CA!D30=COBENEFICIOS!$AU$12,COBENEFICIOS!$AV$12,IF(RESULTADOS_COBENEFICIOS_CA!D30=COBENEFICIOS!$AU$13,COBENEFICIOS!$AV$13,IF(RESULTADOS_COBENEFICIOS_CA!D30=COBENEFICIOS!$AU$14,COBENEFICIOS!$AV$14,"ERROR"))))</f>
        <v>0</v>
      </c>
      <c r="F30" s="697"/>
      <c r="G30" s="680"/>
      <c r="H30" s="680"/>
      <c r="I30" s="680"/>
      <c r="J30" s="680"/>
      <c r="K30" s="680"/>
      <c r="L30" s="680"/>
      <c r="M30" s="680"/>
      <c r="N30" s="680"/>
    </row>
    <row r="31" spans="2:14" ht="15" customHeight="1">
      <c r="B31" s="680"/>
      <c r="C31" s="680"/>
      <c r="D31" s="687"/>
      <c r="E31" s="2958"/>
      <c r="F31" s="697"/>
      <c r="G31" s="680"/>
      <c r="H31" s="680"/>
      <c r="I31" s="680"/>
      <c r="J31" s="680"/>
      <c r="K31" s="680"/>
      <c r="L31" s="680"/>
      <c r="M31" s="680"/>
      <c r="N31" s="680"/>
    </row>
    <row r="32" spans="2:14" ht="15" customHeight="1">
      <c r="B32" s="680"/>
      <c r="C32" s="681" t="s">
        <v>38</v>
      </c>
      <c r="D32" s="2952" t="s">
        <v>344</v>
      </c>
      <c r="E32" s="2958"/>
      <c r="F32" s="697"/>
      <c r="G32" s="680"/>
      <c r="H32" s="680"/>
      <c r="I32" s="680"/>
      <c r="J32" s="680"/>
      <c r="K32" s="680"/>
      <c r="L32" s="680"/>
      <c r="M32" s="680"/>
      <c r="N32" s="680"/>
    </row>
    <row r="33" spans="2:14" ht="15" customHeight="1">
      <c r="B33" s="680"/>
      <c r="C33" s="688"/>
      <c r="D33" s="688"/>
      <c r="E33" s="2958"/>
      <c r="F33" s="697"/>
      <c r="G33" s="680"/>
      <c r="H33" s="680"/>
      <c r="I33" s="680"/>
      <c r="J33" s="680"/>
      <c r="K33" s="680"/>
      <c r="L33" s="680"/>
      <c r="M33" s="680"/>
      <c r="N33" s="680"/>
    </row>
    <row r="34" spans="2:14" ht="15" customHeight="1">
      <c r="B34" s="680"/>
      <c r="C34" s="686" t="s">
        <v>135</v>
      </c>
      <c r="D34" s="2954"/>
      <c r="E34" s="2958"/>
      <c r="F34" s="697"/>
      <c r="G34" s="680"/>
      <c r="H34" s="680"/>
      <c r="I34" s="680"/>
      <c r="J34" s="680"/>
      <c r="K34" s="680"/>
      <c r="L34" s="680"/>
      <c r="M34" s="680"/>
      <c r="N34" s="680"/>
    </row>
    <row r="35" spans="2:14" ht="15" customHeight="1">
      <c r="B35" s="680"/>
      <c r="C35" s="2951" t="s">
        <v>137</v>
      </c>
      <c r="D35" s="2953" t="str">
        <f>CHOOSE(TRAYECTORIA_EDIF_RES_ACONDICI,COBENEFICIOS!AP19,COBENEFICIOS!AQ19,COBENEFICIOS!AR19,COBENEFICIOS!AS19)</f>
        <v>La medida no afecta a la calidad del aire</v>
      </c>
      <c r="E35" s="2958">
        <f>IF(D35=COBENEFICIOS!$AU$11,COBENEFICIOS!$AV$11,IF(RESULTADOS_COBENEFICIOS_CA!D35=COBENEFICIOS!$AU$12,COBENEFICIOS!$AV$12,IF(RESULTADOS_COBENEFICIOS_CA!D35=COBENEFICIOS!$AU$13,COBENEFICIOS!$AV$13,IF(RESULTADOS_COBENEFICIOS_CA!D35=COBENEFICIOS!$AU$14,COBENEFICIOS!$AV$14,"ERROR"))))</f>
        <v>0</v>
      </c>
      <c r="F35" s="697"/>
      <c r="G35" s="680"/>
      <c r="H35" s="680"/>
      <c r="I35" s="680"/>
      <c r="J35" s="680"/>
      <c r="K35" s="680"/>
      <c r="L35" s="680"/>
      <c r="M35" s="680"/>
      <c r="N35" s="680"/>
    </row>
    <row r="36" spans="2:14" ht="15" customHeight="1">
      <c r="B36" s="680"/>
      <c r="C36" s="2951" t="s">
        <v>139</v>
      </c>
      <c r="D36" s="2953" t="str">
        <f>CHOOSE(TRAYECTORIA_EDIF_RES_EQUIPOS_EFICIENTES,COBENEFICIOS!AP20,COBENEFICIOS!AQ20,COBENEFICIOS!AR20,COBENEFICIOS!AS20)</f>
        <v>La medida no afecta a la calidad del aire</v>
      </c>
      <c r="E36" s="2958">
        <f>IF(D36=COBENEFICIOS!$AU$11,COBENEFICIOS!$AV$11,IF(RESULTADOS_COBENEFICIOS_CA!D36=COBENEFICIOS!$AU$12,COBENEFICIOS!$AV$12,IF(RESULTADOS_COBENEFICIOS_CA!D36=COBENEFICIOS!$AU$13,COBENEFICIOS!$AV$13,IF(RESULTADOS_COBENEFICIOS_CA!D36=COBENEFICIOS!$AU$14,COBENEFICIOS!$AV$14,"ERROR"))))</f>
        <v>0</v>
      </c>
      <c r="F36" s="697"/>
      <c r="G36" s="680"/>
      <c r="H36" s="680"/>
      <c r="I36" s="680"/>
      <c r="J36" s="680"/>
      <c r="K36" s="680"/>
      <c r="L36" s="680"/>
      <c r="M36" s="680"/>
      <c r="N36" s="680"/>
    </row>
    <row r="37" spans="2:14" ht="15" customHeight="1">
      <c r="B37" s="680"/>
      <c r="C37" s="2951" t="s">
        <v>140</v>
      </c>
      <c r="D37" s="2953" t="str">
        <f>CHOOSE(TRAYECTORIA_EDIF_RES_EQUIPOS_USO_HABITOS,COBENEFICIOS!AP21,COBENEFICIOS!AQ21,COBENEFICIOS!AR21,COBENEFICIOS!AS21)</f>
        <v>La medida no afecta a la calidad del aire</v>
      </c>
      <c r="E37" s="2958">
        <f>IF(D37=COBENEFICIOS!$AU$11,COBENEFICIOS!$AV$11,IF(RESULTADOS_COBENEFICIOS_CA!D37=COBENEFICIOS!$AU$12,COBENEFICIOS!$AV$12,IF(RESULTADOS_COBENEFICIOS_CA!D37=COBENEFICIOS!$AU$13,COBENEFICIOS!$AV$13,IF(RESULTADOS_COBENEFICIOS_CA!D37=COBENEFICIOS!$AU$14,COBENEFICIOS!$AV$14,"ERROR"))))</f>
        <v>0</v>
      </c>
      <c r="F37" s="697"/>
      <c r="G37" s="680"/>
      <c r="H37" s="680"/>
      <c r="I37" s="680"/>
      <c r="J37" s="680"/>
      <c r="K37" s="680"/>
      <c r="L37" s="680"/>
      <c r="M37" s="680"/>
      <c r="N37" s="680"/>
    </row>
    <row r="38" spans="2:14" ht="15" customHeight="1">
      <c r="B38" s="680"/>
      <c r="C38" s="2951" t="s">
        <v>141</v>
      </c>
      <c r="D38" s="2953" t="str">
        <f>CHOOSE(TRAYECTORIA_EDIFICACIONES_RESIDENCIALES_AUTOGENERACION_SOLAR,COBENEFICIOS!AP22,COBENEFICIOS!AQ22,COBENEFICIOS!AR22,COBENEFICIOS!AS22)</f>
        <v>La medida no afecta a la calidad del aire</v>
      </c>
      <c r="E38" s="2958">
        <f>IF(D38=COBENEFICIOS!$AU$11,COBENEFICIOS!$AV$11,IF(RESULTADOS_COBENEFICIOS_CA!D38=COBENEFICIOS!$AU$12,COBENEFICIOS!$AV$12,IF(RESULTADOS_COBENEFICIOS_CA!D38=COBENEFICIOS!$AU$13,COBENEFICIOS!$AV$13,IF(RESULTADOS_COBENEFICIOS_CA!D38=COBENEFICIOS!$AU$14,COBENEFICIOS!$AV$14,"ERROR"))))</f>
        <v>0</v>
      </c>
      <c r="F38" s="697"/>
      <c r="G38" s="680"/>
      <c r="H38" s="680"/>
      <c r="I38" s="680"/>
      <c r="J38" s="680"/>
      <c r="K38" s="680"/>
      <c r="L38" s="680"/>
      <c r="M38" s="680"/>
      <c r="N38" s="680"/>
    </row>
    <row r="39" spans="2:14" ht="15" customHeight="1">
      <c r="B39" s="680"/>
      <c r="C39" s="2951" t="s">
        <v>143</v>
      </c>
      <c r="D39" s="2953" t="str">
        <f>CHOOSE(TRAYECTORIA_EDIF_RES__RURAL,COBENEFICIOS!AP23,COBENEFICIOS!AQ23,COBENEFICIOS!AR23,COBENEFICIOS!AS23)</f>
        <v>La medida no afecta a la calidad del aire</v>
      </c>
      <c r="E39" s="2958">
        <f>IF(D39=COBENEFICIOS!$AU$11,COBENEFICIOS!$AV$11,IF(RESULTADOS_COBENEFICIOS_CA!D39=COBENEFICIOS!$AU$12,COBENEFICIOS!$AV$12,IF(RESULTADOS_COBENEFICIOS_CA!D39=COBENEFICIOS!$AU$13,COBENEFICIOS!$AV$13,IF(RESULTADOS_COBENEFICIOS_CA!D39=COBENEFICIOS!$AU$14,COBENEFICIOS!$AV$14,"ERROR"))))</f>
        <v>0</v>
      </c>
      <c r="F39" s="697"/>
      <c r="G39" s="680"/>
      <c r="H39" s="680"/>
      <c r="I39" s="680"/>
      <c r="J39" s="680"/>
      <c r="K39" s="680"/>
      <c r="L39" s="680"/>
      <c r="M39" s="680"/>
      <c r="N39" s="680"/>
    </row>
    <row r="40" spans="2:14" ht="15" customHeight="1">
      <c r="B40" s="680"/>
      <c r="C40" s="689"/>
      <c r="D40" s="2955"/>
      <c r="E40" s="2958"/>
      <c r="F40" s="697"/>
      <c r="G40" s="680"/>
      <c r="H40" s="680"/>
      <c r="I40" s="680"/>
      <c r="J40" s="680"/>
      <c r="K40" s="680"/>
      <c r="L40" s="680"/>
      <c r="M40" s="680"/>
      <c r="N40" s="680"/>
    </row>
    <row r="41" spans="2:14" ht="15" customHeight="1">
      <c r="B41" s="680"/>
      <c r="C41" s="686" t="s">
        <v>144</v>
      </c>
      <c r="D41" s="2954"/>
      <c r="E41" s="2958"/>
      <c r="F41" s="697"/>
      <c r="G41" s="680"/>
      <c r="H41" s="680"/>
      <c r="I41" s="680"/>
      <c r="J41" s="680"/>
      <c r="K41" s="680"/>
      <c r="L41" s="680"/>
      <c r="M41" s="680"/>
      <c r="N41" s="680"/>
    </row>
    <row r="42" spans="2:14" ht="15" customHeight="1">
      <c r="B42" s="680"/>
      <c r="C42" s="2951" t="s">
        <v>146</v>
      </c>
      <c r="D42" s="2953" t="str">
        <f>CHOOSE(TRAYECTORIA_EDIF_COMERCIALES_ACONDI,COBENEFICIOS!AP24,COBENEFICIOS!AQ24,COBENEFICIOS!AR24,COBENEFICIOS!AS24)</f>
        <v>La medida no afecta a la calidad del aire</v>
      </c>
      <c r="E42" s="2958">
        <f>IF(D42=COBENEFICIOS!$AU$11,COBENEFICIOS!$AV$11,IF(RESULTADOS_COBENEFICIOS_CA!D42=COBENEFICIOS!$AU$12,COBENEFICIOS!$AV$12,IF(RESULTADOS_COBENEFICIOS_CA!D42=COBENEFICIOS!$AU$13,COBENEFICIOS!$AV$13,IF(RESULTADOS_COBENEFICIOS_CA!D42=COBENEFICIOS!$AU$14,COBENEFICIOS!$AV$14,"ERROR"))))</f>
        <v>0</v>
      </c>
      <c r="F42" s="697"/>
      <c r="G42" s="680"/>
      <c r="H42" s="680"/>
      <c r="I42" s="680"/>
      <c r="J42" s="680"/>
      <c r="K42" s="680"/>
      <c r="L42" s="680"/>
      <c r="M42" s="680"/>
      <c r="N42" s="680"/>
    </row>
    <row r="43" spans="2:14" ht="15" customHeight="1">
      <c r="B43" s="680"/>
      <c r="C43" s="2951" t="s">
        <v>148</v>
      </c>
      <c r="D43" s="2953" t="str">
        <f>CHOOSE(TRAYECTORIA_EDIF_COMERCIALES_EQUIPAMIENTO,COBENEFICIOS!AP25,COBENEFICIOS!AQ25,COBENEFICIOS!AR25,COBENEFICIOS!AS25)</f>
        <v>La medida no afecta a la calidad del aire</v>
      </c>
      <c r="E43" s="2958">
        <f>IF(D43=COBENEFICIOS!$AU$11,COBENEFICIOS!$AV$11,IF(RESULTADOS_COBENEFICIOS_CA!D43=COBENEFICIOS!$AU$12,COBENEFICIOS!$AV$12,IF(RESULTADOS_COBENEFICIOS_CA!D43=COBENEFICIOS!$AU$13,COBENEFICIOS!$AV$13,IF(RESULTADOS_COBENEFICIOS_CA!D43=COBENEFICIOS!$AU$14,COBENEFICIOS!$AV$14,"ERROR"))))</f>
        <v>0</v>
      </c>
      <c r="F43" s="697"/>
      <c r="G43" s="680"/>
      <c r="H43" s="680"/>
      <c r="I43" s="680"/>
      <c r="J43" s="680"/>
      <c r="K43" s="680"/>
      <c r="L43" s="680"/>
      <c r="M43" s="680"/>
      <c r="N43" s="680"/>
    </row>
    <row r="44" spans="2:14" ht="15" customHeight="1">
      <c r="B44" s="680"/>
      <c r="C44" s="680"/>
      <c r="D44" s="687"/>
      <c r="E44" s="2958"/>
      <c r="F44" s="697"/>
      <c r="G44" s="680"/>
      <c r="H44" s="680"/>
      <c r="I44" s="680"/>
      <c r="J44" s="680"/>
      <c r="K44" s="680"/>
      <c r="L44" s="680"/>
      <c r="M44" s="680"/>
      <c r="N44" s="680"/>
    </row>
    <row r="45" spans="2:14" ht="15" customHeight="1">
      <c r="B45" s="680"/>
      <c r="C45" s="681" t="s">
        <v>39</v>
      </c>
      <c r="D45" s="2952" t="s">
        <v>344</v>
      </c>
      <c r="E45" s="2958"/>
      <c r="F45" s="697"/>
      <c r="G45" s="680"/>
      <c r="H45" s="680"/>
      <c r="I45" s="680"/>
      <c r="J45" s="680"/>
      <c r="K45" s="680"/>
      <c r="L45" s="680"/>
      <c r="M45" s="680"/>
      <c r="N45" s="680"/>
    </row>
    <row r="46" spans="2:14" ht="15" customHeight="1">
      <c r="B46" s="680"/>
      <c r="C46" s="688"/>
      <c r="D46" s="688"/>
      <c r="E46" s="2958"/>
      <c r="F46" s="697"/>
      <c r="G46" s="680"/>
      <c r="H46" s="680"/>
      <c r="I46" s="680"/>
      <c r="J46" s="680"/>
      <c r="K46" s="680"/>
      <c r="L46" s="680"/>
      <c r="M46" s="680"/>
      <c r="N46" s="680"/>
    </row>
    <row r="47" spans="2:14" ht="15" customHeight="1">
      <c r="B47" s="680"/>
      <c r="C47" s="686" t="s">
        <v>99</v>
      </c>
      <c r="D47" s="2954"/>
      <c r="E47" s="2958"/>
      <c r="F47" s="697"/>
      <c r="G47" s="680"/>
      <c r="H47" s="680"/>
      <c r="I47" s="680"/>
      <c r="J47" s="680"/>
      <c r="K47" s="680"/>
      <c r="L47" s="680"/>
      <c r="M47" s="680"/>
      <c r="N47" s="680"/>
    </row>
    <row r="48" spans="2:14" ht="15" customHeight="1">
      <c r="B48" s="680"/>
      <c r="C48" s="2951" t="s">
        <v>149</v>
      </c>
      <c r="D48" s="2953" t="str">
        <f>CHOOSE(TRAYECTORIA_TRANSPORTE_PASAJEROS_GESTION_DEMANDA,COBENEFICIOS!AP26,COBENEFICIOS!AQ26,COBENEFICIOS!AR26,COBENEFICIOS!AS26)</f>
        <v>La medida no afecta a la calidad del aire</v>
      </c>
      <c r="E48" s="2958">
        <f>IF(D48=COBENEFICIOS!$AU$11,COBENEFICIOS!$AV$11,IF(RESULTADOS_COBENEFICIOS_CA!D48=COBENEFICIOS!$AU$12,COBENEFICIOS!$AV$12,IF(RESULTADOS_COBENEFICIOS_CA!D48=COBENEFICIOS!$AU$13,COBENEFICIOS!$AV$13,IF(RESULTADOS_COBENEFICIOS_CA!D48=COBENEFICIOS!$AU$14,COBENEFICIOS!$AV$14,"ERROR"))))</f>
        <v>0</v>
      </c>
      <c r="F48" s="697"/>
      <c r="G48" s="680"/>
      <c r="H48" s="680"/>
      <c r="I48" s="680"/>
      <c r="J48" s="680"/>
      <c r="K48" s="680"/>
      <c r="L48" s="680"/>
      <c r="M48" s="680"/>
      <c r="N48" s="680"/>
    </row>
    <row r="49" spans="2:14" ht="15" customHeight="1">
      <c r="B49" s="680"/>
      <c r="C49" s="2951" t="s">
        <v>150</v>
      </c>
      <c r="D49" s="2953" t="str">
        <f>CHOOSE(TRAYECTORIA_TRANSPORTE_PAS_EFICIENCIA,COBENEFICIOS!AP27,COBENEFICIOS!AQ27,COBENEFICIOS!AR27,COBENEFICIOS!AS27)</f>
        <v>La medida no afecta a la calidad del aire</v>
      </c>
      <c r="E49" s="2958">
        <f>IF(D49=COBENEFICIOS!$AU$11,COBENEFICIOS!$AV$11,IF(RESULTADOS_COBENEFICIOS_CA!D49=COBENEFICIOS!$AU$12,COBENEFICIOS!$AV$12,IF(RESULTADOS_COBENEFICIOS_CA!D49=COBENEFICIOS!$AU$13,COBENEFICIOS!$AV$13,IF(RESULTADOS_COBENEFICIOS_CA!D49=COBENEFICIOS!$AU$14,COBENEFICIOS!$AV$14,"ERROR"))))</f>
        <v>0</v>
      </c>
      <c r="F49" s="697"/>
      <c r="G49" s="680"/>
      <c r="H49" s="680"/>
      <c r="I49" s="680"/>
      <c r="J49" s="680"/>
      <c r="K49" s="680"/>
      <c r="L49" s="680"/>
      <c r="M49" s="680"/>
      <c r="N49" s="680"/>
    </row>
    <row r="50" spans="2:14" ht="15" customHeight="1">
      <c r="B50" s="680"/>
      <c r="C50" s="690"/>
      <c r="D50" s="2956"/>
      <c r="E50" s="2958"/>
      <c r="F50" s="697"/>
      <c r="G50" s="680"/>
      <c r="H50" s="680"/>
      <c r="I50" s="680"/>
      <c r="J50" s="680"/>
      <c r="K50" s="680"/>
      <c r="L50" s="680"/>
      <c r="M50" s="680"/>
      <c r="N50" s="680"/>
    </row>
    <row r="51" spans="2:14" ht="15" customHeight="1">
      <c r="B51" s="680"/>
      <c r="C51" s="686" t="s">
        <v>101</v>
      </c>
      <c r="D51" s="2954"/>
      <c r="E51" s="2958"/>
      <c r="F51" s="697"/>
      <c r="G51" s="680"/>
      <c r="H51" s="680"/>
      <c r="I51" s="680"/>
      <c r="J51" s="680"/>
      <c r="K51" s="680"/>
      <c r="L51" s="680"/>
      <c r="M51" s="680"/>
      <c r="N51" s="680"/>
    </row>
    <row r="52" spans="2:14" ht="15" customHeight="1">
      <c r="B52" s="680"/>
      <c r="C52" s="2951" t="s">
        <v>151</v>
      </c>
      <c r="D52" s="2953" t="str">
        <f>CHOOSE(TRAYECTORIA_TRANSPORTE_GESTION_DEMANDA_TRANSPORTE_CARGA,COBENEFICIOS!AP28,COBENEFICIOS!AQ28,COBENEFICIOS!AR28,COBENEFICIOS!AS28)</f>
        <v>La medida no afecta a la calidad del aire</v>
      </c>
      <c r="E52" s="2958">
        <f>IF(D52=COBENEFICIOS!$AU$11,COBENEFICIOS!$AV$11,IF(RESULTADOS_COBENEFICIOS_CA!D52=COBENEFICIOS!$AU$12,COBENEFICIOS!$AV$12,IF(RESULTADOS_COBENEFICIOS_CA!D52=COBENEFICIOS!$AU$13,COBENEFICIOS!$AV$13,IF(RESULTADOS_COBENEFICIOS_CA!D52=COBENEFICIOS!$AU$14,COBENEFICIOS!$AV$14,"ERROR"))))</f>
        <v>0</v>
      </c>
      <c r="F52" s="697"/>
      <c r="G52" s="680"/>
      <c r="H52" s="680"/>
      <c r="I52" s="680"/>
      <c r="J52" s="680"/>
      <c r="K52" s="680"/>
      <c r="L52" s="680"/>
      <c r="M52" s="680"/>
      <c r="N52" s="680"/>
    </row>
    <row r="53" spans="2:14" ht="15" customHeight="1">
      <c r="B53" s="680"/>
      <c r="C53" s="2951" t="s">
        <v>152</v>
      </c>
      <c r="D53" s="2953" t="str">
        <f>CHOOSE(TRAYECTORIA_TRANSPORTE_CARGA_EFICIENCIA,COBENEFICIOS!AP29,COBENEFICIOS!AQ29,COBENEFICIOS!AR29,COBENEFICIOS!AS29)</f>
        <v>La medida no afecta a la calidad del aire</v>
      </c>
      <c r="E53" s="2958">
        <f>IF(D53=COBENEFICIOS!$AU$11,COBENEFICIOS!$AV$11,IF(RESULTADOS_COBENEFICIOS_CA!D53=COBENEFICIOS!$AU$12,COBENEFICIOS!$AV$12,IF(RESULTADOS_COBENEFICIOS_CA!D53=COBENEFICIOS!$AU$13,COBENEFICIOS!$AV$13,IF(RESULTADOS_COBENEFICIOS_CA!D53=COBENEFICIOS!$AU$14,COBENEFICIOS!$AV$14,"ERROR"))))</f>
        <v>0</v>
      </c>
      <c r="F53" s="697"/>
      <c r="G53" s="680"/>
      <c r="H53" s="680"/>
      <c r="I53" s="680"/>
      <c r="J53" s="680"/>
      <c r="K53" s="680"/>
      <c r="L53" s="680"/>
      <c r="M53" s="680"/>
      <c r="N53" s="680"/>
    </row>
    <row r="54" spans="2:14" ht="15" customHeight="1">
      <c r="B54" s="680"/>
      <c r="C54" s="690"/>
      <c r="D54" s="2956"/>
      <c r="E54" s="2958"/>
      <c r="F54" s="697"/>
      <c r="G54" s="680"/>
      <c r="H54" s="680"/>
      <c r="I54" s="680"/>
      <c r="J54" s="680"/>
      <c r="K54" s="680"/>
      <c r="L54" s="680"/>
      <c r="M54" s="680"/>
      <c r="N54" s="680"/>
    </row>
    <row r="55" spans="2:14" ht="15" customHeight="1">
      <c r="B55" s="680"/>
      <c r="C55" s="686" t="s">
        <v>345</v>
      </c>
      <c r="D55" s="2954"/>
      <c r="E55" s="2958"/>
      <c r="F55" s="697"/>
      <c r="G55" s="680"/>
      <c r="H55" s="680"/>
      <c r="I55" s="680"/>
      <c r="J55" s="680"/>
      <c r="K55" s="680"/>
      <c r="L55" s="680"/>
      <c r="M55" s="680"/>
      <c r="N55" s="680"/>
    </row>
    <row r="56" spans="2:14" ht="15" customHeight="1">
      <c r="B56" s="680"/>
      <c r="C56" s="2951" t="s">
        <v>251</v>
      </c>
      <c r="D56" s="2953" t="str">
        <f>CHOOSE(TRAYECTORIA_TRANSPORTE_AVIACION,COBENEFICIOS!AP30,COBENEFICIOS!AQ30,COBENEFICIOS!AR30,COBENEFICIOS!AS30)</f>
        <v>La medida no afecta a la calidad del aire</v>
      </c>
      <c r="E56" s="2958">
        <f>IF(D56=COBENEFICIOS!$AU$11,COBENEFICIOS!$AV$11,IF(RESULTADOS_COBENEFICIOS_CA!D56=COBENEFICIOS!$AU$12,COBENEFICIOS!$AV$12,IF(RESULTADOS_COBENEFICIOS_CA!D56=COBENEFICIOS!$AU$13,COBENEFICIOS!$AV$13,IF(RESULTADOS_COBENEFICIOS_CA!D56=COBENEFICIOS!$AU$14,COBENEFICIOS!$AV$14,"ERROR"))))</f>
        <v>0</v>
      </c>
      <c r="F56" s="697"/>
      <c r="G56" s="680"/>
      <c r="H56" s="680"/>
      <c r="I56" s="680"/>
      <c r="J56" s="680"/>
      <c r="K56" s="680"/>
      <c r="L56" s="680"/>
      <c r="M56" s="680"/>
      <c r="N56" s="680"/>
    </row>
    <row r="57" spans="2:14" ht="15" customHeight="1">
      <c r="B57" s="680"/>
      <c r="C57" s="691"/>
      <c r="D57" s="2956"/>
      <c r="E57" s="2958"/>
      <c r="F57" s="697"/>
      <c r="G57" s="680"/>
      <c r="H57" s="680"/>
      <c r="I57" s="680"/>
      <c r="J57" s="680"/>
      <c r="K57" s="680"/>
      <c r="L57" s="680"/>
      <c r="M57" s="680"/>
      <c r="N57" s="680"/>
    </row>
    <row r="58" spans="2:14" ht="15" customHeight="1">
      <c r="B58" s="680"/>
      <c r="C58" s="686" t="s">
        <v>346</v>
      </c>
      <c r="D58" s="2954"/>
      <c r="E58" s="2958"/>
      <c r="F58" s="697"/>
      <c r="G58" s="680"/>
      <c r="H58" s="680"/>
      <c r="I58" s="680"/>
      <c r="J58" s="680"/>
      <c r="K58" s="680"/>
      <c r="L58" s="680"/>
      <c r="M58" s="680"/>
      <c r="N58" s="680"/>
    </row>
    <row r="59" spans="2:14" ht="15" customHeight="1">
      <c r="B59" s="680"/>
      <c r="C59" s="2951" t="s">
        <v>252</v>
      </c>
      <c r="D59" s="2953" t="str">
        <f>CHOOSE(TRAYECTORIA_TRANSPORTE_NAVEGA,COBENEFICIOS!AP31,COBENEFICIOS!AQ31,COBENEFICIOS!AR31,COBENEFICIOS!AS31)</f>
        <v>La medida no afecta a la calidad del aire</v>
      </c>
      <c r="E59" s="2958">
        <f>IF(D59=COBENEFICIOS!$AU$11,COBENEFICIOS!$AV$11,IF(RESULTADOS_COBENEFICIOS_CA!D59=COBENEFICIOS!$AU$12,COBENEFICIOS!$AV$12,IF(RESULTADOS_COBENEFICIOS_CA!D59=COBENEFICIOS!$AU$13,COBENEFICIOS!$AV$13,IF(RESULTADOS_COBENEFICIOS_CA!D59=COBENEFICIOS!$AU$14,COBENEFICIOS!$AV$14,"ERROR"))))</f>
        <v>0</v>
      </c>
      <c r="F59" s="697"/>
      <c r="G59" s="680"/>
      <c r="H59" s="680"/>
      <c r="I59" s="680"/>
      <c r="J59" s="680"/>
      <c r="K59" s="680"/>
      <c r="L59" s="680"/>
      <c r="M59" s="680"/>
      <c r="N59" s="680"/>
    </row>
    <row r="60" spans="2:14" ht="15" customHeight="1">
      <c r="B60" s="680"/>
      <c r="C60" s="680"/>
      <c r="D60" s="687"/>
      <c r="E60" s="2958"/>
      <c r="F60" s="697"/>
      <c r="G60" s="680"/>
      <c r="H60" s="680"/>
      <c r="I60" s="680"/>
      <c r="J60" s="680"/>
      <c r="K60" s="680"/>
      <c r="L60" s="680"/>
      <c r="M60" s="680"/>
      <c r="N60" s="680"/>
    </row>
    <row r="61" spans="2:14" ht="15" customHeight="1">
      <c r="B61" s="680"/>
      <c r="C61" s="681" t="s">
        <v>40</v>
      </c>
      <c r="D61" s="2952" t="s">
        <v>344</v>
      </c>
      <c r="E61" s="2958"/>
      <c r="F61" s="697"/>
      <c r="G61" s="680"/>
      <c r="H61" s="680"/>
      <c r="I61" s="680"/>
      <c r="J61" s="680"/>
      <c r="K61" s="680"/>
      <c r="L61" s="680"/>
      <c r="M61" s="680"/>
      <c r="N61" s="680"/>
    </row>
    <row r="62" spans="2:14" ht="15" customHeight="1">
      <c r="B62" s="680"/>
      <c r="C62" s="688"/>
      <c r="D62" s="688"/>
      <c r="E62" s="2958"/>
      <c r="F62" s="697"/>
      <c r="G62" s="680"/>
      <c r="H62" s="680"/>
      <c r="I62" s="680"/>
      <c r="J62" s="680"/>
      <c r="K62" s="680"/>
      <c r="L62" s="680"/>
      <c r="M62" s="680"/>
      <c r="N62" s="680"/>
    </row>
    <row r="63" spans="2:14" ht="15" customHeight="1">
      <c r="B63" s="680"/>
      <c r="C63" s="2951" t="s">
        <v>108</v>
      </c>
      <c r="D63" s="2953" t="str">
        <f>CHOOSE(TRAYECTORIA_MEJORES_PRACTICAS_AGRICOLAS,COBENEFICIOS!AP32,COBENEFICIOS!AQ32,COBENEFICIOS!AR32,COBENEFICIOS!AS32)</f>
        <v>La medida no afecta a la calidad del aire</v>
      </c>
      <c r="E63" s="2958">
        <f>IF(D63=COBENEFICIOS!$AU$11,COBENEFICIOS!$AV$11,IF(RESULTADOS_COBENEFICIOS_CA!D63=COBENEFICIOS!$AU$12,COBENEFICIOS!$AV$12,IF(RESULTADOS_COBENEFICIOS_CA!D63=COBENEFICIOS!$AU$13,COBENEFICIOS!$AV$13,IF(RESULTADOS_COBENEFICIOS_CA!D63=COBENEFICIOS!$AU$14,COBENEFICIOS!$AV$14,"ERROR"))))</f>
        <v>0</v>
      </c>
      <c r="F63" s="697"/>
      <c r="G63" s="680"/>
      <c r="H63" s="680"/>
      <c r="I63" s="680"/>
      <c r="J63" s="680"/>
      <c r="K63" s="680"/>
      <c r="L63" s="680"/>
      <c r="M63" s="680"/>
      <c r="N63" s="680"/>
    </row>
    <row r="64" spans="2:14" ht="15" customHeight="1">
      <c r="B64" s="680"/>
      <c r="C64" s="2951" t="s">
        <v>253</v>
      </c>
      <c r="D64" s="2953" t="str">
        <f>CHOOSE(TRAYECTORIA_AGRICULTURA_PRODUCCION_DE_BIOMASA,COBENEFICIOS!AP33,COBENEFICIOS!AQ33,COBENEFICIOS!AR33,COBENEFICIOS!AS33)</f>
        <v>La medida no afecta a la calidad del aire</v>
      </c>
      <c r="E64" s="2958">
        <f>IF(D64=COBENEFICIOS!$AU$11,COBENEFICIOS!$AV$11,IF(RESULTADOS_COBENEFICIOS_CA!D64=COBENEFICIOS!$AU$12,COBENEFICIOS!$AV$12,IF(RESULTADOS_COBENEFICIOS_CA!D64=COBENEFICIOS!$AU$13,COBENEFICIOS!$AV$13,IF(RESULTADOS_COBENEFICIOS_CA!D64=COBENEFICIOS!$AU$14,COBENEFICIOS!$AV$14,"ERROR"))))</f>
        <v>0</v>
      </c>
      <c r="F64" s="697"/>
      <c r="G64" s="680"/>
      <c r="H64" s="680"/>
      <c r="I64" s="680"/>
      <c r="J64" s="680"/>
      <c r="K64" s="680"/>
      <c r="L64" s="680"/>
      <c r="M64" s="680"/>
      <c r="N64" s="680"/>
    </row>
    <row r="65" spans="2:27" ht="15" customHeight="1">
      <c r="B65" s="680"/>
      <c r="C65" s="2951" t="s">
        <v>111</v>
      </c>
      <c r="D65" s="2953" t="str">
        <f>CHOOSE(TRAYECTORIA_AGRICULTURA_TIERRA_DEDICADA_BIOCOMBUSTIBLES,COBENEFICIOS!AP34,COBENEFICIOS!AQ34,COBENEFICIOS!AR34,COBENEFICIOS!AS34)</f>
        <v>La medida no afecta a la calidad del aire</v>
      </c>
      <c r="E65" s="2958">
        <f>IF(D65=COBENEFICIOS!$AU$11,COBENEFICIOS!$AV$11,IF(RESULTADOS_COBENEFICIOS_CA!D65=COBENEFICIOS!$AU$12,COBENEFICIOS!$AV$12,IF(RESULTADOS_COBENEFICIOS_CA!D65=COBENEFICIOS!$AU$13,COBENEFICIOS!$AV$13,IF(RESULTADOS_COBENEFICIOS_CA!D65=COBENEFICIOS!$AU$14,COBENEFICIOS!$AV$14,"ERROR"))))</f>
        <v>0</v>
      </c>
      <c r="F65" s="697"/>
      <c r="G65" s="680"/>
      <c r="H65" s="680"/>
      <c r="I65" s="680"/>
      <c r="J65" s="680"/>
      <c r="K65" s="680"/>
      <c r="L65" s="680"/>
      <c r="M65" s="680"/>
      <c r="N65" s="680"/>
    </row>
    <row r="66" spans="2:27" ht="15" customHeight="1">
      <c r="B66" s="680"/>
      <c r="C66" s="680"/>
      <c r="D66" s="687"/>
      <c r="E66" s="2958"/>
      <c r="F66" s="697"/>
      <c r="G66" s="680"/>
      <c r="H66" s="680"/>
      <c r="I66" s="680"/>
      <c r="J66" s="680"/>
      <c r="K66" s="680"/>
      <c r="L66" s="680"/>
      <c r="M66" s="680"/>
      <c r="N66" s="680"/>
    </row>
    <row r="67" spans="2:27" ht="15" customHeight="1">
      <c r="B67" s="680"/>
      <c r="C67" s="681" t="s">
        <v>41</v>
      </c>
      <c r="D67" s="2952" t="s">
        <v>344</v>
      </c>
      <c r="E67" s="2958"/>
      <c r="F67" s="697"/>
      <c r="G67" s="680"/>
      <c r="H67" s="680"/>
      <c r="I67" s="680"/>
      <c r="J67" s="680"/>
      <c r="K67" s="680"/>
      <c r="L67" s="680"/>
      <c r="M67" s="680"/>
      <c r="N67" s="680"/>
      <c r="O67" s="680"/>
      <c r="P67" s="680"/>
      <c r="Q67" s="680"/>
      <c r="R67" s="680"/>
      <c r="S67" s="680"/>
      <c r="T67" s="680"/>
      <c r="U67" s="680"/>
      <c r="V67" s="680"/>
      <c r="W67" s="680"/>
      <c r="X67" s="680"/>
      <c r="Y67" s="680"/>
      <c r="Z67" s="680"/>
      <c r="AA67" s="680"/>
    </row>
    <row r="68" spans="2:27" ht="15" customHeight="1">
      <c r="B68" s="680"/>
      <c r="C68" s="688"/>
      <c r="D68" s="688"/>
      <c r="E68" s="2958"/>
      <c r="F68" s="697"/>
      <c r="G68" s="680"/>
      <c r="H68" s="680"/>
      <c r="I68" s="680"/>
      <c r="J68" s="680"/>
      <c r="K68" s="680"/>
      <c r="L68" s="680"/>
      <c r="M68" s="680"/>
      <c r="N68" s="680"/>
      <c r="O68" s="680"/>
      <c r="P68" s="680"/>
      <c r="Q68" s="680"/>
      <c r="R68" s="680"/>
      <c r="S68" s="680"/>
      <c r="T68" s="680"/>
      <c r="U68" s="680"/>
      <c r="V68" s="680"/>
      <c r="W68" s="680"/>
      <c r="X68" s="680"/>
      <c r="Y68" s="680"/>
      <c r="Z68" s="680"/>
      <c r="AA68" s="680"/>
    </row>
    <row r="69" spans="2:27" ht="15" customHeight="1">
      <c r="B69" s="680"/>
      <c r="C69" s="2951" t="s">
        <v>112</v>
      </c>
      <c r="D69" s="2953" t="str">
        <f>CHOOSE(TRAYECTORIA_GANADERIA_PACTICAS_SOSTENIBLES_EN_SUELOS_GANADEROS,COBENEFICIOS!AP35,COBENEFICIOS!AQ35,COBENEFICIOS!AR35,COBENEFICIOS!AS35)</f>
        <v>La medida no afecta a la calidad del aire</v>
      </c>
      <c r="E69" s="2958">
        <f>IF(D69=COBENEFICIOS!$AU$11,COBENEFICIOS!$AV$11,IF(RESULTADOS_COBENEFICIOS_CA!D69=COBENEFICIOS!$AU$12,COBENEFICIOS!$AV$12,IF(RESULTADOS_COBENEFICIOS_CA!D69=COBENEFICIOS!$AU$13,COBENEFICIOS!$AV$13,IF(RESULTADOS_COBENEFICIOS_CA!D69=COBENEFICIOS!$AU$14,COBENEFICIOS!$AV$14,"ERROR"))))</f>
        <v>0</v>
      </c>
      <c r="F69" s="697"/>
      <c r="G69" s="680"/>
      <c r="H69" s="680"/>
      <c r="I69" s="680"/>
      <c r="J69" s="680"/>
      <c r="K69" s="680"/>
      <c r="L69" s="680"/>
      <c r="M69" s="680"/>
      <c r="N69" s="680"/>
      <c r="O69" s="680"/>
      <c r="P69" s="680"/>
      <c r="Q69" s="680"/>
      <c r="R69" s="680"/>
      <c r="S69" s="680"/>
      <c r="T69" s="680"/>
      <c r="U69" s="680"/>
      <c r="V69" s="680"/>
      <c r="W69" s="680"/>
      <c r="X69" s="680"/>
      <c r="Y69" s="680"/>
      <c r="Z69" s="680"/>
      <c r="AA69" s="680"/>
    </row>
    <row r="70" spans="2:27" ht="15" customHeight="1">
      <c r="B70" s="680"/>
      <c r="C70" s="2951" t="s">
        <v>114</v>
      </c>
      <c r="D70" s="2953" t="str">
        <f>CHOOSE(TRAYECTORIA_MEJORES_PRACTICAS_AGRICOLAS,COBENEFICIOS!AP36,COBENEFICIOS!AQ36,COBENEFICIOS!AR36,COBENEFICIOS!AS36)</f>
        <v>La medida no afecta a la calidad del aire</v>
      </c>
      <c r="E70" s="2958">
        <f>IF(D70=COBENEFICIOS!$AU$11,COBENEFICIOS!$AV$11,IF(RESULTADOS_COBENEFICIOS_CA!D70=COBENEFICIOS!$AU$12,COBENEFICIOS!$AV$12,IF(RESULTADOS_COBENEFICIOS_CA!D70=COBENEFICIOS!$AU$13,COBENEFICIOS!$AV$13,IF(RESULTADOS_COBENEFICIOS_CA!D70=COBENEFICIOS!$AU$14,COBENEFICIOS!$AV$14,"ERROR"))))</f>
        <v>0</v>
      </c>
      <c r="F70" s="697"/>
      <c r="G70" s="680"/>
      <c r="H70" s="680"/>
      <c r="I70" s="680"/>
      <c r="J70" s="680"/>
      <c r="K70" s="680"/>
      <c r="L70" s="680"/>
      <c r="M70" s="680"/>
      <c r="N70" s="680"/>
      <c r="O70" s="680"/>
      <c r="P70" s="680"/>
      <c r="Q70" s="680"/>
      <c r="R70" s="680"/>
      <c r="S70" s="680"/>
      <c r="T70" s="680"/>
      <c r="U70" s="680"/>
      <c r="V70" s="680"/>
      <c r="W70" s="680"/>
      <c r="X70" s="680"/>
      <c r="Y70" s="680"/>
      <c r="Z70" s="680"/>
      <c r="AA70" s="680"/>
    </row>
    <row r="71" spans="2:27" ht="15" customHeight="1">
      <c r="B71" s="680"/>
      <c r="C71" s="2951" t="s">
        <v>116</v>
      </c>
      <c r="D71" s="2953" t="str">
        <f>CHOOSE(TRAYECTORIA_GANADERIA_PRODUCCION_ESTIERCOL,COBENEFICIOS!AP37,COBENEFICIOS!AQ37,COBENEFICIOS!AR37,COBENEFICIOS!AS37)</f>
        <v>La medida no afecta a la calidad del aire</v>
      </c>
      <c r="E71" s="2958">
        <f>IF(D71=COBENEFICIOS!$AU$11,COBENEFICIOS!$AV$11,IF(RESULTADOS_COBENEFICIOS_CA!D71=COBENEFICIOS!$AU$12,COBENEFICIOS!$AV$12,IF(RESULTADOS_COBENEFICIOS_CA!D71=COBENEFICIOS!$AU$13,COBENEFICIOS!$AV$13,IF(RESULTADOS_COBENEFICIOS_CA!D71=COBENEFICIOS!$AU$14,COBENEFICIOS!$AV$14,"ERROR"))))</f>
        <v>0</v>
      </c>
      <c r="F71" s="697"/>
      <c r="G71" s="680"/>
      <c r="H71" s="680"/>
      <c r="I71" s="680"/>
      <c r="J71" s="680"/>
      <c r="K71" s="680"/>
      <c r="L71" s="680"/>
      <c r="M71" s="680"/>
      <c r="N71" s="680"/>
      <c r="O71" s="680"/>
      <c r="P71" s="680"/>
      <c r="Q71" s="680"/>
      <c r="R71" s="680"/>
      <c r="S71" s="680"/>
      <c r="T71" s="680"/>
      <c r="U71" s="680"/>
      <c r="V71" s="680"/>
      <c r="W71" s="680"/>
      <c r="X71" s="680"/>
      <c r="Y71" s="680"/>
      <c r="Z71" s="680"/>
      <c r="AA71" s="680"/>
    </row>
    <row r="72" spans="2:27" ht="15" customHeight="1">
      <c r="B72" s="680"/>
      <c r="C72" s="692"/>
      <c r="D72" s="2957"/>
      <c r="E72" s="2958"/>
      <c r="F72" s="697"/>
      <c r="G72" s="680"/>
      <c r="H72" s="680"/>
      <c r="I72" s="680"/>
      <c r="J72" s="680"/>
      <c r="K72" s="680"/>
      <c r="L72" s="680"/>
      <c r="M72" s="680"/>
      <c r="N72" s="680"/>
      <c r="O72" s="680"/>
      <c r="P72" s="680"/>
      <c r="Q72" s="680"/>
      <c r="R72" s="680"/>
      <c r="S72" s="680"/>
      <c r="T72" s="680"/>
      <c r="U72" s="680"/>
      <c r="V72" s="680"/>
      <c r="W72" s="680"/>
      <c r="X72" s="680"/>
      <c r="Y72" s="680"/>
      <c r="Z72" s="680"/>
      <c r="AA72" s="680"/>
    </row>
    <row r="73" spans="2:27" ht="15" customHeight="1">
      <c r="B73" s="680"/>
      <c r="C73" s="681" t="s">
        <v>157</v>
      </c>
      <c r="D73" s="2952" t="s">
        <v>344</v>
      </c>
      <c r="E73" s="2958"/>
      <c r="F73" s="697"/>
      <c r="G73" s="680"/>
      <c r="H73" s="680"/>
      <c r="I73" s="680"/>
      <c r="J73" s="680"/>
      <c r="K73" s="680"/>
      <c r="L73" s="680"/>
      <c r="M73" s="680"/>
      <c r="N73" s="680"/>
      <c r="O73" s="680"/>
      <c r="P73" s="680"/>
      <c r="Q73" s="680"/>
      <c r="R73" s="680"/>
      <c r="S73" s="680"/>
      <c r="T73" s="680"/>
      <c r="U73" s="680"/>
      <c r="V73" s="680"/>
      <c r="W73" s="680"/>
      <c r="X73" s="680"/>
      <c r="Y73" s="680"/>
      <c r="Z73" s="680"/>
      <c r="AA73" s="680"/>
    </row>
    <row r="74" spans="2:27" ht="15" customHeight="1">
      <c r="B74" s="680"/>
      <c r="C74" s="688"/>
      <c r="D74" s="688"/>
      <c r="E74" s="2958"/>
      <c r="F74" s="697"/>
      <c r="G74" s="680"/>
      <c r="H74" s="680"/>
      <c r="I74" s="680"/>
      <c r="J74" s="680"/>
      <c r="K74" s="680"/>
      <c r="L74" s="680"/>
      <c r="M74" s="680"/>
      <c r="N74" s="680"/>
      <c r="O74" s="680"/>
      <c r="P74" s="680"/>
      <c r="Q74" s="680"/>
      <c r="R74" s="680"/>
      <c r="S74" s="680"/>
      <c r="T74" s="680"/>
      <c r="U74" s="680"/>
      <c r="V74" s="680"/>
      <c r="W74" s="680"/>
      <c r="X74" s="680"/>
      <c r="Y74" s="680"/>
      <c r="Z74" s="680"/>
      <c r="AA74" s="680"/>
    </row>
    <row r="75" spans="2:27" ht="15" customHeight="1">
      <c r="B75" s="680"/>
      <c r="C75" s="2951" t="s">
        <v>119</v>
      </c>
      <c r="D75" s="2953" t="str">
        <f>CHOOSE(TRAYECTORIA_BOSQUES_DESARROLLO_CONSOLIDACION_CADENA_PRODUCTIVA,COBENEFICIOS!AP38,COBENEFICIOS!AQ38,COBENEFICIOS!AR38,COBENEFICIOS!AS38)</f>
        <v>La medida no afecta a la calidad del aire</v>
      </c>
      <c r="E75" s="2958">
        <f>IF(D75=COBENEFICIOS!$AU$11,COBENEFICIOS!$AV$11,IF(RESULTADOS_COBENEFICIOS_CA!D75=COBENEFICIOS!$AU$12,COBENEFICIOS!$AV$12,IF(RESULTADOS_COBENEFICIOS_CA!D75=COBENEFICIOS!$AU$13,COBENEFICIOS!$AV$13,IF(RESULTADOS_COBENEFICIOS_CA!D75=COBENEFICIOS!$AU$14,COBENEFICIOS!$AV$14,"ERROR"))))</f>
        <v>0</v>
      </c>
      <c r="F75" s="697"/>
      <c r="G75" s="680"/>
      <c r="H75" s="680"/>
      <c r="I75" s="680"/>
      <c r="J75" s="680"/>
      <c r="K75" s="680"/>
      <c r="L75" s="680"/>
      <c r="M75" s="680"/>
      <c r="N75" s="680"/>
      <c r="O75" s="680"/>
      <c r="P75" s="680"/>
      <c r="Q75" s="680"/>
      <c r="R75" s="680"/>
      <c r="S75" s="680"/>
      <c r="T75" s="680"/>
      <c r="U75" s="680"/>
      <c r="V75" s="680"/>
      <c r="W75" s="680"/>
      <c r="X75" s="680"/>
      <c r="Y75" s="680"/>
      <c r="Z75" s="680"/>
      <c r="AA75" s="680"/>
    </row>
    <row r="76" spans="2:27" ht="15" customHeight="1">
      <c r="B76" s="680"/>
      <c r="C76" s="2951" t="s">
        <v>347</v>
      </c>
      <c r="D76" s="2953" t="str">
        <f>CHOOSE(TRAYECTORIA_BOSQUES_DESARROLLO_AREAS_VERDES,COBENEFICIOS!AP39,COBENEFICIOS!AQ39,COBENEFICIOS!AR39,COBENEFICIOS!AS39)</f>
        <v>La medida no afecta a la calidad del aire</v>
      </c>
      <c r="E76" s="2958">
        <f>IF(D76=COBENEFICIOS!$AU$11,COBENEFICIOS!$AV$11,IF(RESULTADOS_COBENEFICIOS_CA!D76=COBENEFICIOS!$AU$12,COBENEFICIOS!$AV$12,IF(RESULTADOS_COBENEFICIOS_CA!D76=COBENEFICIOS!$AU$13,COBENEFICIOS!$AV$13,IF(RESULTADOS_COBENEFICIOS_CA!D76=COBENEFICIOS!$AU$14,COBENEFICIOS!$AV$14,"ERROR"))))</f>
        <v>0</v>
      </c>
      <c r="F76" s="697"/>
      <c r="G76" s="680"/>
      <c r="H76" s="680"/>
      <c r="I76" s="680"/>
      <c r="J76" s="680"/>
      <c r="K76" s="680"/>
      <c r="L76" s="680"/>
      <c r="M76" s="680"/>
      <c r="N76" s="680"/>
      <c r="O76" s="680"/>
      <c r="P76" s="680"/>
      <c r="Q76" s="680"/>
      <c r="R76" s="680"/>
      <c r="S76" s="680"/>
      <c r="T76" s="680"/>
      <c r="U76" s="680"/>
      <c r="V76" s="680"/>
      <c r="W76" s="680"/>
      <c r="X76" s="680"/>
      <c r="Y76" s="680"/>
      <c r="Z76" s="680"/>
      <c r="AA76" s="680"/>
    </row>
    <row r="77" spans="2:27" ht="15" customHeight="1">
      <c r="B77" s="680"/>
      <c r="C77" s="680"/>
      <c r="D77" s="687"/>
      <c r="F77" s="695"/>
      <c r="G77" s="680"/>
      <c r="H77" s="680"/>
      <c r="I77" s="680"/>
      <c r="J77" s="680"/>
      <c r="K77" s="680"/>
      <c r="L77" s="680"/>
      <c r="M77" s="680"/>
      <c r="N77" s="680"/>
      <c r="O77" s="680"/>
      <c r="P77" s="680"/>
      <c r="Q77" s="680"/>
      <c r="R77" s="680"/>
      <c r="S77" s="680"/>
      <c r="T77" s="680"/>
      <c r="U77" s="680"/>
      <c r="V77" s="680"/>
      <c r="W77" s="680"/>
      <c r="X77" s="680"/>
      <c r="Y77" s="680"/>
      <c r="Z77" s="680"/>
      <c r="AA77" s="680"/>
    </row>
    <row r="78" spans="2:27" ht="15" customHeight="1">
      <c r="B78" s="680"/>
      <c r="C78" s="680"/>
      <c r="D78" s="687"/>
      <c r="E78" s="2958"/>
      <c r="F78" s="2958"/>
      <c r="G78" s="680"/>
      <c r="H78" s="680"/>
      <c r="I78" s="680"/>
      <c r="J78" s="680"/>
      <c r="K78" s="680"/>
      <c r="L78" s="680"/>
      <c r="M78" s="680"/>
      <c r="N78" s="680"/>
    </row>
    <row r="79" spans="2:27" ht="28.5" customHeight="1">
      <c r="B79" s="680"/>
      <c r="C79" s="2960" t="s">
        <v>348</v>
      </c>
      <c r="D79" s="2953" t="str">
        <f>IF(E79&lt;0,COBENEFICIOS!AU11,IF(RESULTADOS_COBENEFICIOS_CA!E79&gt;=2,COBENEFICIOS!AU14,IF(RESULTADOS_COBENEFICIOS_CA!E79&gt;=0.5,COBENEFICIOS!AU13,IF(RESULTADOS_COBENEFICIOS_CA!E79&gt;=0,COBENEFICIOS!AU12,"ERROR"))))</f>
        <v>La medida no afecta a la calidad del aire</v>
      </c>
      <c r="E79" s="3148">
        <f>AVERAGE(E11:E76)</f>
        <v>0</v>
      </c>
      <c r="F79" s="2958"/>
      <c r="G79" s="3142"/>
      <c r="H79" s="680"/>
      <c r="I79" s="680"/>
      <c r="J79" s="680"/>
      <c r="K79" s="680"/>
      <c r="L79" s="680"/>
      <c r="M79" s="680"/>
      <c r="N79" s="680"/>
    </row>
    <row r="80" spans="2:27" ht="36" customHeight="1">
      <c r="B80" s="680"/>
      <c r="F80" s="2958"/>
      <c r="G80" s="680"/>
      <c r="H80" s="680"/>
      <c r="I80" s="680"/>
      <c r="J80" s="680"/>
      <c r="K80" s="680"/>
      <c r="L80" s="680"/>
      <c r="M80" s="680"/>
      <c r="N80" s="680"/>
    </row>
    <row r="81" spans="6:6" ht="26.25" customHeight="1">
      <c r="F81" s="2958"/>
    </row>
    <row r="82" spans="6:6" ht="15" customHeight="1">
      <c r="F82" s="695"/>
    </row>
    <row r="83" spans="6:6" ht="15" customHeight="1">
      <c r="F83" s="695"/>
    </row>
    <row r="563"/>
  </sheetData>
  <sheetProtection algorithmName="SHA-512" hashValue="d8Bd8Tf/qyK98cZsroY7HE7SAqdMhY1KyshIJ1GUup5Cq/Zq8ZwipH3jiJbtblLdkBerz5WJLPyPDYvb2Qz1sg==" saltValue="g6FQw+5ZBng8BfGtYxXeKg==" spinCount="100000" sheet="1" objects="1" scenarios="1"/>
  <conditionalFormatting sqref="D79">
    <cfRule type="colorScale" priority="1">
      <colorScale>
        <cfvo type="min"/>
        <cfvo type="percentile" val="50"/>
        <cfvo type="max"/>
        <color rgb="FFF8696B"/>
        <color rgb="FFFFEB84"/>
        <color rgb="FF63BE7B"/>
      </colorScale>
    </cfRule>
  </conditionalFormatting>
  <conditionalFormatting sqref="E58">
    <cfRule type="iconSet" priority="12">
      <iconSet iconSet="4Arrows">
        <cfvo type="percent" val="0"/>
        <cfvo type="percent" val="25"/>
        <cfvo type="percent" val="50"/>
        <cfvo type="percent" val="75"/>
      </iconSet>
    </cfRule>
    <cfRule type="iconSet" priority="13">
      <iconSet iconSet="3Arrows">
        <cfvo type="percent" val="0"/>
        <cfvo type="percent" val="33"/>
        <cfvo type="percent" val="67"/>
      </iconSet>
    </cfRule>
  </conditionalFormatting>
  <pageMargins left="0.7" right="0.7" top="0.75" bottom="0.75" header="0.3" footer="0.3"/>
  <pageSetup paperSize="9" scale="13" fitToHeight="0" orientation="portrait" r:id="rId1"/>
  <customProperties>
    <customPr name="_pios_id" r:id="rId2"/>
  </customProperties>
  <drawing r:id="rId3"/>
  <extLst>
    <ext xmlns:x14="http://schemas.microsoft.com/office/spreadsheetml/2009/9/main" uri="{78C0D931-6437-407d-A8EE-F0AAD7539E65}">
      <x14:conditionalFormattings>
        <x14:conditionalFormatting xmlns:xm="http://schemas.microsoft.com/office/excel/2006/main">
          <x14:cfRule type="containsText" priority="41" operator="containsText" id="{8DE6FA13-A7E9-4947-86E6-36A22D24E5EA}">
            <xm:f>NOT(ISERROR(SEARCH(COBENEFICIOS!$AU$14,D11)))</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42" operator="containsText" id="{B05224A9-CADE-431A-8A10-D7A69427D46F}">
            <xm:f>NOT(ISERROR(SEARCH(COBENEFICIOS!$AU$13,D11)))</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3" operator="containsText" id="{8E46A0DF-0AF6-4F66-969A-7BCC0EC46452}">
            <xm:f>NOT(ISERROR(SEARCH(COBENEFICIOS!$AU$12,D11)))</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4" operator="containsText" id="{E9DB3A39-869B-412F-8A0B-397630C9AF07}">
            <xm:f>NOT(ISERROR(SEARCH(COBENEFICIOS!$AU$11,D11)))</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D11 D15 D19:D21 D26 D29:D30 D35:D39 D42:D43 D48:D49 D52:D53 D56 D59 D63:D65 D69:D71 D75:D76</xm:sqref>
        </x14:conditionalFormatting>
        <x14:conditionalFormatting xmlns:xm="http://schemas.microsoft.com/office/excel/2006/main">
          <x14:cfRule type="containsText" priority="2" operator="containsText" id="{2696E97D-3201-4297-867A-5446691AA73E}">
            <xm:f>NOT(ISERROR(SEARCH(COBENEFICIOS!$AU$14,D79)))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 operator="containsText" id="{932442B1-10D1-4B56-9CF7-B112446CFF3D}">
            <xm:f>NOT(ISERROR(SEARCH(COBENEFICIOS!$AU$13,D79)))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 operator="containsText" id="{731D30CD-3E49-4611-A377-59BF190CB43D}">
            <xm:f>NOT(ISERROR(SEARCH(COBENEFICIOS!$AU$12,D79)))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5" operator="containsText" id="{8452E023-F588-4B8A-A54B-3B2867710A71}">
            <xm:f>NOT(ISERROR(SEARCH(COBENEFICIOS!$AU$11,D79)))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015EF-8A5A-45C8-B039-DD15138A365A}">
  <sheetPr codeName="Hoja52">
    <pageSetUpPr fitToPage="1"/>
  </sheetPr>
  <dimension ref="A1:W836"/>
  <sheetViews>
    <sheetView showGridLines="0" topLeftCell="A3" zoomScale="80" zoomScaleNormal="80" workbookViewId="0">
      <selection activeCell="C8" sqref="C8"/>
    </sheetView>
  </sheetViews>
  <sheetFormatPr baseColWidth="10" defaultColWidth="11.42578125" defaultRowHeight="15" customHeight="1"/>
  <cols>
    <col min="1" max="1" width="20.7109375" style="678" customWidth="1"/>
    <col min="2" max="2" width="7.7109375" style="679" customWidth="1"/>
    <col min="3" max="3" width="93.7109375" style="679" customWidth="1"/>
    <col min="4" max="4" width="58.85546875" style="679" customWidth="1"/>
    <col min="5" max="5" width="51" style="679" bestFit="1" customWidth="1"/>
    <col min="6" max="6" width="56.5703125" style="679" bestFit="1" customWidth="1"/>
    <col min="7" max="7" width="20.5703125" style="679" bestFit="1" customWidth="1"/>
    <col min="8" max="8" width="22.28515625" style="679" bestFit="1" customWidth="1"/>
    <col min="9" max="9" width="22.5703125" style="679" bestFit="1" customWidth="1"/>
    <col min="10" max="10" width="22.28515625" style="679" bestFit="1" customWidth="1"/>
    <col min="11" max="11" width="22.5703125" style="679" bestFit="1" customWidth="1"/>
    <col min="12" max="12" width="19.5703125" style="679" bestFit="1" customWidth="1"/>
    <col min="13" max="13" width="14.85546875" style="679" bestFit="1" customWidth="1"/>
    <col min="14" max="16" width="11.42578125" style="679"/>
    <col min="17" max="17" width="79.28515625" style="679" customWidth="1"/>
    <col min="18" max="18" width="14.42578125" style="679" customWidth="1"/>
    <col min="19" max="19" width="21.28515625" style="679" customWidth="1"/>
    <col min="20" max="20" width="12.42578125" style="679" bestFit="1" customWidth="1"/>
    <col min="21" max="21" width="11.42578125" style="679"/>
    <col min="22" max="22" width="48.5703125" style="679" bestFit="1" customWidth="1"/>
    <col min="23" max="16384" width="11.42578125" style="679"/>
  </cols>
  <sheetData>
    <row r="1" spans="1:19" s="680" customFormat="1" ht="15" customHeight="1">
      <c r="A1" s="678"/>
      <c r="B1" s="679"/>
      <c r="C1" s="679"/>
      <c r="D1" s="679"/>
      <c r="E1" s="679"/>
      <c r="F1" s="679"/>
      <c r="G1" s="679"/>
      <c r="H1" s="679"/>
      <c r="I1" s="679"/>
      <c r="J1" s="679"/>
      <c r="K1" s="679"/>
      <c r="L1" s="679"/>
    </row>
    <row r="3" spans="1:19" ht="15" customHeight="1">
      <c r="B3" s="680"/>
      <c r="C3" s="680"/>
      <c r="D3" s="680"/>
      <c r="I3" s="683"/>
      <c r="J3" s="683"/>
      <c r="K3" s="1060"/>
      <c r="L3" s="1060"/>
    </row>
    <row r="4" spans="1:19" ht="15" customHeight="1">
      <c r="B4" s="680"/>
      <c r="C4" s="680"/>
      <c r="D4" s="680"/>
      <c r="I4" s="683"/>
      <c r="J4" s="683"/>
      <c r="K4" s="1060"/>
      <c r="L4" s="1060"/>
    </row>
    <row r="5" spans="1:19" ht="15" customHeight="1">
      <c r="A5" s="1559"/>
      <c r="B5" s="680"/>
      <c r="C5" s="2278" t="s">
        <v>349</v>
      </c>
      <c r="D5" s="2279"/>
      <c r="E5" s="2279"/>
      <c r="F5" s="2279"/>
      <c r="I5" s="683"/>
      <c r="J5" s="683"/>
      <c r="K5" s="1060"/>
      <c r="L5" s="1060"/>
    </row>
    <row r="6" spans="1:19" ht="15" customHeight="1">
      <c r="B6" s="680"/>
      <c r="C6" s="680"/>
      <c r="D6" s="680"/>
      <c r="I6" s="683"/>
      <c r="J6" s="683"/>
      <c r="K6" s="1060"/>
      <c r="L6" s="1060"/>
    </row>
    <row r="7" spans="1:19" ht="15" customHeight="1">
      <c r="B7" s="680"/>
      <c r="C7" s="680"/>
      <c r="D7" s="680"/>
      <c r="I7" s="683"/>
      <c r="J7" s="683"/>
      <c r="K7" s="1060"/>
      <c r="L7" s="1060"/>
      <c r="R7" s="680"/>
      <c r="S7" s="680"/>
    </row>
    <row r="8" spans="1:19" ht="15" customHeight="1">
      <c r="B8" s="680"/>
      <c r="C8" s="680"/>
      <c r="D8" s="680"/>
      <c r="I8" s="683"/>
      <c r="J8" s="683"/>
      <c r="K8" s="1060"/>
      <c r="L8" s="1060"/>
    </row>
    <row r="9" spans="1:19" ht="15" customHeight="1">
      <c r="B9" s="680"/>
      <c r="C9" s="681" t="s">
        <v>32</v>
      </c>
      <c r="D9" s="2952" t="s">
        <v>257</v>
      </c>
      <c r="E9" s="2979" t="s">
        <v>266</v>
      </c>
      <c r="F9" s="2952" t="s">
        <v>273</v>
      </c>
      <c r="I9" s="683"/>
      <c r="J9" s="683"/>
      <c r="K9" s="1060"/>
      <c r="L9" s="1060"/>
    </row>
    <row r="10" spans="1:19" ht="15" customHeight="1">
      <c r="B10" s="680"/>
      <c r="C10" s="682"/>
      <c r="D10" s="2277"/>
      <c r="E10" s="2277"/>
      <c r="F10" s="2277"/>
      <c r="I10" s="683"/>
      <c r="J10" s="683"/>
      <c r="K10" s="1060"/>
      <c r="L10" s="1060"/>
    </row>
    <row r="11" spans="1:19" ht="15" customHeight="1">
      <c r="B11" s="680"/>
      <c r="C11" s="2951" t="s">
        <v>123</v>
      </c>
      <c r="D11" s="2980" t="str">
        <f>IF(OR(RESULTADOS_COBENEFICIOS_CA!$D$11=COBENEFICIOS!AU13,RESULTADOS_COBENEFICIOS_CA!$D$11=COBENEFICIOS!AU14),COBENEFICIOS!E45,COBENEFICIOS!F45)</f>
        <v>No se producen beneficios sobre la salud</v>
      </c>
      <c r="E11" s="2980" t="s">
        <v>350</v>
      </c>
      <c r="F11" s="2980" t="s">
        <v>350</v>
      </c>
      <c r="I11" s="683"/>
      <c r="J11" s="683"/>
      <c r="K11" s="1060"/>
      <c r="L11" s="1060"/>
    </row>
    <row r="12" spans="1:19" ht="15" customHeight="1">
      <c r="B12" s="680"/>
      <c r="C12" s="683"/>
      <c r="D12" s="2277"/>
      <c r="E12" s="2277"/>
      <c r="F12" s="2277"/>
      <c r="I12" s="683"/>
      <c r="J12" s="683"/>
      <c r="K12" s="1060"/>
      <c r="L12" s="1060"/>
    </row>
    <row r="13" spans="1:19" ht="15" customHeight="1">
      <c r="B13" s="680"/>
      <c r="C13" s="681" t="s">
        <v>66</v>
      </c>
      <c r="D13" s="2952" t="s">
        <v>257</v>
      </c>
      <c r="E13" s="2979" t="s">
        <v>266</v>
      </c>
      <c r="F13" s="2952" t="s">
        <v>273</v>
      </c>
      <c r="I13" s="683"/>
      <c r="J13" s="683"/>
      <c r="K13" s="1060"/>
      <c r="L13" s="1060"/>
    </row>
    <row r="14" spans="1:19" ht="15" customHeight="1">
      <c r="B14" s="680"/>
      <c r="C14" s="682"/>
      <c r="D14" s="2277"/>
      <c r="E14" s="2277"/>
      <c r="F14" s="2277"/>
      <c r="I14" s="683"/>
      <c r="J14" s="683"/>
      <c r="K14" s="1060"/>
      <c r="L14" s="1060"/>
    </row>
    <row r="15" spans="1:19" ht="15" customHeight="1">
      <c r="B15" s="680"/>
      <c r="C15" s="2951" t="s">
        <v>125</v>
      </c>
      <c r="D15" s="2980" t="str">
        <f>IF(OR(RESULTADOS_COBENEFICIOS_CA!$D$15=COBENEFICIOS!AU13,RESULTADOS_COBENEFICIOS_CA!$D$15=COBENEFICIOS!AU14),COBENEFICIOS!E45,COBENEFICIOS!F45)</f>
        <v>No se producen beneficios sobre la salud</v>
      </c>
      <c r="E15" s="2980" t="s">
        <v>350</v>
      </c>
      <c r="F15" s="2980" t="s">
        <v>350</v>
      </c>
      <c r="I15" s="683"/>
      <c r="J15" s="683"/>
      <c r="K15" s="1060"/>
      <c r="L15" s="1060"/>
    </row>
    <row r="16" spans="1:19" ht="15" customHeight="1">
      <c r="B16" s="680"/>
      <c r="C16" s="680"/>
      <c r="D16" s="2277"/>
      <c r="E16" s="2277"/>
      <c r="F16" s="2277"/>
      <c r="I16" s="683"/>
      <c r="J16" s="683"/>
      <c r="K16" s="1060"/>
      <c r="L16" s="1060"/>
    </row>
    <row r="17" spans="2:12" ht="15" customHeight="1">
      <c r="B17" s="680"/>
      <c r="C17" s="681" t="s">
        <v>36</v>
      </c>
      <c r="D17" s="2952" t="s">
        <v>257</v>
      </c>
      <c r="E17" s="2979" t="s">
        <v>266</v>
      </c>
      <c r="F17" s="2952" t="s">
        <v>273</v>
      </c>
      <c r="I17" s="683"/>
      <c r="J17" s="683"/>
      <c r="K17" s="1060"/>
      <c r="L17" s="1060"/>
    </row>
    <row r="18" spans="2:12" ht="15" customHeight="1">
      <c r="B18" s="680"/>
      <c r="C18" s="684"/>
      <c r="D18" s="687"/>
      <c r="E18" s="687"/>
      <c r="F18" s="687"/>
      <c r="I18" s="683"/>
      <c r="J18" s="683"/>
      <c r="K18" s="1060"/>
      <c r="L18" s="1060"/>
    </row>
    <row r="19" spans="2:12" ht="15" customHeight="1">
      <c r="B19" s="680"/>
      <c r="C19" t="s">
        <v>126</v>
      </c>
      <c r="D19" s="2980" t="str">
        <f>IF(OR(RESULTADOS_COBENEFICIOS_CA!$D$19=COBENEFICIOS!AU13,RESULTADOS_COBENEFICIOS_CA!$D$19=COBENEFICIOS!AU14),COBENEFICIOS!E45,COBENEFICIOS!F45)</f>
        <v>No se producen beneficios sobre la salud</v>
      </c>
      <c r="E19" s="2980" t="s">
        <v>350</v>
      </c>
      <c r="F19" s="2980" t="s">
        <v>350</v>
      </c>
      <c r="I19" s="683"/>
      <c r="J19" s="683"/>
      <c r="K19" s="1060"/>
      <c r="L19" s="1060"/>
    </row>
    <row r="20" spans="2:12" ht="15" customHeight="1">
      <c r="B20" s="680"/>
      <c r="C20" t="s">
        <v>128</v>
      </c>
      <c r="D20" s="2980" t="str">
        <f>IF(OR(RESULTADOS_COBENEFICIOS_CA!$D$20=COBENEFICIOS!AU13,RESULTADOS_COBENEFICIOS_CA!$D$20=COBENEFICIOS!AU14),COBENEFICIOS!E45,COBENEFICIOS!F45)</f>
        <v>No se producen beneficios sobre la salud</v>
      </c>
      <c r="E20" s="2980" t="s">
        <v>350</v>
      </c>
      <c r="F20" s="2980" t="s">
        <v>350</v>
      </c>
      <c r="I20" s="683"/>
      <c r="J20" s="683"/>
      <c r="K20" s="1060"/>
      <c r="L20" s="1060"/>
    </row>
    <row r="21" spans="2:12" ht="15" customHeight="1">
      <c r="B21" s="680"/>
      <c r="C21" s="2951" t="s">
        <v>129</v>
      </c>
      <c r="D21" s="2980" t="str">
        <f>IF(OR(RESULTADOS_COBENEFICIOS_CA!$D$21=COBENEFICIOS!AU13,RESULTADOS_COBENEFICIOS_CA!$D$21=COBENEFICIOS!AU14),COBENEFICIOS!E45,COBENEFICIOS!F45)</f>
        <v>No se producen beneficios sobre la salud</v>
      </c>
      <c r="E21" s="2980" t="s">
        <v>350</v>
      </c>
      <c r="F21" s="2980" t="s">
        <v>350</v>
      </c>
      <c r="I21" s="683"/>
      <c r="J21" s="683"/>
      <c r="K21" s="1060"/>
      <c r="L21" s="1060"/>
    </row>
    <row r="22" spans="2:12" ht="15" customHeight="1">
      <c r="B22" s="680"/>
      <c r="C22" s="680"/>
      <c r="D22" s="687"/>
      <c r="E22" s="687"/>
      <c r="F22" s="687"/>
      <c r="I22" s="683"/>
      <c r="J22" s="683"/>
      <c r="K22" s="1060"/>
      <c r="L22" s="1060"/>
    </row>
    <row r="23" spans="2:12" ht="15" customHeight="1">
      <c r="B23" s="680"/>
      <c r="C23" s="681" t="s">
        <v>69</v>
      </c>
      <c r="D23" s="2952" t="s">
        <v>257</v>
      </c>
      <c r="E23" s="2979" t="s">
        <v>266</v>
      </c>
      <c r="F23" s="2952" t="s">
        <v>273</v>
      </c>
      <c r="I23" s="683"/>
      <c r="J23" s="683"/>
      <c r="K23" s="1060"/>
      <c r="L23" s="1060"/>
    </row>
    <row r="24" spans="2:12" ht="15" customHeight="1">
      <c r="B24" s="680"/>
      <c r="C24" s="685"/>
      <c r="D24" s="687"/>
      <c r="E24" s="687"/>
      <c r="F24" s="687"/>
      <c r="I24" s="683"/>
      <c r="J24" s="683"/>
      <c r="K24" s="1060"/>
      <c r="L24" s="1060"/>
    </row>
    <row r="25" spans="2:12" ht="15" customHeight="1">
      <c r="B25" s="680"/>
      <c r="C25" s="686" t="s">
        <v>130</v>
      </c>
      <c r="D25" s="687"/>
      <c r="E25" s="687"/>
      <c r="F25" s="687"/>
      <c r="I25" s="683"/>
      <c r="J25" s="683"/>
      <c r="K25" s="1060"/>
      <c r="L25" s="1060"/>
    </row>
    <row r="26" spans="2:12" ht="15" customHeight="1">
      <c r="B26" s="680"/>
      <c r="C26" s="2951" t="s">
        <v>131</v>
      </c>
      <c r="D26" s="2980" t="str">
        <f>IF(OR(RESULTADOS_COBENEFICIOS_CA!D26=COBENEFICIOS!$AU$13,RESULTADOS_COBENEFICIOS_CA!D26=COBENEFICIOS!$AU$14),COBENEFICIOS!$E$45,COBENEFICIOS!$F$45)</f>
        <v>No se producen beneficios sobre la salud</v>
      </c>
      <c r="E26" s="2980" t="str">
        <f>IF(TRAYECTORIA_RESIDUOS_SOLIDOS&gt;1,COBENEFICIOS!D52,COBENEFICIOS!F51)</f>
        <v>No se producen beneficios sobre la salud</v>
      </c>
      <c r="F26" s="2980" t="s">
        <v>350</v>
      </c>
      <c r="I26" s="683"/>
      <c r="J26" s="683"/>
      <c r="K26" s="1060"/>
      <c r="L26" s="1060"/>
    </row>
    <row r="27" spans="2:12" ht="15" customHeight="1">
      <c r="B27" s="680"/>
      <c r="C27" s="680"/>
      <c r="D27" s="687"/>
      <c r="E27" s="687"/>
      <c r="F27" s="687"/>
      <c r="I27" s="683"/>
      <c r="J27" s="683"/>
      <c r="K27" s="1060"/>
      <c r="L27" s="1060"/>
    </row>
    <row r="28" spans="2:12" ht="15" customHeight="1">
      <c r="B28" s="680"/>
      <c r="C28" s="686" t="s">
        <v>132</v>
      </c>
      <c r="D28" s="687"/>
      <c r="E28" s="687"/>
      <c r="F28" s="687"/>
      <c r="I28" s="683"/>
      <c r="J28" s="683"/>
      <c r="K28" s="1060"/>
      <c r="L28" s="1060"/>
    </row>
    <row r="29" spans="2:12" ht="15" customHeight="1">
      <c r="B29" s="680"/>
      <c r="C29" s="2951" t="s">
        <v>133</v>
      </c>
      <c r="D29" s="2980" t="str">
        <f>IF(OR(RESULTADOS_COBENEFICIOS_CA!D29=COBENEFICIOS!$AU$13,RESULTADOS_COBENEFICIOS_CA!D29=COBENEFICIOS!$AU$14),COBENEFICIOS!$E$45,COBENEFICIOS!$F$45)</f>
        <v>No se producen beneficios sobre la salud</v>
      </c>
      <c r="E29" s="2980" t="s">
        <v>350</v>
      </c>
      <c r="F29" s="2980" t="s">
        <v>350</v>
      </c>
      <c r="I29" s="683"/>
      <c r="J29" s="683"/>
      <c r="K29" s="1060"/>
      <c r="L29" s="1060"/>
    </row>
    <row r="30" spans="2:12" ht="15" customHeight="1">
      <c r="B30" s="680"/>
      <c r="C30" s="2951" t="s">
        <v>134</v>
      </c>
      <c r="D30" s="2980" t="str">
        <f>IF(OR(RESULTADOS_COBENEFICIOS_CA!D30=COBENEFICIOS!$AU$13,RESULTADOS_COBENEFICIOS_CA!D30=COBENEFICIOS!$AU$14),COBENEFICIOS!$E$45,COBENEFICIOS!$F$45)</f>
        <v>No se producen beneficios sobre la salud</v>
      </c>
      <c r="E30" s="2980" t="str">
        <f>IF(TRAYECTORIA_AUMENTO_TRAT_AGUA&gt;1,COBENEFICIOS!E51,COBENEFICIOS!F51)</f>
        <v>No se producen beneficios sobre la salud</v>
      </c>
      <c r="F30" s="2980" t="s">
        <v>350</v>
      </c>
      <c r="I30" s="683"/>
      <c r="J30" s="683"/>
      <c r="K30" s="1060"/>
      <c r="L30" s="1060"/>
    </row>
    <row r="31" spans="2:12" ht="15" customHeight="1">
      <c r="B31" s="680"/>
      <c r="C31" s="680"/>
      <c r="D31" s="687"/>
      <c r="E31" s="687"/>
      <c r="F31" s="687"/>
      <c r="I31" s="683"/>
      <c r="J31" s="683"/>
      <c r="K31" s="1060"/>
      <c r="L31" s="1060"/>
    </row>
    <row r="32" spans="2:12" ht="15" customHeight="1">
      <c r="B32" s="680"/>
      <c r="C32" s="681" t="s">
        <v>38</v>
      </c>
      <c r="D32" s="2952" t="s">
        <v>257</v>
      </c>
      <c r="E32" s="2979" t="s">
        <v>266</v>
      </c>
      <c r="F32" s="2952" t="s">
        <v>273</v>
      </c>
      <c r="I32" s="683"/>
      <c r="J32" s="683"/>
      <c r="K32" s="1060"/>
      <c r="L32" s="1060"/>
    </row>
    <row r="33" spans="2:12" ht="15" customHeight="1">
      <c r="B33" s="680"/>
      <c r="C33" s="688"/>
      <c r="D33" s="687"/>
      <c r="E33" s="687"/>
      <c r="F33" s="687"/>
      <c r="I33" s="683"/>
      <c r="J33" s="683"/>
      <c r="K33" s="1060"/>
      <c r="L33" s="1060"/>
    </row>
    <row r="34" spans="2:12" ht="15" customHeight="1">
      <c r="B34" s="680"/>
      <c r="C34" s="686" t="s">
        <v>135</v>
      </c>
      <c r="D34" s="687"/>
      <c r="E34" s="687"/>
      <c r="F34" s="687"/>
      <c r="I34" s="683"/>
      <c r="J34" s="683"/>
      <c r="K34" s="1060"/>
      <c r="L34" s="1060"/>
    </row>
    <row r="35" spans="2:12" ht="15" customHeight="1">
      <c r="B35" s="680"/>
      <c r="C35" s="2951" t="s">
        <v>137</v>
      </c>
      <c r="D35" s="2980" t="str">
        <f>IF(OR(RESULTADOS_COBENEFICIOS_CA!D35=COBENEFICIOS!$AU$13,RESULTADOS_COBENEFICIOS_CA!D35=COBENEFICIOS!$AU$14),COBENEFICIOS!$E$45,COBENEFICIOS!$F$45)</f>
        <v>No se producen beneficios sobre la salud</v>
      </c>
      <c r="E35" s="2980" t="str">
        <f>IF(TRAYECTORIA_EDIF_RES_ACONDICI&gt;1,COBENEFICIOS!D51,COBENEFICIOS!F51)</f>
        <v>No se producen beneficios sobre la salud</v>
      </c>
      <c r="F35" s="2980" t="s">
        <v>350</v>
      </c>
      <c r="I35" s="683"/>
      <c r="J35" s="683"/>
      <c r="K35" s="1060"/>
      <c r="L35" s="1060"/>
    </row>
    <row r="36" spans="2:12" ht="15" customHeight="1">
      <c r="B36" s="680"/>
      <c r="C36" s="2951" t="s">
        <v>139</v>
      </c>
      <c r="D36" s="2980" t="str">
        <f>IF(OR(RESULTADOS_COBENEFICIOS_CA!D36=COBENEFICIOS!$AU$13,RESULTADOS_COBENEFICIOS_CA!D36=COBENEFICIOS!$AU$14),COBENEFICIOS!$E$45,COBENEFICIOS!$F$45)</f>
        <v>No se producen beneficios sobre la salud</v>
      </c>
      <c r="E36" s="2980" t="s">
        <v>350</v>
      </c>
      <c r="F36" s="2980" t="s">
        <v>350</v>
      </c>
      <c r="I36" s="683"/>
      <c r="J36" s="683"/>
      <c r="K36" s="1060"/>
      <c r="L36" s="1060"/>
    </row>
    <row r="37" spans="2:12" ht="15" customHeight="1">
      <c r="B37" s="680"/>
      <c r="C37" s="2951" t="s">
        <v>140</v>
      </c>
      <c r="D37" s="2980" t="str">
        <f>IF(OR(RESULTADOS_COBENEFICIOS_CA!D37=COBENEFICIOS!$AU$13,RESULTADOS_COBENEFICIOS_CA!D37=COBENEFICIOS!$AU$14),COBENEFICIOS!$E$45,COBENEFICIOS!$F$45)</f>
        <v>No se producen beneficios sobre la salud</v>
      </c>
      <c r="E37" s="2980" t="str">
        <f>IF(TRAYECTORIA_EDIF_RES_EQUIPOS_USO_HABITOS&gt;1,COBENEFICIOS!D51,COBENEFICIOS!F51)</f>
        <v>No se producen beneficios sobre la salud</v>
      </c>
      <c r="F37" s="2980" t="s">
        <v>350</v>
      </c>
      <c r="I37" s="683"/>
      <c r="J37" s="683"/>
      <c r="K37" s="1060"/>
      <c r="L37" s="1060"/>
    </row>
    <row r="38" spans="2:12" ht="15" customHeight="1">
      <c r="B38" s="680"/>
      <c r="C38" s="2951" t="s">
        <v>141</v>
      </c>
      <c r="D38" s="2980" t="str">
        <f>IF(OR(RESULTADOS_COBENEFICIOS_CA!D38=COBENEFICIOS!$AU$13,RESULTADOS_COBENEFICIOS_CA!D38=COBENEFICIOS!$AU$14),COBENEFICIOS!$E$45,COBENEFICIOS!$F$45)</f>
        <v>No se producen beneficios sobre la salud</v>
      </c>
      <c r="E38" s="2980" t="s">
        <v>350</v>
      </c>
      <c r="F38" s="2980" t="s">
        <v>350</v>
      </c>
      <c r="I38" s="683"/>
      <c r="J38" s="683"/>
      <c r="K38" s="1060"/>
      <c r="L38" s="1060"/>
    </row>
    <row r="39" spans="2:12" ht="15" customHeight="1">
      <c r="B39" s="680"/>
      <c r="C39" s="2951" t="s">
        <v>143</v>
      </c>
      <c r="D39" s="2980" t="str">
        <f>IF(OR(RESULTADOS_COBENEFICIOS_CA!D39=COBENEFICIOS!$AU$13,RESULTADOS_COBENEFICIOS_CA!D39=COBENEFICIOS!$AU$14),COBENEFICIOS!$E$45,COBENEFICIOS!$F$45)</f>
        <v>No se producen beneficios sobre la salud</v>
      </c>
      <c r="E39" s="2980" t="s">
        <v>350</v>
      </c>
      <c r="F39" s="2980" t="s">
        <v>350</v>
      </c>
      <c r="I39" s="683"/>
      <c r="J39" s="683"/>
      <c r="K39" s="1060"/>
      <c r="L39" s="1060"/>
    </row>
    <row r="40" spans="2:12" ht="15" customHeight="1">
      <c r="B40" s="680"/>
      <c r="C40" s="689"/>
      <c r="D40" s="687"/>
      <c r="E40" s="687"/>
      <c r="F40" s="687"/>
      <c r="I40" s="683"/>
      <c r="J40" s="683"/>
      <c r="K40" s="1060"/>
      <c r="L40" s="1060"/>
    </row>
    <row r="41" spans="2:12" ht="15" customHeight="1">
      <c r="B41" s="680"/>
      <c r="C41" s="686" t="s">
        <v>144</v>
      </c>
      <c r="D41" s="687"/>
      <c r="E41" s="687"/>
      <c r="F41" s="687"/>
      <c r="I41" s="683"/>
      <c r="J41" s="683"/>
      <c r="K41" s="1060"/>
      <c r="L41" s="1060"/>
    </row>
    <row r="42" spans="2:12" ht="15" customHeight="1">
      <c r="B42" s="680"/>
      <c r="C42" s="2951" t="s">
        <v>146</v>
      </c>
      <c r="D42" s="2980" t="str">
        <f>IF(OR(RESULTADOS_COBENEFICIOS_CA!D42=COBENEFICIOS!$AU$13,RESULTADOS_COBENEFICIOS_CA!D42=COBENEFICIOS!$AU$14),COBENEFICIOS!$E$45,COBENEFICIOS!$F$45)</f>
        <v>No se producen beneficios sobre la salud</v>
      </c>
      <c r="E42" s="2980" t="str">
        <f>IF(TRAYECTORIA_EDIF_COMERCIALES_ACONDI&gt;1,COBENEFICIOS!D51,COBENEFICIOS!F51)</f>
        <v>No se producen beneficios sobre la salud</v>
      </c>
      <c r="F42" s="2980" t="s">
        <v>350</v>
      </c>
      <c r="I42" s="683"/>
      <c r="J42" s="683"/>
      <c r="K42" s="1060"/>
      <c r="L42" s="1060"/>
    </row>
    <row r="43" spans="2:12" ht="15" customHeight="1">
      <c r="B43" s="680"/>
      <c r="C43" s="2951" t="s">
        <v>148</v>
      </c>
      <c r="D43" s="2980" t="str">
        <f>IF(OR(RESULTADOS_COBENEFICIOS_CA!D43=COBENEFICIOS!$AU$13,RESULTADOS_COBENEFICIOS_CA!D43=COBENEFICIOS!$AU$14),COBENEFICIOS!$E$45,COBENEFICIOS!$F$45)</f>
        <v>No se producen beneficios sobre la salud</v>
      </c>
      <c r="E43" s="2980" t="s">
        <v>350</v>
      </c>
      <c r="F43" s="2980" t="s">
        <v>350</v>
      </c>
      <c r="I43" s="683"/>
      <c r="J43" s="683"/>
      <c r="K43" s="1060"/>
      <c r="L43" s="1060"/>
    </row>
    <row r="44" spans="2:12" ht="15" customHeight="1">
      <c r="B44" s="680"/>
      <c r="C44" s="680"/>
      <c r="D44" s="687"/>
      <c r="E44" s="687"/>
      <c r="F44" s="687"/>
      <c r="I44" s="683"/>
      <c r="J44" s="683"/>
      <c r="K44" s="1060"/>
      <c r="L44" s="1060"/>
    </row>
    <row r="45" spans="2:12" ht="15" customHeight="1">
      <c r="B45" s="680"/>
      <c r="C45" s="681" t="s">
        <v>39</v>
      </c>
      <c r="D45" s="2952" t="s">
        <v>257</v>
      </c>
      <c r="E45" s="2979" t="s">
        <v>266</v>
      </c>
      <c r="F45" s="2952" t="s">
        <v>273</v>
      </c>
      <c r="I45" s="683"/>
      <c r="J45" s="683"/>
      <c r="K45" s="1060"/>
      <c r="L45" s="1060"/>
    </row>
    <row r="46" spans="2:12">
      <c r="B46" s="680"/>
      <c r="C46" s="688"/>
      <c r="D46" s="688"/>
      <c r="E46" s="688"/>
      <c r="F46" s="688"/>
      <c r="I46" s="683"/>
      <c r="J46" s="683"/>
      <c r="K46" s="1060"/>
      <c r="L46" s="1060"/>
    </row>
    <row r="47" spans="2:12" ht="15" customHeight="1">
      <c r="B47" s="680"/>
      <c r="C47" s="686" t="s">
        <v>99</v>
      </c>
      <c r="D47" s="687"/>
      <c r="E47" s="687"/>
      <c r="F47" s="687"/>
      <c r="I47" s="683"/>
      <c r="J47" s="683"/>
      <c r="K47" s="1060"/>
      <c r="L47" s="1060"/>
    </row>
    <row r="48" spans="2:12" ht="15" customHeight="1">
      <c r="B48" s="680"/>
      <c r="C48" s="2951" t="s">
        <v>149</v>
      </c>
      <c r="D48" s="2980" t="str">
        <f>IF(OR(RESULTADOS_COBENEFICIOS_CA!D48=COBENEFICIOS!$AU$13,RESULTADOS_COBENEFICIOS_CA!D48=COBENEFICIOS!$AU$14),COBENEFICIOS!$E$45,COBENEFICIOS!$F$45)</f>
        <v>No se producen beneficios sobre la salud</v>
      </c>
      <c r="E48" s="2980" t="s">
        <v>350</v>
      </c>
      <c r="F48" s="2980" t="s">
        <v>350</v>
      </c>
      <c r="I48" s="683"/>
      <c r="J48" s="683"/>
      <c r="K48" s="1060"/>
      <c r="L48" s="1060"/>
    </row>
    <row r="49" spans="2:12" ht="15" customHeight="1">
      <c r="B49" s="680"/>
      <c r="C49" s="2951" t="s">
        <v>150</v>
      </c>
      <c r="D49" s="2980" t="str">
        <f>IF(OR(RESULTADOS_COBENEFICIOS_CA!D49=COBENEFICIOS!$AU$13,RESULTADOS_COBENEFICIOS_CA!D49=COBENEFICIOS!$AU$14),COBENEFICIOS!$E$45,COBENEFICIOS!$F$45)</f>
        <v>No se producen beneficios sobre la salud</v>
      </c>
      <c r="E49" s="2980" t="s">
        <v>350</v>
      </c>
      <c r="F49" s="2980" t="s">
        <v>350</v>
      </c>
      <c r="I49" s="683"/>
      <c r="J49" s="683"/>
      <c r="K49" s="1060"/>
      <c r="L49" s="1060"/>
    </row>
    <row r="50" spans="2:12" ht="15" customHeight="1">
      <c r="B50" s="680"/>
      <c r="C50" s="690"/>
      <c r="D50" s="687"/>
      <c r="E50" s="687"/>
      <c r="F50" s="687"/>
      <c r="I50" s="683"/>
      <c r="J50" s="683"/>
      <c r="K50" s="1060"/>
      <c r="L50" s="1060"/>
    </row>
    <row r="51" spans="2:12" ht="15" customHeight="1">
      <c r="B51" s="680"/>
      <c r="C51" s="686" t="s">
        <v>101</v>
      </c>
      <c r="D51" s="687"/>
      <c r="E51" s="687"/>
      <c r="F51" s="687"/>
      <c r="I51" s="683"/>
      <c r="J51" s="683"/>
      <c r="K51" s="1060"/>
      <c r="L51" s="1060"/>
    </row>
    <row r="52" spans="2:12" ht="15" customHeight="1">
      <c r="B52" s="680"/>
      <c r="C52" s="2951" t="s">
        <v>151</v>
      </c>
      <c r="D52" s="2980" t="str">
        <f>IF(OR(RESULTADOS_COBENEFICIOS_CA!D52=COBENEFICIOS!$AU$13,RESULTADOS_COBENEFICIOS_CA!D52=COBENEFICIOS!$AU$14),COBENEFICIOS!$E$45,COBENEFICIOS!$F$45)</f>
        <v>No se producen beneficios sobre la salud</v>
      </c>
      <c r="E52" s="2980" t="s">
        <v>350</v>
      </c>
      <c r="F52" s="2980" t="s">
        <v>350</v>
      </c>
      <c r="I52" s="683"/>
      <c r="J52" s="683"/>
      <c r="K52" s="1060"/>
      <c r="L52" s="1060"/>
    </row>
    <row r="53" spans="2:12" ht="15" customHeight="1">
      <c r="B53" s="680"/>
      <c r="C53" s="2951" t="s">
        <v>152</v>
      </c>
      <c r="D53" s="2980" t="str">
        <f>IF(OR(RESULTADOS_COBENEFICIOS_CA!D53=COBENEFICIOS!$AU$13,RESULTADOS_COBENEFICIOS_CA!D53=COBENEFICIOS!$AU$14),COBENEFICIOS!$E$45,COBENEFICIOS!$F$45)</f>
        <v>No se producen beneficios sobre la salud</v>
      </c>
      <c r="E53" s="2980" t="s">
        <v>350</v>
      </c>
      <c r="F53" s="2980" t="s">
        <v>350</v>
      </c>
      <c r="I53" s="683"/>
      <c r="J53" s="683"/>
      <c r="K53" s="1060"/>
      <c r="L53" s="1060"/>
    </row>
    <row r="54" spans="2:12" ht="15" customHeight="1">
      <c r="B54" s="680"/>
      <c r="C54" s="690"/>
      <c r="D54" s="687"/>
      <c r="E54" s="687"/>
      <c r="F54" s="687"/>
      <c r="I54" s="683"/>
      <c r="J54" s="683"/>
      <c r="K54" s="1060"/>
      <c r="L54" s="1060"/>
    </row>
    <row r="55" spans="2:12" ht="15" customHeight="1">
      <c r="B55" s="680"/>
      <c r="C55" s="686" t="s">
        <v>345</v>
      </c>
      <c r="D55" s="687"/>
      <c r="E55" s="687"/>
      <c r="F55" s="687"/>
      <c r="I55" s="683"/>
      <c r="J55" s="683"/>
      <c r="K55" s="1060"/>
      <c r="L55" s="1060"/>
    </row>
    <row r="56" spans="2:12" ht="15" customHeight="1">
      <c r="B56" s="680"/>
      <c r="C56" s="2951" t="s">
        <v>251</v>
      </c>
      <c r="D56" s="2980" t="str">
        <f>IF(OR(RESULTADOS_COBENEFICIOS_CA!D56=COBENEFICIOS!$AU$13,RESULTADOS_COBENEFICIOS_CA!D56=COBENEFICIOS!$AU$14),COBENEFICIOS!$E$45,COBENEFICIOS!$F$45)</f>
        <v>No se producen beneficios sobre la salud</v>
      </c>
      <c r="E56" s="2980" t="s">
        <v>350</v>
      </c>
      <c r="F56" s="2980" t="s">
        <v>350</v>
      </c>
      <c r="I56" s="683"/>
      <c r="J56" s="683"/>
      <c r="K56" s="1060"/>
      <c r="L56" s="1060"/>
    </row>
    <row r="57" spans="2:12" ht="15" customHeight="1">
      <c r="B57" s="680"/>
      <c r="C57" s="691"/>
      <c r="D57" s="687"/>
      <c r="E57" s="687"/>
      <c r="F57" s="687"/>
      <c r="I57" s="683"/>
      <c r="J57" s="683"/>
      <c r="K57" s="1060"/>
      <c r="L57" s="1060"/>
    </row>
    <row r="58" spans="2:12" ht="15" customHeight="1">
      <c r="B58" s="680"/>
      <c r="C58" s="686" t="s">
        <v>346</v>
      </c>
      <c r="D58" s="687"/>
      <c r="E58" s="687"/>
      <c r="F58" s="687"/>
      <c r="I58" s="683"/>
      <c r="J58" s="683"/>
      <c r="K58" s="1060"/>
      <c r="L58" s="1060"/>
    </row>
    <row r="59" spans="2:12" ht="15" customHeight="1">
      <c r="B59" s="680"/>
      <c r="C59" s="2951" t="s">
        <v>252</v>
      </c>
      <c r="D59" s="2980" t="str">
        <f>IF(OR(RESULTADOS_COBENEFICIOS_CA!D59=COBENEFICIOS!$AU$13,RESULTADOS_COBENEFICIOS_CA!D59=COBENEFICIOS!$AU$14),COBENEFICIOS!$E$45,COBENEFICIOS!$F$45)</f>
        <v>No se producen beneficios sobre la salud</v>
      </c>
      <c r="E59" s="2980" t="s">
        <v>350</v>
      </c>
      <c r="F59" s="2980" t="s">
        <v>350</v>
      </c>
      <c r="I59" s="683"/>
      <c r="J59" s="683"/>
      <c r="K59" s="1060"/>
      <c r="L59" s="1060"/>
    </row>
    <row r="60" spans="2:12" ht="15" customHeight="1">
      <c r="B60" s="680"/>
      <c r="C60" s="680"/>
      <c r="D60" s="687"/>
      <c r="E60" s="687"/>
      <c r="F60" s="687"/>
      <c r="I60" s="683"/>
      <c r="J60" s="683"/>
      <c r="K60" s="1060"/>
      <c r="L60" s="1060"/>
    </row>
    <row r="61" spans="2:12" ht="15" customHeight="1">
      <c r="B61" s="680"/>
      <c r="C61" s="681" t="s">
        <v>40</v>
      </c>
      <c r="D61" s="2952" t="s">
        <v>257</v>
      </c>
      <c r="E61" s="2979" t="s">
        <v>266</v>
      </c>
      <c r="F61" s="2952" t="s">
        <v>273</v>
      </c>
      <c r="I61" s="683"/>
      <c r="J61" s="683"/>
      <c r="K61" s="1060"/>
      <c r="L61" s="1060"/>
    </row>
    <row r="62" spans="2:12">
      <c r="B62" s="680"/>
      <c r="C62" s="688"/>
      <c r="D62" s="687"/>
      <c r="E62" s="687"/>
      <c r="F62" s="687"/>
      <c r="I62" s="683"/>
      <c r="J62" s="683"/>
      <c r="K62" s="1060"/>
      <c r="L62" s="1060"/>
    </row>
    <row r="63" spans="2:12" ht="15" customHeight="1">
      <c r="B63" s="680"/>
      <c r="C63" s="2951" t="s">
        <v>108</v>
      </c>
      <c r="D63" s="2980" t="str">
        <f>IF(OR(RESULTADOS_COBENEFICIOS_CA!D63=COBENEFICIOS!$AU$13,RESULTADOS_COBENEFICIOS_CA!D63=COBENEFICIOS!$AU$14),COBENEFICIOS!$E$45,COBENEFICIOS!$F$45)</f>
        <v>No se producen beneficios sobre la salud</v>
      </c>
      <c r="E63" s="2980" t="s">
        <v>350</v>
      </c>
      <c r="F63" s="2980" t="s">
        <v>350</v>
      </c>
      <c r="I63" s="683"/>
      <c r="J63" s="683"/>
      <c r="K63" s="1060"/>
      <c r="L63" s="1060"/>
    </row>
    <row r="64" spans="2:12" ht="15" customHeight="1">
      <c r="B64" s="680"/>
      <c r="C64" s="2951" t="s">
        <v>253</v>
      </c>
      <c r="D64" s="2980" t="str">
        <f>IF(OR(RESULTADOS_COBENEFICIOS_CA!D64=COBENEFICIOS!$AU$13,RESULTADOS_COBENEFICIOS_CA!D64=COBENEFICIOS!$AU$14),COBENEFICIOS!$E$45,COBENEFICIOS!$F$45)</f>
        <v>No se producen beneficios sobre la salud</v>
      </c>
      <c r="E64" s="2980" t="s">
        <v>350</v>
      </c>
      <c r="F64" s="2980" t="s">
        <v>350</v>
      </c>
      <c r="I64" s="683"/>
      <c r="J64" s="683"/>
      <c r="K64" s="1060"/>
      <c r="L64" s="1060"/>
    </row>
    <row r="65" spans="2:12" ht="15" customHeight="1">
      <c r="B65" s="680"/>
      <c r="C65" s="2951" t="s">
        <v>111</v>
      </c>
      <c r="D65" s="2980" t="str">
        <f>IF(OR(RESULTADOS_COBENEFICIOS_CA!D65=COBENEFICIOS!$AU$13,RESULTADOS_COBENEFICIOS_CA!D65=COBENEFICIOS!$AU$14),COBENEFICIOS!$E$45,COBENEFICIOS!$F$45)</f>
        <v>No se producen beneficios sobre la salud</v>
      </c>
      <c r="E65" s="2980" t="s">
        <v>350</v>
      </c>
      <c r="F65" s="2980" t="s">
        <v>350</v>
      </c>
      <c r="I65" s="683"/>
      <c r="J65" s="683"/>
      <c r="K65" s="1060"/>
      <c r="L65" s="1060"/>
    </row>
    <row r="66" spans="2:12" ht="15" customHeight="1">
      <c r="B66" s="680"/>
      <c r="C66" s="680"/>
      <c r="D66" s="687"/>
      <c r="E66" s="687"/>
      <c r="F66" s="687"/>
      <c r="I66" s="683"/>
      <c r="J66" s="683"/>
      <c r="K66" s="1060"/>
      <c r="L66" s="1060"/>
    </row>
    <row r="67" spans="2:12" ht="15" customHeight="1">
      <c r="B67" s="680"/>
      <c r="C67" s="681" t="s">
        <v>41</v>
      </c>
      <c r="D67" s="2952" t="s">
        <v>257</v>
      </c>
      <c r="E67" s="2979" t="s">
        <v>266</v>
      </c>
      <c r="F67" s="2952" t="s">
        <v>273</v>
      </c>
      <c r="I67" s="683"/>
      <c r="J67" s="683"/>
      <c r="K67" s="1060"/>
      <c r="L67" s="1060"/>
    </row>
    <row r="68" spans="2:12">
      <c r="B68" s="680"/>
      <c r="C68" s="688"/>
      <c r="D68" s="2957"/>
      <c r="E68" s="2957"/>
      <c r="F68" s="2957"/>
      <c r="I68" s="683"/>
      <c r="J68" s="683"/>
      <c r="K68" s="1060"/>
      <c r="L68" s="1060"/>
    </row>
    <row r="69" spans="2:12" ht="15" customHeight="1">
      <c r="B69" s="680"/>
      <c r="C69" s="2951" t="s">
        <v>112</v>
      </c>
      <c r="D69" s="2980" t="str">
        <f>IF(OR(RESULTADOS_COBENEFICIOS_CA!D69=COBENEFICIOS!$AU$13,RESULTADOS_COBENEFICIOS_CA!D69=COBENEFICIOS!$AU$14),COBENEFICIOS!$E$45,COBENEFICIOS!$F$45)</f>
        <v>No se producen beneficios sobre la salud</v>
      </c>
      <c r="E69" s="2980" t="s">
        <v>350</v>
      </c>
      <c r="F69" s="2980" t="s">
        <v>350</v>
      </c>
      <c r="I69" s="683"/>
      <c r="J69" s="683"/>
      <c r="K69" s="1060"/>
      <c r="L69" s="1060"/>
    </row>
    <row r="70" spans="2:12" ht="15" customHeight="1">
      <c r="B70" s="680"/>
      <c r="C70" s="2951" t="s">
        <v>114</v>
      </c>
      <c r="D70" s="2980" t="str">
        <f>IF(OR(RESULTADOS_COBENEFICIOS_CA!D70=COBENEFICIOS!$AU$13,RESULTADOS_COBENEFICIOS_CA!D70=COBENEFICIOS!$AU$14),COBENEFICIOS!$E$45,COBENEFICIOS!$F$45)</f>
        <v>No se producen beneficios sobre la salud</v>
      </c>
      <c r="E70" s="2980" t="s">
        <v>350</v>
      </c>
      <c r="F70" s="2980" t="s">
        <v>350</v>
      </c>
      <c r="I70" s="683"/>
      <c r="J70" s="683"/>
      <c r="K70" s="1060"/>
      <c r="L70" s="1060"/>
    </row>
    <row r="71" spans="2:12" ht="15" customHeight="1">
      <c r="B71" s="680"/>
      <c r="C71" s="2951" t="s">
        <v>116</v>
      </c>
      <c r="D71" s="2980" t="str">
        <f>IF(OR(RESULTADOS_COBENEFICIOS_CA!D71=COBENEFICIOS!$AU$13,RESULTADOS_COBENEFICIOS_CA!D71=COBENEFICIOS!$AU$14),COBENEFICIOS!$E$45,COBENEFICIOS!$F$45)</f>
        <v>No se producen beneficios sobre la salud</v>
      </c>
      <c r="E71" s="2980" t="s">
        <v>350</v>
      </c>
      <c r="F71" s="2980" t="s">
        <v>350</v>
      </c>
      <c r="I71" s="683"/>
      <c r="J71" s="683"/>
      <c r="K71" s="1060"/>
      <c r="L71" s="1060"/>
    </row>
    <row r="72" spans="2:12" ht="15" customHeight="1">
      <c r="B72" s="680"/>
      <c r="C72" s="692"/>
      <c r="D72" s="2957"/>
      <c r="E72" s="2957"/>
      <c r="F72" s="2957"/>
      <c r="I72" s="683"/>
      <c r="J72" s="683"/>
      <c r="K72" s="1060"/>
      <c r="L72" s="1060"/>
    </row>
    <row r="73" spans="2:12" ht="15" customHeight="1">
      <c r="B73" s="680"/>
      <c r="C73" s="681" t="s">
        <v>157</v>
      </c>
      <c r="D73" s="2952" t="s">
        <v>257</v>
      </c>
      <c r="E73" s="2979" t="s">
        <v>266</v>
      </c>
      <c r="F73" s="2952" t="s">
        <v>273</v>
      </c>
      <c r="I73" s="683"/>
      <c r="J73" s="683"/>
      <c r="K73" s="1060"/>
      <c r="L73" s="1060"/>
    </row>
    <row r="74" spans="2:12">
      <c r="B74" s="680"/>
      <c r="C74" s="688"/>
      <c r="I74" s="683"/>
      <c r="J74" s="683"/>
      <c r="K74" s="1060"/>
      <c r="L74" s="1060"/>
    </row>
    <row r="75" spans="2:12" ht="15" customHeight="1">
      <c r="B75" s="680"/>
      <c r="C75" s="2951" t="s">
        <v>119</v>
      </c>
      <c r="D75" s="2980" t="str">
        <f>IF(OR(RESULTADOS_COBENEFICIOS_CA!D75=COBENEFICIOS!$AU$13,RESULTADOS_COBENEFICIOS_CA!D75=COBENEFICIOS!$AU$14),COBENEFICIOS!$E$45,COBENEFICIOS!$F$45)</f>
        <v>No se producen beneficios sobre la salud</v>
      </c>
      <c r="E75" s="2980" t="s">
        <v>350</v>
      </c>
      <c r="F75" s="2980" t="s">
        <v>350</v>
      </c>
      <c r="I75" s="683"/>
      <c r="J75" s="683"/>
      <c r="K75" s="1060"/>
      <c r="L75" s="1060"/>
    </row>
    <row r="76" spans="2:12" ht="15" customHeight="1">
      <c r="B76" s="680"/>
      <c r="C76" s="2951" t="s">
        <v>347</v>
      </c>
      <c r="D76" s="2980" t="str">
        <f>IF(OR(RESULTADOS_COBENEFICIOS_CA!D76=COBENEFICIOS!$AU$13,RESULTADOS_COBENEFICIOS_CA!D76=COBENEFICIOS!$AU$14),COBENEFICIOS!$E$45,COBENEFICIOS!$F$45)</f>
        <v>No se producen beneficios sobre la salud</v>
      </c>
      <c r="E76" s="2980" t="s">
        <v>350</v>
      </c>
      <c r="F76" s="2980" t="str">
        <f>IF(TRAYECTORIA_BOSQUES_DESARROLLO_AREAS_VERDES&gt;1,COBENEFICIOS!D56,COBENEFICIOS!F56)</f>
        <v>No se producen beneficios sobre la salud</v>
      </c>
      <c r="I76" s="683"/>
      <c r="J76" s="683"/>
      <c r="K76" s="1060"/>
      <c r="L76" s="1060"/>
    </row>
    <row r="77" spans="2:12" ht="15" customHeight="1">
      <c r="B77" s="680"/>
      <c r="I77" s="683"/>
      <c r="J77" s="683"/>
      <c r="K77" s="1060"/>
      <c r="L77" s="1060"/>
    </row>
    <row r="78" spans="2:12" ht="15" customHeight="1">
      <c r="I78" s="683"/>
      <c r="J78" s="683"/>
      <c r="K78" s="1060"/>
      <c r="L78" s="1060"/>
    </row>
    <row r="79" spans="2:12" ht="15" customHeight="1">
      <c r="C79" s="2960" t="s">
        <v>351</v>
      </c>
      <c r="D79" s="2980" t="str" cm="1">
        <f t="array" ref="D79">IF(OR(D11=COBENEFICIOS!E45,D15=COBENEFICIOS!E45,D19:D21=COBENEFICIOS!E45,D26=COBENEFICIOS!E45,D29:D30=COBENEFICIOS!E45,D35:D39=COBENEFICIOS!E45,D42:D43=COBENEFICIOS!E45,D48:D49=COBENEFICIOS!E45,D52:D53=COBENEFICIOS!E45,D56=COBENEFICIOS!E45,D59=COBENEFICIOS!E45,D63:D65=COBENEFICIOS!E45,D69:D71=COBENEFICIOS!E45,D75:D76=COBENEFICIOS!E45),D17,COBENEFICIOS!F45)</f>
        <v>No se producen beneficios sobre la salud</v>
      </c>
      <c r="E79" s="2980" t="str">
        <f>IF(OR(E26=COBENEFICIOS!D52,E30=COBENEFICIOS!E51,E35=COBENEFICIOS!D51,E37=COBENEFICIOS!D51,E42=COBENEFICIOS!D51),E45,COBENEFICIOS!F51)</f>
        <v>No se producen beneficios sobre la salud</v>
      </c>
      <c r="F79" s="2980" t="str">
        <f>IF(OR(F76=COBENEFICIOS!D56,F76=COBENEFICIOS!D56),F73,COBENEFICIOS!F56)</f>
        <v>No se producen beneficios sobre la salud</v>
      </c>
      <c r="I79" s="683"/>
      <c r="J79" s="683"/>
      <c r="K79" s="1060"/>
      <c r="L79" s="1060"/>
    </row>
    <row r="80" spans="2:12" ht="15" customHeight="1">
      <c r="I80" s="683"/>
      <c r="J80" s="683"/>
      <c r="K80" s="1060"/>
      <c r="L80" s="1060"/>
    </row>
    <row r="81" spans="3:12" ht="15" customHeight="1">
      <c r="I81" s="683"/>
      <c r="J81" s="683"/>
      <c r="K81" s="1060"/>
      <c r="L81" s="1060"/>
    </row>
    <row r="82" spans="3:12" ht="15" customHeight="1">
      <c r="C82" s="2959"/>
      <c r="I82" s="683"/>
      <c r="J82" s="683"/>
      <c r="K82" s="1060"/>
      <c r="L82" s="1060"/>
    </row>
    <row r="83" spans="3:12" ht="14.25" customHeight="1">
      <c r="C83" s="620"/>
      <c r="I83" s="683"/>
      <c r="J83" s="683"/>
      <c r="K83" s="1060"/>
      <c r="L83" s="1060"/>
    </row>
    <row r="84" spans="3:12" ht="27" customHeight="1">
      <c r="C84" s="2980" t="str">
        <f>IF(AND(D79=D73,E79=COBENEFICIOS!C51,F79=COBENEFICIOS!C56),COBENEFICIOS!C62,IF(AND(D79=COBENEFICIOS!C45,F79=COBENEFICIOS!C56),COBENEFICIOS!C60,IF(AND(D79=COBENEFICIOS!C45,E79=COBENEFICIOS!C51),COBENEFICIOS!C59,IF(AND(E79=COBENEFICIOS!C51,F79=COBENEFICIOS!C56),COBENEFICIOS!C61,IF(D79=COBENEFICIOS!C45,COBENEFICIOS!C45,IF(RESULTADOS_COBENEFICIOS_SALUD!E79=COBENEFICIOS!C51,COBENEFICIOS!C51,IF(F79=COBENEFICIOS!C56,COBENEFICIOS!C56,COBENEFICIOS!F45)))))))</f>
        <v>No se producen beneficios sobre la salud</v>
      </c>
      <c r="I84" s="683"/>
      <c r="J84" s="683"/>
      <c r="K84" s="1060"/>
      <c r="L84" s="1060"/>
    </row>
    <row r="85" spans="3:12" ht="15" customHeight="1">
      <c r="C85" s="620"/>
      <c r="I85" s="683"/>
      <c r="J85" s="683"/>
      <c r="K85" s="1060"/>
      <c r="L85" s="1060"/>
    </row>
    <row r="86" spans="3:12" ht="15" customHeight="1">
      <c r="C86" s="620"/>
      <c r="I86" s="683"/>
      <c r="J86" s="683"/>
      <c r="K86" s="1060"/>
      <c r="L86" s="1060"/>
    </row>
    <row r="87" spans="3:12" ht="15" customHeight="1">
      <c r="C87" s="620"/>
      <c r="I87" s="683"/>
      <c r="J87" s="683"/>
      <c r="K87" s="1060"/>
      <c r="L87" s="1060"/>
    </row>
    <row r="88" spans="3:12" ht="15" customHeight="1">
      <c r="C88" s="2959"/>
      <c r="I88" s="683"/>
      <c r="J88" s="683"/>
      <c r="K88" s="1060"/>
      <c r="L88" s="1060"/>
    </row>
    <row r="89" spans="3:12" ht="15" customHeight="1">
      <c r="C89" s="2959"/>
      <c r="I89" s="683"/>
      <c r="J89" s="683"/>
      <c r="K89" s="1060"/>
      <c r="L89" s="1060"/>
    </row>
    <row r="90" spans="3:12" ht="15" customHeight="1">
      <c r="I90" s="683"/>
      <c r="J90" s="683"/>
      <c r="K90" s="1060"/>
      <c r="L90" s="1060"/>
    </row>
    <row r="91" spans="3:12" ht="15" customHeight="1">
      <c r="I91" s="683"/>
      <c r="J91" s="683"/>
      <c r="K91" s="1060"/>
      <c r="L91" s="1060"/>
    </row>
    <row r="92" spans="3:12" ht="15" customHeight="1">
      <c r="I92" s="683"/>
      <c r="J92" s="683"/>
      <c r="K92" s="1060"/>
      <c r="L92" s="1060"/>
    </row>
    <row r="93" spans="3:12" ht="15" customHeight="1">
      <c r="I93" s="683"/>
      <c r="J93" s="683"/>
      <c r="K93" s="1060"/>
      <c r="L93" s="1060"/>
    </row>
    <row r="94" spans="3:12" ht="15" customHeight="1">
      <c r="I94" s="683"/>
      <c r="J94" s="683"/>
      <c r="K94" s="1060"/>
      <c r="L94" s="1060"/>
    </row>
    <row r="95" spans="3:12" ht="15" customHeight="1">
      <c r="I95" s="683"/>
      <c r="J95" s="683"/>
      <c r="K95" s="1060"/>
      <c r="L95" s="1060"/>
    </row>
    <row r="96" spans="3:12" ht="15" customHeight="1">
      <c r="I96" s="683"/>
      <c r="J96" s="683"/>
      <c r="K96" s="1060"/>
      <c r="L96" s="1060"/>
    </row>
    <row r="97" spans="9:12" ht="15" customHeight="1">
      <c r="I97" s="683"/>
      <c r="J97" s="683"/>
      <c r="K97" s="1060"/>
      <c r="L97" s="1060"/>
    </row>
    <row r="98" spans="9:12" ht="15" customHeight="1">
      <c r="I98" s="683"/>
      <c r="J98" s="683"/>
      <c r="K98" s="1060"/>
      <c r="L98" s="1060"/>
    </row>
    <row r="99" spans="9:12" ht="15" customHeight="1">
      <c r="I99" s="683"/>
      <c r="J99" s="683"/>
      <c r="K99" s="1060"/>
      <c r="L99" s="1060"/>
    </row>
    <row r="100" spans="9:12" ht="15" customHeight="1">
      <c r="I100" s="683"/>
      <c r="J100" s="683"/>
      <c r="K100" s="1060"/>
      <c r="L100" s="1060"/>
    </row>
    <row r="101" spans="9:12" ht="15" customHeight="1">
      <c r="I101" s="683"/>
      <c r="J101" s="683"/>
      <c r="K101" s="1060"/>
      <c r="L101" s="1060"/>
    </row>
    <row r="102" spans="9:12" ht="15" customHeight="1">
      <c r="I102" s="683"/>
      <c r="J102" s="683"/>
      <c r="K102" s="1060"/>
      <c r="L102" s="1060"/>
    </row>
    <row r="103" spans="9:12" ht="15" customHeight="1">
      <c r="I103" s="683"/>
      <c r="J103" s="683"/>
      <c r="K103" s="1060"/>
      <c r="L103" s="1060"/>
    </row>
    <row r="104" spans="9:12" ht="15" customHeight="1">
      <c r="I104" s="683"/>
      <c r="J104" s="683"/>
      <c r="K104" s="1060"/>
      <c r="L104" s="1060"/>
    </row>
    <row r="105" spans="9:12" ht="15" customHeight="1">
      <c r="I105" s="683"/>
      <c r="J105" s="683"/>
      <c r="K105" s="1060"/>
      <c r="L105" s="1060"/>
    </row>
    <row r="106" spans="9:12" ht="15" customHeight="1">
      <c r="I106" s="683"/>
      <c r="J106" s="683"/>
      <c r="K106" s="1060"/>
      <c r="L106" s="1060"/>
    </row>
    <row r="107" spans="9:12" ht="15" customHeight="1">
      <c r="I107" s="683"/>
      <c r="J107" s="683"/>
      <c r="K107" s="1060"/>
      <c r="L107" s="1060"/>
    </row>
    <row r="108" spans="9:12" ht="15" customHeight="1">
      <c r="I108" s="683"/>
      <c r="J108" s="683"/>
      <c r="K108" s="1060"/>
      <c r="L108" s="1060"/>
    </row>
    <row r="109" spans="9:12" ht="15" customHeight="1">
      <c r="I109" s="683"/>
      <c r="J109" s="683"/>
      <c r="K109" s="1060"/>
      <c r="L109" s="1060"/>
    </row>
    <row r="110" spans="9:12" ht="15" customHeight="1">
      <c r="I110" s="683"/>
      <c r="J110" s="683"/>
      <c r="K110" s="1060"/>
      <c r="L110" s="1060"/>
    </row>
    <row r="111" spans="9:12" ht="15" customHeight="1">
      <c r="I111" s="683"/>
      <c r="J111" s="683"/>
      <c r="K111" s="1060"/>
      <c r="L111" s="1060"/>
    </row>
    <row r="112" spans="9:12" ht="15" customHeight="1">
      <c r="I112" s="683"/>
      <c r="J112" s="683"/>
      <c r="K112" s="1060"/>
      <c r="L112" s="1060"/>
    </row>
    <row r="113" spans="9:12" ht="15" customHeight="1">
      <c r="I113" s="683"/>
      <c r="J113" s="683"/>
      <c r="K113" s="1060"/>
      <c r="L113" s="1060"/>
    </row>
    <row r="114" spans="9:12" ht="15" customHeight="1">
      <c r="I114" s="683"/>
      <c r="J114" s="683"/>
      <c r="K114" s="1060"/>
      <c r="L114" s="1060"/>
    </row>
    <row r="115" spans="9:12" ht="15" customHeight="1">
      <c r="I115" s="683"/>
      <c r="J115" s="683"/>
      <c r="K115" s="1060"/>
      <c r="L115" s="1060"/>
    </row>
    <row r="116" spans="9:12" ht="15" customHeight="1">
      <c r="I116" s="683"/>
      <c r="J116" s="683"/>
      <c r="K116" s="1060"/>
      <c r="L116" s="1060"/>
    </row>
    <row r="117" spans="9:12" ht="15" customHeight="1">
      <c r="I117" s="683"/>
      <c r="J117" s="683"/>
      <c r="K117" s="1060"/>
      <c r="L117" s="1060"/>
    </row>
    <row r="118" spans="9:12" ht="15" customHeight="1">
      <c r="I118" s="683"/>
      <c r="J118" s="683"/>
      <c r="K118" s="1060"/>
      <c r="L118" s="1060"/>
    </row>
    <row r="119" spans="9:12" ht="15" customHeight="1">
      <c r="I119" s="683"/>
      <c r="J119" s="683"/>
      <c r="K119" s="1060"/>
      <c r="L119" s="1060"/>
    </row>
    <row r="120" spans="9:12" ht="15" customHeight="1">
      <c r="I120" s="683"/>
      <c r="J120" s="683"/>
      <c r="K120" s="1060"/>
      <c r="L120" s="1060"/>
    </row>
    <row r="121" spans="9:12" ht="15" customHeight="1">
      <c r="I121" s="683"/>
      <c r="J121" s="683"/>
      <c r="K121" s="1060"/>
      <c r="L121" s="1060"/>
    </row>
    <row r="122" spans="9:12" ht="15" customHeight="1">
      <c r="I122" s="683"/>
      <c r="J122" s="683"/>
      <c r="K122" s="1060"/>
      <c r="L122" s="1060"/>
    </row>
    <row r="123" spans="9:12" ht="15" customHeight="1">
      <c r="I123" s="683"/>
      <c r="J123" s="683"/>
      <c r="K123" s="1060"/>
      <c r="L123" s="1060"/>
    </row>
    <row r="124" spans="9:12" ht="15" customHeight="1">
      <c r="I124" s="683"/>
      <c r="J124" s="683"/>
      <c r="K124" s="1060"/>
      <c r="L124" s="1060"/>
    </row>
    <row r="125" spans="9:12" ht="15" customHeight="1">
      <c r="I125" s="683"/>
      <c r="J125" s="683"/>
      <c r="K125" s="1060"/>
      <c r="L125" s="1060"/>
    </row>
    <row r="126" spans="9:12" ht="15" customHeight="1">
      <c r="I126" s="683"/>
      <c r="J126" s="683"/>
      <c r="K126" s="1060"/>
      <c r="L126" s="1060"/>
    </row>
    <row r="127" spans="9:12" ht="15" customHeight="1">
      <c r="I127" s="683"/>
      <c r="J127" s="683"/>
      <c r="K127" s="1060"/>
      <c r="L127" s="1060"/>
    </row>
    <row r="128" spans="9:12" ht="15" customHeight="1">
      <c r="I128" s="683"/>
      <c r="J128" s="683"/>
      <c r="K128" s="1060"/>
      <c r="L128" s="1060"/>
    </row>
    <row r="129" spans="9:12" ht="15" customHeight="1">
      <c r="I129" s="683"/>
      <c r="J129" s="683"/>
      <c r="K129" s="1060"/>
      <c r="L129" s="1060"/>
    </row>
    <row r="130" spans="9:12" ht="15" customHeight="1">
      <c r="I130" s="683"/>
      <c r="J130" s="683"/>
      <c r="K130" s="1060"/>
      <c r="L130" s="1060"/>
    </row>
    <row r="131" spans="9:12" ht="15" customHeight="1">
      <c r="I131" s="683"/>
      <c r="J131" s="683"/>
      <c r="K131" s="1060"/>
      <c r="L131" s="1060"/>
    </row>
    <row r="132" spans="9:12" ht="15" customHeight="1">
      <c r="I132" s="683"/>
      <c r="J132" s="683"/>
      <c r="K132" s="1060"/>
      <c r="L132" s="1060"/>
    </row>
    <row r="133" spans="9:12" ht="15" customHeight="1">
      <c r="I133" s="683"/>
      <c r="J133" s="683"/>
      <c r="K133" s="1060"/>
      <c r="L133" s="1060"/>
    </row>
    <row r="134" spans="9:12" ht="15" customHeight="1">
      <c r="I134" s="683"/>
      <c r="J134" s="683"/>
      <c r="K134" s="1060"/>
      <c r="L134" s="1060"/>
    </row>
    <row r="135" spans="9:12" ht="15" customHeight="1">
      <c r="I135" s="683"/>
      <c r="J135" s="683"/>
      <c r="K135" s="1060"/>
      <c r="L135" s="1060"/>
    </row>
    <row r="136" spans="9:12" ht="15" customHeight="1">
      <c r="I136" s="683"/>
      <c r="J136" s="683"/>
      <c r="K136" s="1060"/>
      <c r="L136" s="1060"/>
    </row>
    <row r="137" spans="9:12" ht="15" customHeight="1">
      <c r="I137" s="683"/>
      <c r="J137" s="683"/>
      <c r="K137" s="1060"/>
      <c r="L137" s="1060"/>
    </row>
    <row r="138" spans="9:12" ht="15" customHeight="1">
      <c r="I138" s="683"/>
      <c r="J138" s="683"/>
      <c r="K138" s="1060"/>
      <c r="L138" s="1060"/>
    </row>
    <row r="139" spans="9:12" ht="15" customHeight="1">
      <c r="I139" s="683"/>
      <c r="J139" s="683"/>
      <c r="K139" s="1060"/>
      <c r="L139" s="1060"/>
    </row>
    <row r="140" spans="9:12" ht="15" customHeight="1">
      <c r="I140" s="683"/>
      <c r="J140" s="683"/>
      <c r="K140" s="1060"/>
      <c r="L140" s="1060"/>
    </row>
    <row r="141" spans="9:12" ht="15" customHeight="1">
      <c r="I141" s="683"/>
      <c r="J141" s="683"/>
      <c r="K141" s="1060"/>
      <c r="L141" s="1060"/>
    </row>
    <row r="142" spans="9:12" ht="15" customHeight="1">
      <c r="I142" s="683"/>
      <c r="J142" s="683"/>
      <c r="K142" s="1060"/>
      <c r="L142" s="1060"/>
    </row>
    <row r="143" spans="9:12" ht="15" customHeight="1">
      <c r="I143" s="683"/>
      <c r="J143" s="683"/>
      <c r="K143" s="1060"/>
      <c r="L143" s="1060"/>
    </row>
    <row r="144" spans="9:12" ht="15" customHeight="1">
      <c r="I144" s="683"/>
      <c r="J144" s="683"/>
      <c r="K144" s="1060"/>
      <c r="L144" s="1060"/>
    </row>
    <row r="145" spans="9:12" ht="15" customHeight="1">
      <c r="I145" s="683"/>
      <c r="J145" s="683"/>
      <c r="K145" s="1060"/>
      <c r="L145" s="1060"/>
    </row>
    <row r="146" spans="9:12" ht="15" customHeight="1">
      <c r="I146" s="683"/>
      <c r="J146" s="683"/>
      <c r="K146" s="1060"/>
      <c r="L146" s="1060"/>
    </row>
    <row r="147" spans="9:12" ht="15" customHeight="1">
      <c r="I147" s="683"/>
      <c r="J147" s="683"/>
      <c r="K147" s="1060"/>
      <c r="L147" s="1060"/>
    </row>
    <row r="148" spans="9:12" ht="15" customHeight="1">
      <c r="I148" s="683"/>
      <c r="J148" s="683"/>
      <c r="K148" s="1060"/>
      <c r="L148" s="1060"/>
    </row>
    <row r="149" spans="9:12" ht="15" customHeight="1">
      <c r="I149" s="683"/>
      <c r="J149" s="683"/>
      <c r="K149" s="1060"/>
      <c r="L149" s="1060"/>
    </row>
    <row r="150" spans="9:12" ht="15" customHeight="1">
      <c r="I150" s="683"/>
      <c r="J150" s="683"/>
      <c r="K150" s="1060"/>
      <c r="L150" s="1060"/>
    </row>
    <row r="151" spans="9:12" ht="15" customHeight="1">
      <c r="I151" s="683"/>
      <c r="J151" s="683"/>
      <c r="K151" s="1060"/>
      <c r="L151" s="1060"/>
    </row>
    <row r="152" spans="9:12" ht="15" customHeight="1">
      <c r="I152" s="683"/>
      <c r="J152" s="683"/>
      <c r="K152" s="1060"/>
      <c r="L152" s="1060"/>
    </row>
    <row r="153" spans="9:12" ht="15" customHeight="1">
      <c r="I153" s="683"/>
      <c r="J153" s="683"/>
      <c r="K153" s="1060"/>
      <c r="L153" s="1060"/>
    </row>
    <row r="154" spans="9:12" ht="15" customHeight="1">
      <c r="I154" s="683"/>
      <c r="J154" s="683"/>
      <c r="K154" s="1060"/>
      <c r="L154" s="1060"/>
    </row>
    <row r="155" spans="9:12" ht="15" customHeight="1">
      <c r="I155" s="683"/>
      <c r="J155" s="683"/>
      <c r="K155" s="1060"/>
      <c r="L155" s="1060"/>
    </row>
    <row r="156" spans="9:12" ht="15" customHeight="1">
      <c r="I156" s="683"/>
      <c r="J156" s="683"/>
      <c r="K156" s="1060"/>
      <c r="L156" s="1060"/>
    </row>
    <row r="157" spans="9:12" ht="15" customHeight="1">
      <c r="I157" s="683"/>
      <c r="J157" s="683"/>
      <c r="K157" s="1060"/>
      <c r="L157" s="1060"/>
    </row>
    <row r="158" spans="9:12" ht="15" customHeight="1">
      <c r="I158" s="683"/>
      <c r="J158" s="683"/>
      <c r="K158" s="1060"/>
      <c r="L158" s="1060"/>
    </row>
    <row r="159" spans="9:12" ht="15" customHeight="1">
      <c r="I159" s="683"/>
      <c r="J159" s="683"/>
      <c r="K159" s="1060"/>
      <c r="L159" s="1060"/>
    </row>
    <row r="160" spans="9:12" ht="15" customHeight="1">
      <c r="I160" s="683"/>
      <c r="J160" s="683"/>
      <c r="K160" s="1060"/>
      <c r="L160" s="1060"/>
    </row>
    <row r="161" spans="9:12" ht="15" customHeight="1">
      <c r="I161" s="683"/>
      <c r="J161" s="683"/>
      <c r="K161" s="1060"/>
      <c r="L161" s="1060"/>
    </row>
    <row r="162" spans="9:12" ht="15" customHeight="1">
      <c r="I162" s="683"/>
      <c r="J162" s="683"/>
      <c r="K162" s="1060"/>
      <c r="L162" s="1060"/>
    </row>
    <row r="163" spans="9:12" ht="15" customHeight="1">
      <c r="I163" s="683"/>
      <c r="J163" s="683"/>
      <c r="K163" s="1060"/>
      <c r="L163" s="1060"/>
    </row>
    <row r="164" spans="9:12" ht="15" customHeight="1">
      <c r="I164" s="683"/>
      <c r="J164" s="683"/>
      <c r="K164" s="1060"/>
      <c r="L164" s="1060"/>
    </row>
    <row r="165" spans="9:12" ht="15" customHeight="1">
      <c r="I165" s="683"/>
      <c r="J165" s="683"/>
      <c r="K165" s="1060"/>
      <c r="L165" s="1060"/>
    </row>
    <row r="166" spans="9:12" ht="15" customHeight="1">
      <c r="I166" s="683"/>
      <c r="J166" s="683"/>
      <c r="K166" s="1060"/>
      <c r="L166" s="1060"/>
    </row>
    <row r="167" spans="9:12" ht="15" customHeight="1">
      <c r="I167" s="683"/>
      <c r="J167" s="683"/>
      <c r="K167" s="1060"/>
      <c r="L167" s="1060"/>
    </row>
    <row r="168" spans="9:12" ht="15" customHeight="1">
      <c r="I168" s="683"/>
      <c r="J168" s="683"/>
      <c r="K168" s="1060"/>
      <c r="L168" s="1060"/>
    </row>
    <row r="169" spans="9:12" ht="15" customHeight="1">
      <c r="I169" s="683"/>
      <c r="J169" s="683"/>
      <c r="K169" s="1060"/>
      <c r="L169" s="1060"/>
    </row>
    <row r="170" spans="9:12" ht="15" customHeight="1">
      <c r="I170" s="683"/>
      <c r="J170" s="683"/>
      <c r="K170" s="1060"/>
      <c r="L170" s="1060"/>
    </row>
    <row r="171" spans="9:12" ht="15" customHeight="1">
      <c r="I171" s="683"/>
      <c r="J171" s="683"/>
      <c r="K171" s="1060"/>
      <c r="L171" s="1060"/>
    </row>
    <row r="172" spans="9:12" ht="15" customHeight="1">
      <c r="I172" s="683"/>
      <c r="J172" s="683"/>
      <c r="K172" s="1060"/>
      <c r="L172" s="1060"/>
    </row>
    <row r="173" spans="9:12" ht="15" customHeight="1">
      <c r="I173" s="683"/>
      <c r="J173" s="683"/>
      <c r="K173" s="1060"/>
      <c r="L173" s="1060"/>
    </row>
    <row r="174" spans="9:12" ht="15" customHeight="1">
      <c r="I174" s="683"/>
      <c r="J174" s="683"/>
      <c r="K174" s="1060"/>
      <c r="L174" s="1060"/>
    </row>
    <row r="175" spans="9:12" ht="15" customHeight="1">
      <c r="I175" s="683"/>
      <c r="J175" s="683"/>
      <c r="K175" s="1060"/>
      <c r="L175" s="1060"/>
    </row>
    <row r="176" spans="9:12" ht="15" customHeight="1">
      <c r="I176" s="683"/>
      <c r="J176" s="683"/>
      <c r="K176" s="1060"/>
      <c r="L176" s="1060"/>
    </row>
    <row r="177" spans="9:12" ht="15" customHeight="1">
      <c r="I177" s="683"/>
      <c r="J177" s="683"/>
      <c r="K177" s="1060"/>
      <c r="L177" s="1060"/>
    </row>
    <row r="178" spans="9:12" ht="15" customHeight="1">
      <c r="I178" s="683"/>
      <c r="J178" s="683"/>
      <c r="K178" s="1060"/>
      <c r="L178" s="1060"/>
    </row>
    <row r="179" spans="9:12" ht="15" customHeight="1">
      <c r="I179" s="683"/>
      <c r="J179" s="683"/>
      <c r="K179" s="1060"/>
      <c r="L179" s="1060"/>
    </row>
    <row r="180" spans="9:12" ht="15" customHeight="1">
      <c r="I180" s="683"/>
      <c r="J180" s="683"/>
      <c r="K180" s="1060"/>
      <c r="L180" s="1060"/>
    </row>
    <row r="181" spans="9:12" ht="15" customHeight="1">
      <c r="I181" s="683"/>
      <c r="J181" s="683"/>
      <c r="K181" s="1060"/>
      <c r="L181" s="1060"/>
    </row>
    <row r="182" spans="9:12" ht="15" customHeight="1">
      <c r="I182" s="683"/>
      <c r="J182" s="683"/>
      <c r="K182" s="1060"/>
      <c r="L182" s="1060"/>
    </row>
    <row r="183" spans="9:12" ht="15" customHeight="1">
      <c r="I183" s="683"/>
      <c r="J183" s="683"/>
      <c r="K183" s="1060"/>
      <c r="L183" s="1060"/>
    </row>
    <row r="184" spans="9:12" ht="15" customHeight="1">
      <c r="I184" s="683"/>
      <c r="J184" s="683"/>
      <c r="K184" s="1060"/>
      <c r="L184" s="1060"/>
    </row>
    <row r="185" spans="9:12" ht="15" customHeight="1">
      <c r="I185" s="683"/>
      <c r="J185" s="683"/>
      <c r="K185" s="1060"/>
      <c r="L185" s="1060"/>
    </row>
    <row r="186" spans="9:12" ht="15" customHeight="1">
      <c r="I186" s="683"/>
      <c r="J186" s="683"/>
      <c r="K186" s="1060"/>
      <c r="L186" s="1060"/>
    </row>
    <row r="187" spans="9:12" ht="15" customHeight="1">
      <c r="I187" s="683"/>
      <c r="J187" s="683"/>
      <c r="K187" s="1060"/>
      <c r="L187" s="1060"/>
    </row>
    <row r="188" spans="9:12" ht="15" customHeight="1">
      <c r="I188" s="683"/>
      <c r="J188" s="683"/>
      <c r="K188" s="1060"/>
      <c r="L188" s="1060"/>
    </row>
    <row r="189" spans="9:12" ht="15" customHeight="1">
      <c r="I189" s="683"/>
      <c r="J189" s="683"/>
      <c r="K189" s="1060"/>
      <c r="L189" s="1060"/>
    </row>
    <row r="190" spans="9:12" ht="15" customHeight="1">
      <c r="I190" s="683"/>
      <c r="J190" s="683"/>
      <c r="K190" s="1060"/>
      <c r="L190" s="1060"/>
    </row>
    <row r="191" spans="9:12" ht="15" customHeight="1">
      <c r="I191" s="683"/>
      <c r="J191" s="683"/>
      <c r="K191" s="1060"/>
      <c r="L191" s="1060"/>
    </row>
    <row r="192" spans="9:12" ht="15" customHeight="1">
      <c r="I192" s="683"/>
      <c r="J192" s="683"/>
      <c r="K192" s="1060"/>
      <c r="L192" s="1060"/>
    </row>
    <row r="193" spans="9:12" ht="15" customHeight="1">
      <c r="I193" s="683"/>
      <c r="J193" s="683"/>
      <c r="K193" s="1060"/>
      <c r="L193" s="1060"/>
    </row>
    <row r="194" spans="9:12" ht="15" customHeight="1">
      <c r="I194" s="683"/>
      <c r="J194" s="683"/>
      <c r="K194" s="1060"/>
      <c r="L194" s="1060"/>
    </row>
    <row r="195" spans="9:12" ht="15" customHeight="1">
      <c r="I195" s="683"/>
      <c r="J195" s="683"/>
      <c r="K195" s="1060"/>
      <c r="L195" s="1060"/>
    </row>
    <row r="196" spans="9:12" ht="15" customHeight="1">
      <c r="I196" s="683"/>
      <c r="J196" s="683"/>
      <c r="K196" s="1060"/>
      <c r="L196" s="1060"/>
    </row>
    <row r="197" spans="9:12" ht="15" customHeight="1">
      <c r="I197" s="683"/>
      <c r="J197" s="683"/>
      <c r="K197" s="1060"/>
      <c r="L197" s="1060"/>
    </row>
    <row r="198" spans="9:12" ht="15" customHeight="1">
      <c r="I198" s="683"/>
      <c r="J198" s="683"/>
      <c r="K198" s="1060"/>
      <c r="L198" s="1060"/>
    </row>
    <row r="199" spans="9:12" ht="15" customHeight="1">
      <c r="I199" s="683"/>
      <c r="J199" s="683"/>
      <c r="K199" s="1060"/>
      <c r="L199" s="1060"/>
    </row>
    <row r="200" spans="9:12" ht="15" customHeight="1">
      <c r="I200" s="683"/>
      <c r="J200" s="683"/>
      <c r="K200" s="1060"/>
      <c r="L200" s="1060"/>
    </row>
    <row r="201" spans="9:12" ht="15" customHeight="1">
      <c r="I201" s="683"/>
      <c r="J201" s="683"/>
      <c r="K201" s="1060"/>
      <c r="L201" s="1060"/>
    </row>
    <row r="202" spans="9:12" ht="15" customHeight="1">
      <c r="I202" s="683"/>
      <c r="J202" s="683"/>
      <c r="K202" s="1060"/>
      <c r="L202" s="1060"/>
    </row>
    <row r="203" spans="9:12" ht="15" customHeight="1">
      <c r="I203" s="683"/>
      <c r="J203" s="683"/>
      <c r="K203" s="1060"/>
      <c r="L203" s="1060"/>
    </row>
    <row r="204" spans="9:12" ht="15" customHeight="1">
      <c r="I204" s="683"/>
      <c r="J204" s="683"/>
      <c r="K204" s="1060"/>
      <c r="L204" s="1060"/>
    </row>
    <row r="205" spans="9:12" ht="15" customHeight="1">
      <c r="I205" s="683"/>
      <c r="J205" s="683"/>
      <c r="K205" s="1060"/>
      <c r="L205" s="1060"/>
    </row>
    <row r="206" spans="9:12" ht="15" customHeight="1">
      <c r="I206" s="683"/>
      <c r="J206" s="683"/>
      <c r="K206" s="1060"/>
      <c r="L206" s="1060"/>
    </row>
    <row r="207" spans="9:12" ht="15" customHeight="1">
      <c r="I207" s="683"/>
      <c r="J207" s="683"/>
      <c r="K207" s="1060"/>
      <c r="L207" s="1060"/>
    </row>
    <row r="208" spans="9:12" ht="15" customHeight="1">
      <c r="I208" s="683"/>
      <c r="J208" s="683"/>
      <c r="K208" s="1060"/>
      <c r="L208" s="1060"/>
    </row>
    <row r="209" spans="9:12" ht="15" customHeight="1">
      <c r="I209" s="683"/>
      <c r="J209" s="683"/>
      <c r="K209" s="1060"/>
      <c r="L209" s="1060"/>
    </row>
    <row r="210" spans="9:12" ht="15" customHeight="1">
      <c r="I210" s="683"/>
      <c r="J210" s="683"/>
      <c r="K210" s="1060"/>
      <c r="L210" s="1060"/>
    </row>
    <row r="211" spans="9:12" ht="15" customHeight="1">
      <c r="I211" s="683"/>
      <c r="J211" s="683"/>
      <c r="K211" s="1060"/>
      <c r="L211" s="1060"/>
    </row>
    <row r="212" spans="9:12" ht="15" customHeight="1">
      <c r="I212" s="683"/>
      <c r="J212" s="683"/>
      <c r="K212" s="1060"/>
      <c r="L212" s="1060"/>
    </row>
    <row r="213" spans="9:12" ht="15" customHeight="1">
      <c r="I213" s="683"/>
      <c r="J213" s="683"/>
      <c r="K213" s="1060"/>
      <c r="L213" s="1060"/>
    </row>
    <row r="214" spans="9:12" ht="15" customHeight="1">
      <c r="I214" s="683"/>
      <c r="J214" s="683"/>
      <c r="K214" s="1060"/>
      <c r="L214" s="1060"/>
    </row>
    <row r="215" spans="9:12" ht="15" customHeight="1">
      <c r="I215" s="683"/>
      <c r="J215" s="683"/>
      <c r="K215" s="1060"/>
      <c r="L215" s="1060"/>
    </row>
    <row r="216" spans="9:12" ht="15" customHeight="1">
      <c r="I216" s="683"/>
      <c r="J216" s="683"/>
      <c r="K216" s="1060"/>
      <c r="L216" s="1060"/>
    </row>
    <row r="217" spans="9:12" ht="15" customHeight="1">
      <c r="I217" s="683"/>
      <c r="J217" s="683"/>
      <c r="K217" s="1060"/>
      <c r="L217" s="1060"/>
    </row>
    <row r="218" spans="9:12" ht="15" customHeight="1">
      <c r="I218" s="683"/>
      <c r="J218" s="683"/>
      <c r="K218" s="1060"/>
      <c r="L218" s="1060"/>
    </row>
    <row r="219" spans="9:12" ht="15" customHeight="1">
      <c r="I219" s="683"/>
      <c r="J219" s="683"/>
      <c r="K219" s="1060"/>
      <c r="L219" s="1060"/>
    </row>
    <row r="220" spans="9:12" ht="15" customHeight="1">
      <c r="I220" s="683"/>
      <c r="J220" s="683"/>
      <c r="K220" s="1060"/>
      <c r="L220" s="1060"/>
    </row>
    <row r="221" spans="9:12" ht="15" customHeight="1">
      <c r="I221" s="683"/>
      <c r="J221" s="683"/>
      <c r="K221" s="1060"/>
      <c r="L221" s="1060"/>
    </row>
    <row r="222" spans="9:12" ht="15" customHeight="1">
      <c r="I222" s="683"/>
      <c r="J222" s="683"/>
      <c r="K222" s="1060"/>
      <c r="L222" s="1060"/>
    </row>
    <row r="223" spans="9:12" ht="15" customHeight="1">
      <c r="I223" s="683"/>
      <c r="J223" s="683"/>
      <c r="K223" s="1060"/>
      <c r="L223" s="1060"/>
    </row>
    <row r="224" spans="9:12" ht="15" customHeight="1">
      <c r="I224" s="683"/>
      <c r="J224" s="683"/>
      <c r="K224" s="1060"/>
      <c r="L224" s="1060"/>
    </row>
    <row r="225" spans="9:12" ht="15" customHeight="1">
      <c r="I225" s="683"/>
      <c r="J225" s="683"/>
      <c r="K225" s="1060"/>
      <c r="L225" s="1060"/>
    </row>
    <row r="226" spans="9:12" ht="15" customHeight="1">
      <c r="I226" s="683"/>
      <c r="J226" s="683"/>
      <c r="K226" s="1060"/>
      <c r="L226" s="1060"/>
    </row>
    <row r="227" spans="9:12" ht="15" customHeight="1">
      <c r="I227" s="683"/>
      <c r="J227" s="683"/>
      <c r="K227" s="1060"/>
      <c r="L227" s="1060"/>
    </row>
    <row r="228" spans="9:12" ht="15" customHeight="1">
      <c r="I228" s="683"/>
      <c r="J228" s="683"/>
      <c r="K228" s="1060"/>
      <c r="L228" s="1060"/>
    </row>
    <row r="229" spans="9:12" ht="15" customHeight="1">
      <c r="I229" s="683"/>
      <c r="J229" s="683"/>
      <c r="K229" s="1060"/>
      <c r="L229" s="1060"/>
    </row>
    <row r="230" spans="9:12" ht="15" customHeight="1">
      <c r="I230" s="683"/>
      <c r="J230" s="683"/>
      <c r="K230" s="1060"/>
      <c r="L230" s="1060"/>
    </row>
    <row r="231" spans="9:12" ht="15" customHeight="1">
      <c r="I231" s="683"/>
      <c r="J231" s="683"/>
      <c r="K231" s="1060"/>
      <c r="L231" s="1060"/>
    </row>
    <row r="232" spans="9:12" ht="15" customHeight="1">
      <c r="I232" s="683"/>
      <c r="J232" s="683"/>
      <c r="K232" s="1060"/>
      <c r="L232" s="1060"/>
    </row>
    <row r="233" spans="9:12" ht="15" customHeight="1">
      <c r="I233" s="683"/>
      <c r="J233" s="683"/>
      <c r="K233" s="1060"/>
      <c r="L233" s="1060"/>
    </row>
    <row r="234" spans="9:12" ht="15" customHeight="1">
      <c r="I234" s="683"/>
      <c r="J234" s="683"/>
      <c r="K234" s="1060"/>
      <c r="L234" s="1060"/>
    </row>
    <row r="235" spans="9:12" ht="15" customHeight="1">
      <c r="I235" s="683"/>
      <c r="J235" s="683"/>
      <c r="K235" s="1060"/>
      <c r="L235" s="1060"/>
    </row>
    <row r="236" spans="9:12" ht="15" customHeight="1">
      <c r="I236" s="683"/>
      <c r="J236" s="683"/>
      <c r="K236" s="1060"/>
      <c r="L236" s="1060"/>
    </row>
    <row r="237" spans="9:12" ht="15" customHeight="1">
      <c r="I237" s="683"/>
      <c r="J237" s="683"/>
      <c r="K237" s="1060"/>
      <c r="L237" s="1060"/>
    </row>
    <row r="238" spans="9:12" ht="15" customHeight="1">
      <c r="I238" s="683"/>
      <c r="J238" s="683"/>
      <c r="K238" s="1060"/>
      <c r="L238" s="1060"/>
    </row>
    <row r="239" spans="9:12" ht="15" customHeight="1">
      <c r="I239" s="683"/>
      <c r="J239" s="683"/>
      <c r="K239" s="1060"/>
      <c r="L239" s="1060"/>
    </row>
    <row r="240" spans="9:12" ht="15" customHeight="1">
      <c r="I240" s="683"/>
      <c r="J240" s="683"/>
      <c r="K240" s="1060"/>
      <c r="L240" s="1060"/>
    </row>
    <row r="241" spans="9:12" ht="15" customHeight="1">
      <c r="I241" s="683"/>
      <c r="J241" s="683"/>
      <c r="K241" s="1060"/>
      <c r="L241" s="1060"/>
    </row>
    <row r="242" spans="9:12" ht="15" customHeight="1">
      <c r="I242" s="683"/>
      <c r="J242" s="683"/>
      <c r="K242" s="1060"/>
      <c r="L242" s="1060"/>
    </row>
    <row r="243" spans="9:12" ht="15" customHeight="1">
      <c r="I243" s="683"/>
      <c r="J243" s="683"/>
      <c r="K243" s="1060"/>
      <c r="L243" s="1060"/>
    </row>
    <row r="244" spans="9:12" ht="15" customHeight="1">
      <c r="I244" s="683"/>
      <c r="J244" s="683"/>
      <c r="K244" s="1060"/>
      <c r="L244" s="1060"/>
    </row>
    <row r="245" spans="9:12" ht="15" customHeight="1">
      <c r="I245" s="683"/>
      <c r="J245" s="683"/>
      <c r="K245" s="1060"/>
      <c r="L245" s="1060"/>
    </row>
    <row r="246" spans="9:12" ht="15" customHeight="1">
      <c r="I246" s="683"/>
      <c r="J246" s="683"/>
      <c r="K246" s="1060"/>
      <c r="L246" s="1060"/>
    </row>
    <row r="247" spans="9:12" ht="15" customHeight="1">
      <c r="I247" s="683"/>
      <c r="J247" s="683"/>
      <c r="K247" s="1060"/>
      <c r="L247" s="1060"/>
    </row>
    <row r="248" spans="9:12" ht="15" customHeight="1">
      <c r="I248" s="683"/>
      <c r="J248" s="683"/>
      <c r="K248" s="1060"/>
      <c r="L248" s="1060"/>
    </row>
    <row r="249" spans="9:12" ht="15" customHeight="1">
      <c r="I249" s="683"/>
      <c r="J249" s="683"/>
      <c r="K249" s="1060"/>
      <c r="L249" s="1060"/>
    </row>
    <row r="250" spans="9:12" ht="15" customHeight="1">
      <c r="I250" s="683"/>
      <c r="J250" s="683"/>
      <c r="K250" s="1060"/>
      <c r="L250" s="1060"/>
    </row>
    <row r="251" spans="9:12" ht="15" customHeight="1">
      <c r="I251" s="683"/>
      <c r="J251" s="683"/>
      <c r="K251" s="1060"/>
      <c r="L251" s="1060"/>
    </row>
    <row r="252" spans="9:12" ht="15" customHeight="1">
      <c r="I252" s="683"/>
      <c r="J252" s="683"/>
      <c r="K252" s="1060"/>
      <c r="L252" s="1060"/>
    </row>
    <row r="253" spans="9:12" ht="15" customHeight="1">
      <c r="I253" s="683"/>
      <c r="J253" s="683"/>
      <c r="K253" s="1060"/>
      <c r="L253" s="1060"/>
    </row>
    <row r="254" spans="9:12" ht="15" customHeight="1">
      <c r="I254" s="683"/>
      <c r="J254" s="683"/>
      <c r="K254" s="1060"/>
      <c r="L254" s="1060"/>
    </row>
    <row r="255" spans="9:12" ht="15" customHeight="1">
      <c r="I255" s="683"/>
      <c r="J255" s="683"/>
      <c r="K255" s="1060"/>
      <c r="L255" s="1060"/>
    </row>
    <row r="256" spans="9:12" ht="15" customHeight="1">
      <c r="I256" s="683"/>
      <c r="J256" s="683"/>
      <c r="K256" s="1060"/>
      <c r="L256" s="1060"/>
    </row>
    <row r="257" spans="9:23" ht="15" customHeight="1">
      <c r="I257" s="683"/>
      <c r="J257" s="683"/>
      <c r="K257" s="1060"/>
      <c r="L257" s="1060"/>
    </row>
    <row r="258" spans="9:23" ht="15" customHeight="1">
      <c r="I258" s="683"/>
      <c r="J258" s="683"/>
      <c r="K258" s="1060"/>
      <c r="L258" s="1060"/>
      <c r="W258" s="2313"/>
    </row>
    <row r="259" spans="9:23" ht="15" customHeight="1">
      <c r="I259" s="683"/>
      <c r="J259" s="683"/>
      <c r="K259" s="1060"/>
      <c r="L259" s="1060"/>
    </row>
    <row r="260" spans="9:23" ht="15" customHeight="1">
      <c r="I260" s="683"/>
      <c r="J260" s="683"/>
      <c r="K260" s="1060"/>
      <c r="L260" s="1060"/>
    </row>
    <row r="261" spans="9:23" ht="15" customHeight="1">
      <c r="I261" s="683"/>
      <c r="J261" s="683"/>
      <c r="K261" s="1060"/>
      <c r="L261" s="1060"/>
    </row>
    <row r="262" spans="9:23" ht="15" customHeight="1">
      <c r="I262" s="683"/>
      <c r="J262" s="683"/>
      <c r="K262" s="1060"/>
      <c r="L262" s="1060"/>
    </row>
    <row r="263" spans="9:23" ht="15" customHeight="1">
      <c r="I263" s="683"/>
      <c r="J263" s="683"/>
      <c r="K263" s="1060"/>
      <c r="L263" s="1060"/>
    </row>
    <row r="264" spans="9:23" ht="15" customHeight="1">
      <c r="I264" s="683"/>
      <c r="J264" s="683"/>
      <c r="K264" s="1060"/>
      <c r="L264" s="1060"/>
    </row>
    <row r="265" spans="9:23" ht="15" customHeight="1">
      <c r="I265" s="683"/>
      <c r="J265" s="683"/>
      <c r="K265" s="1060"/>
      <c r="L265" s="1060"/>
    </row>
    <row r="266" spans="9:23" ht="15" customHeight="1">
      <c r="I266" s="683"/>
      <c r="J266" s="683"/>
      <c r="K266" s="1060"/>
      <c r="L266" s="1060"/>
    </row>
    <row r="267" spans="9:23" ht="15" customHeight="1">
      <c r="I267" s="683"/>
      <c r="J267" s="683"/>
      <c r="K267" s="1060"/>
      <c r="L267" s="1060"/>
    </row>
    <row r="268" spans="9:23" ht="15" customHeight="1">
      <c r="I268" s="683"/>
      <c r="J268" s="683"/>
      <c r="K268" s="1060"/>
      <c r="L268" s="1060"/>
    </row>
    <row r="269" spans="9:23" ht="15" customHeight="1">
      <c r="I269" s="683"/>
      <c r="J269" s="683"/>
      <c r="K269" s="1060"/>
      <c r="L269" s="1060"/>
    </row>
    <row r="270" spans="9:23" ht="15" customHeight="1">
      <c r="I270" s="683"/>
      <c r="J270" s="683"/>
      <c r="K270" s="1060"/>
      <c r="L270" s="1060"/>
    </row>
    <row r="271" spans="9:23" ht="15" customHeight="1">
      <c r="I271" s="683"/>
      <c r="J271" s="683"/>
      <c r="K271" s="1060"/>
      <c r="L271" s="1060"/>
    </row>
    <row r="272" spans="9:23" ht="15" customHeight="1">
      <c r="I272" s="683"/>
      <c r="J272" s="683"/>
      <c r="K272" s="1060"/>
      <c r="L272" s="1060"/>
    </row>
    <row r="273" spans="9:12" ht="15" customHeight="1">
      <c r="I273" s="683"/>
      <c r="J273" s="683"/>
      <c r="K273" s="1060"/>
      <c r="L273" s="1060"/>
    </row>
    <row r="274" spans="9:12" ht="15" customHeight="1">
      <c r="I274" s="683"/>
      <c r="J274" s="683"/>
      <c r="K274" s="1060"/>
      <c r="L274" s="1060"/>
    </row>
    <row r="275" spans="9:12" ht="15" customHeight="1">
      <c r="I275" s="683"/>
      <c r="J275" s="683"/>
      <c r="K275" s="1060"/>
      <c r="L275" s="1060"/>
    </row>
    <row r="276" spans="9:12" ht="15" customHeight="1">
      <c r="I276" s="683"/>
      <c r="J276" s="683"/>
      <c r="K276" s="1060"/>
      <c r="L276" s="1060"/>
    </row>
    <row r="277" spans="9:12" ht="15" customHeight="1">
      <c r="I277" s="683"/>
      <c r="J277" s="683"/>
      <c r="K277" s="1060"/>
      <c r="L277" s="1060"/>
    </row>
    <row r="278" spans="9:12" ht="15" customHeight="1">
      <c r="I278" s="683"/>
      <c r="J278" s="683"/>
      <c r="K278" s="1060"/>
      <c r="L278" s="1060"/>
    </row>
    <row r="279" spans="9:12" ht="15" customHeight="1">
      <c r="I279" s="683"/>
      <c r="J279" s="683"/>
      <c r="K279" s="1060"/>
      <c r="L279" s="1060"/>
    </row>
    <row r="280" spans="9:12" ht="15" customHeight="1">
      <c r="I280" s="683"/>
      <c r="J280" s="683"/>
      <c r="K280" s="1060"/>
      <c r="L280" s="1060"/>
    </row>
    <row r="281" spans="9:12" ht="15" customHeight="1">
      <c r="I281" s="683"/>
      <c r="J281" s="683"/>
      <c r="K281" s="1060"/>
      <c r="L281" s="1060"/>
    </row>
    <row r="282" spans="9:12" ht="15" customHeight="1">
      <c r="I282" s="683"/>
      <c r="J282" s="683"/>
      <c r="K282" s="1060"/>
      <c r="L282" s="1060"/>
    </row>
    <row r="283" spans="9:12" ht="15" customHeight="1">
      <c r="I283" s="683"/>
      <c r="J283" s="683"/>
      <c r="K283" s="1060"/>
      <c r="L283" s="1060"/>
    </row>
    <row r="284" spans="9:12" ht="15" customHeight="1">
      <c r="I284" s="683"/>
      <c r="J284" s="683"/>
      <c r="K284" s="1060"/>
      <c r="L284" s="1060"/>
    </row>
    <row r="285" spans="9:12" ht="15" customHeight="1">
      <c r="I285" s="683"/>
      <c r="J285" s="683"/>
      <c r="K285" s="1060"/>
      <c r="L285" s="1060"/>
    </row>
    <row r="286" spans="9:12" ht="15" customHeight="1">
      <c r="I286" s="683"/>
      <c r="J286" s="683"/>
      <c r="K286" s="1060"/>
      <c r="L286" s="1060"/>
    </row>
    <row r="287" spans="9:12" ht="15" customHeight="1">
      <c r="I287" s="683"/>
      <c r="J287" s="683"/>
      <c r="K287" s="1060"/>
      <c r="L287" s="1060"/>
    </row>
    <row r="288" spans="9:12" ht="15" customHeight="1">
      <c r="I288" s="683"/>
      <c r="J288" s="683"/>
      <c r="K288" s="1060"/>
      <c r="L288" s="1060"/>
    </row>
    <row r="289" spans="9:12" ht="15" customHeight="1">
      <c r="I289" s="683"/>
      <c r="J289" s="683"/>
      <c r="K289" s="1060"/>
      <c r="L289" s="1060"/>
    </row>
    <row r="290" spans="9:12" ht="15" customHeight="1">
      <c r="I290" s="683"/>
      <c r="J290" s="683"/>
      <c r="K290" s="1060"/>
      <c r="L290" s="1060"/>
    </row>
    <row r="291" spans="9:12" ht="15" customHeight="1">
      <c r="I291" s="683"/>
      <c r="J291" s="683"/>
      <c r="K291" s="1060"/>
      <c r="L291" s="1060"/>
    </row>
    <row r="292" spans="9:12" ht="15" customHeight="1">
      <c r="I292" s="683"/>
      <c r="J292" s="683"/>
      <c r="K292" s="1060"/>
      <c r="L292" s="1060"/>
    </row>
    <row r="293" spans="9:12" ht="15" customHeight="1">
      <c r="I293" s="683"/>
      <c r="J293" s="683"/>
      <c r="K293" s="1060"/>
      <c r="L293" s="1060"/>
    </row>
    <row r="294" spans="9:12" ht="15" customHeight="1">
      <c r="I294" s="683"/>
      <c r="J294" s="683"/>
      <c r="K294" s="1060"/>
      <c r="L294" s="1060"/>
    </row>
    <row r="295" spans="9:12" ht="15" customHeight="1">
      <c r="I295" s="683"/>
      <c r="J295" s="683"/>
      <c r="K295" s="1060"/>
      <c r="L295" s="1060"/>
    </row>
    <row r="296" spans="9:12" ht="15" customHeight="1">
      <c r="I296" s="683"/>
      <c r="J296" s="683"/>
      <c r="K296" s="1060"/>
      <c r="L296" s="1060"/>
    </row>
    <row r="297" spans="9:12" ht="15" customHeight="1">
      <c r="I297" s="683"/>
      <c r="J297" s="683"/>
      <c r="K297" s="1060"/>
      <c r="L297" s="1060"/>
    </row>
    <row r="298" spans="9:12" ht="15" customHeight="1">
      <c r="I298" s="683"/>
      <c r="J298" s="683"/>
      <c r="K298" s="1060"/>
      <c r="L298" s="1060"/>
    </row>
    <row r="299" spans="9:12" ht="15" customHeight="1">
      <c r="I299" s="683"/>
      <c r="J299" s="683"/>
      <c r="K299" s="1060"/>
      <c r="L299" s="1060"/>
    </row>
    <row r="300" spans="9:12" ht="15" customHeight="1">
      <c r="I300" s="683"/>
      <c r="J300" s="683"/>
      <c r="K300" s="1060"/>
      <c r="L300" s="1060"/>
    </row>
    <row r="301" spans="9:12" ht="15" customHeight="1">
      <c r="I301" s="683"/>
      <c r="J301" s="683"/>
      <c r="K301" s="1060"/>
      <c r="L301" s="1060"/>
    </row>
    <row r="302" spans="9:12" ht="15" customHeight="1">
      <c r="I302" s="683"/>
      <c r="J302" s="683"/>
      <c r="K302" s="1060"/>
      <c r="L302" s="1060"/>
    </row>
    <row r="303" spans="9:12" ht="15" customHeight="1">
      <c r="I303" s="683"/>
      <c r="J303" s="683"/>
      <c r="K303" s="1060"/>
      <c r="L303" s="1060"/>
    </row>
    <row r="304" spans="9:12" ht="15" customHeight="1">
      <c r="I304" s="683"/>
      <c r="J304" s="683"/>
      <c r="K304" s="1060"/>
      <c r="L304" s="1060"/>
    </row>
    <row r="305" spans="9:12" ht="15" customHeight="1">
      <c r="I305" s="683"/>
      <c r="J305" s="683"/>
      <c r="K305" s="1060"/>
      <c r="L305" s="1060"/>
    </row>
    <row r="306" spans="9:12" ht="15" customHeight="1">
      <c r="I306" s="683"/>
      <c r="J306" s="683"/>
      <c r="K306" s="1060"/>
      <c r="L306" s="1060"/>
    </row>
    <row r="307" spans="9:12" ht="15" customHeight="1">
      <c r="I307" s="683"/>
      <c r="J307" s="683"/>
      <c r="K307" s="1060"/>
      <c r="L307" s="1060"/>
    </row>
    <row r="308" spans="9:12" ht="15" customHeight="1">
      <c r="I308" s="683"/>
      <c r="J308" s="683"/>
      <c r="K308" s="1060"/>
      <c r="L308" s="1060"/>
    </row>
    <row r="309" spans="9:12" ht="15" customHeight="1">
      <c r="I309" s="683"/>
      <c r="J309" s="683"/>
      <c r="K309" s="1060"/>
      <c r="L309" s="1060"/>
    </row>
    <row r="310" spans="9:12" ht="15" customHeight="1">
      <c r="I310" s="683"/>
      <c r="J310" s="683"/>
      <c r="K310" s="1060"/>
      <c r="L310" s="1060"/>
    </row>
    <row r="311" spans="9:12" ht="15" customHeight="1">
      <c r="I311" s="683"/>
      <c r="J311" s="683"/>
      <c r="K311" s="1060"/>
      <c r="L311" s="1060"/>
    </row>
    <row r="312" spans="9:12" ht="15" customHeight="1">
      <c r="I312" s="683"/>
      <c r="J312" s="683"/>
      <c r="K312" s="1060"/>
      <c r="L312" s="1060"/>
    </row>
    <row r="313" spans="9:12" ht="15" customHeight="1">
      <c r="I313" s="683"/>
      <c r="J313" s="683"/>
      <c r="K313" s="1060"/>
      <c r="L313" s="1060"/>
    </row>
    <row r="314" spans="9:12" ht="15" customHeight="1">
      <c r="I314" s="683"/>
      <c r="J314" s="683"/>
      <c r="K314" s="1060"/>
      <c r="L314" s="1060"/>
    </row>
    <row r="315" spans="9:12" ht="15" customHeight="1">
      <c r="I315" s="683"/>
      <c r="J315" s="683"/>
      <c r="K315" s="1060"/>
      <c r="L315" s="1060"/>
    </row>
    <row r="316" spans="9:12" ht="15" customHeight="1">
      <c r="I316" s="683"/>
      <c r="J316" s="683"/>
      <c r="K316" s="1060"/>
      <c r="L316" s="1060"/>
    </row>
    <row r="317" spans="9:12" ht="15" customHeight="1">
      <c r="I317" s="683"/>
      <c r="J317" s="683"/>
      <c r="K317" s="1060"/>
      <c r="L317" s="1060"/>
    </row>
    <row r="318" spans="9:12" ht="15" customHeight="1">
      <c r="I318" s="683"/>
      <c r="J318" s="683"/>
      <c r="K318" s="1060"/>
      <c r="L318" s="1060"/>
    </row>
    <row r="319" spans="9:12" ht="15" customHeight="1">
      <c r="I319" s="683"/>
      <c r="J319" s="683"/>
      <c r="K319" s="1060"/>
      <c r="L319" s="1060"/>
    </row>
    <row r="320" spans="9:12" ht="15" customHeight="1">
      <c r="I320" s="683"/>
      <c r="J320" s="683"/>
      <c r="K320" s="1060"/>
      <c r="L320" s="1060"/>
    </row>
    <row r="321" spans="9:12" ht="15" customHeight="1">
      <c r="I321" s="683"/>
      <c r="J321" s="683"/>
      <c r="K321" s="1060"/>
      <c r="L321" s="1060"/>
    </row>
    <row r="322" spans="9:12" ht="15" customHeight="1">
      <c r="I322" s="683"/>
      <c r="J322" s="683"/>
      <c r="K322" s="1060"/>
      <c r="L322" s="1060"/>
    </row>
    <row r="323" spans="9:12" ht="15" customHeight="1">
      <c r="I323" s="683"/>
      <c r="J323" s="683"/>
      <c r="K323" s="1060"/>
      <c r="L323" s="1060"/>
    </row>
    <row r="324" spans="9:12" ht="15" customHeight="1">
      <c r="I324" s="683"/>
      <c r="J324" s="683"/>
      <c r="K324" s="1060"/>
      <c r="L324" s="1060"/>
    </row>
    <row r="325" spans="9:12" ht="15" customHeight="1">
      <c r="I325" s="683"/>
      <c r="J325" s="683"/>
      <c r="K325" s="1060"/>
      <c r="L325" s="1060"/>
    </row>
    <row r="326" spans="9:12" ht="15" customHeight="1">
      <c r="I326" s="683"/>
      <c r="J326" s="683"/>
      <c r="K326" s="1060"/>
      <c r="L326" s="1060"/>
    </row>
    <row r="327" spans="9:12" ht="15" customHeight="1">
      <c r="I327" s="683"/>
      <c r="J327" s="683"/>
      <c r="K327" s="1060"/>
      <c r="L327" s="1060"/>
    </row>
    <row r="328" spans="9:12" ht="15" customHeight="1">
      <c r="I328" s="683"/>
      <c r="J328" s="683"/>
      <c r="K328" s="1060"/>
      <c r="L328" s="1060"/>
    </row>
    <row r="329" spans="9:12" ht="15" customHeight="1">
      <c r="I329" s="683"/>
      <c r="J329" s="683"/>
      <c r="K329" s="1060"/>
      <c r="L329" s="1060"/>
    </row>
    <row r="330" spans="9:12" ht="15" customHeight="1">
      <c r="I330" s="683"/>
      <c r="J330" s="683"/>
      <c r="K330" s="1060"/>
      <c r="L330" s="1060"/>
    </row>
    <row r="331" spans="9:12" ht="15" customHeight="1">
      <c r="I331" s="683"/>
      <c r="J331" s="683"/>
      <c r="K331" s="1060"/>
      <c r="L331" s="1060"/>
    </row>
    <row r="332" spans="9:12" ht="15" customHeight="1">
      <c r="I332" s="683"/>
      <c r="J332" s="683"/>
      <c r="K332" s="1060"/>
      <c r="L332" s="1060"/>
    </row>
    <row r="333" spans="9:12" ht="15" customHeight="1">
      <c r="I333" s="683"/>
      <c r="J333" s="683"/>
      <c r="K333" s="1060"/>
      <c r="L333" s="1060"/>
    </row>
    <row r="334" spans="9:12" ht="15" customHeight="1">
      <c r="I334" s="683"/>
      <c r="J334" s="683"/>
      <c r="K334" s="1060"/>
      <c r="L334" s="1060"/>
    </row>
    <row r="335" spans="9:12" ht="15" customHeight="1">
      <c r="I335" s="683"/>
      <c r="J335" s="683"/>
      <c r="K335" s="1060"/>
      <c r="L335" s="1060"/>
    </row>
    <row r="336" spans="9:12" ht="15" customHeight="1">
      <c r="I336" s="683"/>
      <c r="J336" s="683"/>
      <c r="K336" s="1060"/>
      <c r="L336" s="1060"/>
    </row>
    <row r="337" spans="9:12" ht="15" customHeight="1">
      <c r="I337" s="683"/>
      <c r="J337" s="683"/>
      <c r="K337" s="1060"/>
      <c r="L337" s="1060"/>
    </row>
    <row r="338" spans="9:12" ht="15" customHeight="1">
      <c r="I338" s="683"/>
      <c r="J338" s="683"/>
      <c r="K338" s="1060"/>
      <c r="L338" s="1060"/>
    </row>
    <row r="339" spans="9:12" ht="15" customHeight="1">
      <c r="I339" s="683"/>
      <c r="J339" s="683"/>
      <c r="K339" s="1060"/>
      <c r="L339" s="1060"/>
    </row>
    <row r="340" spans="9:12" ht="15" customHeight="1">
      <c r="I340" s="683"/>
      <c r="J340" s="683"/>
      <c r="K340" s="1060"/>
      <c r="L340" s="1060"/>
    </row>
    <row r="341" spans="9:12" ht="15" customHeight="1">
      <c r="I341" s="683"/>
      <c r="J341" s="683"/>
      <c r="K341" s="1060"/>
      <c r="L341" s="1060"/>
    </row>
    <row r="342" spans="9:12" ht="15" customHeight="1">
      <c r="I342" s="683"/>
      <c r="J342" s="683"/>
      <c r="K342" s="1060"/>
      <c r="L342" s="1060"/>
    </row>
    <row r="343" spans="9:12" ht="15" customHeight="1">
      <c r="I343" s="683"/>
      <c r="J343" s="683"/>
      <c r="K343" s="1060"/>
      <c r="L343" s="1060"/>
    </row>
    <row r="344" spans="9:12" ht="15" customHeight="1">
      <c r="I344" s="683"/>
      <c r="J344" s="683"/>
      <c r="K344" s="1060"/>
      <c r="L344" s="1060"/>
    </row>
    <row r="345" spans="9:12" ht="15" customHeight="1">
      <c r="I345" s="683"/>
      <c r="J345" s="683"/>
      <c r="K345" s="1060"/>
      <c r="L345" s="1060"/>
    </row>
    <row r="346" spans="9:12" ht="15" customHeight="1">
      <c r="I346" s="683"/>
      <c r="J346" s="683"/>
      <c r="K346" s="1060"/>
      <c r="L346" s="1060"/>
    </row>
    <row r="347" spans="9:12" ht="15" customHeight="1">
      <c r="I347" s="683"/>
      <c r="J347" s="683"/>
      <c r="K347" s="1060"/>
      <c r="L347" s="1060"/>
    </row>
    <row r="348" spans="9:12" ht="15" customHeight="1">
      <c r="I348" s="683"/>
      <c r="J348" s="683"/>
      <c r="K348" s="1060"/>
      <c r="L348" s="1060"/>
    </row>
    <row r="349" spans="9:12" ht="15" customHeight="1">
      <c r="I349" s="683"/>
      <c r="J349" s="683"/>
      <c r="K349" s="1060"/>
      <c r="L349" s="1060"/>
    </row>
    <row r="350" spans="9:12" ht="15" customHeight="1">
      <c r="I350" s="683"/>
      <c r="J350" s="683"/>
      <c r="K350" s="1060"/>
      <c r="L350" s="1060"/>
    </row>
    <row r="351" spans="9:12" ht="15" customHeight="1">
      <c r="I351" s="683"/>
      <c r="J351" s="683"/>
      <c r="K351" s="1060"/>
      <c r="L351" s="1060"/>
    </row>
    <row r="352" spans="9:12" ht="15" customHeight="1">
      <c r="I352" s="683"/>
      <c r="J352" s="683"/>
      <c r="K352" s="1060"/>
      <c r="L352" s="1060"/>
    </row>
    <row r="353" spans="9:12" ht="15" customHeight="1">
      <c r="I353" s="683"/>
      <c r="J353" s="683"/>
      <c r="K353" s="1060"/>
      <c r="L353" s="1060"/>
    </row>
    <row r="354" spans="9:12" ht="15" customHeight="1">
      <c r="I354" s="683"/>
      <c r="J354" s="683"/>
      <c r="K354" s="1060"/>
      <c r="L354" s="1060"/>
    </row>
    <row r="355" spans="9:12" ht="15" customHeight="1">
      <c r="I355" s="683"/>
      <c r="J355" s="683"/>
      <c r="K355" s="1060"/>
      <c r="L355" s="1060"/>
    </row>
    <row r="356" spans="9:12" ht="15" customHeight="1">
      <c r="I356" s="683"/>
      <c r="J356" s="683"/>
      <c r="K356" s="1060"/>
      <c r="L356" s="1060"/>
    </row>
    <row r="357" spans="9:12" ht="15" customHeight="1">
      <c r="I357" s="683"/>
      <c r="J357" s="683"/>
      <c r="K357" s="1060"/>
      <c r="L357" s="1060"/>
    </row>
    <row r="358" spans="9:12" ht="15" customHeight="1">
      <c r="I358" s="683"/>
      <c r="J358" s="683"/>
      <c r="K358" s="1060"/>
      <c r="L358" s="1060"/>
    </row>
    <row r="359" spans="9:12" ht="15" customHeight="1">
      <c r="I359" s="683"/>
      <c r="J359" s="683"/>
      <c r="K359" s="1060"/>
      <c r="L359" s="1060"/>
    </row>
    <row r="360" spans="9:12" ht="15" customHeight="1">
      <c r="I360" s="683"/>
      <c r="J360" s="683"/>
      <c r="K360" s="1060"/>
      <c r="L360" s="1060"/>
    </row>
    <row r="361" spans="9:12" ht="15" customHeight="1">
      <c r="I361" s="683"/>
      <c r="J361" s="683"/>
      <c r="K361" s="1060"/>
      <c r="L361" s="1060"/>
    </row>
    <row r="362" spans="9:12" ht="15" customHeight="1">
      <c r="I362" s="683"/>
      <c r="J362" s="683"/>
      <c r="K362" s="1060"/>
      <c r="L362" s="1060"/>
    </row>
    <row r="363" spans="9:12" ht="15" customHeight="1">
      <c r="I363" s="683"/>
      <c r="J363" s="683"/>
      <c r="K363" s="1060"/>
      <c r="L363" s="1060"/>
    </row>
    <row r="364" spans="9:12" ht="15" customHeight="1">
      <c r="I364" s="683"/>
      <c r="J364" s="683"/>
      <c r="K364" s="1060"/>
      <c r="L364" s="1060"/>
    </row>
    <row r="365" spans="9:12" ht="15" customHeight="1">
      <c r="I365" s="683"/>
      <c r="J365" s="683"/>
      <c r="K365" s="1060"/>
      <c r="L365" s="1060"/>
    </row>
    <row r="366" spans="9:12" ht="15" customHeight="1">
      <c r="I366" s="683"/>
      <c r="J366" s="683"/>
      <c r="K366" s="1060"/>
      <c r="L366" s="1060"/>
    </row>
    <row r="367" spans="9:12" ht="15" customHeight="1">
      <c r="I367" s="683"/>
      <c r="J367" s="683"/>
      <c r="K367" s="1060"/>
      <c r="L367" s="1060"/>
    </row>
    <row r="368" spans="9:12" ht="15" customHeight="1">
      <c r="I368" s="683"/>
      <c r="J368" s="683"/>
      <c r="K368" s="1060"/>
      <c r="L368" s="1060"/>
    </row>
    <row r="369" spans="9:12" ht="15" customHeight="1">
      <c r="I369" s="683"/>
      <c r="J369" s="683"/>
      <c r="K369" s="1060"/>
      <c r="L369" s="1060"/>
    </row>
    <row r="370" spans="9:12" ht="15" customHeight="1">
      <c r="I370" s="683"/>
      <c r="J370" s="683"/>
      <c r="K370" s="1060"/>
      <c r="L370" s="1060"/>
    </row>
    <row r="371" spans="9:12" ht="15" customHeight="1">
      <c r="I371" s="683"/>
      <c r="J371" s="683"/>
      <c r="K371" s="1060"/>
      <c r="L371" s="1060"/>
    </row>
    <row r="372" spans="9:12" ht="15" customHeight="1">
      <c r="I372" s="683"/>
      <c r="J372" s="683"/>
      <c r="K372" s="1060"/>
      <c r="L372" s="1060"/>
    </row>
    <row r="373" spans="9:12" ht="15" customHeight="1">
      <c r="I373" s="683"/>
      <c r="J373" s="683"/>
      <c r="K373" s="1060"/>
      <c r="L373" s="1060"/>
    </row>
    <row r="374" spans="9:12" ht="15" customHeight="1">
      <c r="I374" s="683"/>
      <c r="J374" s="683"/>
      <c r="K374" s="1060"/>
      <c r="L374" s="1060"/>
    </row>
    <row r="375" spans="9:12" ht="15" customHeight="1">
      <c r="I375" s="683"/>
      <c r="J375" s="683"/>
      <c r="K375" s="1060"/>
      <c r="L375" s="1060"/>
    </row>
    <row r="376" spans="9:12" ht="15" customHeight="1">
      <c r="I376" s="683"/>
      <c r="J376" s="683"/>
      <c r="K376" s="1060"/>
      <c r="L376" s="1060"/>
    </row>
    <row r="377" spans="9:12" ht="15" customHeight="1">
      <c r="I377" s="683"/>
      <c r="J377" s="683"/>
      <c r="K377" s="1060"/>
      <c r="L377" s="1060"/>
    </row>
    <row r="378" spans="9:12" ht="15" customHeight="1">
      <c r="I378" s="683"/>
      <c r="J378" s="683"/>
      <c r="K378" s="1060"/>
      <c r="L378" s="1060"/>
    </row>
    <row r="379" spans="9:12" ht="15" customHeight="1">
      <c r="I379" s="683"/>
      <c r="J379" s="683"/>
      <c r="K379" s="1060"/>
      <c r="L379" s="1060"/>
    </row>
    <row r="380" spans="9:12" ht="15" customHeight="1">
      <c r="I380" s="683"/>
      <c r="J380" s="683"/>
      <c r="K380" s="1060"/>
      <c r="L380" s="1060"/>
    </row>
    <row r="381" spans="9:12" ht="15" customHeight="1">
      <c r="I381" s="683"/>
      <c r="J381" s="683"/>
      <c r="K381" s="1060"/>
      <c r="L381" s="1060"/>
    </row>
    <row r="382" spans="9:12" ht="15" customHeight="1">
      <c r="I382" s="683"/>
      <c r="J382" s="683"/>
      <c r="K382" s="1060"/>
      <c r="L382" s="1060"/>
    </row>
    <row r="383" spans="9:12" ht="15" customHeight="1">
      <c r="I383" s="683"/>
      <c r="J383" s="683"/>
      <c r="K383" s="1060"/>
      <c r="L383" s="1060"/>
    </row>
    <row r="384" spans="9:12" ht="15" customHeight="1">
      <c r="I384" s="683"/>
      <c r="J384" s="683"/>
      <c r="K384" s="1060"/>
      <c r="L384" s="1060"/>
    </row>
    <row r="385" spans="9:12" ht="15" customHeight="1">
      <c r="I385" s="683"/>
      <c r="J385" s="683"/>
      <c r="K385" s="1060"/>
      <c r="L385" s="1060"/>
    </row>
    <row r="386" spans="9:12" ht="15" customHeight="1">
      <c r="I386" s="683"/>
      <c r="J386" s="683"/>
      <c r="K386" s="1060"/>
      <c r="L386" s="1060"/>
    </row>
    <row r="387" spans="9:12" ht="15" customHeight="1">
      <c r="I387" s="683"/>
      <c r="J387" s="683"/>
      <c r="K387" s="1060"/>
      <c r="L387" s="1060"/>
    </row>
    <row r="388" spans="9:12" ht="15" customHeight="1">
      <c r="I388" s="683"/>
      <c r="J388" s="683"/>
      <c r="K388" s="1060"/>
      <c r="L388" s="1060"/>
    </row>
    <row r="389" spans="9:12" ht="15" customHeight="1">
      <c r="I389" s="683"/>
      <c r="J389" s="683"/>
      <c r="K389" s="1060"/>
      <c r="L389" s="1060"/>
    </row>
    <row r="390" spans="9:12" ht="15" customHeight="1">
      <c r="I390" s="683"/>
      <c r="J390" s="683"/>
      <c r="K390" s="1060"/>
      <c r="L390" s="1060"/>
    </row>
    <row r="391" spans="9:12" ht="15" customHeight="1">
      <c r="I391" s="683"/>
      <c r="J391" s="683"/>
      <c r="K391" s="1060"/>
      <c r="L391" s="1060"/>
    </row>
    <row r="392" spans="9:12" ht="15" customHeight="1">
      <c r="I392" s="683"/>
      <c r="J392" s="683"/>
      <c r="K392" s="1060"/>
      <c r="L392" s="1060"/>
    </row>
    <row r="393" spans="9:12" ht="15" customHeight="1">
      <c r="I393" s="683"/>
      <c r="J393" s="683"/>
      <c r="K393" s="1060"/>
      <c r="L393" s="1060"/>
    </row>
    <row r="394" spans="9:12" ht="15" customHeight="1">
      <c r="I394" s="683"/>
      <c r="J394" s="683"/>
      <c r="K394" s="1060"/>
      <c r="L394" s="1060"/>
    </row>
    <row r="395" spans="9:12" ht="15" customHeight="1">
      <c r="I395" s="683"/>
      <c r="J395" s="683"/>
      <c r="K395" s="1060"/>
      <c r="L395" s="1060"/>
    </row>
    <row r="396" spans="9:12" ht="15" customHeight="1">
      <c r="I396" s="683"/>
      <c r="J396" s="683"/>
      <c r="K396" s="1060"/>
      <c r="L396" s="1060"/>
    </row>
    <row r="397" spans="9:12" ht="15" customHeight="1">
      <c r="I397" s="683"/>
      <c r="J397" s="683"/>
      <c r="K397" s="1060"/>
      <c r="L397" s="1060"/>
    </row>
    <row r="398" spans="9:12" ht="15" customHeight="1">
      <c r="I398" s="683"/>
      <c r="J398" s="683"/>
      <c r="K398" s="1060"/>
      <c r="L398" s="1060"/>
    </row>
    <row r="399" spans="9:12" ht="15" customHeight="1">
      <c r="I399" s="683"/>
      <c r="J399" s="683"/>
      <c r="K399" s="1060"/>
      <c r="L399" s="1060"/>
    </row>
    <row r="400" spans="9:12" ht="15" customHeight="1">
      <c r="I400" s="683"/>
      <c r="J400" s="683"/>
      <c r="K400" s="1060"/>
      <c r="L400" s="1060"/>
    </row>
    <row r="401" spans="9:12" ht="15" customHeight="1">
      <c r="I401" s="683"/>
      <c r="J401" s="683"/>
      <c r="K401" s="1060"/>
      <c r="L401" s="1060"/>
    </row>
    <row r="402" spans="9:12" ht="15" customHeight="1">
      <c r="I402" s="683"/>
      <c r="J402" s="683"/>
      <c r="K402" s="1060"/>
      <c r="L402" s="1060"/>
    </row>
    <row r="403" spans="9:12" ht="15" customHeight="1">
      <c r="I403" s="683"/>
      <c r="J403" s="683"/>
      <c r="K403" s="1060"/>
      <c r="L403" s="1060"/>
    </row>
    <row r="404" spans="9:12" ht="15" customHeight="1">
      <c r="I404" s="683"/>
      <c r="J404" s="683"/>
      <c r="K404" s="1060"/>
      <c r="L404" s="1060"/>
    </row>
    <row r="405" spans="9:12" ht="15" customHeight="1">
      <c r="I405" s="683"/>
      <c r="J405" s="683"/>
      <c r="K405" s="1060"/>
      <c r="L405" s="1060"/>
    </row>
    <row r="406" spans="9:12" ht="15" customHeight="1">
      <c r="I406" s="683"/>
      <c r="J406" s="683"/>
      <c r="K406" s="1060"/>
      <c r="L406" s="1060"/>
    </row>
    <row r="407" spans="9:12" ht="15" customHeight="1">
      <c r="I407" s="683"/>
      <c r="J407" s="683"/>
      <c r="K407" s="1060"/>
      <c r="L407" s="1060"/>
    </row>
    <row r="408" spans="9:12" ht="15" customHeight="1">
      <c r="I408" s="683"/>
      <c r="J408" s="683"/>
      <c r="K408" s="1060"/>
      <c r="L408" s="1060"/>
    </row>
    <row r="409" spans="9:12" ht="15" customHeight="1">
      <c r="I409" s="683"/>
      <c r="J409" s="683"/>
      <c r="K409" s="1060"/>
      <c r="L409" s="1060"/>
    </row>
    <row r="410" spans="9:12" ht="15" customHeight="1">
      <c r="I410" s="683"/>
      <c r="J410" s="683"/>
      <c r="K410" s="1060"/>
      <c r="L410" s="1060"/>
    </row>
    <row r="411" spans="9:12" ht="15" customHeight="1">
      <c r="I411" s="683"/>
      <c r="J411" s="683"/>
      <c r="K411" s="1060"/>
      <c r="L411" s="1060"/>
    </row>
    <row r="412" spans="9:12" ht="15" customHeight="1">
      <c r="I412" s="683"/>
      <c r="J412" s="683"/>
      <c r="K412" s="1060"/>
      <c r="L412" s="1060"/>
    </row>
    <row r="413" spans="9:12" ht="15" customHeight="1">
      <c r="I413" s="683"/>
      <c r="J413" s="683"/>
      <c r="K413" s="1060"/>
      <c r="L413" s="1060"/>
    </row>
    <row r="414" spans="9:12" ht="15" customHeight="1">
      <c r="I414" s="683"/>
      <c r="J414" s="683"/>
      <c r="K414" s="1060"/>
      <c r="L414" s="1060"/>
    </row>
    <row r="415" spans="9:12" ht="15" customHeight="1">
      <c r="I415" s="683"/>
      <c r="J415" s="683"/>
      <c r="K415" s="1060"/>
      <c r="L415" s="1060"/>
    </row>
    <row r="416" spans="9:12" ht="15" customHeight="1">
      <c r="I416" s="683"/>
      <c r="J416" s="683"/>
      <c r="K416" s="1060"/>
      <c r="L416" s="1060"/>
    </row>
    <row r="417" spans="9:12" ht="15" customHeight="1">
      <c r="I417" s="683"/>
      <c r="J417" s="683"/>
      <c r="K417" s="1060"/>
      <c r="L417" s="1060"/>
    </row>
    <row r="418" spans="9:12" ht="15" customHeight="1">
      <c r="I418" s="683"/>
      <c r="J418" s="683"/>
      <c r="K418" s="1060"/>
      <c r="L418" s="1060"/>
    </row>
    <row r="419" spans="9:12" ht="15" customHeight="1">
      <c r="I419" s="683"/>
      <c r="J419" s="683"/>
      <c r="K419" s="1060"/>
      <c r="L419" s="1060"/>
    </row>
    <row r="420" spans="9:12" ht="15" customHeight="1">
      <c r="I420" s="683"/>
      <c r="J420" s="683"/>
      <c r="K420" s="1060"/>
      <c r="L420" s="1060"/>
    </row>
    <row r="421" spans="9:12" ht="15" customHeight="1">
      <c r="I421" s="683"/>
      <c r="J421" s="683"/>
      <c r="K421" s="1060"/>
      <c r="L421" s="1060"/>
    </row>
    <row r="422" spans="9:12" ht="15" customHeight="1">
      <c r="I422" s="683"/>
      <c r="J422" s="683"/>
      <c r="K422" s="1060"/>
      <c r="L422" s="1060"/>
    </row>
    <row r="423" spans="9:12" ht="15" customHeight="1">
      <c r="I423" s="683"/>
      <c r="J423" s="683"/>
      <c r="K423" s="1060"/>
      <c r="L423" s="1060"/>
    </row>
    <row r="424" spans="9:12" ht="15" customHeight="1">
      <c r="I424" s="683"/>
      <c r="J424" s="683"/>
      <c r="K424" s="1060"/>
      <c r="L424" s="1060"/>
    </row>
    <row r="425" spans="9:12" ht="15" customHeight="1">
      <c r="I425" s="683"/>
      <c r="J425" s="683"/>
      <c r="K425" s="1060"/>
      <c r="L425" s="1060"/>
    </row>
    <row r="426" spans="9:12" ht="15" customHeight="1">
      <c r="I426" s="683"/>
      <c r="J426" s="683"/>
      <c r="K426" s="1060"/>
      <c r="L426" s="1060"/>
    </row>
    <row r="427" spans="9:12" ht="15" customHeight="1">
      <c r="I427" s="683"/>
      <c r="J427" s="683"/>
      <c r="K427" s="1060"/>
      <c r="L427" s="1060"/>
    </row>
    <row r="428" spans="9:12" ht="15" customHeight="1">
      <c r="I428" s="683"/>
      <c r="J428" s="683"/>
      <c r="K428" s="1060"/>
      <c r="L428" s="1060"/>
    </row>
    <row r="429" spans="9:12" ht="15" customHeight="1">
      <c r="I429" s="683"/>
      <c r="J429" s="683"/>
      <c r="K429" s="1060"/>
      <c r="L429" s="1060"/>
    </row>
    <row r="430" spans="9:12" ht="15" customHeight="1">
      <c r="I430" s="683"/>
      <c r="J430" s="683"/>
      <c r="K430" s="1060"/>
      <c r="L430" s="1060"/>
    </row>
    <row r="431" spans="9:12" ht="15" customHeight="1">
      <c r="I431" s="683"/>
      <c r="J431" s="683"/>
      <c r="K431" s="1060"/>
      <c r="L431" s="1060"/>
    </row>
    <row r="432" spans="9:12" ht="15" customHeight="1">
      <c r="I432" s="683"/>
      <c r="J432" s="683"/>
      <c r="K432" s="1060"/>
      <c r="L432" s="1060"/>
    </row>
    <row r="433" spans="9:12" ht="15" customHeight="1">
      <c r="I433" s="683"/>
      <c r="J433" s="683"/>
      <c r="K433" s="1060"/>
      <c r="L433" s="1060"/>
    </row>
    <row r="434" spans="9:12" ht="15" customHeight="1">
      <c r="I434" s="683"/>
      <c r="J434" s="683"/>
      <c r="K434" s="1060"/>
      <c r="L434" s="1060"/>
    </row>
    <row r="435" spans="9:12" ht="15" customHeight="1">
      <c r="I435" s="683"/>
      <c r="J435" s="683"/>
      <c r="K435" s="1060"/>
      <c r="L435" s="1060"/>
    </row>
    <row r="436" spans="9:12" ht="15" customHeight="1">
      <c r="I436" s="683"/>
      <c r="J436" s="683"/>
      <c r="K436" s="1060"/>
      <c r="L436" s="1060"/>
    </row>
    <row r="437" spans="9:12" ht="15" customHeight="1">
      <c r="I437" s="683"/>
      <c r="J437" s="683"/>
      <c r="K437" s="1060"/>
      <c r="L437" s="1060"/>
    </row>
    <row r="438" spans="9:12" ht="15" customHeight="1">
      <c r="I438" s="683"/>
      <c r="J438" s="683"/>
      <c r="K438" s="1060"/>
      <c r="L438" s="1060"/>
    </row>
    <row r="439" spans="9:12" ht="15" customHeight="1">
      <c r="I439" s="683"/>
      <c r="J439" s="683"/>
      <c r="K439" s="1060"/>
      <c r="L439" s="1060"/>
    </row>
    <row r="440" spans="9:12" ht="15" customHeight="1">
      <c r="I440" s="683"/>
      <c r="J440" s="683"/>
      <c r="K440" s="1060"/>
      <c r="L440" s="1060"/>
    </row>
    <row r="441" spans="9:12" ht="15" customHeight="1">
      <c r="I441" s="683"/>
      <c r="J441" s="683"/>
      <c r="K441" s="1060"/>
      <c r="L441" s="1060"/>
    </row>
    <row r="442" spans="9:12" ht="15" customHeight="1">
      <c r="I442" s="683"/>
      <c r="J442" s="683"/>
      <c r="K442" s="1060"/>
      <c r="L442" s="1060"/>
    </row>
    <row r="443" spans="9:12" ht="15" customHeight="1">
      <c r="I443" s="683"/>
      <c r="J443" s="683"/>
      <c r="K443" s="1060"/>
      <c r="L443" s="1060"/>
    </row>
    <row r="444" spans="9:12" ht="15" customHeight="1">
      <c r="I444" s="683"/>
      <c r="J444" s="683"/>
      <c r="K444" s="1060"/>
      <c r="L444" s="1060"/>
    </row>
    <row r="445" spans="9:12" ht="15" customHeight="1">
      <c r="I445" s="683"/>
      <c r="J445" s="683"/>
      <c r="K445" s="1060"/>
      <c r="L445" s="1060"/>
    </row>
    <row r="446" spans="9:12" ht="15" customHeight="1">
      <c r="I446" s="683"/>
      <c r="J446" s="683"/>
      <c r="K446" s="1060"/>
      <c r="L446" s="1060"/>
    </row>
    <row r="447" spans="9:12" ht="15" customHeight="1">
      <c r="I447" s="683"/>
      <c r="J447" s="683"/>
      <c r="K447" s="1060"/>
      <c r="L447" s="1060"/>
    </row>
    <row r="448" spans="9:12" ht="15" customHeight="1">
      <c r="I448" s="683"/>
      <c r="J448" s="683"/>
      <c r="K448" s="1060"/>
      <c r="L448" s="1060"/>
    </row>
    <row r="449" spans="9:12" ht="15" customHeight="1">
      <c r="I449" s="683"/>
      <c r="J449" s="683"/>
      <c r="K449" s="1060"/>
      <c r="L449" s="1060"/>
    </row>
    <row r="450" spans="9:12" ht="15" customHeight="1">
      <c r="I450" s="683"/>
      <c r="J450" s="683"/>
      <c r="K450" s="1060"/>
      <c r="L450" s="1060"/>
    </row>
    <row r="451" spans="9:12" ht="15" customHeight="1">
      <c r="I451" s="683"/>
      <c r="J451" s="683"/>
      <c r="K451" s="1060"/>
      <c r="L451" s="1060"/>
    </row>
    <row r="452" spans="9:12" ht="15" customHeight="1">
      <c r="I452" s="683"/>
      <c r="J452" s="683"/>
      <c r="K452" s="1060"/>
      <c r="L452" s="1060"/>
    </row>
    <row r="453" spans="9:12" ht="15" customHeight="1">
      <c r="I453" s="683"/>
      <c r="J453" s="683"/>
      <c r="K453" s="1060"/>
      <c r="L453" s="1060"/>
    </row>
    <row r="454" spans="9:12" ht="15" customHeight="1">
      <c r="I454" s="683"/>
      <c r="J454" s="683"/>
      <c r="K454" s="1060"/>
      <c r="L454" s="1060"/>
    </row>
    <row r="455" spans="9:12" ht="15" customHeight="1">
      <c r="I455" s="683"/>
      <c r="J455" s="683"/>
      <c r="K455" s="1060"/>
      <c r="L455" s="1060"/>
    </row>
    <row r="456" spans="9:12" ht="15" customHeight="1">
      <c r="I456" s="683"/>
      <c r="J456" s="683"/>
      <c r="K456" s="1060"/>
      <c r="L456" s="1060"/>
    </row>
    <row r="457" spans="9:12" ht="15" customHeight="1">
      <c r="I457" s="683"/>
      <c r="J457" s="683"/>
      <c r="K457" s="1060"/>
      <c r="L457" s="1060"/>
    </row>
    <row r="458" spans="9:12" ht="15" customHeight="1">
      <c r="I458" s="683"/>
      <c r="J458" s="683"/>
      <c r="K458" s="1060"/>
      <c r="L458" s="1060"/>
    </row>
    <row r="459" spans="9:12" ht="15" customHeight="1">
      <c r="I459" s="683"/>
      <c r="J459" s="683"/>
      <c r="K459" s="1060"/>
      <c r="L459" s="1060"/>
    </row>
    <row r="460" spans="9:12" ht="15" customHeight="1">
      <c r="I460" s="683"/>
      <c r="J460" s="683"/>
      <c r="K460" s="1060"/>
      <c r="L460" s="1060"/>
    </row>
    <row r="461" spans="9:12" ht="15" customHeight="1">
      <c r="I461" s="683"/>
      <c r="J461" s="683"/>
      <c r="K461" s="1060"/>
      <c r="L461" s="1060"/>
    </row>
    <row r="462" spans="9:12" ht="15" customHeight="1">
      <c r="I462" s="683"/>
      <c r="J462" s="683"/>
      <c r="K462" s="1060"/>
      <c r="L462" s="1060"/>
    </row>
    <row r="463" spans="9:12" ht="15" customHeight="1">
      <c r="I463" s="683"/>
      <c r="J463" s="683"/>
      <c r="K463" s="1060"/>
      <c r="L463" s="1060"/>
    </row>
    <row r="464" spans="9:12" ht="15" customHeight="1">
      <c r="I464" s="683"/>
      <c r="J464" s="683"/>
      <c r="K464" s="1060"/>
      <c r="L464" s="1060"/>
    </row>
    <row r="465" spans="9:12" ht="15" customHeight="1">
      <c r="I465" s="683"/>
      <c r="J465" s="683"/>
      <c r="K465" s="1060"/>
      <c r="L465" s="1060"/>
    </row>
    <row r="466" spans="9:12" ht="15" customHeight="1">
      <c r="I466" s="683"/>
      <c r="J466" s="683"/>
      <c r="K466" s="1060"/>
      <c r="L466" s="1060"/>
    </row>
    <row r="467" spans="9:12" ht="15" customHeight="1">
      <c r="I467" s="683"/>
      <c r="J467" s="683"/>
      <c r="K467" s="1060"/>
      <c r="L467" s="1060"/>
    </row>
    <row r="468" spans="9:12" ht="15" customHeight="1">
      <c r="I468" s="683"/>
      <c r="J468" s="683"/>
      <c r="K468" s="1060"/>
      <c r="L468" s="1060"/>
    </row>
    <row r="469" spans="9:12" ht="15" customHeight="1">
      <c r="I469" s="683"/>
      <c r="J469" s="683"/>
      <c r="K469" s="1060"/>
      <c r="L469" s="1060"/>
    </row>
    <row r="470" spans="9:12" ht="15" customHeight="1">
      <c r="I470" s="683"/>
      <c r="J470" s="683"/>
      <c r="K470" s="1060"/>
      <c r="L470" s="1060"/>
    </row>
    <row r="471" spans="9:12" ht="15" customHeight="1">
      <c r="I471" s="683"/>
      <c r="J471" s="683"/>
      <c r="K471" s="1060"/>
      <c r="L471" s="1060"/>
    </row>
    <row r="472" spans="9:12" ht="15" customHeight="1">
      <c r="I472" s="683"/>
      <c r="J472" s="683"/>
      <c r="K472" s="1060"/>
      <c r="L472" s="1060"/>
    </row>
    <row r="473" spans="9:12" ht="15" customHeight="1">
      <c r="I473" s="683"/>
      <c r="J473" s="683"/>
      <c r="K473" s="1060"/>
      <c r="L473" s="1060"/>
    </row>
    <row r="474" spans="9:12" ht="15" customHeight="1">
      <c r="I474" s="683"/>
      <c r="J474" s="683"/>
      <c r="K474" s="1060"/>
      <c r="L474" s="1060"/>
    </row>
    <row r="475" spans="9:12" ht="15" customHeight="1">
      <c r="I475" s="683"/>
      <c r="J475" s="683"/>
      <c r="K475" s="1060"/>
      <c r="L475" s="1060"/>
    </row>
    <row r="476" spans="9:12" ht="15" customHeight="1">
      <c r="I476" s="683"/>
      <c r="J476" s="683"/>
      <c r="K476" s="1060"/>
      <c r="L476" s="1060"/>
    </row>
    <row r="477" spans="9:12" ht="15" customHeight="1">
      <c r="I477" s="683"/>
      <c r="J477" s="683"/>
      <c r="K477" s="1060"/>
      <c r="L477" s="1060"/>
    </row>
    <row r="478" spans="9:12" ht="15" customHeight="1">
      <c r="I478" s="683"/>
      <c r="J478" s="683"/>
      <c r="K478" s="1060"/>
      <c r="L478" s="1060"/>
    </row>
    <row r="479" spans="9:12" ht="15" customHeight="1">
      <c r="I479" s="683"/>
      <c r="J479" s="683"/>
      <c r="K479" s="1060"/>
      <c r="L479" s="1060"/>
    </row>
    <row r="480" spans="9:12" ht="15" customHeight="1">
      <c r="I480" s="683"/>
      <c r="J480" s="683"/>
      <c r="K480" s="1060"/>
      <c r="L480" s="1060"/>
    </row>
    <row r="481" spans="9:12" ht="15" customHeight="1">
      <c r="I481" s="683"/>
      <c r="J481" s="683"/>
      <c r="K481" s="1060"/>
      <c r="L481" s="1060"/>
    </row>
    <row r="482" spans="9:12" ht="15" customHeight="1">
      <c r="I482" s="683"/>
      <c r="J482" s="683"/>
      <c r="K482" s="1060"/>
      <c r="L482" s="1060"/>
    </row>
    <row r="483" spans="9:12" ht="15" customHeight="1">
      <c r="I483" s="683"/>
      <c r="J483" s="683"/>
      <c r="K483" s="1060"/>
      <c r="L483" s="1060"/>
    </row>
    <row r="484" spans="9:12" ht="15" customHeight="1">
      <c r="I484" s="683"/>
      <c r="J484" s="683"/>
      <c r="K484" s="1060"/>
      <c r="L484" s="1060"/>
    </row>
    <row r="485" spans="9:12" ht="15" customHeight="1">
      <c r="I485" s="683"/>
      <c r="J485" s="683"/>
      <c r="K485" s="1060"/>
      <c r="L485" s="1060"/>
    </row>
    <row r="486" spans="9:12" ht="15" customHeight="1">
      <c r="I486" s="683"/>
      <c r="J486" s="683"/>
      <c r="K486" s="1060"/>
      <c r="L486" s="1060"/>
    </row>
    <row r="487" spans="9:12" ht="15" customHeight="1">
      <c r="I487" s="683"/>
      <c r="J487" s="683"/>
      <c r="K487" s="1060"/>
      <c r="L487" s="1060"/>
    </row>
    <row r="488" spans="9:12" ht="15" customHeight="1">
      <c r="I488" s="683"/>
      <c r="J488" s="683"/>
      <c r="K488" s="1060"/>
      <c r="L488" s="1060"/>
    </row>
    <row r="489" spans="9:12" ht="15" customHeight="1">
      <c r="I489" s="683"/>
      <c r="J489" s="683"/>
      <c r="K489" s="1060"/>
      <c r="L489" s="1060"/>
    </row>
    <row r="490" spans="9:12" ht="15" customHeight="1">
      <c r="I490" s="683"/>
      <c r="J490" s="683"/>
      <c r="K490" s="1060"/>
      <c r="L490" s="1060"/>
    </row>
    <row r="491" spans="9:12" ht="15" customHeight="1">
      <c r="I491" s="683"/>
      <c r="J491" s="683"/>
      <c r="K491" s="1060"/>
      <c r="L491" s="1060"/>
    </row>
    <row r="492" spans="9:12" ht="15" customHeight="1">
      <c r="I492" s="683"/>
      <c r="J492" s="683"/>
      <c r="K492" s="1060"/>
      <c r="L492" s="1060"/>
    </row>
    <row r="493" spans="9:12" ht="15" customHeight="1">
      <c r="I493" s="683"/>
      <c r="J493" s="683"/>
      <c r="K493" s="1060"/>
      <c r="L493" s="1060"/>
    </row>
    <row r="494" spans="9:12" ht="15" customHeight="1">
      <c r="I494" s="683"/>
      <c r="J494" s="683"/>
      <c r="K494" s="1060"/>
      <c r="L494" s="1060"/>
    </row>
    <row r="495" spans="9:12" ht="15" customHeight="1">
      <c r="I495" s="683"/>
      <c r="J495" s="683"/>
      <c r="K495" s="1060"/>
      <c r="L495" s="1060"/>
    </row>
    <row r="496" spans="9:12" ht="15" customHeight="1">
      <c r="I496" s="683"/>
      <c r="J496" s="683"/>
      <c r="K496" s="1060"/>
      <c r="L496" s="1060"/>
    </row>
    <row r="497" spans="9:12" ht="15" customHeight="1">
      <c r="I497" s="683"/>
      <c r="J497" s="683"/>
      <c r="K497" s="1060"/>
      <c r="L497" s="1060"/>
    </row>
    <row r="498" spans="9:12" ht="15" customHeight="1">
      <c r="I498" s="683"/>
      <c r="J498" s="683"/>
      <c r="K498" s="1060"/>
      <c r="L498" s="1060"/>
    </row>
    <row r="499" spans="9:12" ht="15" customHeight="1">
      <c r="I499" s="683"/>
      <c r="J499" s="683"/>
      <c r="K499" s="1060"/>
      <c r="L499" s="1060"/>
    </row>
    <row r="500" spans="9:12" ht="15" customHeight="1">
      <c r="I500" s="683"/>
      <c r="J500" s="683"/>
      <c r="K500" s="1060"/>
      <c r="L500" s="1060"/>
    </row>
    <row r="501" spans="9:12" ht="15" customHeight="1">
      <c r="I501" s="683"/>
      <c r="J501" s="683"/>
      <c r="K501" s="1060"/>
      <c r="L501" s="1060"/>
    </row>
    <row r="502" spans="9:12" ht="15" customHeight="1">
      <c r="I502" s="683"/>
      <c r="J502" s="683"/>
      <c r="K502" s="1060"/>
      <c r="L502" s="1060"/>
    </row>
    <row r="503" spans="9:12" ht="15" customHeight="1">
      <c r="I503" s="683"/>
      <c r="J503" s="683"/>
      <c r="K503" s="1060"/>
      <c r="L503" s="1060"/>
    </row>
    <row r="504" spans="9:12" ht="15" customHeight="1">
      <c r="I504" s="683"/>
      <c r="J504" s="683"/>
      <c r="K504" s="1060"/>
      <c r="L504" s="1060"/>
    </row>
    <row r="505" spans="9:12" ht="15" customHeight="1">
      <c r="I505" s="683"/>
      <c r="J505" s="683"/>
      <c r="K505" s="1060"/>
      <c r="L505" s="1060"/>
    </row>
    <row r="506" spans="9:12" ht="15" customHeight="1">
      <c r="I506" s="683"/>
      <c r="J506" s="683"/>
      <c r="K506" s="1060"/>
      <c r="L506" s="1060"/>
    </row>
    <row r="507" spans="9:12" ht="15" customHeight="1">
      <c r="I507" s="683"/>
      <c r="J507" s="683"/>
      <c r="K507" s="1060"/>
      <c r="L507" s="1060"/>
    </row>
    <row r="508" spans="9:12" ht="15" customHeight="1">
      <c r="I508" s="683"/>
      <c r="J508" s="683"/>
      <c r="K508" s="1060"/>
      <c r="L508" s="1060"/>
    </row>
    <row r="509" spans="9:12" ht="15" customHeight="1">
      <c r="I509" s="683"/>
      <c r="J509" s="683"/>
      <c r="K509" s="1060"/>
      <c r="L509" s="1060"/>
    </row>
    <row r="510" spans="9:12" ht="15" customHeight="1">
      <c r="I510" s="683"/>
      <c r="J510" s="683"/>
      <c r="K510" s="1060"/>
      <c r="L510" s="1060"/>
    </row>
    <row r="511" spans="9:12" ht="15" customHeight="1">
      <c r="I511" s="683"/>
      <c r="J511" s="683"/>
      <c r="K511" s="1060"/>
      <c r="L511" s="1060"/>
    </row>
    <row r="512" spans="9:12" ht="15" customHeight="1">
      <c r="I512" s="683"/>
      <c r="J512" s="683"/>
      <c r="K512" s="1060"/>
      <c r="L512" s="1060"/>
    </row>
    <row r="513" spans="9:12" ht="15" customHeight="1">
      <c r="I513" s="683"/>
      <c r="J513" s="683"/>
      <c r="K513" s="1060"/>
      <c r="L513" s="1060"/>
    </row>
    <row r="514" spans="9:12" ht="15" customHeight="1">
      <c r="I514" s="683"/>
      <c r="J514" s="683"/>
      <c r="K514" s="1060"/>
      <c r="L514" s="1060"/>
    </row>
    <row r="515" spans="9:12" ht="15" customHeight="1">
      <c r="I515" s="683"/>
      <c r="J515" s="683"/>
      <c r="K515" s="1060"/>
      <c r="L515" s="1060"/>
    </row>
    <row r="516" spans="9:12" ht="15" customHeight="1">
      <c r="I516" s="683"/>
      <c r="J516" s="683"/>
      <c r="K516" s="1060"/>
      <c r="L516" s="1060"/>
    </row>
    <row r="517" spans="9:12" ht="15" customHeight="1">
      <c r="I517" s="683"/>
      <c r="J517" s="683"/>
      <c r="K517" s="1060"/>
      <c r="L517" s="1060"/>
    </row>
    <row r="518" spans="9:12" ht="15" customHeight="1">
      <c r="I518" s="683"/>
      <c r="J518" s="683"/>
      <c r="K518" s="1060"/>
      <c r="L518" s="1060"/>
    </row>
    <row r="519" spans="9:12" ht="15" customHeight="1">
      <c r="I519" s="683"/>
      <c r="J519" s="683"/>
      <c r="K519" s="1060"/>
      <c r="L519" s="1060"/>
    </row>
    <row r="520" spans="9:12" ht="15" customHeight="1">
      <c r="I520" s="683"/>
      <c r="J520" s="683"/>
      <c r="K520" s="1060"/>
      <c r="L520" s="1060"/>
    </row>
    <row r="521" spans="9:12" ht="15" customHeight="1">
      <c r="I521" s="683"/>
      <c r="J521" s="683"/>
      <c r="K521" s="1060"/>
      <c r="L521" s="1060"/>
    </row>
    <row r="522" spans="9:12" ht="15" customHeight="1">
      <c r="I522" s="683"/>
      <c r="J522" s="683"/>
      <c r="K522" s="1060"/>
      <c r="L522" s="1060"/>
    </row>
    <row r="523" spans="9:12" ht="15" customHeight="1">
      <c r="I523" s="683"/>
      <c r="J523" s="683"/>
      <c r="K523" s="1060"/>
      <c r="L523" s="1060"/>
    </row>
    <row r="524" spans="9:12" ht="15" customHeight="1">
      <c r="I524" s="683"/>
      <c r="J524" s="683"/>
      <c r="K524" s="1060"/>
      <c r="L524" s="1060"/>
    </row>
    <row r="525" spans="9:12" ht="15" customHeight="1">
      <c r="I525" s="683"/>
      <c r="J525" s="683"/>
      <c r="K525" s="1060"/>
      <c r="L525" s="1060"/>
    </row>
    <row r="526" spans="9:12" ht="15" customHeight="1">
      <c r="I526" s="683"/>
      <c r="J526" s="683"/>
      <c r="K526" s="1060"/>
      <c r="L526" s="1060"/>
    </row>
    <row r="527" spans="9:12" ht="15" customHeight="1">
      <c r="I527" s="683"/>
      <c r="J527" s="683"/>
      <c r="K527" s="1060"/>
      <c r="L527" s="1060"/>
    </row>
    <row r="528" spans="9:12" ht="15" customHeight="1">
      <c r="I528" s="683"/>
      <c r="J528" s="683"/>
      <c r="K528" s="1060"/>
      <c r="L528" s="1060"/>
    </row>
    <row r="529" spans="9:12" ht="15" customHeight="1">
      <c r="I529" s="683"/>
      <c r="J529" s="683"/>
      <c r="K529" s="1060"/>
      <c r="L529" s="1060"/>
    </row>
    <row r="530" spans="9:12" ht="15" customHeight="1">
      <c r="I530" s="683"/>
      <c r="J530" s="683"/>
      <c r="K530" s="1060"/>
      <c r="L530" s="1060"/>
    </row>
    <row r="531" spans="9:12" ht="15" customHeight="1">
      <c r="I531" s="683"/>
      <c r="J531" s="683"/>
      <c r="K531" s="1060"/>
      <c r="L531" s="1060"/>
    </row>
    <row r="532" spans="9:12" ht="15" customHeight="1">
      <c r="I532" s="683"/>
      <c r="J532" s="683"/>
      <c r="K532" s="1060"/>
      <c r="L532" s="1060"/>
    </row>
    <row r="533" spans="9:12" ht="15" customHeight="1">
      <c r="I533" s="683"/>
      <c r="J533" s="683"/>
      <c r="K533" s="1060"/>
      <c r="L533" s="1060"/>
    </row>
    <row r="534" spans="9:12" ht="15" customHeight="1">
      <c r="I534" s="683"/>
      <c r="J534" s="683"/>
      <c r="K534" s="1060"/>
      <c r="L534" s="1060"/>
    </row>
    <row r="535" spans="9:12" ht="15" customHeight="1">
      <c r="I535" s="683"/>
      <c r="J535" s="683"/>
      <c r="K535" s="1060"/>
      <c r="L535" s="1060"/>
    </row>
    <row r="536" spans="9:12" ht="15" customHeight="1">
      <c r="I536" s="683"/>
      <c r="J536" s="683"/>
      <c r="K536" s="1060"/>
      <c r="L536" s="1060"/>
    </row>
    <row r="537" spans="9:12" ht="15" customHeight="1">
      <c r="I537" s="683"/>
      <c r="J537" s="683"/>
      <c r="K537" s="1060"/>
      <c r="L537" s="1060"/>
    </row>
    <row r="538" spans="9:12" ht="15" customHeight="1">
      <c r="I538" s="683"/>
      <c r="J538" s="683"/>
      <c r="K538" s="1060"/>
      <c r="L538" s="1060"/>
    </row>
    <row r="539" spans="9:12" ht="15" customHeight="1">
      <c r="I539" s="683"/>
      <c r="J539" s="683"/>
      <c r="K539" s="1060"/>
      <c r="L539" s="1060"/>
    </row>
    <row r="540" spans="9:12" ht="15" customHeight="1">
      <c r="I540" s="683"/>
      <c r="J540" s="683"/>
      <c r="K540" s="1060"/>
      <c r="L540" s="1060"/>
    </row>
    <row r="541" spans="9:12" ht="15" customHeight="1">
      <c r="I541" s="683"/>
      <c r="J541" s="683"/>
      <c r="K541" s="1060"/>
      <c r="L541" s="1060"/>
    </row>
    <row r="542" spans="9:12" ht="15" customHeight="1">
      <c r="I542" s="683"/>
      <c r="J542" s="683"/>
      <c r="K542" s="1060"/>
      <c r="L542" s="1060"/>
    </row>
    <row r="543" spans="9:12" ht="15" customHeight="1">
      <c r="I543" s="683"/>
      <c r="J543" s="683"/>
      <c r="K543" s="1060"/>
      <c r="L543" s="1060"/>
    </row>
    <row r="544" spans="9:12" ht="15" customHeight="1">
      <c r="I544" s="683"/>
      <c r="J544" s="683"/>
      <c r="K544" s="1060"/>
      <c r="L544" s="1060"/>
    </row>
    <row r="545" spans="9:12" ht="15" customHeight="1">
      <c r="I545" s="683"/>
      <c r="J545" s="683"/>
      <c r="K545" s="1060"/>
      <c r="L545" s="1060"/>
    </row>
    <row r="546" spans="9:12" ht="15" customHeight="1">
      <c r="I546" s="683"/>
      <c r="J546" s="683"/>
      <c r="K546" s="1060"/>
      <c r="L546" s="1060"/>
    </row>
    <row r="547" spans="9:12" ht="15" customHeight="1">
      <c r="I547" s="683"/>
      <c r="J547" s="683"/>
      <c r="K547" s="1060"/>
      <c r="L547" s="1060"/>
    </row>
    <row r="548" spans="9:12" ht="15" customHeight="1">
      <c r="I548" s="683"/>
      <c r="J548" s="683"/>
      <c r="K548" s="1060"/>
      <c r="L548" s="1060"/>
    </row>
    <row r="549" spans="9:12" ht="15" customHeight="1">
      <c r="I549" s="683"/>
      <c r="J549" s="683"/>
      <c r="K549" s="1060"/>
      <c r="L549" s="1060"/>
    </row>
    <row r="550" spans="9:12" ht="15" customHeight="1">
      <c r="I550" s="683"/>
      <c r="J550" s="683"/>
      <c r="K550" s="1060"/>
      <c r="L550" s="1060"/>
    </row>
    <row r="551" spans="9:12" ht="15" customHeight="1">
      <c r="I551" s="683"/>
      <c r="J551" s="683"/>
      <c r="K551" s="1060"/>
      <c r="L551" s="1060"/>
    </row>
    <row r="552" spans="9:12" ht="15" customHeight="1">
      <c r="I552" s="683"/>
      <c r="J552" s="683"/>
      <c r="K552" s="1060"/>
      <c r="L552" s="1060"/>
    </row>
    <row r="553" spans="9:12" ht="15" customHeight="1">
      <c r="I553" s="683"/>
      <c r="J553" s="683"/>
      <c r="K553" s="1060"/>
      <c r="L553" s="1060"/>
    </row>
    <row r="554" spans="9:12" ht="15" customHeight="1">
      <c r="I554" s="683"/>
      <c r="J554" s="683"/>
      <c r="K554" s="1060"/>
      <c r="L554" s="1060"/>
    </row>
    <row r="555" spans="9:12" ht="15" customHeight="1">
      <c r="I555" s="683"/>
      <c r="J555" s="683"/>
      <c r="K555" s="1060"/>
      <c r="L555" s="1060"/>
    </row>
    <row r="556" spans="9:12" ht="15" customHeight="1">
      <c r="I556" s="683"/>
      <c r="J556" s="683"/>
      <c r="K556" s="1060"/>
      <c r="L556" s="1060"/>
    </row>
    <row r="557" spans="9:12" ht="15" customHeight="1">
      <c r="I557" s="683"/>
      <c r="J557" s="683"/>
      <c r="K557" s="1060"/>
      <c r="L557" s="1060"/>
    </row>
    <row r="558" spans="9:12" ht="15" customHeight="1">
      <c r="I558" s="683"/>
      <c r="J558" s="683"/>
      <c r="K558" s="1060"/>
      <c r="L558" s="1060"/>
    </row>
    <row r="559" spans="9:12" ht="15" customHeight="1">
      <c r="I559" s="683"/>
      <c r="J559" s="683"/>
      <c r="K559" s="1060"/>
      <c r="L559" s="1060"/>
    </row>
    <row r="560" spans="9:12" ht="15" customHeight="1">
      <c r="I560" s="683"/>
      <c r="J560" s="683"/>
      <c r="K560" s="1060"/>
      <c r="L560" s="1060"/>
    </row>
    <row r="561" spans="9:12" ht="15" customHeight="1">
      <c r="I561" s="683"/>
      <c r="J561" s="683"/>
      <c r="K561" s="1060"/>
      <c r="L561" s="1060"/>
    </row>
    <row r="562" spans="9:12" ht="15" customHeight="1">
      <c r="I562" s="683"/>
      <c r="J562" s="683"/>
      <c r="K562" s="1060"/>
      <c r="L562" s="1060"/>
    </row>
    <row r="563" spans="9:12">
      <c r="I563" s="683"/>
      <c r="J563" s="683"/>
      <c r="K563" s="1060"/>
      <c r="L563" s="1060"/>
    </row>
    <row r="564" spans="9:12" ht="15" customHeight="1">
      <c r="I564" s="683"/>
      <c r="J564" s="683"/>
      <c r="K564" s="1060"/>
      <c r="L564" s="1060"/>
    </row>
    <row r="565" spans="9:12" ht="15" customHeight="1">
      <c r="I565" s="683"/>
      <c r="J565" s="683"/>
      <c r="K565" s="1060"/>
      <c r="L565" s="1060"/>
    </row>
    <row r="566" spans="9:12" ht="15" customHeight="1">
      <c r="I566" s="683"/>
      <c r="J566" s="683"/>
      <c r="K566" s="1060"/>
      <c r="L566" s="1060"/>
    </row>
    <row r="567" spans="9:12" ht="15" customHeight="1">
      <c r="I567" s="683"/>
      <c r="J567" s="683"/>
      <c r="K567" s="1060"/>
      <c r="L567" s="1060"/>
    </row>
    <row r="568" spans="9:12" ht="15" customHeight="1">
      <c r="I568" s="683"/>
      <c r="J568" s="683"/>
      <c r="K568" s="1060"/>
      <c r="L568" s="1060"/>
    </row>
    <row r="569" spans="9:12" ht="15" customHeight="1">
      <c r="I569" s="683"/>
      <c r="J569" s="683"/>
      <c r="K569" s="1060"/>
      <c r="L569" s="1060"/>
    </row>
    <row r="570" spans="9:12" ht="15" customHeight="1">
      <c r="I570" s="683"/>
      <c r="J570" s="683"/>
      <c r="K570" s="1060"/>
      <c r="L570" s="1060"/>
    </row>
    <row r="571" spans="9:12" ht="15" customHeight="1">
      <c r="I571" s="683"/>
      <c r="J571" s="683"/>
      <c r="K571" s="1060"/>
      <c r="L571" s="1060"/>
    </row>
    <row r="572" spans="9:12" ht="15" customHeight="1">
      <c r="I572" s="683"/>
      <c r="J572" s="683"/>
      <c r="K572" s="1060"/>
      <c r="L572" s="1060"/>
    </row>
    <row r="573" spans="9:12" ht="15" customHeight="1">
      <c r="I573" s="683"/>
      <c r="J573" s="683"/>
      <c r="K573" s="1060"/>
      <c r="L573" s="1060"/>
    </row>
    <row r="574" spans="9:12" ht="15" customHeight="1">
      <c r="I574" s="683"/>
      <c r="J574" s="683"/>
      <c r="K574" s="1060"/>
      <c r="L574" s="1060"/>
    </row>
    <row r="575" spans="9:12" ht="15" customHeight="1">
      <c r="I575" s="683"/>
      <c r="J575" s="683"/>
      <c r="K575" s="1060"/>
      <c r="L575" s="1060"/>
    </row>
    <row r="576" spans="9:12" ht="15" customHeight="1">
      <c r="I576" s="683"/>
      <c r="J576" s="683"/>
      <c r="K576" s="1060"/>
      <c r="L576" s="1060"/>
    </row>
    <row r="577" spans="9:12" ht="15" customHeight="1">
      <c r="I577" s="683"/>
      <c r="J577" s="683"/>
      <c r="K577" s="1060"/>
      <c r="L577" s="1060"/>
    </row>
    <row r="578" spans="9:12" ht="15" customHeight="1">
      <c r="I578" s="683"/>
      <c r="J578" s="683"/>
      <c r="K578" s="1060"/>
      <c r="L578" s="1060"/>
    </row>
    <row r="579" spans="9:12" ht="15" customHeight="1">
      <c r="I579" s="683"/>
      <c r="J579" s="683"/>
      <c r="K579" s="1060"/>
      <c r="L579" s="1060"/>
    </row>
    <row r="580" spans="9:12" ht="15" customHeight="1">
      <c r="I580" s="683"/>
      <c r="J580" s="683"/>
      <c r="K580" s="1060"/>
      <c r="L580" s="1060"/>
    </row>
    <row r="581" spans="9:12" ht="15" customHeight="1">
      <c r="I581" s="683"/>
      <c r="J581" s="683"/>
      <c r="K581" s="1060"/>
      <c r="L581" s="1060"/>
    </row>
    <row r="582" spans="9:12" ht="15" customHeight="1">
      <c r="I582" s="683"/>
      <c r="J582" s="683"/>
      <c r="K582" s="1060"/>
      <c r="L582" s="1060"/>
    </row>
    <row r="583" spans="9:12" ht="15" customHeight="1">
      <c r="I583" s="683"/>
      <c r="J583" s="683"/>
      <c r="K583" s="1060"/>
      <c r="L583" s="1060"/>
    </row>
    <row r="584" spans="9:12" ht="15" customHeight="1">
      <c r="I584" s="683"/>
      <c r="J584" s="683"/>
      <c r="K584" s="1060"/>
      <c r="L584" s="1060"/>
    </row>
    <row r="585" spans="9:12" ht="15" customHeight="1">
      <c r="I585" s="683"/>
      <c r="J585" s="683"/>
      <c r="K585" s="1060"/>
      <c r="L585" s="1060"/>
    </row>
    <row r="586" spans="9:12" ht="15" customHeight="1">
      <c r="I586" s="683"/>
      <c r="J586" s="683"/>
      <c r="K586" s="1060"/>
      <c r="L586" s="1060"/>
    </row>
    <row r="587" spans="9:12" ht="15" customHeight="1">
      <c r="I587" s="683"/>
      <c r="J587" s="683"/>
      <c r="K587" s="1060"/>
      <c r="L587" s="1060"/>
    </row>
    <row r="588" spans="9:12" ht="15" customHeight="1">
      <c r="I588" s="683"/>
      <c r="J588" s="683"/>
      <c r="K588" s="1060"/>
      <c r="L588" s="1060"/>
    </row>
    <row r="589" spans="9:12" ht="15" customHeight="1">
      <c r="I589" s="683"/>
      <c r="J589" s="683"/>
      <c r="K589" s="1060"/>
      <c r="L589" s="1060"/>
    </row>
    <row r="590" spans="9:12" ht="15" customHeight="1">
      <c r="I590" s="683"/>
      <c r="J590" s="683"/>
      <c r="K590" s="1060"/>
      <c r="L590" s="1060"/>
    </row>
    <row r="591" spans="9:12" ht="15" customHeight="1">
      <c r="I591" s="683"/>
      <c r="J591" s="683"/>
      <c r="K591" s="1060"/>
      <c r="L591" s="1060"/>
    </row>
    <row r="592" spans="9:12" ht="15" customHeight="1">
      <c r="I592" s="683"/>
      <c r="J592" s="683"/>
      <c r="K592" s="1060"/>
      <c r="L592" s="1060"/>
    </row>
    <row r="593" spans="9:12" ht="15" customHeight="1">
      <c r="I593" s="683"/>
      <c r="J593" s="683"/>
      <c r="K593" s="1060"/>
      <c r="L593" s="1060"/>
    </row>
    <row r="594" spans="9:12" ht="15" customHeight="1">
      <c r="I594" s="683"/>
      <c r="J594" s="683"/>
      <c r="K594" s="1060"/>
      <c r="L594" s="1060"/>
    </row>
    <row r="595" spans="9:12" ht="15" customHeight="1">
      <c r="I595" s="683"/>
      <c r="J595" s="683"/>
      <c r="K595" s="1060"/>
      <c r="L595" s="1060"/>
    </row>
    <row r="596" spans="9:12" ht="15" customHeight="1">
      <c r="I596" s="683"/>
      <c r="J596" s="683"/>
      <c r="K596" s="1060"/>
      <c r="L596" s="1060"/>
    </row>
    <row r="597" spans="9:12" ht="15" customHeight="1">
      <c r="I597" s="683"/>
      <c r="J597" s="683"/>
      <c r="K597" s="1060"/>
      <c r="L597" s="1060"/>
    </row>
    <row r="598" spans="9:12" ht="15" customHeight="1">
      <c r="I598" s="683"/>
      <c r="J598" s="683"/>
      <c r="K598" s="1060"/>
      <c r="L598" s="1060"/>
    </row>
    <row r="599" spans="9:12" ht="15" customHeight="1">
      <c r="I599" s="683"/>
      <c r="J599" s="683"/>
      <c r="K599" s="1060"/>
      <c r="L599" s="1060"/>
    </row>
    <row r="600" spans="9:12" ht="15" customHeight="1">
      <c r="I600" s="683"/>
      <c r="J600" s="683"/>
      <c r="K600" s="1060"/>
      <c r="L600" s="1060"/>
    </row>
    <row r="601" spans="9:12" ht="15" customHeight="1">
      <c r="I601" s="683"/>
      <c r="J601" s="683"/>
      <c r="K601" s="1060"/>
      <c r="L601" s="1060"/>
    </row>
    <row r="602" spans="9:12" ht="15" customHeight="1">
      <c r="I602" s="683"/>
      <c r="J602" s="683"/>
      <c r="K602" s="1060"/>
      <c r="L602" s="1060"/>
    </row>
    <row r="603" spans="9:12" ht="15" customHeight="1">
      <c r="I603" s="683"/>
      <c r="J603" s="683"/>
      <c r="K603" s="1060"/>
      <c r="L603" s="1060"/>
    </row>
    <row r="604" spans="9:12" ht="15" customHeight="1">
      <c r="I604" s="683"/>
      <c r="J604" s="683"/>
      <c r="K604" s="1060"/>
      <c r="L604" s="1060"/>
    </row>
    <row r="605" spans="9:12" ht="15" customHeight="1">
      <c r="I605" s="683"/>
      <c r="J605" s="683"/>
      <c r="K605" s="1060"/>
      <c r="L605" s="1060"/>
    </row>
    <row r="606" spans="9:12" ht="15" customHeight="1">
      <c r="I606" s="683"/>
      <c r="J606" s="683"/>
      <c r="K606" s="1060"/>
      <c r="L606" s="1060"/>
    </row>
    <row r="607" spans="9:12" ht="15" customHeight="1">
      <c r="I607" s="683"/>
      <c r="J607" s="683"/>
      <c r="K607" s="1060"/>
      <c r="L607" s="1060"/>
    </row>
    <row r="608" spans="9:12" ht="15" customHeight="1">
      <c r="I608" s="683"/>
      <c r="J608" s="683"/>
      <c r="K608" s="1060"/>
      <c r="L608" s="1060"/>
    </row>
    <row r="609" spans="9:12" ht="15" customHeight="1">
      <c r="I609" s="683"/>
      <c r="J609" s="683"/>
      <c r="K609" s="1060"/>
      <c r="L609" s="1060"/>
    </row>
    <row r="610" spans="9:12" ht="15" customHeight="1">
      <c r="I610" s="683"/>
      <c r="J610" s="683"/>
      <c r="K610" s="1060"/>
      <c r="L610" s="1060"/>
    </row>
    <row r="611" spans="9:12" ht="15" customHeight="1">
      <c r="I611" s="683"/>
      <c r="J611" s="683"/>
      <c r="K611" s="1060"/>
      <c r="L611" s="1060"/>
    </row>
    <row r="612" spans="9:12" ht="15" customHeight="1">
      <c r="I612" s="683"/>
      <c r="J612" s="683"/>
      <c r="K612" s="1060"/>
      <c r="L612" s="1060"/>
    </row>
    <row r="613" spans="9:12" ht="15" customHeight="1">
      <c r="I613" s="683"/>
      <c r="J613" s="683"/>
      <c r="K613" s="1060"/>
      <c r="L613" s="1060"/>
    </row>
    <row r="614" spans="9:12" ht="15" customHeight="1">
      <c r="I614" s="683"/>
      <c r="J614" s="683"/>
      <c r="K614" s="1060"/>
      <c r="L614" s="1060"/>
    </row>
    <row r="615" spans="9:12" ht="15" customHeight="1">
      <c r="I615" s="683"/>
      <c r="J615" s="683"/>
      <c r="K615" s="1060"/>
      <c r="L615" s="1060"/>
    </row>
    <row r="616" spans="9:12" ht="15" customHeight="1">
      <c r="I616" s="683"/>
      <c r="J616" s="683"/>
      <c r="K616" s="1060"/>
      <c r="L616" s="1060"/>
    </row>
    <row r="617" spans="9:12" ht="15" customHeight="1">
      <c r="I617" s="683"/>
      <c r="J617" s="683"/>
      <c r="K617" s="1060"/>
      <c r="L617" s="1060"/>
    </row>
    <row r="618" spans="9:12" ht="15" customHeight="1">
      <c r="I618" s="683"/>
      <c r="J618" s="683"/>
      <c r="K618" s="1060"/>
      <c r="L618" s="1060"/>
    </row>
    <row r="619" spans="9:12" ht="15" customHeight="1">
      <c r="I619" s="683"/>
      <c r="J619" s="683"/>
      <c r="K619" s="1060"/>
      <c r="L619" s="1060"/>
    </row>
    <row r="620" spans="9:12" ht="15" customHeight="1">
      <c r="I620" s="683"/>
      <c r="J620" s="683"/>
      <c r="K620" s="1060"/>
      <c r="L620" s="1060"/>
    </row>
    <row r="621" spans="9:12" ht="15" customHeight="1">
      <c r="I621" s="683"/>
      <c r="J621" s="683"/>
      <c r="K621" s="1060"/>
      <c r="L621" s="1060"/>
    </row>
    <row r="622" spans="9:12" ht="15" customHeight="1">
      <c r="I622" s="683"/>
      <c r="J622" s="683"/>
      <c r="K622" s="1060"/>
      <c r="L622" s="1060"/>
    </row>
    <row r="623" spans="9:12" ht="15" customHeight="1">
      <c r="I623" s="683"/>
      <c r="J623" s="683"/>
      <c r="K623" s="1060"/>
      <c r="L623" s="1060"/>
    </row>
    <row r="624" spans="9:12" ht="15" customHeight="1">
      <c r="I624" s="683"/>
      <c r="J624" s="683"/>
      <c r="K624" s="1060"/>
      <c r="L624" s="1060"/>
    </row>
    <row r="625" spans="9:12" ht="15" customHeight="1">
      <c r="I625" s="683"/>
      <c r="J625" s="683"/>
      <c r="K625" s="1060"/>
      <c r="L625" s="1060"/>
    </row>
    <row r="626" spans="9:12" ht="15" customHeight="1">
      <c r="I626" s="683"/>
      <c r="J626" s="683"/>
      <c r="K626" s="1060"/>
      <c r="L626" s="1060"/>
    </row>
    <row r="627" spans="9:12" ht="15" customHeight="1">
      <c r="I627" s="683"/>
      <c r="J627" s="683"/>
      <c r="K627" s="1060"/>
      <c r="L627" s="1060"/>
    </row>
    <row r="628" spans="9:12" ht="15" customHeight="1">
      <c r="I628" s="683"/>
      <c r="J628" s="683"/>
      <c r="K628" s="1060"/>
      <c r="L628" s="1060"/>
    </row>
    <row r="629" spans="9:12" ht="15" customHeight="1">
      <c r="I629" s="683"/>
      <c r="J629" s="683"/>
      <c r="K629" s="1060"/>
      <c r="L629" s="1060"/>
    </row>
    <row r="630" spans="9:12" ht="15" customHeight="1">
      <c r="I630" s="683"/>
      <c r="J630" s="683"/>
      <c r="K630" s="1060"/>
      <c r="L630" s="1060"/>
    </row>
    <row r="631" spans="9:12" ht="15" customHeight="1">
      <c r="I631" s="683"/>
      <c r="J631" s="683"/>
      <c r="K631" s="1060"/>
      <c r="L631" s="1060"/>
    </row>
    <row r="632" spans="9:12" ht="15" customHeight="1">
      <c r="I632" s="683"/>
      <c r="J632" s="683"/>
      <c r="K632" s="1060"/>
      <c r="L632" s="1060"/>
    </row>
    <row r="633" spans="9:12" ht="15" customHeight="1">
      <c r="I633" s="683"/>
      <c r="J633" s="683"/>
      <c r="K633" s="1060"/>
      <c r="L633" s="1060"/>
    </row>
    <row r="634" spans="9:12" ht="15" customHeight="1">
      <c r="I634" s="683"/>
      <c r="J634" s="683"/>
      <c r="K634" s="1060"/>
      <c r="L634" s="1060"/>
    </row>
    <row r="635" spans="9:12" ht="15" customHeight="1">
      <c r="I635" s="683"/>
      <c r="J635" s="683"/>
      <c r="K635" s="1060"/>
      <c r="L635" s="1060"/>
    </row>
    <row r="636" spans="9:12" ht="15" customHeight="1">
      <c r="I636" s="683"/>
      <c r="J636" s="683"/>
      <c r="K636" s="1060"/>
      <c r="L636" s="1060"/>
    </row>
    <row r="637" spans="9:12" ht="15" customHeight="1">
      <c r="I637" s="683"/>
      <c r="J637" s="683"/>
      <c r="K637" s="1060"/>
      <c r="L637" s="1060"/>
    </row>
    <row r="638" spans="9:12" ht="15" customHeight="1">
      <c r="I638" s="683"/>
      <c r="J638" s="683"/>
      <c r="K638" s="1060"/>
      <c r="L638" s="1060"/>
    </row>
    <row r="639" spans="9:12" ht="15" customHeight="1">
      <c r="I639" s="683"/>
      <c r="J639" s="683"/>
      <c r="K639" s="1060"/>
      <c r="L639" s="1060"/>
    </row>
    <row r="640" spans="9:12" ht="15" customHeight="1">
      <c r="I640" s="683"/>
      <c r="J640" s="683"/>
      <c r="K640" s="1060"/>
      <c r="L640" s="1060"/>
    </row>
    <row r="641" spans="9:12" ht="15" customHeight="1">
      <c r="I641" s="683"/>
      <c r="J641" s="683"/>
      <c r="K641" s="1060"/>
      <c r="L641" s="1060"/>
    </row>
    <row r="642" spans="9:12" ht="15" customHeight="1">
      <c r="I642" s="683"/>
      <c r="J642" s="683"/>
      <c r="K642" s="1060"/>
      <c r="L642" s="1060"/>
    </row>
    <row r="643" spans="9:12" ht="15" customHeight="1">
      <c r="I643" s="683"/>
      <c r="J643" s="683"/>
      <c r="K643" s="1060"/>
      <c r="L643" s="1060"/>
    </row>
    <row r="644" spans="9:12" ht="15" customHeight="1">
      <c r="I644" s="683"/>
      <c r="J644" s="683"/>
      <c r="K644" s="1060"/>
      <c r="L644" s="1060"/>
    </row>
    <row r="645" spans="9:12" ht="15" customHeight="1">
      <c r="I645" s="683"/>
      <c r="J645" s="683"/>
      <c r="K645" s="1060"/>
      <c r="L645" s="1060"/>
    </row>
    <row r="646" spans="9:12" ht="15" customHeight="1">
      <c r="I646" s="683"/>
      <c r="J646" s="683"/>
      <c r="K646" s="1060"/>
      <c r="L646" s="1060"/>
    </row>
    <row r="647" spans="9:12" ht="15" customHeight="1">
      <c r="I647" s="683"/>
      <c r="J647" s="683"/>
      <c r="K647" s="1060"/>
      <c r="L647" s="1060"/>
    </row>
    <row r="648" spans="9:12" ht="15" customHeight="1">
      <c r="I648" s="683"/>
      <c r="J648" s="683"/>
      <c r="K648" s="1060"/>
      <c r="L648" s="1060"/>
    </row>
    <row r="649" spans="9:12" ht="15" customHeight="1">
      <c r="I649" s="683"/>
      <c r="J649" s="683"/>
      <c r="K649" s="1060"/>
      <c r="L649" s="1060"/>
    </row>
    <row r="650" spans="9:12" ht="15" customHeight="1">
      <c r="I650" s="683"/>
      <c r="J650" s="683"/>
      <c r="K650" s="1060"/>
      <c r="L650" s="1060"/>
    </row>
    <row r="651" spans="9:12" ht="15" customHeight="1">
      <c r="I651" s="683"/>
      <c r="J651" s="683"/>
      <c r="K651" s="1060"/>
      <c r="L651" s="1060"/>
    </row>
    <row r="652" spans="9:12" ht="15" customHeight="1">
      <c r="I652" s="683"/>
      <c r="J652" s="683"/>
      <c r="K652" s="1060"/>
      <c r="L652" s="1060"/>
    </row>
    <row r="653" spans="9:12" ht="15" customHeight="1">
      <c r="I653" s="683"/>
      <c r="J653" s="683"/>
      <c r="K653" s="1060"/>
      <c r="L653" s="1060"/>
    </row>
    <row r="654" spans="9:12" ht="15" customHeight="1">
      <c r="I654" s="683"/>
      <c r="J654" s="683"/>
      <c r="K654" s="1060"/>
      <c r="L654" s="1060"/>
    </row>
    <row r="655" spans="9:12" ht="15" customHeight="1">
      <c r="I655" s="683"/>
      <c r="J655" s="683"/>
      <c r="K655" s="1060"/>
      <c r="L655" s="1060"/>
    </row>
    <row r="656" spans="9:12" ht="15" customHeight="1">
      <c r="I656" s="683"/>
      <c r="J656" s="683"/>
      <c r="K656" s="1060"/>
      <c r="L656" s="1060"/>
    </row>
    <row r="657" spans="9:12" ht="15" customHeight="1">
      <c r="I657" s="683"/>
      <c r="J657" s="683"/>
      <c r="K657" s="1060"/>
      <c r="L657" s="1060"/>
    </row>
    <row r="658" spans="9:12" ht="15" customHeight="1">
      <c r="I658" s="683"/>
      <c r="J658" s="683"/>
      <c r="K658" s="1060"/>
      <c r="L658" s="1060"/>
    </row>
    <row r="659" spans="9:12" ht="15" customHeight="1">
      <c r="I659" s="683"/>
      <c r="J659" s="683"/>
      <c r="K659" s="1060"/>
      <c r="L659" s="1060"/>
    </row>
    <row r="660" spans="9:12" ht="15" customHeight="1">
      <c r="I660" s="683"/>
      <c r="J660" s="683"/>
      <c r="K660" s="1060"/>
      <c r="L660" s="1060"/>
    </row>
    <row r="661" spans="9:12" ht="15" customHeight="1">
      <c r="I661" s="683"/>
      <c r="J661" s="683"/>
      <c r="K661" s="1060"/>
      <c r="L661" s="1060"/>
    </row>
    <row r="662" spans="9:12" ht="15" customHeight="1">
      <c r="I662" s="683"/>
      <c r="J662" s="683"/>
      <c r="K662" s="1060"/>
      <c r="L662" s="1060"/>
    </row>
    <row r="663" spans="9:12" ht="15" customHeight="1">
      <c r="I663" s="683"/>
      <c r="J663" s="683"/>
      <c r="K663" s="1060"/>
      <c r="L663" s="1060"/>
    </row>
    <row r="664" spans="9:12" ht="15" customHeight="1">
      <c r="I664" s="683"/>
      <c r="J664" s="683"/>
      <c r="K664" s="1060"/>
      <c r="L664" s="1060"/>
    </row>
    <row r="665" spans="9:12" ht="15" customHeight="1">
      <c r="I665" s="683"/>
      <c r="J665" s="683"/>
      <c r="K665" s="1060"/>
      <c r="L665" s="1060"/>
    </row>
    <row r="666" spans="9:12" ht="15" customHeight="1">
      <c r="I666" s="683"/>
      <c r="J666" s="683"/>
      <c r="K666" s="1060"/>
      <c r="L666" s="1060"/>
    </row>
    <row r="667" spans="9:12" ht="15" customHeight="1">
      <c r="I667" s="683"/>
      <c r="J667" s="683"/>
      <c r="K667" s="1060"/>
      <c r="L667" s="1060"/>
    </row>
    <row r="668" spans="9:12" ht="15" customHeight="1">
      <c r="I668" s="683"/>
      <c r="J668" s="683"/>
      <c r="K668" s="1060"/>
      <c r="L668" s="1060"/>
    </row>
    <row r="669" spans="9:12" ht="15" customHeight="1">
      <c r="I669" s="683"/>
      <c r="J669" s="683"/>
      <c r="K669" s="1060"/>
      <c r="L669" s="1060"/>
    </row>
    <row r="670" spans="9:12" ht="15" customHeight="1">
      <c r="I670" s="683"/>
      <c r="J670" s="683"/>
      <c r="K670" s="1060"/>
      <c r="L670" s="1060"/>
    </row>
    <row r="671" spans="9:12" ht="15" customHeight="1">
      <c r="I671" s="683"/>
      <c r="J671" s="683"/>
      <c r="K671" s="1060"/>
      <c r="L671" s="1060"/>
    </row>
    <row r="672" spans="9:12" ht="15" customHeight="1">
      <c r="I672" s="683"/>
      <c r="J672" s="683"/>
      <c r="K672" s="1060"/>
      <c r="L672" s="1060"/>
    </row>
    <row r="673" spans="9:12" ht="15" customHeight="1">
      <c r="I673" s="683"/>
      <c r="J673" s="683"/>
      <c r="K673" s="1060"/>
      <c r="L673" s="1060"/>
    </row>
    <row r="674" spans="9:12" ht="15" customHeight="1">
      <c r="I674" s="683"/>
      <c r="J674" s="683"/>
      <c r="K674" s="1060"/>
      <c r="L674" s="1060"/>
    </row>
    <row r="675" spans="9:12" ht="15" customHeight="1">
      <c r="I675" s="683"/>
      <c r="J675" s="683"/>
      <c r="K675" s="1060"/>
      <c r="L675" s="1060"/>
    </row>
    <row r="676" spans="9:12" ht="15" customHeight="1">
      <c r="I676" s="683"/>
      <c r="J676" s="683"/>
      <c r="K676" s="1060"/>
      <c r="L676" s="1060"/>
    </row>
    <row r="677" spans="9:12" ht="15" customHeight="1">
      <c r="I677" s="683"/>
      <c r="J677" s="683"/>
      <c r="K677" s="1060"/>
      <c r="L677" s="1060"/>
    </row>
    <row r="678" spans="9:12" ht="15" customHeight="1">
      <c r="I678" s="683"/>
      <c r="J678" s="683"/>
      <c r="K678" s="1060"/>
      <c r="L678" s="1060"/>
    </row>
    <row r="679" spans="9:12" ht="15" customHeight="1">
      <c r="I679" s="683"/>
      <c r="J679" s="683"/>
      <c r="K679" s="1060"/>
      <c r="L679" s="1060"/>
    </row>
    <row r="680" spans="9:12" ht="15" customHeight="1">
      <c r="I680" s="683"/>
      <c r="J680" s="683"/>
      <c r="K680" s="1060"/>
      <c r="L680" s="1060"/>
    </row>
    <row r="681" spans="9:12" ht="15" customHeight="1">
      <c r="I681" s="683"/>
      <c r="J681" s="683"/>
      <c r="K681" s="1060"/>
      <c r="L681" s="1060"/>
    </row>
    <row r="682" spans="9:12" ht="15" customHeight="1">
      <c r="I682" s="683"/>
      <c r="J682" s="683"/>
      <c r="K682" s="1060"/>
      <c r="L682" s="1060"/>
    </row>
    <row r="683" spans="9:12" ht="15" customHeight="1">
      <c r="I683" s="683"/>
      <c r="J683" s="683"/>
      <c r="K683" s="1060"/>
      <c r="L683" s="1060"/>
    </row>
    <row r="684" spans="9:12" ht="15" customHeight="1">
      <c r="I684" s="683"/>
      <c r="J684" s="683"/>
      <c r="K684" s="1060"/>
      <c r="L684" s="1060"/>
    </row>
    <row r="685" spans="9:12" ht="15" customHeight="1">
      <c r="I685" s="683"/>
      <c r="J685" s="683"/>
      <c r="K685" s="1060"/>
      <c r="L685" s="1060"/>
    </row>
    <row r="686" spans="9:12" ht="15" customHeight="1">
      <c r="I686" s="683"/>
      <c r="J686" s="683"/>
      <c r="K686" s="1060"/>
      <c r="L686" s="1060"/>
    </row>
    <row r="687" spans="9:12" ht="15" customHeight="1">
      <c r="I687" s="683"/>
      <c r="J687" s="683"/>
      <c r="K687" s="1060"/>
      <c r="L687" s="1060"/>
    </row>
    <row r="688" spans="9:12" ht="15" customHeight="1">
      <c r="I688" s="683"/>
      <c r="J688" s="683"/>
      <c r="K688" s="1060"/>
      <c r="L688" s="1060"/>
    </row>
    <row r="689" spans="9:12" ht="15" customHeight="1">
      <c r="I689" s="683"/>
      <c r="J689" s="683"/>
      <c r="K689" s="1060"/>
      <c r="L689" s="1060"/>
    </row>
    <row r="690" spans="9:12" ht="15" customHeight="1">
      <c r="I690" s="683"/>
      <c r="J690" s="683"/>
      <c r="K690" s="1060"/>
      <c r="L690" s="1060"/>
    </row>
    <row r="691" spans="9:12" ht="15" customHeight="1">
      <c r="I691" s="683"/>
      <c r="J691" s="683"/>
      <c r="K691" s="1060"/>
      <c r="L691" s="1060"/>
    </row>
    <row r="692" spans="9:12" ht="15" customHeight="1">
      <c r="I692" s="683"/>
      <c r="J692" s="683"/>
      <c r="K692" s="1060"/>
      <c r="L692" s="1060"/>
    </row>
    <row r="693" spans="9:12" ht="15" customHeight="1">
      <c r="I693" s="683"/>
      <c r="J693" s="683"/>
      <c r="K693" s="1060"/>
      <c r="L693" s="1060"/>
    </row>
    <row r="694" spans="9:12" ht="15" customHeight="1">
      <c r="I694" s="683"/>
      <c r="J694" s="683"/>
      <c r="K694" s="1060"/>
      <c r="L694" s="1060"/>
    </row>
    <row r="695" spans="9:12" ht="15" customHeight="1">
      <c r="I695" s="683"/>
      <c r="J695" s="683"/>
      <c r="K695" s="1060"/>
      <c r="L695" s="1060"/>
    </row>
    <row r="696" spans="9:12" ht="15" customHeight="1">
      <c r="I696" s="683"/>
      <c r="J696" s="683"/>
      <c r="K696" s="1060"/>
      <c r="L696" s="1060"/>
    </row>
    <row r="697" spans="9:12" ht="15" customHeight="1">
      <c r="I697" s="683"/>
      <c r="J697" s="683"/>
      <c r="K697" s="1060"/>
      <c r="L697" s="1060"/>
    </row>
    <row r="698" spans="9:12" ht="15" customHeight="1">
      <c r="I698" s="683"/>
      <c r="J698" s="683"/>
      <c r="K698" s="1060"/>
      <c r="L698" s="1060"/>
    </row>
    <row r="699" spans="9:12" ht="15" customHeight="1">
      <c r="I699" s="683"/>
      <c r="J699" s="683"/>
      <c r="K699" s="1060"/>
      <c r="L699" s="1060"/>
    </row>
    <row r="700" spans="9:12" ht="15" customHeight="1">
      <c r="I700" s="683"/>
      <c r="J700" s="683"/>
      <c r="K700" s="1060"/>
      <c r="L700" s="1060"/>
    </row>
    <row r="701" spans="9:12" ht="15" customHeight="1">
      <c r="I701" s="683"/>
      <c r="J701" s="683"/>
      <c r="K701" s="1060"/>
      <c r="L701" s="1060"/>
    </row>
    <row r="702" spans="9:12" ht="15" customHeight="1">
      <c r="I702" s="683"/>
      <c r="J702" s="683"/>
      <c r="K702" s="1060"/>
      <c r="L702" s="1060"/>
    </row>
    <row r="703" spans="9:12" ht="15" customHeight="1">
      <c r="I703" s="683"/>
      <c r="J703" s="683"/>
      <c r="K703" s="1060"/>
      <c r="L703" s="1060"/>
    </row>
    <row r="704" spans="9:12" ht="15" customHeight="1">
      <c r="I704" s="683"/>
      <c r="J704" s="683"/>
      <c r="K704" s="1060"/>
      <c r="L704" s="1060"/>
    </row>
    <row r="705" spans="9:12" ht="15" customHeight="1">
      <c r="I705" s="683"/>
      <c r="J705" s="683"/>
      <c r="K705" s="1060"/>
      <c r="L705" s="1060"/>
    </row>
    <row r="706" spans="9:12" ht="15" customHeight="1">
      <c r="I706" s="683"/>
      <c r="J706" s="683"/>
      <c r="K706" s="1060"/>
      <c r="L706" s="1060"/>
    </row>
    <row r="707" spans="9:12" ht="15" customHeight="1">
      <c r="I707" s="683"/>
      <c r="J707" s="683"/>
      <c r="K707" s="1060"/>
      <c r="L707" s="1060"/>
    </row>
    <row r="708" spans="9:12" ht="15" customHeight="1">
      <c r="I708" s="683"/>
      <c r="J708" s="683"/>
      <c r="K708" s="1060"/>
      <c r="L708" s="1060"/>
    </row>
    <row r="709" spans="9:12" ht="15" customHeight="1">
      <c r="I709" s="683"/>
      <c r="J709" s="683"/>
      <c r="K709" s="1060"/>
      <c r="L709" s="1060"/>
    </row>
    <row r="710" spans="9:12" ht="15" customHeight="1">
      <c r="I710" s="683"/>
      <c r="J710" s="683"/>
      <c r="K710" s="1060"/>
      <c r="L710" s="1060"/>
    </row>
    <row r="711" spans="9:12" ht="15" customHeight="1">
      <c r="I711" s="683"/>
      <c r="J711" s="683"/>
      <c r="K711" s="1060"/>
      <c r="L711" s="1060"/>
    </row>
    <row r="712" spans="9:12" ht="15" customHeight="1">
      <c r="I712" s="683"/>
      <c r="J712" s="683"/>
      <c r="K712" s="1060"/>
      <c r="L712" s="1060"/>
    </row>
    <row r="713" spans="9:12" ht="15" customHeight="1">
      <c r="I713" s="683"/>
      <c r="J713" s="683"/>
      <c r="K713" s="1060"/>
      <c r="L713" s="1060"/>
    </row>
    <row r="714" spans="9:12" ht="15" customHeight="1">
      <c r="I714" s="683"/>
      <c r="J714" s="683"/>
      <c r="K714" s="1060"/>
      <c r="L714" s="1060"/>
    </row>
    <row r="715" spans="9:12" ht="15" customHeight="1">
      <c r="I715" s="683"/>
      <c r="J715" s="683"/>
      <c r="K715" s="1060"/>
      <c r="L715" s="1060"/>
    </row>
    <row r="716" spans="9:12" ht="15" customHeight="1">
      <c r="I716" s="683"/>
      <c r="J716" s="683"/>
      <c r="K716" s="1060"/>
      <c r="L716" s="1060"/>
    </row>
    <row r="717" spans="9:12" ht="15" customHeight="1">
      <c r="I717" s="683"/>
      <c r="J717" s="683"/>
      <c r="K717" s="1060"/>
      <c r="L717" s="1060"/>
    </row>
    <row r="718" spans="9:12" ht="15" customHeight="1">
      <c r="I718" s="683"/>
      <c r="J718" s="683"/>
      <c r="K718" s="1060"/>
      <c r="L718" s="1060"/>
    </row>
    <row r="719" spans="9:12" ht="15" customHeight="1">
      <c r="I719" s="683"/>
      <c r="J719" s="683"/>
      <c r="K719" s="1060"/>
      <c r="L719" s="1060"/>
    </row>
    <row r="720" spans="9:12" ht="15" customHeight="1">
      <c r="I720" s="683"/>
      <c r="J720" s="683"/>
      <c r="K720" s="1060"/>
      <c r="L720" s="1060"/>
    </row>
    <row r="721" spans="9:12" ht="15" customHeight="1">
      <c r="I721" s="683"/>
      <c r="J721" s="683"/>
      <c r="K721" s="1060"/>
      <c r="L721" s="1060"/>
    </row>
    <row r="722" spans="9:12" ht="15" customHeight="1">
      <c r="I722" s="683"/>
      <c r="J722" s="683"/>
      <c r="K722" s="1060"/>
      <c r="L722" s="1060"/>
    </row>
    <row r="723" spans="9:12" ht="15" customHeight="1">
      <c r="I723" s="683"/>
      <c r="J723" s="683"/>
      <c r="K723" s="1060"/>
      <c r="L723" s="1060"/>
    </row>
    <row r="724" spans="9:12" ht="15" customHeight="1">
      <c r="I724" s="683"/>
      <c r="J724" s="683"/>
      <c r="K724" s="1060"/>
      <c r="L724" s="1060"/>
    </row>
    <row r="725" spans="9:12" ht="15" customHeight="1">
      <c r="I725" s="683"/>
      <c r="J725" s="683"/>
      <c r="K725" s="1060"/>
      <c r="L725" s="1060"/>
    </row>
    <row r="726" spans="9:12" ht="15" customHeight="1">
      <c r="I726" s="683"/>
      <c r="J726" s="683"/>
      <c r="K726" s="1060"/>
      <c r="L726" s="1060"/>
    </row>
    <row r="727" spans="9:12" ht="15" customHeight="1">
      <c r="I727" s="683"/>
      <c r="J727" s="683"/>
      <c r="K727" s="1060"/>
      <c r="L727" s="1060"/>
    </row>
    <row r="728" spans="9:12" ht="15" customHeight="1">
      <c r="I728" s="683"/>
      <c r="J728" s="683"/>
      <c r="K728" s="1060"/>
      <c r="L728" s="1060"/>
    </row>
    <row r="729" spans="9:12" ht="15" customHeight="1">
      <c r="I729" s="683"/>
      <c r="J729" s="683"/>
      <c r="K729" s="1060"/>
      <c r="L729" s="1060"/>
    </row>
    <row r="730" spans="9:12" ht="15" customHeight="1">
      <c r="I730" s="683"/>
      <c r="J730" s="683"/>
      <c r="K730" s="1060"/>
      <c r="L730" s="1060"/>
    </row>
    <row r="731" spans="9:12" ht="15" customHeight="1">
      <c r="I731" s="683"/>
      <c r="J731" s="683"/>
      <c r="K731" s="1060"/>
      <c r="L731" s="1060"/>
    </row>
    <row r="732" spans="9:12" ht="15" customHeight="1">
      <c r="I732" s="683"/>
      <c r="J732" s="683"/>
      <c r="K732" s="1060"/>
      <c r="L732" s="1060"/>
    </row>
    <row r="733" spans="9:12" ht="15" customHeight="1">
      <c r="I733" s="683"/>
      <c r="J733" s="683"/>
      <c r="K733" s="1060"/>
      <c r="L733" s="1060"/>
    </row>
    <row r="734" spans="9:12" ht="15" customHeight="1">
      <c r="I734" s="683"/>
      <c r="J734" s="683"/>
      <c r="K734" s="1060"/>
      <c r="L734" s="1060"/>
    </row>
    <row r="735" spans="9:12" ht="15" customHeight="1">
      <c r="I735" s="683"/>
      <c r="J735" s="683"/>
      <c r="K735" s="1060"/>
      <c r="L735" s="1060"/>
    </row>
    <row r="736" spans="9:12" ht="15" customHeight="1">
      <c r="I736" s="683"/>
      <c r="J736" s="683"/>
      <c r="K736" s="1060"/>
      <c r="L736" s="1060"/>
    </row>
    <row r="737" spans="9:12" ht="15" customHeight="1">
      <c r="I737" s="683"/>
      <c r="J737" s="683"/>
      <c r="K737" s="1060"/>
      <c r="L737" s="1060"/>
    </row>
    <row r="738" spans="9:12" ht="15" customHeight="1">
      <c r="I738" s="683"/>
      <c r="J738" s="683"/>
      <c r="K738" s="1060"/>
      <c r="L738" s="1060"/>
    </row>
    <row r="739" spans="9:12" ht="15" customHeight="1">
      <c r="I739" s="683"/>
      <c r="J739" s="683"/>
      <c r="K739" s="1060"/>
      <c r="L739" s="1060"/>
    </row>
    <row r="740" spans="9:12" ht="15" customHeight="1">
      <c r="I740" s="683"/>
      <c r="J740" s="683"/>
      <c r="K740" s="1060"/>
      <c r="L740" s="1060"/>
    </row>
    <row r="741" spans="9:12" ht="15" customHeight="1">
      <c r="I741" s="683"/>
      <c r="J741" s="683"/>
      <c r="K741" s="1060"/>
      <c r="L741" s="1060"/>
    </row>
    <row r="742" spans="9:12" ht="15" customHeight="1">
      <c r="I742" s="683"/>
      <c r="J742" s="683"/>
      <c r="K742" s="1060"/>
      <c r="L742" s="1060"/>
    </row>
    <row r="743" spans="9:12" ht="15" customHeight="1">
      <c r="I743" s="683"/>
      <c r="J743" s="683"/>
      <c r="K743" s="1060"/>
      <c r="L743" s="1060"/>
    </row>
    <row r="744" spans="9:12" ht="15" customHeight="1">
      <c r="I744" s="683"/>
      <c r="J744" s="683"/>
      <c r="K744" s="1060"/>
      <c r="L744" s="1060"/>
    </row>
    <row r="745" spans="9:12" ht="15" customHeight="1">
      <c r="I745" s="683"/>
      <c r="J745" s="683"/>
      <c r="K745" s="1060"/>
      <c r="L745" s="1060"/>
    </row>
    <row r="746" spans="9:12" ht="15" customHeight="1">
      <c r="I746" s="683"/>
      <c r="J746" s="683"/>
      <c r="K746" s="1060"/>
      <c r="L746" s="1060"/>
    </row>
    <row r="747" spans="9:12" ht="15" customHeight="1">
      <c r="I747" s="683"/>
      <c r="J747" s="683"/>
      <c r="K747" s="1060"/>
      <c r="L747" s="1060"/>
    </row>
    <row r="748" spans="9:12" ht="15" customHeight="1">
      <c r="I748" s="683"/>
      <c r="J748" s="683"/>
      <c r="K748" s="1060"/>
      <c r="L748" s="1060"/>
    </row>
    <row r="749" spans="9:12" ht="15" customHeight="1">
      <c r="I749" s="683"/>
      <c r="J749" s="683"/>
      <c r="K749" s="1060"/>
      <c r="L749" s="1060"/>
    </row>
    <row r="750" spans="9:12" ht="15" customHeight="1">
      <c r="I750" s="683"/>
      <c r="J750" s="683"/>
      <c r="K750" s="1060"/>
      <c r="L750" s="1060"/>
    </row>
    <row r="751" spans="9:12" ht="15" customHeight="1">
      <c r="I751" s="683"/>
      <c r="J751" s="683"/>
      <c r="K751" s="1060"/>
      <c r="L751" s="1060"/>
    </row>
    <row r="752" spans="9:12" ht="15" customHeight="1">
      <c r="I752" s="683"/>
      <c r="J752" s="683"/>
      <c r="K752" s="1060"/>
      <c r="L752" s="1060"/>
    </row>
    <row r="753" spans="9:12" ht="15" customHeight="1">
      <c r="I753" s="683"/>
      <c r="J753" s="683"/>
      <c r="K753" s="1060"/>
      <c r="L753" s="1060"/>
    </row>
    <row r="754" spans="9:12" ht="15" customHeight="1">
      <c r="I754" s="683"/>
      <c r="J754" s="683"/>
      <c r="K754" s="1060"/>
      <c r="L754" s="1060"/>
    </row>
    <row r="755" spans="9:12" ht="15" customHeight="1">
      <c r="I755" s="683"/>
      <c r="J755" s="683"/>
      <c r="K755" s="1060"/>
      <c r="L755" s="1060"/>
    </row>
    <row r="756" spans="9:12" ht="15" customHeight="1">
      <c r="I756" s="683"/>
      <c r="J756" s="683"/>
      <c r="K756" s="1060"/>
      <c r="L756" s="1060"/>
    </row>
    <row r="757" spans="9:12" ht="15" customHeight="1">
      <c r="I757" s="683"/>
      <c r="J757" s="683"/>
      <c r="K757" s="1060"/>
      <c r="L757" s="1060"/>
    </row>
    <row r="758" spans="9:12" ht="15" customHeight="1">
      <c r="I758" s="683"/>
      <c r="J758" s="683"/>
      <c r="K758" s="1060"/>
      <c r="L758" s="1060"/>
    </row>
    <row r="759" spans="9:12" ht="15" customHeight="1">
      <c r="I759" s="683"/>
      <c r="J759" s="683"/>
      <c r="K759" s="1060"/>
      <c r="L759" s="1060"/>
    </row>
    <row r="760" spans="9:12" ht="15" customHeight="1">
      <c r="I760" s="683"/>
      <c r="J760" s="683"/>
      <c r="K760" s="1060"/>
      <c r="L760" s="1060"/>
    </row>
    <row r="761" spans="9:12" ht="15" customHeight="1">
      <c r="I761" s="683"/>
      <c r="J761" s="683"/>
      <c r="K761" s="1060"/>
      <c r="L761" s="1060"/>
    </row>
    <row r="762" spans="9:12" ht="15" customHeight="1">
      <c r="I762" s="683"/>
      <c r="J762" s="683"/>
      <c r="K762" s="1060"/>
      <c r="L762" s="1060"/>
    </row>
    <row r="763" spans="9:12" ht="15" customHeight="1">
      <c r="I763" s="683"/>
      <c r="J763" s="683"/>
      <c r="K763" s="1060"/>
      <c r="L763" s="1060"/>
    </row>
    <row r="764" spans="9:12" ht="15" customHeight="1">
      <c r="I764" s="683"/>
      <c r="J764" s="683"/>
      <c r="K764" s="1060"/>
      <c r="L764" s="1060"/>
    </row>
    <row r="765" spans="9:12" ht="15" customHeight="1">
      <c r="I765" s="683"/>
      <c r="J765" s="683"/>
      <c r="K765" s="1060"/>
      <c r="L765" s="1060"/>
    </row>
    <row r="766" spans="9:12" ht="15" customHeight="1">
      <c r="I766" s="683"/>
      <c r="J766" s="683"/>
      <c r="K766" s="1060"/>
      <c r="L766" s="1060"/>
    </row>
    <row r="767" spans="9:12" ht="15" customHeight="1">
      <c r="I767" s="683"/>
      <c r="J767" s="683"/>
      <c r="K767" s="1060"/>
      <c r="L767" s="1060"/>
    </row>
    <row r="768" spans="9:12" ht="15" customHeight="1">
      <c r="I768" s="683"/>
      <c r="J768" s="683"/>
      <c r="K768" s="1060"/>
      <c r="L768" s="1060"/>
    </row>
    <row r="769" spans="9:12" ht="15" customHeight="1">
      <c r="I769" s="683"/>
      <c r="J769" s="683"/>
      <c r="K769" s="1060"/>
      <c r="L769" s="1060"/>
    </row>
    <row r="770" spans="9:12" ht="15" customHeight="1">
      <c r="I770" s="683"/>
      <c r="J770" s="683"/>
      <c r="K770" s="1060"/>
      <c r="L770" s="1060"/>
    </row>
    <row r="771" spans="9:12" ht="15" customHeight="1">
      <c r="I771" s="683"/>
      <c r="J771" s="683"/>
      <c r="K771" s="1060"/>
      <c r="L771" s="1060"/>
    </row>
    <row r="772" spans="9:12" ht="15" customHeight="1">
      <c r="I772" s="683"/>
      <c r="J772" s="683"/>
      <c r="K772" s="1060"/>
      <c r="L772" s="1060"/>
    </row>
    <row r="773" spans="9:12" ht="15" customHeight="1">
      <c r="I773" s="683"/>
      <c r="J773" s="683"/>
      <c r="K773" s="1060"/>
      <c r="L773" s="1060"/>
    </row>
    <row r="774" spans="9:12" ht="15" customHeight="1">
      <c r="I774" s="683"/>
      <c r="J774" s="683"/>
      <c r="K774" s="1060"/>
      <c r="L774" s="1060"/>
    </row>
    <row r="775" spans="9:12" ht="15" customHeight="1">
      <c r="I775" s="683"/>
      <c r="J775" s="683"/>
      <c r="K775" s="1060"/>
      <c r="L775" s="1060"/>
    </row>
    <row r="776" spans="9:12" ht="15" customHeight="1">
      <c r="I776" s="683"/>
      <c r="J776" s="683"/>
      <c r="K776" s="1060"/>
      <c r="L776" s="1060"/>
    </row>
    <row r="777" spans="9:12" ht="15" customHeight="1">
      <c r="I777" s="683"/>
      <c r="J777" s="683"/>
      <c r="K777" s="1060"/>
      <c r="L777" s="1060"/>
    </row>
    <row r="778" spans="9:12" ht="15" customHeight="1">
      <c r="I778" s="683"/>
      <c r="J778" s="683"/>
      <c r="K778" s="1060"/>
      <c r="L778" s="1060"/>
    </row>
    <row r="779" spans="9:12" ht="15" customHeight="1">
      <c r="I779" s="683"/>
      <c r="J779" s="683"/>
      <c r="K779" s="1060"/>
      <c r="L779" s="1060"/>
    </row>
    <row r="780" spans="9:12" ht="15" customHeight="1">
      <c r="I780" s="683"/>
      <c r="J780" s="683"/>
      <c r="K780" s="1060"/>
      <c r="L780" s="1060"/>
    </row>
    <row r="781" spans="9:12" ht="15" customHeight="1">
      <c r="I781" s="683"/>
      <c r="J781" s="683"/>
      <c r="K781" s="1060"/>
      <c r="L781" s="1060"/>
    </row>
    <row r="782" spans="9:12" ht="15" customHeight="1">
      <c r="I782" s="683"/>
      <c r="J782" s="683"/>
      <c r="K782" s="1060"/>
      <c r="L782" s="1060"/>
    </row>
    <row r="783" spans="9:12" ht="15" customHeight="1">
      <c r="I783" s="683"/>
      <c r="J783" s="683"/>
      <c r="K783" s="1060"/>
      <c r="L783" s="1060"/>
    </row>
    <row r="784" spans="9:12" ht="15" customHeight="1">
      <c r="I784" s="683"/>
      <c r="J784" s="683"/>
      <c r="K784" s="1060"/>
      <c r="L784" s="1060"/>
    </row>
    <row r="785" spans="9:12" ht="15" customHeight="1">
      <c r="I785" s="683"/>
      <c r="J785" s="683"/>
      <c r="K785" s="1060"/>
      <c r="L785" s="1060"/>
    </row>
    <row r="786" spans="9:12" ht="15" customHeight="1">
      <c r="I786" s="683"/>
      <c r="J786" s="683"/>
      <c r="K786" s="1060"/>
      <c r="L786" s="1060"/>
    </row>
    <row r="787" spans="9:12" ht="15" customHeight="1">
      <c r="I787" s="683"/>
      <c r="J787" s="683"/>
      <c r="K787" s="1060"/>
      <c r="L787" s="1060"/>
    </row>
    <row r="788" spans="9:12" ht="15" customHeight="1">
      <c r="I788" s="683"/>
      <c r="J788" s="683"/>
      <c r="K788" s="1060"/>
      <c r="L788" s="1060"/>
    </row>
    <row r="789" spans="9:12" ht="15" customHeight="1">
      <c r="I789" s="683"/>
      <c r="J789" s="683"/>
      <c r="K789" s="1060"/>
      <c r="L789" s="1060"/>
    </row>
    <row r="790" spans="9:12" ht="15" customHeight="1">
      <c r="I790" s="683"/>
      <c r="J790" s="683"/>
      <c r="K790" s="1060"/>
      <c r="L790" s="1060"/>
    </row>
    <row r="791" spans="9:12" ht="15" customHeight="1">
      <c r="I791" s="683"/>
      <c r="J791" s="683"/>
      <c r="K791" s="1060"/>
      <c r="L791" s="1060"/>
    </row>
    <row r="792" spans="9:12" ht="15" customHeight="1">
      <c r="I792" s="683"/>
      <c r="J792" s="683"/>
      <c r="K792" s="1060"/>
      <c r="L792" s="1060"/>
    </row>
    <row r="793" spans="9:12" ht="15" customHeight="1">
      <c r="I793" s="683"/>
      <c r="J793" s="683"/>
      <c r="K793" s="1060"/>
      <c r="L793" s="1060"/>
    </row>
    <row r="794" spans="9:12" ht="15" customHeight="1">
      <c r="I794" s="683"/>
      <c r="J794" s="683"/>
      <c r="K794" s="1060"/>
      <c r="L794" s="1060"/>
    </row>
    <row r="795" spans="9:12" ht="15" customHeight="1">
      <c r="I795" s="683"/>
      <c r="J795" s="683"/>
      <c r="K795" s="1060"/>
      <c r="L795" s="1060"/>
    </row>
    <row r="796" spans="9:12" ht="15" customHeight="1">
      <c r="I796" s="683"/>
      <c r="J796" s="683"/>
      <c r="K796" s="1060"/>
      <c r="L796" s="1060"/>
    </row>
    <row r="797" spans="9:12" ht="15" customHeight="1">
      <c r="I797" s="683"/>
      <c r="J797" s="683"/>
      <c r="K797" s="1060"/>
      <c r="L797" s="1060"/>
    </row>
    <row r="798" spans="9:12" ht="15" customHeight="1">
      <c r="I798" s="683"/>
      <c r="J798" s="683"/>
      <c r="K798" s="1060"/>
      <c r="L798" s="1060"/>
    </row>
    <row r="799" spans="9:12" ht="15" customHeight="1">
      <c r="I799" s="683"/>
      <c r="J799" s="683"/>
      <c r="K799" s="1060"/>
      <c r="L799" s="1060"/>
    </row>
    <row r="800" spans="9:12" ht="15" customHeight="1">
      <c r="I800" s="683"/>
      <c r="J800" s="683"/>
      <c r="K800" s="1060"/>
      <c r="L800" s="1060"/>
    </row>
    <row r="801" spans="9:12" ht="15" customHeight="1">
      <c r="I801" s="683"/>
      <c r="J801" s="683"/>
      <c r="K801" s="1060"/>
      <c r="L801" s="1060"/>
    </row>
    <row r="802" spans="9:12" ht="15" customHeight="1">
      <c r="I802" s="683"/>
      <c r="J802" s="683"/>
      <c r="K802" s="1060"/>
      <c r="L802" s="1060"/>
    </row>
    <row r="803" spans="9:12" ht="15" customHeight="1">
      <c r="I803" s="683"/>
      <c r="J803" s="683"/>
      <c r="K803" s="1060"/>
      <c r="L803" s="1060"/>
    </row>
    <row r="804" spans="9:12" ht="15" customHeight="1">
      <c r="I804" s="683"/>
      <c r="J804" s="683"/>
      <c r="K804" s="1060"/>
      <c r="L804" s="1060"/>
    </row>
    <row r="805" spans="9:12" ht="15" customHeight="1">
      <c r="I805" s="683"/>
      <c r="J805" s="683"/>
      <c r="K805" s="1060"/>
      <c r="L805" s="1060"/>
    </row>
    <row r="806" spans="9:12" ht="15" customHeight="1">
      <c r="I806" s="683"/>
      <c r="J806" s="683"/>
      <c r="K806" s="1060"/>
      <c r="L806" s="1060"/>
    </row>
    <row r="807" spans="9:12" ht="15" customHeight="1">
      <c r="I807" s="683"/>
      <c r="J807" s="683"/>
      <c r="K807" s="1060"/>
      <c r="L807" s="1060"/>
    </row>
    <row r="808" spans="9:12" ht="15" customHeight="1">
      <c r="I808" s="683"/>
      <c r="J808" s="683"/>
      <c r="K808" s="1060"/>
      <c r="L808" s="1060"/>
    </row>
    <row r="809" spans="9:12" ht="15" customHeight="1">
      <c r="I809" s="683"/>
      <c r="J809" s="683"/>
      <c r="K809" s="1060"/>
      <c r="L809" s="1060"/>
    </row>
    <row r="810" spans="9:12" ht="15" customHeight="1">
      <c r="I810" s="683"/>
      <c r="J810" s="683"/>
      <c r="K810" s="1060"/>
      <c r="L810" s="1060"/>
    </row>
    <row r="811" spans="9:12" ht="15" customHeight="1">
      <c r="I811" s="683"/>
      <c r="J811" s="683"/>
      <c r="K811" s="1060"/>
      <c r="L811" s="1060"/>
    </row>
    <row r="812" spans="9:12" ht="15" customHeight="1">
      <c r="I812" s="683"/>
      <c r="J812" s="683"/>
      <c r="K812" s="1060"/>
      <c r="L812" s="1060"/>
    </row>
    <row r="813" spans="9:12" ht="15" customHeight="1">
      <c r="I813" s="683"/>
      <c r="J813" s="683"/>
      <c r="K813" s="1060"/>
      <c r="L813" s="1060"/>
    </row>
    <row r="814" spans="9:12" ht="15" customHeight="1">
      <c r="I814" s="683"/>
      <c r="J814" s="683"/>
      <c r="K814" s="1060"/>
      <c r="L814" s="1060"/>
    </row>
    <row r="815" spans="9:12" ht="15" customHeight="1">
      <c r="I815" s="683"/>
      <c r="J815" s="683"/>
      <c r="K815" s="1060"/>
      <c r="L815" s="1060"/>
    </row>
    <row r="816" spans="9:12" ht="15" customHeight="1">
      <c r="I816" s="683"/>
      <c r="J816" s="683"/>
      <c r="K816" s="1060"/>
      <c r="L816" s="1060"/>
    </row>
    <row r="817" spans="9:12" ht="15" customHeight="1">
      <c r="I817" s="683"/>
      <c r="J817" s="683"/>
      <c r="K817" s="1060"/>
      <c r="L817" s="1060"/>
    </row>
    <row r="818" spans="9:12" ht="15" customHeight="1">
      <c r="I818" s="683"/>
      <c r="J818" s="683"/>
      <c r="K818" s="1060"/>
      <c r="L818" s="1060"/>
    </row>
    <row r="819" spans="9:12" ht="15" customHeight="1">
      <c r="I819" s="683"/>
      <c r="J819" s="683"/>
      <c r="K819" s="1060"/>
      <c r="L819" s="1060"/>
    </row>
    <row r="820" spans="9:12" ht="15" customHeight="1">
      <c r="I820" s="683"/>
      <c r="J820" s="683"/>
      <c r="K820" s="1060"/>
      <c r="L820" s="1060"/>
    </row>
    <row r="821" spans="9:12" ht="15" customHeight="1">
      <c r="I821" s="683"/>
      <c r="J821" s="683"/>
      <c r="K821" s="1060"/>
      <c r="L821" s="1060"/>
    </row>
    <row r="822" spans="9:12" ht="15" customHeight="1">
      <c r="I822" s="683"/>
      <c r="J822" s="683"/>
      <c r="K822" s="1060"/>
      <c r="L822" s="1060"/>
    </row>
    <row r="823" spans="9:12" ht="15" customHeight="1">
      <c r="I823" s="683"/>
      <c r="J823" s="683"/>
      <c r="K823" s="1060"/>
      <c r="L823" s="1060"/>
    </row>
    <row r="824" spans="9:12" ht="15" customHeight="1">
      <c r="I824" s="683"/>
      <c r="J824" s="683"/>
      <c r="K824" s="1060"/>
      <c r="L824" s="1060"/>
    </row>
    <row r="825" spans="9:12" ht="15" customHeight="1">
      <c r="I825" s="683"/>
      <c r="J825" s="683"/>
      <c r="K825" s="1060"/>
      <c r="L825" s="1060"/>
    </row>
    <row r="826" spans="9:12" ht="15" customHeight="1">
      <c r="I826" s="683"/>
      <c r="J826" s="683"/>
      <c r="K826" s="1060"/>
      <c r="L826" s="1060"/>
    </row>
    <row r="827" spans="9:12" ht="15" customHeight="1">
      <c r="I827" s="683"/>
      <c r="J827" s="683"/>
      <c r="K827" s="1060"/>
      <c r="L827" s="1060"/>
    </row>
    <row r="828" spans="9:12" ht="15" customHeight="1">
      <c r="I828" s="683"/>
      <c r="J828" s="683"/>
      <c r="K828" s="1060"/>
      <c r="L828" s="1060"/>
    </row>
    <row r="829" spans="9:12" ht="15" customHeight="1">
      <c r="I829" s="683"/>
      <c r="J829" s="683"/>
      <c r="K829" s="1060"/>
      <c r="L829" s="1060"/>
    </row>
    <row r="830" spans="9:12" ht="15" customHeight="1">
      <c r="I830" s="683"/>
      <c r="J830" s="683"/>
      <c r="K830" s="1060"/>
      <c r="L830" s="1060"/>
    </row>
    <row r="831" spans="9:12" ht="15" customHeight="1">
      <c r="I831" s="683"/>
      <c r="J831" s="683"/>
      <c r="K831" s="1060"/>
      <c r="L831" s="1060"/>
    </row>
    <row r="832" spans="9:12" ht="15" customHeight="1">
      <c r="I832" s="683"/>
      <c r="J832" s="683"/>
      <c r="K832" s="1060"/>
      <c r="L832" s="1060"/>
    </row>
    <row r="833" spans="11:12" ht="15" customHeight="1">
      <c r="K833" s="2430"/>
    </row>
    <row r="836" spans="11:12" ht="15" customHeight="1">
      <c r="K836" s="2431"/>
      <c r="L836" s="2431"/>
    </row>
  </sheetData>
  <sheetProtection algorithmName="SHA-512" hashValue="Ugm62qXtd+yLxDWVa6ph6UTdj5bdwqe7F2lo2WPh5mSWpb7lydIzgij1pQ28V8ZsUuKNdtHzjmZbtVaEuzdCMQ==" saltValue="pycM+3QlOVy7OM0xF9TuuQ==" spinCount="100000" sheet="1" objects="1" scenarios="1"/>
  <pageMargins left="0.7" right="0.7" top="0.75" bottom="0.75" header="0.3" footer="0.3"/>
  <pageSetup paperSize="9" scale="17" fitToHeight="0" orientation="portrait" r:id="rId1"/>
  <customProperties>
    <customPr name="_pios_id" r:id="rId2"/>
  </customProperties>
  <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EB2F6E0F-D157-480A-9B63-12ACA5DB4880}">
            <xm:f>NOT(ISERROR(SEARCH(COBENEFICIOS!$AU$14,C75)))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 operator="containsText" id="{B6079F47-CAD9-4F45-8472-4F4E4A5CD028}">
            <xm:f>NOT(ISERROR(SEARCH(COBENEFICIOS!$AU$13,C75)))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 operator="containsText" id="{C49E263E-C1CF-4BAA-9F91-0CBBBD93B234}">
            <xm:f>NOT(ISERROR(SEARCH(COBENEFICIOS!$AU$12,C75)))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 operator="containsText" id="{45E6C25B-A324-4110-A1E7-6F41B3605B5E}">
            <xm:f>NOT(ISERROR(SEARCH(COBENEFICIOS!$AU$11,C75)))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C83:C87 D75:F76</xm:sqref>
        </x14:conditionalFormatting>
        <x14:conditionalFormatting xmlns:xm="http://schemas.microsoft.com/office/excel/2006/main">
          <x14:cfRule type="containsText" priority="337" operator="containsText" id="{A8E31404-222B-47FC-85EA-8F70520AFFEA}">
            <xm:f>NOT(ISERROR(SEARCH(COBENEFICIOS!$AU$14,D11)))</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38" operator="containsText" id="{214549BA-87EF-45B8-BED8-F12DA0D615EB}">
            <xm:f>NOT(ISERROR(SEARCH(COBENEFICIOS!$AU$13,D11)))</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39" operator="containsText" id="{C2C89BA6-3BFC-4BB3-8499-DA3DCECD21FC}">
            <xm:f>NOT(ISERROR(SEARCH(COBENEFICIOS!$AU$12,D11)))</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340" operator="containsText" id="{70C82B65-A08B-4A58-B68F-D07120378715}">
            <xm:f>NOT(ISERROR(SEARCH(COBENEFICIOS!$AU$11,D11)))</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D11:F11</xm:sqref>
        </x14:conditionalFormatting>
        <x14:conditionalFormatting xmlns:xm="http://schemas.microsoft.com/office/excel/2006/main">
          <x14:cfRule type="containsText" priority="37" operator="containsText" id="{BC8CB7E4-48D5-47EF-AB90-5C2A2745962F}">
            <xm:f>NOT(ISERROR(SEARCH(COBENEFICIOS!$AU$14,D15)))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8" operator="containsText" id="{E1408439-82A2-4A83-8573-5D4BC284FBA6}">
            <xm:f>NOT(ISERROR(SEARCH(COBENEFICIOS!$AU$13,D15)))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9" operator="containsText" id="{E9E129CF-7D93-40C9-AE91-A0199AD5ED2B}">
            <xm:f>NOT(ISERROR(SEARCH(COBENEFICIOS!$AU$12,D15)))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0" operator="containsText" id="{C06886E5-BA07-4359-926C-226DB232B41A}">
            <xm:f>NOT(ISERROR(SEARCH(COBENEFICIOS!$AU$11,D15)))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D15:F15</xm:sqref>
        </x14:conditionalFormatting>
        <x14:conditionalFormatting xmlns:xm="http://schemas.microsoft.com/office/excel/2006/main">
          <x14:cfRule type="containsText" priority="129" operator="containsText" id="{02CE72A2-2F2E-41CF-8D1B-58E3DBAB4ABD}">
            <xm:f>NOT(ISERROR(SEARCH(COBENEFICIOS!$AU$14,D19)))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30" operator="containsText" id="{24E6AE78-7F1A-45C5-909D-3AFB26BA747C}">
            <xm:f>NOT(ISERROR(SEARCH(COBENEFICIOS!$AU$13,D19)))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31" operator="containsText" id="{405F7F25-0FA0-4FE9-85AE-726CB809845B}">
            <xm:f>NOT(ISERROR(SEARCH(COBENEFICIOS!$AU$12,D19)))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32" operator="containsText" id="{CD3180A3-A878-40A9-9C1E-8E6A47F93008}">
            <xm:f>NOT(ISERROR(SEARCH(COBENEFICIOS!$AU$11,D19)))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D19:F21</xm:sqref>
        </x14:conditionalFormatting>
        <x14:conditionalFormatting xmlns:xm="http://schemas.microsoft.com/office/excel/2006/main">
          <x14:cfRule type="containsText" priority="125" operator="containsText" id="{542DF3E3-C2DD-4C16-9172-B31643DDE17F}">
            <xm:f>NOT(ISERROR(SEARCH(COBENEFICIOS!$AU$14,D26)))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26" operator="containsText" id="{ED348EB4-A55D-4A9B-AC55-AB30B57A6382}">
            <xm:f>NOT(ISERROR(SEARCH(COBENEFICIOS!$AU$13,D26)))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27" operator="containsText" id="{3ED452EC-0186-4D2D-94CB-F670564884A2}">
            <xm:f>NOT(ISERROR(SEARCH(COBENEFICIOS!$AU$12,D26)))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28" operator="containsText" id="{6D1873D7-4824-490E-B6F5-967176DE79B9}">
            <xm:f>NOT(ISERROR(SEARCH(COBENEFICIOS!$AU$11,D26)))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D26:F26</xm:sqref>
        </x14:conditionalFormatting>
        <x14:conditionalFormatting xmlns:xm="http://schemas.microsoft.com/office/excel/2006/main">
          <x14:cfRule type="containsText" priority="33" operator="containsText" id="{0D43DEA6-5461-4C7A-B264-62E432161F5D}">
            <xm:f>NOT(ISERROR(SEARCH(COBENEFICIOS!$AU$14,D29)))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4" operator="containsText" id="{4D8215AE-9202-48AB-B72B-EACA0CFD4D60}">
            <xm:f>NOT(ISERROR(SEARCH(COBENEFICIOS!$AU$13,D29)))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5" operator="containsText" id="{F3E7E7B1-2634-4363-9C14-B28C6CD01356}">
            <xm:f>NOT(ISERROR(SEARCH(COBENEFICIOS!$AU$12,D29)))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36" operator="containsText" id="{52F09B7F-2A09-48D5-B2E5-48D9A2D11669}">
            <xm:f>NOT(ISERROR(SEARCH(COBENEFICIOS!$AU$11,D29)))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D29:F30</xm:sqref>
        </x14:conditionalFormatting>
        <x14:conditionalFormatting xmlns:xm="http://schemas.microsoft.com/office/excel/2006/main">
          <x14:cfRule type="containsText" priority="21" operator="containsText" id="{E9CF6ABB-6F5F-406A-930A-AC39A29DB7F8}">
            <xm:f>NOT(ISERROR(SEARCH(COBENEFICIOS!$AU$14,D35)))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2" operator="containsText" id="{1880B28E-78E5-472E-9FA1-F2456BEEF344}">
            <xm:f>NOT(ISERROR(SEARCH(COBENEFICIOS!$AU$13,D35)))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3" operator="containsText" id="{55BB09AD-1689-4565-BE5A-9DA6555F2AAA}">
            <xm:f>NOT(ISERROR(SEARCH(COBENEFICIOS!$AU$12,D35)))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4" operator="containsText" id="{EA5A4104-FEE5-4036-AA38-594FB8CD8FBF}">
            <xm:f>NOT(ISERROR(SEARCH(COBENEFICIOS!$AU$11,D35)))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D35:F39</xm:sqref>
        </x14:conditionalFormatting>
        <x14:conditionalFormatting xmlns:xm="http://schemas.microsoft.com/office/excel/2006/main">
          <x14:cfRule type="containsText" priority="17" operator="containsText" id="{B0484388-8F55-4025-83E8-13F405EF777C}">
            <xm:f>NOT(ISERROR(SEARCH(COBENEFICIOS!$AU$14,D42)))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8" operator="containsText" id="{8E602A96-AAE7-48C3-8AC0-75F78FE095E3}">
            <xm:f>NOT(ISERROR(SEARCH(COBENEFICIOS!$AU$13,D42)))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9" operator="containsText" id="{06549470-702E-42AE-9C31-1BCFAC1CA683}">
            <xm:f>NOT(ISERROR(SEARCH(COBENEFICIOS!$AU$12,D42)))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0" operator="containsText" id="{7D653A84-B8FD-44E7-84EF-5A0457A6DDD4}">
            <xm:f>NOT(ISERROR(SEARCH(COBENEFICIOS!$AU$11,D42)))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D42:F43</xm:sqref>
        </x14:conditionalFormatting>
        <x14:conditionalFormatting xmlns:xm="http://schemas.microsoft.com/office/excel/2006/main">
          <x14:cfRule type="containsText" priority="81" operator="containsText" id="{9C084EE1-7F98-4880-B242-F91F6CBC30C2}">
            <xm:f>NOT(ISERROR(SEARCH(COBENEFICIOS!$AU$14,D48)))</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82" operator="containsText" id="{3614D55F-EA67-45C4-B79E-0F36C762AE36}">
            <xm:f>NOT(ISERROR(SEARCH(COBENEFICIOS!$AU$13,D48)))</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83" operator="containsText" id="{52F7A428-4714-43EA-9C7E-21D145F88AA6}">
            <xm:f>NOT(ISERROR(SEARCH(COBENEFICIOS!$AU$12,D48)))</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84" operator="containsText" id="{39278D27-C5D9-4CFE-9207-156F3A6A46C2}">
            <xm:f>NOT(ISERROR(SEARCH(COBENEFICIOS!$AU$11,D48)))</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D48:F49</xm:sqref>
        </x14:conditionalFormatting>
        <x14:conditionalFormatting xmlns:xm="http://schemas.microsoft.com/office/excel/2006/main">
          <x14:cfRule type="containsText" priority="73" operator="containsText" id="{E07FB67F-A513-4A03-BDD2-CB32E408418B}">
            <xm:f>NOT(ISERROR(SEARCH(COBENEFICIOS!$AU$14,D52)))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4" operator="containsText" id="{E1A8FFC4-8F02-4ADB-A48A-3B1EFE5A222F}">
            <xm:f>NOT(ISERROR(SEARCH(COBENEFICIOS!$AU$13,D52)))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5" operator="containsText" id="{465CBD23-1F53-4410-9DB8-23BADC82A080}">
            <xm:f>NOT(ISERROR(SEARCH(COBENEFICIOS!$AU$12,D52)))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6" operator="containsText" id="{744E0E7E-4D21-4816-9938-0743D22CD9A0}">
            <xm:f>NOT(ISERROR(SEARCH(COBENEFICIOS!$AU$11,D52)))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D52:F53</xm:sqref>
        </x14:conditionalFormatting>
        <x14:conditionalFormatting xmlns:xm="http://schemas.microsoft.com/office/excel/2006/main">
          <x14:cfRule type="containsText" priority="65" operator="containsText" id="{41077E67-C8EB-49CB-99D6-2925368B7D4F}">
            <xm:f>NOT(ISERROR(SEARCH(COBENEFICIOS!$AU$14,D56)))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66" operator="containsText" id="{2B859B49-496F-4E34-8C63-939994193096}">
            <xm:f>NOT(ISERROR(SEARCH(COBENEFICIOS!$AU$13,D56)))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67" operator="containsText" id="{C2AD171A-998C-43E5-AA85-3C76D7CB8168}">
            <xm:f>NOT(ISERROR(SEARCH(COBENEFICIOS!$AU$12,D56)))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68" operator="containsText" id="{847DE534-229D-4780-9489-880760D021FD}">
            <xm:f>NOT(ISERROR(SEARCH(COBENEFICIOS!$AU$11,D56)))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D56:F56</xm:sqref>
        </x14:conditionalFormatting>
        <x14:conditionalFormatting xmlns:xm="http://schemas.microsoft.com/office/excel/2006/main">
          <x14:cfRule type="containsText" priority="69" operator="containsText" id="{6AD6D052-863E-42DC-B90B-7721FDFEEEE3}">
            <xm:f>NOT(ISERROR(SEARCH(COBENEFICIOS!$AU$14,D59)))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0" operator="containsText" id="{181815E3-6431-4811-AF69-6A55F269382B}">
            <xm:f>NOT(ISERROR(SEARCH(COBENEFICIOS!$AU$13,D59)))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1" operator="containsText" id="{ED511A5B-20DA-4EA2-B51D-DDAF491BE9BF}">
            <xm:f>NOT(ISERROR(SEARCH(COBENEFICIOS!$AU$12,D59)))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2" operator="containsText" id="{79A75BC3-347D-4E55-B5BC-686CCEDABABC}">
            <xm:f>NOT(ISERROR(SEARCH(COBENEFICIOS!$AU$11,D59)))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D59:F59</xm:sqref>
        </x14:conditionalFormatting>
        <x14:conditionalFormatting xmlns:xm="http://schemas.microsoft.com/office/excel/2006/main">
          <x14:cfRule type="containsText" priority="53" operator="containsText" id="{62354935-4BB6-4190-91EE-44EC697FBDD2}">
            <xm:f>NOT(ISERROR(SEARCH(COBENEFICIOS!$AU$14,D63)))</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54" operator="containsText" id="{B67AFA30-5ACA-4C7A-BF84-4976E7047C51}">
            <xm:f>NOT(ISERROR(SEARCH(COBENEFICIOS!$AU$13,D63)))</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55" operator="containsText" id="{84A7AD6F-0597-41CD-9F7E-88C3975119C9}">
            <xm:f>NOT(ISERROR(SEARCH(COBENEFICIOS!$AU$12,D63)))</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56" operator="containsText" id="{428EC605-7E30-45C7-B32C-32793998942B}">
            <xm:f>NOT(ISERROR(SEARCH(COBENEFICIOS!$AU$11,D63)))</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D63:F65</xm:sqref>
        </x14:conditionalFormatting>
        <x14:conditionalFormatting xmlns:xm="http://schemas.microsoft.com/office/excel/2006/main">
          <x14:cfRule type="containsText" priority="41" operator="containsText" id="{037C0682-3BB8-4DE2-8956-715C6AF64E40}">
            <xm:f>NOT(ISERROR(SEARCH(COBENEFICIOS!$AU$14,D69)))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42" operator="containsText" id="{6874D02B-6E88-4209-92BD-9BCFDC80D998}">
            <xm:f>NOT(ISERROR(SEARCH(COBENEFICIOS!$AU$13,D69)))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3" operator="containsText" id="{64D7405E-D33F-4FD6-B129-7A41485F683B}">
            <xm:f>NOT(ISERROR(SEARCH(COBENEFICIOS!$AU$12,D69)))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4" operator="containsText" id="{246F2491-8655-4452-9347-A959D36CB19D}">
            <xm:f>NOT(ISERROR(SEARCH(COBENEFICIOS!$AU$11,D69)))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D69:F71</xm:sqref>
        </x14:conditionalFormatting>
        <x14:conditionalFormatting xmlns:xm="http://schemas.microsoft.com/office/excel/2006/main">
          <x14:cfRule type="containsText" priority="9" operator="containsText" id="{9C65313A-F285-4DE1-A69B-6925772D5623}">
            <xm:f>NOT(ISERROR(SEARCH(COBENEFICIOS!$AU$14,D79)))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0" operator="containsText" id="{6A7B8746-611D-47A2-B92A-1E43B58C3C6A}">
            <xm:f>NOT(ISERROR(SEARCH(COBENEFICIOS!$AU$13,D79)))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1" operator="containsText" id="{5389C90C-2A0E-45EF-9923-5E7A535B864E}">
            <xm:f>NOT(ISERROR(SEARCH(COBENEFICIOS!$AU$12,D79)))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2" operator="containsText" id="{0FB17449-B17C-43A9-8DC8-0024A1EABA62}">
            <xm:f>NOT(ISERROR(SEARCH(COBENEFICIOS!$AU$11,D79)))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D79:F79</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E8ECD-BE57-40BF-8FF9-7D75347982F5}">
  <sheetPr codeName="Hoja53">
    <pageSetUpPr fitToPage="1"/>
  </sheetPr>
  <dimension ref="A1:K565"/>
  <sheetViews>
    <sheetView showGridLines="0" zoomScale="80" zoomScaleNormal="80" workbookViewId="0"/>
  </sheetViews>
  <sheetFormatPr baseColWidth="10" defaultColWidth="11.42578125" defaultRowHeight="15" customHeight="1"/>
  <cols>
    <col min="1" max="1" width="20.7109375" style="678" customWidth="1"/>
    <col min="2" max="2" width="7.7109375" style="679" customWidth="1"/>
    <col min="3" max="3" width="93.7109375" style="679" bestFit="1" customWidth="1"/>
    <col min="4" max="4" width="22.28515625" style="679" bestFit="1" customWidth="1"/>
    <col min="5" max="11" width="13" style="679" bestFit="1" customWidth="1"/>
    <col min="12" max="16384" width="11.42578125" style="679"/>
  </cols>
  <sheetData>
    <row r="1" spans="1:11" s="680" customFormat="1" ht="15" customHeight="1">
      <c r="A1" s="678"/>
      <c r="B1" s="679"/>
      <c r="C1" s="679"/>
      <c r="D1" s="679"/>
      <c r="E1" s="679"/>
      <c r="F1" s="679"/>
      <c r="G1" s="679"/>
    </row>
    <row r="3" spans="1:11" ht="15" customHeight="1">
      <c r="B3" s="680"/>
      <c r="C3" s="680"/>
      <c r="D3" s="680"/>
    </row>
    <row r="4" spans="1:11" ht="15" customHeight="1">
      <c r="B4" s="680"/>
      <c r="C4" s="680"/>
      <c r="D4" s="680"/>
    </row>
    <row r="5" spans="1:11" ht="15" customHeight="1">
      <c r="A5" s="1559"/>
      <c r="B5" s="680"/>
      <c r="C5" s="2278" t="s">
        <v>284</v>
      </c>
      <c r="D5" s="2279"/>
      <c r="E5" s="2279"/>
      <c r="F5" s="2279"/>
      <c r="G5" s="2279"/>
      <c r="H5" s="2279"/>
      <c r="I5" s="2279"/>
      <c r="J5" s="2279"/>
      <c r="K5" s="2279"/>
    </row>
    <row r="6" spans="1:11" ht="15" customHeight="1">
      <c r="B6" s="680"/>
      <c r="C6" s="680"/>
      <c r="D6" s="680"/>
    </row>
    <row r="7" spans="1:11" ht="15" customHeight="1">
      <c r="B7" s="680"/>
      <c r="C7" s="680"/>
      <c r="D7" s="680"/>
    </row>
    <row r="8" spans="1:11" ht="15" customHeight="1">
      <c r="B8" s="680"/>
      <c r="C8" s="680"/>
      <c r="D8" s="680"/>
    </row>
    <row r="9" spans="1:11" ht="15" customHeight="1">
      <c r="B9" s="680"/>
      <c r="C9" s="3895" t="s">
        <v>352</v>
      </c>
      <c r="D9" s="3895"/>
      <c r="E9" s="3895"/>
      <c r="F9" s="3895"/>
      <c r="G9" s="3895"/>
      <c r="H9" s="3895"/>
      <c r="I9" s="3895"/>
      <c r="J9" s="3895"/>
      <c r="K9" s="3895"/>
    </row>
    <row r="10" spans="1:11" ht="15" customHeight="1">
      <c r="B10" s="680"/>
      <c r="C10" s="3419"/>
      <c r="D10" s="3420"/>
      <c r="E10" s="3421"/>
      <c r="F10" s="3421"/>
      <c r="G10" s="3421"/>
      <c r="H10" s="3421"/>
      <c r="I10" s="3421"/>
      <c r="J10" s="3421"/>
      <c r="K10" s="3421"/>
    </row>
    <row r="11" spans="1:11" ht="15" customHeight="1">
      <c r="B11" s="680"/>
      <c r="C11" s="3422" t="s">
        <v>353</v>
      </c>
      <c r="D11" s="3422">
        <v>2018</v>
      </c>
      <c r="E11" s="3422" t="s">
        <v>322</v>
      </c>
      <c r="F11" s="3422" t="s">
        <v>323</v>
      </c>
      <c r="G11" s="3422" t="s">
        <v>324</v>
      </c>
      <c r="H11" s="3422" t="s">
        <v>325</v>
      </c>
      <c r="I11" s="3422" t="s">
        <v>326</v>
      </c>
      <c r="J11" s="3422" t="s">
        <v>327</v>
      </c>
      <c r="K11" s="3422" t="s">
        <v>328</v>
      </c>
    </row>
    <row r="12" spans="1:11" ht="15" customHeight="1">
      <c r="B12" s="680"/>
      <c r="C12" s="3426" t="s">
        <v>292</v>
      </c>
      <c r="D12" s="3427" cm="1">
        <f t="array" ref="D12:K12">_xlfn.ANCHORARRAY(COBENEFICIOS!D307)</f>
        <v>0</v>
      </c>
      <c r="E12" s="3428">
        <v>0</v>
      </c>
      <c r="F12" s="3428">
        <v>0</v>
      </c>
      <c r="G12" s="3428">
        <v>0</v>
      </c>
      <c r="H12" s="3428">
        <v>0</v>
      </c>
      <c r="I12" s="3428">
        <v>0</v>
      </c>
      <c r="J12" s="3428">
        <v>0</v>
      </c>
      <c r="K12" s="3428">
        <v>0</v>
      </c>
    </row>
    <row r="13" spans="1:11" ht="15" customHeight="1">
      <c r="B13" s="680"/>
      <c r="C13" s="3429" t="s">
        <v>294</v>
      </c>
      <c r="D13" s="3430" cm="1">
        <f t="array" ref="D13:K13">_xlfn.ANCHORARRAY(COBENEFICIOS!D308)</f>
        <v>0</v>
      </c>
      <c r="E13" s="3430">
        <v>0</v>
      </c>
      <c r="F13" s="3430">
        <v>36925.744916861942</v>
      </c>
      <c r="G13" s="3430">
        <v>0</v>
      </c>
      <c r="H13" s="3430">
        <v>17165.759042168549</v>
      </c>
      <c r="I13" s="3430">
        <v>7974.067267055364</v>
      </c>
      <c r="J13" s="3430">
        <v>38217.845931484058</v>
      </c>
      <c r="K13" s="3430">
        <v>17446.407758668647</v>
      </c>
    </row>
    <row r="14" spans="1:11" ht="15" customHeight="1">
      <c r="B14" s="680"/>
      <c r="C14" s="3429" t="s">
        <v>296</v>
      </c>
      <c r="D14" s="3430" cm="1">
        <f t="array" ref="D14:K14">_xlfn.ANCHORARRAY(COBENEFICIOS!D309)</f>
        <v>274503.85894473788</v>
      </c>
      <c r="E14" s="3430">
        <v>274503.85894473788</v>
      </c>
      <c r="F14" s="3430">
        <v>317311.47002106946</v>
      </c>
      <c r="G14" s="3430">
        <v>360649.91038471047</v>
      </c>
      <c r="H14" s="3430">
        <v>360649.91038471047</v>
      </c>
      <c r="I14" s="3430">
        <v>360649.91038471047</v>
      </c>
      <c r="J14" s="3430">
        <v>360649.91038471047</v>
      </c>
      <c r="K14" s="3430">
        <v>360649.91038471047</v>
      </c>
    </row>
    <row r="15" spans="1:11" ht="15" customHeight="1">
      <c r="B15" s="680"/>
      <c r="C15" s="3429" t="s">
        <v>130</v>
      </c>
      <c r="D15" s="3431" cm="1">
        <f t="array" ref="D15:K15">_xlfn.ANCHORARRAY(COBENEFICIOS!D310)</f>
        <v>330.13426468044088</v>
      </c>
      <c r="E15" s="3431">
        <v>356.76773214493227</v>
      </c>
      <c r="F15" s="3431">
        <v>424.43389582432246</v>
      </c>
      <c r="G15" s="3431">
        <v>494.36083445850983</v>
      </c>
      <c r="H15" s="3431">
        <v>494.36083445850983</v>
      </c>
      <c r="I15" s="3431">
        <v>494.36083445850983</v>
      </c>
      <c r="J15" s="3431">
        <v>494.36083445850983</v>
      </c>
      <c r="K15" s="3431">
        <v>494.36083445850983</v>
      </c>
    </row>
    <row r="16" spans="1:11" ht="15" customHeight="1">
      <c r="B16" s="680"/>
      <c r="C16" s="3429" t="s">
        <v>132</v>
      </c>
      <c r="D16" s="3431" cm="1">
        <f t="array" ref="D16:K16">_xlfn.ANCHORARRAY(COBENEFICIOS!D311)</f>
        <v>13.026121004001812</v>
      </c>
      <c r="E16" s="3431">
        <v>13.026121004001812</v>
      </c>
      <c r="F16" s="3431">
        <v>13.026121004001812</v>
      </c>
      <c r="G16" s="3431">
        <v>13.026121004001812</v>
      </c>
      <c r="H16" s="3431">
        <v>13.026121004001812</v>
      </c>
      <c r="I16" s="3431">
        <v>13.026121004001812</v>
      </c>
      <c r="J16" s="3431">
        <v>13.026121004001812</v>
      </c>
      <c r="K16" s="3431">
        <v>13.026121004001812</v>
      </c>
    </row>
    <row r="17" spans="2:11" ht="15" customHeight="1">
      <c r="B17" s="680"/>
      <c r="C17" s="3429" t="s">
        <v>135</v>
      </c>
      <c r="D17" s="3431" cm="1">
        <f t="array" ref="D17:K17">_xlfn.ANCHORARRAY(COBENEFICIOS!D312)</f>
        <v>508.20051420765293</v>
      </c>
      <c r="E17" s="3430">
        <v>590.71931180175091</v>
      </c>
      <c r="F17" s="3430">
        <v>755.8354511442667</v>
      </c>
      <c r="G17" s="3430">
        <v>955.29282367329336</v>
      </c>
      <c r="H17" s="3430">
        <v>1107.5307311547231</v>
      </c>
      <c r="I17" s="3430">
        <v>1315.5323507701744</v>
      </c>
      <c r="J17" s="3430">
        <v>1540.4737144529502</v>
      </c>
      <c r="K17" s="3430">
        <v>1717.9665760949324</v>
      </c>
    </row>
    <row r="18" spans="2:11" ht="15" customHeight="1">
      <c r="B18" s="680"/>
      <c r="C18" s="3429" t="s">
        <v>144</v>
      </c>
      <c r="D18" s="3431" cm="1">
        <f t="array" ref="D18:K18">_xlfn.ANCHORARRAY(COBENEFICIOS!D313)</f>
        <v>0</v>
      </c>
      <c r="E18" s="3432">
        <v>0</v>
      </c>
      <c r="F18" s="3432">
        <v>0</v>
      </c>
      <c r="G18" s="3432">
        <v>0</v>
      </c>
      <c r="H18" s="3432">
        <v>0</v>
      </c>
      <c r="I18" s="3432">
        <v>0</v>
      </c>
      <c r="J18" s="3432">
        <v>0</v>
      </c>
      <c r="K18" s="3432">
        <v>0</v>
      </c>
    </row>
    <row r="19" spans="2:11" ht="15" customHeight="1">
      <c r="B19" s="680"/>
      <c r="C19" s="3429" t="s">
        <v>99</v>
      </c>
      <c r="D19" s="3431" cm="1">
        <f t="array" ref="D19:K19">_xlfn.ANCHORARRAY(COBENEFICIOS!D314)</f>
        <v>0</v>
      </c>
      <c r="E19" s="3430">
        <v>6043.9381731737885</v>
      </c>
      <c r="F19" s="3430">
        <v>5091.5176744592327</v>
      </c>
      <c r="G19" s="3430">
        <v>4351.9796932410982</v>
      </c>
      <c r="H19" s="3430">
        <v>3724.2431871646136</v>
      </c>
      <c r="I19" s="3430">
        <v>3713.9532975422785</v>
      </c>
      <c r="J19" s="3430">
        <v>3880.3111586840637</v>
      </c>
      <c r="K19" s="3430">
        <v>4117.7606424858996</v>
      </c>
    </row>
    <row r="20" spans="2:11" ht="15" customHeight="1">
      <c r="B20" s="680"/>
      <c r="C20" s="3429" t="s">
        <v>101</v>
      </c>
      <c r="D20" s="3431" cm="1">
        <f t="array" ref="D20:K20">_xlfn.ANCHORARRAY(COBENEFICIOS!D315)</f>
        <v>0</v>
      </c>
      <c r="E20" s="3430">
        <v>1878.5782906292034</v>
      </c>
      <c r="F20" s="3430">
        <v>1083.0216315118723</v>
      </c>
      <c r="G20" s="3430">
        <v>1184.4838411804124</v>
      </c>
      <c r="H20" s="3430">
        <v>1380.9122374412475</v>
      </c>
      <c r="I20" s="3430">
        <v>1664.2134626655238</v>
      </c>
      <c r="J20" s="3430">
        <v>2053.1177266630884</v>
      </c>
      <c r="K20" s="3430">
        <v>2524.70381207321</v>
      </c>
    </row>
    <row r="21" spans="2:11" ht="15" customHeight="1">
      <c r="B21" s="680"/>
      <c r="C21" s="3429" t="s">
        <v>306</v>
      </c>
      <c r="D21" s="3431" cm="1">
        <f t="array" ref="D21:K21">_xlfn.ANCHORARRAY(COBENEFICIOS!D316)</f>
        <v>0.51234296332668128</v>
      </c>
      <c r="E21" s="3431">
        <v>1.0104943642516029</v>
      </c>
      <c r="F21" s="3431">
        <v>0.97586941343111078</v>
      </c>
      <c r="G21" s="3431">
        <v>0.9424308989349911</v>
      </c>
      <c r="H21" s="3431">
        <v>0.91013816709822926</v>
      </c>
      <c r="I21" s="3431">
        <v>0.87895195726818365</v>
      </c>
      <c r="J21" s="3431">
        <v>0.84883435407251806</v>
      </c>
      <c r="K21" s="3431">
        <v>0.81974874132269071</v>
      </c>
    </row>
    <row r="22" spans="2:11" ht="15" customHeight="1">
      <c r="B22" s="680"/>
      <c r="C22" s="3429" t="s">
        <v>354</v>
      </c>
      <c r="D22" s="3431" cm="1">
        <f t="array" ref="D22:K22">_xlfn.ANCHORARRAY(COBENEFICIOS!D317)</f>
        <v>6.009130525298584</v>
      </c>
      <c r="E22" s="3431">
        <v>5.9259060478154044</v>
      </c>
      <c r="F22" s="3431">
        <v>5.9259060478154044</v>
      </c>
      <c r="G22" s="3431">
        <v>5.9259060478154044</v>
      </c>
      <c r="H22" s="3431">
        <v>5.9259060478154044</v>
      </c>
      <c r="I22" s="3431">
        <v>5.9259060478154044</v>
      </c>
      <c r="J22" s="3431">
        <v>5.9259060478154044</v>
      </c>
      <c r="K22" s="3431">
        <v>5.9259060478154044</v>
      </c>
    </row>
    <row r="23" spans="2:11" ht="15" customHeight="1">
      <c r="B23" s="680"/>
      <c r="C23" s="3426" t="s">
        <v>310</v>
      </c>
      <c r="D23" s="3427" cm="1">
        <f t="array" ref="D23:K23">_xlfn.ANCHORARRAY(COBENEFICIOS!D318)</f>
        <v>36506.458950532869</v>
      </c>
      <c r="E23" s="3427">
        <v>1.4552958125890119</v>
      </c>
      <c r="F23" s="3427">
        <v>1.4672505976494379</v>
      </c>
      <c r="G23" s="3427">
        <v>1.5863137871274813</v>
      </c>
      <c r="H23" s="3427">
        <v>2.0505794118489815</v>
      </c>
      <c r="I23" s="3427">
        <v>1.9845034110037587</v>
      </c>
      <c r="J23" s="3427">
        <v>1.9845034110037618</v>
      </c>
      <c r="K23" s="3427">
        <v>1.9845034110037647</v>
      </c>
    </row>
    <row r="24" spans="2:11" ht="15" customHeight="1">
      <c r="B24" s="680"/>
      <c r="C24" s="3421"/>
      <c r="D24" s="3421"/>
      <c r="E24" s="3421"/>
      <c r="F24" s="3421"/>
      <c r="G24" s="3421"/>
      <c r="H24" s="3421"/>
      <c r="I24" s="3421"/>
      <c r="J24" s="3421"/>
      <c r="K24" s="3421"/>
    </row>
    <row r="25" spans="2:11" ht="15" customHeight="1">
      <c r="B25" s="680"/>
      <c r="C25" s="3895" t="s">
        <v>355</v>
      </c>
      <c r="D25" s="3895"/>
      <c r="E25" s="3895"/>
      <c r="F25" s="3895"/>
      <c r="G25" s="3895"/>
      <c r="H25" s="3895"/>
      <c r="I25" s="3895"/>
      <c r="J25" s="3895"/>
      <c r="K25" s="3895"/>
    </row>
    <row r="26" spans="2:11" ht="15" customHeight="1">
      <c r="B26" s="680"/>
      <c r="C26" s="3421"/>
      <c r="D26" s="3421"/>
      <c r="E26" s="3421"/>
      <c r="F26" s="3421"/>
      <c r="G26" s="3421"/>
      <c r="H26" s="3421"/>
      <c r="I26" s="3421"/>
      <c r="J26" s="3421"/>
      <c r="K26" s="3421"/>
    </row>
    <row r="27" spans="2:11" ht="15" customHeight="1">
      <c r="B27" s="680"/>
      <c r="C27" s="3422" t="s">
        <v>353</v>
      </c>
      <c r="D27" s="3422">
        <v>2018</v>
      </c>
      <c r="E27" s="3422" t="s">
        <v>322</v>
      </c>
      <c r="F27" s="3422" t="s">
        <v>323</v>
      </c>
      <c r="G27" s="3422" t="s">
        <v>324</v>
      </c>
      <c r="H27" s="3422" t="s">
        <v>325</v>
      </c>
      <c r="I27" s="3422" t="s">
        <v>326</v>
      </c>
      <c r="J27" s="3422" t="s">
        <v>327</v>
      </c>
      <c r="K27" s="3422" t="s">
        <v>328</v>
      </c>
    </row>
    <row r="28" spans="2:11" ht="15" customHeight="1">
      <c r="B28" s="680"/>
      <c r="C28" s="2989" t="s">
        <v>356</v>
      </c>
      <c r="D28" s="3423" cm="1">
        <f t="array" ref="D28:K28">COBENEFICIOS!D320:K320</f>
        <v>311868.20026865148</v>
      </c>
      <c r="E28" s="3423">
        <v>283395.28026971623</v>
      </c>
      <c r="F28" s="3423">
        <v>361613.41873793397</v>
      </c>
      <c r="G28" s="3423">
        <v>367657.5083490017</v>
      </c>
      <c r="H28" s="3423">
        <v>384544.62916172884</v>
      </c>
      <c r="I28" s="3423">
        <v>375833.85307962244</v>
      </c>
      <c r="J28" s="3423">
        <v>406857.80511527002</v>
      </c>
      <c r="K28" s="3423">
        <v>386972.86628769583</v>
      </c>
    </row>
    <row r="29" spans="2:11" ht="15" customHeight="1">
      <c r="B29" s="680"/>
      <c r="C29" s="3421"/>
      <c r="D29" s="3421"/>
      <c r="E29" s="3421"/>
      <c r="F29" s="3421"/>
      <c r="G29" s="3421"/>
      <c r="H29" s="3421"/>
      <c r="I29" s="3421"/>
      <c r="J29" s="3421"/>
      <c r="K29" s="3421"/>
    </row>
    <row r="30" spans="2:11" ht="15" customHeight="1">
      <c r="B30" s="680"/>
      <c r="C30" s="3421"/>
      <c r="D30" s="3421"/>
      <c r="E30" s="3421"/>
      <c r="F30" s="3421"/>
      <c r="G30" s="3421"/>
      <c r="H30" s="3421"/>
      <c r="I30" s="3421"/>
      <c r="J30" s="3421"/>
      <c r="K30" s="3421"/>
    </row>
    <row r="31" spans="2:11" ht="15" customHeight="1">
      <c r="B31" s="680"/>
      <c r="C31" s="3895" t="s">
        <v>357</v>
      </c>
      <c r="D31" s="3895"/>
      <c r="E31" s="3895"/>
      <c r="F31" s="3895"/>
      <c r="G31" s="3895"/>
      <c r="H31" s="3895"/>
      <c r="I31" s="3895"/>
      <c r="J31" s="3895"/>
      <c r="K31" s="3895"/>
    </row>
    <row r="32" spans="2:11" ht="15" customHeight="1">
      <c r="B32" s="680"/>
      <c r="C32" s="3419"/>
      <c r="D32" s="3420"/>
      <c r="E32" s="3421"/>
      <c r="F32" s="3421"/>
      <c r="G32" s="3421"/>
      <c r="H32" s="3421"/>
      <c r="I32" s="3421"/>
      <c r="J32" s="3421"/>
      <c r="K32" s="3421"/>
    </row>
    <row r="33" spans="2:11" ht="15" customHeight="1">
      <c r="B33" s="680"/>
      <c r="C33" s="3422" t="s">
        <v>353</v>
      </c>
      <c r="D33" s="3422">
        <v>2018</v>
      </c>
      <c r="E33" s="3422" t="s">
        <v>322</v>
      </c>
      <c r="F33" s="3422" t="s">
        <v>323</v>
      </c>
      <c r="G33" s="3422" t="s">
        <v>324</v>
      </c>
      <c r="H33" s="3422" t="s">
        <v>325</v>
      </c>
      <c r="I33" s="3422" t="s">
        <v>326</v>
      </c>
      <c r="J33" s="3422" t="s">
        <v>327</v>
      </c>
      <c r="K33" s="3422" t="s">
        <v>328</v>
      </c>
    </row>
    <row r="34" spans="2:11" ht="15" customHeight="1">
      <c r="B34" s="680"/>
      <c r="C34" s="3426" t="s">
        <v>292</v>
      </c>
      <c r="D34" s="3428" cm="1">
        <f t="array" ref="D34:K34">COBENEFICIOS!D325:K325</f>
        <v>0</v>
      </c>
      <c r="E34" s="3428">
        <v>0</v>
      </c>
      <c r="F34" s="3428">
        <v>0</v>
      </c>
      <c r="G34" s="3428">
        <v>0</v>
      </c>
      <c r="H34" s="3428">
        <v>0</v>
      </c>
      <c r="I34" s="3428">
        <v>0</v>
      </c>
      <c r="J34" s="3428">
        <v>0</v>
      </c>
      <c r="K34" s="3428">
        <v>0</v>
      </c>
    </row>
    <row r="35" spans="2:11" ht="15" customHeight="1">
      <c r="B35" s="680"/>
      <c r="C35" s="3429" t="s">
        <v>294</v>
      </c>
      <c r="D35" s="3430" cm="1">
        <f t="array" ref="D35:K35">COBENEFICIOS!D326:K326</f>
        <v>0</v>
      </c>
      <c r="E35" s="3430">
        <v>0</v>
      </c>
      <c r="F35" s="3430">
        <v>36925.744916861942</v>
      </c>
      <c r="G35" s="3430">
        <v>0</v>
      </c>
      <c r="H35" s="3430">
        <v>17165.759042168549</v>
      </c>
      <c r="I35" s="3430">
        <v>7974.067267055364</v>
      </c>
      <c r="J35" s="3430">
        <v>38217.845931484058</v>
      </c>
      <c r="K35" s="3430">
        <v>17446.407758668647</v>
      </c>
    </row>
    <row r="36" spans="2:11" ht="15" customHeight="1">
      <c r="B36" s="680"/>
      <c r="C36" s="3429" t="s">
        <v>296</v>
      </c>
      <c r="D36" s="3430" cm="1">
        <f t="array" ref="D36:K36">COBENEFICIOS!D327:K327</f>
        <v>164702.31536684273</v>
      </c>
      <c r="E36" s="3430">
        <v>164702.31536684273</v>
      </c>
      <c r="F36" s="3430">
        <v>190386.88201264164</v>
      </c>
      <c r="G36" s="3430">
        <v>216389.94623082626</v>
      </c>
      <c r="H36" s="3430">
        <v>216389.94623082626</v>
      </c>
      <c r="I36" s="3430">
        <v>216389.94623082626</v>
      </c>
      <c r="J36" s="3430">
        <v>216389.94623082626</v>
      </c>
      <c r="K36" s="3430">
        <v>216389.94623082626</v>
      </c>
    </row>
    <row r="37" spans="2:11" ht="15" customHeight="1">
      <c r="B37" s="680"/>
      <c r="C37" s="3429" t="s">
        <v>130</v>
      </c>
      <c r="D37" s="3431" cm="1">
        <f t="array" ref="D37:K37">COBENEFICIOS!D328:K328</f>
        <v>141.48611343447467</v>
      </c>
      <c r="E37" s="3431">
        <v>152.9004566335424</v>
      </c>
      <c r="F37" s="3431">
        <v>181.90024106756678</v>
      </c>
      <c r="G37" s="3431">
        <v>211.86892905364709</v>
      </c>
      <c r="H37" s="3431">
        <v>211.86892905364709</v>
      </c>
      <c r="I37" s="3431">
        <v>211.86892905364709</v>
      </c>
      <c r="J37" s="3431">
        <v>211.86892905364709</v>
      </c>
      <c r="K37" s="3431">
        <v>211.86892905364709</v>
      </c>
    </row>
    <row r="38" spans="2:11" ht="15" customHeight="1">
      <c r="B38" s="680"/>
      <c r="C38" s="3429" t="s">
        <v>132</v>
      </c>
      <c r="D38" s="3431" cm="1">
        <f t="array" ref="D38:K38">COBENEFICIOS!D329:K329</f>
        <v>6.513060502000906</v>
      </c>
      <c r="E38" s="3431">
        <v>6.513060502000906</v>
      </c>
      <c r="F38" s="3431">
        <v>6.513060502000906</v>
      </c>
      <c r="G38" s="3431">
        <v>6.513060502000906</v>
      </c>
      <c r="H38" s="3431">
        <v>6.513060502000906</v>
      </c>
      <c r="I38" s="3431">
        <v>6.513060502000906</v>
      </c>
      <c r="J38" s="3431">
        <v>6.513060502000906</v>
      </c>
      <c r="K38" s="3431">
        <v>6.513060502000906</v>
      </c>
    </row>
    <row r="39" spans="2:11" ht="15" customHeight="1">
      <c r="B39" s="680"/>
      <c r="C39" s="3429" t="s">
        <v>135</v>
      </c>
      <c r="D39" s="3430" cm="1">
        <f t="array" ref="D39:K39">COBENEFICIOS!D330:K330</f>
        <v>406.56041136612231</v>
      </c>
      <c r="E39" s="3430">
        <v>472.57544944140068</v>
      </c>
      <c r="F39" s="3430">
        <v>604.66836091541336</v>
      </c>
      <c r="G39" s="3430">
        <v>764.23425893863464</v>
      </c>
      <c r="H39" s="3430">
        <v>886.02458492377832</v>
      </c>
      <c r="I39" s="3430">
        <v>1052.4258806161395</v>
      </c>
      <c r="J39" s="3430">
        <v>1232.37897156236</v>
      </c>
      <c r="K39" s="3430">
        <v>1374.3732608759458</v>
      </c>
    </row>
    <row r="40" spans="2:11" ht="15" customHeight="1">
      <c r="B40" s="680"/>
      <c r="C40" s="3429" t="s">
        <v>144</v>
      </c>
      <c r="D40" s="3432" cm="1">
        <f t="array" ref="D40:K40">COBENEFICIOS!D331:K331</f>
        <v>0</v>
      </c>
      <c r="E40" s="3432">
        <v>0</v>
      </c>
      <c r="F40" s="3432">
        <v>0</v>
      </c>
      <c r="G40" s="3432">
        <v>0</v>
      </c>
      <c r="H40" s="3432">
        <v>0</v>
      </c>
      <c r="I40" s="3432">
        <v>0</v>
      </c>
      <c r="J40" s="3432">
        <v>0</v>
      </c>
      <c r="K40" s="3432">
        <v>0</v>
      </c>
    </row>
    <row r="41" spans="2:11" ht="15" customHeight="1">
      <c r="B41" s="680"/>
      <c r="C41" s="3429" t="s">
        <v>99</v>
      </c>
      <c r="D41" s="3430" cm="1">
        <f t="array" ref="D41:K41">COBENEFICIOS!D332:K332</f>
        <v>0</v>
      </c>
      <c r="E41" s="3430">
        <v>24175.752692695154</v>
      </c>
      <c r="F41" s="3430">
        <v>20366.070697836931</v>
      </c>
      <c r="G41" s="3430">
        <v>17407.918772964393</v>
      </c>
      <c r="H41" s="3430">
        <v>14896.972748658454</v>
      </c>
      <c r="I41" s="3430">
        <v>14855.813190169114</v>
      </c>
      <c r="J41" s="3430">
        <v>15521.244634736255</v>
      </c>
      <c r="K41" s="3430">
        <v>16471.042569943598</v>
      </c>
    </row>
    <row r="42" spans="2:11" ht="15" customHeight="1">
      <c r="B42" s="680"/>
      <c r="C42" s="3429" t="s">
        <v>101</v>
      </c>
      <c r="D42" s="3430" cm="1">
        <f t="array" ref="D42:K42">COBENEFICIOS!D333:K333</f>
        <v>0</v>
      </c>
      <c r="E42" s="3430">
        <v>7514.3131625168135</v>
      </c>
      <c r="F42" s="3430">
        <v>4332.0865260474893</v>
      </c>
      <c r="G42" s="3430">
        <v>4737.9353647216494</v>
      </c>
      <c r="H42" s="3430">
        <v>5523.64894976499</v>
      </c>
      <c r="I42" s="3430">
        <v>6656.8538506620953</v>
      </c>
      <c r="J42" s="3430">
        <v>8212.4709066523537</v>
      </c>
      <c r="K42" s="3430">
        <v>10098.81524829284</v>
      </c>
    </row>
    <row r="43" spans="2:11" ht="15" customHeight="1">
      <c r="B43" s="680"/>
      <c r="C43" s="3429" t="s">
        <v>306</v>
      </c>
      <c r="D43" s="3431" cm="1">
        <f t="array" ref="D43:K43">COBENEFICIOS!D334:K334</f>
        <v>0.18297962975952903</v>
      </c>
      <c r="E43" s="3431">
        <v>0.36089084437557245</v>
      </c>
      <c r="F43" s="3431">
        <v>0.34852479051111102</v>
      </c>
      <c r="G43" s="3431">
        <v>0.33658246390535396</v>
      </c>
      <c r="H43" s="3431">
        <v>0.32504934539222474</v>
      </c>
      <c r="I43" s="3431">
        <v>0.31391141331006561</v>
      </c>
      <c r="J43" s="3431">
        <v>0.30315512645447074</v>
      </c>
      <c r="K43" s="3431">
        <v>0.29276740761524667</v>
      </c>
    </row>
    <row r="44" spans="2:11" ht="15" customHeight="1">
      <c r="B44" s="680"/>
      <c r="C44" s="3429" t="s">
        <v>354</v>
      </c>
      <c r="D44" s="3431" cm="1">
        <f t="array" ref="D44:K44">COBENEFICIOS!D335:K335</f>
        <v>2.1461180447494943</v>
      </c>
      <c r="E44" s="3431">
        <v>2.1163950170769303</v>
      </c>
      <c r="F44" s="3431">
        <v>2.1163950170769303</v>
      </c>
      <c r="G44" s="3431">
        <v>2.1163950170769303</v>
      </c>
      <c r="H44" s="3431">
        <v>2.1163950170769303</v>
      </c>
      <c r="I44" s="3431">
        <v>2.1163950170769303</v>
      </c>
      <c r="J44" s="3431">
        <v>2.1163950170769303</v>
      </c>
      <c r="K44" s="3431">
        <v>2.1163950170769303</v>
      </c>
    </row>
    <row r="45" spans="2:11" ht="15" customHeight="1">
      <c r="B45" s="680"/>
      <c r="C45" s="3426" t="s">
        <v>310</v>
      </c>
      <c r="D45" s="3427" cm="1">
        <f t="array" ref="D45:K45">COBENEFICIOS!D336:K336</f>
        <v>8424.5674501229678</v>
      </c>
      <c r="E45" s="3427">
        <v>0.33583749521284889</v>
      </c>
      <c r="F45" s="3427">
        <v>0.33859629176525485</v>
      </c>
      <c r="G45" s="3427">
        <v>0.3660724124140341</v>
      </c>
      <c r="H45" s="3427">
        <v>0.47321063350361103</v>
      </c>
      <c r="I45" s="3427">
        <v>0.45796232561625194</v>
      </c>
      <c r="J45" s="3427">
        <v>0.45796232561625266</v>
      </c>
      <c r="K45" s="3427">
        <v>0.45796232561625333</v>
      </c>
    </row>
    <row r="46" spans="2:11" ht="15" customHeight="1">
      <c r="B46" s="680"/>
      <c r="C46" s="3421"/>
      <c r="D46" s="3421"/>
      <c r="E46" s="3421"/>
      <c r="F46" s="3421"/>
      <c r="G46" s="3421"/>
      <c r="H46" s="3421"/>
      <c r="I46" s="3421"/>
      <c r="J46" s="3421"/>
      <c r="K46" s="3421"/>
    </row>
    <row r="47" spans="2:11" ht="15" customHeight="1">
      <c r="B47" s="680"/>
      <c r="C47" s="3895" t="s">
        <v>358</v>
      </c>
      <c r="D47" s="3895"/>
      <c r="E47" s="3895"/>
      <c r="F47" s="3895"/>
      <c r="G47" s="3895"/>
      <c r="H47" s="3895"/>
      <c r="I47" s="3895"/>
      <c r="J47" s="3895"/>
      <c r="K47" s="3895"/>
    </row>
    <row r="48" spans="2:11" ht="15" customHeight="1">
      <c r="B48" s="680"/>
      <c r="C48" s="3421"/>
      <c r="D48" s="3421"/>
      <c r="E48" s="3421"/>
      <c r="F48" s="3421"/>
      <c r="G48" s="3421"/>
      <c r="H48" s="3421"/>
      <c r="I48" s="3421"/>
      <c r="J48" s="3421"/>
      <c r="K48" s="3421"/>
    </row>
    <row r="49" spans="2:11" ht="15" customHeight="1">
      <c r="B49" s="680"/>
      <c r="C49" s="3422" t="s">
        <v>353</v>
      </c>
      <c r="D49" s="3422">
        <v>2018</v>
      </c>
      <c r="E49" s="3422" t="s">
        <v>322</v>
      </c>
      <c r="F49" s="3422" t="s">
        <v>323</v>
      </c>
      <c r="G49" s="3422" t="s">
        <v>324</v>
      </c>
      <c r="H49" s="3422" t="s">
        <v>325</v>
      </c>
      <c r="I49" s="3422" t="s">
        <v>326</v>
      </c>
      <c r="J49" s="3422" t="s">
        <v>327</v>
      </c>
      <c r="K49" s="3422" t="s">
        <v>328</v>
      </c>
    </row>
    <row r="50" spans="2:11" ht="15" customHeight="1">
      <c r="B50" s="680"/>
      <c r="C50" s="2989" t="s">
        <v>359</v>
      </c>
      <c r="D50" s="3423">
        <f>COBENEFICIOS!D338</f>
        <v>173683.77149994278</v>
      </c>
      <c r="E50" s="3423">
        <f>COBENEFICIOS!E338</f>
        <v>197027.18331198831</v>
      </c>
      <c r="F50" s="3423">
        <f>COBENEFICIOS!F338</f>
        <v>252806.66933197234</v>
      </c>
      <c r="G50" s="3423">
        <f>COBENEFICIOS!G338</f>
        <v>239521.2356669</v>
      </c>
      <c r="H50" s="3423">
        <f>COBENEFICIOS!H338</f>
        <v>255083.64820089366</v>
      </c>
      <c r="I50" s="3423">
        <f>COBENEFICIOS!I338</f>
        <v>247150.37667764066</v>
      </c>
      <c r="J50" s="3423">
        <f>COBENEFICIOS!J338</f>
        <v>279795.14617728611</v>
      </c>
      <c r="K50" s="3423">
        <f>COBENEFICIOS!K338</f>
        <v>262001.83418291327</v>
      </c>
    </row>
    <row r="51" spans="2:11" ht="15" customHeight="1">
      <c r="B51" s="680"/>
      <c r="C51" s="3421"/>
      <c r="D51" s="3421"/>
      <c r="E51" s="3421"/>
      <c r="F51" s="3421"/>
      <c r="G51" s="3421"/>
      <c r="H51" s="3421"/>
      <c r="I51" s="3421"/>
      <c r="J51" s="3421"/>
      <c r="K51" s="3421"/>
    </row>
    <row r="52" spans="2:11" ht="15" customHeight="1">
      <c r="B52" s="680"/>
      <c r="C52" s="3421"/>
      <c r="D52" s="3421"/>
      <c r="E52" s="3421"/>
      <c r="F52" s="3421"/>
      <c r="G52" s="3421"/>
      <c r="H52" s="3421"/>
      <c r="I52" s="3421"/>
      <c r="J52" s="3421"/>
      <c r="K52" s="3421"/>
    </row>
    <row r="53" spans="2:11" ht="15" customHeight="1">
      <c r="B53" s="680"/>
      <c r="C53" s="3895" t="s">
        <v>360</v>
      </c>
      <c r="D53" s="3895"/>
      <c r="E53" s="3895"/>
      <c r="F53" s="3895"/>
      <c r="G53" s="3895"/>
      <c r="H53" s="3895"/>
      <c r="I53" s="3895"/>
      <c r="J53" s="3895"/>
      <c r="K53" s="3895"/>
    </row>
    <row r="54" spans="2:11" ht="15" customHeight="1">
      <c r="B54" s="680"/>
      <c r="C54" s="3419"/>
      <c r="D54" s="3420"/>
      <c r="E54" s="3421"/>
      <c r="F54" s="3421"/>
      <c r="G54" s="3421"/>
      <c r="H54" s="3421"/>
      <c r="I54" s="3421"/>
      <c r="J54" s="3421"/>
      <c r="K54" s="3421"/>
    </row>
    <row r="55" spans="2:11" ht="15" customHeight="1">
      <c r="B55" s="680"/>
      <c r="C55" s="3422" t="s">
        <v>353</v>
      </c>
      <c r="D55" s="3422">
        <v>2018</v>
      </c>
      <c r="E55" s="3422" t="s">
        <v>322</v>
      </c>
      <c r="F55" s="3422" t="s">
        <v>323</v>
      </c>
      <c r="G55" s="3422" t="s">
        <v>324</v>
      </c>
      <c r="H55" s="3422" t="s">
        <v>325</v>
      </c>
      <c r="I55" s="3422" t="s">
        <v>326</v>
      </c>
      <c r="J55" s="3422" t="s">
        <v>327</v>
      </c>
      <c r="K55" s="3422" t="s">
        <v>328</v>
      </c>
    </row>
    <row r="56" spans="2:11" ht="15" customHeight="1">
      <c r="B56" s="680"/>
      <c r="C56" s="3426" t="s">
        <v>292</v>
      </c>
      <c r="D56" s="3428" cm="1">
        <f t="array" ref="D56:K56">COBENEFICIOS!D342:K342</f>
        <v>0</v>
      </c>
      <c r="E56" s="3428">
        <v>0</v>
      </c>
      <c r="F56" s="3428">
        <v>0</v>
      </c>
      <c r="G56" s="3428">
        <v>0</v>
      </c>
      <c r="H56" s="3428">
        <v>0</v>
      </c>
      <c r="I56" s="3428">
        <v>0</v>
      </c>
      <c r="J56" s="3428">
        <v>0</v>
      </c>
      <c r="K56" s="3428">
        <v>0</v>
      </c>
    </row>
    <row r="57" spans="2:11" ht="15" customHeight="1">
      <c r="B57" s="680"/>
      <c r="C57" s="3429" t="s">
        <v>294</v>
      </c>
      <c r="D57" s="3430" cm="1">
        <f t="array" ref="D57:K57">COBENEFICIOS!D343:K343</f>
        <v>0</v>
      </c>
      <c r="E57" s="3430">
        <v>0</v>
      </c>
      <c r="F57" s="3430">
        <v>49234.326555815926</v>
      </c>
      <c r="G57" s="3430">
        <v>0</v>
      </c>
      <c r="H57" s="3430">
        <v>22887.678722891404</v>
      </c>
      <c r="I57" s="3430">
        <v>10632.089689407154</v>
      </c>
      <c r="J57" s="3430">
        <v>50957.127908645416</v>
      </c>
      <c r="K57" s="3430">
        <v>23261.877011558197</v>
      </c>
    </row>
    <row r="58" spans="2:11" ht="15" customHeight="1">
      <c r="B58" s="680"/>
      <c r="C58" s="3429" t="s">
        <v>296</v>
      </c>
      <c r="D58" s="3430" cm="1">
        <f t="array" ref="D58:K58">COBENEFICIOS!D344:K344</f>
        <v>329404.63073368545</v>
      </c>
      <c r="E58" s="3430">
        <v>329404.63073368545</v>
      </c>
      <c r="F58" s="3430">
        <v>380773.76402528328</v>
      </c>
      <c r="G58" s="3430">
        <v>432779.89246165252</v>
      </c>
      <c r="H58" s="3430">
        <v>432779.89246165252</v>
      </c>
      <c r="I58" s="3430">
        <v>432779.89246165252</v>
      </c>
      <c r="J58" s="3430">
        <v>432779.89246165252</v>
      </c>
      <c r="K58" s="3430">
        <v>432779.89246165252</v>
      </c>
    </row>
    <row r="59" spans="2:11" ht="15" customHeight="1">
      <c r="B59" s="680"/>
      <c r="C59" s="3429" t="s">
        <v>130</v>
      </c>
      <c r="D59" s="3431" cm="1">
        <f t="array" ref="D59:K59">COBENEFICIOS!D345:K345</f>
        <v>235.81018905745776</v>
      </c>
      <c r="E59" s="3431">
        <v>254.83409438923732</v>
      </c>
      <c r="F59" s="3431">
        <v>303.16706844594461</v>
      </c>
      <c r="G59" s="3431">
        <v>353.11488175607843</v>
      </c>
      <c r="H59" s="3431">
        <v>353.11488175607843</v>
      </c>
      <c r="I59" s="3431">
        <v>353.11488175607843</v>
      </c>
      <c r="J59" s="3431">
        <v>353.11488175607843</v>
      </c>
      <c r="K59" s="3431">
        <v>353.11488175607843</v>
      </c>
    </row>
    <row r="60" spans="2:11" ht="15" customHeight="1">
      <c r="B60" s="680"/>
      <c r="C60" s="3429" t="s">
        <v>132</v>
      </c>
      <c r="D60" s="3431" cm="1">
        <f t="array" ref="D60:K60">COBENEFICIOS!D346:K346</f>
        <v>10.855100836668178</v>
      </c>
      <c r="E60" s="3431">
        <v>10.855100836668178</v>
      </c>
      <c r="F60" s="3431">
        <v>10.855100836668178</v>
      </c>
      <c r="G60" s="3431">
        <v>10.855100836668178</v>
      </c>
      <c r="H60" s="3431">
        <v>10.855100836668178</v>
      </c>
      <c r="I60" s="3431">
        <v>10.855100836668178</v>
      </c>
      <c r="J60" s="3431">
        <v>10.855100836668178</v>
      </c>
      <c r="K60" s="3431">
        <v>10.855100836668178</v>
      </c>
    </row>
    <row r="61" spans="2:11" ht="15" customHeight="1">
      <c r="B61" s="680"/>
      <c r="C61" s="3429" t="s">
        <v>135</v>
      </c>
      <c r="D61" s="3430" cm="1">
        <f t="array" ref="D61:K61">COBENEFICIOS!D347:K347</f>
        <v>508.20051420765293</v>
      </c>
      <c r="E61" s="3430">
        <v>590.71931180175091</v>
      </c>
      <c r="F61" s="3430">
        <v>755.8354511442667</v>
      </c>
      <c r="G61" s="3430">
        <v>955.29282367329336</v>
      </c>
      <c r="H61" s="3430">
        <v>1107.5307311547231</v>
      </c>
      <c r="I61" s="3430">
        <v>1315.5323507701744</v>
      </c>
      <c r="J61" s="3430">
        <v>1540.4737144529502</v>
      </c>
      <c r="K61" s="3430">
        <v>1717.9665760949324</v>
      </c>
    </row>
    <row r="62" spans="2:11" ht="15" customHeight="1">
      <c r="B62" s="680"/>
      <c r="C62" s="3429" t="s">
        <v>144</v>
      </c>
      <c r="D62" s="3432" cm="1">
        <f t="array" ref="D62:K62">COBENEFICIOS!D348:K348</f>
        <v>0</v>
      </c>
      <c r="E62" s="3432">
        <v>0</v>
      </c>
      <c r="F62" s="3432">
        <v>0</v>
      </c>
      <c r="G62" s="3432">
        <v>0</v>
      </c>
      <c r="H62" s="3432">
        <v>0</v>
      </c>
      <c r="I62" s="3432">
        <v>0</v>
      </c>
      <c r="J62" s="3432">
        <v>0</v>
      </c>
      <c r="K62" s="3432">
        <v>0</v>
      </c>
    </row>
    <row r="63" spans="2:11" ht="15" customHeight="1">
      <c r="B63" s="680"/>
      <c r="C63" s="3429" t="s">
        <v>99</v>
      </c>
      <c r="D63" s="3430" cm="1">
        <f t="array" ref="D63:K63">COBENEFICIOS!D349:K349</f>
        <v>0</v>
      </c>
      <c r="E63" s="3430">
        <v>24175.752692695154</v>
      </c>
      <c r="F63" s="3430">
        <v>20366.070697836931</v>
      </c>
      <c r="G63" s="3430">
        <v>17407.918772964393</v>
      </c>
      <c r="H63" s="3430">
        <v>14896.972748658454</v>
      </c>
      <c r="I63" s="3430">
        <v>14855.813190169114</v>
      </c>
      <c r="J63" s="3430">
        <v>15521.244634736255</v>
      </c>
      <c r="K63" s="3430">
        <v>16471.042569943598</v>
      </c>
    </row>
    <row r="64" spans="2:11" ht="15" customHeight="1">
      <c r="B64" s="680"/>
      <c r="C64" s="3429" t="s">
        <v>101</v>
      </c>
      <c r="D64" s="3430" cm="1">
        <f t="array" ref="D64:K64">COBENEFICIOS!D350:K350</f>
        <v>0</v>
      </c>
      <c r="E64" s="3430">
        <v>7514.3131625168135</v>
      </c>
      <c r="F64" s="3430">
        <v>4332.0865260474893</v>
      </c>
      <c r="G64" s="3430">
        <v>4737.9353647216494</v>
      </c>
      <c r="H64" s="3430">
        <v>5523.64894976499</v>
      </c>
      <c r="I64" s="3430">
        <v>6656.8538506620953</v>
      </c>
      <c r="J64" s="3430">
        <v>8212.4709066523537</v>
      </c>
      <c r="K64" s="3430">
        <v>10098.81524829284</v>
      </c>
    </row>
    <row r="65" spans="2:11" ht="15" customHeight="1">
      <c r="B65" s="680"/>
      <c r="C65" s="3429" t="s">
        <v>306</v>
      </c>
      <c r="D65" s="3431" cm="1">
        <f t="array" ref="D65:K65">COBENEFICIOS!D351:K351</f>
        <v>0.18297962975952903</v>
      </c>
      <c r="E65" s="3431">
        <v>0.36089084437557245</v>
      </c>
      <c r="F65" s="3431">
        <v>0.34852479051111102</v>
      </c>
      <c r="G65" s="3431">
        <v>0.33658246390535396</v>
      </c>
      <c r="H65" s="3431">
        <v>0.32504934539222474</v>
      </c>
      <c r="I65" s="3431">
        <v>0.31391141331006561</v>
      </c>
      <c r="J65" s="3431">
        <v>0.30315512645447074</v>
      </c>
      <c r="K65" s="3431">
        <v>0.29276740761524667</v>
      </c>
    </row>
    <row r="66" spans="2:11" ht="15" customHeight="1">
      <c r="B66" s="680"/>
      <c r="C66" s="3429" t="s">
        <v>354</v>
      </c>
      <c r="D66" s="3431" cm="1">
        <f t="array" ref="D66:K66">COBENEFICIOS!D352:K352</f>
        <v>2.1461180447494943</v>
      </c>
      <c r="E66" s="3431">
        <v>2.1163950170769303</v>
      </c>
      <c r="F66" s="3431">
        <v>2.1163950170769303</v>
      </c>
      <c r="G66" s="3431">
        <v>2.1163950170769303</v>
      </c>
      <c r="H66" s="3431">
        <v>2.1163950170769303</v>
      </c>
      <c r="I66" s="3431">
        <v>2.1163950170769303</v>
      </c>
      <c r="J66" s="3431">
        <v>2.1163950170769303</v>
      </c>
      <c r="K66" s="3431">
        <v>2.1163950170769303</v>
      </c>
    </row>
    <row r="67" spans="2:11" ht="15" customHeight="1">
      <c r="B67" s="680"/>
      <c r="C67" s="3426" t="s">
        <v>310</v>
      </c>
      <c r="D67" s="3427" cm="1">
        <f t="array" ref="D67:K67">COBENEFICIOS!D353:K353</f>
        <v>16849.134900245936</v>
      </c>
      <c r="E67" s="3427">
        <v>0.67167499042569778</v>
      </c>
      <c r="F67" s="3427">
        <v>0.67719258353050971</v>
      </c>
      <c r="G67" s="3427">
        <v>0.7321448248280682</v>
      </c>
      <c r="H67" s="3427">
        <v>0.94642126700722207</v>
      </c>
      <c r="I67" s="3427">
        <v>0.91592465123250388</v>
      </c>
      <c r="J67" s="3427">
        <v>0.91592465123250533</v>
      </c>
      <c r="K67" s="3427">
        <v>0.91592465123250666</v>
      </c>
    </row>
    <row r="68" spans="2:11" ht="15" customHeight="1">
      <c r="B68" s="680"/>
      <c r="C68" s="3421"/>
      <c r="D68" s="3421"/>
      <c r="E68" s="3421"/>
      <c r="F68" s="3421"/>
      <c r="G68" s="3421"/>
      <c r="H68" s="3421"/>
      <c r="I68" s="3421"/>
      <c r="J68" s="3421"/>
      <c r="K68" s="3421"/>
    </row>
    <row r="69" spans="2:11" ht="15" customHeight="1">
      <c r="B69" s="680"/>
      <c r="C69" s="3895" t="s">
        <v>361</v>
      </c>
      <c r="D69" s="3895"/>
      <c r="E69" s="3895"/>
      <c r="F69" s="3895"/>
      <c r="G69" s="3895"/>
      <c r="H69" s="3895"/>
      <c r="I69" s="3895"/>
      <c r="J69" s="3895"/>
      <c r="K69" s="3895"/>
    </row>
    <row r="70" spans="2:11" ht="15" customHeight="1">
      <c r="C70" s="3421"/>
      <c r="D70" s="3421"/>
      <c r="E70" s="3421"/>
      <c r="F70" s="3421"/>
      <c r="G70" s="3421"/>
      <c r="H70" s="3421"/>
      <c r="I70" s="3421"/>
      <c r="J70" s="3421"/>
      <c r="K70" s="3421"/>
    </row>
    <row r="71" spans="2:11" ht="15" customHeight="1">
      <c r="C71" s="3424"/>
      <c r="D71" s="3425">
        <v>2018</v>
      </c>
      <c r="E71" s="3425" t="s">
        <v>322</v>
      </c>
      <c r="F71" s="3425" t="s">
        <v>323</v>
      </c>
      <c r="G71" s="3425" t="s">
        <v>324</v>
      </c>
      <c r="H71" s="3425" t="s">
        <v>325</v>
      </c>
      <c r="I71" s="3425" t="s">
        <v>326</v>
      </c>
      <c r="J71" s="3425" t="s">
        <v>327</v>
      </c>
      <c r="K71" s="3425" t="s">
        <v>328</v>
      </c>
    </row>
    <row r="72" spans="2:11" ht="15" customHeight="1">
      <c r="C72" s="2989" t="s">
        <v>362</v>
      </c>
      <c r="D72" s="3423">
        <f>COBENEFICIOS!D355</f>
        <v>347010.96053570765</v>
      </c>
      <c r="E72" s="3423">
        <f>COBENEFICIOS!E355</f>
        <v>361954.25405677693</v>
      </c>
      <c r="F72" s="3423">
        <f>COBENEFICIOS!F355</f>
        <v>455779.24753780157</v>
      </c>
      <c r="G72" s="3423">
        <f>COBENEFICIOS!G355</f>
        <v>456248.19452791038</v>
      </c>
      <c r="H72" s="3423">
        <f>COBENEFICIOS!H355</f>
        <v>477563.08146234427</v>
      </c>
      <c r="I72" s="3423">
        <f>COBENEFICIOS!I355</f>
        <v>466607.49775633542</v>
      </c>
      <c r="J72" s="3423">
        <f>COBENEFICIOS!J355</f>
        <v>509378.51508352702</v>
      </c>
      <c r="K72" s="3423">
        <f>COBENEFICIOS!K355</f>
        <v>484696.88893721072</v>
      </c>
    </row>
    <row r="73" spans="2:11" ht="15" customHeight="1">
      <c r="C73" s="3421"/>
      <c r="D73" s="3421"/>
      <c r="E73" s="3421"/>
      <c r="F73" s="3421"/>
      <c r="G73" s="3421"/>
      <c r="H73" s="3421"/>
      <c r="I73" s="3421"/>
      <c r="J73" s="3421"/>
      <c r="K73" s="3421"/>
    </row>
    <row r="74" spans="2:11" ht="15" customHeight="1">
      <c r="C74" s="3421"/>
      <c r="D74" s="3421"/>
      <c r="E74" s="3421"/>
      <c r="F74" s="3421"/>
      <c r="G74" s="3421"/>
      <c r="H74" s="3421"/>
      <c r="I74" s="3421"/>
      <c r="J74" s="3421"/>
      <c r="K74" s="3421"/>
    </row>
    <row r="75" spans="2:11" ht="15" customHeight="1">
      <c r="C75" s="3421"/>
      <c r="D75" s="3421"/>
      <c r="E75" s="3421"/>
      <c r="F75" s="3421"/>
      <c r="G75" s="3421"/>
      <c r="H75" s="3421"/>
      <c r="I75" s="3421"/>
      <c r="J75" s="3421"/>
      <c r="K75" s="3421"/>
    </row>
    <row r="565"/>
  </sheetData>
  <sheetProtection algorithmName="SHA-512" hashValue="QwFAmabOh6TSIh6LI4+mT9Gn6/g9kD8JrWorBECKAQgrxj8cmb4hkLpkkHsH+O+K0ijByunnKqcmp55NBoRsVQ==" saltValue="ESt3zkG5nfmFBH4yCij5kw==" spinCount="100000" sheet="1" objects="1" scenarios="1"/>
  <mergeCells count="6">
    <mergeCell ref="C69:K69"/>
    <mergeCell ref="C9:K9"/>
    <mergeCell ref="C25:K25"/>
    <mergeCell ref="C31:K31"/>
    <mergeCell ref="C47:K47"/>
    <mergeCell ref="C53:K53"/>
  </mergeCells>
  <pageMargins left="0.7" right="0.7" top="0.75" bottom="0.75" header="0.3" footer="0.3"/>
  <pageSetup paperSize="9" fitToHeight="0" orientation="portrait" r:id="rId1"/>
  <customProperties>
    <customPr name="_pios_id" r:id="rId2"/>
  </customProperties>
  <ignoredErrors>
    <ignoredError sqref="E11:K11" numberStoredAsText="1"/>
  </ignoredErrors>
  <drawing r:id="rId3"/>
  <extLst>
    <ext xmlns:x14="http://schemas.microsoft.com/office/spreadsheetml/2009/9/main" uri="{78C0D931-6437-407d-A8EE-F0AAD7539E65}">
      <x14:conditionalFormattings>
        <x14:conditionalFormatting xmlns:xm="http://schemas.microsoft.com/office/excel/2006/main">
          <x14:cfRule type="containsText" priority="213" operator="containsText" id="{38B5E4A4-4C11-4686-B829-ACECC32E5F2F}">
            <xm:f>NOT(ISERROR(SEARCH(COBENEFICIOS!$AU$14,D12)))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14" operator="containsText" id="{A8FA40A6-8CD3-4C06-A399-035A0CE0A1F6}">
            <xm:f>NOT(ISERROR(SEARCH(COBENEFICIOS!$AU$13,D12)))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15" operator="containsText" id="{D444D411-1602-4A21-9549-562A751C2CA2}">
            <xm:f>NOT(ISERROR(SEARCH(COBENEFICIOS!$AU$12,D12)))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16" operator="containsText" id="{BB6C5613-5CAA-4BCE-861D-4CC43876A282}">
            <xm:f>NOT(ISERROR(SEARCH(COBENEFICIOS!$AU$11,D12)))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D12:K23</xm:sqref>
        </x14:conditionalFormatting>
        <x14:conditionalFormatting xmlns:xm="http://schemas.microsoft.com/office/excel/2006/main">
          <x14:cfRule type="containsText" priority="69" operator="containsText" id="{D3809182-675A-40E6-AAED-2B4D02192025}">
            <xm:f>NOT(ISERROR(SEARCH(COBENEFICIOS!$AU$14,D34)))</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0" operator="containsText" id="{54F0E0B1-AC0D-4B77-AFB8-C12AC8C6C862}">
            <xm:f>NOT(ISERROR(SEARCH(COBENEFICIOS!$AU$13,D34)))</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1" operator="containsText" id="{B848CBCA-D2FB-4FD0-BC36-F43225EBE79A}">
            <xm:f>NOT(ISERROR(SEARCH(COBENEFICIOS!$AU$12,D34)))</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2" operator="containsText" id="{06ABF4B1-6ED5-4BEA-BC40-3A8851E76522}">
            <xm:f>NOT(ISERROR(SEARCH(COBENEFICIOS!$AU$11,D34)))</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D34:K45</xm:sqref>
        </x14:conditionalFormatting>
        <x14:conditionalFormatting xmlns:xm="http://schemas.microsoft.com/office/excel/2006/main">
          <x14:cfRule type="containsText" priority="25" operator="containsText" id="{5834B517-AB7F-486F-A9AA-A75584C5B7F5}">
            <xm:f>NOT(ISERROR(SEARCH(COBENEFICIOS!$AU$14,D56)))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6" operator="containsText" id="{341234CF-88E3-4297-AC13-3C35B0DE44FE}">
            <xm:f>NOT(ISERROR(SEARCH(COBENEFICIOS!$AU$13,D56)))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7" operator="containsText" id="{3CF9C071-D0E6-4CE8-B340-4BC127876F3F}">
            <xm:f>NOT(ISERROR(SEARCH(COBENEFICIOS!$AU$12,D56)))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8" operator="containsText" id="{71062C2A-5CA8-4B63-B810-AF75471EE69E}">
            <xm:f>NOT(ISERROR(SEARCH(COBENEFICIOS!$AU$11,D56)))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D56:K67</xm:sqref>
        </x14:conditionalFormatting>
        <x14:conditionalFormatting xmlns:xm="http://schemas.microsoft.com/office/excel/2006/main">
          <x14:cfRule type="containsText" priority="21" operator="containsText" id="{3F6C6AB2-C46D-4481-B2E1-479C8EECF011}">
            <xm:f>NOT(ISERROR(SEARCH(COBENEFICIOS!$AU$14,D72)))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2" operator="containsText" id="{085E1AF4-5FA7-4CD0-8005-AD7C8BECB9B5}">
            <xm:f>NOT(ISERROR(SEARCH(COBENEFICIOS!$AU$13,D72)))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3" operator="containsText" id="{06B859E1-1DD8-44AD-AFE2-BAD2D291F28F}">
            <xm:f>NOT(ISERROR(SEARCH(COBENEFICIOS!$AU$12,D72)))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4" operator="containsText" id="{D1A051DB-7B74-46C4-ABFA-AB8F90B31045}">
            <xm:f>NOT(ISERROR(SEARCH(COBENEFICIOS!$AU$11,D72)))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D72:K72</xm:sqref>
        </x14:conditionalFormatting>
        <x14:conditionalFormatting xmlns:xm="http://schemas.microsoft.com/office/excel/2006/main">
          <x14:cfRule type="containsText" priority="5" operator="containsText" id="{20C3A7D8-9A8A-4E99-AA8B-29A44A9B8114}">
            <xm:f>NOT(ISERROR(SEARCH(COBENEFICIOS!$AU$14,D50)))</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6" operator="containsText" id="{F85314E1-027D-4693-8CDC-CE68F790197B}">
            <xm:f>NOT(ISERROR(SEARCH(COBENEFICIOS!$AU$13,D50)))</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 operator="containsText" id="{0A1A75E7-0D2C-494F-A99B-4DF3619B24EC}">
            <xm:f>NOT(ISERROR(SEARCH(COBENEFICIOS!$AU$12,D50)))</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8" operator="containsText" id="{897B53ED-E178-4C3D-A02B-CED0EA9D1059}">
            <xm:f>NOT(ISERROR(SEARCH(COBENEFICIOS!$AU$11,D50)))</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D50:K50</xm:sqref>
        </x14:conditionalFormatting>
        <x14:conditionalFormatting xmlns:xm="http://schemas.microsoft.com/office/excel/2006/main">
          <x14:cfRule type="containsText" priority="1" operator="containsText" id="{7FB9D9E2-3163-4B3C-A93C-EE4D36A59E5E}">
            <xm:f>NOT(ISERROR(SEARCH(COBENEFICIOS!$AU$14,D28)))</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 operator="containsText" id="{28DF209F-60C4-46E7-90E0-8CDD0911039B}">
            <xm:f>NOT(ISERROR(SEARCH(COBENEFICIOS!$AU$13,D28)))</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 operator="containsText" id="{7A295D50-B8D7-49D5-A846-4BA3B9CD23AB}">
            <xm:f>NOT(ISERROR(SEARCH(COBENEFICIOS!$AU$12,D28)))</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 operator="containsText" id="{4B91A764-298F-4AFE-AB7D-EE0ED7C3FD52}">
            <xm:f>NOT(ISERROR(SEARCH(COBENEFICIOS!$AU$11,D28)))</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D28:K28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7DC83-83F9-44B3-84AD-DAF3ADE05406}">
  <sheetPr codeName="Hoja27"/>
  <dimension ref="A1:F78"/>
  <sheetViews>
    <sheetView showGridLines="0" zoomScale="80" zoomScaleNormal="80" workbookViewId="0">
      <selection activeCell="C7" sqref="C7"/>
    </sheetView>
  </sheetViews>
  <sheetFormatPr baseColWidth="10" defaultColWidth="11.42578125" defaultRowHeight="15"/>
  <cols>
    <col min="2" max="2" width="72" customWidth="1"/>
    <col min="3" max="6" width="45.7109375" customWidth="1"/>
    <col min="9" max="9" width="11.85546875" bestFit="1" customWidth="1"/>
  </cols>
  <sheetData>
    <row r="1" spans="1:6" s="2254" customFormat="1" ht="50.1" customHeight="1">
      <c r="A1" s="2253"/>
      <c r="B1" s="2253"/>
    </row>
    <row r="7" spans="1:6">
      <c r="B7" s="2255"/>
      <c r="C7" s="2255"/>
      <c r="D7" s="2255"/>
      <c r="E7" s="2255"/>
      <c r="F7" s="2255"/>
    </row>
    <row r="8" spans="1:6">
      <c r="B8" s="681" t="s">
        <v>122</v>
      </c>
      <c r="C8" s="2257" t="s">
        <v>363</v>
      </c>
      <c r="D8" s="2257" t="s">
        <v>364</v>
      </c>
      <c r="E8" s="2257" t="s">
        <v>365</v>
      </c>
      <c r="F8" s="2257" t="s">
        <v>366</v>
      </c>
    </row>
    <row r="9" spans="1:6">
      <c r="B9" s="2258"/>
      <c r="C9" s="2259"/>
      <c r="D9" s="2259"/>
      <c r="E9" s="2259"/>
      <c r="F9" s="2259"/>
    </row>
    <row r="10" spans="1:6" ht="96">
      <c r="B10" s="3332" t="s">
        <v>123</v>
      </c>
      <c r="C10" s="3331" t="s">
        <v>367</v>
      </c>
      <c r="D10" s="3331" t="s">
        <v>368</v>
      </c>
      <c r="E10" s="3331" t="s">
        <v>369</v>
      </c>
      <c r="F10" s="3331" t="s">
        <v>370</v>
      </c>
    </row>
    <row r="11" spans="1:6">
      <c r="B11" s="2260"/>
      <c r="C11" s="2259"/>
      <c r="D11" s="2259"/>
      <c r="E11" s="2259"/>
      <c r="F11" s="2259"/>
    </row>
    <row r="12" spans="1:6">
      <c r="B12" s="681" t="s">
        <v>124</v>
      </c>
      <c r="C12" s="2261" t="s">
        <v>363</v>
      </c>
      <c r="D12" s="2261" t="s">
        <v>364</v>
      </c>
      <c r="E12" s="2261" t="s">
        <v>365</v>
      </c>
      <c r="F12" s="2261" t="s">
        <v>366</v>
      </c>
    </row>
    <row r="13" spans="1:6">
      <c r="B13" s="2258"/>
      <c r="C13" s="2259"/>
      <c r="D13" s="2259"/>
      <c r="E13" s="2259"/>
      <c r="F13" s="2259"/>
    </row>
    <row r="14" spans="1:6" ht="108">
      <c r="B14" s="3332" t="s">
        <v>371</v>
      </c>
      <c r="C14" s="3331" t="s">
        <v>372</v>
      </c>
      <c r="D14" s="3331" t="s">
        <v>373</v>
      </c>
      <c r="E14" s="3331" t="s">
        <v>374</v>
      </c>
      <c r="F14" s="3331" t="s">
        <v>375</v>
      </c>
    </row>
    <row r="15" spans="1:6">
      <c r="B15" s="2263"/>
      <c r="C15" s="2259"/>
      <c r="D15" s="2259"/>
      <c r="E15" s="2259"/>
      <c r="F15" s="2259"/>
    </row>
    <row r="16" spans="1:6">
      <c r="B16" s="2256" t="s">
        <v>36</v>
      </c>
      <c r="C16" s="2261" t="s">
        <v>363</v>
      </c>
      <c r="D16" s="2261" t="s">
        <v>364</v>
      </c>
      <c r="E16" s="2261" t="s">
        <v>365</v>
      </c>
      <c r="F16" s="2261" t="s">
        <v>366</v>
      </c>
    </row>
    <row r="17" spans="2:6">
      <c r="B17" s="2264"/>
      <c r="C17" s="2265"/>
      <c r="D17" s="2259"/>
      <c r="E17" s="2259"/>
      <c r="F17" s="2259"/>
    </row>
    <row r="18" spans="2:6" ht="156">
      <c r="B18" s="3332" t="s">
        <v>126</v>
      </c>
      <c r="C18" s="3331" t="s">
        <v>376</v>
      </c>
      <c r="D18" s="3331" t="s">
        <v>377</v>
      </c>
      <c r="E18" s="3331" t="s">
        <v>378</v>
      </c>
      <c r="F18" s="3331" t="s">
        <v>379</v>
      </c>
    </row>
    <row r="19" spans="2:6" ht="48">
      <c r="B19" s="3332" t="s">
        <v>128</v>
      </c>
      <c r="C19" s="3331" t="s">
        <v>380</v>
      </c>
      <c r="D19" s="3331" t="s">
        <v>381</v>
      </c>
      <c r="E19" s="3331" t="s">
        <v>382</v>
      </c>
      <c r="F19" s="3331" t="s">
        <v>383</v>
      </c>
    </row>
    <row r="20" spans="2:6" ht="120">
      <c r="B20" s="3332" t="s">
        <v>127</v>
      </c>
      <c r="C20" s="3331" t="s">
        <v>384</v>
      </c>
      <c r="D20" s="3331" t="s">
        <v>385</v>
      </c>
      <c r="E20" s="3331" t="s">
        <v>386</v>
      </c>
      <c r="F20" s="3331" t="s">
        <v>387</v>
      </c>
    </row>
    <row r="21" spans="2:6" ht="156">
      <c r="B21" s="3332" t="s">
        <v>129</v>
      </c>
      <c r="C21" s="3331" t="s">
        <v>388</v>
      </c>
      <c r="D21" s="3331" t="s">
        <v>389</v>
      </c>
      <c r="E21" s="3331" t="s">
        <v>390</v>
      </c>
      <c r="F21" s="3331" t="s">
        <v>391</v>
      </c>
    </row>
    <row r="22" spans="2:6">
      <c r="B22" s="2260"/>
      <c r="C22" s="2259"/>
      <c r="D22" s="2259"/>
      <c r="E22" s="2259"/>
      <c r="F22" s="2259"/>
    </row>
    <row r="23" spans="2:6">
      <c r="B23" s="2256" t="s">
        <v>69</v>
      </c>
      <c r="C23" s="2261" t="s">
        <v>363</v>
      </c>
      <c r="D23" s="2261" t="s">
        <v>364</v>
      </c>
      <c r="E23" s="2261" t="s">
        <v>365</v>
      </c>
      <c r="F23" s="2261" t="s">
        <v>366</v>
      </c>
    </row>
    <row r="24" spans="2:6">
      <c r="B24" s="2267"/>
      <c r="C24" s="2259"/>
      <c r="D24" s="2259"/>
      <c r="E24" s="2259"/>
      <c r="F24" s="2259"/>
    </row>
    <row r="25" spans="2:6" ht="15.75">
      <c r="B25" s="2268" t="s">
        <v>392</v>
      </c>
      <c r="C25" s="2259"/>
      <c r="D25" s="2259"/>
      <c r="E25" s="2259"/>
      <c r="F25" s="2259"/>
    </row>
    <row r="26" spans="2:6" ht="264">
      <c r="B26" s="3332" t="s">
        <v>393</v>
      </c>
      <c r="C26" s="3331" t="s">
        <v>394</v>
      </c>
      <c r="D26" s="3331" t="s">
        <v>395</v>
      </c>
      <c r="E26" s="3331" t="s">
        <v>396</v>
      </c>
      <c r="F26" s="3331" t="s">
        <v>397</v>
      </c>
    </row>
    <row r="27" spans="2:6">
      <c r="B27" s="2263"/>
      <c r="C27" s="2259"/>
      <c r="D27" s="2259"/>
      <c r="E27" s="2259"/>
      <c r="F27" s="2259"/>
    </row>
    <row r="28" spans="2:6" ht="15.75">
      <c r="B28" s="2268" t="s">
        <v>132</v>
      </c>
      <c r="C28" s="2259"/>
      <c r="D28" s="2259"/>
      <c r="E28" s="2259"/>
      <c r="F28" s="2259"/>
    </row>
    <row r="29" spans="2:6" ht="60">
      <c r="B29" s="2269" t="s">
        <v>133</v>
      </c>
      <c r="C29" s="2266" t="s">
        <v>398</v>
      </c>
      <c r="D29" s="2266" t="s">
        <v>399</v>
      </c>
      <c r="E29" s="2266" t="s">
        <v>400</v>
      </c>
      <c r="F29" s="2266" t="s">
        <v>401</v>
      </c>
    </row>
    <row r="30" spans="2:6" ht="84">
      <c r="B30" s="2269" t="s">
        <v>250</v>
      </c>
      <c r="C30" s="2266" t="s">
        <v>402</v>
      </c>
      <c r="D30" s="2266" t="s">
        <v>403</v>
      </c>
      <c r="E30" s="2266" t="s">
        <v>404</v>
      </c>
      <c r="F30" s="2266" t="s">
        <v>405</v>
      </c>
    </row>
    <row r="31" spans="2:6">
      <c r="B31" s="2263"/>
      <c r="C31" s="2259"/>
      <c r="D31" s="2259"/>
      <c r="E31" s="2259"/>
      <c r="F31" s="2259"/>
    </row>
    <row r="32" spans="2:6">
      <c r="B32" s="2256" t="s">
        <v>38</v>
      </c>
      <c r="C32" s="2261" t="s">
        <v>363</v>
      </c>
      <c r="D32" s="2261" t="s">
        <v>364</v>
      </c>
      <c r="E32" s="2261" t="s">
        <v>365</v>
      </c>
      <c r="F32" s="2261" t="s">
        <v>366</v>
      </c>
    </row>
    <row r="33" spans="2:6">
      <c r="B33" s="2270"/>
      <c r="C33" s="2259"/>
      <c r="D33" s="2259"/>
      <c r="E33" s="2259"/>
      <c r="F33" s="2259"/>
    </row>
    <row r="34" spans="2:6" ht="15.75">
      <c r="B34" s="2268" t="s">
        <v>135</v>
      </c>
      <c r="C34" s="2259"/>
      <c r="D34" s="2259"/>
      <c r="E34" s="2259"/>
      <c r="F34" s="2259"/>
    </row>
    <row r="35" spans="2:6" ht="15.75">
      <c r="B35" s="3682" t="s">
        <v>136</v>
      </c>
      <c r="C35" s="2259"/>
      <c r="D35" s="2259"/>
      <c r="E35" s="2259"/>
      <c r="F35" s="2259"/>
    </row>
    <row r="36" spans="2:6" ht="168">
      <c r="B36" s="3332" t="s">
        <v>137</v>
      </c>
      <c r="C36" s="3331" t="s">
        <v>406</v>
      </c>
      <c r="D36" s="3331" t="s">
        <v>407</v>
      </c>
      <c r="E36" s="3331" t="s">
        <v>408</v>
      </c>
      <c r="F36" s="3331" t="s">
        <v>409</v>
      </c>
    </row>
    <row r="37" spans="2:6" ht="15.75">
      <c r="B37" s="3682" t="s">
        <v>138</v>
      </c>
      <c r="C37" s="3331"/>
      <c r="D37" s="3331"/>
      <c r="E37" s="3331"/>
      <c r="F37" s="3331"/>
    </row>
    <row r="38" spans="2:6" ht="180">
      <c r="B38" s="2262" t="s">
        <v>139</v>
      </c>
      <c r="C38" s="3331" t="s">
        <v>410</v>
      </c>
      <c r="D38" s="3331" t="s">
        <v>411</v>
      </c>
      <c r="E38" s="3331" t="s">
        <v>412</v>
      </c>
      <c r="F38" s="2266" t="s">
        <v>413</v>
      </c>
    </row>
    <row r="39" spans="2:6" ht="48">
      <c r="B39" s="2269" t="s">
        <v>141</v>
      </c>
      <c r="C39" s="2266" t="s">
        <v>414</v>
      </c>
      <c r="D39" s="2266" t="s">
        <v>415</v>
      </c>
      <c r="E39" s="2266" t="s">
        <v>416</v>
      </c>
      <c r="F39" s="2266" t="s">
        <v>417</v>
      </c>
    </row>
    <row r="40" spans="2:6" ht="15.75">
      <c r="B40" s="3682" t="s">
        <v>418</v>
      </c>
      <c r="C40" s="2266"/>
      <c r="D40" s="2266"/>
      <c r="E40" s="2266"/>
      <c r="F40" s="2266"/>
    </row>
    <row r="41" spans="2:6" ht="96">
      <c r="B41" s="2262" t="s">
        <v>143</v>
      </c>
      <c r="C41" s="2266" t="s">
        <v>419</v>
      </c>
      <c r="D41" s="2266" t="s">
        <v>420</v>
      </c>
      <c r="E41" s="2266" t="s">
        <v>421</v>
      </c>
      <c r="F41" s="2266" t="s">
        <v>422</v>
      </c>
    </row>
    <row r="42" spans="2:6">
      <c r="B42" s="2272"/>
      <c r="C42" s="2266"/>
      <c r="D42" s="2266"/>
      <c r="E42" s="2266"/>
      <c r="F42" s="2266"/>
    </row>
    <row r="43" spans="2:6" ht="15.75">
      <c r="B43" s="2268" t="s">
        <v>144</v>
      </c>
      <c r="C43" s="2266"/>
      <c r="D43" s="2266"/>
      <c r="E43" s="2266"/>
      <c r="F43" s="2266"/>
    </row>
    <row r="44" spans="2:6" ht="15.75">
      <c r="B44" s="3682" t="s">
        <v>423</v>
      </c>
      <c r="C44" s="2266"/>
      <c r="D44" s="2266"/>
      <c r="E44" s="2266"/>
      <c r="F44" s="2266"/>
    </row>
    <row r="45" spans="2:6" ht="84">
      <c r="B45" s="3332" t="s">
        <v>146</v>
      </c>
      <c r="C45" s="3331" t="s">
        <v>424</v>
      </c>
      <c r="D45" s="3331" t="s">
        <v>425</v>
      </c>
      <c r="E45" s="3331" t="s">
        <v>426</v>
      </c>
      <c r="F45" s="3331" t="s">
        <v>427</v>
      </c>
    </row>
    <row r="46" spans="2:6" ht="15.75">
      <c r="B46" s="3682" t="s">
        <v>428</v>
      </c>
      <c r="C46" s="3331"/>
      <c r="D46" s="3331"/>
      <c r="E46" s="3331"/>
      <c r="F46" s="3331"/>
    </row>
    <row r="47" spans="2:6" ht="96">
      <c r="B47" s="3332" t="s">
        <v>148</v>
      </c>
      <c r="C47" s="3331" t="s">
        <v>429</v>
      </c>
      <c r="D47" s="3331" t="s">
        <v>430</v>
      </c>
      <c r="E47" s="3331" t="s">
        <v>431</v>
      </c>
      <c r="F47" s="3331" t="s">
        <v>432</v>
      </c>
    </row>
    <row r="48" spans="2:6">
      <c r="B48" s="2263"/>
      <c r="C48" s="2259"/>
      <c r="D48" s="2259"/>
      <c r="E48" s="2259"/>
      <c r="F48" s="2259"/>
    </row>
    <row r="49" spans="2:6">
      <c r="B49" s="2256" t="s">
        <v>39</v>
      </c>
      <c r="C49" s="2261" t="s">
        <v>363</v>
      </c>
      <c r="D49" s="2261" t="s">
        <v>364</v>
      </c>
      <c r="E49" s="2261" t="s">
        <v>365</v>
      </c>
      <c r="F49" s="2261" t="s">
        <v>366</v>
      </c>
    </row>
    <row r="50" spans="2:6">
      <c r="B50" s="2270"/>
      <c r="C50" s="2259"/>
      <c r="D50" s="2259"/>
      <c r="E50" s="2259"/>
      <c r="F50" s="2259"/>
    </row>
    <row r="51" spans="2:6" ht="15.75">
      <c r="B51" s="2268" t="s">
        <v>99</v>
      </c>
      <c r="C51" s="2259"/>
      <c r="D51" s="2259"/>
      <c r="E51" s="2259"/>
      <c r="F51" s="2259"/>
    </row>
    <row r="52" spans="2:6" ht="108">
      <c r="B52" s="2262" t="s">
        <v>150</v>
      </c>
      <c r="C52" s="2266" t="s">
        <v>433</v>
      </c>
      <c r="D52" s="2266" t="s">
        <v>434</v>
      </c>
      <c r="E52" s="2266" t="s">
        <v>435</v>
      </c>
      <c r="F52" s="2266" t="s">
        <v>436</v>
      </c>
    </row>
    <row r="53" spans="2:6" ht="15.75">
      <c r="B53" s="2273"/>
      <c r="C53" s="2259"/>
      <c r="D53" s="2259"/>
      <c r="E53" s="2259"/>
      <c r="F53" s="2259"/>
    </row>
    <row r="54" spans="2:6" ht="15.75">
      <c r="B54" s="2268" t="s">
        <v>101</v>
      </c>
      <c r="C54" s="2259"/>
      <c r="D54" s="2259"/>
      <c r="E54" s="2259"/>
      <c r="F54" s="2259"/>
    </row>
    <row r="55" spans="2:6" ht="144">
      <c r="B55" s="2262" t="s">
        <v>152</v>
      </c>
      <c r="C55" s="2266" t="s">
        <v>437</v>
      </c>
      <c r="D55" s="2266" t="s">
        <v>438</v>
      </c>
      <c r="E55" s="2266" t="s">
        <v>439</v>
      </c>
      <c r="F55" s="2266" t="s">
        <v>440</v>
      </c>
    </row>
    <row r="56" spans="2:6" ht="15.75">
      <c r="B56" s="2273"/>
      <c r="C56" s="2259"/>
      <c r="D56" s="2259"/>
      <c r="E56" s="3692"/>
      <c r="F56" s="3692"/>
    </row>
    <row r="57" spans="2:6" ht="15.75">
      <c r="B57" s="2268" t="s">
        <v>153</v>
      </c>
      <c r="C57" s="2259"/>
      <c r="D57" s="2259"/>
      <c r="E57" s="2259"/>
      <c r="F57" s="2259"/>
    </row>
    <row r="58" spans="2:6" ht="84">
      <c r="B58" s="2269" t="s">
        <v>154</v>
      </c>
      <c r="C58" s="3410" t="s">
        <v>441</v>
      </c>
      <c r="D58" s="3410" t="s">
        <v>442</v>
      </c>
      <c r="E58" s="3410" t="s">
        <v>443</v>
      </c>
      <c r="F58" s="3410" t="s">
        <v>444</v>
      </c>
    </row>
    <row r="59" spans="2:6" ht="15.75">
      <c r="B59" s="2274"/>
      <c r="C59" s="3718"/>
      <c r="D59" s="3718"/>
      <c r="E59" s="3718"/>
      <c r="F59" s="3718"/>
    </row>
    <row r="60" spans="2:6" ht="15.75">
      <c r="B60" s="2268" t="s">
        <v>445</v>
      </c>
      <c r="C60" s="3410"/>
      <c r="D60" s="3410"/>
      <c r="E60" s="3410"/>
      <c r="F60" s="3410"/>
    </row>
    <row r="61" spans="2:6" ht="60">
      <c r="B61" s="2269" t="s">
        <v>156</v>
      </c>
      <c r="C61" s="3410" t="s">
        <v>446</v>
      </c>
      <c r="D61" s="3410" t="s">
        <v>447</v>
      </c>
      <c r="E61" s="3410" t="s">
        <v>448</v>
      </c>
      <c r="F61" s="3410" t="s">
        <v>449</v>
      </c>
    </row>
    <row r="62" spans="2:6">
      <c r="B62" s="2263"/>
      <c r="C62" s="2259"/>
      <c r="D62" s="2259"/>
      <c r="E62" s="2259"/>
      <c r="F62" s="2259"/>
    </row>
    <row r="63" spans="2:6">
      <c r="B63" s="2256" t="s">
        <v>40</v>
      </c>
      <c r="C63" s="2261" t="s">
        <v>363</v>
      </c>
      <c r="D63" s="2261" t="s">
        <v>364</v>
      </c>
      <c r="E63" s="2261" t="s">
        <v>365</v>
      </c>
      <c r="F63" s="2261" t="s">
        <v>366</v>
      </c>
    </row>
    <row r="64" spans="2:6">
      <c r="B64" s="2270"/>
      <c r="C64" s="2259"/>
      <c r="D64" s="2259"/>
      <c r="E64" s="2259"/>
      <c r="F64" s="2259"/>
    </row>
    <row r="65" spans="2:6" ht="60">
      <c r="B65" s="3332" t="s">
        <v>108</v>
      </c>
      <c r="C65" s="3410" t="s">
        <v>450</v>
      </c>
      <c r="D65" s="3410" t="s">
        <v>451</v>
      </c>
      <c r="E65" s="3410" t="s">
        <v>452</v>
      </c>
      <c r="F65" s="3410" t="s">
        <v>453</v>
      </c>
    </row>
    <row r="66" spans="2:6" ht="36">
      <c r="B66" s="3332" t="s">
        <v>454</v>
      </c>
      <c r="C66" s="3418" t="s">
        <v>455</v>
      </c>
      <c r="D66" s="3418" t="s">
        <v>456</v>
      </c>
      <c r="E66" s="3418" t="s">
        <v>457</v>
      </c>
      <c r="F66" s="3418" t="s">
        <v>458</v>
      </c>
    </row>
    <row r="67" spans="2:6" ht="36">
      <c r="B67" s="3332" t="s">
        <v>459</v>
      </c>
      <c r="C67" s="3410" t="s">
        <v>460</v>
      </c>
      <c r="D67" s="3410" t="s">
        <v>461</v>
      </c>
      <c r="E67" s="3410" t="s">
        <v>462</v>
      </c>
      <c r="F67" s="3410" t="s">
        <v>463</v>
      </c>
    </row>
    <row r="68" spans="2:6">
      <c r="B68" s="2263"/>
      <c r="C68" s="2259"/>
      <c r="D68" s="2259"/>
      <c r="E68" s="2259"/>
      <c r="F68" s="2259"/>
    </row>
    <row r="69" spans="2:6">
      <c r="B69" s="2256" t="s">
        <v>41</v>
      </c>
      <c r="C69" s="2261" t="s">
        <v>363</v>
      </c>
      <c r="D69" s="2261" t="s">
        <v>364</v>
      </c>
      <c r="E69" s="2261" t="s">
        <v>365</v>
      </c>
      <c r="F69" s="2261" t="s">
        <v>366</v>
      </c>
    </row>
    <row r="70" spans="2:6">
      <c r="B70" s="2270"/>
      <c r="C70" s="2271"/>
      <c r="D70" s="2271"/>
      <c r="E70" s="2271"/>
      <c r="F70" s="2271"/>
    </row>
    <row r="71" spans="2:6" ht="108">
      <c r="B71" s="3332" t="s">
        <v>112</v>
      </c>
      <c r="C71" s="3331" t="s">
        <v>464</v>
      </c>
      <c r="D71" s="3331" t="s">
        <v>465</v>
      </c>
      <c r="E71" s="3331" t="s">
        <v>466</v>
      </c>
      <c r="F71" s="3331" t="s">
        <v>467</v>
      </c>
    </row>
    <row r="72" spans="2:6" ht="106.15" customHeight="1">
      <c r="B72" s="3332" t="s">
        <v>114</v>
      </c>
      <c r="C72" s="3331" t="s">
        <v>468</v>
      </c>
      <c r="D72" s="3331" t="s">
        <v>469</v>
      </c>
      <c r="E72" s="3331" t="s">
        <v>470</v>
      </c>
      <c r="F72" s="3331" t="s">
        <v>471</v>
      </c>
    </row>
    <row r="73" spans="2:6" ht="48">
      <c r="B73" s="3332" t="s">
        <v>116</v>
      </c>
      <c r="C73" s="3331" t="s">
        <v>472</v>
      </c>
      <c r="D73" s="3331" t="s">
        <v>473</v>
      </c>
      <c r="E73" s="3331" t="s">
        <v>474</v>
      </c>
      <c r="F73" s="3331" t="s">
        <v>475</v>
      </c>
    </row>
    <row r="74" spans="2:6">
      <c r="B74" s="2275"/>
      <c r="C74" s="2259"/>
      <c r="D74" s="2259"/>
      <c r="E74" s="2259"/>
      <c r="F74" s="2259"/>
    </row>
    <row r="75" spans="2:6">
      <c r="B75" s="2256" t="s">
        <v>157</v>
      </c>
      <c r="C75" s="2261" t="s">
        <v>363</v>
      </c>
      <c r="D75" s="2261" t="s">
        <v>364</v>
      </c>
      <c r="E75" s="2261" t="s">
        <v>365</v>
      </c>
      <c r="F75" s="2261" t="s">
        <v>366</v>
      </c>
    </row>
    <row r="76" spans="2:6">
      <c r="B76" s="2270"/>
      <c r="C76" s="2259"/>
      <c r="D76" s="2259"/>
      <c r="E76" s="2259"/>
      <c r="F76" s="2259"/>
    </row>
    <row r="77" spans="2:6" ht="96">
      <c r="B77" s="3332" t="s">
        <v>119</v>
      </c>
      <c r="C77" s="3331" t="s">
        <v>476</v>
      </c>
      <c r="D77" s="3331" t="s">
        <v>477</v>
      </c>
      <c r="E77" s="3331" t="s">
        <v>478</v>
      </c>
      <c r="F77" s="3331" t="s">
        <v>479</v>
      </c>
    </row>
    <row r="78" spans="2:6" ht="72">
      <c r="B78" s="3332" t="s">
        <v>121</v>
      </c>
      <c r="C78" s="3331" t="s">
        <v>480</v>
      </c>
      <c r="D78" s="3331" t="s">
        <v>481</v>
      </c>
      <c r="E78" s="3331" t="s">
        <v>482</v>
      </c>
      <c r="F78" s="3331" t="s">
        <v>483</v>
      </c>
    </row>
  </sheetData>
  <sheetProtection algorithmName="SHA-512" hashValue="eqvrx9Vaw1lUYnvnNlp9F2DU4YcgJC56d22ffue30tmJkRTmYyMM2Yj82tV/+rw39VdMxGpxtcZMu8GYp8yXFA==" saltValue="HbuwQ2uDITgfNtlLBU4Aog==" spinCount="100000" sheet="1" objects="1" scenarios="1"/>
  <phoneticPr fontId="11" type="noConversion"/>
  <hyperlinks>
    <hyperlink ref="B65:B66" location="INFO_TRAYECTORIAS!A1" display="Implementar sistemas agroforestales en la producción de cacao" xr:uid="{3FFBB4E0-3CA7-44A3-AEA6-A984EB550029}"/>
    <hyperlink ref="B71:B72" location="INFO_TRAYECTORIAS!A1" display="Prácticas sostenibles en suelos ganaderos" xr:uid="{C1F66174-16A6-47AB-8C37-8ACFE49F4A36}"/>
    <hyperlink ref="B20" location="INFO_TRAYECTORIAS!A1" display="Optimización de procesos industriales" xr:uid="{7F7F6DBF-5C31-4AA2-BFF5-0DF391D04583}"/>
    <hyperlink ref="B21" location="INFO_TRAYECTORIAS!A1" display="Optimización de procesos industriales" xr:uid="{945F0439-D90C-444F-AA86-54736A1B995F}"/>
    <hyperlink ref="B18" location="INFO_TRAYECTORIAS!A1" display="Optimización de procesos industriales" xr:uid="{C4500885-1945-44A3-B2B9-E9DF5B6351B9}"/>
    <hyperlink ref="B19" location="INFO_TRAYECTORIAS!A1" display="Optimización de procesos industriales" xr:uid="{04588A07-09FA-4603-BE28-2F747FC1EC16}"/>
  </hyperlinks>
  <pageMargins left="0.7" right="0.7" top="0.75" bottom="0.75" header="0.3" footer="0.3"/>
  <pageSetup paperSize="9" orientation="portrait" r:id="rId1"/>
  <customProperties>
    <customPr name="_pios_id" r:id="rId2"/>
  </customProperties>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92367-21D0-4E0F-8896-3F06EF66E0E6}">
  <sheetPr codeName="Hoja28"/>
  <dimension ref="A1:G94"/>
  <sheetViews>
    <sheetView showGridLines="0" zoomScale="80" zoomScaleNormal="80" workbookViewId="0"/>
  </sheetViews>
  <sheetFormatPr baseColWidth="10" defaultColWidth="11.42578125" defaultRowHeight="15"/>
  <cols>
    <col min="1" max="1" width="20.7109375" style="678" customWidth="1"/>
    <col min="2" max="2" width="5.28515625" style="679" customWidth="1"/>
    <col min="3" max="3" width="83.140625" style="679" customWidth="1"/>
    <col min="4" max="4" width="8" style="679" customWidth="1"/>
    <col min="5" max="16384" width="11.42578125" style="679"/>
  </cols>
  <sheetData>
    <row r="1" spans="1:1" ht="15" customHeight="1"/>
    <row r="2" spans="1:1" ht="15" customHeight="1"/>
    <row r="3" spans="1:1" ht="15" customHeight="1"/>
    <row r="4" spans="1:1" ht="15" customHeight="1"/>
    <row r="5" spans="1:1" ht="15" customHeight="1">
      <c r="A5" s="1559"/>
    </row>
    <row r="6" spans="1:1" ht="15" customHeight="1"/>
    <row r="7" spans="1:1" ht="15" customHeight="1"/>
    <row r="8" spans="1:1" ht="15" customHeight="1"/>
    <row r="9" spans="1:1" ht="15" customHeight="1"/>
    <row r="10" spans="1:1" ht="15" customHeight="1"/>
    <row r="11" spans="1:1" ht="15" customHeight="1"/>
    <row r="12" spans="1:1" ht="15" customHeight="1"/>
    <row r="13" spans="1:1" ht="15" customHeight="1"/>
    <row r="14" spans="1:1" ht="15" customHeight="1"/>
    <row r="15" spans="1:1" ht="15" customHeight="1"/>
    <row r="16" spans="1:1" ht="15" customHeight="1"/>
    <row r="17" spans="1:4" s="680" customFormat="1" ht="15" customHeight="1">
      <c r="A17" s="678"/>
      <c r="B17" s="679"/>
      <c r="C17" s="679"/>
      <c r="D17" s="679"/>
    </row>
    <row r="18" spans="1:4" ht="15" customHeight="1"/>
    <row r="19" spans="1:4" ht="15" customHeight="1"/>
    <row r="20" spans="1:4" ht="15" customHeight="1"/>
    <row r="21" spans="1:4" ht="15" customHeight="1"/>
    <row r="22" spans="1:4" ht="15" customHeight="1"/>
    <row r="23" spans="1:4" ht="15" customHeight="1"/>
    <row r="24" spans="1:4" ht="15" customHeight="1"/>
    <row r="25" spans="1:4" ht="15" customHeight="1"/>
    <row r="26" spans="1:4" ht="15" customHeight="1"/>
    <row r="27" spans="1:4" ht="15" customHeight="1"/>
    <row r="28" spans="1:4" ht="15" customHeight="1"/>
    <row r="29" spans="1:4" ht="15" customHeight="1"/>
    <row r="30" spans="1:4" ht="15" customHeight="1"/>
    <row r="31" spans="1:4" ht="15" customHeight="1"/>
    <row r="32" spans="1:4" ht="15" customHeight="1"/>
    <row r="33" spans="1:7" ht="15" customHeight="1"/>
    <row r="34" spans="1:7" ht="15" customHeight="1"/>
    <row r="35" spans="1:7" ht="15" customHeight="1">
      <c r="A35" s="1559"/>
    </row>
    <row r="36" spans="1:7" ht="15" customHeight="1"/>
    <row r="37" spans="1:7" ht="15" customHeight="1"/>
    <row r="38" spans="1:7" ht="15" customHeight="1"/>
    <row r="40" spans="1:7">
      <c r="F40" s="680"/>
      <c r="G40" s="680"/>
    </row>
    <row r="41" spans="1:7">
      <c r="F41" s="680"/>
      <c r="G41" s="680"/>
    </row>
    <row r="42" spans="1:7">
      <c r="F42" s="680"/>
      <c r="G42" s="680"/>
    </row>
    <row r="43" spans="1:7">
      <c r="F43" s="680"/>
      <c r="G43" s="680"/>
    </row>
    <row r="44" spans="1:7">
      <c r="F44" s="680"/>
      <c r="G44" s="680"/>
    </row>
    <row r="45" spans="1:7">
      <c r="F45" s="680"/>
      <c r="G45" s="680"/>
    </row>
    <row r="46" spans="1:7">
      <c r="F46" s="680"/>
      <c r="G46" s="680"/>
    </row>
    <row r="47" spans="1:7" ht="15" customHeight="1">
      <c r="F47" s="680"/>
      <c r="G47" s="680"/>
    </row>
    <row r="48" spans="1:7">
      <c r="F48" s="680"/>
      <c r="G48" s="680"/>
    </row>
    <row r="49" spans="5:7">
      <c r="F49" s="680"/>
      <c r="G49" s="680"/>
    </row>
    <row r="50" spans="5:7">
      <c r="F50" s="680"/>
      <c r="G50" s="680"/>
    </row>
    <row r="51" spans="5:7">
      <c r="F51" s="680"/>
      <c r="G51" s="680"/>
    </row>
    <row r="52" spans="5:7">
      <c r="F52" s="680"/>
      <c r="G52" s="680"/>
    </row>
    <row r="53" spans="5:7">
      <c r="F53" s="680"/>
      <c r="G53" s="680"/>
    </row>
    <row r="54" spans="5:7">
      <c r="F54" s="680"/>
      <c r="G54" s="680"/>
    </row>
    <row r="55" spans="5:7">
      <c r="F55" s="680"/>
      <c r="G55" s="680"/>
    </row>
    <row r="56" spans="5:7">
      <c r="F56" s="680"/>
      <c r="G56" s="680"/>
    </row>
    <row r="57" spans="5:7">
      <c r="F57" s="680"/>
      <c r="G57" s="680"/>
    </row>
    <row r="58" spans="5:7">
      <c r="F58" s="680"/>
      <c r="G58" s="680"/>
    </row>
    <row r="59" spans="5:7">
      <c r="F59" s="680"/>
      <c r="G59" s="680"/>
    </row>
    <row r="60" spans="5:7">
      <c r="F60" s="680"/>
      <c r="G60" s="680"/>
    </row>
    <row r="61" spans="5:7">
      <c r="E61" s="680"/>
      <c r="F61" s="680"/>
      <c r="G61" s="680"/>
    </row>
    <row r="62" spans="5:7">
      <c r="E62" s="680"/>
      <c r="F62" s="680"/>
      <c r="G62" s="680"/>
    </row>
    <row r="63" spans="5:7">
      <c r="E63" s="680"/>
      <c r="F63" s="680"/>
      <c r="G63" s="680"/>
    </row>
    <row r="64" spans="5:7">
      <c r="E64" s="680"/>
      <c r="F64" s="680"/>
      <c r="G64" s="680"/>
    </row>
    <row r="65" spans="5:7">
      <c r="E65" s="680"/>
      <c r="F65" s="680"/>
      <c r="G65" s="680"/>
    </row>
    <row r="66" spans="5:7">
      <c r="E66" s="680"/>
      <c r="F66" s="680"/>
      <c r="G66" s="680"/>
    </row>
    <row r="67" spans="5:7">
      <c r="E67" s="680"/>
      <c r="F67" s="680"/>
      <c r="G67" s="680"/>
    </row>
    <row r="68" spans="5:7">
      <c r="E68" s="680"/>
      <c r="F68" s="680"/>
      <c r="G68" s="680"/>
    </row>
    <row r="69" spans="5:7">
      <c r="E69" s="680"/>
      <c r="F69" s="680"/>
      <c r="G69" s="680"/>
    </row>
    <row r="70" spans="5:7">
      <c r="E70" s="680"/>
      <c r="F70" s="680"/>
      <c r="G70" s="680"/>
    </row>
    <row r="71" spans="5:7">
      <c r="E71" s="680"/>
      <c r="F71" s="680"/>
      <c r="G71" s="680"/>
    </row>
    <row r="72" spans="5:7">
      <c r="E72" s="680"/>
      <c r="F72" s="680"/>
      <c r="G72" s="680"/>
    </row>
    <row r="73" spans="5:7">
      <c r="E73" s="680"/>
      <c r="F73" s="680"/>
      <c r="G73" s="680"/>
    </row>
    <row r="74" spans="5:7">
      <c r="E74" s="680"/>
      <c r="F74" s="680"/>
      <c r="G74" s="680"/>
    </row>
    <row r="75" spans="5:7">
      <c r="E75" s="680"/>
      <c r="F75" s="680"/>
      <c r="G75" s="680"/>
    </row>
    <row r="76" spans="5:7">
      <c r="E76" s="680"/>
      <c r="F76" s="680"/>
      <c r="G76" s="680"/>
    </row>
    <row r="77" spans="5:7">
      <c r="E77" s="680"/>
      <c r="F77" s="680"/>
      <c r="G77" s="680"/>
    </row>
    <row r="78" spans="5:7">
      <c r="E78" s="680"/>
      <c r="F78" s="680"/>
      <c r="G78" s="680"/>
    </row>
    <row r="79" spans="5:7">
      <c r="E79" s="680"/>
      <c r="F79" s="680"/>
      <c r="G79" s="680"/>
    </row>
    <row r="80" spans="5:7">
      <c r="E80" s="680"/>
      <c r="F80" s="680"/>
      <c r="G80" s="680"/>
    </row>
    <row r="81" spans="5:7">
      <c r="E81" s="680"/>
      <c r="F81" s="680"/>
      <c r="G81" s="680"/>
    </row>
    <row r="82" spans="5:7">
      <c r="E82" s="680"/>
      <c r="F82" s="680"/>
      <c r="G82" s="680"/>
    </row>
    <row r="83" spans="5:7">
      <c r="E83" s="680"/>
      <c r="F83" s="680"/>
      <c r="G83" s="680"/>
    </row>
    <row r="84" spans="5:7">
      <c r="E84" s="680"/>
      <c r="F84" s="680"/>
      <c r="G84" s="680"/>
    </row>
    <row r="85" spans="5:7">
      <c r="E85" s="680"/>
      <c r="F85" s="680"/>
      <c r="G85" s="680"/>
    </row>
    <row r="86" spans="5:7">
      <c r="E86" s="680"/>
      <c r="F86" s="680"/>
      <c r="G86" s="680"/>
    </row>
    <row r="87" spans="5:7">
      <c r="E87" s="680"/>
      <c r="F87" s="680"/>
      <c r="G87" s="680"/>
    </row>
    <row r="88" spans="5:7">
      <c r="E88" s="680"/>
      <c r="F88" s="680"/>
      <c r="G88" s="680"/>
    </row>
    <row r="89" spans="5:7">
      <c r="E89" s="680"/>
      <c r="F89" s="680"/>
      <c r="G89" s="680"/>
    </row>
    <row r="90" spans="5:7">
      <c r="E90" s="680"/>
      <c r="F90" s="680"/>
      <c r="G90" s="680"/>
    </row>
    <row r="91" spans="5:7">
      <c r="E91" s="680"/>
      <c r="F91" s="680"/>
      <c r="G91" s="680"/>
    </row>
    <row r="92" spans="5:7">
      <c r="E92" s="680"/>
      <c r="F92" s="680"/>
      <c r="G92" s="680"/>
    </row>
    <row r="93" spans="5:7">
      <c r="E93" s="680"/>
      <c r="F93" s="680"/>
      <c r="G93" s="680"/>
    </row>
    <row r="94" spans="5:7">
      <c r="E94" s="680"/>
      <c r="F94" s="680"/>
      <c r="G94" s="680"/>
    </row>
  </sheetData>
  <sheetProtection algorithmName="SHA-512" hashValue="12ZxiYqMTig5HpZyOrFNdm7ktrhwIBx6mv0kb1iz9xi4/Ln8E0ByYeumtVhoVnaz53dxsNHjJ4G2SIoOzobeew==" saltValue="Ca/lvClFvl0RQ8T4+zNxKw==" spinCount="100000" sheet="1" objects="1" scenarios="1"/>
  <pageMargins left="0.7" right="0.7" top="0.75" bottom="0.75" header="0.3" footer="0.3"/>
  <pageSetup paperSize="9" scale="41" orientation="portrait" r:id="rId1"/>
  <customProperties>
    <customPr name="_pios_id" r:id="rId2"/>
  </customProperties>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F6B17-1746-470A-8565-9880D84D2A16}">
  <sheetPr codeName="Hoja29"/>
  <dimension ref="A1:AJ174"/>
  <sheetViews>
    <sheetView showGridLines="0" zoomScale="70" zoomScaleNormal="70" workbookViewId="0"/>
  </sheetViews>
  <sheetFormatPr baseColWidth="10" defaultColWidth="11.42578125" defaultRowHeight="15"/>
  <cols>
    <col min="1" max="1" width="20.7109375" style="678" customWidth="1"/>
    <col min="2" max="2" width="30.7109375" style="2276" customWidth="1"/>
    <col min="3" max="3" width="7.7109375" style="680" customWidth="1"/>
    <col min="4" max="4" width="11.42578125" style="680"/>
    <col min="5" max="5" width="19.85546875" style="680" customWidth="1"/>
    <col min="6" max="6" width="16.85546875" style="680" customWidth="1"/>
    <col min="7" max="7" width="11.42578125" style="680" customWidth="1"/>
    <col min="8" max="8" width="12.5703125" style="680" bestFit="1" customWidth="1"/>
    <col min="9" max="9" width="7.85546875" style="680" customWidth="1"/>
    <col min="10" max="14" width="11.5703125" style="680" bestFit="1" customWidth="1"/>
    <col min="15" max="16" width="11.42578125" style="680"/>
    <col min="17" max="17" width="8.85546875" style="680" customWidth="1"/>
    <col min="18" max="18" width="19.28515625" style="680" customWidth="1"/>
    <col min="19" max="19" width="22.7109375" style="687" customWidth="1"/>
    <col min="20" max="27" width="15.42578125" style="679" customWidth="1"/>
    <col min="28" max="28" width="17" style="679" customWidth="1"/>
    <col min="29" max="16384" width="11.42578125" style="679"/>
  </cols>
  <sheetData>
    <row r="1" spans="1:36" ht="15" customHeight="1"/>
    <row r="2" spans="1:36" ht="15" customHeight="1"/>
    <row r="3" spans="1:36" ht="15" customHeight="1">
      <c r="S3" s="680"/>
    </row>
    <row r="4" spans="1:36" ht="15" customHeight="1">
      <c r="E4" s="3701" t="s">
        <v>484</v>
      </c>
      <c r="F4" s="3702"/>
      <c r="G4" s="3702"/>
      <c r="H4" s="3702"/>
      <c r="I4" s="3702"/>
      <c r="J4" s="3702"/>
      <c r="K4" s="3702"/>
      <c r="L4" s="3702"/>
      <c r="M4" s="3703"/>
      <c r="N4" s="3703"/>
      <c r="O4" s="3703"/>
      <c r="P4" s="3703"/>
    </row>
    <row r="5" spans="1:36" ht="15" customHeight="1">
      <c r="A5" s="1559"/>
    </row>
    <row r="6" spans="1:36" ht="15" customHeight="1">
      <c r="S6" s="3704"/>
      <c r="T6" s="2281"/>
      <c r="U6" s="2281"/>
      <c r="V6" s="2281"/>
      <c r="W6" s="2281"/>
      <c r="X6" s="2281"/>
      <c r="Y6" s="2281"/>
      <c r="Z6" s="2281"/>
      <c r="AA6" s="2282" t="str">
        <f>AJUSTES_UNIDADES_GENERAL_EMISIONES</f>
        <v>Mt CO2e</v>
      </c>
      <c r="AB6" s="1596"/>
    </row>
    <row r="7" spans="1:36" ht="15" customHeight="1">
      <c r="S7" s="3705" t="s">
        <v>321</v>
      </c>
      <c r="T7" s="2284">
        <v>2018</v>
      </c>
      <c r="U7" s="2284">
        <v>2020</v>
      </c>
      <c r="V7" s="2284">
        <v>2025</v>
      </c>
      <c r="W7" s="2284">
        <v>2030</v>
      </c>
      <c r="X7" s="2284">
        <v>2035</v>
      </c>
      <c r="Y7" s="2284">
        <v>2040</v>
      </c>
      <c r="Z7" s="2284">
        <v>2045</v>
      </c>
      <c r="AA7" s="2284">
        <v>2050</v>
      </c>
    </row>
    <row r="8" spans="1:36" ht="15" customHeight="1">
      <c r="S8" s="3706" t="s">
        <v>485</v>
      </c>
      <c r="T8" s="2285" cm="1">
        <f t="array" ref="T8:AA8">SALIDA_EMISIONES_TOTAL_COMBUSTIBLES_FOSILES*AJUSTE_UNIDAD_SELECCIONADA_GENERAL_EMISIONES</f>
        <v>0.14478428565923476</v>
      </c>
      <c r="U8" s="2285">
        <v>2.2816225737112439</v>
      </c>
      <c r="V8" s="2285">
        <v>2.2145823265529443</v>
      </c>
      <c r="W8" s="2285">
        <v>2.2138800261927347</v>
      </c>
      <c r="X8" s="2285">
        <v>2.2132189965759483</v>
      </c>
      <c r="Y8" s="2285">
        <v>2.2125996783881838</v>
      </c>
      <c r="Z8" s="2285">
        <v>2.2119803602004189</v>
      </c>
      <c r="AA8" s="2285">
        <v>2.2113610420126539</v>
      </c>
      <c r="AC8" s="2285"/>
      <c r="AD8" s="2285"/>
      <c r="AE8" s="2285"/>
      <c r="AF8" s="2285"/>
      <c r="AG8" s="2285"/>
      <c r="AH8" s="2285"/>
      <c r="AI8" s="2285"/>
      <c r="AJ8" s="2285"/>
    </row>
    <row r="9" spans="1:36" ht="15" customHeight="1">
      <c r="S9" s="3706" t="s">
        <v>486</v>
      </c>
      <c r="T9" s="2285" cm="1">
        <f t="array" ref="T9:AA9">SALIDA_EMISIONES_ELECTRICIDAD*AJUSTE_UNIDAD_SELECCIONADA_GENERAL_EMISIONES</f>
        <v>1.4380242287862461</v>
      </c>
      <c r="U9" s="2285">
        <v>1.4032329333213156</v>
      </c>
      <c r="V9" s="2285">
        <v>1.5381359892828692</v>
      </c>
      <c r="W9" s="2285">
        <v>1.5381359892828692</v>
      </c>
      <c r="X9" s="2285">
        <v>1.5381359892828692</v>
      </c>
      <c r="Y9" s="2285">
        <v>1.5381359892828692</v>
      </c>
      <c r="Z9" s="2285">
        <v>1.5381359892828692</v>
      </c>
      <c r="AA9" s="2285">
        <v>1.5381359892828692</v>
      </c>
      <c r="AC9" s="2285"/>
      <c r="AD9" s="2285"/>
      <c r="AE9" s="2285"/>
      <c r="AF9" s="2285"/>
      <c r="AG9" s="2285"/>
      <c r="AH9" s="2285"/>
      <c r="AI9" s="2285"/>
      <c r="AJ9" s="2285"/>
    </row>
    <row r="10" spans="1:36" ht="15" customHeight="1">
      <c r="D10" s="3896" t="str">
        <f>AJUSTES_UNIDADES_GENERAL_EMISIONES</f>
        <v>Mt CO2e</v>
      </c>
      <c r="S10" s="3706" t="s">
        <v>296</v>
      </c>
      <c r="T10" s="2285" cm="1">
        <f t="array" ref="T10:AA10">SALIDA_EMISIONES_TOTAL_INDUSTRIA*AJUSTE_UNIDAD_SELECCIONADA_GENERAL_EMISIONES</f>
        <v>2.5992378836903876</v>
      </c>
      <c r="U10" s="2285">
        <v>2.694601638586041</v>
      </c>
      <c r="V10" s="2285">
        <v>3.3044685496297288</v>
      </c>
      <c r="W10" s="2285">
        <v>3.9464474319281937</v>
      </c>
      <c r="X10" s="2285">
        <v>5.233462441999154</v>
      </c>
      <c r="Y10" s="2285">
        <v>5.2794594386444738</v>
      </c>
      <c r="Z10" s="2285">
        <v>5.3254564352897935</v>
      </c>
      <c r="AA10" s="2285">
        <v>5.3714534319351133</v>
      </c>
      <c r="AC10" s="2285"/>
      <c r="AD10" s="2285"/>
      <c r="AE10" s="2285"/>
      <c r="AF10" s="2285"/>
      <c r="AG10" s="2285"/>
      <c r="AH10" s="2285"/>
      <c r="AI10" s="2285"/>
      <c r="AJ10" s="2285"/>
    </row>
    <row r="11" spans="1:36" ht="15" customHeight="1">
      <c r="D11" s="3896"/>
      <c r="S11" s="3706" t="s">
        <v>487</v>
      </c>
      <c r="T11" s="2285" cm="1">
        <f t="array" ref="T11:AA11">(SALIDA_EMISIONES_RES_SOL_TOTALCO2e+SALIDA_EMISIONES_RES_AGU_TOTALCO2e)*AJUSTE_UNIDAD_SELECCIONADA_GENERAL_EMISIONES</f>
        <v>1.1879924342242936</v>
      </c>
      <c r="U11" s="2285">
        <v>1.2508171093650038</v>
      </c>
      <c r="V11" s="2285">
        <v>1.4129079407845748</v>
      </c>
      <c r="W11" s="2285">
        <v>1.5840299152393731</v>
      </c>
      <c r="X11" s="2285">
        <v>1.5976169271292755</v>
      </c>
      <c r="Y11" s="2285">
        <v>1.6115667053579781</v>
      </c>
      <c r="Z11" s="2285">
        <v>1.6258939750181256</v>
      </c>
      <c r="AA11" s="2285">
        <v>1.6406142690772478</v>
      </c>
    </row>
    <row r="12" spans="1:36" ht="15" customHeight="1">
      <c r="D12" s="3896"/>
      <c r="S12" s="3706" t="s">
        <v>488</v>
      </c>
      <c r="T12" s="2285" cm="1">
        <f t="array" ref="T12:AA12">(SALIDA_EMISIONES_EDI_RES_URB_ACONDICIONAMIENTO_TOTALCO2e+SALIDA_EMISIONES_EDI_RES_URB_EEYHABITOSCONSUMO_TOTALCO2e+SALIDA_EMISIONES_EDI_RES_RURAL_TOTALCO2e+SALIDA_EMISIONES_EDI_COM_AEC_TOTALCO2e+SALIDA_EMISIONES_EDI_COM_UTE_TOTALCO2e)*AJUSTE_UNIDAD_SELECCIONADA_GENERAL_EMISIONES</f>
        <v>1.2125354756618891</v>
      </c>
      <c r="U12" s="2285">
        <v>1.1922689358143213</v>
      </c>
      <c r="V12" s="2285">
        <v>1.2143051957208066</v>
      </c>
      <c r="W12" s="2285">
        <v>1.2196673194890406</v>
      </c>
      <c r="X12" s="2285">
        <v>1.2575401777262452</v>
      </c>
      <c r="Y12" s="2285">
        <v>1.2989015688304137</v>
      </c>
      <c r="Z12" s="2285">
        <v>1.3469992600385783</v>
      </c>
      <c r="AA12" s="2285">
        <v>1.4018756639997982</v>
      </c>
    </row>
    <row r="13" spans="1:36" ht="15" customHeight="1">
      <c r="D13" s="3896"/>
      <c r="S13" s="3706" t="s">
        <v>489</v>
      </c>
      <c r="T13" s="2285" cm="1">
        <f t="array" ref="T13:AA13">(SALIDA_EMISIONES_TRANS_PAS_EMISIONESCO2E+SALIDA_EMISIONES_TRANS_CAR_TOTALESCO2E+SALIDA_EMISIONES_TRANS_AVI_TOTALCO2e+SALIDA_EMISIONES_TRANS_NAVI_TOTALCO2e)*AJUSTE_UNIDAD_SELECCIONADA_GENERAL_EMISIONES</f>
        <v>2.3732955822091188</v>
      </c>
      <c r="U13" s="2285">
        <v>2.7196445360457822</v>
      </c>
      <c r="V13" s="2285">
        <v>3.1974460274268761</v>
      </c>
      <c r="W13" s="2285">
        <v>3.4380266976545752</v>
      </c>
      <c r="X13" s="2285">
        <v>3.7002747693265801</v>
      </c>
      <c r="Y13" s="2285">
        <v>4.0477575773126055</v>
      </c>
      <c r="Z13" s="2285">
        <v>4.4898957222653939</v>
      </c>
      <c r="AA13" s="2285">
        <v>5.1213773021192575</v>
      </c>
      <c r="AC13" s="2285"/>
      <c r="AD13" s="2285"/>
      <c r="AE13" s="2285"/>
      <c r="AF13" s="2285"/>
      <c r="AG13" s="2285"/>
      <c r="AH13" s="2285"/>
      <c r="AI13" s="2285"/>
      <c r="AJ13" s="2285"/>
    </row>
    <row r="14" spans="1:36" ht="15" customHeight="1">
      <c r="D14" s="3896"/>
      <c r="S14" s="3706" t="s">
        <v>306</v>
      </c>
      <c r="T14" s="2285" cm="1">
        <f t="array" ref="T14:AA14">SALIDA_EMISIONES_AGRICULTURA*AJUSTE_UNIDAD_SELECCIONADA_GENERAL_EMISIONES</f>
        <v>0.28587648466833271</v>
      </c>
      <c r="U14" s="2285">
        <v>0.28549563656319871</v>
      </c>
      <c r="V14" s="2285">
        <v>0.28549563656319871</v>
      </c>
      <c r="W14" s="2285">
        <v>0.28549563656319871</v>
      </c>
      <c r="X14" s="2285">
        <v>0.28549563656319871</v>
      </c>
      <c r="Y14" s="2285">
        <v>0.28549563656319871</v>
      </c>
      <c r="Z14" s="2285">
        <v>0.28549563656319871</v>
      </c>
      <c r="AA14" s="2285">
        <v>0.28549563656319871</v>
      </c>
      <c r="AC14" s="2285"/>
      <c r="AD14" s="2285"/>
      <c r="AE14" s="2285"/>
      <c r="AF14" s="2285"/>
      <c r="AG14" s="2285"/>
      <c r="AH14" s="2285"/>
      <c r="AI14" s="2285"/>
      <c r="AJ14" s="2285"/>
    </row>
    <row r="15" spans="1:36" ht="15" customHeight="1">
      <c r="S15" s="3706" t="s">
        <v>354</v>
      </c>
      <c r="T15" s="2285" cm="1">
        <f t="array" ref="T15:AA15">SALIDA_EMISIONES_GANADERIA*AJUSTE_UNIDAD_SELECCIONADA_GENERAL_EMISIONES</f>
        <v>2.0831765858036109</v>
      </c>
      <c r="U15" s="2285">
        <v>2.1745271557896104</v>
      </c>
      <c r="V15" s="2285">
        <v>2.3645633270172324</v>
      </c>
      <c r="W15" s="2285">
        <v>2.5655538564555336</v>
      </c>
      <c r="X15" s="2285">
        <v>2.7665443858938348</v>
      </c>
      <c r="Y15" s="2285">
        <v>2.9675349153321355</v>
      </c>
      <c r="Z15" s="2285">
        <v>3.1685254447704372</v>
      </c>
      <c r="AA15" s="2285">
        <v>3.3695159742087388</v>
      </c>
      <c r="AC15" s="2285"/>
      <c r="AD15" s="2285"/>
      <c r="AE15" s="2285"/>
      <c r="AF15" s="2285"/>
      <c r="AG15" s="2285"/>
      <c r="AH15" s="2285"/>
      <c r="AI15" s="2285"/>
      <c r="AJ15" s="2285"/>
    </row>
    <row r="16" spans="1:36" ht="15" customHeight="1">
      <c r="D16" s="695"/>
      <c r="S16" s="3706" t="s">
        <v>310</v>
      </c>
      <c r="T16" s="2285" cm="1">
        <f t="array" ref="T16:AA16">SALIDA_EMISIONES_BOSQUES_REDUCCION_POR_REFORESTACION_PROTECTORA</f>
        <v>-3.7133202090368661E-2</v>
      </c>
      <c r="U16" s="2285">
        <v>-5.765623555727345E-2</v>
      </c>
      <c r="V16" s="2285">
        <v>-6.6903556572080816E-2</v>
      </c>
      <c r="W16" s="2285">
        <v>-9.648904640994202E-2</v>
      </c>
      <c r="X16" s="2285">
        <v>-0.11569401729008479</v>
      </c>
      <c r="Y16" s="2285">
        <v>-0.13637638202172259</v>
      </c>
      <c r="Z16" s="2285">
        <v>-0.15705874675336029</v>
      </c>
      <c r="AA16" s="2285">
        <v>-0.17774111148499813</v>
      </c>
      <c r="AC16" s="2285"/>
      <c r="AD16" s="2285"/>
      <c r="AE16" s="2285"/>
      <c r="AF16" s="2285"/>
      <c r="AG16" s="2285"/>
      <c r="AH16" s="2285"/>
      <c r="AI16" s="2285"/>
      <c r="AJ16" s="2285"/>
    </row>
    <row r="17" spans="4:27" ht="15" customHeight="1">
      <c r="T17" s="2949">
        <f>SUM(T8:T16)</f>
        <v>11.287789758612744</v>
      </c>
      <c r="U17" s="2949">
        <f t="shared" ref="U17:AA17" si="0">SUM(U8:U16)</f>
        <v>13.944554283639244</v>
      </c>
      <c r="V17" s="2949">
        <f t="shared" si="0"/>
        <v>15.465001436406149</v>
      </c>
      <c r="W17" s="2949">
        <f t="shared" si="0"/>
        <v>16.694747826395577</v>
      </c>
      <c r="X17" s="2949">
        <f t="shared" si="0"/>
        <v>18.47659530720702</v>
      </c>
      <c r="Y17" s="2949">
        <f t="shared" si="0"/>
        <v>19.105075127690135</v>
      </c>
      <c r="Z17" s="2949">
        <f t="shared" si="0"/>
        <v>19.835324076675455</v>
      </c>
      <c r="AA17" s="2949">
        <f t="shared" si="0"/>
        <v>20.762088197713879</v>
      </c>
    </row>
    <row r="18" spans="4:27" ht="15" customHeight="1"/>
    <row r="19" spans="4:27" ht="15" customHeight="1"/>
    <row r="20" spans="4:27" ht="15" customHeight="1">
      <c r="S20" s="680"/>
    </row>
    <row r="21" spans="4:27" ht="15" customHeight="1">
      <c r="E21" s="3701" t="s">
        <v>490</v>
      </c>
      <c r="F21" s="3702"/>
      <c r="G21" s="3702"/>
      <c r="H21" s="3702"/>
      <c r="I21" s="3702"/>
      <c r="J21" s="3702"/>
      <c r="K21" s="3702"/>
      <c r="L21" s="3702"/>
      <c r="M21" s="3703"/>
      <c r="N21" s="3703"/>
      <c r="O21" s="3703"/>
      <c r="P21" s="3703"/>
      <c r="S21" s="680"/>
    </row>
    <row r="23" spans="4:27">
      <c r="S23" s="3707"/>
      <c r="T23" s="2281"/>
      <c r="U23" s="2281"/>
      <c r="V23" s="2281"/>
      <c r="W23" s="2281"/>
      <c r="X23" s="2281"/>
      <c r="Y23" s="2281"/>
      <c r="Z23" s="2281"/>
      <c r="AA23" s="2282" t="str">
        <f>AJUSTES_UNIDADES_GENERAL_ENERGIA</f>
        <v>TWh</v>
      </c>
    </row>
    <row r="24" spans="4:27">
      <c r="S24" s="3705" t="s">
        <v>321</v>
      </c>
      <c r="T24" s="2284">
        <v>2018</v>
      </c>
      <c r="U24" s="2284">
        <v>2020</v>
      </c>
      <c r="V24" s="2284">
        <v>2025</v>
      </c>
      <c r="W24" s="2284">
        <v>2030</v>
      </c>
      <c r="X24" s="2284">
        <v>2035</v>
      </c>
      <c r="Y24" s="2284">
        <v>2040</v>
      </c>
      <c r="Z24" s="2284">
        <v>2045</v>
      </c>
      <c r="AA24" s="2284">
        <v>2050</v>
      </c>
    </row>
    <row r="25" spans="4:27">
      <c r="S25" s="3706" t="s">
        <v>485</v>
      </c>
      <c r="T25" s="2286" cm="1">
        <f t="array" ref="T25:AA25">SALIDA_GENERACION_ENER_TOTAL_COMBUSTIBLES_FOSILES*AJUSTES_UNIDAD_SELECCIONADA_GENERAL_ENERGIA</f>
        <v>14.580387082335244</v>
      </c>
      <c r="U25" s="2285">
        <v>13.96738920817052</v>
      </c>
      <c r="V25" s="2285">
        <v>6.7427182779014014</v>
      </c>
      <c r="W25" s="2285">
        <v>6.6582778954031872</v>
      </c>
      <c r="X25" s="2285">
        <v>6.5868459050625487</v>
      </c>
      <c r="Y25" s="2285">
        <v>6.5290502231286451</v>
      </c>
      <c r="Z25" s="2285">
        <v>6.4712545411947406</v>
      </c>
      <c r="AA25" s="2285">
        <v>6.4134588592608353</v>
      </c>
    </row>
    <row r="26" spans="4:27">
      <c r="S26" s="3706" t="s">
        <v>486</v>
      </c>
      <c r="T26" s="2286" cm="1">
        <f t="array" ref="T26:AA26">(SALIDA_GENERACION_ELECT_total_combustibles_fosiles+SALIDA_GENERACION_ELECT_total_renovables)*AJUSTES_UNIDAD_SELECCIONADA_GENERAL_ENERGIA</f>
        <v>9.1863651880649488</v>
      </c>
      <c r="U26" s="2285">
        <v>9.137760081249791</v>
      </c>
      <c r="V26" s="2285">
        <v>12.491512451495723</v>
      </c>
      <c r="W26" s="2285">
        <v>12.928958412832149</v>
      </c>
      <c r="X26" s="2285">
        <v>14.18053991332248</v>
      </c>
      <c r="Y26" s="2285">
        <v>15.371365030293862</v>
      </c>
      <c r="Z26" s="2285">
        <v>16.64724908419177</v>
      </c>
      <c r="AA26" s="2285">
        <v>17.983889521608631</v>
      </c>
    </row>
    <row r="27" spans="4:27">
      <c r="S27" s="3706" t="s">
        <v>296</v>
      </c>
      <c r="T27" s="2285" cm="1">
        <f t="array" ref="T27:AA27">SALIDA_GENERACION_IND_AUTO_COGENERACION*AJUSTES_UNIDAD_SELECCIONADA_GENERAL_ENERGIA</f>
        <v>0.22322274026251038</v>
      </c>
      <c r="U27" s="2285">
        <v>0.22322274026251038</v>
      </c>
      <c r="V27" s="2285">
        <v>0.22322274026251038</v>
      </c>
      <c r="W27" s="2285">
        <v>0.22322274026251038</v>
      </c>
      <c r="X27" s="2285">
        <v>0.22322274026251038</v>
      </c>
      <c r="Y27" s="2285">
        <v>0.22322274026251038</v>
      </c>
      <c r="Z27" s="2285">
        <v>0.22322274026251038</v>
      </c>
      <c r="AA27" s="2285">
        <v>0.22322274026251038</v>
      </c>
    </row>
    <row r="28" spans="4:27">
      <c r="D28" s="3896" t="str">
        <f>AJUSTES_UNIDADES_GENERAL_ENERGIA</f>
        <v>TWh</v>
      </c>
      <c r="S28" s="3706" t="s">
        <v>487</v>
      </c>
      <c r="T28" s="2286" cm="1">
        <f t="array" ref="T28:AA28">(SALIDA_GENERACION_RES_GENERACION+SALIDA_GENERACION_RES_AGU_TOT_GENERACION)*AJUSTES_UNIDAD_SELECCIONADA_GENERAL_ENERGIA</f>
        <v>8.2983241269553848E-12</v>
      </c>
      <c r="U28" s="2285">
        <v>9.009188814620217E-12</v>
      </c>
      <c r="V28" s="2285">
        <v>1.0843255572503704E-11</v>
      </c>
      <c r="W28" s="2285">
        <v>1.2779510215300475E-11</v>
      </c>
      <c r="X28" s="2285">
        <v>1.2933248009276829E-11</v>
      </c>
      <c r="Y28" s="2285">
        <v>1.309109052451993E-11</v>
      </c>
      <c r="Z28" s="2285">
        <v>1.3253204376270684E-11</v>
      </c>
      <c r="AA28" s="2285">
        <v>1.341976532091919E-11</v>
      </c>
    </row>
    <row r="29" spans="4:27" ht="15" customHeight="1">
      <c r="D29" s="3896"/>
      <c r="S29" s="3706" t="s">
        <v>488</v>
      </c>
      <c r="T29" s="2285" cm="1">
        <f t="array" ref="T29:AA29">SALIDA_GENERACION_EDIF_RES_IRCO_SOLAR*AJUSTES_UNIDAD_SELECCIONADA_GENERAL_ENERGIA</f>
        <v>0</v>
      </c>
      <c r="U29" s="2285">
        <v>4.619112157401981E-6</v>
      </c>
      <c r="V29" s="2285">
        <v>2.0272917560842541E-5</v>
      </c>
      <c r="W29" s="2285">
        <v>4.1380482384673446E-5</v>
      </c>
      <c r="X29" s="2285">
        <v>6.7733993310052588E-5</v>
      </c>
      <c r="Y29" s="2285">
        <v>1.0075764518072839E-4</v>
      </c>
      <c r="Z29" s="2285">
        <v>1.3956277798552673E-4</v>
      </c>
      <c r="AA29" s="2285">
        <v>1.8297733039349229E-2</v>
      </c>
    </row>
    <row r="30" spans="4:27">
      <c r="D30" s="3896"/>
      <c r="S30" s="3706" t="s">
        <v>489</v>
      </c>
      <c r="T30" s="2285" cm="1">
        <f t="array" ref="T30">0*AJUSTES_UNIDAD_SELECCIONADA_GENERAL_ENERGIA</f>
        <v>0</v>
      </c>
      <c r="U30" s="2285" cm="1">
        <f t="array" ref="U30">0*AJUSTES_UNIDAD_SELECCIONADA_GENERAL_ENERGIA</f>
        <v>0</v>
      </c>
      <c r="V30" s="2285" cm="1">
        <f t="array" ref="V30">0*AJUSTES_UNIDAD_SELECCIONADA_GENERAL_ENERGIA</f>
        <v>0</v>
      </c>
      <c r="W30" s="2285" cm="1">
        <f t="array" ref="W30">0*AJUSTES_UNIDAD_SELECCIONADA_GENERAL_ENERGIA</f>
        <v>0</v>
      </c>
      <c r="X30" s="2285" cm="1">
        <f t="array" ref="X30">0*AJUSTES_UNIDAD_SELECCIONADA_GENERAL_ENERGIA</f>
        <v>0</v>
      </c>
      <c r="Y30" s="2285" cm="1">
        <f t="array" ref="Y30">0*AJUSTES_UNIDAD_SELECCIONADA_GENERAL_ENERGIA</f>
        <v>0</v>
      </c>
      <c r="Z30" s="2285" cm="1">
        <f t="array" ref="Z30">0*AJUSTES_UNIDAD_SELECCIONADA_GENERAL_ENERGIA</f>
        <v>0</v>
      </c>
      <c r="AA30" s="2285" cm="1">
        <f t="array" ref="AA30">0*AJUSTES_UNIDAD_SELECCIONADA_GENERAL_ENERGIA</f>
        <v>0</v>
      </c>
    </row>
    <row r="31" spans="4:27">
      <c r="D31" s="3896"/>
      <c r="S31" s="3706" t="s">
        <v>306</v>
      </c>
      <c r="T31" s="2285" cm="1">
        <f t="array" ref="T31:AA31">(SALIDA_GENERACION_AGRO_CULTIVOS+SALIDA_GENERACION_AGRO_BIOCOMBUSTIBLES)*AJUSTES_UNIDAD_SELECCIONADA_GENERAL_ENERGIA</f>
        <v>0.46444490631670859</v>
      </c>
      <c r="U31" s="2285">
        <v>0.46387377706626448</v>
      </c>
      <c r="V31" s="2285">
        <v>0.46366236768120134</v>
      </c>
      <c r="W31" s="2285">
        <v>0.46345123002734379</v>
      </c>
      <c r="X31" s="2285">
        <v>0.4632403637554271</v>
      </c>
      <c r="Y31" s="2285">
        <v>0.46302976851663546</v>
      </c>
      <c r="Z31" s="2285">
        <v>0.46281944396260133</v>
      </c>
      <c r="AA31" s="2285">
        <v>0.46260938974540505</v>
      </c>
    </row>
    <row r="32" spans="4:27">
      <c r="D32" s="3896"/>
      <c r="S32" s="3706" t="s">
        <v>354</v>
      </c>
      <c r="T32" s="2285" cm="1">
        <f t="array" ref="T32:AA32">SALIDA_GENERACION_GANA_TWH*AJUSTES_UNIDAD_SELECCIONADA_GENERAL_ENERGIA</f>
        <v>0</v>
      </c>
      <c r="U32" s="2285">
        <v>0</v>
      </c>
      <c r="V32" s="2285">
        <v>0</v>
      </c>
      <c r="W32" s="2285">
        <v>0</v>
      </c>
      <c r="X32" s="2285">
        <v>0</v>
      </c>
      <c r="Y32" s="2285">
        <v>0</v>
      </c>
      <c r="Z32" s="2285">
        <v>0</v>
      </c>
      <c r="AA32" s="2285">
        <v>0</v>
      </c>
    </row>
    <row r="33" spans="4:27">
      <c r="S33" s="3706" t="s">
        <v>310</v>
      </c>
      <c r="T33" s="2285" cm="1">
        <f t="array" ref="T33">0*AJUSTES_UNIDAD_SELECCIONADA_GENERAL_ENERGIA</f>
        <v>0</v>
      </c>
      <c r="U33" s="2285" cm="1">
        <f t="array" ref="U33">0*AJUSTES_UNIDAD_SELECCIONADA_GENERAL_ENERGIA</f>
        <v>0</v>
      </c>
      <c r="V33" s="2285" cm="1">
        <f t="array" ref="V33">0*AJUSTES_UNIDAD_SELECCIONADA_GENERAL_ENERGIA</f>
        <v>0</v>
      </c>
      <c r="W33" s="2285" cm="1">
        <f t="array" ref="W33">0*AJUSTES_UNIDAD_SELECCIONADA_GENERAL_ENERGIA</f>
        <v>0</v>
      </c>
      <c r="X33" s="2285" cm="1">
        <f t="array" ref="X33">0*AJUSTES_UNIDAD_SELECCIONADA_GENERAL_ENERGIA</f>
        <v>0</v>
      </c>
      <c r="Y33" s="2285" cm="1">
        <f t="array" ref="Y33">0*AJUSTES_UNIDAD_SELECCIONADA_GENERAL_ENERGIA</f>
        <v>0</v>
      </c>
      <c r="Z33" s="2285" cm="1">
        <f t="array" ref="Z33">0*AJUSTES_UNIDAD_SELECCIONADA_GENERAL_ENERGIA</f>
        <v>0</v>
      </c>
      <c r="AA33" s="2285" cm="1">
        <f t="array" ref="AA33">0*AJUSTES_UNIDAD_SELECCIONADA_GENERAL_ENERGIA</f>
        <v>0</v>
      </c>
    </row>
    <row r="37" spans="4:27">
      <c r="V37" s="2287"/>
      <c r="W37" s="2287"/>
      <c r="X37" s="2287"/>
      <c r="Y37" s="2287"/>
      <c r="Z37" s="2287"/>
      <c r="AA37" s="2287"/>
    </row>
    <row r="38" spans="4:27" ht="18.75">
      <c r="E38" s="3701" t="s">
        <v>491</v>
      </c>
      <c r="F38" s="3702"/>
      <c r="G38" s="3702"/>
      <c r="H38" s="3702"/>
      <c r="I38" s="3702"/>
      <c r="J38" s="3702"/>
      <c r="K38" s="3702"/>
      <c r="L38" s="3702"/>
      <c r="M38" s="3703"/>
      <c r="N38" s="3703"/>
      <c r="O38" s="3703"/>
      <c r="P38" s="3703"/>
      <c r="S38" s="680"/>
    </row>
    <row r="39" spans="4:27">
      <c r="S39" s="680"/>
    </row>
    <row r="40" spans="4:27">
      <c r="S40" s="3707"/>
      <c r="T40" s="2281"/>
      <c r="U40" s="2281"/>
      <c r="V40" s="2281"/>
      <c r="W40" s="2281"/>
      <c r="X40" s="2281"/>
      <c r="Y40" s="2281"/>
      <c r="Z40" s="2281"/>
      <c r="AA40" s="2282" t="str">
        <f>AJUSTES_UNIDADES_GENERAL_ENERGIA</f>
        <v>TWh</v>
      </c>
    </row>
    <row r="41" spans="4:27">
      <c r="S41" s="3705" t="s">
        <v>321</v>
      </c>
      <c r="T41" s="2284">
        <v>2018</v>
      </c>
      <c r="U41" s="2284">
        <v>2020</v>
      </c>
      <c r="V41" s="2284">
        <v>2025</v>
      </c>
      <c r="W41" s="2284">
        <v>2030</v>
      </c>
      <c r="X41" s="2284">
        <v>2035</v>
      </c>
      <c r="Y41" s="2284">
        <v>2040</v>
      </c>
      <c r="Z41" s="2284">
        <v>2045</v>
      </c>
      <c r="AA41" s="2284">
        <v>2050</v>
      </c>
    </row>
    <row r="42" spans="4:27">
      <c r="S42" s="3706" t="s">
        <v>485</v>
      </c>
      <c r="T42" s="2286" cm="1">
        <f t="array" ref="T42:AA42">SALIDA_DEMANDA_ENER_TOTAL_COMBUSTIBLES_FOSILES*AJUSTES_UNIDAD_SELECCIONADA_GENERAL_ENERGIA</f>
        <v>0</v>
      </c>
      <c r="U42" s="2286">
        <v>0</v>
      </c>
      <c r="V42" s="2286">
        <v>0</v>
      </c>
      <c r="W42" s="2286">
        <v>0</v>
      </c>
      <c r="X42" s="2286">
        <v>0</v>
      </c>
      <c r="Y42" s="2286">
        <v>0</v>
      </c>
      <c r="Z42" s="2286">
        <v>0</v>
      </c>
      <c r="AA42" s="2286">
        <v>0</v>
      </c>
    </row>
    <row r="43" spans="4:27">
      <c r="S43" s="3706" t="s">
        <v>486</v>
      </c>
      <c r="T43" s="2286" cm="1">
        <f t="array" ref="T43">0*AJUSTES_UNIDAD_SELECCIONADA_GENERAL_ENERGIA</f>
        <v>0</v>
      </c>
      <c r="U43" s="2285"/>
      <c r="V43" s="2285"/>
      <c r="W43" s="2285"/>
      <c r="X43" s="2285"/>
      <c r="Y43" s="2285"/>
      <c r="Z43" s="2285"/>
      <c r="AA43" s="2285"/>
    </row>
    <row r="44" spans="4:27">
      <c r="D44" s="3896" t="str">
        <f>AJUSTES_UNIDADES_GENERAL_ENERGIA</f>
        <v>TWh</v>
      </c>
      <c r="S44" s="3706" t="s">
        <v>296</v>
      </c>
      <c r="T44" s="2285" cm="1">
        <f t="array" ref="T44:AA44">SALIDA_DEMANDA_IND_TOTAL*AJUSTES_UNIDAD_SELECCIONADA_GENERAL_ENERGIA</f>
        <v>4.3898193816959576</v>
      </c>
      <c r="U44" s="2285">
        <v>4.3898193816959576</v>
      </c>
      <c r="V44" s="2285">
        <v>5.1921200423391767</v>
      </c>
      <c r="W44" s="2285">
        <v>5.9573625739307543</v>
      </c>
      <c r="X44" s="2285">
        <v>5.9573625739307543</v>
      </c>
      <c r="Y44" s="2285">
        <v>5.9573625739307543</v>
      </c>
      <c r="Z44" s="2285">
        <v>5.9573625739307543</v>
      </c>
      <c r="AA44" s="2285">
        <v>5.9573625739307543</v>
      </c>
    </row>
    <row r="45" spans="4:27">
      <c r="D45" s="3896"/>
      <c r="S45" s="3706" t="s">
        <v>487</v>
      </c>
      <c r="T45" s="2285" cm="1">
        <f t="array" ref="T45:AA45">(SALIDA_DEMANDA_RES_AGU_DOMESTICAS+SALIDA_DEMANDA_RES_AGU_INDUSTRIALES+SALIDA_DEMANDA_RES_SOL_CELDACONTINGENCIA+SALIDA_DEMANDA_RES_SOL_PLANTA_INCINERACION+SALIDA_GENERACION_RES_SOL_PLANTA_TMB+SALIDA_DEMANDA_RES_SOL_PLANTA_RECICLADO+SALIDA_DEMANDA_RES_SOL_RELLENOSANITARIO)*AJUSTES_UNIDAD_SELECCIONADA_GENERAL_ENERGIA</f>
        <v>0</v>
      </c>
      <c r="U45" s="2285">
        <v>0</v>
      </c>
      <c r="V45" s="2285">
        <v>0</v>
      </c>
      <c r="W45" s="2285">
        <v>0</v>
      </c>
      <c r="X45" s="2285">
        <v>0</v>
      </c>
      <c r="Y45" s="2285">
        <v>0</v>
      </c>
      <c r="Z45" s="2285">
        <v>0</v>
      </c>
      <c r="AA45" s="2285">
        <v>0</v>
      </c>
    </row>
    <row r="46" spans="4:27" ht="15" customHeight="1">
      <c r="D46" s="3896"/>
      <c r="S46" s="3706" t="s">
        <v>488</v>
      </c>
      <c r="T46" s="2285" cm="1">
        <f t="array" ref="T46:AA46">(SALIDA_DEMANDA_EDI_COM_AEC_ACONDICIONAMIENTO+SALIDA_DEMANDA_EDI_COM_UTE_CONSUMOTOTAL+SALIDA_DEMANDA_EDI_RES_RURAL_CONSUMOTOTAL+SALIDA_DEMANDA_EDI_RES_URB_AER_ACONDICIONAMIENTO_ESPACIOS+SALIDA_DEMANDA_EDI_RES_URB_IRCO_CONSUMOTOTAL)*AJUSTES_UNIDAD_SELECCIONADA_GENERAL_ENERGIA</f>
        <v>6.9213449976176342</v>
      </c>
      <c r="U46" s="2285">
        <v>7.478791850061361</v>
      </c>
      <c r="V46" s="2285">
        <v>8.5873760979351932</v>
      </c>
      <c r="W46" s="2285">
        <v>9.5729201758975826</v>
      </c>
      <c r="X46" s="2285">
        <v>10.565608973535227</v>
      </c>
      <c r="Y46" s="2285">
        <v>11.594504550252744</v>
      </c>
      <c r="Z46" s="2285">
        <v>12.610609179062434</v>
      </c>
      <c r="AA46" s="2285">
        <v>13.648168135250076</v>
      </c>
    </row>
    <row r="47" spans="4:27">
      <c r="D47" s="3896"/>
      <c r="S47" s="3706" t="s">
        <v>489</v>
      </c>
      <c r="T47" s="2285" cm="1">
        <f t="array" ref="T47:AA47">(SALIDA_DEMANDA_TRANS_CAR_TOTAL+SALIDA_DEMANDA_TRANS_PAS_TOTAL+SALIDA_DEMANDA_TRANS_AVI_AVIACION_INTERNACIONAL+SALIDA_DEMANDA_TRANS_NAV_DIESEL)*AJUSTES_UNIDAD_SELECCIONADA_GENERAL_ENERGIA</f>
        <v>8.9465150085657701</v>
      </c>
      <c r="U47" s="2285">
        <v>10.250524128539629</v>
      </c>
      <c r="V47" s="2285">
        <v>12.064425914367755</v>
      </c>
      <c r="W47" s="2285">
        <v>13.003412926471871</v>
      </c>
      <c r="X47" s="2285">
        <v>14.137808005694403</v>
      </c>
      <c r="Y47" s="2285">
        <v>15.67369786815792</v>
      </c>
      <c r="Z47" s="2285">
        <v>17.560225094163517</v>
      </c>
      <c r="AA47" s="2285">
        <v>20.141239706045319</v>
      </c>
    </row>
    <row r="48" spans="4:27">
      <c r="D48" s="3896"/>
      <c r="S48" s="3706" t="s">
        <v>306</v>
      </c>
      <c r="T48" s="2285" cm="1">
        <f t="array" ref="T48">0*AJUSTES_UNIDAD_SELECCIONADA_GENERAL_ENERGIA</f>
        <v>0</v>
      </c>
      <c r="U48" s="2285" cm="1">
        <f t="array" ref="U48">0*AJUSTES_UNIDAD_SELECCIONADA_GENERAL_ENERGIA</f>
        <v>0</v>
      </c>
      <c r="V48" s="2285" cm="1">
        <f t="array" ref="V48">0*AJUSTES_UNIDAD_SELECCIONADA_GENERAL_ENERGIA</f>
        <v>0</v>
      </c>
      <c r="W48" s="2285" cm="1">
        <f t="array" ref="W48">0*AJUSTES_UNIDAD_SELECCIONADA_GENERAL_ENERGIA</f>
        <v>0</v>
      </c>
      <c r="X48" s="2285" cm="1">
        <f t="array" ref="X48">0*AJUSTES_UNIDAD_SELECCIONADA_GENERAL_ENERGIA</f>
        <v>0</v>
      </c>
      <c r="Y48" s="2285" cm="1">
        <f t="array" ref="Y48">0*AJUSTES_UNIDAD_SELECCIONADA_GENERAL_ENERGIA</f>
        <v>0</v>
      </c>
      <c r="Z48" s="2285" cm="1">
        <f t="array" ref="Z48">0*AJUSTES_UNIDAD_SELECCIONADA_GENERAL_ENERGIA</f>
        <v>0</v>
      </c>
      <c r="AA48" s="2285" cm="1">
        <f t="array" ref="AA48">0*AJUSTES_UNIDAD_SELECCIONADA_GENERAL_ENERGIA</f>
        <v>0</v>
      </c>
    </row>
    <row r="49" spans="5:36">
      <c r="S49" s="3706" t="s">
        <v>354</v>
      </c>
      <c r="T49" s="2285" cm="1">
        <f t="array" ref="T49">0*AJUSTES_UNIDAD_SELECCIONADA_GENERAL_ENERGIA</f>
        <v>0</v>
      </c>
      <c r="U49" s="2285" cm="1">
        <f t="array" ref="U49">0*AJUSTES_UNIDAD_SELECCIONADA_GENERAL_ENERGIA</f>
        <v>0</v>
      </c>
      <c r="V49" s="2285" cm="1">
        <f t="array" ref="V49">0*AJUSTES_UNIDAD_SELECCIONADA_GENERAL_ENERGIA</f>
        <v>0</v>
      </c>
      <c r="W49" s="2285" cm="1">
        <f t="array" ref="W49">0*AJUSTES_UNIDAD_SELECCIONADA_GENERAL_ENERGIA</f>
        <v>0</v>
      </c>
      <c r="X49" s="2285" cm="1">
        <f t="array" ref="X49">0*AJUSTES_UNIDAD_SELECCIONADA_GENERAL_ENERGIA</f>
        <v>0</v>
      </c>
      <c r="Y49" s="2285" cm="1">
        <f t="array" ref="Y49">0*AJUSTES_UNIDAD_SELECCIONADA_GENERAL_ENERGIA</f>
        <v>0</v>
      </c>
      <c r="Z49" s="2285" cm="1">
        <f t="array" ref="Z49">0*AJUSTES_UNIDAD_SELECCIONADA_GENERAL_ENERGIA</f>
        <v>0</v>
      </c>
      <c r="AA49" s="2285" cm="1">
        <f t="array" ref="AA49">0*AJUSTES_UNIDAD_SELECCIONADA_GENERAL_ENERGIA</f>
        <v>0</v>
      </c>
    </row>
    <row r="50" spans="5:36">
      <c r="S50" s="3706" t="s">
        <v>310</v>
      </c>
      <c r="T50" s="2285" cm="1">
        <f t="array" ref="T50">0*AJUSTES_UNIDAD_SELECCIONADA_GENERAL_ENERGIA</f>
        <v>0</v>
      </c>
      <c r="U50" s="2285" cm="1">
        <f t="array" ref="U50">0*AJUSTES_UNIDAD_SELECCIONADA_GENERAL_ENERGIA</f>
        <v>0</v>
      </c>
      <c r="V50" s="2285" cm="1">
        <f t="array" ref="V50">0*AJUSTES_UNIDAD_SELECCIONADA_GENERAL_ENERGIA</f>
        <v>0</v>
      </c>
      <c r="W50" s="2285" cm="1">
        <f t="array" ref="W50">0*AJUSTES_UNIDAD_SELECCIONADA_GENERAL_ENERGIA</f>
        <v>0</v>
      </c>
      <c r="X50" s="2285" cm="1">
        <f t="array" ref="X50">0*AJUSTES_UNIDAD_SELECCIONADA_GENERAL_ENERGIA</f>
        <v>0</v>
      </c>
      <c r="Y50" s="2285" cm="1">
        <f t="array" ref="Y50">0*AJUSTES_UNIDAD_SELECCIONADA_GENERAL_ENERGIA</f>
        <v>0</v>
      </c>
      <c r="Z50" s="2285" cm="1">
        <f t="array" ref="Z50">0*AJUSTES_UNIDAD_SELECCIONADA_GENERAL_ENERGIA</f>
        <v>0</v>
      </c>
      <c r="AA50" s="2285" cm="1">
        <f t="array" ref="AA50">0*AJUSTES_UNIDAD_SELECCIONADA_GENERAL_ENERGIA</f>
        <v>0</v>
      </c>
    </row>
    <row r="52" spans="5:36">
      <c r="X52" s="2287"/>
      <c r="Y52" s="2287"/>
      <c r="Z52" s="2287"/>
      <c r="AA52" s="2287"/>
    </row>
    <row r="58" spans="5:36">
      <c r="V58" s="2287"/>
      <c r="W58" s="2287"/>
      <c r="X58" s="2287"/>
      <c r="Y58" s="2287"/>
      <c r="Z58" s="2287"/>
      <c r="AA58" s="2287"/>
    </row>
    <row r="59" spans="5:36" ht="18.75">
      <c r="E59" s="3701" t="s">
        <v>492</v>
      </c>
      <c r="F59" s="3702"/>
      <c r="G59" s="3702"/>
      <c r="H59" s="3702"/>
      <c r="I59" s="3702"/>
      <c r="J59" s="3702"/>
      <c r="K59" s="3702"/>
      <c r="L59" s="3702"/>
      <c r="M59" s="3703"/>
      <c r="N59" s="3703"/>
      <c r="O59" s="3703"/>
      <c r="P59" s="3703"/>
    </row>
    <row r="60" spans="5:36">
      <c r="S60" s="680"/>
    </row>
    <row r="61" spans="5:36">
      <c r="S61" s="680"/>
      <c r="U61" s="2281"/>
      <c r="V61" s="2281"/>
      <c r="W61" s="2281"/>
      <c r="X61" s="2281"/>
      <c r="Y61" s="2281"/>
      <c r="Z61" s="2281"/>
      <c r="AA61" s="2282" t="str">
        <f>AJUSTES_UNIDADES_GENERAL_ENERGIA</f>
        <v>TWh</v>
      </c>
    </row>
    <row r="62" spans="5:36">
      <c r="S62" s="3705" t="s">
        <v>321</v>
      </c>
      <c r="T62" s="2284">
        <v>2018</v>
      </c>
      <c r="U62" s="2284">
        <v>2020</v>
      </c>
      <c r="V62" s="2284">
        <v>2025</v>
      </c>
      <c r="W62" s="2284">
        <v>2030</v>
      </c>
      <c r="X62" s="2284">
        <v>2035</v>
      </c>
      <c r="Y62" s="2284">
        <v>2040</v>
      </c>
      <c r="Z62" s="2284">
        <v>2045</v>
      </c>
      <c r="AA62" s="2284">
        <v>2050</v>
      </c>
    </row>
    <row r="63" spans="5:36">
      <c r="S63" s="3706" t="s">
        <v>485</v>
      </c>
      <c r="T63" s="2286" cm="1">
        <f t="array" ref="T63:AA63">SALIDA_DEMANDA_ENER_TOTAL_COMBUSTIBLES_FOSILES*AJUSTES_UNIDAD_SELECCIONADA_GENERAL_ENERGIA</f>
        <v>0</v>
      </c>
      <c r="U63" s="2286">
        <v>0</v>
      </c>
      <c r="V63" s="2286">
        <v>0</v>
      </c>
      <c r="W63" s="2286">
        <v>0</v>
      </c>
      <c r="X63" s="2286">
        <v>0</v>
      </c>
      <c r="Y63" s="2286">
        <v>0</v>
      </c>
      <c r="Z63" s="2286">
        <v>0</v>
      </c>
      <c r="AA63" s="2286">
        <v>0</v>
      </c>
      <c r="AC63" s="2286"/>
      <c r="AD63" s="2286"/>
      <c r="AE63" s="2286"/>
      <c r="AF63" s="2286"/>
      <c r="AG63" s="2286"/>
      <c r="AH63" s="2286"/>
      <c r="AI63" s="2286"/>
      <c r="AJ63" s="2286"/>
    </row>
    <row r="64" spans="5:36">
      <c r="S64" s="3706" t="s">
        <v>486</v>
      </c>
      <c r="T64" s="2286" cm="1">
        <f t="array" ref="T64:AA64">SALIDA_GENERACION_ELECT_total_combustibles_fosiles*AJUSTES_UNIDAD_SELECCIONADA_GENERAL_ENERGIA</f>
        <v>2.1872298066821307</v>
      </c>
      <c r="U64" s="2285">
        <v>2.1386246998669725</v>
      </c>
      <c r="V64" s="2285">
        <v>2.4910117242768712</v>
      </c>
      <c r="W64" s="2285">
        <v>2.4910117242768712</v>
      </c>
      <c r="X64" s="2285">
        <v>2.4910117242768712</v>
      </c>
      <c r="Y64" s="2285">
        <v>2.4910117242768712</v>
      </c>
      <c r="Z64" s="2285">
        <v>2.4910117242768712</v>
      </c>
      <c r="AA64" s="2285">
        <v>2.4910117242768712</v>
      </c>
      <c r="AC64" s="2286"/>
      <c r="AD64" s="2285"/>
      <c r="AE64" s="2285"/>
      <c r="AF64" s="2285"/>
      <c r="AG64" s="2285"/>
      <c r="AH64" s="2285"/>
      <c r="AI64" s="2285"/>
      <c r="AJ64" s="2285"/>
    </row>
    <row r="65" spans="4:36">
      <c r="D65" s="3896" t="str">
        <f>AJUSTES_UNIDADES_GENERAL_ENERGIA</f>
        <v>TWh</v>
      </c>
      <c r="S65" s="3706" t="s">
        <v>296</v>
      </c>
      <c r="T65" s="2285" cm="1">
        <f t="array" ref="T65:AA65">SALIDA_DEMANDA_IND_CONSUMO_TOTAL_COMBUSTIBLES*AJUSTES_UNIDAD_SELECCIONADA_GENERAL_ENERGIA</f>
        <v>4.3898193816959576</v>
      </c>
      <c r="U65" s="2285">
        <v>4.3898193816959576</v>
      </c>
      <c r="V65" s="2285">
        <v>5.1921200423391767</v>
      </c>
      <c r="W65" s="2285">
        <v>5.9573625739307543</v>
      </c>
      <c r="X65" s="2285">
        <v>5.9573625739307543</v>
      </c>
      <c r="Y65" s="2285">
        <v>5.9573625739307543</v>
      </c>
      <c r="Z65" s="2285">
        <v>5.9573625739307543</v>
      </c>
      <c r="AA65" s="2285">
        <v>5.9573625739307543</v>
      </c>
      <c r="AC65" s="2285"/>
      <c r="AD65" s="2285"/>
      <c r="AE65" s="2285"/>
      <c r="AF65" s="2285"/>
      <c r="AG65" s="2285"/>
      <c r="AH65" s="2285"/>
      <c r="AI65" s="2285"/>
      <c r="AJ65" s="2285"/>
    </row>
    <row r="66" spans="4:36">
      <c r="D66" s="3896"/>
      <c r="S66" s="3706" t="s">
        <v>487</v>
      </c>
      <c r="T66" s="2285" cm="1">
        <f t="array" ref="T66">0*AJUSTES_UNIDAD_SELECCIONADA_GENERAL_ENERGIA</f>
        <v>0</v>
      </c>
      <c r="U66" s="2285" cm="1">
        <f t="array" ref="U66">0*AJUSTES_UNIDAD_SELECCIONADA_GENERAL_ENERGIA</f>
        <v>0</v>
      </c>
      <c r="V66" s="2285" cm="1">
        <f t="array" ref="V66">0*AJUSTES_UNIDAD_SELECCIONADA_GENERAL_ENERGIA</f>
        <v>0</v>
      </c>
      <c r="W66" s="2285" cm="1">
        <f t="array" ref="W66">0*AJUSTES_UNIDAD_SELECCIONADA_GENERAL_ENERGIA</f>
        <v>0</v>
      </c>
      <c r="X66" s="2285" cm="1">
        <f t="array" ref="X66">0*AJUSTES_UNIDAD_SELECCIONADA_GENERAL_ENERGIA</f>
        <v>0</v>
      </c>
      <c r="Y66" s="2285" cm="1">
        <f t="array" ref="Y66">0*AJUSTES_UNIDAD_SELECCIONADA_GENERAL_ENERGIA</f>
        <v>0</v>
      </c>
      <c r="Z66" s="2285" cm="1">
        <f t="array" ref="Z66">0*AJUSTES_UNIDAD_SELECCIONADA_GENERAL_ENERGIA</f>
        <v>0</v>
      </c>
      <c r="AA66" s="2285" cm="1">
        <f t="array" ref="AA66">0*AJUSTES_UNIDAD_SELECCIONADA_GENERAL_ENERGIA</f>
        <v>0</v>
      </c>
      <c r="AC66" s="2285"/>
      <c r="AD66" s="2285"/>
      <c r="AE66" s="2285"/>
      <c r="AF66" s="2285"/>
      <c r="AG66" s="2285"/>
      <c r="AH66" s="2285"/>
      <c r="AI66" s="2285"/>
      <c r="AJ66" s="2285"/>
    </row>
    <row r="67" spans="4:36">
      <c r="D67" s="3896"/>
      <c r="S67" s="3706" t="s">
        <v>488</v>
      </c>
      <c r="T67" s="2286" cm="1">
        <f t="array" ref="T67:AA67">(SALIDA_DEMANDA_EDI_COM_UTE_DIESEL+SALIDA_DEMANDA_EDI_COM_UTE_FUELOIL+SALIDA_DEMANDA_EDI_COM_UTE_GLP+SALIDA_DEMANDA_EDI_COM_UTE_GN+SALIDA_DEMANDA_EDI_COM_UTE_PETROLEO+SALIDA_DEMANDA_EDI_COM_UTE_QUEROSENO+SALIDA_DEMANDA_EDI_RES_RURAL_HIDROCARBUROS_GLP+SALIDA_DEMANDA_EDI_RES_RURAL_LEÑA+SALIDA_DEMANDA_EDI_RES_URB_IRCO_GLP+SALIDA_DEMANDA_EDI_RES_URB_IRCO_GN)*AJUSTES_UNIDAD_SELECCIONADA_GENERAL_ENERGIA</f>
        <v>4.4256682329624013</v>
      </c>
      <c r="U67" s="2285">
        <v>4.5091073484732824</v>
      </c>
      <c r="V67" s="2285">
        <v>4.833851482283503</v>
      </c>
      <c r="W67" s="2285">
        <v>5.0803814741164466</v>
      </c>
      <c r="X67" s="2285">
        <v>5.3963935352112227</v>
      </c>
      <c r="Y67" s="2285">
        <v>5.7188577747877751</v>
      </c>
      <c r="Z67" s="2285">
        <v>6.0619799329141451</v>
      </c>
      <c r="AA67" s="2285">
        <v>6.4271815500374201</v>
      </c>
      <c r="AC67" s="2286"/>
      <c r="AD67" s="2285"/>
      <c r="AE67" s="2285"/>
      <c r="AF67" s="2285"/>
      <c r="AG67" s="2285"/>
      <c r="AH67" s="2285"/>
      <c r="AI67" s="2285"/>
      <c r="AJ67" s="2285"/>
    </row>
    <row r="68" spans="4:36">
      <c r="D68" s="3896"/>
      <c r="S68" s="3706" t="s">
        <v>489</v>
      </c>
      <c r="T68" s="2286" cm="1">
        <f t="array" ref="T68:AA68">(SALIDA_DEMANDA_TRANS_PAS_GLP+SALIDA_DEMANDA_TRANS_PAS_DIESEL+SALIDA_DEMANDA_TRANS_PAS_GASOLINA+SALIDA_DEMANDA_TRANS_PAS_GN+SALIDA_DEMANDA_TRANS_PAS_HIDROGENO+SALIDA_DEMANDA_TRANS_PAS_QUEROSENO+SALIDA_DEMANDA_TRANS_CAR_DIESEL+SALIDA_DEMANDA_TRANS_CAR_GASOLINA+SALIDA_DEMANDA_TRANS_CAR_GLP+SALIDA_DEMANDA_TRANS_CAR_GNC+SALIDA_DEMANDA_TRANS_CAR_GNL+SALIDA_DEMANDA_TRANS_CAR_Hidrógeno+SALIDA_DEMANDA_TRANS_CAR_Queroseno+SALIDA_DEMANDA_TRANS_AVI_QUEROSENO+SALIDA_DEMANDA_TRANS_NAV_DIESEL)*AJUSTES_UNIDAD_SELECCIONADA_GENERAL_ENERGIA</f>
        <v>8.9365146281915191</v>
      </c>
      <c r="U68" s="2285">
        <v>10.24052205753247</v>
      </c>
      <c r="V68" s="2285">
        <v>12.054414634361033</v>
      </c>
      <c r="W68" s="2285">
        <v>12.993354195072191</v>
      </c>
      <c r="X68" s="2285">
        <v>14.087710800767089</v>
      </c>
      <c r="Y68" s="2285">
        <v>15.573577855123489</v>
      </c>
      <c r="Z68" s="2285">
        <v>17.410093822206388</v>
      </c>
      <c r="AA68" s="2285">
        <v>19.941101551821895</v>
      </c>
      <c r="AC68" s="2286"/>
      <c r="AD68" s="2285"/>
      <c r="AE68" s="2285"/>
      <c r="AF68" s="2285"/>
      <c r="AG68" s="2285"/>
      <c r="AH68" s="2285"/>
      <c r="AI68" s="2285"/>
      <c r="AJ68" s="2285"/>
    </row>
    <row r="69" spans="4:36">
      <c r="D69" s="3896"/>
      <c r="S69" s="3706" t="s">
        <v>306</v>
      </c>
      <c r="T69" s="2285" cm="1">
        <f t="array" ref="T69">0*AJUSTES_UNIDAD_SELECCIONADA_GENERAL_ENERGIA</f>
        <v>0</v>
      </c>
      <c r="U69" s="2285" cm="1">
        <f t="array" ref="U69">0*AJUSTES_UNIDAD_SELECCIONADA_GENERAL_ENERGIA</f>
        <v>0</v>
      </c>
      <c r="V69" s="2285" cm="1">
        <f t="array" ref="V69">0*AJUSTES_UNIDAD_SELECCIONADA_GENERAL_ENERGIA</f>
        <v>0</v>
      </c>
      <c r="W69" s="2285" cm="1">
        <f t="array" ref="W69">0*AJUSTES_UNIDAD_SELECCIONADA_GENERAL_ENERGIA</f>
        <v>0</v>
      </c>
      <c r="X69" s="2285" cm="1">
        <f t="array" ref="X69">0*AJUSTES_UNIDAD_SELECCIONADA_GENERAL_ENERGIA</f>
        <v>0</v>
      </c>
      <c r="Y69" s="2285" cm="1">
        <f t="array" ref="Y69">0*AJUSTES_UNIDAD_SELECCIONADA_GENERAL_ENERGIA</f>
        <v>0</v>
      </c>
      <c r="Z69" s="2285" cm="1">
        <f t="array" ref="Z69">0*AJUSTES_UNIDAD_SELECCIONADA_GENERAL_ENERGIA</f>
        <v>0</v>
      </c>
      <c r="AA69" s="2285" cm="1">
        <f t="array" ref="AA69">0*AJUSTES_UNIDAD_SELECCIONADA_GENERAL_ENERGIA</f>
        <v>0</v>
      </c>
      <c r="AC69" s="2285"/>
      <c r="AD69" s="2285"/>
      <c r="AE69" s="2285"/>
      <c r="AF69" s="2285"/>
      <c r="AG69" s="2285"/>
      <c r="AH69" s="2285"/>
      <c r="AI69" s="2285"/>
      <c r="AJ69" s="2285"/>
    </row>
    <row r="70" spans="4:36">
      <c r="S70" s="3706" t="s">
        <v>354</v>
      </c>
      <c r="T70" s="2285" cm="1">
        <f t="array" ref="T70">0*AJUSTES_UNIDAD_SELECCIONADA_GENERAL_ENERGIA</f>
        <v>0</v>
      </c>
      <c r="U70" s="2285" cm="1">
        <f t="array" ref="U70">0*AJUSTES_UNIDAD_SELECCIONADA_GENERAL_ENERGIA</f>
        <v>0</v>
      </c>
      <c r="V70" s="2285" cm="1">
        <f t="array" ref="V70">0*AJUSTES_UNIDAD_SELECCIONADA_GENERAL_ENERGIA</f>
        <v>0</v>
      </c>
      <c r="W70" s="2285" cm="1">
        <f t="array" ref="W70">0*AJUSTES_UNIDAD_SELECCIONADA_GENERAL_ENERGIA</f>
        <v>0</v>
      </c>
      <c r="X70" s="2285" cm="1">
        <f t="array" ref="X70">0*AJUSTES_UNIDAD_SELECCIONADA_GENERAL_ENERGIA</f>
        <v>0</v>
      </c>
      <c r="Y70" s="2285" cm="1">
        <f t="array" ref="Y70">0*AJUSTES_UNIDAD_SELECCIONADA_GENERAL_ENERGIA</f>
        <v>0</v>
      </c>
      <c r="Z70" s="2285" cm="1">
        <f t="array" ref="Z70">0*AJUSTES_UNIDAD_SELECCIONADA_GENERAL_ENERGIA</f>
        <v>0</v>
      </c>
      <c r="AA70" s="2285" cm="1">
        <f t="array" ref="AA70">0*AJUSTES_UNIDAD_SELECCIONADA_GENERAL_ENERGIA</f>
        <v>0</v>
      </c>
      <c r="AC70" s="2285"/>
      <c r="AD70" s="2285"/>
      <c r="AE70" s="2285"/>
      <c r="AF70" s="2285"/>
      <c r="AG70" s="2285"/>
      <c r="AH70" s="2285"/>
      <c r="AI70" s="2285"/>
      <c r="AJ70" s="2285"/>
    </row>
    <row r="71" spans="4:36">
      <c r="S71" s="3706" t="s">
        <v>310</v>
      </c>
      <c r="T71" s="2285" cm="1">
        <f t="array" ref="T71">0*AJUSTES_UNIDAD_SELECCIONADA_GENERAL_ENERGIA</f>
        <v>0</v>
      </c>
      <c r="U71" s="2285" cm="1">
        <f t="array" ref="U71">0*AJUSTES_UNIDAD_SELECCIONADA_GENERAL_ENERGIA</f>
        <v>0</v>
      </c>
      <c r="V71" s="2285" cm="1">
        <f t="array" ref="V71">0*AJUSTES_UNIDAD_SELECCIONADA_GENERAL_ENERGIA</f>
        <v>0</v>
      </c>
      <c r="W71" s="2285" cm="1">
        <f t="array" ref="W71">0*AJUSTES_UNIDAD_SELECCIONADA_GENERAL_ENERGIA</f>
        <v>0</v>
      </c>
      <c r="X71" s="2285" cm="1">
        <f t="array" ref="X71">0*AJUSTES_UNIDAD_SELECCIONADA_GENERAL_ENERGIA</f>
        <v>0</v>
      </c>
      <c r="Y71" s="2285" cm="1">
        <f t="array" ref="Y71">0*AJUSTES_UNIDAD_SELECCIONADA_GENERAL_ENERGIA</f>
        <v>0</v>
      </c>
      <c r="Z71" s="2285" cm="1">
        <f t="array" ref="Z71">0*AJUSTES_UNIDAD_SELECCIONADA_GENERAL_ENERGIA</f>
        <v>0</v>
      </c>
      <c r="AA71" s="2285" cm="1">
        <f t="array" ref="AA71">0*AJUSTES_UNIDAD_SELECCIONADA_GENERAL_ENERGIA</f>
        <v>0</v>
      </c>
      <c r="AC71" s="2285"/>
      <c r="AD71" s="2285"/>
      <c r="AE71" s="2285"/>
      <c r="AF71" s="2285"/>
      <c r="AG71" s="2285"/>
      <c r="AH71" s="2285"/>
      <c r="AI71" s="2285"/>
      <c r="AJ71" s="2285"/>
    </row>
    <row r="73" spans="4:36">
      <c r="X73" s="2287"/>
      <c r="Y73" s="2287"/>
      <c r="Z73" s="2287"/>
      <c r="AA73" s="2287"/>
    </row>
    <row r="77" spans="4:36" ht="18.75">
      <c r="E77" s="3701" t="s">
        <v>493</v>
      </c>
      <c r="F77" s="3702"/>
      <c r="G77" s="3702"/>
      <c r="H77" s="3702"/>
      <c r="I77" s="3702"/>
      <c r="J77" s="3702"/>
      <c r="K77" s="3702"/>
      <c r="L77" s="3702"/>
      <c r="M77" s="3703"/>
      <c r="N77" s="3703"/>
      <c r="O77" s="3703"/>
      <c r="P77" s="3703"/>
      <c r="S77" s="680"/>
    </row>
    <row r="78" spans="4:36">
      <c r="S78" s="680"/>
      <c r="U78" s="2281"/>
      <c r="V78" s="2281"/>
      <c r="W78" s="2281"/>
      <c r="X78" s="2281"/>
      <c r="Y78" s="2281"/>
      <c r="Z78" s="2281"/>
      <c r="AA78" s="2282" t="str">
        <f>AJUSTES_UNIDADES_GENERAL_ENERGIA</f>
        <v>TWh</v>
      </c>
    </row>
    <row r="79" spans="4:36">
      <c r="S79" s="3705" t="s">
        <v>321</v>
      </c>
      <c r="T79" s="2284">
        <v>2018</v>
      </c>
      <c r="U79" s="2284">
        <v>2020</v>
      </c>
      <c r="V79" s="2284">
        <v>2025</v>
      </c>
      <c r="W79" s="2284">
        <v>2030</v>
      </c>
      <c r="X79" s="2284">
        <v>2035</v>
      </c>
      <c r="Y79" s="2284">
        <v>2040</v>
      </c>
      <c r="Z79" s="2284">
        <v>2045</v>
      </c>
      <c r="AA79" s="2284">
        <v>2050</v>
      </c>
    </row>
    <row r="80" spans="4:36">
      <c r="S80" s="3706" t="s">
        <v>494</v>
      </c>
      <c r="T80" s="2288" cm="1">
        <f t="array" ref="T80:AA80">(SALIDA_DEMANDA_TRANS_PAS_GASOLINA+SALIDA_DEMANDA_TRANS_CAR_GASOLINA+SALIDA_DEMANDA_IND_GASOLINA)*AJUSTES_UNIDAD_SELECCIONADA_GENERAL_ENERGIA</f>
        <v>2.6225431191338644</v>
      </c>
      <c r="U80" s="2288">
        <v>2.9528218662635184</v>
      </c>
      <c r="V80" s="2288">
        <v>3.5010189793479931</v>
      </c>
      <c r="W80" s="2288">
        <v>3.6530080530282238</v>
      </c>
      <c r="X80" s="2288">
        <v>4.0088994116742738</v>
      </c>
      <c r="Y80" s="2288">
        <v>4.5033174136832272</v>
      </c>
      <c r="Z80" s="2288">
        <v>4.9899315954262793</v>
      </c>
      <c r="AA80" s="2288">
        <v>5.6412998236205114</v>
      </c>
    </row>
    <row r="81" spans="4:36">
      <c r="S81" s="3706" t="s">
        <v>495</v>
      </c>
      <c r="T81" s="2288" cm="1">
        <f t="array" ref="T81:AA81">(SALIDA_DEMANDA_EDI_COM_UTE_DIESEL+SALIDA_DEMANDA_TRANS_PAS_DIESEL+SALIDA_DEMANDA_TRANS_CAR_DIESEL+SALIDA_DEMANDA_TRANS_NAV_DIESEL+SALIDA_DEMANDA_IND_DIESEL)*AJUSTES_UNIDAD_SELECCIONADA_GENERAL_ENERGIA</f>
        <v>6.0092794153740812</v>
      </c>
      <c r="U81" s="2288">
        <v>6.9292255119668074</v>
      </c>
      <c r="V81" s="2288">
        <v>8.0834490769478222</v>
      </c>
      <c r="W81" s="2288">
        <v>8.6674435388223117</v>
      </c>
      <c r="X81" s="2288">
        <v>8.9042394961703231</v>
      </c>
      <c r="Y81" s="2288">
        <v>9.0757915132843472</v>
      </c>
      <c r="Z81" s="2288">
        <v>9.5955210025138218</v>
      </c>
      <c r="AA81" s="2288">
        <v>10.702759463693939</v>
      </c>
    </row>
    <row r="82" spans="4:36">
      <c r="S82" s="3706" t="s">
        <v>496</v>
      </c>
      <c r="T82" s="2288" cm="1">
        <f t="array" ref="T82:AA82">SALIDA_DEMANDA_TRANS_CAR_GNC*AJUSTES_UNIDAD_SELECCIONADA_GENERAL_ENERGIA</f>
        <v>1.8278911920769077E-2</v>
      </c>
      <c r="U82" s="2288">
        <v>2.8819575592122393E-2</v>
      </c>
      <c r="V82" s="2288">
        <v>3.8582091261483001E-2</v>
      </c>
      <c r="W82" s="2288">
        <v>4.9177038129335958E-2</v>
      </c>
      <c r="X82" s="2288">
        <v>6.1227721257428154E-2</v>
      </c>
      <c r="Y82" s="2288">
        <v>7.5445969323531911E-2</v>
      </c>
      <c r="Z82" s="2288">
        <v>9.275634017577794E-2</v>
      </c>
      <c r="AA82" s="2288">
        <v>0.11397725683167556</v>
      </c>
    </row>
    <row r="83" spans="4:36">
      <c r="D83" s="3896" t="str">
        <f>AJUSTES_UNIDADES_GENERAL_ENERGIA</f>
        <v>TWh</v>
      </c>
      <c r="S83" s="3706" t="s">
        <v>497</v>
      </c>
      <c r="T83" s="2288" cm="1">
        <f t="array" ref="T83:AA83">((SALIDA_DEMANDA_ENERG_COMBUSTIBLES_FOSILES_GAS_NATURAL+SALIDA_DEMANDA_EDI_RES_URB_IRCO_GN+SALIDA_DEMANDA_EDI_COM_UTE_GN+SALIDA_DEMANDA_TRANS_PAS_GN+SALIDA_DEMANDA_TRANS_CAR_GNL)+SALIDA_DEMANDA_IND_GN)*AJUSTES_UNIDAD_SELECCIONADA_GENERAL_ENERGIA</f>
        <v>3.0521237403633927</v>
      </c>
      <c r="U83" s="2288">
        <v>3.3008457446525163</v>
      </c>
      <c r="V83" s="2288">
        <v>4.046245397741016</v>
      </c>
      <c r="W83" s="2288">
        <v>4.8439953113974017</v>
      </c>
      <c r="X83" s="2288">
        <v>5.6684105027735114</v>
      </c>
      <c r="Y83" s="2288">
        <v>6.8020713395398769</v>
      </c>
      <c r="Z83" s="2288">
        <v>7.9449807116924855</v>
      </c>
      <c r="AA83" s="2288">
        <v>9.0301380956377404</v>
      </c>
    </row>
    <row r="84" spans="4:36">
      <c r="D84" s="3896"/>
      <c r="S84" s="3706" t="s">
        <v>498</v>
      </c>
      <c r="T84" s="2288" cm="1">
        <f t="array" ref="T84:AA84">(SALIDA_DEMANDA_EDI_RES_URB_IRCO_GLP+SALIDA_DEMANDA_EDI_RES_RURAL_HIDROCARBUROS_GLP+SALIDA_DEMANDA_EDI_COM_UTE_GLP+SALIDA_DEMANDA_TRANS_PAS_GLP+SALIDA_DEMANDA_TRANS_CAR_GLP+SALIDA_DEMANDA_IND_GLP)*AJUSTES_UNIDAD_SELECCIONADA_GENERAL_ENERGIA</f>
        <v>0.73438321436995968</v>
      </c>
      <c r="U84" s="2288">
        <v>0.8182622546794367</v>
      </c>
      <c r="V84" s="2288">
        <v>0.9750579977028393</v>
      </c>
      <c r="W84" s="2288">
        <v>1.1099293219945403</v>
      </c>
      <c r="X84" s="2288">
        <v>1.2415200535235433</v>
      </c>
      <c r="Y84" s="2288">
        <v>1.370562274681751</v>
      </c>
      <c r="Z84" s="2288">
        <v>1.5010041524310302</v>
      </c>
      <c r="AA84" s="2288">
        <v>1.6336844509032122</v>
      </c>
    </row>
    <row r="85" spans="4:36">
      <c r="D85" s="3896"/>
      <c r="S85" s="3706" t="s">
        <v>499</v>
      </c>
      <c r="T85" s="2288" cm="1">
        <f t="array" ref="T85:AA85">(SALIDA_DEMANDA_EDI_COM_UTE_FUELOIL+SALIDA_DEMANDA_IND_FUELOIL)*AJUSTES_UNIDAD_SELECCIONADA_GENERAL_ENERGIA</f>
        <v>8.7096330318135774E-3</v>
      </c>
      <c r="U85" s="2288">
        <v>8.7333717714261141E-3</v>
      </c>
      <c r="V85" s="2288">
        <v>1.0171880306271301E-2</v>
      </c>
      <c r="W85" s="2288">
        <v>1.1624896768223952E-2</v>
      </c>
      <c r="X85" s="2288">
        <v>1.1648241365430819E-2</v>
      </c>
      <c r="Y85" s="2288">
        <v>1.1672251801939874E-2</v>
      </c>
      <c r="Z85" s="2288">
        <v>1.1696867566396787E-2</v>
      </c>
      <c r="AA85" s="2288">
        <v>1.1722275577417935E-2</v>
      </c>
    </row>
    <row r="86" spans="4:36">
      <c r="D86" s="3896"/>
      <c r="S86" s="3706" t="s">
        <v>500</v>
      </c>
      <c r="T86" s="2288" cm="1">
        <f t="array" ref="T86:AA86">(SALIDA_DEMANDA_EDI_COM_UTE_PETROLEO+SALIDA_DEMANDA_IND_PETROLEO)*AJUSTES_UNIDAD_SELECCIONADA_GENERAL_ENERGIA</f>
        <v>1.704176706326959E-2</v>
      </c>
      <c r="U86" s="2288">
        <v>1.9474987873554547E-2</v>
      </c>
      <c r="V86" s="2288">
        <v>2.3084155554568254E-2</v>
      </c>
      <c r="W86" s="2288">
        <v>2.6074321285522273E-2</v>
      </c>
      <c r="X86" s="2288">
        <v>2.8467142499226161E-2</v>
      </c>
      <c r="Y86" s="2288">
        <v>3.0928212241404174E-2</v>
      </c>
      <c r="Z86" s="2288">
        <v>3.3451328098237698E-2</v>
      </c>
      <c r="AA86" s="2288">
        <v>3.6055649227905481E-2</v>
      </c>
    </row>
    <row r="87" spans="4:36">
      <c r="D87" s="3896"/>
      <c r="S87" s="3706" t="s">
        <v>501</v>
      </c>
      <c r="T87" s="2288" cm="1">
        <f t="array" ref="T87:AA87">(SALIDA_DEMANDA_TRANS_PAS_HIDROGENO+SALIDA_DEMANDA_TRANS_CAR_Hidrógeno+SALIDA_DEMANDA_IND_HIDROGENO_VERDE)*AJUSTES_UNIDAD_SELECCIONADA_GENERAL_ENERGIA</f>
        <v>0</v>
      </c>
      <c r="U87" s="2288">
        <v>0</v>
      </c>
      <c r="V87" s="2288">
        <v>0</v>
      </c>
      <c r="W87" s="2288">
        <v>0</v>
      </c>
      <c r="X87" s="2288">
        <v>0</v>
      </c>
      <c r="Y87" s="2288">
        <v>0</v>
      </c>
      <c r="Z87" s="2288">
        <v>0</v>
      </c>
      <c r="AA87" s="2288">
        <v>0</v>
      </c>
    </row>
    <row r="88" spans="4:36">
      <c r="S88" s="3706" t="s">
        <v>502</v>
      </c>
      <c r="T88" s="2288" cm="1">
        <f t="array" ref="T88:AA88">(SALIDA_DEMANDA_EDI_COM_UTE_QUEROSENO+SALIDA_DEMANDA_TRANS_PAS_QUEROSENO+SALIDA_DEMANDA_TRANS_CAR_Queroseno+SALIDA_DEMANDA_TRANS_AVI_QUEROSENO+SALIDA_DEMANDA_IND_QUEROSENO)*AJUSTES_UNIDAD_SELECCIONADA_GENERAL_ENERGIA</f>
        <v>0.27851756205995926</v>
      </c>
      <c r="U88" s="2288">
        <v>0.30802864807501062</v>
      </c>
      <c r="V88" s="2288">
        <v>0.35085730800092541</v>
      </c>
      <c r="W88" s="2288">
        <v>0.38127757580306709</v>
      </c>
      <c r="X88" s="2288">
        <v>0.40577624399858325</v>
      </c>
      <c r="Y88" s="2288">
        <v>0.43062850129351238</v>
      </c>
      <c r="Z88" s="2288">
        <v>0.45577660356383776</v>
      </c>
      <c r="AA88" s="2288">
        <v>0.48152829710771922</v>
      </c>
    </row>
    <row r="89" spans="4:36">
      <c r="S89" s="3706" t="s">
        <v>503</v>
      </c>
      <c r="T89" s="2288" cm="1">
        <f t="array" ref="T89:AA89">(SALIDA_DEMANDA_EDI_RES_RURAL_LEÑA+SALIDA_DEMANDA_IND_LEÑA)*AJUSTES_UNIDAD_SELECCIONADA_GENERAL_ENERGIA</f>
        <v>2.0367124325148964</v>
      </c>
      <c r="U89" s="2288">
        <v>1.7988243798094452</v>
      </c>
      <c r="V89" s="2288">
        <v>1.5120221241859759</v>
      </c>
      <c r="W89" s="2288">
        <v>1.2190834756767515</v>
      </c>
      <c r="X89" s="2288">
        <v>1.0417933864327316</v>
      </c>
      <c r="Y89" s="2288">
        <v>0.87989601777841264</v>
      </c>
      <c r="Z89" s="2288">
        <v>0.73483301736940576</v>
      </c>
      <c r="AA89" s="2288">
        <v>0.60499565297593494</v>
      </c>
    </row>
    <row r="90" spans="4:36">
      <c r="S90" s="3706" t="s">
        <v>504</v>
      </c>
      <c r="T90" s="2288" cm="1">
        <f t="array" ref="T90:AA90">SALIDA_DEMANDA_IND_BAGAZO*AJUSTES_UNIDAD_SELECCIONADA_GENERAL_ENERGIA</f>
        <v>0.74246093042497097</v>
      </c>
      <c r="U90" s="2288">
        <v>0.74303205967541519</v>
      </c>
      <c r="V90" s="2288">
        <v>0.94684018031369432</v>
      </c>
      <c r="W90" s="2288">
        <v>1.1492919459223421</v>
      </c>
      <c r="X90" s="2288">
        <v>1.149502812194259</v>
      </c>
      <c r="Y90" s="2288">
        <v>1.1497134074330506</v>
      </c>
      <c r="Z90" s="2288">
        <v>1.1499237319870845</v>
      </c>
      <c r="AA90" s="2288">
        <v>1.1501337862042809</v>
      </c>
    </row>
    <row r="91" spans="4:36">
      <c r="S91" s="3706" t="s">
        <v>505</v>
      </c>
      <c r="T91" s="2288" cm="1">
        <f t="array" ref="T91:AA91">SALIDA_DEMANDA_IND_CARBONMINERAL*AJUSTES_UNIDAD_SELECCIONADA_GENERAL_ENERGIA</f>
        <v>2.9678592853414019</v>
      </c>
      <c r="U91" s="2288">
        <v>2.9678592853414019</v>
      </c>
      <c r="V91" s="2288">
        <v>3.5323114638621034</v>
      </c>
      <c r="W91" s="2288">
        <v>4.060843403949713</v>
      </c>
      <c r="X91" s="2288">
        <v>4.060843403949713</v>
      </c>
      <c r="Y91" s="2288">
        <v>4.060843403949713</v>
      </c>
      <c r="Z91" s="2288">
        <v>4.060843403949713</v>
      </c>
      <c r="AA91" s="2288">
        <v>4.060843403949713</v>
      </c>
    </row>
    <row r="92" spans="4:36">
      <c r="S92" s="3706" t="s">
        <v>506</v>
      </c>
      <c r="T92" s="2288" cm="1">
        <f t="array" ref="T92:AA92">SALIDA_DEMANDA_IND_CARBONDELEÑA*AJUSTES_UNIDAD_SELECCIONADA_GENERAL_ENERGIA</f>
        <v>3.2745827768498084E-4</v>
      </c>
      <c r="U92" s="2288">
        <v>3.2745827768498084E-4</v>
      </c>
      <c r="V92" s="2288">
        <v>3.7927419924242028E-4</v>
      </c>
      <c r="W92" s="2288">
        <v>4.3230434632727204E-4</v>
      </c>
      <c r="X92" s="2288">
        <v>4.3230434632727204E-4</v>
      </c>
      <c r="Y92" s="2288">
        <v>4.3230434632727204E-4</v>
      </c>
      <c r="Z92" s="2288">
        <v>4.3230434632727204E-4</v>
      </c>
      <c r="AA92" s="2288">
        <v>4.3230434632727204E-4</v>
      </c>
    </row>
    <row r="93" spans="4:36">
      <c r="S93" s="3706" t="s">
        <v>507</v>
      </c>
      <c r="T93" s="2288" cm="1">
        <f t="array" ref="T93:AA93">SALIDA_DEMANDA_IND_COQUE*AJUSTES_UNIDAD_SELECCIONADA_GENERAL_ENERGIA</f>
        <v>6.2257033987857587E-3</v>
      </c>
      <c r="U93" s="2288">
        <v>6.2257033987857587E-3</v>
      </c>
      <c r="V93" s="2288">
        <v>7.206409873470189E-3</v>
      </c>
      <c r="W93" s="2288">
        <v>8.2090019179727608E-3</v>
      </c>
      <c r="X93" s="2288">
        <v>8.2090019179727608E-3</v>
      </c>
      <c r="Y93" s="2288">
        <v>8.2090019179727608E-3</v>
      </c>
      <c r="Z93" s="2288">
        <v>8.2090019179727608E-3</v>
      </c>
      <c r="AA93" s="2288">
        <v>8.2090019179727608E-3</v>
      </c>
    </row>
    <row r="94" spans="4:36">
      <c r="S94" s="680"/>
    </row>
    <row r="95" spans="4:36">
      <c r="S95" s="3708"/>
      <c r="T95" s="2288"/>
      <c r="U95" s="2288"/>
      <c r="V95" s="2288"/>
      <c r="W95" s="2288"/>
      <c r="X95" s="2288"/>
      <c r="Y95" s="2288"/>
      <c r="Z95" s="2288"/>
      <c r="AA95" s="2288"/>
      <c r="AC95" s="2288"/>
      <c r="AD95" s="2288"/>
      <c r="AE95" s="2288"/>
      <c r="AF95" s="2288"/>
      <c r="AG95" s="2288"/>
      <c r="AH95" s="2288"/>
      <c r="AI95" s="2288"/>
      <c r="AJ95" s="2288"/>
    </row>
    <row r="96" spans="4:36">
      <c r="V96" s="2287"/>
      <c r="W96" s="2287"/>
      <c r="X96" s="2287"/>
      <c r="Y96" s="2287"/>
      <c r="Z96" s="2287"/>
      <c r="AA96" s="2287"/>
      <c r="AC96" s="2288"/>
      <c r="AD96" s="2288"/>
      <c r="AE96" s="2288"/>
      <c r="AF96" s="2288"/>
      <c r="AG96" s="2288"/>
      <c r="AH96" s="2288"/>
      <c r="AI96" s="2288"/>
      <c r="AJ96" s="2288"/>
    </row>
    <row r="97" spans="4:36" ht="18.75">
      <c r="E97" s="3701" t="s">
        <v>508</v>
      </c>
      <c r="F97" s="3702"/>
      <c r="G97" s="3702"/>
      <c r="H97" s="3702"/>
      <c r="I97" s="3702"/>
      <c r="J97" s="3702"/>
      <c r="K97" s="3702"/>
      <c r="L97" s="3702"/>
      <c r="M97" s="3703"/>
      <c r="N97" s="3703"/>
      <c r="O97" s="3703"/>
      <c r="P97" s="3703"/>
      <c r="S97" s="680"/>
    </row>
    <row r="98" spans="4:36">
      <c r="E98" s="680" t="s">
        <v>33</v>
      </c>
      <c r="S98" s="680"/>
    </row>
    <row r="99" spans="4:36">
      <c r="S99" s="680"/>
      <c r="U99" s="2281"/>
      <c r="V99" s="2281"/>
      <c r="W99" s="2281"/>
      <c r="X99" s="2281"/>
      <c r="Y99" s="2281"/>
      <c r="Z99" s="2281"/>
      <c r="AA99" s="2282" t="str">
        <f>AJUSTES_UNIDADES_GENERAL_ENERGIA</f>
        <v>TWh</v>
      </c>
    </row>
    <row r="100" spans="4:36">
      <c r="S100" s="3705" t="s">
        <v>321</v>
      </c>
      <c r="T100" s="2284">
        <v>2018</v>
      </c>
      <c r="U100" s="2284">
        <v>2020</v>
      </c>
      <c r="V100" s="2284">
        <v>2025</v>
      </c>
      <c r="W100" s="2284">
        <v>2030</v>
      </c>
      <c r="X100" s="2284">
        <v>2035</v>
      </c>
      <c r="Y100" s="2284">
        <v>2040</v>
      </c>
      <c r="Z100" s="2284">
        <v>2045</v>
      </c>
      <c r="AA100" s="2284">
        <v>2050</v>
      </c>
    </row>
    <row r="101" spans="4:36">
      <c r="S101" s="3706" t="s">
        <v>485</v>
      </c>
      <c r="T101" s="2288" cm="1">
        <f t="array" ref="T101">0*AJUSTES_UNIDAD_SELECCIONADA_GENERAL_ENERGIA</f>
        <v>0</v>
      </c>
      <c r="U101" s="2288" cm="1">
        <f t="array" ref="U101">0*AJUSTES_UNIDAD_SELECCIONADA_GENERAL_ENERGIA</f>
        <v>0</v>
      </c>
      <c r="V101" s="2288" cm="1">
        <f t="array" ref="V101">0*AJUSTES_UNIDAD_SELECCIONADA_GENERAL_ENERGIA</f>
        <v>0</v>
      </c>
      <c r="W101" s="2288" cm="1">
        <f t="array" ref="W101">0*AJUSTES_UNIDAD_SELECCIONADA_GENERAL_ENERGIA</f>
        <v>0</v>
      </c>
      <c r="X101" s="2288" cm="1">
        <f t="array" ref="X101">0*AJUSTES_UNIDAD_SELECCIONADA_GENERAL_ENERGIA</f>
        <v>0</v>
      </c>
      <c r="Y101" s="2288" cm="1">
        <f t="array" ref="Y101">0*AJUSTES_UNIDAD_SELECCIONADA_GENERAL_ENERGIA</f>
        <v>0</v>
      </c>
      <c r="Z101" s="2288" cm="1">
        <f t="array" ref="Z101">0*AJUSTES_UNIDAD_SELECCIONADA_GENERAL_ENERGIA</f>
        <v>0</v>
      </c>
      <c r="AA101" s="2288" cm="1">
        <f t="array" ref="AA101">0*AJUSTES_UNIDAD_SELECCIONADA_GENERAL_ENERGIA</f>
        <v>0</v>
      </c>
      <c r="AC101" s="2288"/>
      <c r="AD101" s="2288"/>
      <c r="AE101" s="2288"/>
      <c r="AF101" s="2288"/>
      <c r="AG101" s="2288"/>
      <c r="AH101" s="2288"/>
      <c r="AI101" s="2288"/>
      <c r="AJ101" s="2288"/>
    </row>
    <row r="102" spans="4:36">
      <c r="S102" s="3706" t="s">
        <v>486</v>
      </c>
      <c r="T102" s="2288" cm="1">
        <f t="array" ref="T102">0*AJUSTES_UNIDAD_SELECCIONADA_GENERAL_ENERGIA</f>
        <v>0</v>
      </c>
      <c r="U102" s="2288" cm="1">
        <f t="array" ref="U102">0*AJUSTES_UNIDAD_SELECCIONADA_GENERAL_ENERGIA</f>
        <v>0</v>
      </c>
      <c r="V102" s="2288" cm="1">
        <f t="array" ref="V102">0*AJUSTES_UNIDAD_SELECCIONADA_GENERAL_ENERGIA</f>
        <v>0</v>
      </c>
      <c r="W102" s="2288" cm="1">
        <f t="array" ref="W102">0*AJUSTES_UNIDAD_SELECCIONADA_GENERAL_ENERGIA</f>
        <v>0</v>
      </c>
      <c r="X102" s="2288" cm="1">
        <f t="array" ref="X102">0*AJUSTES_UNIDAD_SELECCIONADA_GENERAL_ENERGIA</f>
        <v>0</v>
      </c>
      <c r="Y102" s="2288" cm="1">
        <f t="array" ref="Y102">0*AJUSTES_UNIDAD_SELECCIONADA_GENERAL_ENERGIA</f>
        <v>0</v>
      </c>
      <c r="Z102" s="2288" cm="1">
        <f t="array" ref="Z102">0*AJUSTES_UNIDAD_SELECCIONADA_GENERAL_ENERGIA</f>
        <v>0</v>
      </c>
      <c r="AA102" s="2288" cm="1">
        <f t="array" ref="AA102">0*AJUSTES_UNIDAD_SELECCIONADA_GENERAL_ENERGIA</f>
        <v>0</v>
      </c>
      <c r="AC102" s="2288"/>
      <c r="AD102" s="2288"/>
      <c r="AE102" s="2288"/>
      <c r="AF102" s="2288"/>
      <c r="AG102" s="2288"/>
      <c r="AH102" s="2288"/>
      <c r="AI102" s="2288"/>
      <c r="AJ102" s="2288"/>
    </row>
    <row r="103" spans="4:36">
      <c r="D103" s="3896" t="str">
        <f>AJUSTES_UNIDADES_GENERAL_ENERGIA</f>
        <v>TWh</v>
      </c>
      <c r="S103" s="3706" t="s">
        <v>296</v>
      </c>
      <c r="T103" s="2288" cm="1">
        <f t="array" ref="T103:AA103">SALIDA_DEMANDA_IND_ELECTRICIDAD*AJUSTES_UNIDAD_SELECCIONADA_GENERAL_ENERGIA</f>
        <v>1.1105359253796188</v>
      </c>
      <c r="U103" s="2288">
        <v>1.1105359253796188</v>
      </c>
      <c r="V103" s="2288">
        <v>1.2779400846760602</v>
      </c>
      <c r="W103" s="2288">
        <v>1.4472075486028639</v>
      </c>
      <c r="X103" s="2288">
        <v>1.4472075486028639</v>
      </c>
      <c r="Y103" s="2288">
        <v>1.4472075486028639</v>
      </c>
      <c r="Z103" s="2288">
        <v>1.4472075486028639</v>
      </c>
      <c r="AA103" s="2288">
        <v>1.4472075486028639</v>
      </c>
      <c r="AC103" s="2288"/>
      <c r="AD103" s="2288"/>
      <c r="AE103" s="2288"/>
      <c r="AF103" s="2288"/>
      <c r="AG103" s="2288"/>
      <c r="AH103" s="2288"/>
      <c r="AI103" s="2288"/>
      <c r="AJ103" s="2288"/>
    </row>
    <row r="104" spans="4:36">
      <c r="D104" s="3896"/>
      <c r="S104" s="3706" t="s">
        <v>487</v>
      </c>
      <c r="T104" s="2288" cm="1">
        <f t="array" ref="T104:AA104">(SALIDA_DEMANDA_RES_SOL_ELECTRICIDAD+SALIDA_DEMANADA_RES_AGU_ELECTRICIDAD)*AJUSTES_UNIDAD_SELECCIONADA_GENERAL_ENERGIA</f>
        <v>0</v>
      </c>
      <c r="U104" s="2288">
        <v>0</v>
      </c>
      <c r="V104" s="2288">
        <v>0</v>
      </c>
      <c r="W104" s="2288">
        <v>0</v>
      </c>
      <c r="X104" s="2288">
        <v>0</v>
      </c>
      <c r="Y104" s="2288">
        <v>0</v>
      </c>
      <c r="Z104" s="2288">
        <v>0</v>
      </c>
      <c r="AA104" s="2288">
        <v>0</v>
      </c>
      <c r="AC104" s="2288"/>
      <c r="AD104" s="2288"/>
      <c r="AE104" s="2288"/>
      <c r="AF104" s="2288"/>
      <c r="AG104" s="2288"/>
      <c r="AH104" s="2288"/>
      <c r="AI104" s="2288"/>
      <c r="AJ104" s="2288"/>
    </row>
    <row r="105" spans="4:36">
      <c r="D105" s="3896"/>
      <c r="S105" s="3706" t="s">
        <v>488</v>
      </c>
      <c r="T105" s="2288" cm="1">
        <f t="array" ref="T105:AA105">(SALIDA_DEMANDA_EDI_COM_AEC_ELECTRICIDAD+SALIDA_DEMANDA_EDI_COM_UTE_ELECTRICIDAD+SALIDA_DEMANDA_EDI_RES_RURAL_ELECTRICIDAD+SALIDA_DEMANDA_EDI_RES_URB_AER_ELECTRICIDAD+SALIDA_DEMANDA_EDI_RES_URB_IRCO_ELECTRICIDAD)*AJUSTES_UNIDAD_SELECCIONADA_GENERAL_ENERGIA</f>
        <v>2.4956767646552338</v>
      </c>
      <c r="U105" s="2288">
        <v>2.9696845015880791</v>
      </c>
      <c r="V105" s="2288">
        <v>3.7535246156516902</v>
      </c>
      <c r="W105" s="2288">
        <v>4.492538701781136</v>
      </c>
      <c r="X105" s="2288">
        <v>5.1692154383240059</v>
      </c>
      <c r="Y105" s="2288">
        <v>5.8756467754649666</v>
      </c>
      <c r="Z105" s="2288">
        <v>6.5486292461482893</v>
      </c>
      <c r="AA105" s="2288">
        <v>7.2209865852126551</v>
      </c>
      <c r="AC105" s="2288"/>
      <c r="AD105" s="2288"/>
      <c r="AE105" s="2288"/>
      <c r="AF105" s="2288"/>
      <c r="AG105" s="2288"/>
      <c r="AH105" s="2288"/>
      <c r="AI105" s="2288"/>
      <c r="AJ105" s="2288"/>
    </row>
    <row r="106" spans="4:36">
      <c r="D106" s="3896"/>
      <c r="S106" s="3706" t="s">
        <v>489</v>
      </c>
      <c r="T106" s="2288" cm="1">
        <f t="array" ref="T106:AA106">(SALIDA_DEMANDA_TRANS_CAR_Electricidad+SALIDA_DEMANDA_TRANS_PAS_ELECTRICIDAD)*AJUSTES_UNIDAD_SELECCIONADA_GENERAL_ENERGIA</f>
        <v>1.0000380374251177E-2</v>
      </c>
      <c r="U106" s="2289">
        <v>1.0002071007158175E-2</v>
      </c>
      <c r="V106" s="2289">
        <v>1.0011280006724257E-2</v>
      </c>
      <c r="W106" s="2289">
        <v>1.0058731399680707E-2</v>
      </c>
      <c r="X106" s="2289">
        <v>5.009720492731462E-2</v>
      </c>
      <c r="Y106" s="2289">
        <v>0.10012001303443238</v>
      </c>
      <c r="Z106" s="2289">
        <v>0.15013127195712794</v>
      </c>
      <c r="AA106" s="2289">
        <v>0.20013815422342404</v>
      </c>
      <c r="AC106" s="2288"/>
      <c r="AD106" s="2289"/>
      <c r="AE106" s="2289"/>
      <c r="AF106" s="2289"/>
      <c r="AG106" s="2289"/>
      <c r="AH106" s="2289"/>
      <c r="AI106" s="2289"/>
      <c r="AJ106" s="2289"/>
    </row>
    <row r="107" spans="4:36">
      <c r="D107" s="3896"/>
      <c r="S107" s="3706" t="s">
        <v>306</v>
      </c>
      <c r="T107" s="2288" cm="1">
        <f t="array" ref="T107">0*AJUSTES_UNIDAD_SELECCIONADA_GENERAL_ENERGIA</f>
        <v>0</v>
      </c>
      <c r="U107" s="2288" cm="1">
        <f t="array" ref="U107">0*AJUSTES_UNIDAD_SELECCIONADA_GENERAL_ENERGIA</f>
        <v>0</v>
      </c>
      <c r="V107" s="2288" cm="1">
        <f t="array" ref="V107">0*AJUSTES_UNIDAD_SELECCIONADA_GENERAL_ENERGIA</f>
        <v>0</v>
      </c>
      <c r="W107" s="2288" cm="1">
        <f t="array" ref="W107">0*AJUSTES_UNIDAD_SELECCIONADA_GENERAL_ENERGIA</f>
        <v>0</v>
      </c>
      <c r="X107" s="2288" cm="1">
        <f t="array" ref="X107">0*AJUSTES_UNIDAD_SELECCIONADA_GENERAL_ENERGIA</f>
        <v>0</v>
      </c>
      <c r="Y107" s="2288" cm="1">
        <f t="array" ref="Y107">0*AJUSTES_UNIDAD_SELECCIONADA_GENERAL_ENERGIA</f>
        <v>0</v>
      </c>
      <c r="Z107" s="2288" cm="1">
        <f t="array" ref="Z107">0*AJUSTES_UNIDAD_SELECCIONADA_GENERAL_ENERGIA</f>
        <v>0</v>
      </c>
      <c r="AA107" s="2288" cm="1">
        <f t="array" ref="AA107">0*AJUSTES_UNIDAD_SELECCIONADA_GENERAL_ENERGIA</f>
        <v>0</v>
      </c>
      <c r="AC107" s="2288"/>
      <c r="AD107" s="2288"/>
      <c r="AE107" s="2288"/>
      <c r="AF107" s="2288"/>
      <c r="AG107" s="2288"/>
      <c r="AH107" s="2288"/>
      <c r="AI107" s="2288"/>
      <c r="AJ107" s="2288"/>
    </row>
    <row r="108" spans="4:36">
      <c r="S108" s="3706" t="s">
        <v>354</v>
      </c>
      <c r="T108" s="2288" cm="1">
        <f t="array" ref="T108">0*AJUSTES_UNIDAD_SELECCIONADA_GENERAL_ENERGIA</f>
        <v>0</v>
      </c>
      <c r="U108" s="2288" cm="1">
        <f t="array" ref="U108">0*AJUSTES_UNIDAD_SELECCIONADA_GENERAL_ENERGIA</f>
        <v>0</v>
      </c>
      <c r="V108" s="2288" cm="1">
        <f t="array" ref="V108">0*AJUSTES_UNIDAD_SELECCIONADA_GENERAL_ENERGIA</f>
        <v>0</v>
      </c>
      <c r="W108" s="2288" cm="1">
        <f t="array" ref="W108">0*AJUSTES_UNIDAD_SELECCIONADA_GENERAL_ENERGIA</f>
        <v>0</v>
      </c>
      <c r="X108" s="2288" cm="1">
        <f t="array" ref="X108">0*AJUSTES_UNIDAD_SELECCIONADA_GENERAL_ENERGIA</f>
        <v>0</v>
      </c>
      <c r="Y108" s="2288" cm="1">
        <f t="array" ref="Y108">0*AJUSTES_UNIDAD_SELECCIONADA_GENERAL_ENERGIA</f>
        <v>0</v>
      </c>
      <c r="Z108" s="2288" cm="1">
        <f t="array" ref="Z108">0*AJUSTES_UNIDAD_SELECCIONADA_GENERAL_ENERGIA</f>
        <v>0</v>
      </c>
      <c r="AA108" s="2288" cm="1">
        <f t="array" ref="AA108">0*AJUSTES_UNIDAD_SELECCIONADA_GENERAL_ENERGIA</f>
        <v>0</v>
      </c>
      <c r="AC108" s="2288"/>
      <c r="AD108" s="2288"/>
      <c r="AE108" s="2288"/>
      <c r="AF108" s="2288"/>
      <c r="AG108" s="2288"/>
      <c r="AH108" s="2288"/>
      <c r="AI108" s="2288"/>
      <c r="AJ108" s="2288"/>
    </row>
    <row r="109" spans="4:36">
      <c r="S109" s="3706" t="s">
        <v>310</v>
      </c>
      <c r="T109" s="2288" cm="1">
        <f t="array" ref="T109">0*AJUSTES_UNIDAD_SELECCIONADA_GENERAL_ENERGIA</f>
        <v>0</v>
      </c>
      <c r="U109" s="2288" cm="1">
        <f t="array" ref="U109">0*AJUSTES_UNIDAD_SELECCIONADA_GENERAL_ENERGIA</f>
        <v>0</v>
      </c>
      <c r="V109" s="2288" cm="1">
        <f t="array" ref="V109">0*AJUSTES_UNIDAD_SELECCIONADA_GENERAL_ENERGIA</f>
        <v>0</v>
      </c>
      <c r="W109" s="2288" cm="1">
        <f t="array" ref="W109">0*AJUSTES_UNIDAD_SELECCIONADA_GENERAL_ENERGIA</f>
        <v>0</v>
      </c>
      <c r="X109" s="2288" cm="1">
        <f t="array" ref="X109">0*AJUSTES_UNIDAD_SELECCIONADA_GENERAL_ENERGIA</f>
        <v>0</v>
      </c>
      <c r="Y109" s="2288" cm="1">
        <f t="array" ref="Y109">0*AJUSTES_UNIDAD_SELECCIONADA_GENERAL_ENERGIA</f>
        <v>0</v>
      </c>
      <c r="Z109" s="2288" cm="1">
        <f t="array" ref="Z109">0*AJUSTES_UNIDAD_SELECCIONADA_GENERAL_ENERGIA</f>
        <v>0</v>
      </c>
      <c r="AA109" s="2288" cm="1">
        <f t="array" ref="AA109">0*AJUSTES_UNIDAD_SELECCIONADA_GENERAL_ENERGIA</f>
        <v>0</v>
      </c>
      <c r="AC109" s="2288"/>
      <c r="AD109" s="2288"/>
      <c r="AE109" s="2288"/>
      <c r="AF109" s="2288"/>
      <c r="AG109" s="2288"/>
      <c r="AH109" s="2288"/>
      <c r="AI109" s="2288"/>
      <c r="AJ109" s="2288"/>
    </row>
    <row r="111" spans="4:36">
      <c r="X111" s="2287"/>
      <c r="Y111" s="2287"/>
      <c r="Z111" s="2287"/>
      <c r="AA111" s="2287"/>
    </row>
    <row r="116" spans="5:16" ht="18.75">
      <c r="E116" s="3701" t="s">
        <v>509</v>
      </c>
      <c r="F116" s="3702"/>
      <c r="G116" s="3702"/>
      <c r="H116" s="3702"/>
      <c r="I116" s="3702"/>
      <c r="J116" s="3702"/>
      <c r="K116" s="3702"/>
      <c r="L116" s="3702"/>
      <c r="M116" s="3703"/>
      <c r="N116" s="3703"/>
      <c r="O116" s="3703"/>
      <c r="P116" s="3703"/>
    </row>
    <row r="118" spans="5:16">
      <c r="E118" s="680" t="s">
        <v>510</v>
      </c>
      <c r="N118" s="680" t="s">
        <v>9</v>
      </c>
    </row>
    <row r="119" spans="5:16">
      <c r="E119" s="2958" t="s">
        <v>511</v>
      </c>
      <c r="F119" s="2958" t="s">
        <v>512</v>
      </c>
      <c r="G119" s="2958">
        <v>2018</v>
      </c>
      <c r="H119" s="2958">
        <v>2020</v>
      </c>
      <c r="I119" s="2958">
        <v>2025</v>
      </c>
      <c r="J119" s="2958">
        <v>2030</v>
      </c>
      <c r="K119" s="2958">
        <v>2035</v>
      </c>
      <c r="L119" s="2958">
        <v>2040</v>
      </c>
      <c r="M119" s="2958">
        <v>2045</v>
      </c>
      <c r="N119" s="2958">
        <v>2050</v>
      </c>
    </row>
    <row r="120" spans="5:16">
      <c r="E120" s="680" t="s">
        <v>62</v>
      </c>
      <c r="F120" s="680" t="s">
        <v>500</v>
      </c>
      <c r="G120" s="3709" cm="1">
        <f t="array" ref="G120:N120">SALIDA_GENERACION_ENER_CRUDO</f>
        <v>0</v>
      </c>
      <c r="H120" s="3709">
        <v>0</v>
      </c>
      <c r="I120" s="3709">
        <v>0</v>
      </c>
      <c r="J120" s="3709">
        <v>0</v>
      </c>
      <c r="K120" s="3709">
        <v>0</v>
      </c>
      <c r="L120" s="3709">
        <v>0</v>
      </c>
      <c r="M120" s="3709">
        <v>0</v>
      </c>
      <c r="N120" s="3709">
        <v>0</v>
      </c>
    </row>
    <row r="121" spans="5:16">
      <c r="E121" s="3710" t="s">
        <v>62</v>
      </c>
      <c r="F121" s="3710" t="s">
        <v>513</v>
      </c>
      <c r="G121" s="3711" cm="1">
        <f t="array" ref="G121:N121">SALIDA_GENERACION_ENER_GN</f>
        <v>6.0327002400000024E-2</v>
      </c>
      <c r="H121" s="3711">
        <v>3.4651848000000006E-2</v>
      </c>
      <c r="I121" s="3711">
        <v>2.0201813345207154E-2</v>
      </c>
      <c r="J121" s="3711">
        <v>6.8797080826077869E-3</v>
      </c>
      <c r="K121" s="3711">
        <v>6.4433772582134898E-3</v>
      </c>
      <c r="L121" s="3711">
        <v>1.9765972559923812E-2</v>
      </c>
      <c r="M121" s="3711">
        <v>3.3088567861634131E-2</v>
      </c>
      <c r="N121" s="3711">
        <v>4.6411163163344454E-2</v>
      </c>
    </row>
    <row r="122" spans="5:16">
      <c r="E122" s="680" t="s">
        <v>62</v>
      </c>
      <c r="F122" s="680" t="s">
        <v>514</v>
      </c>
      <c r="G122" s="3709" cm="1">
        <f t="array" ref="G122:N122">SALIDA_GENERACION_ENER_CARBÓN</f>
        <v>14.520060079935245</v>
      </c>
      <c r="H122" s="3709">
        <v>13.93273736017052</v>
      </c>
      <c r="I122" s="3709">
        <v>6.7225164645561941</v>
      </c>
      <c r="J122" s="3709">
        <v>6.651398187320579</v>
      </c>
      <c r="K122" s="3709">
        <v>6.5804025278043357</v>
      </c>
      <c r="L122" s="3709">
        <v>6.5092842505687214</v>
      </c>
      <c r="M122" s="3709">
        <v>6.4381659733331063</v>
      </c>
      <c r="N122" s="3709">
        <v>6.3670476960974911</v>
      </c>
    </row>
    <row r="123" spans="5:16">
      <c r="E123" s="3710" t="s">
        <v>515</v>
      </c>
      <c r="F123" s="3710" t="s">
        <v>294</v>
      </c>
      <c r="G123" s="3711" cm="1">
        <f t="array" ref="G123:N123">SALIDA_GENERACION_ELECT_total_renovables</f>
        <v>6.9991353813828177</v>
      </c>
      <c r="H123" s="3711">
        <v>6.9991353813828177</v>
      </c>
      <c r="I123" s="3711">
        <v>10.000500727218851</v>
      </c>
      <c r="J123" s="3711">
        <v>10.437946688555277</v>
      </c>
      <c r="K123" s="3711">
        <v>11.689528189045609</v>
      </c>
      <c r="L123" s="3711">
        <v>12.880353306016991</v>
      </c>
      <c r="M123" s="3711">
        <v>14.156237359914901</v>
      </c>
      <c r="N123" s="3711">
        <v>15.49287779733176</v>
      </c>
    </row>
    <row r="124" spans="5:16">
      <c r="E124" s="680" t="s">
        <v>516</v>
      </c>
      <c r="F124" s="680" t="s">
        <v>500</v>
      </c>
      <c r="G124" s="3709">
        <v>0</v>
      </c>
      <c r="H124" s="3709">
        <v>0.33849089470317545</v>
      </c>
      <c r="I124" s="3709">
        <v>1.4871319930759463</v>
      </c>
      <c r="J124" s="3709">
        <v>1.3191639780013948</v>
      </c>
      <c r="K124" s="3709">
        <v>1.1701675499947328</v>
      </c>
      <c r="L124" s="3709">
        <v>1.0379999135022078</v>
      </c>
      <c r="M124" s="3709">
        <v>0.92076029662200132</v>
      </c>
      <c r="N124" s="3709">
        <v>0.81676261510943982</v>
      </c>
      <c r="O124" s="695"/>
    </row>
    <row r="125" spans="5:16">
      <c r="E125" s="3710" t="s">
        <v>516</v>
      </c>
      <c r="F125" s="3710" t="s">
        <v>513</v>
      </c>
      <c r="G125" s="3711">
        <v>0.14805193469538189</v>
      </c>
      <c r="H125" s="3711">
        <v>0.19590771105400065</v>
      </c>
      <c r="I125" s="3711">
        <v>9.3535525456794038E-3</v>
      </c>
      <c r="J125" s="3711">
        <v>2.7205325890052858E-3</v>
      </c>
      <c r="K125" s="3711">
        <v>7.9128197887321568E-4</v>
      </c>
      <c r="L125" s="3711">
        <v>2.3014874830756742E-4</v>
      </c>
      <c r="M125" s="3711">
        <v>6.6940038774757662E-5</v>
      </c>
      <c r="N125" s="3711">
        <v>1.9469881214290834E-5</v>
      </c>
      <c r="O125" s="695"/>
    </row>
    <row r="126" spans="5:16">
      <c r="E126" s="680" t="s">
        <v>516</v>
      </c>
      <c r="F126" s="680" t="s">
        <v>514</v>
      </c>
      <c r="G126" s="3709" cm="1">
        <f t="array" ref="G126:N126">SALIDA_IMPORTACIONES_COMB_FOSIL_CARBOM_KT</f>
        <v>0</v>
      </c>
      <c r="H126" s="3709">
        <v>0</v>
      </c>
      <c r="I126" s="3709">
        <v>0</v>
      </c>
      <c r="J126" s="3709">
        <v>0</v>
      </c>
      <c r="K126" s="3709">
        <v>0</v>
      </c>
      <c r="L126" s="3709">
        <v>0</v>
      </c>
      <c r="M126" s="3709">
        <v>0</v>
      </c>
      <c r="N126" s="3709">
        <v>0</v>
      </c>
      <c r="O126" s="695"/>
    </row>
    <row r="127" spans="5:16">
      <c r="E127" s="3710" t="s">
        <v>516</v>
      </c>
      <c r="F127" s="3710" t="s">
        <v>294</v>
      </c>
      <c r="G127" s="3711" cm="1">
        <f t="array" ref="G127:N127">SALIDA_IMPORTACIONES_ELECTRICIDAD</f>
        <v>3.3829223109737141</v>
      </c>
      <c r="H127" s="3711">
        <v>2.9089128834079618</v>
      </c>
      <c r="I127" s="3711">
        <v>4.9590247468843769</v>
      </c>
      <c r="J127" s="3711">
        <v>4.4881417067715965</v>
      </c>
      <c r="K127" s="3711">
        <v>5.0230079971914243</v>
      </c>
      <c r="L127" s="3711">
        <v>5.4573789689147274</v>
      </c>
      <c r="M127" s="3711">
        <v>6.0102692932066191</v>
      </c>
      <c r="N127" s="3711">
        <v>6.6245455092928172</v>
      </c>
      <c r="O127" s="695"/>
    </row>
    <row r="128" spans="5:16">
      <c r="E128" s="680" t="s">
        <v>500</v>
      </c>
      <c r="F128" s="680" t="s">
        <v>494</v>
      </c>
      <c r="G128" s="3709" cm="1">
        <f t="array" ref="G128:N128">_xlfn.ANCHORARRAY(ENER_CombFosil!F278)+SALIDA_DEMANDA_ENERG_COMBUSTIBLES_FOSILES_GASOLINA_MOTOR</f>
        <v>3.9500405191100669</v>
      </c>
      <c r="H128" s="3709">
        <v>4.5620057158176301</v>
      </c>
      <c r="I128" s="3709">
        <v>5.2860125898661794</v>
      </c>
      <c r="J128" s="3709">
        <v>5.4786786738286501</v>
      </c>
      <c r="K128" s="3709">
        <v>5.9167880740793786</v>
      </c>
      <c r="L128" s="3709">
        <v>6.5183349963764865</v>
      </c>
      <c r="M128" s="3709">
        <v>7.0701368385617007</v>
      </c>
      <c r="N128" s="3709">
        <v>7.8104398443693901</v>
      </c>
    </row>
    <row r="129" spans="5:19">
      <c r="E129" s="3710" t="s">
        <v>500</v>
      </c>
      <c r="F129" s="3710" t="s">
        <v>495</v>
      </c>
      <c r="G129" s="3711" cm="1">
        <f t="array" ref="G129:N129">_xlfn.ANCHORARRAY(ENER_CombFosil!F279)+SALIDA_DEMANDA_ENERG_COMBUSTIBLES_FOSILES_DIESEL</f>
        <v>6.0092794153740821</v>
      </c>
      <c r="H129" s="3711">
        <v>6.9292255119668074</v>
      </c>
      <c r="I129" s="3711">
        <v>8.0834490769478222</v>
      </c>
      <c r="J129" s="3711">
        <v>8.6674435388223117</v>
      </c>
      <c r="K129" s="3711">
        <v>8.9042394961703248</v>
      </c>
      <c r="L129" s="3711">
        <v>9.075791513284349</v>
      </c>
      <c r="M129" s="3711">
        <v>9.5955210025138218</v>
      </c>
      <c r="N129" s="3711">
        <v>10.702759463693939</v>
      </c>
    </row>
    <row r="130" spans="5:19">
      <c r="E130" s="680" t="s">
        <v>500</v>
      </c>
      <c r="F130" s="680" t="s">
        <v>499</v>
      </c>
      <c r="G130" s="3709" cm="1">
        <f t="array" ref="G130:N130">_xlfn.ANCHORARRAY(ENER_CombFosil!F280)+SALIDA_DEMANDA_ENERG_COMBUSTIBLES_FOSILES_FUEL_OIL</f>
        <v>8.7096330318135774E-3</v>
      </c>
      <c r="H130" s="3709">
        <v>8.7333717714261141E-3</v>
      </c>
      <c r="I130" s="3709">
        <v>1.0171880306271301E-2</v>
      </c>
      <c r="J130" s="3709">
        <v>1.1624896768223952E-2</v>
      </c>
      <c r="K130" s="3709">
        <v>1.1648241365430819E-2</v>
      </c>
      <c r="L130" s="3709">
        <v>1.1672251801939874E-2</v>
      </c>
      <c r="M130" s="3709">
        <v>1.1696867566396787E-2</v>
      </c>
      <c r="N130" s="3709">
        <v>1.1722275577417935E-2</v>
      </c>
    </row>
    <row r="131" spans="5:19">
      <c r="E131" s="3710" t="s">
        <v>500</v>
      </c>
      <c r="F131" s="3710" t="s">
        <v>502</v>
      </c>
      <c r="G131" s="3711" cm="1">
        <f t="array" ref="G131:N131">_xlfn.ANCHORARRAY(ENER_CombFosil!F284)</f>
        <v>1.5175350817709567E-2</v>
      </c>
      <c r="H131" s="3711">
        <v>1.7599669600639821E-2</v>
      </c>
      <c r="I131" s="3711">
        <v>2.0919036681174865E-2</v>
      </c>
      <c r="J131" s="3711">
        <v>2.3617380521294102E-2</v>
      </c>
      <c r="K131" s="3711">
        <v>2.6001447511045536E-2</v>
      </c>
      <c r="L131" s="3711">
        <v>2.8453513339532624E-2</v>
      </c>
      <c r="M131" s="3711">
        <v>3.0967398284694813E-2</v>
      </c>
      <c r="N131" s="3711">
        <v>3.3562191410229633E-2</v>
      </c>
      <c r="Q131" s="3709"/>
    </row>
    <row r="132" spans="5:19">
      <c r="E132" s="680" t="s">
        <v>500</v>
      </c>
      <c r="F132" s="680" t="s">
        <v>498</v>
      </c>
      <c r="G132" s="3709" cm="1">
        <f t="array" ref="G132:N132">_xlfn.ANCHORARRAY(ENER_CombFosil!F282)+SALIDA_DEMANDA_ENERG_COMBUSTIBLES_FOSILES_GLP</f>
        <v>0.73438321436995968</v>
      </c>
      <c r="H132" s="3709">
        <v>0.8182622546794367</v>
      </c>
      <c r="I132" s="3709">
        <v>0.9750579977028393</v>
      </c>
      <c r="J132" s="3709">
        <v>1.1099293219945401</v>
      </c>
      <c r="K132" s="3709">
        <v>1.2415200535235433</v>
      </c>
      <c r="L132" s="3709">
        <v>1.370562274681751</v>
      </c>
      <c r="M132" s="3709">
        <v>1.5010041524310302</v>
      </c>
      <c r="N132" s="3709">
        <v>1.6336844509032122</v>
      </c>
    </row>
    <row r="133" spans="5:19">
      <c r="E133" s="3710" t="s">
        <v>514</v>
      </c>
      <c r="F133" s="3710" t="s">
        <v>507</v>
      </c>
      <c r="G133" s="3711" cm="1">
        <f t="array" ref="G133:N133">_xlfn.ANCHORARRAY(ENER_CombFosil!F285)</f>
        <v>6.2257033987857587E-3</v>
      </c>
      <c r="H133" s="3711">
        <v>6.2257033987857587E-3</v>
      </c>
      <c r="I133" s="3711">
        <v>7.206409873470189E-3</v>
      </c>
      <c r="J133" s="3711">
        <v>8.2090019179727608E-3</v>
      </c>
      <c r="K133" s="3711">
        <v>8.2090019179727608E-3</v>
      </c>
      <c r="L133" s="3711">
        <v>8.2090019179727608E-3</v>
      </c>
      <c r="M133" s="3711">
        <v>8.2090019179727608E-3</v>
      </c>
      <c r="N133" s="3711">
        <v>8.2090019179727608E-3</v>
      </c>
    </row>
    <row r="134" spans="5:19">
      <c r="E134" s="680" t="s">
        <v>494</v>
      </c>
      <c r="F134" s="680" t="s">
        <v>294</v>
      </c>
      <c r="G134" s="3709" cm="1">
        <f t="array" ref="G134:N134">SALIDA_GENERACION_ELECTRICIDAD_PETROLEO</f>
        <v>0</v>
      </c>
      <c r="H134" s="3709">
        <v>0</v>
      </c>
      <c r="I134" s="3709">
        <v>0</v>
      </c>
      <c r="J134" s="3709">
        <v>0</v>
      </c>
      <c r="K134" s="3709">
        <v>0</v>
      </c>
      <c r="L134" s="3709">
        <v>0</v>
      </c>
      <c r="M134" s="3709">
        <v>0</v>
      </c>
      <c r="N134" s="3709">
        <v>0</v>
      </c>
    </row>
    <row r="135" spans="5:19">
      <c r="E135" s="3710" t="s">
        <v>495</v>
      </c>
      <c r="F135" s="3710" t="s">
        <v>294</v>
      </c>
      <c r="G135" s="3711" cm="1">
        <f t="array" ref="G135:N135">SALIDA_GENERACION_ELECTRICIDAD_DIESEL</f>
        <v>4.8605106815158471E-2</v>
      </c>
      <c r="H135" s="3711">
        <v>0</v>
      </c>
      <c r="I135" s="3711">
        <v>0</v>
      </c>
      <c r="J135" s="3711">
        <v>0</v>
      </c>
      <c r="K135" s="3711">
        <v>0</v>
      </c>
      <c r="L135" s="3711">
        <v>0</v>
      </c>
      <c r="M135" s="3711">
        <v>0</v>
      </c>
      <c r="N135" s="3711">
        <v>0</v>
      </c>
    </row>
    <row r="136" spans="5:19">
      <c r="E136" s="680" t="s">
        <v>499</v>
      </c>
      <c r="F136" s="680" t="s">
        <v>294</v>
      </c>
      <c r="G136" s="3709" cm="1">
        <f t="array" ref="G136:N136">SALIDA_GENERACION_ELECTRICIDAD_FUEL_OIL</f>
        <v>0</v>
      </c>
      <c r="H136" s="3709">
        <v>0</v>
      </c>
      <c r="I136" s="3709">
        <v>0</v>
      </c>
      <c r="J136" s="3709">
        <v>0</v>
      </c>
      <c r="K136" s="3709">
        <v>0</v>
      </c>
      <c r="L136" s="3709">
        <v>0</v>
      </c>
      <c r="M136" s="3709">
        <v>0</v>
      </c>
      <c r="N136" s="3709">
        <v>0</v>
      </c>
    </row>
    <row r="137" spans="5:19">
      <c r="E137" s="3710" t="s">
        <v>502</v>
      </c>
      <c r="F137" s="3710" t="s">
        <v>294</v>
      </c>
      <c r="G137" s="3711">
        <v>0</v>
      </c>
      <c r="H137" s="3711">
        <v>0</v>
      </c>
      <c r="I137" s="3711">
        <v>0</v>
      </c>
      <c r="J137" s="3711">
        <v>0</v>
      </c>
      <c r="K137" s="3711">
        <v>0</v>
      </c>
      <c r="L137" s="3711">
        <v>0</v>
      </c>
      <c r="M137" s="3711">
        <v>0</v>
      </c>
      <c r="N137" s="3711">
        <v>0</v>
      </c>
    </row>
    <row r="138" spans="5:19">
      <c r="E138" s="680" t="s">
        <v>498</v>
      </c>
      <c r="F138" s="680" t="s">
        <v>294</v>
      </c>
      <c r="G138" s="3709" cm="1">
        <f t="array" ref="G138:N138">SALIDA_GENERACION_ELECTRICIDAD_GLP</f>
        <v>0</v>
      </c>
      <c r="H138" s="3709">
        <v>0</v>
      </c>
      <c r="I138" s="3709">
        <v>0</v>
      </c>
      <c r="J138" s="3709">
        <v>0</v>
      </c>
      <c r="K138" s="3709">
        <v>0</v>
      </c>
      <c r="L138" s="3709">
        <v>0</v>
      </c>
      <c r="M138" s="3709">
        <v>0</v>
      </c>
      <c r="N138" s="3709">
        <v>0</v>
      </c>
      <c r="S138" s="3712"/>
    </row>
    <row r="139" spans="5:19">
      <c r="E139" s="3710" t="s">
        <v>514</v>
      </c>
      <c r="F139" s="3710" t="s">
        <v>294</v>
      </c>
      <c r="G139" s="3711" cm="1">
        <f t="array" ref="G139:N139">SALIDA_GENERACION_ELECTRICIDAD_TERMOELECTRICA_CARBON</f>
        <v>1.4338506510471747</v>
      </c>
      <c r="H139" s="3711">
        <v>1.4338506510471747</v>
      </c>
      <c r="I139" s="3711">
        <v>1.4338506510471747</v>
      </c>
      <c r="J139" s="3711">
        <v>1.4338506510471747</v>
      </c>
      <c r="K139" s="3711">
        <v>1.4338506510471747</v>
      </c>
      <c r="L139" s="3711">
        <v>1.4338506510471747</v>
      </c>
      <c r="M139" s="3711">
        <v>1.4338506510471747</v>
      </c>
      <c r="N139" s="3711">
        <v>1.4338506510471747</v>
      </c>
    </row>
    <row r="140" spans="5:19">
      <c r="E140" s="680" t="s">
        <v>513</v>
      </c>
      <c r="F140" s="680" t="s">
        <v>294</v>
      </c>
      <c r="G140" s="3709" cm="1">
        <f t="array" ref="G140:N140">SALIDA_GENERACION_ELECTRICIDAD_TERMOELECTRICA_GAS_NATURAL</f>
        <v>0.70477404881979766</v>
      </c>
      <c r="H140" s="3709">
        <v>0.70477404881979766</v>
      </c>
      <c r="I140" s="3709">
        <v>1.0571610732296965</v>
      </c>
      <c r="J140" s="3709">
        <v>1.0571610732296965</v>
      </c>
      <c r="K140" s="3709">
        <v>1.0571610732296965</v>
      </c>
      <c r="L140" s="3709">
        <v>1.0571610732296965</v>
      </c>
      <c r="M140" s="3709">
        <v>1.0571610732296965</v>
      </c>
      <c r="N140" s="3709">
        <v>1.0571610732296965</v>
      </c>
    </row>
    <row r="141" spans="5:19">
      <c r="E141" s="3710" t="s">
        <v>294</v>
      </c>
      <c r="F141" s="3710" t="s">
        <v>296</v>
      </c>
      <c r="G141" s="3711" cm="1">
        <f t="array" ref="G141:N141">_xlfn.ANCHORARRAY('ELECT_ Electricidad'!F391)</f>
        <v>1.1105359253796188</v>
      </c>
      <c r="H141" s="3711">
        <v>1.1105359253796188</v>
      </c>
      <c r="I141" s="3711">
        <v>1.2779400846760602</v>
      </c>
      <c r="J141" s="3711">
        <v>1.4472075486028639</v>
      </c>
      <c r="K141" s="3711">
        <v>1.4472075486028639</v>
      </c>
      <c r="L141" s="3711">
        <v>1.4472075486028639</v>
      </c>
      <c r="M141" s="3711">
        <v>1.4472075486028639</v>
      </c>
      <c r="N141" s="3711">
        <v>1.4472075486028639</v>
      </c>
    </row>
    <row r="142" spans="5:19">
      <c r="E142" s="680" t="s">
        <v>294</v>
      </c>
      <c r="F142" s="680" t="s">
        <v>489</v>
      </c>
      <c r="G142" s="3709" cm="1">
        <f t="array" ref="G142:N142">_xlfn.ANCHORARRAY('ELECT_ Electricidad'!F394)</f>
        <v>1.0000380374251177E-2</v>
      </c>
      <c r="H142" s="3709">
        <v>1.0002071007158175E-2</v>
      </c>
      <c r="I142" s="3709">
        <v>1.0011280006724257E-2</v>
      </c>
      <c r="J142" s="3709">
        <v>1.0058731399680707E-2</v>
      </c>
      <c r="K142" s="3709">
        <v>5.009720492731462E-2</v>
      </c>
      <c r="L142" s="3709">
        <v>0.10012001303443238</v>
      </c>
      <c r="M142" s="3709">
        <v>0.15013127195712794</v>
      </c>
      <c r="N142" s="3709">
        <v>0.20013815422342404</v>
      </c>
    </row>
    <row r="143" spans="5:19">
      <c r="E143" s="3710" t="s">
        <v>294</v>
      </c>
      <c r="F143" s="3710" t="s">
        <v>488</v>
      </c>
      <c r="G143" s="3711" cm="1">
        <f t="array" ref="G143:N143">_xlfn.ANCHORARRAY('ELECT_ Electricidad'!F393)</f>
        <v>2.4956767646552338</v>
      </c>
      <c r="H143" s="3711">
        <v>2.9696845015880791</v>
      </c>
      <c r="I143" s="3711">
        <v>3.7535246156516902</v>
      </c>
      <c r="J143" s="3711">
        <v>4.492538701781136</v>
      </c>
      <c r="K143" s="3711">
        <v>5.1692154383240059</v>
      </c>
      <c r="L143" s="3711">
        <v>5.8756467754649666</v>
      </c>
      <c r="M143" s="3711">
        <v>6.5486292461482893</v>
      </c>
      <c r="N143" s="3711">
        <v>7.2209865852126551</v>
      </c>
    </row>
    <row r="144" spans="5:19">
      <c r="E144" s="680" t="s">
        <v>294</v>
      </c>
      <c r="F144" s="680" t="s">
        <v>487</v>
      </c>
      <c r="G144" s="3709" cm="1">
        <f t="array" ref="G144:N144">_xlfn.ANCHORARRAY('ELECT_ Electricidad'!F392)</f>
        <v>0</v>
      </c>
      <c r="H144" s="3709">
        <v>0</v>
      </c>
      <c r="I144" s="3709">
        <v>0</v>
      </c>
      <c r="J144" s="3709">
        <v>0</v>
      </c>
      <c r="K144" s="3709">
        <v>0</v>
      </c>
      <c r="L144" s="3709">
        <v>0</v>
      </c>
      <c r="M144" s="3709">
        <v>0</v>
      </c>
      <c r="N144" s="3709">
        <v>0</v>
      </c>
    </row>
    <row r="145" spans="5:14">
      <c r="E145" s="3710" t="s">
        <v>514</v>
      </c>
      <c r="F145" s="3710" t="s">
        <v>296</v>
      </c>
      <c r="G145" s="3711" cm="1">
        <f t="array" ref="G145:N145">SALIDA_DEMANDA_IND_CARBONMINERAL</f>
        <v>2.9678592853414019</v>
      </c>
      <c r="H145" s="3711">
        <v>2.9678592853414019</v>
      </c>
      <c r="I145" s="3711">
        <v>3.5323114638621034</v>
      </c>
      <c r="J145" s="3711">
        <v>4.060843403949713</v>
      </c>
      <c r="K145" s="3711">
        <v>4.060843403949713</v>
      </c>
      <c r="L145" s="3711">
        <v>4.060843403949713</v>
      </c>
      <c r="M145" s="3711">
        <v>4.060843403949713</v>
      </c>
      <c r="N145" s="3711">
        <v>4.060843403949713</v>
      </c>
    </row>
    <row r="146" spans="5:14">
      <c r="E146" s="680" t="s">
        <v>514</v>
      </c>
      <c r="F146" s="680" t="s">
        <v>489</v>
      </c>
      <c r="G146" s="3709" cm="1">
        <f t="array" ref="G146:N146">ENER_CombFosil!F76:M76</f>
        <v>0</v>
      </c>
      <c r="H146" s="3709">
        <v>0</v>
      </c>
      <c r="I146" s="3709">
        <v>0</v>
      </c>
      <c r="J146" s="3709">
        <v>0</v>
      </c>
      <c r="K146" s="3709">
        <v>0</v>
      </c>
      <c r="L146" s="3709">
        <v>0</v>
      </c>
      <c r="M146" s="3709">
        <v>0</v>
      </c>
      <c r="N146" s="3709">
        <v>0</v>
      </c>
    </row>
    <row r="147" spans="5:14">
      <c r="E147" s="3710" t="s">
        <v>514</v>
      </c>
      <c r="F147" s="3710" t="s">
        <v>488</v>
      </c>
      <c r="G147" s="3711" cm="1">
        <f t="array" ref="G147:N147">ENER_CombFosil!F75:M75</f>
        <v>0</v>
      </c>
      <c r="H147" s="3711">
        <v>0</v>
      </c>
      <c r="I147" s="3711">
        <v>0</v>
      </c>
      <c r="J147" s="3711">
        <v>0</v>
      </c>
      <c r="K147" s="3711">
        <v>0</v>
      </c>
      <c r="L147" s="3711">
        <v>0</v>
      </c>
      <c r="M147" s="3711">
        <v>0</v>
      </c>
      <c r="N147" s="3711">
        <v>0</v>
      </c>
    </row>
    <row r="148" spans="5:14">
      <c r="E148" s="680" t="s">
        <v>507</v>
      </c>
      <c r="F148" s="680" t="s">
        <v>296</v>
      </c>
      <c r="G148" s="3709" cm="1">
        <f t="array" ref="G148:N148">SALIDA_DEMANDA_IND_COQUE</f>
        <v>6.2257033987857587E-3</v>
      </c>
      <c r="H148" s="3709">
        <v>6.2257033987857587E-3</v>
      </c>
      <c r="I148" s="3709">
        <v>7.206409873470189E-3</v>
      </c>
      <c r="J148" s="3709">
        <v>8.2090019179727608E-3</v>
      </c>
      <c r="K148" s="3709">
        <v>8.2090019179727608E-3</v>
      </c>
      <c r="L148" s="3709">
        <v>8.2090019179727608E-3</v>
      </c>
      <c r="M148" s="3709">
        <v>8.2090019179727608E-3</v>
      </c>
      <c r="N148" s="3709">
        <v>8.2090019179727608E-3</v>
      </c>
    </row>
    <row r="149" spans="5:14">
      <c r="E149" s="3710" t="s">
        <v>507</v>
      </c>
      <c r="F149" s="3710" t="s">
        <v>489</v>
      </c>
      <c r="G149" s="3711" cm="1">
        <f t="array" ref="G149:N149">ENER_CombFosil!F98:M98</f>
        <v>0</v>
      </c>
      <c r="H149" s="3711">
        <v>0</v>
      </c>
      <c r="I149" s="3711">
        <v>0</v>
      </c>
      <c r="J149" s="3711">
        <v>0</v>
      </c>
      <c r="K149" s="3711">
        <v>0</v>
      </c>
      <c r="L149" s="3711">
        <v>0</v>
      </c>
      <c r="M149" s="3711">
        <v>0</v>
      </c>
      <c r="N149" s="3711">
        <v>0</v>
      </c>
    </row>
    <row r="150" spans="5:14">
      <c r="E150" s="680" t="s">
        <v>507</v>
      </c>
      <c r="F150" s="680" t="s">
        <v>488</v>
      </c>
      <c r="G150" s="3709" cm="1">
        <f t="array" ref="G150:N150">ENER_CombFosil!F97:M97</f>
        <v>0</v>
      </c>
      <c r="H150" s="3709">
        <v>0</v>
      </c>
      <c r="I150" s="3709">
        <v>0</v>
      </c>
      <c r="J150" s="3709">
        <v>0</v>
      </c>
      <c r="K150" s="3709">
        <v>0</v>
      </c>
      <c r="L150" s="3709">
        <v>0</v>
      </c>
      <c r="M150" s="3709">
        <v>0</v>
      </c>
      <c r="N150" s="3709">
        <v>0</v>
      </c>
    </row>
    <row r="151" spans="5:14">
      <c r="E151" s="3710" t="s">
        <v>513</v>
      </c>
      <c r="F151" s="3710" t="s">
        <v>296</v>
      </c>
      <c r="G151" s="3711" cm="1">
        <f t="array" ref="G151:N151">SALIDA_DEMANDA_IND_GN</f>
        <v>1.3242476867703259</v>
      </c>
      <c r="H151" s="3711">
        <v>1.3242476867703259</v>
      </c>
      <c r="I151" s="3711">
        <v>1.5461771887129547</v>
      </c>
      <c r="J151" s="3711">
        <v>1.7667438739010923</v>
      </c>
      <c r="K151" s="3711">
        <v>1.7667438739010923</v>
      </c>
      <c r="L151" s="3711">
        <v>1.7667438739010923</v>
      </c>
      <c r="M151" s="3711">
        <v>1.7667438739010923</v>
      </c>
      <c r="N151" s="3711">
        <v>1.7667438739010923</v>
      </c>
    </row>
    <row r="152" spans="5:14">
      <c r="E152" s="680" t="s">
        <v>513</v>
      </c>
      <c r="F152" s="680" t="s">
        <v>489</v>
      </c>
      <c r="G152" s="3709" cm="1">
        <f t="array" ref="G152:N152">_xlfn.ANCHORARRAY(ENER_CombFosil!F54)</f>
        <v>0.17616184254380915</v>
      </c>
      <c r="H152" s="3709">
        <v>0.21526708706271147</v>
      </c>
      <c r="I152" s="3709">
        <v>0.31368063463743179</v>
      </c>
      <c r="J152" s="3709">
        <v>0.51234603138863222</v>
      </c>
      <c r="K152" s="3709">
        <v>1.0041041080735948</v>
      </c>
      <c r="L152" s="3709">
        <v>1.8141524075256803</v>
      </c>
      <c r="M152" s="3709">
        <v>2.6345583771807419</v>
      </c>
      <c r="N152" s="3709">
        <v>3.3970845547648603</v>
      </c>
    </row>
    <row r="153" spans="5:14">
      <c r="E153" s="3710" t="s">
        <v>513</v>
      </c>
      <c r="F153" s="3710" t="s">
        <v>488</v>
      </c>
      <c r="G153" s="3711" cm="1">
        <f t="array" ref="G153:N153">_xlfn.ANCHORARRAY(ENER_CombFosil!F53)</f>
        <v>1.569993122970027</v>
      </c>
      <c r="H153" s="3711">
        <v>1.7901505464116017</v>
      </c>
      <c r="I153" s="3711">
        <v>2.2249696656521118</v>
      </c>
      <c r="J153" s="3711">
        <v>2.6140824442370127</v>
      </c>
      <c r="K153" s="3711">
        <v>2.9587902420562533</v>
      </c>
      <c r="L153" s="3711">
        <v>3.2966210274366361</v>
      </c>
      <c r="M153" s="3711">
        <v>3.6364348007864296</v>
      </c>
      <c r="N153" s="3711">
        <v>3.9802869238034635</v>
      </c>
    </row>
    <row r="154" spans="5:14">
      <c r="E154" s="680" t="s">
        <v>494</v>
      </c>
      <c r="F154" s="680" t="s">
        <v>296</v>
      </c>
      <c r="G154" s="3709" cm="1">
        <f t="array" ref="G154:N154">SALIDA_DEMANDA_IND_GASOLINA</f>
        <v>3.4012841742838877E-3</v>
      </c>
      <c r="H154" s="3709">
        <v>3.4012841742838877E-3</v>
      </c>
      <c r="I154" s="3709">
        <v>3.9178469702047464E-3</v>
      </c>
      <c r="J154" s="3709">
        <v>4.4411586881671541E-3</v>
      </c>
      <c r="K154" s="3709">
        <v>4.4411586881671541E-3</v>
      </c>
      <c r="L154" s="3709">
        <v>4.4411586881671541E-3</v>
      </c>
      <c r="M154" s="3709">
        <v>4.4411586881671541E-3</v>
      </c>
      <c r="N154" s="3709">
        <v>4.4411586881671541E-3</v>
      </c>
    </row>
    <row r="155" spans="5:14">
      <c r="E155" s="3710" t="s">
        <v>494</v>
      </c>
      <c r="F155" s="3710" t="s">
        <v>489</v>
      </c>
      <c r="G155" s="3711" cm="1">
        <f t="array" ref="G155:N155">_xlfn.ANCHORARRAY(RESULTADOS_TRANSPORTE!U48)</f>
        <v>2.6191418349595805</v>
      </c>
      <c r="H155" s="3711">
        <v>2.9494205820892345</v>
      </c>
      <c r="I155" s="3711">
        <v>3.4971011323777885</v>
      </c>
      <c r="J155" s="3711">
        <v>3.6485668943400569</v>
      </c>
      <c r="K155" s="3711">
        <v>4.0044582529861064</v>
      </c>
      <c r="L155" s="3711">
        <v>4.4988762549950598</v>
      </c>
      <c r="M155" s="3711">
        <v>4.9854904367381119</v>
      </c>
      <c r="N155" s="3711">
        <v>5.636858664932344</v>
      </c>
    </row>
    <row r="156" spans="5:14">
      <c r="E156" s="680" t="s">
        <v>494</v>
      </c>
      <c r="F156" s="680" t="s">
        <v>488</v>
      </c>
      <c r="G156" s="3709" cm="1">
        <f t="array" ref="G156:N156">_xlfn.ANCHORARRAY(RESULTADOS_EDIFICACIONES!U36)</f>
        <v>1.5148224448581278E-2</v>
      </c>
      <c r="H156" s="3709">
        <v>1.7581445258866235E-2</v>
      </c>
      <c r="I156" s="3709">
        <v>2.0900090701616001E-2</v>
      </c>
      <c r="J156" s="3709">
        <v>2.3595179388708448E-2</v>
      </c>
      <c r="K156" s="3709">
        <v>2.5988000602412336E-2</v>
      </c>
      <c r="L156" s="3709">
        <v>2.8449070344590349E-2</v>
      </c>
      <c r="M156" s="3709">
        <v>3.0972186201423873E-2</v>
      </c>
      <c r="N156" s="3709">
        <v>3.357650733109166E-2</v>
      </c>
    </row>
    <row r="157" spans="5:14" ht="14.25" customHeight="1">
      <c r="E157" s="3710" t="s">
        <v>495</v>
      </c>
      <c r="F157" s="3710" t="s">
        <v>296</v>
      </c>
      <c r="G157" s="3711" cm="1">
        <f t="array" ref="G157:N157">SALIDA_DEMANDA_IND_DIESEL</f>
        <v>5.4154731240435613E-2</v>
      </c>
      <c r="H157" s="3711">
        <v>5.4154731240435613E-2</v>
      </c>
      <c r="I157" s="3711">
        <v>6.3164018343519965E-2</v>
      </c>
      <c r="J157" s="3711">
        <v>7.2327049878170735E-2</v>
      </c>
      <c r="K157" s="3711">
        <v>7.2327049878170735E-2</v>
      </c>
      <c r="L157" s="3711">
        <v>7.2327049878170735E-2</v>
      </c>
      <c r="M157" s="3711">
        <v>7.2327049878170735E-2</v>
      </c>
      <c r="N157" s="3711">
        <v>7.2327049878170735E-2</v>
      </c>
    </row>
    <row r="158" spans="5:14">
      <c r="E158" s="680" t="s">
        <v>495</v>
      </c>
      <c r="F158" s="680" t="s">
        <v>489</v>
      </c>
      <c r="G158" s="3709" cm="1">
        <f t="array" ref="G158:N158">_xlfn.ANCHORARRAY(ENER_CombFosil!F32)</f>
        <v>5.8778687394458817</v>
      </c>
      <c r="H158" s="3709">
        <v>6.7854054099061543</v>
      </c>
      <c r="I158" s="3709">
        <v>7.913694596026061</v>
      </c>
      <c r="J158" s="3709">
        <v>8.4747810740617275</v>
      </c>
      <c r="K158" s="3709">
        <v>8.6993736432198503</v>
      </c>
      <c r="L158" s="3709">
        <v>8.8583742046487668</v>
      </c>
      <c r="M158" s="3709">
        <v>9.3652358030083889</v>
      </c>
      <c r="N158" s="3709">
        <v>10.4591922264272</v>
      </c>
    </row>
    <row r="159" spans="5:14">
      <c r="E159" s="3710" t="s">
        <v>495</v>
      </c>
      <c r="F159" s="3710" t="s">
        <v>488</v>
      </c>
      <c r="G159" s="3711" cm="1">
        <f t="array" ref="G159:N159">_xlfn.ANCHORARRAY(ENER_CombFosil!F31)</f>
        <v>7.725594468776438E-2</v>
      </c>
      <c r="H159" s="3711">
        <v>8.9665370820217624E-2</v>
      </c>
      <c r="I159" s="3711">
        <v>0.10659046257824199</v>
      </c>
      <c r="J159" s="3711">
        <v>0.1203354148824128</v>
      </c>
      <c r="K159" s="3711">
        <v>0.13253880307230317</v>
      </c>
      <c r="L159" s="3711">
        <v>0.14509025875741058</v>
      </c>
      <c r="M159" s="3711">
        <v>0.15795814962726171</v>
      </c>
      <c r="N159" s="3711">
        <v>0.17124018738856736</v>
      </c>
    </row>
    <row r="160" spans="5:14">
      <c r="E160" s="680" t="s">
        <v>499</v>
      </c>
      <c r="F160" s="680" t="s">
        <v>296</v>
      </c>
      <c r="G160" s="3709" cm="1">
        <f t="array" ref="G160:N160">SALIDA_DEMANDA_IND_FUELOIL</f>
        <v>8.5618454762176627E-3</v>
      </c>
      <c r="H160" s="3709">
        <v>8.5618454762176627E-3</v>
      </c>
      <c r="I160" s="3709">
        <v>9.9679769823530964E-3</v>
      </c>
      <c r="J160" s="3709">
        <v>1.1394699896138992E-2</v>
      </c>
      <c r="K160" s="3709">
        <v>1.1394699896138992E-2</v>
      </c>
      <c r="L160" s="3709">
        <v>1.1394699896138992E-2</v>
      </c>
      <c r="M160" s="3709">
        <v>1.1394699896138992E-2</v>
      </c>
      <c r="N160" s="3709">
        <v>1.1394699896138992E-2</v>
      </c>
    </row>
    <row r="161" spans="5:14">
      <c r="E161" s="3710" t="s">
        <v>499</v>
      </c>
      <c r="F161" s="3710" t="s">
        <v>489</v>
      </c>
      <c r="G161" s="3711" cm="1">
        <f t="array" ref="G161:N161">ENER_CombFosil!F43:M43</f>
        <v>0</v>
      </c>
      <c r="H161" s="3711">
        <v>0</v>
      </c>
      <c r="I161" s="3711">
        <v>0</v>
      </c>
      <c r="J161" s="3711">
        <v>0</v>
      </c>
      <c r="K161" s="3711">
        <v>0</v>
      </c>
      <c r="L161" s="3711">
        <v>0</v>
      </c>
      <c r="M161" s="3711">
        <v>0</v>
      </c>
      <c r="N161" s="3711">
        <v>0</v>
      </c>
    </row>
    <row r="162" spans="5:14">
      <c r="E162" s="680" t="s">
        <v>499</v>
      </c>
      <c r="F162" s="680" t="s">
        <v>488</v>
      </c>
      <c r="G162" s="3709" cm="1">
        <f t="array" ref="G162:N162">_xlfn.ANCHORARRAY(ENER_CombFosil!F42)</f>
        <v>1.4778755559591468E-4</v>
      </c>
      <c r="H162" s="3709">
        <v>1.715262952084507E-4</v>
      </c>
      <c r="I162" s="3709">
        <v>2.0390332391820529E-4</v>
      </c>
      <c r="J162" s="3709">
        <v>2.3019687208496032E-4</v>
      </c>
      <c r="K162" s="3709">
        <v>2.5354146929182787E-4</v>
      </c>
      <c r="L162" s="3709">
        <v>2.7755190580088153E-4</v>
      </c>
      <c r="M162" s="3709">
        <v>3.0216767025779436E-4</v>
      </c>
      <c r="N162" s="3709">
        <v>3.2757568127894323E-4</v>
      </c>
    </row>
    <row r="163" spans="5:14">
      <c r="E163" s="3710" t="s">
        <v>502</v>
      </c>
      <c r="F163" s="3710" t="s">
        <v>296</v>
      </c>
      <c r="G163" s="3711" cm="1">
        <f t="array" ref="G163:N163">_xlfn.ANCHORARRAY(ENER_CombFosil!F84)</f>
        <v>8.2546702476781963E-5</v>
      </c>
      <c r="H163" s="3711">
        <v>8.2546702476781963E-5</v>
      </c>
      <c r="I163" s="3711">
        <v>9.5409726028145272E-5</v>
      </c>
      <c r="J163" s="3711">
        <v>1.0852495961757469E-4</v>
      </c>
      <c r="K163" s="3711">
        <v>1.0852495961757469E-4</v>
      </c>
      <c r="L163" s="3711">
        <v>1.0852495961757469E-4</v>
      </c>
      <c r="M163" s="3711">
        <v>1.0852495961757469E-4</v>
      </c>
      <c r="N163" s="3711">
        <v>1.0852495961757469E-4</v>
      </c>
    </row>
    <row r="164" spans="5:14">
      <c r="E164" s="680" t="s">
        <v>502</v>
      </c>
      <c r="F164" s="680" t="s">
        <v>489</v>
      </c>
      <c r="G164" s="3709" cm="1">
        <f t="array" ref="G164:N164">ENER_CombFosil!F87:M87</f>
        <v>0</v>
      </c>
      <c r="H164" s="3709">
        <v>0</v>
      </c>
      <c r="I164" s="3709">
        <v>0</v>
      </c>
      <c r="J164" s="3709">
        <v>0</v>
      </c>
      <c r="K164" s="3709">
        <v>0</v>
      </c>
      <c r="L164" s="3709">
        <v>0</v>
      </c>
      <c r="M164" s="3709">
        <v>0</v>
      </c>
      <c r="N164" s="3709">
        <v>0</v>
      </c>
    </row>
    <row r="165" spans="5:14">
      <c r="E165" s="3710" t="s">
        <v>502</v>
      </c>
      <c r="F165" s="3710" t="s">
        <v>488</v>
      </c>
      <c r="G165" s="3711" cm="1">
        <f t="array" ref="G165:N165">_xlfn.ANCHORARRAY(ENER_CombFosil!F86)</f>
        <v>1.5092804115232785E-2</v>
      </c>
      <c r="H165" s="3711">
        <v>1.751712289816304E-2</v>
      </c>
      <c r="I165" s="3711">
        <v>2.082362695514672E-2</v>
      </c>
      <c r="J165" s="3711">
        <v>2.3508855561676527E-2</v>
      </c>
      <c r="K165" s="3711">
        <v>2.5892922551427961E-2</v>
      </c>
      <c r="L165" s="3711">
        <v>2.8344988379915049E-2</v>
      </c>
      <c r="M165" s="3711">
        <v>3.0858873325077238E-2</v>
      </c>
      <c r="N165" s="3711">
        <v>3.3453666450612062E-2</v>
      </c>
    </row>
    <row r="166" spans="5:14">
      <c r="E166" s="680" t="s">
        <v>498</v>
      </c>
      <c r="F166" s="680" t="s">
        <v>296</v>
      </c>
      <c r="G166" s="3709" cm="1">
        <f t="array" ref="G166:N166">SALIDA_DEMANDA_IND_GLP</f>
        <v>1.7322703076441241E-2</v>
      </c>
      <c r="H166" s="3709">
        <v>1.7322703076441241E-2</v>
      </c>
      <c r="I166" s="3709">
        <v>1.9960626015659177E-2</v>
      </c>
      <c r="J166" s="3709">
        <v>2.263483738254566E-2</v>
      </c>
      <c r="K166" s="3709">
        <v>2.263483738254566E-2</v>
      </c>
      <c r="L166" s="3709">
        <v>2.263483738254566E-2</v>
      </c>
      <c r="M166" s="3709">
        <v>2.263483738254566E-2</v>
      </c>
      <c r="N166" s="3709">
        <v>2.263483738254566E-2</v>
      </c>
    </row>
    <row r="167" spans="5:14">
      <c r="E167" s="3710" t="s">
        <v>498</v>
      </c>
      <c r="F167" s="3710" t="s">
        <v>489</v>
      </c>
      <c r="G167" s="3711" cm="1">
        <f t="array" ref="G167:N167">_xlfn.ANCHORARRAY(ENER_CombFosil!F65)</f>
        <v>0</v>
      </c>
      <c r="H167" s="3711">
        <v>0</v>
      </c>
      <c r="I167" s="3711">
        <v>0</v>
      </c>
      <c r="J167" s="3711">
        <v>0</v>
      </c>
      <c r="K167" s="3711">
        <v>0</v>
      </c>
      <c r="L167" s="3711">
        <v>0</v>
      </c>
      <c r="M167" s="3711">
        <v>0</v>
      </c>
      <c r="N167" s="3711">
        <v>0</v>
      </c>
    </row>
    <row r="168" spans="5:14">
      <c r="E168" s="680" t="s">
        <v>498</v>
      </c>
      <c r="F168" s="680" t="s">
        <v>488</v>
      </c>
      <c r="G168" s="3709" cm="1">
        <f t="array" ref="G168:N168">_xlfn.ANCHORARRAY(ENER_CombFosil!F64)</f>
        <v>0.71706051129351844</v>
      </c>
      <c r="H168" s="3709">
        <v>0.80093955160299546</v>
      </c>
      <c r="I168" s="3709">
        <v>0.95509737168718012</v>
      </c>
      <c r="J168" s="3709">
        <v>1.0872944846119945</v>
      </c>
      <c r="K168" s="3709">
        <v>1.2188852161409978</v>
      </c>
      <c r="L168" s="3709">
        <v>1.3479274372992054</v>
      </c>
      <c r="M168" s="3709">
        <v>1.4783693150484847</v>
      </c>
      <c r="N168" s="3709">
        <v>1.6110496135206667</v>
      </c>
    </row>
    <row r="169" spans="5:14">
      <c r="E169" s="3710" t="s">
        <v>500</v>
      </c>
      <c r="F169" s="3710" t="s">
        <v>517</v>
      </c>
      <c r="G169" s="3711">
        <v>158.87135167439817</v>
      </c>
      <c r="H169" s="3711">
        <v>144.99257637407848</v>
      </c>
      <c r="I169" s="3711">
        <v>140.37149015750066</v>
      </c>
      <c r="J169" s="3711">
        <v>164.97755068519447</v>
      </c>
      <c r="K169" s="3711">
        <v>193.8968675159538</v>
      </c>
      <c r="L169" s="3711">
        <v>227.88552185647944</v>
      </c>
      <c r="M169" s="3711">
        <v>267.83213023040207</v>
      </c>
      <c r="N169" s="3711">
        <v>314.78107691691201</v>
      </c>
    </row>
    <row r="170" spans="5:14">
      <c r="E170" s="680" t="s">
        <v>513</v>
      </c>
      <c r="F170" s="680" t="s">
        <v>517</v>
      </c>
      <c r="G170" s="3709" cm="1">
        <f t="array" ref="G170:N170">SALIDA_EXPORTACIONES_COMB_FOSIL_GAS_M3</f>
        <v>0</v>
      </c>
      <c r="H170" s="3709">
        <v>0</v>
      </c>
      <c r="I170" s="3709">
        <v>0</v>
      </c>
      <c r="J170" s="3709">
        <v>0</v>
      </c>
      <c r="K170" s="3709">
        <v>0</v>
      </c>
      <c r="L170" s="3709">
        <v>0</v>
      </c>
      <c r="M170" s="3709">
        <v>0</v>
      </c>
      <c r="N170" s="3709">
        <v>0</v>
      </c>
    </row>
    <row r="171" spans="5:14">
      <c r="E171" s="3710" t="s">
        <v>514</v>
      </c>
      <c r="F171" s="3710" t="s">
        <v>517</v>
      </c>
      <c r="G171" s="3711">
        <v>0.667819006406143</v>
      </c>
      <c r="H171" s="3711">
        <v>0.54192748760722698</v>
      </c>
      <c r="I171" s="3711">
        <v>0.36653110950207163</v>
      </c>
      <c r="J171" s="3711">
        <v>0.28949988611798477</v>
      </c>
      <c r="K171" s="3711">
        <v>0.22865776434688273</v>
      </c>
      <c r="L171" s="3711">
        <v>0.18060239641961801</v>
      </c>
      <c r="M171" s="3711">
        <v>0.14264648167830088</v>
      </c>
      <c r="N171" s="3711">
        <v>0.11266749023595746</v>
      </c>
    </row>
    <row r="172" spans="5:14">
      <c r="E172" s="680" t="s">
        <v>294</v>
      </c>
      <c r="F172" s="680" t="s">
        <v>517</v>
      </c>
      <c r="G172" s="3709" cm="1">
        <f t="array" ref="G172:N172">SALIDA_EXPORTACIONES_ELECTRICIDAD</f>
        <v>0</v>
      </c>
      <c r="H172" s="3709">
        <v>0</v>
      </c>
      <c r="I172" s="3709">
        <v>0</v>
      </c>
      <c r="J172" s="3709">
        <v>0</v>
      </c>
      <c r="K172" s="3709">
        <v>0</v>
      </c>
      <c r="L172" s="3709">
        <v>0</v>
      </c>
      <c r="M172" s="3709">
        <v>0</v>
      </c>
      <c r="N172" s="3709">
        <v>0</v>
      </c>
    </row>
    <row r="173" spans="5:14">
      <c r="E173" s="3710" t="s">
        <v>294</v>
      </c>
      <c r="F173" s="3710" t="s">
        <v>518</v>
      </c>
      <c r="G173" s="3711">
        <f>IF((G123+G134+G135+G136+G137+G138+G139+G140-G141-G142-G143-G144)&gt;0,(G123+G134+G135+G136+G137+G138+G139+G140-G141-G142-G143-G144),0)</f>
        <v>5.5701521176558453</v>
      </c>
      <c r="H173" s="3711">
        <f t="shared" ref="H173:N173" si="1">IF((H123+H134+H135+H136+H137+H138+H139+H140-H141-H142-H143-H144)&gt;0,(H123+H134+H135+H136+H137+H138+H139+H140-H141-H142-H143-H144),0)</f>
        <v>5.0475375832749361</v>
      </c>
      <c r="I173" s="3711">
        <f t="shared" si="1"/>
        <v>7.4500364711612477</v>
      </c>
      <c r="J173" s="3711">
        <f t="shared" si="1"/>
        <v>6.9791534310484682</v>
      </c>
      <c r="K173" s="3711">
        <f t="shared" si="1"/>
        <v>7.514019721468296</v>
      </c>
      <c r="L173" s="3711">
        <f t="shared" si="1"/>
        <v>7.9483906931916</v>
      </c>
      <c r="M173" s="3711">
        <f t="shared" si="1"/>
        <v>8.5012810174834907</v>
      </c>
      <c r="N173" s="3711">
        <f t="shared" si="1"/>
        <v>9.1155572335696871</v>
      </c>
    </row>
    <row r="174" spans="5:14">
      <c r="E174" s="680" t="s">
        <v>494</v>
      </c>
      <c r="F174" s="680" t="s">
        <v>518</v>
      </c>
      <c r="G174" s="3709" cm="1">
        <f t="array" ref="G174:N174">_xlfn.ANCHORARRAY(G128)-_xlfn.ANCHORARRAY(G134)-G155-G154-G156</f>
        <v>1.3123491755276213</v>
      </c>
      <c r="H174" s="3709">
        <v>1.9243143722351845</v>
      </c>
      <c r="I174" s="3709">
        <v>2.6483212462837336</v>
      </c>
      <c r="J174" s="3709">
        <v>2.8409873302462043</v>
      </c>
      <c r="K174" s="3709">
        <v>3.2790967304969327</v>
      </c>
      <c r="L174" s="3709">
        <v>3.8806436527940407</v>
      </c>
      <c r="M174" s="3709">
        <v>4.4324454949792544</v>
      </c>
      <c r="N174" s="3709">
        <v>5.1727485007869438</v>
      </c>
    </row>
  </sheetData>
  <sheetProtection algorithmName="SHA-512" hashValue="xvsfZ1RJbLU/99+ev71R8wt3yfJgzoHvYAZYuEJ5R54j6ImArcxvHe2n1YkOHLJb/dWNvDE/F5Op5IpwW6HEJg==" saltValue="27PNbNTAvj93kG3V6DedXg==" spinCount="100000" sheet="1" objects="1" scenarios="1"/>
  <mergeCells count="6">
    <mergeCell ref="D65:D69"/>
    <mergeCell ref="D103:D107"/>
    <mergeCell ref="D10:D14"/>
    <mergeCell ref="D28:D32"/>
    <mergeCell ref="D44:D48"/>
    <mergeCell ref="D83:D87"/>
  </mergeCells>
  <pageMargins left="0.7" right="0.7" top="0.75" bottom="0.75" header="0.3" footer="0.3"/>
  <pageSetup paperSize="9"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type="column" displayEmptyCellsAs="gap" xr2:uid="{1F7127F0-14D1-48FB-BA92-ECB64D803394}">
          <x14:colorSeries rgb="FF376092"/>
          <x14:colorNegative rgb="FFD00000"/>
          <x14:colorAxis rgb="FF000000"/>
          <x14:colorMarkers rgb="FFD00000"/>
          <x14:colorFirst rgb="FFD00000"/>
          <x14:colorLast rgb="FFD00000"/>
          <x14:colorHigh rgb="FFD00000"/>
          <x14:colorLow rgb="FFD00000"/>
          <x14:sparklines>
            <x14:sparkline>
              <xm:f>RESULTADOS_Generales!AC80:AJ80</xm:f>
              <xm:sqref>AK80</xm:sqref>
            </x14:sparkline>
            <x14:sparkline>
              <xm:f>RESULTADOS_Generales!AC81:AJ81</xm:f>
              <xm:sqref>AK81</xm:sqref>
            </x14:sparkline>
            <x14:sparkline>
              <xm:f>RESULTADOS_Generales!AC82:AJ82</xm:f>
              <xm:sqref>AK82</xm:sqref>
            </x14:sparkline>
            <x14:sparkline>
              <xm:f>RESULTADOS_Generales!AC83:AJ83</xm:f>
              <xm:sqref>AK83</xm:sqref>
            </x14:sparkline>
            <x14:sparkline>
              <xm:f>RESULTADOS_Generales!AC84:AJ84</xm:f>
              <xm:sqref>AK84</xm:sqref>
            </x14:sparkline>
            <x14:sparkline>
              <xm:f>RESULTADOS_Generales!AC85:AJ85</xm:f>
              <xm:sqref>AK85</xm:sqref>
            </x14:sparkline>
            <x14:sparkline>
              <xm:f>RESULTADOS_Generales!AC86:AJ86</xm:f>
              <xm:sqref>AK86</xm:sqref>
            </x14:sparkline>
            <x14:sparkline>
              <xm:f>RESULTADOS_Generales!AC87:AJ87</xm:f>
              <xm:sqref>AK87</xm:sqref>
            </x14:sparkline>
            <x14:sparkline>
              <xm:f>RESULTADOS_Generales!AC88:AJ88</xm:f>
              <xm:sqref>AK88</xm:sqref>
            </x14:sparkline>
            <x14:sparkline>
              <xm:f>RESULTADOS_Generales!AC89:AJ89</xm:f>
              <xm:sqref>AK89</xm:sqref>
            </x14:sparkline>
            <x14:sparkline>
              <xm:f>RESULTADOS_Generales!AC90:AJ90</xm:f>
              <xm:sqref>AK90</xm:sqref>
            </x14:sparkline>
            <x14:sparkline>
              <xm:f>RESULTADOS_Generales!AC91:AJ91</xm:f>
              <xm:sqref>AK91</xm:sqref>
            </x14:sparkline>
            <x14:sparkline>
              <xm:f>RESULTADOS_Generales!AC92:AJ92</xm:f>
              <xm:sqref>AK92</xm:sqref>
            </x14:sparkline>
            <x14:sparkline>
              <xm:f>RESULTADOS_Generales!AC93:AJ93</xm:f>
              <xm:sqref>AK93</xm:sqref>
            </x14:sparkline>
            <x14:sparkline>
              <xm:f>RESULTADOS_Generales!AC94:AJ94</xm:f>
              <xm:sqref>AK94</xm:sqref>
            </x14:sparkline>
            <x14:sparkline>
              <xm:f>RESULTADOS_Generales!AC95:AJ95</xm:f>
              <xm:sqref>AK95</xm:sqref>
            </x14:sparkline>
            <x14:sparkline>
              <xm:f>RESULTADOS_Generales!AC96:AJ96</xm:f>
              <xm:sqref>AK96</xm:sqref>
            </x14:sparkline>
          </x14:sparklines>
        </x14:sparklineGroup>
        <x14:sparklineGroup manualMax="0" manualMin="0" type="column" displayEmptyCellsAs="gap" xr2:uid="{A40FD079-A3D2-48D7-807C-466B126463EB}">
          <x14:colorSeries rgb="FF376092"/>
          <x14:colorNegative rgb="FFD00000"/>
          <x14:colorAxis rgb="FF000000"/>
          <x14:colorMarkers rgb="FFD00000"/>
          <x14:colorFirst rgb="FFD00000"/>
          <x14:colorLast rgb="FFD00000"/>
          <x14:colorHigh rgb="FFD00000"/>
          <x14:colorLow rgb="FFD00000"/>
          <x14:sparklines>
            <x14:sparkline>
              <xm:f>RESULTADOS_Generales!AC101:AJ101</xm:f>
              <xm:sqref>AK101</xm:sqref>
            </x14:sparkline>
            <x14:sparkline>
              <xm:f>RESULTADOS_Generales!AC102:AJ102</xm:f>
              <xm:sqref>AK102</xm:sqref>
            </x14:sparkline>
            <x14:sparkline>
              <xm:f>RESULTADOS_Generales!AC103:AJ103</xm:f>
              <xm:sqref>AK103</xm:sqref>
            </x14:sparkline>
            <x14:sparkline>
              <xm:f>RESULTADOS_Generales!AC104:AJ104</xm:f>
              <xm:sqref>AK104</xm:sqref>
            </x14:sparkline>
            <x14:sparkline>
              <xm:f>RESULTADOS_Generales!AC105:AJ105</xm:f>
              <xm:sqref>AK105</xm:sqref>
            </x14:sparkline>
            <x14:sparkline>
              <xm:f>RESULTADOS_Generales!AC106:AJ106</xm:f>
              <xm:sqref>AK106</xm:sqref>
            </x14:sparkline>
            <x14:sparkline>
              <xm:f>RESULTADOS_Generales!AC107:AJ107</xm:f>
              <xm:sqref>AK107</xm:sqref>
            </x14:sparkline>
            <x14:sparkline>
              <xm:f>RESULTADOS_Generales!AC108:AJ108</xm:f>
              <xm:sqref>AK108</xm:sqref>
            </x14:sparkline>
            <x14:sparkline>
              <xm:f>RESULTADOS_Generales!AC109:AJ109</xm:f>
              <xm:sqref>AK109</xm:sqref>
            </x14:sparkline>
          </x14:sparklines>
        </x14:sparklineGroup>
        <x14:sparklineGroup manualMax="0" manualMin="0" displayEmptyCellsAs="gap" xr2:uid="{21669354-6912-4BE6-A737-12C4518F50FF}">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RESULTADOS_Generales!T8:AA8</xm:f>
              <xm:sqref>R8</xm:sqref>
            </x14:sparkline>
            <x14:sparkline>
              <xm:f>RESULTADOS_Generales!T9:AA9</xm:f>
              <xm:sqref>R9</xm:sqref>
            </x14:sparkline>
            <x14:sparkline>
              <xm:f>RESULTADOS_Generales!T10:AA10</xm:f>
              <xm:sqref>R10</xm:sqref>
            </x14:sparkline>
            <x14:sparkline>
              <xm:f>RESULTADOS_Generales!T11:AA11</xm:f>
              <xm:sqref>R11</xm:sqref>
            </x14:sparkline>
            <x14:sparkline>
              <xm:f>RESULTADOS_Generales!T12:AA12</xm:f>
              <xm:sqref>R12</xm:sqref>
            </x14:sparkline>
            <x14:sparkline>
              <xm:f>RESULTADOS_Generales!T13:AA13</xm:f>
              <xm:sqref>R13</xm:sqref>
            </x14:sparkline>
            <x14:sparkline>
              <xm:f>RESULTADOS_Generales!T14:AA14</xm:f>
              <xm:sqref>R14</xm:sqref>
            </x14:sparkline>
            <x14:sparkline>
              <xm:f>RESULTADOS_Generales!T15:AA15</xm:f>
              <xm:sqref>R15</xm:sqref>
            </x14:sparkline>
            <x14:sparkline>
              <xm:f>RESULTADOS_Generales!T16:AA16</xm:f>
              <xm:sqref>R16</xm:sqref>
            </x14:sparkline>
          </x14:sparklines>
        </x14:sparklineGroup>
        <x14:sparklineGroup manualMax="0" manualMin="0" type="column" displayEmptyCellsAs="gap" high="1" xr2:uid="{E0994B3E-5576-4A57-9166-B67665778425}">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RESULTADOS_Generales!T25:AA25</xm:f>
              <xm:sqref>R25</xm:sqref>
            </x14:sparkline>
            <x14:sparkline>
              <xm:f>RESULTADOS_Generales!T26:AA26</xm:f>
              <xm:sqref>R26</xm:sqref>
            </x14:sparkline>
            <x14:sparkline>
              <xm:f>RESULTADOS_Generales!T27:AA27</xm:f>
              <xm:sqref>R27</xm:sqref>
            </x14:sparkline>
            <x14:sparkline>
              <xm:f>RESULTADOS_Generales!T28:AA28</xm:f>
              <xm:sqref>R28</xm:sqref>
            </x14:sparkline>
            <x14:sparkline>
              <xm:f>RESULTADOS_Generales!T29:AA29</xm:f>
              <xm:sqref>R29</xm:sqref>
            </x14:sparkline>
            <x14:sparkline>
              <xm:f>RESULTADOS_Generales!T30:AA30</xm:f>
              <xm:sqref>R30</xm:sqref>
            </x14:sparkline>
            <x14:sparkline>
              <xm:f>RESULTADOS_Generales!T31:AA31</xm:f>
              <xm:sqref>R31</xm:sqref>
            </x14:sparkline>
            <x14:sparkline>
              <xm:f>RESULTADOS_Generales!T32:AA32</xm:f>
              <xm:sqref>R32</xm:sqref>
            </x14:sparkline>
            <x14:sparkline>
              <xm:f>RESULTADOS_Generales!T33:AA33</xm:f>
              <xm:sqref>R33</xm:sqref>
            </x14:sparkline>
          </x14:sparklines>
        </x14:sparklineGroup>
        <x14:sparklineGroup manualMax="0" manualMin="0" type="column" displayEmptyCellsAs="gap" high="1" xr2:uid="{F363F54B-BB62-4087-9A8D-B223C56E8D77}">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RESULTADOS_Generales!T42:AA42</xm:f>
              <xm:sqref>R42</xm:sqref>
            </x14:sparkline>
            <x14:sparkline>
              <xm:f>RESULTADOS_Generales!T43:AA43</xm:f>
              <xm:sqref>R43</xm:sqref>
            </x14:sparkline>
            <x14:sparkline>
              <xm:f>RESULTADOS_Generales!T44:AA44</xm:f>
              <xm:sqref>R44</xm:sqref>
            </x14:sparkline>
            <x14:sparkline>
              <xm:f>RESULTADOS_Generales!T45:AA45</xm:f>
              <xm:sqref>R45</xm:sqref>
            </x14:sparkline>
            <x14:sparkline>
              <xm:f>RESULTADOS_Generales!T46:AA46</xm:f>
              <xm:sqref>R46</xm:sqref>
            </x14:sparkline>
            <x14:sparkline>
              <xm:f>RESULTADOS_Generales!T47:AA47</xm:f>
              <xm:sqref>R47</xm:sqref>
            </x14:sparkline>
            <x14:sparkline>
              <xm:f>RESULTADOS_Generales!T48:AA48</xm:f>
              <xm:sqref>R48</xm:sqref>
            </x14:sparkline>
            <x14:sparkline>
              <xm:f>RESULTADOS_Generales!T49:AA49</xm:f>
              <xm:sqref>R49</xm:sqref>
            </x14:sparkline>
            <x14:sparkline>
              <xm:f>RESULTADOS_Generales!T50:AA50</xm:f>
              <xm:sqref>R50</xm:sqref>
            </x14:sparkline>
          </x14:sparklines>
        </x14:sparklineGroup>
        <x14:sparklineGroup manualMax="0" manualMin="0" type="column" displayEmptyCellsAs="gap" high="1" xr2:uid="{66516A25-E770-476C-A125-E68B51913DBA}">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RESULTADOS_Generales!T63:AA63</xm:f>
              <xm:sqref>R63</xm:sqref>
            </x14:sparkline>
            <x14:sparkline>
              <xm:f>RESULTADOS_Generales!T64:AA64</xm:f>
              <xm:sqref>R64</xm:sqref>
            </x14:sparkline>
            <x14:sparkline>
              <xm:f>RESULTADOS_Generales!T65:AA65</xm:f>
              <xm:sqref>R65</xm:sqref>
            </x14:sparkline>
            <x14:sparkline>
              <xm:f>RESULTADOS_Generales!T66:AA66</xm:f>
              <xm:sqref>R66</xm:sqref>
            </x14:sparkline>
            <x14:sparkline>
              <xm:f>RESULTADOS_Generales!T67:AA67</xm:f>
              <xm:sqref>R67</xm:sqref>
            </x14:sparkline>
            <x14:sparkline>
              <xm:f>RESULTADOS_Generales!T68:AA68</xm:f>
              <xm:sqref>R68</xm:sqref>
            </x14:sparkline>
            <x14:sparkline>
              <xm:f>RESULTADOS_Generales!T69:AA69</xm:f>
              <xm:sqref>R69</xm:sqref>
            </x14:sparkline>
            <x14:sparkline>
              <xm:f>RESULTADOS_Generales!T70:AA70</xm:f>
              <xm:sqref>R70</xm:sqref>
            </x14:sparkline>
            <x14:sparkline>
              <xm:f>RESULTADOS_Generales!T71:AA71</xm:f>
              <xm:sqref>R71</xm:sqref>
            </x14:sparkline>
          </x14:sparklines>
        </x14:sparklineGroup>
        <x14:sparklineGroup manualMax="0" manualMin="0" type="column" displayEmptyCellsAs="gap" high="1" xr2:uid="{675EE032-C1E4-4A18-9EEC-7C79039A54C3}">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RESULTADOS_Generales!T80:AA80</xm:f>
              <xm:sqref>R80</xm:sqref>
            </x14:sparkline>
            <x14:sparkline>
              <xm:f>RESULTADOS_Generales!T81:AA81</xm:f>
              <xm:sqref>R81</xm:sqref>
            </x14:sparkline>
            <x14:sparkline>
              <xm:f>RESULTADOS_Generales!T82:AA82</xm:f>
              <xm:sqref>R82</xm:sqref>
            </x14:sparkline>
            <x14:sparkline>
              <xm:f>RESULTADOS_Generales!T83:AA83</xm:f>
              <xm:sqref>R83</xm:sqref>
            </x14:sparkline>
            <x14:sparkline>
              <xm:f>RESULTADOS_Generales!T84:AA84</xm:f>
              <xm:sqref>R84</xm:sqref>
            </x14:sparkline>
            <x14:sparkline>
              <xm:f>RESULTADOS_Generales!T85:AA85</xm:f>
              <xm:sqref>R85</xm:sqref>
            </x14:sparkline>
            <x14:sparkline>
              <xm:f>RESULTADOS_Generales!T86:AA86</xm:f>
              <xm:sqref>R86</xm:sqref>
            </x14:sparkline>
            <x14:sparkline>
              <xm:f>RESULTADOS_Generales!T87:AA87</xm:f>
              <xm:sqref>R87</xm:sqref>
            </x14:sparkline>
            <x14:sparkline>
              <xm:f>RESULTADOS_Generales!T88:AA88</xm:f>
              <xm:sqref>R88</xm:sqref>
            </x14:sparkline>
            <x14:sparkline>
              <xm:f>RESULTADOS_Generales!T89:AA89</xm:f>
              <xm:sqref>R89</xm:sqref>
            </x14:sparkline>
            <x14:sparkline>
              <xm:f>RESULTADOS_Generales!T90:AA90</xm:f>
              <xm:sqref>R90</xm:sqref>
            </x14:sparkline>
            <x14:sparkline>
              <xm:f>RESULTADOS_Generales!T91:AA91</xm:f>
              <xm:sqref>R91</xm:sqref>
            </x14:sparkline>
            <x14:sparkline>
              <xm:f>RESULTADOS_Generales!T92:AA92</xm:f>
              <xm:sqref>R92</xm:sqref>
            </x14:sparkline>
            <x14:sparkline>
              <xm:f>RESULTADOS_Generales!T93:AA93</xm:f>
              <xm:sqref>R93</xm:sqref>
            </x14:sparkline>
          </x14:sparklines>
        </x14:sparklineGroup>
        <x14:sparklineGroup manualMax="0" manualMin="0" type="column" displayEmptyCellsAs="gap" high="1" xr2:uid="{8C6F4B20-9CB4-427A-963F-AA4A980311D8}">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RESULTADOS_Generales!T101:AA101</xm:f>
              <xm:sqref>R101</xm:sqref>
            </x14:sparkline>
            <x14:sparkline>
              <xm:f>RESULTADOS_Generales!T102:AA102</xm:f>
              <xm:sqref>R102</xm:sqref>
            </x14:sparkline>
            <x14:sparkline>
              <xm:f>RESULTADOS_Generales!T103:AA103</xm:f>
              <xm:sqref>R103</xm:sqref>
            </x14:sparkline>
            <x14:sparkline>
              <xm:f>RESULTADOS_Generales!T104:AA104</xm:f>
              <xm:sqref>R104</xm:sqref>
            </x14:sparkline>
            <x14:sparkline>
              <xm:f>RESULTADOS_Generales!T105:AA105</xm:f>
              <xm:sqref>R105</xm:sqref>
            </x14:sparkline>
            <x14:sparkline>
              <xm:f>RESULTADOS_Generales!T106:AA106</xm:f>
              <xm:sqref>R106</xm:sqref>
            </x14:sparkline>
            <x14:sparkline>
              <xm:f>RESULTADOS_Generales!T107:AA107</xm:f>
              <xm:sqref>R107</xm:sqref>
            </x14:sparkline>
            <x14:sparkline>
              <xm:f>RESULTADOS_Generales!T108:AA108</xm:f>
              <xm:sqref>R108</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F362C-2847-4F08-BF0C-35E65D00A262}">
  <sheetPr codeName="Hoja30"/>
  <dimension ref="A1:E94"/>
  <sheetViews>
    <sheetView showGridLines="0" zoomScale="80" zoomScaleNormal="80" workbookViewId="0"/>
  </sheetViews>
  <sheetFormatPr baseColWidth="10" defaultColWidth="11.42578125" defaultRowHeight="15"/>
  <cols>
    <col min="1" max="1" width="20.7109375" style="663" customWidth="1"/>
    <col min="2" max="2" width="30.7109375" style="667" customWidth="1"/>
    <col min="3" max="3" width="7.7109375" customWidth="1"/>
  </cols>
  <sheetData>
    <row r="1" spans="1:4" ht="15" customHeight="1"/>
    <row r="2" spans="1:4" ht="15" customHeight="1"/>
    <row r="3" spans="1:4" ht="15" customHeight="1"/>
    <row r="4" spans="1:4" ht="15" customHeight="1">
      <c r="D4" s="623"/>
    </row>
    <row r="5" spans="1:4" ht="15" customHeight="1">
      <c r="A5" s="1559"/>
    </row>
    <row r="6" spans="1:4" ht="15" customHeight="1"/>
    <row r="7" spans="1:4" ht="15" customHeight="1"/>
    <row r="8" spans="1:4" ht="15" customHeight="1"/>
    <row r="9" spans="1:4" ht="15" customHeight="1"/>
    <row r="10" spans="1:4" ht="15" customHeight="1"/>
    <row r="11" spans="1:4" ht="15" customHeight="1"/>
    <row r="12" spans="1:4" ht="15" customHeight="1"/>
    <row r="13" spans="1:4" ht="15" customHeight="1"/>
    <row r="14" spans="1:4" ht="15" customHeight="1"/>
    <row r="15" spans="1:4" ht="15" customHeight="1"/>
    <row r="16" spans="1:4" ht="15" customHeight="1"/>
    <row r="17" spans="1:2" s="3" customFormat="1" ht="15" customHeight="1">
      <c r="A17" s="663"/>
      <c r="B17" s="667"/>
    </row>
    <row r="18" spans="1:2" ht="15" customHeight="1"/>
    <row r="19" spans="1:2" ht="15" customHeight="1"/>
    <row r="20" spans="1:2" ht="15" customHeight="1"/>
    <row r="21" spans="1:2" ht="15" customHeight="1"/>
    <row r="22" spans="1:2" ht="15" customHeight="1"/>
    <row r="23" spans="1:2" ht="15" customHeight="1"/>
    <row r="24" spans="1:2" ht="15" customHeight="1"/>
    <row r="25" spans="1:2" ht="15" customHeight="1"/>
    <row r="26" spans="1:2" ht="15" customHeight="1"/>
    <row r="27" spans="1:2" ht="15" customHeight="1"/>
    <row r="28" spans="1:2" ht="15" customHeight="1"/>
    <row r="29" spans="1:2" ht="15" customHeight="1"/>
    <row r="30" spans="1:2" ht="15" customHeight="1"/>
    <row r="31" spans="1:2" ht="15" customHeight="1"/>
    <row r="32" spans="1:2" ht="15" customHeight="1"/>
    <row r="33" spans="4:5" ht="15" customHeight="1"/>
    <row r="34" spans="4:5" ht="15" customHeight="1"/>
    <row r="35" spans="4:5" ht="15" customHeight="1"/>
    <row r="36" spans="4:5" ht="15" customHeight="1"/>
    <row r="37" spans="4:5" ht="15" customHeight="1"/>
    <row r="38" spans="4:5" ht="15" customHeight="1"/>
    <row r="39" spans="4:5" ht="17.25" customHeight="1"/>
    <row r="40" spans="4:5">
      <c r="D40" s="3"/>
      <c r="E40" s="3"/>
    </row>
    <row r="41" spans="4:5">
      <c r="D41" s="3"/>
      <c r="E41" s="3"/>
    </row>
    <row r="42" spans="4:5">
      <c r="D42" s="3"/>
      <c r="E42" s="3"/>
    </row>
    <row r="43" spans="4:5">
      <c r="D43" s="3"/>
      <c r="E43" s="3"/>
    </row>
    <row r="44" spans="4:5">
      <c r="D44" s="3"/>
      <c r="E44" s="3"/>
    </row>
    <row r="45" spans="4:5">
      <c r="D45" s="3"/>
      <c r="E45" s="3"/>
    </row>
    <row r="46" spans="4:5">
      <c r="D46" s="3"/>
      <c r="E46" s="3"/>
    </row>
    <row r="47" spans="4:5" ht="15" customHeight="1">
      <c r="D47" s="3"/>
      <c r="E47" s="3"/>
    </row>
    <row r="48" spans="4:5">
      <c r="D48" s="3"/>
      <c r="E48" s="3"/>
    </row>
    <row r="49" spans="3:5">
      <c r="D49" s="3"/>
      <c r="E49" s="3"/>
    </row>
    <row r="50" spans="3:5">
      <c r="D50" s="3"/>
      <c r="E50" s="3"/>
    </row>
    <row r="51" spans="3:5">
      <c r="D51" s="3"/>
      <c r="E51" s="3"/>
    </row>
    <row r="52" spans="3:5">
      <c r="D52" s="3"/>
      <c r="E52" s="3"/>
    </row>
    <row r="53" spans="3:5">
      <c r="D53" s="3"/>
      <c r="E53" s="3"/>
    </row>
    <row r="54" spans="3:5">
      <c r="D54" s="3"/>
      <c r="E54" s="3"/>
    </row>
    <row r="55" spans="3:5">
      <c r="D55" s="3"/>
      <c r="E55" s="3"/>
    </row>
    <row r="56" spans="3:5">
      <c r="D56" s="3"/>
      <c r="E56" s="3"/>
    </row>
    <row r="57" spans="3:5">
      <c r="D57" s="3"/>
      <c r="E57" s="3"/>
    </row>
    <row r="58" spans="3:5">
      <c r="D58" s="3"/>
      <c r="E58" s="3"/>
    </row>
    <row r="59" spans="3:5">
      <c r="D59" s="3"/>
      <c r="E59" s="3"/>
    </row>
    <row r="60" spans="3:5">
      <c r="D60" s="3"/>
      <c r="E60" s="3"/>
    </row>
    <row r="61" spans="3:5">
      <c r="C61" s="3"/>
      <c r="D61" s="3"/>
      <c r="E61" s="3"/>
    </row>
    <row r="62" spans="3:5">
      <c r="C62" s="3"/>
      <c r="D62" s="3"/>
      <c r="E62" s="3"/>
    </row>
    <row r="63" spans="3:5">
      <c r="C63" s="3"/>
      <c r="D63" s="3"/>
      <c r="E63" s="3"/>
    </row>
    <row r="64" spans="3:5">
      <c r="C64" s="3"/>
      <c r="D64" s="3"/>
      <c r="E64" s="3"/>
    </row>
    <row r="65" spans="3:5">
      <c r="C65" s="3"/>
      <c r="D65" s="3"/>
      <c r="E65" s="3"/>
    </row>
    <row r="66" spans="3:5">
      <c r="C66" s="3"/>
      <c r="D66" s="3"/>
      <c r="E66" s="3"/>
    </row>
    <row r="67" spans="3:5">
      <c r="C67" s="3"/>
      <c r="D67" s="3"/>
      <c r="E67" s="3"/>
    </row>
    <row r="68" spans="3:5">
      <c r="C68" s="3"/>
      <c r="D68" s="3"/>
      <c r="E68" s="3"/>
    </row>
    <row r="69" spans="3:5">
      <c r="C69" s="3"/>
      <c r="D69" s="3"/>
      <c r="E69" s="3"/>
    </row>
    <row r="70" spans="3:5">
      <c r="C70" s="3"/>
      <c r="D70" s="3"/>
      <c r="E70" s="3"/>
    </row>
    <row r="71" spans="3:5">
      <c r="C71" s="3"/>
      <c r="D71" s="3"/>
      <c r="E71" s="3"/>
    </row>
    <row r="72" spans="3:5">
      <c r="C72" s="3"/>
      <c r="D72" s="3"/>
      <c r="E72" s="3"/>
    </row>
    <row r="73" spans="3:5">
      <c r="C73" s="3"/>
      <c r="D73" s="3"/>
      <c r="E73" s="3"/>
    </row>
    <row r="74" spans="3:5">
      <c r="C74" s="3"/>
      <c r="D74" s="3"/>
      <c r="E74" s="3"/>
    </row>
    <row r="75" spans="3:5">
      <c r="C75" s="3"/>
      <c r="D75" s="3"/>
      <c r="E75" s="3"/>
    </row>
    <row r="76" spans="3:5">
      <c r="C76" s="3"/>
      <c r="D76" s="3"/>
      <c r="E76" s="3"/>
    </row>
    <row r="77" spans="3:5">
      <c r="C77" s="3"/>
      <c r="D77" s="3"/>
      <c r="E77" s="3"/>
    </row>
    <row r="78" spans="3:5">
      <c r="C78" s="3"/>
      <c r="D78" s="3"/>
      <c r="E78" s="3"/>
    </row>
    <row r="79" spans="3:5">
      <c r="C79" s="3"/>
      <c r="D79" s="3"/>
      <c r="E79" s="3"/>
    </row>
    <row r="80" spans="3:5">
      <c r="C80" s="3"/>
      <c r="D80" s="3"/>
      <c r="E80" s="3"/>
    </row>
    <row r="81" spans="3:5">
      <c r="C81" s="3"/>
      <c r="D81" s="3"/>
      <c r="E81" s="3"/>
    </row>
    <row r="82" spans="3:5">
      <c r="C82" s="3"/>
      <c r="D82" s="3"/>
      <c r="E82" s="3"/>
    </row>
    <row r="83" spans="3:5">
      <c r="C83" s="3"/>
      <c r="D83" s="3"/>
      <c r="E83" s="3"/>
    </row>
    <row r="84" spans="3:5">
      <c r="C84" s="3"/>
      <c r="D84" s="3"/>
      <c r="E84" s="3"/>
    </row>
    <row r="85" spans="3:5">
      <c r="C85" s="3"/>
      <c r="D85" s="3"/>
      <c r="E85" s="3"/>
    </row>
    <row r="86" spans="3:5">
      <c r="C86" s="3"/>
      <c r="D86" s="3"/>
      <c r="E86" s="3"/>
    </row>
    <row r="87" spans="3:5">
      <c r="C87" s="3"/>
      <c r="D87" s="3"/>
      <c r="E87" s="3"/>
    </row>
    <row r="88" spans="3:5">
      <c r="C88" s="3"/>
      <c r="D88" s="3"/>
      <c r="E88" s="3"/>
    </row>
    <row r="89" spans="3:5">
      <c r="C89" s="3"/>
      <c r="D89" s="3"/>
      <c r="E89" s="3"/>
    </row>
    <row r="90" spans="3:5">
      <c r="C90" s="3"/>
      <c r="D90" s="3"/>
      <c r="E90" s="3"/>
    </row>
    <row r="91" spans="3:5">
      <c r="C91" s="3"/>
      <c r="D91" s="3"/>
      <c r="E91" s="3"/>
    </row>
    <row r="92" spans="3:5">
      <c r="C92" s="3"/>
      <c r="D92" s="3"/>
      <c r="E92" s="3"/>
    </row>
    <row r="93" spans="3:5">
      <c r="C93" s="3"/>
      <c r="D93" s="3"/>
      <c r="E93" s="3"/>
    </row>
    <row r="94" spans="3:5">
      <c r="C94" s="3"/>
      <c r="D94" s="3"/>
      <c r="E94" s="3"/>
    </row>
  </sheetData>
  <pageMargins left="0.7" right="0.7" top="0.75" bottom="0.75" header="0.3" footer="0.3"/>
  <pageSetup paperSize="9" scale="41" orientation="portrait" r:id="rId1"/>
  <customProperties>
    <customPr name="_pios_id" r:id="rId2"/>
  </customPropertie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38888-D382-434B-AF77-593B3DC7553B}">
  <sheetPr codeName="Hoja31"/>
  <dimension ref="A1:AC101"/>
  <sheetViews>
    <sheetView showGridLines="0" zoomScale="80" zoomScaleNormal="80" workbookViewId="0"/>
  </sheetViews>
  <sheetFormatPr baseColWidth="10" defaultColWidth="11.42578125" defaultRowHeight="15"/>
  <cols>
    <col min="1" max="1" width="20.7109375" style="678" customWidth="1"/>
    <col min="2" max="2" width="30.7109375" style="2276" customWidth="1"/>
    <col min="3" max="3" width="5.28515625" style="679" customWidth="1"/>
    <col min="4" max="4" width="11.5703125" style="679"/>
    <col min="5" max="19" width="11.42578125" style="679"/>
    <col min="20" max="20" width="23.7109375" style="679" customWidth="1"/>
    <col min="21" max="21" width="13.85546875" style="679" customWidth="1"/>
    <col min="22" max="22" width="15.42578125" style="679" bestFit="1" customWidth="1"/>
    <col min="23" max="23" width="17.140625" style="679" bestFit="1" customWidth="1"/>
    <col min="24" max="25" width="13.42578125" style="679" bestFit="1" customWidth="1"/>
    <col min="26" max="28" width="11.85546875" style="679" bestFit="1" customWidth="1"/>
    <col min="29" max="16384" width="11.42578125" style="679"/>
  </cols>
  <sheetData>
    <row r="1" spans="1:29" ht="15" customHeight="1"/>
    <row r="2" spans="1:29" ht="15" customHeight="1"/>
    <row r="3" spans="1:29" ht="15" customHeight="1"/>
    <row r="4" spans="1:29" ht="15" customHeight="1">
      <c r="E4" s="694"/>
    </row>
    <row r="5" spans="1:29" ht="15" customHeight="1">
      <c r="A5" s="1559"/>
      <c r="E5" s="2278" t="s">
        <v>519</v>
      </c>
      <c r="F5" s="2279"/>
      <c r="G5" s="2279"/>
      <c r="H5" s="2279"/>
      <c r="I5" s="2279"/>
      <c r="J5" s="2279"/>
      <c r="K5" s="2279"/>
      <c r="L5" s="2279"/>
      <c r="M5" s="2280"/>
      <c r="N5" s="2280"/>
      <c r="O5" s="2280"/>
      <c r="P5" s="2280"/>
      <c r="Q5" s="2280"/>
      <c r="R5" s="2280"/>
    </row>
    <row r="6" spans="1:29" ht="15" customHeight="1">
      <c r="T6" s="2281"/>
    </row>
    <row r="7" spans="1:29" ht="15" customHeight="1">
      <c r="T7" s="2290"/>
      <c r="V7" s="2281"/>
      <c r="W7" s="2281"/>
      <c r="X7" s="2281"/>
      <c r="Y7" s="2281"/>
      <c r="Z7" s="2281"/>
      <c r="AA7" s="2281"/>
      <c r="AB7" s="2282" t="str">
        <f>AJUSTES_UNIDADES_ENERGIA_EMISIONES</f>
        <v>Mt CO2e</v>
      </c>
    </row>
    <row r="8" spans="1:29" ht="15" customHeight="1">
      <c r="E8" s="2291"/>
      <c r="F8" s="2291"/>
      <c r="G8" s="2291"/>
      <c r="H8" s="2291"/>
      <c r="I8" s="2291"/>
      <c r="T8" s="2283" t="s">
        <v>520</v>
      </c>
      <c r="U8" s="2284">
        <v>2018</v>
      </c>
      <c r="V8" s="2284">
        <v>2020</v>
      </c>
      <c r="W8" s="2284">
        <v>2025</v>
      </c>
      <c r="X8" s="2284">
        <v>2030</v>
      </c>
      <c r="Y8" s="2284">
        <v>2035</v>
      </c>
      <c r="Z8" s="2284">
        <v>2040</v>
      </c>
      <c r="AA8" s="2284">
        <v>2045</v>
      </c>
      <c r="AB8" s="2284">
        <v>2050</v>
      </c>
    </row>
    <row r="9" spans="1:29" ht="15" customHeight="1">
      <c r="E9" s="2291"/>
      <c r="F9" s="2291"/>
      <c r="G9" s="2291"/>
      <c r="H9" s="2291"/>
      <c r="I9" s="2291"/>
      <c r="T9" s="2292" t="s">
        <v>521</v>
      </c>
      <c r="U9" s="2293" cm="1">
        <f t="array" ref="U9:AB9">SALIDA_EMISIONES_ENER_COMBUST_FOSIL_PRODUCCION_CRUDO+_xlfn.ANCHORARRAY(ENER_CombFosil!F349)</f>
        <v>3.9100447200000003E-3</v>
      </c>
      <c r="V9" s="2294">
        <v>3.9100447200000003E-3</v>
      </c>
      <c r="W9" s="2294">
        <v>3.9100447200000003E-3</v>
      </c>
      <c r="X9" s="2294">
        <v>3.9100447200000003E-3</v>
      </c>
      <c r="Y9" s="2294">
        <v>3.9100447200000003E-3</v>
      </c>
      <c r="Z9" s="2294">
        <v>3.9100447200000003E-3</v>
      </c>
      <c r="AA9" s="2294">
        <v>3.9100447200000003E-3</v>
      </c>
      <c r="AB9" s="2294">
        <v>3.9100447200000003E-3</v>
      </c>
      <c r="AC9" s="2288"/>
    </row>
    <row r="10" spans="1:29" ht="15" customHeight="1">
      <c r="E10" s="2291"/>
      <c r="F10" s="2291"/>
      <c r="G10" s="2291"/>
      <c r="H10" s="2291"/>
      <c r="I10" s="2291"/>
      <c r="T10" s="2295" t="s">
        <v>522</v>
      </c>
      <c r="U10" s="2293" cm="1">
        <f t="array" ref="U10:AB10">SALIDA_EMISIONES_ENER_COMBUST_FOSIL_PRODUCCION_GAS_NATURAL</f>
        <v>5.9581291783689138E-3</v>
      </c>
      <c r="V10" s="2294">
        <v>2.1482536465574777</v>
      </c>
      <c r="W10" s="2294">
        <v>2.1482086434145575</v>
      </c>
      <c r="X10" s="2294">
        <v>2.1481671530914235</v>
      </c>
      <c r="Y10" s="2294">
        <v>2.1481657941840626</v>
      </c>
      <c r="Z10" s="2294">
        <v>2.1482072860333736</v>
      </c>
      <c r="AA10" s="2294">
        <v>2.1482487778826842</v>
      </c>
      <c r="AB10" s="2294">
        <v>2.1482902697319948</v>
      </c>
      <c r="AC10" s="2288"/>
    </row>
    <row r="11" spans="1:29" ht="15" customHeight="1">
      <c r="D11" s="3897" t="str">
        <f>AJUSTES_UNIDADES_ENERGIA_EMISIONES</f>
        <v>Mt CO2e</v>
      </c>
      <c r="E11" s="2291"/>
      <c r="F11" s="2291"/>
      <c r="G11" s="2291"/>
      <c r="H11" s="2291"/>
      <c r="I11" s="2291"/>
      <c r="T11" s="2292" t="s">
        <v>514</v>
      </c>
      <c r="U11" s="2293" cm="1">
        <f t="array" ref="U11:AB11">SALIDA_EMISIONES_ENER_COMBUST_FOSIL_PRODUCCION_CARBÓN</f>
        <v>0.13491611176086585</v>
      </c>
      <c r="V11" s="2294">
        <v>0.12945888243376608</v>
      </c>
      <c r="W11" s="2294">
        <v>6.2463638418386563E-2</v>
      </c>
      <c r="X11" s="2294">
        <v>6.180282838131107E-2</v>
      </c>
      <c r="Y11" s="2294">
        <v>6.1143157671885703E-2</v>
      </c>
      <c r="Z11" s="2294">
        <v>6.048234763481021E-2</v>
      </c>
      <c r="AA11" s="2294">
        <v>5.9821537597734703E-2</v>
      </c>
      <c r="AB11" s="2294">
        <v>5.916072756065921E-2</v>
      </c>
      <c r="AC11" s="2296"/>
    </row>
    <row r="12" spans="1:29" ht="15" customHeight="1">
      <c r="D12" s="3897"/>
      <c r="E12" s="2291"/>
      <c r="F12" s="2291"/>
      <c r="G12" s="2291"/>
      <c r="H12" s="2291"/>
      <c r="I12" s="2291"/>
      <c r="T12" s="2297"/>
      <c r="U12" s="2296"/>
      <c r="V12" s="2296"/>
      <c r="W12" s="2296"/>
      <c r="X12" s="2296"/>
      <c r="Y12" s="2296"/>
      <c r="Z12" s="2296"/>
      <c r="AA12" s="2296"/>
      <c r="AB12" s="2296"/>
    </row>
    <row r="13" spans="1:29" ht="15" customHeight="1">
      <c r="D13" s="3897"/>
      <c r="E13" s="2291"/>
      <c r="F13" s="2291"/>
      <c r="G13" s="2291"/>
      <c r="H13" s="2291"/>
      <c r="I13" s="2291"/>
    </row>
    <row r="14" spans="1:29" ht="15" customHeight="1">
      <c r="D14" s="3897"/>
      <c r="E14" s="2291"/>
      <c r="F14" s="2291"/>
      <c r="G14" s="2291"/>
      <c r="H14" s="2291"/>
      <c r="I14" s="2291"/>
    </row>
    <row r="15" spans="1:29" ht="15" customHeight="1">
      <c r="D15" s="3897"/>
      <c r="E15" s="2291"/>
      <c r="F15" s="2291"/>
      <c r="G15" s="2291"/>
      <c r="H15" s="2291"/>
      <c r="I15" s="2291"/>
      <c r="AC15" s="680"/>
    </row>
    <row r="16" spans="1:29" ht="15" customHeight="1">
      <c r="E16" s="2291"/>
      <c r="F16" s="2291"/>
      <c r="G16" s="2291"/>
      <c r="H16" s="2291"/>
      <c r="I16" s="2291"/>
    </row>
    <row r="17" spans="1:29" s="680" customFormat="1" ht="15" customHeight="1">
      <c r="A17" s="678"/>
      <c r="B17" s="2276"/>
      <c r="D17" s="679"/>
      <c r="E17" s="679"/>
      <c r="F17" s="679"/>
      <c r="G17" s="679"/>
      <c r="H17" s="679"/>
      <c r="I17" s="679"/>
      <c r="J17" s="679"/>
      <c r="K17" s="679"/>
      <c r="L17" s="679"/>
      <c r="M17" s="679"/>
      <c r="N17" s="679"/>
      <c r="O17" s="679"/>
      <c r="P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8" t="s">
        <v>523</v>
      </c>
      <c r="F25" s="2279"/>
      <c r="G25" s="2279"/>
      <c r="H25" s="2279"/>
      <c r="I25" s="2279"/>
      <c r="J25" s="2279"/>
      <c r="K25" s="2279"/>
      <c r="L25" s="2279"/>
      <c r="M25" s="2280"/>
      <c r="N25" s="2280"/>
      <c r="O25" s="2280"/>
      <c r="P25" s="2280"/>
      <c r="Q25" s="2280"/>
      <c r="R25" s="2280"/>
    </row>
    <row r="26" spans="1:29" ht="15" customHeight="1"/>
    <row r="27" spans="1:29" ht="15" customHeight="1">
      <c r="T27" s="2281"/>
      <c r="U27" s="2281"/>
      <c r="V27" s="2281"/>
      <c r="W27" s="2281"/>
      <c r="X27" s="2281"/>
      <c r="Y27" s="2281"/>
      <c r="Z27" s="2281"/>
      <c r="AA27" s="2281"/>
      <c r="AB27" s="2282" t="str">
        <f>AJUSTES_UNIDADES_ENERGIA_ENERGIA</f>
        <v>TWh</v>
      </c>
    </row>
    <row r="28" spans="1:29" ht="15" customHeight="1">
      <c r="T28" s="2283" t="s">
        <v>520</v>
      </c>
      <c r="U28" s="2298">
        <v>2018</v>
      </c>
      <c r="V28" s="2284">
        <v>2020</v>
      </c>
      <c r="W28" s="2284">
        <v>2025</v>
      </c>
      <c r="X28" s="2284">
        <v>2030</v>
      </c>
      <c r="Y28" s="2284">
        <v>2035</v>
      </c>
      <c r="Z28" s="2284">
        <v>2040</v>
      </c>
      <c r="AA28" s="2284">
        <v>2045</v>
      </c>
      <c r="AB28" s="2284">
        <v>2050</v>
      </c>
    </row>
    <row r="29" spans="1:29" ht="15" customHeight="1">
      <c r="T29" s="2292" t="s">
        <v>521</v>
      </c>
      <c r="U29" s="2296" cm="1">
        <f t="array" ref="U29:AB29">SALIDA_GENERACION_ENER_CRUDO*AJUSTES_UNIDAD_SELECCIONADA_ENERGIA_ENERGIA</f>
        <v>0</v>
      </c>
      <c r="V29" s="2296">
        <v>0</v>
      </c>
      <c r="W29" s="2296">
        <v>0</v>
      </c>
      <c r="X29" s="2296">
        <v>0</v>
      </c>
      <c r="Y29" s="2296">
        <v>0</v>
      </c>
      <c r="Z29" s="2296">
        <v>0</v>
      </c>
      <c r="AA29" s="2296">
        <v>0</v>
      </c>
      <c r="AB29" s="2296">
        <v>0</v>
      </c>
      <c r="AC29" s="2296"/>
    </row>
    <row r="30" spans="1:29" ht="15" customHeight="1">
      <c r="T30" s="2295" t="s">
        <v>522</v>
      </c>
      <c r="U30" s="2296" cm="1">
        <f t="array" ref="U30:AB30">SALIDA_GENERACION_ENER_GN*AJUSTES_UNIDAD_SELECCIONADA_ENERGIA_ENERGIA</f>
        <v>6.0327002400000024E-2</v>
      </c>
      <c r="V30" s="2296">
        <v>3.4651848000000006E-2</v>
      </c>
      <c r="W30" s="2296">
        <v>2.0201813345207154E-2</v>
      </c>
      <c r="X30" s="2296">
        <v>6.8797080826077869E-3</v>
      </c>
      <c r="Y30" s="2296">
        <v>6.4433772582134898E-3</v>
      </c>
      <c r="Z30" s="2296">
        <v>1.9765972559923812E-2</v>
      </c>
      <c r="AA30" s="2296">
        <v>3.3088567861634131E-2</v>
      </c>
      <c r="AB30" s="2296">
        <v>4.6411163163344454E-2</v>
      </c>
      <c r="AC30" s="2296"/>
    </row>
    <row r="31" spans="1:29" ht="15" customHeight="1">
      <c r="D31" s="3897" t="str">
        <f>AJUSTES_UNIDADES_ENERGIA_ENERGIA</f>
        <v>TWh</v>
      </c>
      <c r="T31" s="2292" t="s">
        <v>514</v>
      </c>
      <c r="U31" s="2296" cm="1">
        <f t="array" ref="U31:AB31">SALIDA_GENERACION_ENER_CARBÓN*AJUSTES_UNIDAD_SELECCIONADA_ENERGIA_ENERGIA</f>
        <v>14.520060079935245</v>
      </c>
      <c r="V31" s="2296">
        <v>13.93273736017052</v>
      </c>
      <c r="W31" s="2296">
        <v>6.7225164645561941</v>
      </c>
      <c r="X31" s="2296">
        <v>6.651398187320579</v>
      </c>
      <c r="Y31" s="2296">
        <v>6.5804025278043357</v>
      </c>
      <c r="Z31" s="2296">
        <v>6.5092842505687214</v>
      </c>
      <c r="AA31" s="2296">
        <v>6.4381659733331063</v>
      </c>
      <c r="AB31" s="2296">
        <v>6.3670476960974911</v>
      </c>
      <c r="AC31" s="2296"/>
    </row>
    <row r="32" spans="1:29" ht="15" customHeight="1">
      <c r="D32" s="3897"/>
      <c r="U32" s="2296"/>
      <c r="V32" s="2296"/>
      <c r="W32" s="2296"/>
      <c r="X32" s="2296"/>
      <c r="Y32" s="2296"/>
      <c r="Z32" s="2296"/>
      <c r="AA32" s="2296"/>
      <c r="AB32" s="2296"/>
    </row>
    <row r="33" spans="4:28" ht="15" customHeight="1">
      <c r="D33" s="3897"/>
      <c r="W33" s="2296"/>
      <c r="X33" s="2296"/>
      <c r="Y33" s="2296"/>
      <c r="Z33" s="2296"/>
      <c r="AA33" s="2296"/>
      <c r="AB33" s="2296"/>
    </row>
    <row r="34" spans="4:28" ht="15" customHeight="1">
      <c r="D34" s="3897"/>
    </row>
    <row r="35" spans="4:28" ht="15" customHeight="1">
      <c r="D35" s="3897"/>
    </row>
    <row r="36" spans="4:28" ht="15" customHeight="1"/>
    <row r="37" spans="4:28" ht="15" customHeight="1"/>
    <row r="38" spans="4:28" ht="15" customHeight="1"/>
    <row r="39" spans="4:28" ht="17.25" customHeight="1"/>
    <row r="45" spans="4:28" ht="18.75">
      <c r="E45" s="2278" t="s">
        <v>524</v>
      </c>
      <c r="F45" s="2279"/>
      <c r="G45" s="2279"/>
      <c r="H45" s="2279"/>
      <c r="I45" s="2279"/>
      <c r="J45" s="2279"/>
      <c r="K45" s="2279"/>
      <c r="L45" s="2279"/>
      <c r="M45" s="2280"/>
      <c r="N45" s="2280"/>
      <c r="O45" s="2280"/>
      <c r="P45" s="2280"/>
      <c r="Q45" s="2280"/>
      <c r="R45" s="2280"/>
    </row>
    <row r="47" spans="4:28" ht="15" customHeight="1"/>
    <row r="48" spans="4:28">
      <c r="T48" s="2281"/>
      <c r="U48" s="2281"/>
      <c r="V48" s="2281"/>
      <c r="W48" s="2281"/>
      <c r="X48" s="2281"/>
      <c r="Y48" s="2281"/>
      <c r="Z48" s="2281"/>
      <c r="AA48" s="2281"/>
      <c r="AB48" s="2282" t="str">
        <f>AJUSTES_UNIDADES_ENERGIA_ENERGIA</f>
        <v>TWh</v>
      </c>
    </row>
    <row r="49" spans="4:28">
      <c r="T49" s="2283" t="s">
        <v>520</v>
      </c>
      <c r="U49" s="2298">
        <v>2018</v>
      </c>
      <c r="V49" s="2284">
        <v>2020</v>
      </c>
      <c r="W49" s="2284">
        <v>2025</v>
      </c>
      <c r="X49" s="2284">
        <v>2030</v>
      </c>
      <c r="Y49" s="2284">
        <v>2035</v>
      </c>
      <c r="Z49" s="2284">
        <v>2040</v>
      </c>
      <c r="AA49" s="2284">
        <v>2045</v>
      </c>
      <c r="AB49" s="2284">
        <v>2050</v>
      </c>
    </row>
    <row r="50" spans="4:28">
      <c r="T50" s="2292" t="s">
        <v>522</v>
      </c>
      <c r="U50" s="2287" cm="1">
        <f t="array" ref="U50:AB50">SALIDA_DEMANDA_ENERG_COMBUSTIBLES_FOSILES_GAS_NATURAL*AJUSTES_UNIDAD_SELECCIONADA_ENERGIA_ENERGIA</f>
        <v>0</v>
      </c>
      <c r="V50" s="2287">
        <v>0</v>
      </c>
      <c r="W50" s="2287">
        <v>0</v>
      </c>
      <c r="X50" s="2287">
        <v>0</v>
      </c>
      <c r="Y50" s="2287">
        <v>0</v>
      </c>
      <c r="Z50" s="2287">
        <v>0</v>
      </c>
      <c r="AA50" s="2287">
        <v>0</v>
      </c>
      <c r="AB50" s="2287">
        <v>0</v>
      </c>
    </row>
    <row r="51" spans="4:28">
      <c r="T51" s="2292" t="s">
        <v>525</v>
      </c>
      <c r="U51" s="2294" cm="1">
        <f t="array" ref="U51:AB51">SALIDA_DEMANDA_ENERG_COMBUSTIBLES_FOSILES_PETROLEO*AJUSTES_UNIDAD_SELECCIONADA_ENERGIA_ENERGIA</f>
        <v>0</v>
      </c>
      <c r="V51" s="2294">
        <v>0</v>
      </c>
      <c r="W51" s="2288">
        <v>0</v>
      </c>
      <c r="X51" s="2288">
        <v>0</v>
      </c>
      <c r="Y51" s="2288">
        <v>0</v>
      </c>
      <c r="Z51" s="2288">
        <v>0</v>
      </c>
      <c r="AA51" s="2288">
        <v>0</v>
      </c>
      <c r="AB51" s="2288">
        <v>0</v>
      </c>
    </row>
    <row r="52" spans="4:28" ht="15" customHeight="1">
      <c r="D52" s="3897" t="str">
        <f>AJUSTES_UNIDADES_ENERGIA_ENERGIA</f>
        <v>TWh</v>
      </c>
      <c r="T52" s="2292" t="s">
        <v>526</v>
      </c>
      <c r="U52" s="2294" cm="1">
        <f t="array" ref="U52:AB52">SALIDA_DEMANDA_ENERG_COMBUSTIBLES_FOSILES_DIESEL*AJUSTES_UNIDAD_SELECCIONADA_ENERGIA_ENERGIA</f>
        <v>0</v>
      </c>
      <c r="V52" s="2294">
        <v>0</v>
      </c>
      <c r="W52" s="2294">
        <v>0</v>
      </c>
      <c r="X52" s="2294">
        <v>0</v>
      </c>
      <c r="Y52" s="2288">
        <v>0</v>
      </c>
      <c r="Z52" s="2288">
        <v>0</v>
      </c>
      <c r="AA52" s="2288">
        <v>0</v>
      </c>
      <c r="AB52" s="2288">
        <v>0</v>
      </c>
    </row>
    <row r="53" spans="4:28">
      <c r="D53" s="3897"/>
      <c r="T53" s="2292" t="s">
        <v>527</v>
      </c>
      <c r="U53" s="2294" cm="1">
        <f t="array" ref="U53:AB53">SALIDA_DEMANDA_ENERG_COMBUSTIBLES_FOSILES_FUEL_OIL*AJUSTES_UNIDAD_SELECCIONADA_ENERGIA_ENERGIA</f>
        <v>0</v>
      </c>
      <c r="V53" s="2294">
        <v>0</v>
      </c>
      <c r="W53" s="2294">
        <v>0</v>
      </c>
      <c r="X53" s="2294">
        <v>0</v>
      </c>
      <c r="Y53" s="2294">
        <v>0</v>
      </c>
      <c r="Z53" s="2294">
        <v>0</v>
      </c>
      <c r="AA53" s="2294">
        <v>0</v>
      </c>
      <c r="AB53" s="2294">
        <v>0</v>
      </c>
    </row>
    <row r="54" spans="4:28">
      <c r="D54" s="3897"/>
      <c r="T54" s="2292" t="s">
        <v>498</v>
      </c>
      <c r="U54" s="2294" cm="1">
        <f t="array" ref="U54:AB54">SALIDA_DEMANDA_ENERG_COMBUSTIBLES_FOSILES_GLP*AJUSTES_UNIDAD_SELECCIONADA_ENERGIA_ENERGIA</f>
        <v>0</v>
      </c>
      <c r="V54" s="2294">
        <v>0</v>
      </c>
      <c r="W54" s="2294">
        <v>0</v>
      </c>
      <c r="X54" s="2294">
        <v>0</v>
      </c>
      <c r="Y54" s="2294">
        <v>0</v>
      </c>
      <c r="Z54" s="2294">
        <v>0</v>
      </c>
      <c r="AA54" s="2294">
        <v>0</v>
      </c>
      <c r="AB54" s="2294">
        <v>0</v>
      </c>
    </row>
    <row r="55" spans="4:28">
      <c r="D55" s="3897"/>
      <c r="T55" s="2292" t="s">
        <v>528</v>
      </c>
      <c r="U55" s="2294" cm="1">
        <f t="array" ref="U55:AB55">SALIDA_DEMANDA_ENERG_COMBUSTIBLES_FOSILES_GASOLINA_MOTOR*AJUSTES_UNIDAD_SELECCIONADA_ENERGIA_ENERGIA</f>
        <v>0</v>
      </c>
      <c r="V55" s="2294">
        <v>0</v>
      </c>
      <c r="W55" s="2294">
        <v>0</v>
      </c>
      <c r="X55" s="2294">
        <v>0</v>
      </c>
      <c r="Y55" s="2294">
        <v>0</v>
      </c>
      <c r="Z55" s="2294">
        <v>0</v>
      </c>
      <c r="AA55" s="2294">
        <v>0</v>
      </c>
      <c r="AB55" s="2294">
        <v>0</v>
      </c>
    </row>
    <row r="56" spans="4:28">
      <c r="D56" s="3897"/>
      <c r="T56" s="2292" t="s">
        <v>502</v>
      </c>
      <c r="U56" s="2294" cm="1">
        <f t="array" ref="U56:AB56">SALIDA_DEMANDA_ENERG_COMBUSTIBLES_FOSILES_QUEROSENO*AJUSTES_UNIDAD_SELECCIONADA_ENERGIA_ENERGIA</f>
        <v>0</v>
      </c>
      <c r="V56" s="2294">
        <v>0</v>
      </c>
      <c r="W56" s="2294">
        <v>0</v>
      </c>
      <c r="X56" s="2294">
        <v>0</v>
      </c>
      <c r="Y56" s="2294">
        <v>0</v>
      </c>
      <c r="Z56" s="2294">
        <v>0</v>
      </c>
      <c r="AA56" s="2294">
        <v>0</v>
      </c>
      <c r="AB56" s="2294">
        <v>0</v>
      </c>
    </row>
    <row r="57" spans="4:28">
      <c r="T57" s="2292"/>
      <c r="X57" s="2294"/>
      <c r="Y57" s="2294"/>
      <c r="Z57" s="2294"/>
      <c r="AA57" s="2294"/>
      <c r="AB57" s="2294"/>
    </row>
    <row r="69" spans="4:29" ht="18.75">
      <c r="E69" s="2278" t="s">
        <v>529</v>
      </c>
      <c r="F69" s="2279"/>
      <c r="G69" s="2279"/>
      <c r="H69" s="2279"/>
      <c r="I69" s="2279"/>
      <c r="J69" s="2279"/>
      <c r="K69" s="2279"/>
      <c r="L69" s="2279"/>
      <c r="M69" s="2280"/>
      <c r="N69" s="2280"/>
      <c r="O69" s="2280"/>
      <c r="P69" s="2280"/>
      <c r="Q69" s="2280"/>
      <c r="R69" s="2280"/>
    </row>
    <row r="71" spans="4:29">
      <c r="T71" s="2281"/>
      <c r="V71" s="2281"/>
      <c r="W71" s="2281"/>
      <c r="X71" s="2281"/>
      <c r="Y71" s="2281"/>
      <c r="Z71" s="2281"/>
      <c r="AA71" s="2281"/>
      <c r="AB71" s="2282" t="s">
        <v>9</v>
      </c>
    </row>
    <row r="72" spans="4:29">
      <c r="T72" s="2283" t="s">
        <v>520</v>
      </c>
      <c r="U72" s="2298">
        <v>2018</v>
      </c>
      <c r="V72" s="2284">
        <v>2020</v>
      </c>
      <c r="W72" s="2284">
        <v>2025</v>
      </c>
      <c r="X72" s="2284">
        <v>2030</v>
      </c>
      <c r="Y72" s="2284">
        <v>2035</v>
      </c>
      <c r="Z72" s="2284">
        <v>2040</v>
      </c>
      <c r="AA72" s="2284">
        <v>2045</v>
      </c>
      <c r="AB72" s="2284">
        <v>2050</v>
      </c>
    </row>
    <row r="73" spans="4:29">
      <c r="T73" s="2292" t="s">
        <v>500</v>
      </c>
      <c r="U73" s="2299" cm="1">
        <f t="array" ref="U73:AB73">SALIDA_IMPORTACIONES_COMB_FOSIL_CRUDO_M3</f>
        <v>10.717588132703632</v>
      </c>
      <c r="V73" s="2299">
        <v>12.335826523835941</v>
      </c>
      <c r="W73" s="2299">
        <v>14.375610581504287</v>
      </c>
      <c r="X73" s="2299">
        <v>15.29129381193502</v>
      </c>
      <c r="Y73" s="2299">
        <v>16.100197312649723</v>
      </c>
      <c r="Z73" s="2299">
        <v>17.00481454948406</v>
      </c>
      <c r="AA73" s="2299">
        <v>18.209326259357642</v>
      </c>
      <c r="AB73" s="2299">
        <v>20.192168225954187</v>
      </c>
      <c r="AC73" s="2300"/>
    </row>
    <row r="74" spans="4:29">
      <c r="T74" s="2292" t="s">
        <v>530</v>
      </c>
      <c r="U74" s="2299" cm="1">
        <f t="array" ref="U74:AB74">SALIDA_IMPORTACIONES_COMB_FOSIL_GAS_M3</f>
        <v>3.0100756498841617</v>
      </c>
      <c r="V74" s="2299">
        <v>3.2950134722446389</v>
      </c>
      <c r="W74" s="2301">
        <v>4.0646256756572914</v>
      </c>
      <c r="X74" s="2301">
        <v>4.886292641444129</v>
      </c>
      <c r="Y74" s="2301">
        <v>5.7231948467727278</v>
      </c>
      <c r="Z74" s="2301">
        <v>6.857751336303485</v>
      </c>
      <c r="AA74" s="2301">
        <v>8.0046484840066299</v>
      </c>
      <c r="AB74" s="2301">
        <v>9.0977041893060715</v>
      </c>
      <c r="AC74" s="2300"/>
    </row>
    <row r="75" spans="4:29">
      <c r="T75" s="2292" t="s">
        <v>531</v>
      </c>
      <c r="U75" s="2299" cm="1">
        <f t="array" ref="U75:AB75">SALIDA_IMPORTACIONES_COMB_FOSIL_CARBOM_KT</f>
        <v>0</v>
      </c>
      <c r="V75" s="2299">
        <v>0</v>
      </c>
      <c r="W75" s="2299">
        <v>0</v>
      </c>
      <c r="X75" s="2299">
        <v>0</v>
      </c>
      <c r="Y75" s="2301">
        <v>0</v>
      </c>
      <c r="Z75" s="2301">
        <v>0</v>
      </c>
      <c r="AA75" s="2301">
        <v>0</v>
      </c>
      <c r="AB75" s="2301">
        <v>0</v>
      </c>
      <c r="AC75" s="2300"/>
    </row>
    <row r="76" spans="4:29">
      <c r="D76" s="3897" t="str">
        <f>AJUSTES_UNIDADES_ENERGIA_ENERGIA</f>
        <v>TWh</v>
      </c>
      <c r="T76" s="2292"/>
      <c r="U76" s="2299"/>
      <c r="V76" s="2299"/>
      <c r="W76" s="2299"/>
      <c r="X76" s="2299"/>
      <c r="Y76" s="2299"/>
      <c r="Z76" s="2299"/>
      <c r="AA76" s="2299"/>
      <c r="AB76" s="2299"/>
      <c r="AC76" s="2302"/>
    </row>
    <row r="77" spans="4:29">
      <c r="D77" s="3897"/>
      <c r="T77" s="2292"/>
      <c r="U77" s="2299"/>
      <c r="V77" s="2299"/>
      <c r="W77" s="2299"/>
      <c r="X77" s="2299"/>
      <c r="Y77" s="2299"/>
      <c r="Z77" s="2299"/>
      <c r="AA77" s="2299"/>
      <c r="AB77" s="2299"/>
    </row>
    <row r="78" spans="4:29">
      <c r="D78" s="3897"/>
      <c r="T78" s="2292"/>
      <c r="U78" s="2294"/>
      <c r="V78" s="2294"/>
      <c r="W78" s="2294"/>
      <c r="X78" s="2294"/>
      <c r="Y78" s="2294"/>
      <c r="Z78" s="2294"/>
      <c r="AA78" s="2294"/>
      <c r="AB78" s="2294"/>
    </row>
    <row r="79" spans="4:29">
      <c r="D79" s="3897"/>
      <c r="T79" s="2292"/>
      <c r="U79" s="2294"/>
      <c r="V79" s="2294"/>
      <c r="W79" s="2294"/>
      <c r="X79" s="2294"/>
      <c r="Y79" s="2294"/>
      <c r="Z79" s="2294"/>
      <c r="AA79" s="2294"/>
      <c r="AB79" s="2294"/>
    </row>
    <row r="80" spans="4:29">
      <c r="D80" s="3897"/>
      <c r="T80" s="2292"/>
      <c r="U80" s="2294"/>
      <c r="V80" s="2294"/>
      <c r="W80" s="2294"/>
      <c r="X80" s="2294"/>
      <c r="Y80" s="2294"/>
      <c r="Z80" s="2294"/>
      <c r="AA80" s="2294"/>
      <c r="AB80" s="2294"/>
    </row>
    <row r="81" spans="4:29">
      <c r="T81" s="2292"/>
    </row>
    <row r="89" spans="4:29" ht="18.75">
      <c r="E89" s="2278" t="s">
        <v>532</v>
      </c>
      <c r="F89" s="2279"/>
      <c r="G89" s="2279"/>
      <c r="H89" s="2279"/>
      <c r="I89" s="2279"/>
      <c r="J89" s="2279"/>
      <c r="K89" s="2279"/>
      <c r="L89" s="2279"/>
      <c r="M89" s="2280"/>
      <c r="N89" s="2280"/>
      <c r="O89" s="2280"/>
      <c r="P89" s="2280"/>
      <c r="Q89" s="2280"/>
      <c r="R89" s="2280"/>
    </row>
    <row r="91" spans="4:29">
      <c r="T91" s="2281"/>
      <c r="V91" s="2281"/>
      <c r="W91" s="2281"/>
      <c r="X91" s="2281"/>
      <c r="Y91" s="2281"/>
      <c r="Z91" s="2281"/>
      <c r="AA91" s="2281"/>
      <c r="AB91" s="2282" t="s">
        <v>9</v>
      </c>
    </row>
    <row r="92" spans="4:29">
      <c r="T92" s="2283" t="s">
        <v>520</v>
      </c>
      <c r="U92" s="2298">
        <v>2018</v>
      </c>
      <c r="V92" s="2284">
        <v>2020</v>
      </c>
      <c r="W92" s="2284">
        <v>2025</v>
      </c>
      <c r="X92" s="2284">
        <v>2030</v>
      </c>
      <c r="Y92" s="2284">
        <v>2035</v>
      </c>
      <c r="Z92" s="2284">
        <v>2040</v>
      </c>
      <c r="AA92" s="2284">
        <v>2045</v>
      </c>
      <c r="AB92" s="2284">
        <v>2050</v>
      </c>
    </row>
    <row r="93" spans="4:29">
      <c r="T93" s="2292" t="s">
        <v>521</v>
      </c>
      <c r="U93" s="2299" cm="1">
        <f t="array" ref="U93:AB93">SALIDA_EXPORTACIONES_COMB_FOSIL_CRUDO_M3</f>
        <v>0</v>
      </c>
      <c r="V93" s="2299">
        <v>0</v>
      </c>
      <c r="W93" s="2299">
        <v>0</v>
      </c>
      <c r="X93" s="2299">
        <v>0</v>
      </c>
      <c r="Y93" s="2299">
        <v>0</v>
      </c>
      <c r="Z93" s="2299">
        <v>0</v>
      </c>
      <c r="AA93" s="2299">
        <v>0</v>
      </c>
      <c r="AB93" s="2299">
        <v>0</v>
      </c>
      <c r="AC93" s="2300"/>
    </row>
    <row r="94" spans="4:29">
      <c r="T94" s="2292" t="s">
        <v>530</v>
      </c>
      <c r="U94" s="2299" cm="1">
        <f t="array" ref="U94:AB94">SALIDA_EXPORTACIONES_COMB_FOSIL_GAS_M3</f>
        <v>0</v>
      </c>
      <c r="V94" s="2299">
        <v>0</v>
      </c>
      <c r="W94" s="2301">
        <v>0</v>
      </c>
      <c r="X94" s="2301">
        <v>0</v>
      </c>
      <c r="Y94" s="2301">
        <v>0</v>
      </c>
      <c r="Z94" s="2301">
        <v>0</v>
      </c>
      <c r="AA94" s="2301">
        <v>0</v>
      </c>
      <c r="AB94" s="2301">
        <v>0</v>
      </c>
      <c r="AC94" s="2300"/>
    </row>
    <row r="95" spans="4:29">
      <c r="T95" s="2292" t="s">
        <v>514</v>
      </c>
      <c r="U95" s="2299" cm="1">
        <f t="array" ref="U95:AB95">SALIDA_EXPORTACIONES_COMB_FOSIL_CARBON_KT</f>
        <v>11.552200794593844</v>
      </c>
      <c r="V95" s="2299">
        <v>10.964878074829119</v>
      </c>
      <c r="W95" s="2299">
        <v>3.1902050006940907</v>
      </c>
      <c r="X95" s="2299">
        <v>2.590554783370866</v>
      </c>
      <c r="Y95" s="2301">
        <v>2.5195591238546227</v>
      </c>
      <c r="Z95" s="2301">
        <v>2.4484408466190084</v>
      </c>
      <c r="AA95" s="2301">
        <v>2.3773225693833933</v>
      </c>
      <c r="AB95" s="2301">
        <v>2.3062042921477781</v>
      </c>
      <c r="AC95" s="2300"/>
    </row>
    <row r="96" spans="4:29">
      <c r="D96" s="3897" t="str">
        <f>AJUSTES_UNIDADES_ENERGIA_ENERGIA</f>
        <v>TWh</v>
      </c>
      <c r="T96" s="2292"/>
      <c r="U96" s="2299"/>
      <c r="V96" s="2299"/>
      <c r="W96" s="2299"/>
      <c r="X96" s="2299"/>
      <c r="Y96" s="2299"/>
      <c r="Z96" s="2299"/>
      <c r="AA96" s="2299"/>
      <c r="AB96" s="2299"/>
      <c r="AC96" s="2302"/>
    </row>
    <row r="97" spans="4:28">
      <c r="D97" s="3897"/>
      <c r="T97" s="2292"/>
      <c r="U97" s="2299"/>
      <c r="V97" s="2299"/>
      <c r="W97" s="2299"/>
      <c r="X97" s="2299"/>
      <c r="Y97" s="2299"/>
      <c r="Z97" s="2299"/>
      <c r="AA97" s="2299"/>
      <c r="AB97" s="2299"/>
    </row>
    <row r="98" spans="4:28">
      <c r="D98" s="3897"/>
      <c r="T98" s="2292"/>
      <c r="U98" s="2294"/>
      <c r="V98" s="2294"/>
      <c r="W98" s="2294"/>
      <c r="X98" s="2294"/>
      <c r="Y98" s="2294"/>
      <c r="Z98" s="2294"/>
      <c r="AA98" s="2294"/>
      <c r="AB98" s="2294"/>
    </row>
    <row r="99" spans="4:28">
      <c r="D99" s="3897"/>
      <c r="T99" s="2292"/>
      <c r="U99" s="2294"/>
      <c r="V99" s="2294"/>
      <c r="W99" s="2294"/>
      <c r="X99" s="2294"/>
      <c r="Y99" s="2294"/>
      <c r="Z99" s="2294"/>
      <c r="AA99" s="2294"/>
      <c r="AB99" s="2294"/>
    </row>
    <row r="100" spans="4:28">
      <c r="D100" s="3897"/>
      <c r="T100" s="2292"/>
      <c r="U100" s="2294"/>
      <c r="V100" s="2294"/>
      <c r="W100" s="2294"/>
      <c r="X100" s="2294"/>
      <c r="Y100" s="2294"/>
      <c r="Z100" s="2294"/>
      <c r="AA100" s="2294"/>
      <c r="AB100" s="2294"/>
    </row>
    <row r="101" spans="4:28">
      <c r="T101" s="2292"/>
    </row>
  </sheetData>
  <sheetProtection algorithmName="SHA-512" hashValue="10b2PtUXD2UNvmutsheVk81mRPF63P/fFod0Dmr4kWH20QKCk7DQEU+J1HUUAtfz1d4y5fQRlnv2NscDxk+cSg==" saltValue="VJMDJ6mGVK6lPqHdImnJnA==" spinCount="100000" sheet="1" objects="1" scenarios="1"/>
  <mergeCells count="5">
    <mergeCell ref="D11:D15"/>
    <mergeCell ref="D31:D35"/>
    <mergeCell ref="D52:D56"/>
    <mergeCell ref="D76:D80"/>
    <mergeCell ref="D96:D100"/>
  </mergeCells>
  <pageMargins left="0.7" right="0.7" top="0.75" bottom="0.75" header="0.3" footer="0.3"/>
  <pageSetup paperSize="9" scale="41" orientation="portrait" r:id="rId1"/>
  <headerFooter>
    <oddHeader>&amp;C&amp;T</oddHeader>
  </headerFooter>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lineWeight="1" displayEmptyCellsAs="gap" xr2:uid="{81778C4E-2AF5-4B21-A1AE-83DC3D3AC789}">
          <x14:colorSeries theme="9" tint="-0.249977111117893"/>
          <x14:colorNegative rgb="FFD00000"/>
          <x14:colorAxis rgb="FF000000"/>
          <x14:colorMarkers rgb="FFD00000"/>
          <x14:colorFirst rgb="FFD00000"/>
          <x14:colorLast rgb="FFD00000"/>
          <x14:colorHigh rgb="FFD00000"/>
          <x14:colorLow rgb="FFD00000"/>
          <x14:sparklines>
            <x14:sparkline>
              <xm:f>RESULTADOS_ENERGÍA!U50:AB50</xm:f>
              <xm:sqref>S50</xm:sqref>
            </x14:sparkline>
            <x14:sparkline>
              <xm:f>RESULTADOS_ENERGÍA!U51:AB51</xm:f>
              <xm:sqref>S51</xm:sqref>
            </x14:sparkline>
            <x14:sparkline>
              <xm:f>RESULTADOS_ENERGÍA!U52:AB52</xm:f>
              <xm:sqref>S52</xm:sqref>
            </x14:sparkline>
            <x14:sparkline>
              <xm:f>RESULTADOS_ENERGÍA!U53:AB53</xm:f>
              <xm:sqref>S53</xm:sqref>
            </x14:sparkline>
            <x14:sparkline>
              <xm:f>RESULTADOS_ENERGÍA!U54:AB54</xm:f>
              <xm:sqref>S54</xm:sqref>
            </x14:sparkline>
            <x14:sparkline>
              <xm:f>RESULTADOS_ENERGÍA!U55:AB55</xm:f>
              <xm:sqref>S55</xm:sqref>
            </x14:sparkline>
            <x14:sparkline>
              <xm:f>RESULTADOS_ENERGÍA!U56:AB56</xm:f>
              <xm:sqref>S56</xm:sqref>
            </x14:sparkline>
            <x14:sparkline>
              <xm:f>RESULTADOS_ENERGÍA!U58:AB58</xm:f>
              <xm:sqref>S57</xm:sqref>
            </x14:sparkline>
          </x14:sparklines>
        </x14:sparklineGroup>
        <x14:sparklineGroup manualMax="0" manualMin="0" lineWeight="1" displayEmptyCellsAs="gap" xr2:uid="{ECC6DBAC-645E-419E-872B-B8DE2F3BBB4B}">
          <x14:colorSeries theme="9" tint="-0.249977111117893"/>
          <x14:colorNegative rgb="FFD00000"/>
          <x14:colorAxis rgb="FF000000"/>
          <x14:colorMarkers rgb="FFD00000"/>
          <x14:colorFirst rgb="FFD00000"/>
          <x14:colorLast rgb="FFD00000"/>
          <x14:colorHigh rgb="FFD00000"/>
          <x14:colorLow rgb="FFD00000"/>
          <x14:sparklines>
            <x14:sparkline>
              <xm:f>RESULTADOS_ENERGÍA!U29:AB29</xm:f>
              <xm:sqref>S29</xm:sqref>
            </x14:sparkline>
            <x14:sparkline>
              <xm:f>RESULTADOS_ENERGÍA!U30:AB30</xm:f>
              <xm:sqref>S30</xm:sqref>
            </x14:sparkline>
            <x14:sparkline>
              <xm:f>RESULTADOS_ENERGÍA!U31:AB31</xm:f>
              <xm:sqref>S31</xm:sqref>
            </x14:sparkline>
          </x14:sparklines>
        </x14:sparklineGroup>
        <x14:sparklineGroup manualMax="0" manualMin="0" lineWeight="1" displayEmptyCellsAs="gap" xr2:uid="{82141668-0CBC-4D62-B710-00271D17D7CC}">
          <x14:colorSeries theme="9" tint="-0.249977111117893"/>
          <x14:colorNegative rgb="FFD00000"/>
          <x14:colorAxis rgb="FF000000"/>
          <x14:colorMarkers rgb="FFD00000"/>
          <x14:colorFirst rgb="FFD00000"/>
          <x14:colorLast rgb="FFD00000"/>
          <x14:colorHigh rgb="FFD00000"/>
          <x14:colorLow rgb="FFD00000"/>
          <x14:sparklines>
            <x14:sparkline>
              <xm:f>RESULTADOS_ENERGÍA!U9:AB9</xm:f>
              <xm:sqref>S9</xm:sqref>
            </x14:sparkline>
            <x14:sparkline>
              <xm:f>RESULTADOS_ENERGÍA!U10:AB10</xm:f>
              <xm:sqref>S10</xm:sqref>
            </x14:sparkline>
            <x14:sparkline>
              <xm:f>RESULTADOS_ENERGÍA!U11:AB11</xm:f>
              <xm:sqref>S11</xm:sqref>
            </x14:sparkline>
          </x14:sparklines>
        </x14:sparklineGroup>
        <x14:sparklineGroup manualMax="0" manualMin="0" lineWeight="1" displayEmptyCellsAs="gap" xr2:uid="{BFC0D3E2-99DD-4A0E-A5D3-41C05E52CABE}">
          <x14:colorSeries theme="9" tint="-0.249977111117893"/>
          <x14:colorNegative rgb="FFD00000"/>
          <x14:colorAxis rgb="FF000000"/>
          <x14:colorMarkers rgb="FFD00000"/>
          <x14:colorFirst rgb="FFD00000"/>
          <x14:colorLast rgb="FFD00000"/>
          <x14:colorHigh rgb="FFD00000"/>
          <x14:colorLow rgb="FFD00000"/>
          <x14:sparklines>
            <x14:sparkline>
              <xm:f>RESULTADOS_ENERGÍA!U74:AB74</xm:f>
              <xm:sqref>S73</xm:sqref>
            </x14:sparkline>
            <x14:sparkline>
              <xm:f>RESULTADOS_ENERGÍA!U75:AB75</xm:f>
              <xm:sqref>S74</xm:sqref>
            </x14:sparkline>
            <x14:sparkline>
              <xm:f>RESULTADOS_ENERGÍA!U76:AB76</xm:f>
              <xm:sqref>S75</xm:sqref>
            </x14:sparkline>
          </x14:sparklines>
        </x14:sparklineGroup>
        <x14:sparklineGroup manualMax="0" manualMin="0" lineWeight="1" displayEmptyCellsAs="gap" xr2:uid="{E5F2C335-CCC0-4F54-A983-7CC1E1603446}">
          <x14:colorSeries theme="9" tint="-0.249977111117893"/>
          <x14:colorNegative rgb="FFD00000"/>
          <x14:colorAxis rgb="FF000000"/>
          <x14:colorMarkers rgb="FFD00000"/>
          <x14:colorFirst rgb="FFD00000"/>
          <x14:colorLast rgb="FFD00000"/>
          <x14:colorHigh rgb="FFD00000"/>
          <x14:colorLow rgb="FFD00000"/>
          <x14:sparklines>
            <x14:sparkline>
              <xm:f>RESULTADOS_ENERGÍA!U94:AB94</xm:f>
              <xm:sqref>S93</xm:sqref>
            </x14:sparkline>
            <x14:sparkline>
              <xm:f>RESULTADOS_ENERGÍA!U95:AB95</xm:f>
              <xm:sqref>S94</xm:sqref>
            </x14:sparkline>
            <x14:sparkline>
              <xm:f>RESULTADOS_ENERGÍA!U96:AB96</xm:f>
              <xm:sqref>S95</xm:sqref>
            </x14:sparkline>
          </x14:sparklines>
        </x14:sparklineGroup>
      </x14:sparklineGroup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6F766-215F-4D82-8D8B-230022FF57C3}">
  <sheetPr codeName="Hoja32"/>
  <dimension ref="A1:AC101"/>
  <sheetViews>
    <sheetView showGridLines="0" zoomScale="80" zoomScaleNormal="80" workbookViewId="0"/>
  </sheetViews>
  <sheetFormatPr baseColWidth="10" defaultColWidth="11.42578125" defaultRowHeight="15"/>
  <cols>
    <col min="1" max="1" width="20.7109375" style="678" customWidth="1"/>
    <col min="2" max="2" width="30.7109375" style="2276" customWidth="1"/>
    <col min="3" max="3" width="5.28515625" style="679" customWidth="1"/>
    <col min="4" max="18" width="11.42578125" style="679"/>
    <col min="19" max="19" width="14.85546875" style="679" customWidth="1"/>
    <col min="20" max="20" width="54.140625" style="679" customWidth="1"/>
    <col min="21" max="21" width="14" style="679" bestFit="1" customWidth="1"/>
    <col min="22" max="22" width="13.140625" style="679" bestFit="1" customWidth="1"/>
    <col min="23" max="28" width="11.5703125" style="679" bestFit="1" customWidth="1"/>
    <col min="29" max="16384" width="11.42578125" style="679"/>
  </cols>
  <sheetData>
    <row r="1" spans="1:29" ht="15" customHeight="1"/>
    <row r="2" spans="1:29" ht="15" customHeight="1"/>
    <row r="3" spans="1:29" ht="15" customHeight="1"/>
    <row r="4" spans="1:29" ht="15" customHeight="1">
      <c r="E4" s="694"/>
    </row>
    <row r="5" spans="1:29" ht="15" customHeight="1">
      <c r="A5" s="1559"/>
      <c r="E5" s="2278" t="s">
        <v>533</v>
      </c>
      <c r="F5" s="2279"/>
      <c r="G5" s="2279"/>
      <c r="H5" s="2279"/>
      <c r="I5" s="2279"/>
      <c r="J5" s="2279"/>
      <c r="K5" s="2279"/>
      <c r="L5" s="2279"/>
      <c r="M5" s="2280"/>
      <c r="N5" s="2280"/>
      <c r="O5" s="2280"/>
      <c r="P5" s="2280"/>
      <c r="Q5" s="2280"/>
      <c r="R5" s="2280"/>
    </row>
    <row r="6" spans="1:29" ht="15" customHeight="1"/>
    <row r="7" spans="1:29" ht="15" customHeight="1">
      <c r="T7" s="2281"/>
    </row>
    <row r="8" spans="1:29" ht="15" customHeight="1">
      <c r="E8" s="2291"/>
      <c r="F8" s="2291"/>
      <c r="G8" s="2291"/>
      <c r="H8" s="2291"/>
      <c r="I8" s="2291"/>
      <c r="T8" s="2290"/>
      <c r="V8" s="2281"/>
      <c r="W8" s="2281"/>
      <c r="X8" s="2281"/>
      <c r="Y8" s="2281"/>
      <c r="Z8" s="2281"/>
      <c r="AA8" s="2281"/>
      <c r="AB8" s="2282" t="str">
        <f>AJUSTES_UNIDADES_ELECTRICIDAD_EMISIONES</f>
        <v>Mt CO2 e</v>
      </c>
    </row>
    <row r="9" spans="1:29" ht="15" customHeight="1">
      <c r="E9" s="2291"/>
      <c r="F9" s="2291"/>
      <c r="G9" s="2291"/>
      <c r="H9" s="2291"/>
      <c r="I9" s="2291"/>
      <c r="T9" s="2283" t="s">
        <v>534</v>
      </c>
      <c r="U9" s="2284">
        <v>2018</v>
      </c>
      <c r="V9" s="2284">
        <v>2020</v>
      </c>
      <c r="W9" s="2284">
        <v>2025</v>
      </c>
      <c r="X9" s="2284">
        <v>2030</v>
      </c>
      <c r="Y9" s="2284">
        <v>2035</v>
      </c>
      <c r="Z9" s="2284">
        <v>2040</v>
      </c>
      <c r="AA9" s="2284">
        <v>2045</v>
      </c>
      <c r="AB9" s="2284">
        <v>2050</v>
      </c>
    </row>
    <row r="10" spans="1:29" ht="15" customHeight="1">
      <c r="E10" s="2291"/>
      <c r="F10" s="2291"/>
      <c r="G10" s="2291"/>
      <c r="H10" s="2291"/>
      <c r="I10" s="2291"/>
      <c r="T10" s="2292" t="s">
        <v>535</v>
      </c>
      <c r="U10" s="2303" cm="1">
        <f t="array" ref="U10:AB10">SALIDA_EMISIONES_ELEC_TERMOELECTRICA_GAS_NATURAL*AJUSTES_UNIDAD_SELECCIONADA_ELECTRICIDAD_EMISIONES</f>
        <v>0.26980611192310738</v>
      </c>
      <c r="V10" s="2303">
        <v>0.26980611192310738</v>
      </c>
      <c r="W10" s="2303">
        <v>0.4047091678846611</v>
      </c>
      <c r="X10" s="2303">
        <v>0.4047091678846611</v>
      </c>
      <c r="Y10" s="2303">
        <v>0.4047091678846611</v>
      </c>
      <c r="Z10" s="2303">
        <v>0.4047091678846611</v>
      </c>
      <c r="AA10" s="2303">
        <v>0.4047091678846611</v>
      </c>
      <c r="AB10" s="2303">
        <v>0.4047091678846611</v>
      </c>
      <c r="AC10" s="2288"/>
    </row>
    <row r="11" spans="1:29" ht="15" customHeight="1">
      <c r="D11" s="3897" t="str">
        <f>AJUSTES_UNIDADES_ELECTRICIDAD_EMISIONES</f>
        <v>Mt CO2 e</v>
      </c>
      <c r="E11" s="2291"/>
      <c r="F11" s="2291"/>
      <c r="G11" s="2291"/>
      <c r="H11" s="2291"/>
      <c r="I11" s="2291"/>
      <c r="T11" s="2295" t="s">
        <v>536</v>
      </c>
      <c r="U11" s="2303" cm="1">
        <f t="array" ref="U11:AB11">SALIDA_EMISIONES_ELEC_TERMOELECTRICA_CARBON*AJUSTES_UNIDAD_SELECCIONADA_ELECTRICIDAD_EMISIONES</f>
        <v>1.1334268213982082</v>
      </c>
      <c r="V11" s="2303">
        <v>1.1334268213982082</v>
      </c>
      <c r="W11" s="2303">
        <v>1.1334268213982082</v>
      </c>
      <c r="X11" s="2303">
        <v>1.1334268213982082</v>
      </c>
      <c r="Y11" s="2303">
        <v>1.1334268213982082</v>
      </c>
      <c r="Z11" s="2303">
        <v>1.1334268213982082</v>
      </c>
      <c r="AA11" s="2303">
        <v>1.1334268213982082</v>
      </c>
      <c r="AB11" s="2303">
        <v>1.1334268213982082</v>
      </c>
      <c r="AC11" s="2288"/>
    </row>
    <row r="12" spans="1:29" ht="15" customHeight="1">
      <c r="D12" s="3897"/>
      <c r="E12" s="2291"/>
      <c r="F12" s="2291"/>
      <c r="G12" s="2291"/>
      <c r="H12" s="2291"/>
      <c r="I12" s="2291"/>
      <c r="T12" s="2295" t="s">
        <v>526</v>
      </c>
      <c r="U12" s="2303" cm="1">
        <f t="array" ref="U12:AB12">SALIDA_EMISIONES_ELEC_DIESEL*AJUSTES_UNIDAD_SELECCIONADA_ELECTRICIDAD_EMISIONES</f>
        <v>3.4791295464930524E-2</v>
      </c>
      <c r="V12" s="2303">
        <v>0</v>
      </c>
      <c r="W12" s="2303">
        <v>0</v>
      </c>
      <c r="X12" s="2303">
        <v>0</v>
      </c>
      <c r="Y12" s="2303">
        <v>0</v>
      </c>
      <c r="Z12" s="2303">
        <v>0</v>
      </c>
      <c r="AA12" s="2303">
        <v>0</v>
      </c>
      <c r="AB12" s="2303">
        <v>0</v>
      </c>
      <c r="AC12" s="2288"/>
    </row>
    <row r="13" spans="1:29" ht="15" customHeight="1">
      <c r="D13" s="3897"/>
      <c r="E13" s="2291"/>
      <c r="F13" s="2291"/>
      <c r="G13" s="2291"/>
      <c r="H13" s="2291"/>
      <c r="I13" s="2291"/>
      <c r="T13" s="2292" t="s">
        <v>537</v>
      </c>
      <c r="U13" s="2303" cm="1">
        <f t="array" ref="U13:AB13">SALIDA_EMISIONES_ELEC_FUEL_OIL*AJUSTES_UNIDAD_SELECCIONADA_ELECTRICIDAD_EMISIONES</f>
        <v>0</v>
      </c>
      <c r="V13" s="2303">
        <v>0</v>
      </c>
      <c r="W13" s="2303">
        <v>0</v>
      </c>
      <c r="X13" s="2303">
        <v>0</v>
      </c>
      <c r="Y13" s="2303">
        <v>0</v>
      </c>
      <c r="Z13" s="2303">
        <v>0</v>
      </c>
      <c r="AA13" s="2303">
        <v>0</v>
      </c>
      <c r="AB13" s="2303">
        <v>0</v>
      </c>
    </row>
    <row r="14" spans="1:29" ht="15" customHeight="1">
      <c r="D14" s="3897"/>
      <c r="E14" s="2291"/>
      <c r="F14" s="2291"/>
      <c r="G14" s="2291"/>
      <c r="H14" s="2291"/>
      <c r="I14" s="2291"/>
      <c r="T14" s="2292" t="s">
        <v>525</v>
      </c>
      <c r="U14" s="2303" cm="1">
        <f t="array" ref="U14:AB14">SALIDA_EMISIONES_ELEC_PETROLEO*AJUSTES_UNIDAD_SELECCIONADA_ELECTRICIDAD_EMISIONES</f>
        <v>0</v>
      </c>
      <c r="V14" s="2303">
        <v>0</v>
      </c>
      <c r="W14" s="2303">
        <v>0</v>
      </c>
      <c r="X14" s="2303">
        <v>0</v>
      </c>
      <c r="Y14" s="2303">
        <v>0</v>
      </c>
      <c r="Z14" s="2303">
        <v>0</v>
      </c>
      <c r="AA14" s="2303">
        <v>0</v>
      </c>
      <c r="AB14" s="2303">
        <v>0</v>
      </c>
    </row>
    <row r="15" spans="1:29" ht="15" customHeight="1">
      <c r="D15" s="3897"/>
      <c r="E15" s="2291"/>
      <c r="F15" s="2291"/>
      <c r="G15" s="2291"/>
      <c r="H15" s="2291"/>
      <c r="I15" s="2291"/>
      <c r="T15" s="2292" t="s">
        <v>498</v>
      </c>
      <c r="U15" s="2303" cm="1">
        <f t="array" ref="U15:AB15">SALIDA_EMISIONES_ELEC_GLP*AJUSTES_UNIDAD_SELECCIONADA_ELECTRICIDAD_EMISIONES</f>
        <v>0</v>
      </c>
      <c r="V15" s="2303">
        <v>0</v>
      </c>
      <c r="W15" s="2303">
        <v>0</v>
      </c>
      <c r="X15" s="2303">
        <v>0</v>
      </c>
      <c r="Y15" s="2303">
        <v>0</v>
      </c>
      <c r="Z15" s="2303">
        <v>0</v>
      </c>
      <c r="AA15" s="2303">
        <v>0</v>
      </c>
      <c r="AB15" s="2303">
        <v>0</v>
      </c>
    </row>
    <row r="16" spans="1:29" ht="15" customHeight="1">
      <c r="E16" s="2291"/>
      <c r="F16" s="2291"/>
      <c r="G16" s="2291"/>
      <c r="H16" s="2291"/>
      <c r="I16" s="2291"/>
      <c r="T16" s="2292" t="s">
        <v>538</v>
      </c>
      <c r="U16" s="2303" cm="1">
        <f t="array" ref="U16:AB16">SALIDA_EMISIONES_ELEC_TERMOELECTRICA_GAS_NATURAL_CCUS*AJUSTES_UNIDAD_SELECCIONADA_ELECTRICIDAD_EMISIONES</f>
        <v>0</v>
      </c>
      <c r="V16" s="2303">
        <v>0</v>
      </c>
      <c r="W16" s="2303">
        <v>0</v>
      </c>
      <c r="X16" s="2303">
        <v>0</v>
      </c>
      <c r="Y16" s="2303">
        <v>0</v>
      </c>
      <c r="Z16" s="2303">
        <v>0</v>
      </c>
      <c r="AA16" s="2303">
        <v>0</v>
      </c>
      <c r="AB16" s="2303">
        <v>0</v>
      </c>
    </row>
    <row r="17" spans="1:29" s="680" customFormat="1" ht="15" customHeight="1">
      <c r="A17" s="678"/>
      <c r="B17" s="2276"/>
      <c r="E17" s="679"/>
      <c r="F17" s="679"/>
      <c r="G17" s="679"/>
      <c r="H17" s="679"/>
      <c r="I17" s="679"/>
      <c r="J17" s="679"/>
      <c r="K17" s="679"/>
      <c r="L17" s="679"/>
      <c r="M17" s="679"/>
      <c r="N17" s="679"/>
      <c r="O17" s="679"/>
      <c r="P17" s="679"/>
      <c r="S17" s="679"/>
      <c r="T17" s="2292" t="s">
        <v>539</v>
      </c>
      <c r="U17" s="2303" cm="1">
        <f t="array" ref="U17:AB17">SALIDA_EMISIONES_ELEC_TERMOELECTRICA_CARBON_CCUS*AJUSTES_UNIDAD_SELECCIONADA_ELECTRICIDAD_EMISIONES</f>
        <v>0</v>
      </c>
      <c r="V17" s="2303">
        <v>0</v>
      </c>
      <c r="W17" s="2303">
        <v>0</v>
      </c>
      <c r="X17" s="2303">
        <v>0</v>
      </c>
      <c r="Y17" s="2303">
        <v>0</v>
      </c>
      <c r="Z17" s="2303">
        <v>0</v>
      </c>
      <c r="AA17" s="2303">
        <v>0</v>
      </c>
      <c r="AB17" s="2303">
        <v>0</v>
      </c>
    </row>
    <row r="18" spans="1:29" ht="15" customHeight="1">
      <c r="T18" s="2292" t="s">
        <v>540</v>
      </c>
      <c r="U18" s="2303" cm="1">
        <f t="array" ref="U18:AB18">(SALIDA_EMISIONES_AUTOGENERACION_AGUAS_RESIDUALES+SALIDA_EMISIONES_AUTOGENERACION_RESIDUOS_SOLIDOS)*AJUSTES_UNIDAD_SELECCIONADA_ELECTRICIDAD_EMISIONES</f>
        <v>0.96513094558117296</v>
      </c>
      <c r="V18" s="2303">
        <v>0.97490228149409153</v>
      </c>
      <c r="W18" s="2303">
        <v>1.0001128211213559</v>
      </c>
      <c r="X18" s="2303">
        <v>1.0267280052147825</v>
      </c>
      <c r="Y18" s="2303">
        <v>1.0288412394962443</v>
      </c>
      <c r="Z18" s="2303">
        <v>1.0310108960631599</v>
      </c>
      <c r="AA18" s="2303">
        <v>1.03323926515939</v>
      </c>
      <c r="AB18" s="2303">
        <v>1.0355287626803318</v>
      </c>
    </row>
    <row r="19" spans="1:29" ht="15" customHeight="1">
      <c r="E19" s="680"/>
      <c r="F19" s="680"/>
      <c r="G19" s="680"/>
      <c r="H19" s="680"/>
      <c r="I19" s="680"/>
      <c r="J19" s="680"/>
      <c r="K19" s="680"/>
      <c r="L19" s="680"/>
      <c r="M19" s="680"/>
      <c r="N19" s="680"/>
      <c r="O19" s="680"/>
      <c r="P19" s="680"/>
      <c r="T19" s="2292"/>
      <c r="U19" s="2304"/>
      <c r="V19" s="2304"/>
      <c r="W19" s="2304"/>
      <c r="X19" s="2304"/>
      <c r="Y19" s="2304"/>
      <c r="Z19" s="2304"/>
      <c r="AA19" s="2304"/>
      <c r="AB19" s="2304"/>
    </row>
    <row r="20" spans="1:29" ht="15" customHeight="1"/>
    <row r="21" spans="1:29" ht="15" customHeight="1"/>
    <row r="22" spans="1:29" ht="15" customHeight="1"/>
    <row r="23" spans="1:29" ht="15" customHeight="1"/>
    <row r="24" spans="1:29" ht="15" customHeight="1">
      <c r="E24" s="694"/>
    </row>
    <row r="25" spans="1:29" ht="15" customHeight="1">
      <c r="E25" s="2278" t="s">
        <v>541</v>
      </c>
      <c r="F25" s="2279"/>
      <c r="G25" s="2279"/>
      <c r="H25" s="2279"/>
      <c r="I25" s="2279"/>
      <c r="J25" s="2279"/>
      <c r="K25" s="2279"/>
      <c r="L25" s="2279"/>
      <c r="M25" s="2280"/>
      <c r="N25" s="2280"/>
      <c r="O25" s="2280"/>
      <c r="P25" s="2280"/>
      <c r="Q25" s="2280"/>
      <c r="R25" s="2280"/>
    </row>
    <row r="26" spans="1:29" ht="15" customHeight="1"/>
    <row r="27" spans="1:29" ht="15" customHeight="1"/>
    <row r="28" spans="1:29" ht="15" customHeight="1">
      <c r="T28" s="2281"/>
      <c r="U28" s="2281"/>
      <c r="V28" s="2281"/>
      <c r="W28" s="2281"/>
      <c r="X28" s="2281"/>
      <c r="Y28" s="2281"/>
      <c r="Z28" s="2281"/>
      <c r="AA28" s="2281"/>
      <c r="AB28" s="2282" t="str">
        <f>AJUSTES_UNIDADES_ELECTRICIDAD_ENERGIA</f>
        <v>TWh</v>
      </c>
    </row>
    <row r="29" spans="1:29" ht="15" customHeight="1">
      <c r="T29" s="2283" t="s">
        <v>534</v>
      </c>
      <c r="U29" s="2298">
        <v>2018</v>
      </c>
      <c r="V29" s="2284">
        <v>2020</v>
      </c>
      <c r="W29" s="2284">
        <v>2025</v>
      </c>
      <c r="X29" s="2284">
        <v>2030</v>
      </c>
      <c r="Y29" s="2284">
        <v>2035</v>
      </c>
      <c r="Z29" s="2284">
        <v>2040</v>
      </c>
      <c r="AA29" s="2284">
        <v>2045</v>
      </c>
      <c r="AB29" s="2284">
        <v>2050</v>
      </c>
    </row>
    <row r="30" spans="1:29" ht="15" customHeight="1">
      <c r="T30" s="2292" t="s">
        <v>535</v>
      </c>
      <c r="U30" s="2296" cm="1">
        <f t="array" ref="U30:AB30">SALIDA_GENERACION_ELECTRICIDAD_TERMOELECTRICA_GAS_NATURAL*AJUSTES_UNIDAD_SELECCIONADA_ELECTRICIDAD_ENERGIA</f>
        <v>0.70477404881979766</v>
      </c>
      <c r="V30" s="2296">
        <v>0.70477404881979766</v>
      </c>
      <c r="W30" s="2296">
        <v>1.0571610732296965</v>
      </c>
      <c r="X30" s="2296">
        <v>1.0571610732296965</v>
      </c>
      <c r="Y30" s="2296">
        <v>1.0571610732296965</v>
      </c>
      <c r="Z30" s="2296">
        <v>1.0571610732296965</v>
      </c>
      <c r="AA30" s="2296">
        <v>1.0571610732296965</v>
      </c>
      <c r="AB30" s="2296">
        <v>1.0571610732296965</v>
      </c>
      <c r="AC30" s="2296"/>
    </row>
    <row r="31" spans="1:29" ht="15" customHeight="1">
      <c r="T31" s="2295" t="s">
        <v>536</v>
      </c>
      <c r="U31" s="2296" cm="1">
        <f t="array" ref="U31:AB31">SALIDA_GENERACION_ELECTRICIDAD_TERMOELECTRICA_CARBON*AJUSTES_UNIDAD_SELECCIONADA_ELECTRICIDAD_ENERGIA</f>
        <v>1.4338506510471747</v>
      </c>
      <c r="V31" s="2296">
        <v>1.4338506510471747</v>
      </c>
      <c r="W31" s="2296">
        <v>1.4338506510471747</v>
      </c>
      <c r="X31" s="2296">
        <v>1.4338506510471747</v>
      </c>
      <c r="Y31" s="2296">
        <v>1.4338506510471747</v>
      </c>
      <c r="Z31" s="2296">
        <v>1.4338506510471747</v>
      </c>
      <c r="AA31" s="2296">
        <v>1.4338506510471747</v>
      </c>
      <c r="AB31" s="2296">
        <v>1.4338506510471747</v>
      </c>
      <c r="AC31" s="2296"/>
    </row>
    <row r="32" spans="1:29" ht="15" customHeight="1">
      <c r="D32" s="3897" t="str">
        <f>AJUSTES_UNIDADES_ELECTRICIDAD_ENERGIA</f>
        <v>TWh</v>
      </c>
      <c r="T32" s="2295" t="s">
        <v>526</v>
      </c>
      <c r="U32" s="2296" cm="1">
        <f t="array" ref="U32:AB32">SALIDA_GENERACION_ELECTRICIDAD_DIESEL*AJUSTES_UNIDAD_SELECCIONADA_ELECTRICIDAD_ENERGIA</f>
        <v>4.8605106815158471E-2</v>
      </c>
      <c r="V32" s="2296">
        <v>0</v>
      </c>
      <c r="W32" s="2296">
        <v>0</v>
      </c>
      <c r="X32" s="2296">
        <v>0</v>
      </c>
      <c r="Y32" s="2296">
        <v>0</v>
      </c>
      <c r="Z32" s="2296">
        <v>0</v>
      </c>
      <c r="AA32" s="2296">
        <v>0</v>
      </c>
      <c r="AB32" s="2296">
        <v>0</v>
      </c>
      <c r="AC32" s="2296"/>
    </row>
    <row r="33" spans="4:28" ht="15" customHeight="1">
      <c r="D33" s="3897"/>
      <c r="T33" s="2292" t="s">
        <v>537</v>
      </c>
      <c r="U33" s="2296" cm="1">
        <f t="array" ref="U33:AB33">SALIDA_GENERACION_ELECTRICIDAD_FUEL_OIL*AJUSTES_UNIDAD_SELECCIONADA_ELECTRICIDAD_ENERGIA</f>
        <v>0</v>
      </c>
      <c r="V33" s="2296">
        <v>0</v>
      </c>
      <c r="W33" s="2296">
        <v>0</v>
      </c>
      <c r="X33" s="2296">
        <v>0</v>
      </c>
      <c r="Y33" s="2296">
        <v>0</v>
      </c>
      <c r="Z33" s="2296">
        <v>0</v>
      </c>
      <c r="AA33" s="2296">
        <v>0</v>
      </c>
      <c r="AB33" s="2296">
        <v>0</v>
      </c>
    </row>
    <row r="34" spans="4:28" ht="15" customHeight="1">
      <c r="D34" s="3897"/>
      <c r="T34" s="2292" t="s">
        <v>525</v>
      </c>
      <c r="U34" s="2296" cm="1">
        <f t="array" ref="U34:AB34">SALIDA_GENERACION_ELECTRICIDAD_PETROLEO*AJUSTES_UNIDAD_SELECCIONADA_ELECTRICIDAD_ENERGIA</f>
        <v>0</v>
      </c>
      <c r="V34" s="2296">
        <v>0</v>
      </c>
      <c r="W34" s="2296">
        <v>0</v>
      </c>
      <c r="X34" s="2296">
        <v>0</v>
      </c>
      <c r="Y34" s="2296">
        <v>0</v>
      </c>
      <c r="Z34" s="2296">
        <v>0</v>
      </c>
      <c r="AA34" s="2296">
        <v>0</v>
      </c>
      <c r="AB34" s="2296">
        <v>0</v>
      </c>
    </row>
    <row r="35" spans="4:28" ht="15" customHeight="1">
      <c r="D35" s="3897"/>
      <c r="T35" s="2292" t="s">
        <v>498</v>
      </c>
      <c r="U35" s="2296" cm="1">
        <f t="array" ref="U35:AB35">SALIDA_GENERACION_ELECTRICIDAD_GLP*AJUSTES_UNIDAD_SELECCIONADA_ELECTRICIDAD_ENERGIA</f>
        <v>0</v>
      </c>
      <c r="V35" s="2296">
        <v>0</v>
      </c>
      <c r="W35" s="2296">
        <v>0</v>
      </c>
      <c r="X35" s="2296">
        <v>0</v>
      </c>
      <c r="Y35" s="2296">
        <v>0</v>
      </c>
      <c r="Z35" s="2296">
        <v>0</v>
      </c>
      <c r="AA35" s="2296">
        <v>0</v>
      </c>
      <c r="AB35" s="2296">
        <v>0</v>
      </c>
    </row>
    <row r="36" spans="4:28" ht="15" customHeight="1">
      <c r="D36" s="3897"/>
      <c r="T36" s="2292" t="s">
        <v>538</v>
      </c>
      <c r="U36" s="2296" cm="1">
        <f t="array" ref="U36:AB36">SALIDA_GENERACION_ELECTRICIDAD_TERMOELECTRICA_GAS_NATURAL_CCUS*AJUSTES_UNIDAD_SELECCIONADA_ELECTRICIDAD_ENERGIA</f>
        <v>0</v>
      </c>
      <c r="V36" s="2296">
        <v>0</v>
      </c>
      <c r="W36" s="2296">
        <v>0</v>
      </c>
      <c r="X36" s="2296">
        <v>0</v>
      </c>
      <c r="Y36" s="2296">
        <v>0</v>
      </c>
      <c r="Z36" s="2296">
        <v>0</v>
      </c>
      <c r="AA36" s="2296">
        <v>0</v>
      </c>
      <c r="AB36" s="2296">
        <v>0</v>
      </c>
    </row>
    <row r="37" spans="4:28" ht="15" customHeight="1">
      <c r="T37" s="2292" t="s">
        <v>539</v>
      </c>
      <c r="U37" s="2296" cm="1">
        <f t="array" ref="U37:AB37">SALIDA_GENERACION_ELECTRICIDAD_TERMOELECTRICA_CARBON_CCUS*AJUSTES_UNIDAD_SELECCIONADA_ELECTRICIDAD_ENERGIA</f>
        <v>0</v>
      </c>
      <c r="V37" s="2296">
        <v>0</v>
      </c>
      <c r="W37" s="2296">
        <v>0</v>
      </c>
      <c r="X37" s="2296">
        <v>0</v>
      </c>
      <c r="Y37" s="2296">
        <v>0</v>
      </c>
      <c r="Z37" s="2296">
        <v>0</v>
      </c>
      <c r="AA37" s="2296">
        <v>0</v>
      </c>
      <c r="AB37" s="2296">
        <v>0</v>
      </c>
    </row>
    <row r="38" spans="4:28" ht="15" customHeight="1">
      <c r="T38" s="2292" t="s">
        <v>540</v>
      </c>
      <c r="U38" s="2296" cm="1">
        <f t="array" ref="U38:AB38">SALIDA_EMISIONES_ENERGIA_RES_SOL_TOTAL*AJUSTES_UNIDAD_SELECCIONADA_ELECTRICIDAD_ENERGIA</f>
        <v>0.11406631102344174</v>
      </c>
      <c r="V38" s="2296">
        <v>0.12383764693636037</v>
      </c>
      <c r="W38" s="2296">
        <v>0.14904818656362481</v>
      </c>
      <c r="X38" s="2296">
        <v>0.17566337065705123</v>
      </c>
      <c r="Y38" s="2296">
        <v>0.17777660493851313</v>
      </c>
      <c r="Z38" s="2296">
        <v>0.17994626150542858</v>
      </c>
      <c r="AA38" s="2296">
        <v>0.18217463060165887</v>
      </c>
      <c r="AB38" s="2296">
        <v>0.18446412812260057</v>
      </c>
    </row>
    <row r="39" spans="4:28" ht="17.25" customHeight="1">
      <c r="T39" s="2292" t="s">
        <v>542</v>
      </c>
      <c r="U39" s="2296" cm="1">
        <f t="array" ref="U39:AB39">SALIDA_GENERACION_ELECTRICIDAD_TERMOELECTRICA_GRANDES_HIDROELECTRICAS*AJUSTES_UNIDAD_SELECCIONADA_ELECTRICIDAD_ENERGIA</f>
        <v>6.4158740996009165</v>
      </c>
      <c r="V39" s="2296">
        <v>6.4158740996009165</v>
      </c>
      <c r="W39" s="2296">
        <v>8.16565794494662</v>
      </c>
      <c r="X39" s="2296">
        <v>8.16565794494662</v>
      </c>
      <c r="Y39" s="2296">
        <v>8.16565794494662</v>
      </c>
      <c r="Z39" s="2296">
        <v>8.16565794494662</v>
      </c>
      <c r="AA39" s="2296">
        <v>8.16565794494662</v>
      </c>
      <c r="AB39" s="2296">
        <v>8.748919226728523</v>
      </c>
    </row>
    <row r="40" spans="4:28">
      <c r="T40" s="2295" t="s">
        <v>543</v>
      </c>
      <c r="U40" s="2296" cm="1">
        <f t="array" ref="U40:AB40">SALIDA_GENERACION_ELECTRICIDAD_TERMOELECTRICA_PEQUEÑAS_HIDROELECTRICAS*AJUSTES_UNIDAD_SELECCIONADA_ELECTRICIDAD_ENERGIA</f>
        <v>0.58326128178190151</v>
      </c>
      <c r="V40" s="2296">
        <v>0.58326128178190151</v>
      </c>
      <c r="W40" s="2296">
        <v>0.58326128178190151</v>
      </c>
      <c r="X40" s="2296">
        <v>0.58326128178190151</v>
      </c>
      <c r="Y40" s="2296">
        <v>0.58326128178190151</v>
      </c>
      <c r="Z40" s="2296">
        <v>0.58326128178190151</v>
      </c>
      <c r="AA40" s="2296">
        <v>0.58326128178190151</v>
      </c>
      <c r="AB40" s="2296">
        <v>0.58326128178190151</v>
      </c>
    </row>
    <row r="41" spans="4:28">
      <c r="T41" s="2292" t="s">
        <v>544</v>
      </c>
      <c r="U41" s="2296" cm="1">
        <f t="array" ref="U41:AB41">SALIDA_GENERACION_ELECTRICIDAD_TERMOELECTRICA_SOLAR_TERMICA*AJUSTES_UNIDAD_SELECCIONADA_ELECTRICIDAD_ENERGIA</f>
        <v>0</v>
      </c>
      <c r="V41" s="2296">
        <v>0</v>
      </c>
      <c r="W41" s="2296">
        <v>0</v>
      </c>
      <c r="X41" s="2296">
        <v>0</v>
      </c>
      <c r="Y41" s="2296">
        <v>0</v>
      </c>
      <c r="Z41" s="2296">
        <v>0</v>
      </c>
      <c r="AA41" s="2296">
        <v>0</v>
      </c>
      <c r="AB41" s="2296">
        <v>0</v>
      </c>
    </row>
    <row r="42" spans="4:28">
      <c r="T42" s="2292" t="s">
        <v>545</v>
      </c>
      <c r="U42" s="2296" cm="1">
        <f t="array" ref="U42:AB42">SALIDA_GENERACION_ELECTRICIDAD_TERMOELECTRICA_SOLAR_FOTOVOLTAICA*AJUSTES_UNIDAD_SELECCIONADA_ELECTRICIDAD_ENERGIA</f>
        <v>0</v>
      </c>
      <c r="V42" s="2296">
        <v>0</v>
      </c>
      <c r="W42" s="2296">
        <v>0.37668957781747808</v>
      </c>
      <c r="X42" s="2296">
        <v>0.37668957781747808</v>
      </c>
      <c r="Y42" s="2296">
        <v>0.75337915563495617</v>
      </c>
      <c r="Z42" s="2296">
        <v>1.5067583112699123</v>
      </c>
      <c r="AA42" s="2296">
        <v>2.6368270447223465</v>
      </c>
      <c r="AB42" s="2296">
        <v>3.3902062003573024</v>
      </c>
    </row>
    <row r="43" spans="4:28">
      <c r="T43" s="2292" t="s">
        <v>546</v>
      </c>
      <c r="U43" s="2296" cm="1">
        <f t="array" ref="U43:AB43">SALIDA_GENERACION_ELECTRICIDAD_TERMOELECTRICA_EOLICA_COSTA_ADENTRO_JEPIRACHI*AJUSTES_UNIDAD_SELECCIONADA_ELECTRICIDAD_ENERGIA</f>
        <v>0</v>
      </c>
      <c r="V43" s="2296">
        <v>0</v>
      </c>
      <c r="W43" s="2296">
        <v>0.87489192267285232</v>
      </c>
      <c r="X43" s="2296">
        <v>1.3123378840092783</v>
      </c>
      <c r="Y43" s="2296">
        <v>2.1872298066821307</v>
      </c>
      <c r="Z43" s="2296">
        <v>2.6246757680185566</v>
      </c>
      <c r="AA43" s="2296">
        <v>2.6246757680185566</v>
      </c>
      <c r="AB43" s="2296">
        <v>2.6246757680185566</v>
      </c>
    </row>
    <row r="44" spans="4:28">
      <c r="T44" s="2292" t="s">
        <v>547</v>
      </c>
      <c r="U44" s="2296" cm="1">
        <f t="array" ref="U44:AB44">SALIDA_GENERACION_ELECTRICIDAD_TERMOELECTRICA_EOLICA_COSTA_ADENTRO_RESTO_PAIS*AJUSTES_UNIDAD_SELECCIONADA_ELECTRICIDAD_ENERGIA</f>
        <v>0</v>
      </c>
      <c r="V44" s="2296">
        <v>0</v>
      </c>
      <c r="W44" s="2296">
        <v>0</v>
      </c>
      <c r="X44" s="2296">
        <v>0</v>
      </c>
      <c r="Y44" s="2296">
        <v>0</v>
      </c>
      <c r="Z44" s="2296">
        <v>0</v>
      </c>
      <c r="AA44" s="2296">
        <v>0.14581532044547538</v>
      </c>
      <c r="AB44" s="2296">
        <v>0.14581532044547538</v>
      </c>
    </row>
    <row r="45" spans="4:28">
      <c r="T45" s="2292" t="s">
        <v>548</v>
      </c>
      <c r="U45" s="2296" cm="1">
        <f t="array" ref="U45:AB45">SALIDA_GENERACION_ELECTRICIDAD_TERMOELECTRICA_EOLICA_COSTA_AFUERA*AJUSTES_UNIDAD_SELECCIONADA_ELECTRICIDAD_ENERGIA</f>
        <v>0</v>
      </c>
      <c r="V45" s="2296">
        <v>0</v>
      </c>
      <c r="W45" s="2296">
        <v>0</v>
      </c>
      <c r="X45" s="2296">
        <v>0</v>
      </c>
      <c r="Y45" s="2296">
        <v>0</v>
      </c>
      <c r="Z45" s="2296">
        <v>0</v>
      </c>
      <c r="AA45" s="2296">
        <v>0</v>
      </c>
      <c r="AB45" s="2296">
        <v>0</v>
      </c>
    </row>
    <row r="46" spans="4:28">
      <c r="T46" s="2292" t="s">
        <v>549</v>
      </c>
      <c r="U46" s="2296" cm="1">
        <f t="array" ref="U46:AB46">SALIDA_GENERACION_ELECTRICIDAD_TERMOELECTRICA_HIDROGENO_VERDE*AJUSTES_UNIDAD_SELECCIONADA_ELECTRICIDAD_ENERGIA</f>
        <v>0</v>
      </c>
      <c r="V46" s="2296">
        <v>0</v>
      </c>
      <c r="W46" s="2296">
        <v>0</v>
      </c>
      <c r="X46" s="2296">
        <v>0</v>
      </c>
      <c r="Y46" s="2296">
        <v>0</v>
      </c>
      <c r="Z46" s="2296">
        <v>0</v>
      </c>
      <c r="AA46" s="2296">
        <v>0</v>
      </c>
      <c r="AB46" s="2296">
        <v>0</v>
      </c>
    </row>
    <row r="47" spans="4:28">
      <c r="T47" s="2292" t="s">
        <v>162</v>
      </c>
      <c r="U47" s="2296" cm="1">
        <f t="array" ref="U47:AB47">SALIDA_GENERACION_ELECTRICIDAD_TERMOELECTRICA_BIOMASA*AJUSTES_UNIDAD_SELECCIONADA_ELECTRICIDAD_ENERGIA</f>
        <v>0</v>
      </c>
      <c r="V47" s="2296">
        <v>0</v>
      </c>
      <c r="W47" s="2296">
        <v>0</v>
      </c>
      <c r="X47" s="2296">
        <v>0</v>
      </c>
      <c r="Y47" s="2296">
        <v>0</v>
      </c>
      <c r="Z47" s="2296">
        <v>0</v>
      </c>
      <c r="AA47" s="2296">
        <v>0</v>
      </c>
      <c r="AB47" s="2296">
        <v>0</v>
      </c>
    </row>
    <row r="48" spans="4:28">
      <c r="T48" s="2292" t="s">
        <v>504</v>
      </c>
      <c r="U48" s="2296" cm="1">
        <f t="array" ref="U48:AB48">SALIDA_GENERACION_ELECTRICIDAD_TERMOELECTRICA_BAGAZO*AJUSTES_UNIDAD_SELECCIONADA_ELECTRICIDAD_ENERGIA</f>
        <v>0</v>
      </c>
      <c r="V48" s="2296">
        <v>0</v>
      </c>
      <c r="W48" s="2296">
        <v>0</v>
      </c>
      <c r="X48" s="2296">
        <v>0</v>
      </c>
      <c r="Y48" s="2296">
        <v>0</v>
      </c>
      <c r="Z48" s="2296">
        <v>0</v>
      </c>
      <c r="AA48" s="2296">
        <v>0</v>
      </c>
      <c r="AB48" s="2296">
        <v>0</v>
      </c>
    </row>
    <row r="49" spans="4:28">
      <c r="D49" s="680"/>
    </row>
    <row r="51" spans="4:28" ht="18.75">
      <c r="E51" s="2278" t="s">
        <v>550</v>
      </c>
      <c r="F51" s="2279"/>
      <c r="G51" s="2279"/>
      <c r="H51" s="2279"/>
      <c r="I51" s="2279"/>
      <c r="J51" s="2279"/>
      <c r="K51" s="2279"/>
      <c r="L51" s="2279"/>
      <c r="M51" s="2280"/>
      <c r="N51" s="2280"/>
      <c r="O51" s="2280"/>
      <c r="P51" s="2280"/>
      <c r="Q51" s="2280"/>
      <c r="R51" s="2280"/>
    </row>
    <row r="52" spans="4:28">
      <c r="T52" s="2281"/>
      <c r="U52" s="2281"/>
      <c r="V52" s="2281"/>
      <c r="W52" s="2281"/>
      <c r="X52" s="2281"/>
      <c r="Y52" s="2281"/>
      <c r="Z52" s="2281"/>
      <c r="AA52" s="2281"/>
      <c r="AB52" s="2282" t="str">
        <f>AJUSTES_UNIDADES_ELECTRICIDAD_ENERGIA</f>
        <v>TWh</v>
      </c>
    </row>
    <row r="53" spans="4:28">
      <c r="T53" s="2283" t="s">
        <v>551</v>
      </c>
      <c r="U53" s="2298">
        <v>2018</v>
      </c>
      <c r="V53" s="2284">
        <v>2020</v>
      </c>
      <c r="W53" s="2284">
        <v>2025</v>
      </c>
      <c r="X53" s="2284">
        <v>2030</v>
      </c>
      <c r="Y53" s="2284">
        <v>2035</v>
      </c>
      <c r="Z53" s="2284">
        <v>2040</v>
      </c>
      <c r="AA53" s="2284">
        <v>2045</v>
      </c>
      <c r="AB53" s="2284">
        <v>2050</v>
      </c>
    </row>
    <row r="54" spans="4:28">
      <c r="S54" s="3346"/>
      <c r="T54" s="2310" t="s">
        <v>552</v>
      </c>
      <c r="U54" s="2296" cm="1">
        <f t="array" ref="U54:AB54">SALIDA_IMPORTACIONES_ELECTRICIDAD*AJUSTES_UNIDAD_SELECCIONADA_ELECTRICIDAD_ENERGIA</f>
        <v>3.3829223109737141</v>
      </c>
      <c r="V54" s="2296">
        <v>2.9089128834079618</v>
      </c>
      <c r="W54" s="2296">
        <v>4.9590247468843769</v>
      </c>
      <c r="X54" s="2296">
        <v>4.4881417067715965</v>
      </c>
      <c r="Y54" s="2296">
        <v>5.0230079971914243</v>
      </c>
      <c r="Z54" s="2296">
        <v>5.4573789689147274</v>
      </c>
      <c r="AA54" s="2296">
        <v>6.0102692932066191</v>
      </c>
      <c r="AB54" s="2296">
        <v>6.6245455092928172</v>
      </c>
    </row>
    <row r="55" spans="4:28">
      <c r="T55" s="2292"/>
      <c r="U55" s="2296"/>
      <c r="V55" s="2296"/>
      <c r="W55" s="2296"/>
      <c r="X55" s="2296"/>
      <c r="Y55" s="2296"/>
      <c r="Z55" s="2296"/>
      <c r="AA55" s="2296"/>
      <c r="AB55" s="2296"/>
    </row>
    <row r="56" spans="4:28">
      <c r="T56" s="2292"/>
      <c r="U56" s="2296"/>
      <c r="V56" s="2296"/>
      <c r="W56" s="2296"/>
      <c r="X56" s="2296"/>
      <c r="Y56" s="2296"/>
      <c r="Z56" s="2296"/>
      <c r="AA56" s="2296"/>
      <c r="AB56" s="2296"/>
    </row>
    <row r="57" spans="4:28">
      <c r="T57" s="2292"/>
      <c r="U57" s="2296"/>
      <c r="V57" s="2296"/>
      <c r="W57" s="2296"/>
      <c r="X57" s="2296"/>
      <c r="Y57" s="2296"/>
      <c r="Z57" s="2296"/>
      <c r="AA57" s="2296"/>
      <c r="AB57" s="2296"/>
    </row>
    <row r="58" spans="4:28">
      <c r="D58" s="3897" t="str">
        <f>AJUSTES_UNIDADES_ELECTRICIDAD_ENERGIA</f>
        <v>TWh</v>
      </c>
      <c r="Y58" s="2296"/>
      <c r="Z58" s="2296"/>
      <c r="AA58" s="2296"/>
      <c r="AB58" s="2296"/>
    </row>
    <row r="59" spans="4:28">
      <c r="D59" s="3897"/>
      <c r="Y59" s="2296"/>
      <c r="Z59" s="2296"/>
      <c r="AA59" s="2296"/>
      <c r="AB59" s="2296"/>
    </row>
    <row r="60" spans="4:28">
      <c r="D60" s="3897"/>
      <c r="Y60" s="2296"/>
      <c r="Z60" s="2296"/>
      <c r="AA60" s="2296"/>
      <c r="AB60" s="2296"/>
    </row>
    <row r="61" spans="4:28">
      <c r="D61" s="3897"/>
      <c r="Y61" s="2296"/>
      <c r="Z61" s="2296"/>
      <c r="AA61" s="2296"/>
      <c r="AB61" s="2296"/>
    </row>
    <row r="62" spans="4:28">
      <c r="D62" s="3897"/>
      <c r="U62" s="2296"/>
      <c r="V62" s="2296"/>
      <c r="W62" s="2296"/>
      <c r="X62" s="2296"/>
      <c r="Y62" s="2296"/>
      <c r="Z62" s="2296"/>
      <c r="AA62" s="2296"/>
      <c r="AB62" s="2296"/>
    </row>
    <row r="63" spans="4:28">
      <c r="Y63" s="2287"/>
      <c r="Z63" s="2287"/>
      <c r="AA63" s="2287"/>
      <c r="AB63" s="2287"/>
    </row>
    <row r="67" spans="4:28">
      <c r="D67" s="680"/>
    </row>
    <row r="68" spans="4:28">
      <c r="D68" s="680"/>
    </row>
    <row r="69" spans="4:28">
      <c r="D69" s="680"/>
    </row>
    <row r="70" spans="4:28">
      <c r="D70" s="680"/>
    </row>
    <row r="71" spans="4:28">
      <c r="D71" s="680"/>
    </row>
    <row r="72" spans="4:28">
      <c r="D72" s="680"/>
    </row>
    <row r="74" spans="4:28" ht="18.75">
      <c r="E74" s="2278" t="s">
        <v>553</v>
      </c>
      <c r="F74" s="2279"/>
      <c r="G74" s="2279"/>
      <c r="H74" s="2279"/>
      <c r="I74" s="2279"/>
      <c r="J74" s="2279"/>
      <c r="K74" s="2279"/>
      <c r="L74" s="2279"/>
      <c r="M74" s="2280"/>
      <c r="N74" s="2280"/>
      <c r="O74" s="2280"/>
      <c r="P74" s="2280"/>
      <c r="Q74" s="2280"/>
      <c r="R74" s="2280"/>
    </row>
    <row r="75" spans="4:28">
      <c r="T75" s="2281"/>
      <c r="U75" s="2281"/>
      <c r="V75" s="2281"/>
      <c r="W75" s="2281"/>
      <c r="X75" s="2281"/>
      <c r="Y75" s="2281"/>
      <c r="Z75" s="2281"/>
      <c r="AA75" s="2281"/>
      <c r="AB75" s="2282" t="str">
        <f>AJUSTES_UNIDADES_ELECTRICIDAD_ENERGIA</f>
        <v>TWh</v>
      </c>
    </row>
    <row r="76" spans="4:28">
      <c r="T76" s="2283" t="s">
        <v>551</v>
      </c>
      <c r="U76" s="2298">
        <v>2018</v>
      </c>
      <c r="V76" s="2284">
        <v>2020</v>
      </c>
      <c r="W76" s="2284">
        <v>2025</v>
      </c>
      <c r="X76" s="2284">
        <v>2030</v>
      </c>
      <c r="Y76" s="2284">
        <v>2035</v>
      </c>
      <c r="Z76" s="2284">
        <v>2040</v>
      </c>
      <c r="AA76" s="2284">
        <v>2045</v>
      </c>
      <c r="AB76" s="2284">
        <v>2050</v>
      </c>
    </row>
    <row r="77" spans="4:28">
      <c r="T77" s="3689" t="s">
        <v>554</v>
      </c>
      <c r="U77" s="2296" cm="1">
        <f t="array" ref="U77:AB77">ABS(SALIDA_EXPORTACIONES_ELECTRICIDAD*AJUSTES_UNIDAD_SELECCIONADA_ELECTRICIDAD_ENERGIA)</f>
        <v>0</v>
      </c>
      <c r="V77" s="2296">
        <v>0</v>
      </c>
      <c r="W77" s="2296">
        <v>0</v>
      </c>
      <c r="X77" s="2296">
        <v>0</v>
      </c>
      <c r="Y77" s="2296">
        <v>0</v>
      </c>
      <c r="Z77" s="2296">
        <v>0</v>
      </c>
      <c r="AA77" s="2296">
        <v>0</v>
      </c>
      <c r="AB77" s="2296">
        <v>0</v>
      </c>
    </row>
    <row r="78" spans="4:28">
      <c r="T78" s="2292"/>
      <c r="U78" s="2296"/>
      <c r="V78" s="2296"/>
      <c r="W78" s="2296"/>
      <c r="X78" s="2296"/>
      <c r="Y78" s="2296"/>
      <c r="Z78" s="2296"/>
      <c r="AA78" s="2296"/>
      <c r="AB78" s="2296"/>
    </row>
    <row r="79" spans="4:28">
      <c r="T79" s="2292"/>
      <c r="U79" s="2296"/>
      <c r="V79" s="2296"/>
      <c r="W79" s="2296"/>
      <c r="X79" s="2296"/>
      <c r="Y79" s="2296"/>
      <c r="Z79" s="2296"/>
      <c r="AA79" s="2296"/>
      <c r="AB79" s="2296"/>
    </row>
    <row r="80" spans="4:28">
      <c r="T80" s="2292"/>
      <c r="U80" s="2296"/>
      <c r="V80" s="2296"/>
      <c r="W80" s="2296"/>
      <c r="X80" s="2296"/>
      <c r="Y80" s="2296"/>
      <c r="Z80" s="2296"/>
      <c r="AA80" s="2296"/>
      <c r="AB80" s="2296"/>
    </row>
    <row r="81" spans="4:28">
      <c r="D81" s="3897" t="str">
        <f>AJUSTES_UNIDADES_ELECTRICIDAD_ENERGIA</f>
        <v>TWh</v>
      </c>
      <c r="Y81" s="2296"/>
      <c r="Z81" s="2296"/>
      <c r="AA81" s="2296"/>
      <c r="AB81" s="2296"/>
    </row>
    <row r="82" spans="4:28">
      <c r="D82" s="3897"/>
      <c r="Y82" s="2296"/>
      <c r="Z82" s="2296"/>
      <c r="AA82" s="2296"/>
      <c r="AB82" s="2296"/>
    </row>
    <row r="83" spans="4:28">
      <c r="D83" s="3897"/>
      <c r="Y83" s="2296"/>
      <c r="Z83" s="2296"/>
      <c r="AA83" s="2296"/>
      <c r="AB83" s="2296"/>
    </row>
    <row r="84" spans="4:28">
      <c r="D84" s="3897"/>
      <c r="Y84" s="2296"/>
      <c r="Z84" s="2296"/>
      <c r="AA84" s="2296"/>
      <c r="AB84" s="2296"/>
    </row>
    <row r="85" spans="4:28">
      <c r="D85" s="3897"/>
      <c r="U85" s="2296"/>
      <c r="V85" s="2296"/>
      <c r="W85" s="2296"/>
      <c r="X85" s="2296"/>
      <c r="Y85" s="2296"/>
      <c r="Z85" s="2296"/>
      <c r="AA85" s="2296"/>
      <c r="AB85" s="2296"/>
    </row>
    <row r="86" spans="4:28">
      <c r="Y86" s="2287"/>
      <c r="Z86" s="2287"/>
      <c r="AA86" s="2287"/>
      <c r="AB86" s="2287"/>
    </row>
    <row r="90" spans="4:28">
      <c r="D90" s="680"/>
    </row>
    <row r="91" spans="4:28">
      <c r="D91" s="680"/>
    </row>
    <row r="92" spans="4:28">
      <c r="D92" s="680"/>
    </row>
    <row r="93" spans="4:28">
      <c r="D93" s="680"/>
    </row>
    <row r="94" spans="4:28">
      <c r="D94" s="680"/>
    </row>
    <row r="95" spans="4:28">
      <c r="D95" s="680"/>
    </row>
    <row r="96" spans="4:28">
      <c r="D96" s="680"/>
    </row>
    <row r="97" spans="4:6">
      <c r="D97" s="680"/>
    </row>
    <row r="98" spans="4:6">
      <c r="D98" s="680"/>
      <c r="E98" s="680"/>
      <c r="F98" s="680"/>
    </row>
    <row r="99" spans="4:6">
      <c r="D99" s="680"/>
      <c r="E99" s="680"/>
      <c r="F99" s="680"/>
    </row>
    <row r="100" spans="4:6">
      <c r="E100" s="680"/>
      <c r="F100" s="680"/>
    </row>
    <row r="101" spans="4:6">
      <c r="E101" s="680"/>
      <c r="F101" s="680"/>
    </row>
  </sheetData>
  <sheetProtection algorithmName="SHA-512" hashValue="2RT/ROQ6qQxsoQ07njp7qFpULDLQqhdkpAZgwFCrzjY/CapWF3kyFGVPh7ODAJIVI9jixuQ3EqwGJiww+AiNUQ==" saltValue="XDculCZQebdg7EEBCiO71g==" spinCount="100000" sheet="1" objects="1" scenarios="1"/>
  <mergeCells count="4">
    <mergeCell ref="D11:D15"/>
    <mergeCell ref="D32:D36"/>
    <mergeCell ref="D58:D62"/>
    <mergeCell ref="D81:D85"/>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6ED23C4C-7BA3-48DB-9A10-7402335A666F}">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RESULTADOS_ELECTRICIDAD!U10:AB10</xm:f>
              <xm:sqref>S10</xm:sqref>
            </x14:sparkline>
            <x14:sparkline>
              <xm:f>RESULTADOS_ELECTRICIDAD!U11:AB11</xm:f>
              <xm:sqref>S11</xm:sqref>
            </x14:sparkline>
            <x14:sparkline>
              <xm:f>RESULTADOS_ELECTRICIDAD!U12:AB12</xm:f>
              <xm:sqref>S12</xm:sqref>
            </x14:sparkline>
            <x14:sparkline>
              <xm:f>RESULTADOS_ELECTRICIDAD!U13:AB13</xm:f>
              <xm:sqref>S13</xm:sqref>
            </x14:sparkline>
            <x14:sparkline>
              <xm:f>RESULTADOS_ELECTRICIDAD!U14:AB14</xm:f>
              <xm:sqref>S14</xm:sqref>
            </x14:sparkline>
            <x14:sparkline>
              <xm:f>RESULTADOS_ELECTRICIDAD!U15:AB15</xm:f>
              <xm:sqref>S15</xm:sqref>
            </x14:sparkline>
            <x14:sparkline>
              <xm:f>RESULTADOS_ELECTRICIDAD!U16:AB16</xm:f>
              <xm:sqref>S16</xm:sqref>
            </x14:sparkline>
            <x14:sparkline>
              <xm:f>RESULTADOS_ELECTRICIDAD!U17:AB17</xm:f>
              <xm:sqref>S17</xm:sqref>
            </x14:sparkline>
            <x14:sparkline>
              <xm:f>RESULTADOS_ELECTRICIDAD!U18:AB18</xm:f>
              <xm:sqref>S18</xm:sqref>
            </x14:sparkline>
            <x14:sparkline>
              <xm:f>RESULTADOS_ELECTRICIDAD!U19:AB19</xm:f>
              <xm:sqref>S19</xm:sqref>
            </x14:sparkline>
            <x14:sparkline>
              <xm:f>RESULTADOS_ELECTRICIDAD!U20:AB20</xm:f>
              <xm:sqref>S20</xm:sqref>
            </x14:sparkline>
          </x14:sparklines>
        </x14:sparklineGroup>
        <x14:sparklineGroup manualMax="0" manualMin="0" displayEmptyCellsAs="gap" xr2:uid="{20B2D48C-E356-4EE5-98BE-3FE20DE06C64}">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RESULTADOS_ELECTRICIDAD!U30:AB30</xm:f>
              <xm:sqref>S30</xm:sqref>
            </x14:sparkline>
            <x14:sparkline>
              <xm:f>RESULTADOS_ELECTRICIDAD!U31:AB31</xm:f>
              <xm:sqref>S31</xm:sqref>
            </x14:sparkline>
            <x14:sparkline>
              <xm:f>RESULTADOS_ELECTRICIDAD!U32:AB32</xm:f>
              <xm:sqref>S32</xm:sqref>
            </x14:sparkline>
            <x14:sparkline>
              <xm:f>RESULTADOS_ELECTRICIDAD!U33:AB33</xm:f>
              <xm:sqref>S33</xm:sqref>
            </x14:sparkline>
            <x14:sparkline>
              <xm:f>RESULTADOS_ELECTRICIDAD!U34:AB34</xm:f>
              <xm:sqref>S34</xm:sqref>
            </x14:sparkline>
            <x14:sparkline>
              <xm:f>RESULTADOS_ELECTRICIDAD!U35:AB35</xm:f>
              <xm:sqref>S35</xm:sqref>
            </x14:sparkline>
            <x14:sparkline>
              <xm:f>RESULTADOS_ELECTRICIDAD!U36:AB36</xm:f>
              <xm:sqref>S36</xm:sqref>
            </x14:sparkline>
            <x14:sparkline>
              <xm:f>RESULTADOS_ELECTRICIDAD!U37:AB37</xm:f>
              <xm:sqref>S37</xm:sqref>
            </x14:sparkline>
            <x14:sparkline>
              <xm:f>RESULTADOS_ELECTRICIDAD!U38:AB38</xm:f>
              <xm:sqref>S38</xm:sqref>
            </x14:sparkline>
            <x14:sparkline>
              <xm:f>RESULTADOS_ELECTRICIDAD!U39:AB39</xm:f>
              <xm:sqref>S39</xm:sqref>
            </x14:sparkline>
            <x14:sparkline>
              <xm:f>RESULTADOS_ELECTRICIDAD!U40:AB40</xm:f>
              <xm:sqref>S40</xm:sqref>
            </x14:sparkline>
            <x14:sparkline>
              <xm:f>RESULTADOS_ELECTRICIDAD!U41:AB41</xm:f>
              <xm:sqref>S41</xm:sqref>
            </x14:sparkline>
            <x14:sparkline>
              <xm:f>RESULTADOS_ELECTRICIDAD!U42:AB42</xm:f>
              <xm:sqref>S42</xm:sqref>
            </x14:sparkline>
            <x14:sparkline>
              <xm:f>RESULTADOS_ELECTRICIDAD!U43:AB43</xm:f>
              <xm:sqref>S43</xm:sqref>
            </x14:sparkline>
            <x14:sparkline>
              <xm:f>RESULTADOS_ELECTRICIDAD!U44:AB44</xm:f>
              <xm:sqref>S44</xm:sqref>
            </x14:sparkline>
            <x14:sparkline>
              <xm:f>RESULTADOS_ELECTRICIDAD!U44:AB44</xm:f>
              <xm:sqref>S45</xm:sqref>
            </x14:sparkline>
            <x14:sparkline>
              <xm:f>RESULTADOS_ELECTRICIDAD!U45:AB45</xm:f>
              <xm:sqref>S46</xm:sqref>
            </x14:sparkline>
            <x14:sparkline>
              <xm:f>RESULTADOS_ELECTRICIDAD!U46:AB46</xm:f>
              <xm:sqref>S47</xm:sqref>
            </x14:sparkline>
            <x14:sparkline>
              <xm:f>RESULTADOS_ELECTRICIDAD!U47:AB47</xm:f>
              <xm:sqref>S48</xm:sqref>
            </x14:sparkline>
          </x14:sparklines>
        </x14:sparklineGroup>
        <x14:sparklineGroup displayEmptyCellsAs="gap" xr2:uid="{BC71D5F9-C78B-46D8-AFC7-5E723D126294}">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RESULTADOS_ELECTRICIDAD!U54:AB54</xm:f>
              <xm:sqref>S54</xm:sqref>
            </x14:sparkline>
          </x14:sparklines>
        </x14:sparklineGroup>
        <x14:sparklineGroup manualMax="0" manualMin="0" displayEmptyCellsAs="gap" xr2:uid="{29078B68-E1AD-40FB-AD63-095273484B10}">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RESULTADOS_ELECTRICIDAD!U77:AB77</xm:f>
              <xm:sqref>S78</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A8592-C9F6-4D1A-8641-084A20E0DA0B}">
  <sheetPr codeName="Hoja33"/>
  <dimension ref="A1:AB65"/>
  <sheetViews>
    <sheetView showGridLines="0" zoomScale="80" zoomScaleNormal="80" workbookViewId="0"/>
  </sheetViews>
  <sheetFormatPr baseColWidth="10" defaultColWidth="11.42578125" defaultRowHeight="15"/>
  <cols>
    <col min="1" max="1" width="20.7109375" style="678" customWidth="1"/>
    <col min="2" max="2" width="30.7109375" style="2276" customWidth="1"/>
    <col min="3" max="3" width="5.28515625" style="679" customWidth="1"/>
    <col min="4" max="4" width="11.5703125" style="679"/>
    <col min="5" max="19" width="11.42578125" style="679"/>
    <col min="20" max="20" width="54.140625" style="679" customWidth="1"/>
    <col min="21" max="21" width="14.140625" style="679" bestFit="1" customWidth="1"/>
    <col min="22" max="22" width="13.28515625" style="679" bestFit="1" customWidth="1"/>
    <col min="23" max="28" width="13.140625" style="679" bestFit="1" customWidth="1"/>
    <col min="29" max="16384" width="11.42578125" style="679"/>
  </cols>
  <sheetData>
    <row r="1" spans="1:28" ht="15" customHeight="1"/>
    <row r="2" spans="1:28" ht="15" customHeight="1"/>
    <row r="3" spans="1:28" ht="15" customHeight="1"/>
    <row r="4" spans="1:28" ht="15" customHeight="1">
      <c r="E4" s="694"/>
    </row>
    <row r="5" spans="1:28" ht="15" customHeight="1">
      <c r="A5" s="1559"/>
      <c r="E5" s="2278" t="s">
        <v>555</v>
      </c>
      <c r="F5" s="2279"/>
      <c r="G5" s="2279"/>
      <c r="H5" s="2279"/>
      <c r="I5" s="2279"/>
      <c r="J5" s="2279"/>
      <c r="K5" s="2279"/>
      <c r="L5" s="2279"/>
      <c r="M5" s="2280"/>
      <c r="N5" s="2280"/>
      <c r="O5" s="2280"/>
      <c r="P5" s="2280"/>
      <c r="Q5" s="2280"/>
      <c r="R5" s="2280"/>
    </row>
    <row r="6" spans="1:28" ht="15" customHeight="1"/>
    <row r="7" spans="1:28" ht="15" customHeight="1">
      <c r="T7" s="2281"/>
      <c r="U7" s="2281"/>
    </row>
    <row r="8" spans="1:28" ht="15" customHeight="1">
      <c r="E8" s="2291"/>
      <c r="F8" s="2291"/>
      <c r="G8" s="2291"/>
      <c r="H8" s="2291"/>
      <c r="I8" s="2291"/>
      <c r="T8" s="2290"/>
      <c r="U8" s="2290"/>
      <c r="V8" s="2281"/>
      <c r="W8" s="2281"/>
      <c r="X8" s="2281"/>
      <c r="Y8" s="2281"/>
      <c r="Z8" s="2281"/>
      <c r="AA8" s="2281"/>
      <c r="AB8" s="2282" t="str">
        <f>AJUSTES_UNIDADES_INDUSTRIA_EMISIONES</f>
        <v>Mt CO2 e</v>
      </c>
    </row>
    <row r="9" spans="1:28" ht="15" customHeight="1">
      <c r="E9" s="2291"/>
      <c r="F9" s="2291"/>
      <c r="G9" s="2291"/>
      <c r="H9" s="2291"/>
      <c r="I9" s="2291"/>
      <c r="T9" s="2283" t="s">
        <v>556</v>
      </c>
      <c r="U9" s="2284">
        <v>2018</v>
      </c>
      <c r="V9" s="2284">
        <v>2020</v>
      </c>
      <c r="W9" s="2284">
        <v>2025</v>
      </c>
      <c r="X9" s="2284">
        <v>2030</v>
      </c>
      <c r="Y9" s="2284">
        <v>2035</v>
      </c>
      <c r="Z9" s="2284">
        <v>2040</v>
      </c>
      <c r="AA9" s="2284">
        <v>2045</v>
      </c>
      <c r="AB9" s="2284">
        <v>2050</v>
      </c>
    </row>
    <row r="10" spans="1:28" ht="15" customHeight="1">
      <c r="E10" s="2291"/>
      <c r="F10" s="2291"/>
      <c r="G10" s="2291"/>
      <c r="H10" s="2291"/>
      <c r="I10" s="2291"/>
      <c r="T10" s="2292" t="s">
        <v>557</v>
      </c>
      <c r="U10" s="2288" cm="1">
        <f t="array" ref="U10:AB10">SALIDA_EMISIONES_IND_CEMENTO*AJUSTES_UNIDAD_SELECCIONADA_INDUSTRIA_EMISIONES</f>
        <v>0.80410809561800356</v>
      </c>
      <c r="V10" s="2288">
        <v>0.85126761644079341</v>
      </c>
      <c r="W10" s="2288">
        <v>1.0617459712244595</v>
      </c>
      <c r="X10" s="2288">
        <v>1.3207772702283573</v>
      </c>
      <c r="Y10" s="2288">
        <v>1.3207772702283573</v>
      </c>
      <c r="Z10" s="2288">
        <v>1.3207772702283573</v>
      </c>
      <c r="AA10" s="2288">
        <v>1.3207772702283573</v>
      </c>
      <c r="AB10" s="2288">
        <v>1.3207772702283573</v>
      </c>
    </row>
    <row r="11" spans="1:28" ht="15" customHeight="1">
      <c r="E11" s="2291"/>
      <c r="F11" s="2291"/>
      <c r="G11" s="2291"/>
      <c r="H11" s="2291"/>
      <c r="I11" s="2291"/>
      <c r="T11" s="2292" t="s">
        <v>558</v>
      </c>
      <c r="U11" s="2288" cm="1">
        <f t="array" ref="U11:AB11">SALIDA_EMISIONES_IND_HIERRO_Y_NO_FERROSOS*AJUSTES_UNIDAD_SELECCIONADA_INDUSTRIA_EMISIONES</f>
        <v>0.36746979256062651</v>
      </c>
      <c r="V11" s="2288">
        <v>0.39081097742740806</v>
      </c>
      <c r="W11" s="2288">
        <v>0.47804145601245662</v>
      </c>
      <c r="X11" s="2288">
        <v>0.57716251435725996</v>
      </c>
      <c r="Y11" s="2288">
        <v>1.8181805277828991</v>
      </c>
      <c r="Z11" s="2288">
        <v>1.8181805277828991</v>
      </c>
      <c r="AA11" s="2288">
        <v>1.8181805277828991</v>
      </c>
      <c r="AB11" s="2288">
        <v>1.8181805277828991</v>
      </c>
    </row>
    <row r="12" spans="1:28" ht="15" customHeight="1">
      <c r="D12" s="3897" t="str">
        <f>AJUSTES_UNIDADES_INDUSTRIA_EMISIONES</f>
        <v>Mt CO2 e</v>
      </c>
      <c r="E12" s="2291"/>
      <c r="F12" s="2291"/>
      <c r="G12" s="2291"/>
      <c r="H12" s="2291"/>
      <c r="I12" s="2291"/>
      <c r="T12" s="2292" t="s">
        <v>559</v>
      </c>
      <c r="U12" s="2288" cm="1">
        <f t="array" ref="U12:AB12">SALIDA_EMISIONES_IND_PAPEL*AJUSTES_UNIDAD_SELECCIONADA_INDUSTRIA_EMISIONES</f>
        <v>0.12907632565804764</v>
      </c>
      <c r="V12" s="2296">
        <v>0.12907632565804764</v>
      </c>
      <c r="W12" s="2296">
        <v>0.15163756220187111</v>
      </c>
      <c r="X12" s="2296">
        <v>0.1747793544221066</v>
      </c>
      <c r="Y12" s="2296">
        <v>0.1747793544221066</v>
      </c>
      <c r="Z12" s="2296">
        <v>0.1747793544221066</v>
      </c>
      <c r="AA12" s="2296">
        <v>0.1747793544221066</v>
      </c>
      <c r="AB12" s="2296">
        <v>0.1747793544221066</v>
      </c>
    </row>
    <row r="13" spans="1:28" ht="15" customHeight="1">
      <c r="D13" s="3897"/>
      <c r="E13" s="2291"/>
      <c r="F13" s="2291"/>
      <c r="G13" s="2291"/>
      <c r="H13" s="2291"/>
      <c r="I13" s="2291"/>
      <c r="T13" s="2292" t="s">
        <v>560</v>
      </c>
      <c r="U13" s="2288" cm="1">
        <f t="array" ref="U13:AB13">SALIDA_EMISIONES_IND_QUIMICOS*AJUSTES_UNIDAD_SELECCIONADA_INDUSTRIA_EMISIONES</f>
        <v>0.103682178046165</v>
      </c>
      <c r="V13" s="2296">
        <v>0.10445398362792072</v>
      </c>
      <c r="W13" s="2296">
        <v>0.11880124311067528</v>
      </c>
      <c r="X13" s="2296">
        <v>0.13377070034086194</v>
      </c>
      <c r="Y13" s="2296">
        <v>0.13377070034086194</v>
      </c>
      <c r="Z13" s="2296">
        <v>0.13377070034086194</v>
      </c>
      <c r="AA13" s="2296">
        <v>0.13377070034086194</v>
      </c>
      <c r="AB13" s="2296">
        <v>0.13377070034086194</v>
      </c>
    </row>
    <row r="14" spans="1:28" ht="15" customHeight="1">
      <c r="D14" s="3897"/>
      <c r="E14" s="2291"/>
      <c r="F14" s="2291"/>
      <c r="G14" s="2291"/>
      <c r="H14" s="2291"/>
      <c r="I14" s="2291"/>
      <c r="T14" s="2292" t="s">
        <v>561</v>
      </c>
      <c r="U14" s="2288" cm="1">
        <f t="array" ref="U14:AB14">SALIDA_EMISIONES_IND_ALIMENTOS_Y_BEBIDAS*AJUSTES_UNIDAD_SELECCIONADA_INDUSTRIA_EMISIONES</f>
        <v>0.74929474570938903</v>
      </c>
      <c r="V14" s="2296">
        <v>0.74929474570938903</v>
      </c>
      <c r="W14" s="2296">
        <v>0.86737000309390955</v>
      </c>
      <c r="X14" s="2296">
        <v>0.98657267182697761</v>
      </c>
      <c r="Y14" s="2296">
        <v>0.98657267182697761</v>
      </c>
      <c r="Z14" s="2296">
        <v>0.98657267182697761</v>
      </c>
      <c r="AA14" s="2296">
        <v>0.98657267182697761</v>
      </c>
      <c r="AB14" s="2296">
        <v>0.98657267182697761</v>
      </c>
    </row>
    <row r="15" spans="1:28" ht="15" customHeight="1">
      <c r="D15" s="3897"/>
      <c r="E15" s="2291"/>
      <c r="F15" s="2291"/>
      <c r="G15" s="2291"/>
      <c r="H15" s="2291"/>
      <c r="I15" s="2291"/>
      <c r="T15" s="2292" t="s">
        <v>562</v>
      </c>
      <c r="U15" s="2288" cm="1">
        <f t="array" ref="U15:AB15">SALIDA_EMISIONES_IND_TEXTIL*AJUSTES_UNIDAD_SELECCIONADA_INDUSTRIA_EMISIONES</f>
        <v>4.6711732520175256E-2</v>
      </c>
      <c r="V15" s="2288">
        <v>4.6711732520175256E-2</v>
      </c>
      <c r="W15" s="2288">
        <v>5.3875779917808939E-2</v>
      </c>
      <c r="X15" s="2288">
        <v>6.0861894105956438E-2</v>
      </c>
      <c r="Y15" s="2288">
        <v>6.0861894105956438E-2</v>
      </c>
      <c r="Z15" s="2288">
        <v>6.0861894105956438E-2</v>
      </c>
      <c r="AA15" s="2288">
        <v>6.0861894105956438E-2</v>
      </c>
      <c r="AB15" s="2288">
        <v>6.0861894105956438E-2</v>
      </c>
    </row>
    <row r="16" spans="1:28" ht="15" customHeight="1">
      <c r="D16" s="3897"/>
      <c r="E16" s="2291"/>
      <c r="F16" s="2291"/>
      <c r="G16" s="2291"/>
      <c r="H16" s="2291"/>
      <c r="I16" s="2291"/>
      <c r="T16" s="2292" t="s">
        <v>563</v>
      </c>
      <c r="U16" s="2288" cm="1">
        <f t="array" ref="U16:AB16">SALIDA_EMISIONES_IND_LADRILLERAS*AJUSTES_UNIDAD_SELECCIONADA_INDUSTRIA_EMISIONES</f>
        <v>0.29928112590993755</v>
      </c>
      <c r="V16" s="2288">
        <v>0.29928112590993755</v>
      </c>
      <c r="W16" s="2288">
        <v>0.38391578718484454</v>
      </c>
      <c r="X16" s="2288">
        <v>0.45182564255519853</v>
      </c>
      <c r="Y16" s="2288">
        <v>0.45182564255519853</v>
      </c>
      <c r="Z16" s="2288">
        <v>0.45182564255519853</v>
      </c>
      <c r="AA16" s="2288">
        <v>0.45182564255519853</v>
      </c>
      <c r="AB16" s="2288">
        <v>0.45182564255519853</v>
      </c>
    </row>
    <row r="17" spans="1:28" s="680" customFormat="1" ht="15" customHeight="1">
      <c r="A17" s="678"/>
      <c r="B17" s="2276"/>
      <c r="D17" s="679"/>
      <c r="E17" s="679"/>
      <c r="F17" s="679"/>
      <c r="G17" s="679"/>
      <c r="H17" s="679"/>
      <c r="I17" s="679"/>
      <c r="J17" s="679"/>
      <c r="K17" s="679"/>
      <c r="L17" s="679"/>
      <c r="M17" s="679"/>
      <c r="N17" s="679"/>
      <c r="O17" s="679"/>
      <c r="P17" s="679"/>
      <c r="S17" s="679"/>
      <c r="T17" s="2292" t="s">
        <v>564</v>
      </c>
      <c r="U17" s="2288" cm="1">
        <f t="array" ref="U17:AB17">SALIDA_EMISIONES_IND_OTROS*AJUSTES_UNIDAD_SELECCIONADA_INDUSTRIA_EMISIONES</f>
        <v>2.0626364161375092E-2</v>
      </c>
      <c r="V17" s="2288">
        <v>2.1680599103139284E-2</v>
      </c>
      <c r="W17" s="2288">
        <v>2.6683648671996869E-2</v>
      </c>
      <c r="X17" s="2288">
        <v>3.2303289234448244E-2</v>
      </c>
      <c r="Y17" s="2288">
        <v>3.2303289234448244E-2</v>
      </c>
      <c r="Z17" s="2288">
        <v>3.2303289234448244E-2</v>
      </c>
      <c r="AA17" s="2288">
        <v>3.2303289234448244E-2</v>
      </c>
      <c r="AB17" s="2288">
        <v>3.2303289234448244E-2</v>
      </c>
    </row>
    <row r="18" spans="1:28" ht="15" customHeight="1">
      <c r="T18" s="2292" t="s">
        <v>565</v>
      </c>
      <c r="U18" s="2288" cm="1">
        <f t="array" ref="U18:AB18">SALIDA_EMISIONES_IND_EMISIONES_SAO*AJUSTES_UNIDAD_SELECCIONADA_INDUSTRIA_EMISIONES</f>
        <v>7.8987523506667309E-2</v>
      </c>
      <c r="V18" s="2288">
        <v>0.10202453218922972</v>
      </c>
      <c r="W18" s="2288">
        <v>0.16239709821170684</v>
      </c>
      <c r="X18" s="2288">
        <v>0.20839409485702687</v>
      </c>
      <c r="Y18" s="2288">
        <v>0.25439109150234679</v>
      </c>
      <c r="Z18" s="2288">
        <v>0.30038808814766682</v>
      </c>
      <c r="AA18" s="2288">
        <v>0.34638508479298674</v>
      </c>
      <c r="AB18" s="2288">
        <v>0.39238208143830666</v>
      </c>
    </row>
    <row r="19" spans="1:28" ht="15" customHeight="1">
      <c r="E19" s="680"/>
      <c r="F19" s="680"/>
      <c r="G19" s="680"/>
      <c r="H19" s="680"/>
      <c r="I19" s="680"/>
      <c r="J19" s="680"/>
      <c r="K19" s="680"/>
      <c r="L19" s="680"/>
      <c r="M19" s="680"/>
      <c r="N19" s="680"/>
      <c r="O19" s="680"/>
      <c r="P19" s="680"/>
    </row>
    <row r="20" spans="1:28" ht="15" customHeight="1"/>
    <row r="21" spans="1:28" ht="15" customHeight="1"/>
    <row r="22" spans="1:28" ht="15" customHeight="1"/>
    <row r="23" spans="1:28" ht="15" customHeight="1"/>
    <row r="24" spans="1:28" ht="15" customHeight="1">
      <c r="E24" s="694"/>
    </row>
    <row r="25" spans="1:28" ht="15" customHeight="1">
      <c r="E25" s="2278" t="s">
        <v>566</v>
      </c>
      <c r="F25" s="2279"/>
      <c r="G25" s="2279"/>
      <c r="H25" s="2279"/>
      <c r="I25" s="2279"/>
      <c r="J25" s="2279"/>
      <c r="K25" s="2279"/>
      <c r="L25" s="2279"/>
      <c r="M25" s="2280"/>
      <c r="N25" s="2280"/>
      <c r="O25" s="2280"/>
      <c r="P25" s="2280"/>
      <c r="Q25" s="2280"/>
      <c r="R25" s="2280"/>
    </row>
    <row r="26" spans="1:28" ht="15" customHeight="1"/>
    <row r="27" spans="1:28" ht="15" customHeight="1"/>
    <row r="28" spans="1:28" ht="15" customHeight="1">
      <c r="T28" s="2281"/>
      <c r="U28" s="2281"/>
      <c r="V28" s="2281"/>
      <c r="W28" s="2281"/>
      <c r="X28" s="2281"/>
      <c r="Y28" s="2281"/>
      <c r="Z28" s="2281"/>
      <c r="AA28" s="2281"/>
      <c r="AB28" s="2282" t="str">
        <f>AJUSTES_UNIDADES_INDUSTRIA_ENERGIA</f>
        <v>TWh</v>
      </c>
    </row>
    <row r="29" spans="1:28" ht="15" customHeight="1">
      <c r="T29" s="2283" t="s">
        <v>556</v>
      </c>
      <c r="U29" s="2298">
        <v>2018</v>
      </c>
      <c r="V29" s="2284">
        <v>2020</v>
      </c>
      <c r="W29" s="2284">
        <v>2025</v>
      </c>
      <c r="X29" s="2284">
        <v>2030</v>
      </c>
      <c r="Y29" s="2284">
        <v>2035</v>
      </c>
      <c r="Z29" s="2284">
        <v>2040</v>
      </c>
      <c r="AA29" s="2284">
        <v>2045</v>
      </c>
      <c r="AB29" s="2284">
        <v>2050</v>
      </c>
    </row>
    <row r="30" spans="1:28" ht="15" customHeight="1">
      <c r="T30" s="2292" t="s">
        <v>557</v>
      </c>
      <c r="U30" s="2288" cm="1">
        <f t="array" ref="U30:AB30">SALIDA_DEMANDA_IND_CEMENTO*AJUSTES_UNIDAD_SELECCIONADA_INDUSTRIA_ENERGIA</f>
        <v>1.4945606254440957</v>
      </c>
      <c r="V30" s="2288">
        <v>1.4945606254440957</v>
      </c>
      <c r="W30" s="2288">
        <v>1.7389323866816011</v>
      </c>
      <c r="X30" s="2288">
        <v>1.9899110645150535</v>
      </c>
      <c r="Y30" s="2288">
        <v>1.9899110645150535</v>
      </c>
      <c r="Z30" s="2288">
        <v>1.9899110645150535</v>
      </c>
      <c r="AA30" s="2288">
        <v>1.9899110645150535</v>
      </c>
      <c r="AB30" s="2288">
        <v>1.9899110645150535</v>
      </c>
    </row>
    <row r="31" spans="1:28" ht="15" customHeight="1">
      <c r="T31" s="2292" t="s">
        <v>558</v>
      </c>
      <c r="U31" s="2296" cm="1">
        <f t="array" ref="U31:AB31">SALIDA_DEMANDA_IND_HIERRO_Y_ACERO*AJUSTES_UNIDAD_SELECCIONADA_INDUSTRIA_ENERGIA</f>
        <v>0.547574596020589</v>
      </c>
      <c r="V31" s="2296">
        <v>0.547574596020589</v>
      </c>
      <c r="W31" s="2296">
        <v>0.63175855038270867</v>
      </c>
      <c r="X31" s="2296">
        <v>0.71633432269545994</v>
      </c>
      <c r="Y31" s="2296">
        <v>0.71633432269545994</v>
      </c>
      <c r="Z31" s="2296">
        <v>0.71633432269545994</v>
      </c>
      <c r="AA31" s="2296">
        <v>0.71633432269545994</v>
      </c>
      <c r="AB31" s="2296">
        <v>0.71633432269545994</v>
      </c>
    </row>
    <row r="32" spans="1:28" ht="15" customHeight="1">
      <c r="D32" s="3897" t="str">
        <f>AJUSTES_UNIDADES_INDUSTRIA_ENERGIA</f>
        <v>TWh</v>
      </c>
      <c r="T32" s="2292" t="s">
        <v>559</v>
      </c>
      <c r="U32" s="2296" cm="1">
        <f t="array" ref="U32:AB32">SALIDA_DEMANDA_IND_PAPEL*AJUSTES_UNIDAD_SELECCIONADA_INDUSTRIA_ENERGIA</f>
        <v>0.57521893006349556</v>
      </c>
      <c r="V32" s="2296">
        <v>0.57521893006349556</v>
      </c>
      <c r="W32" s="2296">
        <v>0.67267248055894258</v>
      </c>
      <c r="X32" s="2296">
        <v>0.77263374874161572</v>
      </c>
      <c r="Y32" s="2296">
        <v>0.77263374874161572</v>
      </c>
      <c r="Z32" s="2296">
        <v>0.77263374874161572</v>
      </c>
      <c r="AA32" s="2296">
        <v>0.77263374874161572</v>
      </c>
      <c r="AB32" s="2296">
        <v>0.77263374874161572</v>
      </c>
    </row>
    <row r="33" spans="4:28" ht="15" customHeight="1">
      <c r="D33" s="3897"/>
      <c r="T33" s="2292" t="s">
        <v>560</v>
      </c>
      <c r="U33" s="2296" cm="1">
        <f t="array" ref="U33:AB33">SALIDA_DEMANDA_IND_QUIMICOS*AJUSTES_UNIDAD_SELECCIONADA_INDUSTRIA_ENERGIA</f>
        <v>0.56116476052312847</v>
      </c>
      <c r="V33" s="2296">
        <v>0.56116476052312847</v>
      </c>
      <c r="W33" s="2296">
        <v>0.64678189479005765</v>
      </c>
      <c r="X33" s="2296">
        <v>0.73355885287863931</v>
      </c>
      <c r="Y33" s="2296">
        <v>0.73355885287863931</v>
      </c>
      <c r="Z33" s="2296">
        <v>0.73355885287863931</v>
      </c>
      <c r="AA33" s="2296">
        <v>0.73355885287863931</v>
      </c>
      <c r="AB33" s="2296">
        <v>0.73355885287863931</v>
      </c>
    </row>
    <row r="34" spans="4:28" ht="15" customHeight="1">
      <c r="D34" s="3897"/>
      <c r="T34" s="2292" t="s">
        <v>561</v>
      </c>
      <c r="U34" s="2296" cm="1">
        <f t="array" ref="U34:AB34">SALIDA_DEMANDA_IND_ALIMENTOS_Y_BEBIDAS*AJUSTES_UNIDAD_SELECCIONADA_INDUSTRIA_ENERGIA</f>
        <v>2.3620286504882539</v>
      </c>
      <c r="V34" s="2296">
        <v>2.3620286504882539</v>
      </c>
      <c r="W34" s="2296">
        <v>2.7325520283896263</v>
      </c>
      <c r="X34" s="2296">
        <v>3.1066132538502695</v>
      </c>
      <c r="Y34" s="2296">
        <v>3.1066132538502695</v>
      </c>
      <c r="Z34" s="2296">
        <v>3.1066132538502695</v>
      </c>
      <c r="AA34" s="2296">
        <v>3.1066132538502695</v>
      </c>
      <c r="AB34" s="2296">
        <v>3.1066132538502695</v>
      </c>
    </row>
    <row r="35" spans="4:28" ht="15" customHeight="1">
      <c r="D35" s="3897"/>
      <c r="T35" s="2292" t="s">
        <v>562</v>
      </c>
      <c r="U35" s="2296" cm="1">
        <f t="array" ref="U35:AB35">SALIDA_DEMANDA_IND_TEXTIL*AJUSTES_UNIDAD_SELECCIONADA_INDUSTRIA_ENERGIA</f>
        <v>0.25948427672007435</v>
      </c>
      <c r="V35" s="2296">
        <v>0.25948427672007435</v>
      </c>
      <c r="W35" s="2296">
        <v>0.29666220297161516</v>
      </c>
      <c r="X35" s="2296">
        <v>0.33291674229216472</v>
      </c>
      <c r="Y35" s="2296">
        <v>0.33291674229216472</v>
      </c>
      <c r="Z35" s="2296">
        <v>0.33291674229216472</v>
      </c>
      <c r="AA35" s="2296">
        <v>0.33291674229216472</v>
      </c>
      <c r="AB35" s="2296">
        <v>0.33291674229216472</v>
      </c>
    </row>
    <row r="36" spans="4:28" ht="15" customHeight="1">
      <c r="D36" s="3897"/>
      <c r="T36" s="2292" t="s">
        <v>563</v>
      </c>
      <c r="U36" s="2296" cm="1">
        <f t="array" ref="U36:AB36">SALIDA_DEMANDA_IND_LADRILLERAS*AJUSTES_UNIDAD_SELECCIONADA_INDUSTRIA_ENERGIA</f>
        <v>0.94779078838012809</v>
      </c>
      <c r="V36" s="2296">
        <v>0.94779078838012809</v>
      </c>
      <c r="W36" s="2296">
        <v>1.2156351028883881</v>
      </c>
      <c r="X36" s="2296">
        <v>1.4305502261491274</v>
      </c>
      <c r="Y36" s="2296">
        <v>1.4305502261491274</v>
      </c>
      <c r="Z36" s="2296">
        <v>1.4305502261491274</v>
      </c>
      <c r="AA36" s="2296">
        <v>1.4305502261491274</v>
      </c>
      <c r="AB36" s="2296">
        <v>1.4305502261491274</v>
      </c>
    </row>
    <row r="37" spans="4:28" ht="15" customHeight="1">
      <c r="T37" s="2292" t="s">
        <v>564</v>
      </c>
      <c r="U37" s="2296" cm="1">
        <f t="array" ref="U37:AB37">SALIDA_DEMANDA_IND_OTROS_Y_PTP*AJUSTES_UNIDAD_SELECCIONADA_INDUSTRIA_ENERGIA</f>
        <v>2.2435549127588293E-2</v>
      </c>
      <c r="V37" s="2296">
        <v>2.2435549127588293E-2</v>
      </c>
      <c r="W37" s="2296">
        <v>2.595528184384922E-2</v>
      </c>
      <c r="X37" s="2296">
        <v>2.9467387904421279E-2</v>
      </c>
      <c r="Y37" s="2296">
        <v>2.9467387904421279E-2</v>
      </c>
      <c r="Z37" s="2296">
        <v>2.9467387904421279E-2</v>
      </c>
      <c r="AA37" s="2296">
        <v>2.9467387904421279E-2</v>
      </c>
      <c r="AB37" s="2296">
        <v>2.9467387904421279E-2</v>
      </c>
    </row>
    <row r="38" spans="4:28" ht="15" customHeight="1">
      <c r="X38" s="2287"/>
      <c r="Y38" s="2287"/>
      <c r="Z38" s="2287"/>
      <c r="AA38" s="2287"/>
      <c r="AB38" s="2287"/>
    </row>
    <row r="39" spans="4:28" ht="17.25" customHeight="1"/>
    <row r="45" spans="4:28" ht="18.75">
      <c r="E45" s="2278" t="s">
        <v>567</v>
      </c>
      <c r="F45" s="2279"/>
      <c r="G45" s="2279"/>
      <c r="H45" s="2279"/>
      <c r="I45" s="2279"/>
      <c r="J45" s="2279"/>
      <c r="K45" s="2279"/>
      <c r="L45" s="2279"/>
      <c r="M45" s="2280"/>
      <c r="N45" s="2280"/>
      <c r="O45" s="2280"/>
      <c r="P45" s="2280"/>
      <c r="Q45" s="2280"/>
      <c r="R45" s="2280"/>
    </row>
    <row r="48" spans="4:28">
      <c r="T48" s="2281"/>
      <c r="U48" s="2281"/>
      <c r="V48" s="2281"/>
      <c r="W48" s="2281"/>
      <c r="X48" s="2281"/>
      <c r="Y48" s="2281"/>
      <c r="Z48" s="2281"/>
      <c r="AA48" s="2281"/>
      <c r="AB48" s="2282" t="str">
        <f>AJUSTES_UNIDADES_INDUSTRIA_ENERGIA</f>
        <v>TWh</v>
      </c>
    </row>
    <row r="49" spans="4:28">
      <c r="T49" s="2283" t="s">
        <v>568</v>
      </c>
      <c r="U49" s="2298">
        <v>2018</v>
      </c>
      <c r="V49" s="2284">
        <v>2020</v>
      </c>
      <c r="W49" s="2284">
        <v>2025</v>
      </c>
      <c r="X49" s="2284">
        <v>2030</v>
      </c>
      <c r="Y49" s="2284">
        <v>2035</v>
      </c>
      <c r="Z49" s="2284">
        <v>2040</v>
      </c>
      <c r="AA49" s="2284">
        <v>2045</v>
      </c>
      <c r="AB49" s="2284">
        <v>2050</v>
      </c>
    </row>
    <row r="50" spans="4:28">
      <c r="T50" s="2292" t="s">
        <v>504</v>
      </c>
      <c r="U50" s="2288" cm="1">
        <f t="array" ref="U50:AB50">SALIDA_DEMANDA_IND_BAGAZO*AJUSTES_UNIDAD_SELECCIONADA_INDUSTRIA_ENERGIA</f>
        <v>0.74246093042497097</v>
      </c>
      <c r="V50" s="2288">
        <v>0.74303205967541519</v>
      </c>
      <c r="W50" s="2288">
        <v>0.94684018031369432</v>
      </c>
      <c r="X50" s="2288">
        <v>1.1492919459223421</v>
      </c>
      <c r="Y50" s="2288">
        <v>1.149502812194259</v>
      </c>
      <c r="Z50" s="2288">
        <v>1.1497134074330506</v>
      </c>
      <c r="AA50" s="2288">
        <v>1.1499237319870845</v>
      </c>
      <c r="AB50" s="2288">
        <v>1.1501337862042809</v>
      </c>
    </row>
    <row r="51" spans="4:28">
      <c r="T51" s="2292" t="s">
        <v>569</v>
      </c>
      <c r="U51" s="2296" cm="1">
        <f t="array" ref="U51:AB51">SALIDA_DEMANDA_IND_CARBONMINERAL*AJUSTES_UNIDAD_SELECCIONADA_INDUSTRIA_ENERGIA</f>
        <v>2.9678592853414019</v>
      </c>
      <c r="V51" s="2296">
        <v>2.9678592853414019</v>
      </c>
      <c r="W51" s="2296">
        <v>3.5323114638621034</v>
      </c>
      <c r="X51" s="2296">
        <v>4.060843403949713</v>
      </c>
      <c r="Y51" s="2296">
        <v>4.060843403949713</v>
      </c>
      <c r="Z51" s="2296">
        <v>4.060843403949713</v>
      </c>
      <c r="AA51" s="2296">
        <v>4.060843403949713</v>
      </c>
      <c r="AB51" s="2296">
        <v>4.060843403949713</v>
      </c>
    </row>
    <row r="52" spans="4:28">
      <c r="D52" s="3897" t="str">
        <f>AJUSTES_UNIDADES_INDUSTRIA_ENERGIA</f>
        <v>TWh</v>
      </c>
      <c r="T52" s="2292" t="s">
        <v>513</v>
      </c>
      <c r="U52" s="2296" cm="1">
        <f t="array" ref="U52:AB52">SALIDA_DEMANDA_IND_GN*AJUSTES_UNIDAD_SELECCIONADA_INDUSTRIA_ENERGIA</f>
        <v>1.3242476867703259</v>
      </c>
      <c r="V52" s="2296">
        <v>1.3242476867703259</v>
      </c>
      <c r="W52" s="2296">
        <v>1.5461771887129547</v>
      </c>
      <c r="X52" s="2296">
        <v>1.7667438739010923</v>
      </c>
      <c r="Y52" s="2296">
        <v>1.7667438739010923</v>
      </c>
      <c r="Z52" s="2296">
        <v>1.7667438739010923</v>
      </c>
      <c r="AA52" s="2296">
        <v>1.7667438739010923</v>
      </c>
      <c r="AB52" s="2296">
        <v>1.7667438739010923</v>
      </c>
    </row>
    <row r="53" spans="4:28">
      <c r="D53" s="3897"/>
      <c r="T53" s="2292" t="s">
        <v>503</v>
      </c>
      <c r="U53" s="2296" cm="1">
        <f t="array" ref="U53:AB53">SALIDA_DEMANDA_IND_LEÑA*AJUSTES_UNIDAD_SELECCIONADA_INDUSTRIA_ENERGIA</f>
        <v>5.7425946232148384E-3</v>
      </c>
      <c r="V53" s="2296">
        <v>5.7425946232148384E-3</v>
      </c>
      <c r="W53" s="2296">
        <v>6.7557628006882668E-3</v>
      </c>
      <c r="X53" s="2296">
        <v>7.7485771141952275E-3</v>
      </c>
      <c r="Y53" s="2296">
        <v>7.7485771141952275E-3</v>
      </c>
      <c r="Z53" s="2296">
        <v>7.7485771141952275E-3</v>
      </c>
      <c r="AA53" s="2296">
        <v>7.7485771141952275E-3</v>
      </c>
      <c r="AB53" s="2296">
        <v>7.7485771141952275E-3</v>
      </c>
    </row>
    <row r="54" spans="4:28">
      <c r="D54" s="3897"/>
      <c r="T54" s="2292" t="s">
        <v>525</v>
      </c>
      <c r="U54" s="2296" cm="1">
        <f t="array" ref="U54:AB54">SALIDA_DEMANDA_IND_PETROLEO*AJUSTES_UNIDAD_SELECCIONADA_INDUSTRIA_ENERGIA</f>
        <v>1.8935426146883107E-3</v>
      </c>
      <c r="V54" s="2296">
        <v>1.8935426146883107E-3</v>
      </c>
      <c r="W54" s="2296">
        <v>2.1840648529522525E-3</v>
      </c>
      <c r="X54" s="2296">
        <v>2.4791418968138248E-3</v>
      </c>
      <c r="Y54" s="2296">
        <v>2.4791418968138248E-3</v>
      </c>
      <c r="Z54" s="2296">
        <v>2.4791418968138248E-3</v>
      </c>
      <c r="AA54" s="2296">
        <v>2.4791418968138248E-3</v>
      </c>
      <c r="AB54" s="2296">
        <v>2.4791418968138248E-3</v>
      </c>
    </row>
    <row r="55" spans="4:28">
      <c r="D55" s="3897"/>
      <c r="T55" s="2292" t="s">
        <v>487</v>
      </c>
      <c r="U55" s="2296" cm="1">
        <f t="array" ref="U55:AB55">SALIDA_DEMANDA_IND_RESIDUOS*AJUSTES_UNIDAD_SELECCIONADA_INDUSTRIA_ENERGIA</f>
        <v>6.6384558932856039E-2</v>
      </c>
      <c r="V55" s="2296">
        <v>6.6384558932856039E-2</v>
      </c>
      <c r="W55" s="2296">
        <v>8.3774779479416694E-2</v>
      </c>
      <c r="X55" s="2296">
        <v>9.8059826526205401E-2</v>
      </c>
      <c r="Y55" s="2296">
        <v>9.8059826526205401E-2</v>
      </c>
      <c r="Z55" s="2296">
        <v>9.8059826526205401E-2</v>
      </c>
      <c r="AA55" s="2296">
        <v>9.8059826526205401E-2</v>
      </c>
      <c r="AB55" s="2296">
        <v>9.8059826526205401E-2</v>
      </c>
    </row>
    <row r="56" spans="4:28">
      <c r="D56" s="3897"/>
      <c r="T56" s="2292" t="s">
        <v>494</v>
      </c>
      <c r="U56" s="2296" cm="1">
        <f t="array" ref="U56:AB56">SALIDA_DEMANDA_IND_GASOLINA*AJUSTES_UNIDAD_SELECCIONADA_INDUSTRIA_ENERGIA</f>
        <v>3.4012841742838877E-3</v>
      </c>
      <c r="V56" s="2296">
        <v>3.4012841742838877E-3</v>
      </c>
      <c r="W56" s="2296">
        <v>3.9178469702047464E-3</v>
      </c>
      <c r="X56" s="2296">
        <v>4.4411586881671541E-3</v>
      </c>
      <c r="Y56" s="2296">
        <v>4.4411586881671541E-3</v>
      </c>
      <c r="Z56" s="2296">
        <v>4.4411586881671541E-3</v>
      </c>
      <c r="AA56" s="2296">
        <v>4.4411586881671541E-3</v>
      </c>
      <c r="AB56" s="2296">
        <v>4.4411586881671541E-3</v>
      </c>
    </row>
    <row r="57" spans="4:28">
      <c r="T57" s="2292" t="s">
        <v>526</v>
      </c>
      <c r="U57" s="2296" cm="1">
        <f t="array" ref="U57:AB57">SALIDA_DEMANDA_IND_DIESEL*AJUSTES_UNIDAD_SELECCIONADA_INDUSTRIA_ENERGIA</f>
        <v>5.4154731240435613E-2</v>
      </c>
      <c r="V57" s="2296">
        <v>5.4154731240435613E-2</v>
      </c>
      <c r="W57" s="2296">
        <v>6.3164018343519965E-2</v>
      </c>
      <c r="X57" s="2296">
        <v>7.2327049878170735E-2</v>
      </c>
      <c r="Y57" s="2296">
        <v>7.2327049878170735E-2</v>
      </c>
      <c r="Z57" s="2296">
        <v>7.2327049878170735E-2</v>
      </c>
      <c r="AA57" s="2296">
        <v>7.2327049878170735E-2</v>
      </c>
      <c r="AB57" s="2296">
        <v>7.2327049878170735E-2</v>
      </c>
    </row>
    <row r="58" spans="4:28">
      <c r="T58" s="2292" t="s">
        <v>506</v>
      </c>
      <c r="U58" s="2296" cm="1">
        <f t="array" ref="U58:AB58">SALIDA_DEMANDA_IND_CARBONDELEÑA*AJUSTES_UNIDAD_SELECCIONADA_INDUSTRIA_ENERGIA</f>
        <v>3.2745827768498084E-4</v>
      </c>
      <c r="V58" s="2296">
        <v>3.2745827768498084E-4</v>
      </c>
      <c r="W58" s="2296">
        <v>3.7927419924242028E-4</v>
      </c>
      <c r="X58" s="2296">
        <v>4.3230434632727204E-4</v>
      </c>
      <c r="Y58" s="2296">
        <v>4.3230434632727204E-4</v>
      </c>
      <c r="Z58" s="2296">
        <v>4.3230434632727204E-4</v>
      </c>
      <c r="AA58" s="2296">
        <v>4.3230434632727204E-4</v>
      </c>
      <c r="AB58" s="2296">
        <v>4.3230434632727204E-4</v>
      </c>
    </row>
    <row r="59" spans="4:28">
      <c r="T59" s="2292" t="s">
        <v>507</v>
      </c>
      <c r="U59" s="2296" cm="1">
        <f t="array" ref="U59:AB59">SALIDA_DEMANDA_IND_COQUE*AJUSTES_UNIDAD_SELECCIONADA_INDUSTRIA_ENERGIA</f>
        <v>6.2257033987857587E-3</v>
      </c>
      <c r="V59" s="2296">
        <v>6.2257033987857587E-3</v>
      </c>
      <c r="W59" s="2296">
        <v>7.206409873470189E-3</v>
      </c>
      <c r="X59" s="2296">
        <v>8.2090019179727608E-3</v>
      </c>
      <c r="Y59" s="2296">
        <v>8.2090019179727608E-3</v>
      </c>
      <c r="Z59" s="2296">
        <v>8.2090019179727608E-3</v>
      </c>
      <c r="AA59" s="2296">
        <v>8.2090019179727608E-3</v>
      </c>
      <c r="AB59" s="2296">
        <v>8.2090019179727608E-3</v>
      </c>
    </row>
    <row r="60" spans="4:28">
      <c r="T60" s="2292" t="s">
        <v>570</v>
      </c>
      <c r="U60" s="2296" cm="1">
        <f t="array" ref="U60:AB60">SALIDA_DEMANDA_IND_FUELOIL*AJUSTES_UNIDAD_SELECCIONADA_INDUSTRIA_ENERGIA</f>
        <v>8.5618454762176627E-3</v>
      </c>
      <c r="V60" s="2296">
        <v>8.5618454762176627E-3</v>
      </c>
      <c r="W60" s="2296">
        <v>9.9679769823530964E-3</v>
      </c>
      <c r="X60" s="2296">
        <v>1.1394699896138992E-2</v>
      </c>
      <c r="Y60" s="2296">
        <v>1.1394699896138992E-2</v>
      </c>
      <c r="Z60" s="2296">
        <v>1.1394699896138992E-2</v>
      </c>
      <c r="AA60" s="2296">
        <v>1.1394699896138992E-2</v>
      </c>
      <c r="AB60" s="2296">
        <v>1.1394699896138992E-2</v>
      </c>
    </row>
    <row r="61" spans="4:28">
      <c r="T61" s="2292" t="s">
        <v>498</v>
      </c>
      <c r="U61" s="2296" cm="1">
        <f t="array" ref="U61:AB61">SALIDA_DEMANDA_IND_GLP*AJUSTES_UNIDAD_SELECCIONADA_INDUSTRIA_ENERGIA</f>
        <v>1.7322703076441241E-2</v>
      </c>
      <c r="V61" s="2296">
        <v>1.7322703076441241E-2</v>
      </c>
      <c r="W61" s="2296">
        <v>1.9960626015659177E-2</v>
      </c>
      <c r="X61" s="2296">
        <v>2.263483738254566E-2</v>
      </c>
      <c r="Y61" s="2296">
        <v>2.263483738254566E-2</v>
      </c>
      <c r="Z61" s="2296">
        <v>2.263483738254566E-2</v>
      </c>
      <c r="AA61" s="2296">
        <v>2.263483738254566E-2</v>
      </c>
      <c r="AB61" s="2296">
        <v>2.263483738254566E-2</v>
      </c>
    </row>
    <row r="62" spans="4:28">
      <c r="T62" s="2292" t="s">
        <v>502</v>
      </c>
      <c r="U62" s="2296" cm="1">
        <f t="array" ref="U62:AB62">SALIDA_DEMANDA_IND_QUEROSENO*AJUSTES_UNIDAD_SELECCIONADA_INDUSTRIA_ENERGIA</f>
        <v>8.2546702476781963E-5</v>
      </c>
      <c r="V62" s="2296">
        <v>8.2546702476781963E-5</v>
      </c>
      <c r="W62" s="2296">
        <v>9.5409726028145272E-5</v>
      </c>
      <c r="X62" s="2296">
        <v>1.0852495961757469E-4</v>
      </c>
      <c r="Y62" s="2296">
        <v>1.0852495961757469E-4</v>
      </c>
      <c r="Z62" s="2296">
        <v>1.0852495961757469E-4</v>
      </c>
      <c r="AA62" s="2296">
        <v>1.0852495961757469E-4</v>
      </c>
      <c r="AB62" s="2296">
        <v>1.0852495961757469E-4</v>
      </c>
    </row>
    <row r="63" spans="4:28">
      <c r="T63" s="2292" t="s">
        <v>571</v>
      </c>
      <c r="U63" s="2296" cm="1">
        <f t="array" ref="U63:AB63">SALIDA_DEMANDA_IND_ELECTRICIDAD*AJUSTES_UNIDAD_SELECCIONADA_INDUSTRIA_ENERGIA</f>
        <v>1.1105359253796188</v>
      </c>
      <c r="V63" s="2296">
        <v>1.1105359253796188</v>
      </c>
      <c r="W63" s="2296">
        <v>1.2779400846760602</v>
      </c>
      <c r="X63" s="2296">
        <v>1.4472075486028639</v>
      </c>
      <c r="Y63" s="2296">
        <v>1.4472075486028639</v>
      </c>
      <c r="Z63" s="2296">
        <v>1.4472075486028639</v>
      </c>
      <c r="AA63" s="2296">
        <v>1.4472075486028639</v>
      </c>
      <c r="AB63" s="2296">
        <v>1.4472075486028639</v>
      </c>
    </row>
    <row r="64" spans="4:28">
      <c r="T64" s="2292" t="s">
        <v>549</v>
      </c>
      <c r="U64" s="2296" cm="1">
        <f t="array" ref="U64:AB64">SALIDA_DEMANDA_IND_HIDROGENO_VERDE*AJUSTES_UNIDAD_SELECCIONADA_INDUSTRIA_ENERGIA</f>
        <v>0</v>
      </c>
      <c r="V64" s="2296">
        <v>0</v>
      </c>
      <c r="W64" s="2296">
        <v>0</v>
      </c>
      <c r="X64" s="2296">
        <v>0</v>
      </c>
      <c r="Y64" s="2296">
        <v>0</v>
      </c>
      <c r="Z64" s="2296">
        <v>0</v>
      </c>
      <c r="AA64" s="2296">
        <v>0</v>
      </c>
      <c r="AB64" s="2296">
        <v>0</v>
      </c>
    </row>
    <row r="65" spans="20:28">
      <c r="T65" s="2292" t="s">
        <v>572</v>
      </c>
      <c r="U65" s="2296" cm="1">
        <f t="array" ref="U65:AB65">SALIDA_DEMANDA_IND_HIDROGENO_AZUL*AJUSTES_UNIDAD_SELECCIONADA_INDUSTRIA_ENERGIA</f>
        <v>0</v>
      </c>
      <c r="V65" s="2296">
        <v>0</v>
      </c>
      <c r="W65" s="2296">
        <v>0</v>
      </c>
      <c r="X65" s="2296">
        <v>0</v>
      </c>
      <c r="Y65" s="2296">
        <v>0</v>
      </c>
      <c r="Z65" s="2296">
        <v>0</v>
      </c>
      <c r="AA65" s="2296">
        <v>0</v>
      </c>
      <c r="AB65" s="2296">
        <v>0</v>
      </c>
    </row>
  </sheetData>
  <sheetProtection algorithmName="SHA-512" hashValue="JBn/CBqZ2hQMbo80fdpSm1WHk6sBjGmIBd08nNPcWPxTmlfp9GiCdRKTG1eZXSfO3w0foYm5Z2t3lNeGNydzYA==" saltValue="U3lNv2zC0WJ2GCksT9nADw==" spinCount="100000" sheet="1" objects="1" scenarios="1"/>
  <mergeCells count="3">
    <mergeCell ref="D12:D16"/>
    <mergeCell ref="D32:D36"/>
    <mergeCell ref="D52:D56"/>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5877A042-B808-4C87-9640-E95CA6FFC86C}">
          <x14:colorSeries theme="9" tint="-0.249977111117893"/>
          <x14:colorNegative rgb="FFD00000"/>
          <x14:colorAxis rgb="FF000000"/>
          <x14:colorMarkers rgb="FFD00000"/>
          <x14:colorFirst rgb="FFD00000"/>
          <x14:colorLast rgb="FFD00000"/>
          <x14:colorHigh rgb="FFD00000"/>
          <x14:colorLow rgb="FFD00000"/>
          <x14:sparklines>
            <x14:sparkline>
              <xm:f>RESULTADOS_INDUSTRIA!U50:AB50</xm:f>
              <xm:sqref>S50</xm:sqref>
            </x14:sparkline>
            <x14:sparkline>
              <xm:f>RESULTADOS_INDUSTRIA!U51:AB51</xm:f>
              <xm:sqref>S51</xm:sqref>
            </x14:sparkline>
            <x14:sparkline>
              <xm:f>RESULTADOS_INDUSTRIA!U52:AB52</xm:f>
              <xm:sqref>S52</xm:sqref>
            </x14:sparkline>
            <x14:sparkline>
              <xm:f>RESULTADOS_INDUSTRIA!U53:AB53</xm:f>
              <xm:sqref>S53</xm:sqref>
            </x14:sparkline>
            <x14:sparkline>
              <xm:f>RESULTADOS_INDUSTRIA!U54:AB54</xm:f>
              <xm:sqref>S54</xm:sqref>
            </x14:sparkline>
            <x14:sparkline>
              <xm:f>RESULTADOS_INDUSTRIA!U55:AB55</xm:f>
              <xm:sqref>S55</xm:sqref>
            </x14:sparkline>
            <x14:sparkline>
              <xm:f>RESULTADOS_INDUSTRIA!U56:AB56</xm:f>
              <xm:sqref>S56</xm:sqref>
            </x14:sparkline>
            <x14:sparkline>
              <xm:f>RESULTADOS_INDUSTRIA!U57:AB57</xm:f>
              <xm:sqref>S57</xm:sqref>
            </x14:sparkline>
            <x14:sparkline>
              <xm:f>RESULTADOS_INDUSTRIA!U58:AB58</xm:f>
              <xm:sqref>S58</xm:sqref>
            </x14:sparkline>
            <x14:sparkline>
              <xm:f>RESULTADOS_INDUSTRIA!U59:AB59</xm:f>
              <xm:sqref>S59</xm:sqref>
            </x14:sparkline>
            <x14:sparkline>
              <xm:f>RESULTADOS_INDUSTRIA!U60:AB60</xm:f>
              <xm:sqref>S60</xm:sqref>
            </x14:sparkline>
            <x14:sparkline>
              <xm:f>RESULTADOS_INDUSTRIA!U61:AB61</xm:f>
              <xm:sqref>S61</xm:sqref>
            </x14:sparkline>
            <x14:sparkline>
              <xm:f>RESULTADOS_INDUSTRIA!U62:AB62</xm:f>
              <xm:sqref>S62</xm:sqref>
            </x14:sparkline>
            <x14:sparkline>
              <xm:f>RESULTADOS_INDUSTRIA!U63:AB63</xm:f>
              <xm:sqref>S63</xm:sqref>
            </x14:sparkline>
            <x14:sparkline>
              <xm:f>RESULTADOS_INDUSTRIA!U64:AB64</xm:f>
              <xm:sqref>S64</xm:sqref>
            </x14:sparkline>
            <x14:sparkline>
              <xm:f>RESULTADOS_INDUSTRIA!U65:AB65</xm:f>
              <xm:sqref>S65</xm:sqref>
            </x14:sparkline>
            <x14:sparkline>
              <xm:f>RESULTADOS_INDUSTRIA!U66:AB66</xm:f>
              <xm:sqref>S66</xm:sqref>
            </x14:sparkline>
            <x14:sparkline>
              <xm:f>RESULTADOS_INDUSTRIA!U67:AB67</xm:f>
              <xm:sqref>S67</xm:sqref>
            </x14:sparkline>
          </x14:sparklines>
        </x14:sparklineGroup>
        <x14:sparklineGroup manualMax="0" manualMin="0" displayEmptyCellsAs="gap" xr2:uid="{C8B85B12-6E05-4EB9-BDD4-BBDB66CB8ADC}">
          <x14:colorSeries theme="9" tint="-0.249977111117893"/>
          <x14:colorNegative rgb="FFD00000"/>
          <x14:colorAxis rgb="FF000000"/>
          <x14:colorMarkers rgb="FFD00000"/>
          <x14:colorFirst rgb="FFD00000"/>
          <x14:colorLast rgb="FFD00000"/>
          <x14:colorHigh rgb="FFD00000"/>
          <x14:colorLow rgb="FFD00000"/>
          <x14:sparklines>
            <x14:sparkline>
              <xm:f>RESULTADOS_INDUSTRIA!U30:AB30</xm:f>
              <xm:sqref>S30</xm:sqref>
            </x14:sparkline>
            <x14:sparkline>
              <xm:f>RESULTADOS_INDUSTRIA!U31:AB31</xm:f>
              <xm:sqref>S31</xm:sqref>
            </x14:sparkline>
            <x14:sparkline>
              <xm:f>RESULTADOS_INDUSTRIA!U32:AB32</xm:f>
              <xm:sqref>S32</xm:sqref>
            </x14:sparkline>
            <x14:sparkline>
              <xm:f>RESULTADOS_INDUSTRIA!U33:AB33</xm:f>
              <xm:sqref>S33</xm:sqref>
            </x14:sparkline>
            <x14:sparkline>
              <xm:f>RESULTADOS_INDUSTRIA!U34:AB34</xm:f>
              <xm:sqref>S34</xm:sqref>
            </x14:sparkline>
            <x14:sparkline>
              <xm:f>RESULTADOS_INDUSTRIA!U35:AB35</xm:f>
              <xm:sqref>S35</xm:sqref>
            </x14:sparkline>
            <x14:sparkline>
              <xm:f>RESULTADOS_INDUSTRIA!U36:AB36</xm:f>
              <xm:sqref>S36</xm:sqref>
            </x14:sparkline>
            <x14:sparkline>
              <xm:f>RESULTADOS_INDUSTRIA!U37:AB37</xm:f>
              <xm:sqref>S37</xm:sqref>
            </x14:sparkline>
            <x14:sparkline>
              <xm:f>RESULTADOS_INDUSTRIA!U38:AB38</xm:f>
              <xm:sqref>S38</xm:sqref>
            </x14:sparkline>
            <x14:sparkline>
              <xm:f>RESULTADOS_INDUSTRIA!U39:AB39</xm:f>
              <xm:sqref>S39</xm:sqref>
            </x14:sparkline>
          </x14:sparklines>
        </x14:sparklineGroup>
        <x14:sparklineGroup manualMax="0" manualMin="0" displayEmptyCellsAs="gap" xr2:uid="{61EBB97D-544A-444C-AE34-054B75A33641}">
          <x14:colorSeries theme="9" tint="-0.249977111117893"/>
          <x14:colorNegative rgb="FFD00000"/>
          <x14:colorAxis rgb="FF000000"/>
          <x14:colorMarkers rgb="FFD00000"/>
          <x14:colorFirst rgb="FFD00000"/>
          <x14:colorLast rgb="FFD00000"/>
          <x14:colorHigh rgb="FFD00000"/>
          <x14:colorLow rgb="FFD00000"/>
          <x14:sparklines>
            <x14:sparkline>
              <xm:f>RESULTADOS_INDUSTRIA!U10:AB10</xm:f>
              <xm:sqref>S10</xm:sqref>
            </x14:sparkline>
            <x14:sparkline>
              <xm:f>RESULTADOS_INDUSTRIA!U11:AB11</xm:f>
              <xm:sqref>S11</xm:sqref>
            </x14:sparkline>
            <x14:sparkline>
              <xm:f>RESULTADOS_INDUSTRIA!U12:AB12</xm:f>
              <xm:sqref>S12</xm:sqref>
            </x14:sparkline>
            <x14:sparkline>
              <xm:f>RESULTADOS_INDUSTRIA!U13:AB13</xm:f>
              <xm:sqref>S13</xm:sqref>
            </x14:sparkline>
            <x14:sparkline>
              <xm:f>RESULTADOS_INDUSTRIA!U14:AB14</xm:f>
              <xm:sqref>S14</xm:sqref>
            </x14:sparkline>
            <x14:sparkline>
              <xm:f>RESULTADOS_INDUSTRIA!U15:AB15</xm:f>
              <xm:sqref>S15</xm:sqref>
            </x14:sparkline>
            <x14:sparkline>
              <xm:f>RESULTADOS_INDUSTRIA!U16:AB16</xm:f>
              <xm:sqref>S16</xm:sqref>
            </x14:sparkline>
            <x14:sparkline>
              <xm:f>RESULTADOS_INDUSTRIA!U17:AB17</xm:f>
              <xm:sqref>S17</xm:sqref>
            </x14:sparkline>
            <x14:sparkline>
              <xm:f>RESULTADOS_INDUSTRIA!U18:AB18</xm:f>
              <xm:sqref>S18</xm:sqref>
            </x14:sparkline>
            <x14:sparkline>
              <xm:f>RESULTADOS_INDUSTRIA!U19:AB19</xm:f>
              <xm:sqref>S19</xm:sqref>
            </x14:sparkline>
            <x14:sparkline>
              <xm:f>RESULTADOS_INDUSTRIA!U20:AB20</xm:f>
              <xm:sqref>S20</xm:sqref>
            </x14:sparkline>
          </x14:sparklines>
        </x14:sparklineGroup>
      </x14:sparklineGroup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B3D8F-B633-4A31-B30A-38AA2AD046B0}">
  <sheetPr codeName="Hoja34"/>
  <dimension ref="A1:AB57"/>
  <sheetViews>
    <sheetView showGridLines="0" zoomScale="80" zoomScaleNormal="80" workbookViewId="0"/>
  </sheetViews>
  <sheetFormatPr baseColWidth="10" defaultColWidth="11.42578125" defaultRowHeight="15"/>
  <cols>
    <col min="1" max="1" width="20.7109375" style="678" customWidth="1"/>
    <col min="2" max="2" width="30.7109375" style="2276" customWidth="1"/>
    <col min="3" max="3" width="5.28515625" style="679" customWidth="1"/>
    <col min="4" max="19" width="11.42578125" style="679"/>
    <col min="20" max="20" width="45.85546875" style="679" customWidth="1"/>
    <col min="21" max="21" width="12" style="679" bestFit="1" customWidth="1"/>
    <col min="22" max="22" width="13.140625" style="679" bestFit="1" customWidth="1"/>
    <col min="23" max="28" width="11.5703125" style="679" bestFit="1" customWidth="1"/>
    <col min="29" max="16384" width="11.42578125" style="679"/>
  </cols>
  <sheetData>
    <row r="1" spans="1:28" ht="15" customHeight="1"/>
    <row r="2" spans="1:28" ht="15" customHeight="1"/>
    <row r="3" spans="1:28" ht="15" customHeight="1"/>
    <row r="4" spans="1:28" ht="15" customHeight="1">
      <c r="E4" s="694"/>
    </row>
    <row r="5" spans="1:28" ht="15" customHeight="1">
      <c r="A5" s="1559"/>
      <c r="E5" s="2278" t="s">
        <v>573</v>
      </c>
      <c r="F5" s="2279"/>
      <c r="G5" s="2279"/>
      <c r="H5" s="2279"/>
      <c r="I5" s="2279"/>
      <c r="J5" s="2279"/>
      <c r="K5" s="2279"/>
      <c r="L5" s="2279"/>
      <c r="M5" s="2280"/>
      <c r="N5" s="2280"/>
      <c r="O5" s="2280"/>
      <c r="P5" s="2280"/>
      <c r="Q5" s="2280"/>
      <c r="R5" s="2280"/>
    </row>
    <row r="6" spans="1:28" ht="15" customHeight="1"/>
    <row r="7" spans="1:28" ht="15" customHeight="1">
      <c r="T7" s="2281"/>
    </row>
    <row r="8" spans="1:28" ht="15" customHeight="1">
      <c r="E8" s="2291"/>
      <c r="F8" s="2291"/>
      <c r="G8" s="2291"/>
      <c r="H8" s="2291"/>
      <c r="I8" s="2291"/>
      <c r="T8" s="2290"/>
      <c r="U8" s="2281"/>
      <c r="V8" s="2281"/>
      <c r="W8" s="2281"/>
      <c r="X8" s="2281"/>
      <c r="Y8" s="2281"/>
      <c r="Z8" s="2281"/>
      <c r="AA8" s="2281"/>
      <c r="AB8" s="2282" t="str">
        <f>AJUSTES_UNIDADES_RESIDUOS_EMISIONES</f>
        <v>Mt CO2 e</v>
      </c>
    </row>
    <row r="9" spans="1:28" ht="15" customHeight="1">
      <c r="E9" s="2291"/>
      <c r="F9" s="2291"/>
      <c r="G9" s="2291"/>
      <c r="H9" s="2291"/>
      <c r="I9" s="2291"/>
      <c r="T9" s="2283" t="s">
        <v>574</v>
      </c>
      <c r="U9" s="2284">
        <v>2018</v>
      </c>
      <c r="V9" s="2284">
        <v>2020</v>
      </c>
      <c r="W9" s="2284">
        <v>2025</v>
      </c>
      <c r="X9" s="2284">
        <v>2030</v>
      </c>
      <c r="Y9" s="2284">
        <v>2035</v>
      </c>
      <c r="Z9" s="2284">
        <v>2040</v>
      </c>
      <c r="AA9" s="2284">
        <v>2045</v>
      </c>
      <c r="AB9" s="2284">
        <v>2050</v>
      </c>
    </row>
    <row r="10" spans="1:28" ht="15" customHeight="1">
      <c r="E10" s="2291"/>
      <c r="F10" s="2291"/>
      <c r="G10" s="2291"/>
      <c r="H10" s="2291"/>
      <c r="I10" s="2291"/>
      <c r="T10" s="2292" t="s">
        <v>575</v>
      </c>
      <c r="U10" s="2288" cm="1">
        <f t="array" ref="U10:AB10">SALIDA_EMISIONES_RES_SOL_RELLENO_SANITARIO_SIN_CAPTACION*AJUSTE_UNIDAD_SELECCIONADA_RESIDUOS_EMISIONES</f>
        <v>7.6016331906384571E-2</v>
      </c>
      <c r="V10" s="2288">
        <v>8.252816793632814E-2</v>
      </c>
      <c r="W10" s="2288">
        <v>9.9329033421066693E-2</v>
      </c>
      <c r="X10" s="2288">
        <v>0.11706598528391464</v>
      </c>
      <c r="Y10" s="2288">
        <v>0.11847429170755747</v>
      </c>
      <c r="Z10" s="2288">
        <v>0.1199201991997321</v>
      </c>
      <c r="AA10" s="2288">
        <v>0.12140523402999112</v>
      </c>
      <c r="AB10" s="2288">
        <v>0.12293100620487089</v>
      </c>
    </row>
    <row r="11" spans="1:28" ht="15" customHeight="1">
      <c r="E11" s="2291"/>
      <c r="F11" s="2291"/>
      <c r="G11" s="2291"/>
      <c r="H11" s="2291"/>
      <c r="I11" s="2291"/>
      <c r="T11" s="2292" t="s">
        <v>576</v>
      </c>
      <c r="U11" s="2288" cm="1">
        <f t="array" ref="U11:AB11">SALIDA_EMISIONES_RES_SOL_RELLENO_SANITARIO_QUEMA_ANTORCHA*AJUSTE_UNIDAD_SELECCIONADA_RESIDUOS_EMISIONES</f>
        <v>0.64618063436813389</v>
      </c>
      <c r="V11" s="2288">
        <v>0.70153482249065746</v>
      </c>
      <c r="W11" s="2288">
        <v>0.8443514205110918</v>
      </c>
      <c r="X11" s="2288">
        <v>0.99512526764445375</v>
      </c>
      <c r="Y11" s="2288">
        <v>1.0070966468914158</v>
      </c>
      <c r="Z11" s="2288">
        <v>1.0193876559035533</v>
      </c>
      <c r="AA11" s="2288">
        <v>1.032011268811597</v>
      </c>
      <c r="AB11" s="2288">
        <v>1.044981171556697</v>
      </c>
    </row>
    <row r="12" spans="1:28" ht="15" customHeight="1">
      <c r="D12" s="3897" t="str">
        <f>AJUSTES_UNIDADES_RESIDUOS_EMISIONES</f>
        <v>Mt CO2 e</v>
      </c>
      <c r="E12" s="2291"/>
      <c r="F12" s="2291"/>
      <c r="G12" s="2291"/>
      <c r="H12" s="2291"/>
      <c r="I12" s="2291"/>
      <c r="T12" s="2292" t="s">
        <v>577</v>
      </c>
      <c r="U12" s="2288" cm="1">
        <f t="array" ref="U12:AB12">SALIDA_EMISIONES_RES_SOL_RELLENO_SANITARIO_CELDA_CONTINGENCIA*AJUSTE_UNIDAD_SELECCIONADA_RESIDUOS_EMISIONES</f>
        <v>1.1190873260564232E-2</v>
      </c>
      <c r="V12" s="2288">
        <v>1.2149524248807371E-2</v>
      </c>
      <c r="W12" s="2288">
        <v>1.4622892163205597E-2</v>
      </c>
      <c r="X12" s="2288">
        <v>1.7234067621793976E-2</v>
      </c>
      <c r="Y12" s="2288">
        <v>1.7441393841091616E-2</v>
      </c>
      <c r="Z12" s="2288">
        <v>1.7654255565482019E-2</v>
      </c>
      <c r="AA12" s="2288">
        <v>1.7872877487326636E-2</v>
      </c>
      <c r="AB12" s="2288">
        <v>1.8097496626469034E-2</v>
      </c>
    </row>
    <row r="13" spans="1:28" ht="15" customHeight="1">
      <c r="D13" s="3897"/>
      <c r="E13" s="2291"/>
      <c r="F13" s="2291"/>
      <c r="G13" s="2291"/>
      <c r="H13" s="2291"/>
      <c r="I13" s="2291"/>
      <c r="T13" s="2292" t="s">
        <v>578</v>
      </c>
      <c r="U13" s="2288" cm="1">
        <f t="array" ref="U13:AB13">SALIDA_EMISIONES_RES_SOL_TMB*AJUSTE_UNIDAD_SELECCIONADA_RESIDUOS_EMISIONES</f>
        <v>0</v>
      </c>
      <c r="V13" s="2288">
        <v>0</v>
      </c>
      <c r="W13" s="2288">
        <v>0</v>
      </c>
      <c r="X13" s="2288">
        <v>0</v>
      </c>
      <c r="Y13" s="2288">
        <v>0</v>
      </c>
      <c r="Z13" s="2288">
        <v>0</v>
      </c>
      <c r="AA13" s="2288">
        <v>0</v>
      </c>
      <c r="AB13" s="2288">
        <v>0</v>
      </c>
    </row>
    <row r="14" spans="1:28" ht="15" customHeight="1">
      <c r="D14" s="3897"/>
      <c r="E14" s="2291"/>
      <c r="F14" s="2291"/>
      <c r="G14" s="2291"/>
      <c r="H14" s="2291"/>
      <c r="I14" s="2291"/>
      <c r="T14" s="2292" t="s">
        <v>579</v>
      </c>
      <c r="U14" s="2288" cm="1">
        <f t="array" ref="U14:AB14">SALIDA_EMISIONES_RES_AGUA_RESIDUALES_DOMESTICAS*AJUSTE_UNIDAD_SELECCIONADA_RESIDUOS_EMISIONES</f>
        <v>0.45460458936623116</v>
      </c>
      <c r="V14" s="2288">
        <v>0.45460458936623116</v>
      </c>
      <c r="W14" s="2288">
        <v>0.45460458936623116</v>
      </c>
      <c r="X14" s="2288">
        <v>0.45460458936623116</v>
      </c>
      <c r="Y14" s="2288">
        <v>0.45460458936623116</v>
      </c>
      <c r="Z14" s="2288">
        <v>0.45460458936623116</v>
      </c>
      <c r="AA14" s="2288">
        <v>0.45460458936623116</v>
      </c>
      <c r="AB14" s="2288">
        <v>0.45460458936623116</v>
      </c>
    </row>
    <row r="15" spans="1:28" ht="15" customHeight="1">
      <c r="D15" s="3897"/>
      <c r="E15" s="2291"/>
      <c r="F15" s="2291"/>
      <c r="G15" s="2291"/>
      <c r="H15" s="2291"/>
      <c r="I15" s="2291"/>
      <c r="T15" s="2292" t="s">
        <v>580</v>
      </c>
      <c r="U15" s="2288" cm="1">
        <f t="array" ref="U15:AB15">SALIDA_EMISIONES_RES_AGUA_RESIDUALES_INDUSTRIALES*AJUSTE_UNIDAD_SELECCIONADA_RESIDUOS_EMISIONES</f>
        <v>5.3229796653598738E-9</v>
      </c>
      <c r="V15" s="2288">
        <v>5.3229796653598738E-9</v>
      </c>
      <c r="W15" s="2288">
        <v>5.3229796653598738E-9</v>
      </c>
      <c r="X15" s="2288">
        <v>5.3229796653598738E-9</v>
      </c>
      <c r="Y15" s="2288">
        <v>5.3229796653598738E-9</v>
      </c>
      <c r="Z15" s="2288">
        <v>5.3229796653598738E-9</v>
      </c>
      <c r="AA15" s="2288">
        <v>5.3229796653598738E-9</v>
      </c>
      <c r="AB15" s="2288">
        <v>5.3229796653598738E-9</v>
      </c>
    </row>
    <row r="16" spans="1:28" ht="15" customHeight="1">
      <c r="D16" s="3897"/>
      <c r="E16" s="2291"/>
      <c r="F16" s="2291"/>
      <c r="G16" s="2291"/>
      <c r="H16" s="2291"/>
      <c r="I16" s="2291"/>
      <c r="U16" s="2288"/>
      <c r="V16" s="2288"/>
      <c r="W16" s="2288"/>
      <c r="X16" s="2288"/>
      <c r="Y16" s="2288"/>
      <c r="Z16" s="2288"/>
      <c r="AA16" s="2288"/>
      <c r="AB16" s="2288"/>
    </row>
    <row r="17" spans="1:28" s="680" customFormat="1" ht="15" customHeight="1">
      <c r="A17" s="678"/>
      <c r="B17" s="2276"/>
      <c r="E17" s="679"/>
      <c r="F17" s="679"/>
      <c r="G17" s="679"/>
      <c r="H17" s="679"/>
      <c r="I17" s="679"/>
      <c r="J17" s="679"/>
      <c r="K17" s="679"/>
      <c r="L17" s="679"/>
      <c r="M17" s="679"/>
      <c r="N17" s="679"/>
      <c r="O17" s="679"/>
      <c r="P17" s="679"/>
      <c r="T17" s="679"/>
      <c r="U17" s="679"/>
      <c r="V17" s="2287"/>
      <c r="W17" s="2287"/>
      <c r="X17" s="2287"/>
      <c r="Y17" s="2287"/>
      <c r="Z17" s="2287"/>
      <c r="AA17" s="2287"/>
      <c r="AB17" s="2287"/>
    </row>
    <row r="18" spans="1:28" ht="15" customHeight="1"/>
    <row r="19" spans="1:28" ht="15" customHeight="1">
      <c r="E19" s="680"/>
      <c r="F19" s="680"/>
      <c r="G19" s="680"/>
      <c r="H19" s="680"/>
      <c r="I19" s="680"/>
      <c r="J19" s="680"/>
      <c r="K19" s="680"/>
      <c r="L19" s="680"/>
      <c r="M19" s="680"/>
      <c r="N19" s="680"/>
      <c r="O19" s="680"/>
      <c r="P19" s="680"/>
    </row>
    <row r="20" spans="1:28" ht="15" customHeight="1"/>
    <row r="21" spans="1:28" ht="15" customHeight="1"/>
    <row r="22" spans="1:28" ht="15" customHeight="1"/>
    <row r="23" spans="1:28" ht="15" customHeight="1"/>
    <row r="24" spans="1:28" ht="15" customHeight="1">
      <c r="E24" s="694"/>
    </row>
    <row r="25" spans="1:28" ht="15" customHeight="1">
      <c r="E25" s="2278" t="s">
        <v>581</v>
      </c>
      <c r="F25" s="2279"/>
      <c r="G25" s="2279"/>
      <c r="H25" s="2279"/>
      <c r="I25" s="2279"/>
      <c r="J25" s="2279"/>
      <c r="K25" s="2279"/>
      <c r="L25" s="2279"/>
      <c r="M25" s="2280"/>
      <c r="N25" s="2280"/>
      <c r="O25" s="2280"/>
      <c r="P25" s="2280"/>
      <c r="Q25" s="2280"/>
      <c r="R25" s="2280"/>
    </row>
    <row r="26" spans="1:28" ht="15" customHeight="1"/>
    <row r="27" spans="1:28" ht="15" customHeight="1"/>
    <row r="28" spans="1:28" ht="15" customHeight="1">
      <c r="T28" s="2281"/>
      <c r="U28" s="2281"/>
      <c r="V28" s="2281"/>
      <c r="W28" s="2281"/>
      <c r="X28" s="2281"/>
      <c r="Y28" s="2281"/>
      <c r="Z28" s="2281"/>
      <c r="AA28" s="2281"/>
      <c r="AB28" s="2282" t="str">
        <f>AJUSTES_UNIDADES_RESIDUOS_ENERGIA</f>
        <v>TWh</v>
      </c>
    </row>
    <row r="29" spans="1:28" ht="15" customHeight="1">
      <c r="T29" s="2283" t="s">
        <v>582</v>
      </c>
      <c r="U29" s="2298">
        <v>2018</v>
      </c>
      <c r="V29" s="2284">
        <v>2020</v>
      </c>
      <c r="W29" s="2284">
        <v>2025</v>
      </c>
      <c r="X29" s="2284">
        <v>2030</v>
      </c>
      <c r="Y29" s="2284">
        <v>2035</v>
      </c>
      <c r="Z29" s="2284">
        <v>2040</v>
      </c>
      <c r="AA29" s="2284">
        <v>2045</v>
      </c>
      <c r="AB29" s="2284">
        <v>2050</v>
      </c>
    </row>
    <row r="30" spans="1:28" ht="15" customHeight="1">
      <c r="T30" s="2292" t="s">
        <v>131</v>
      </c>
      <c r="U30" s="2296" cm="1">
        <f t="array" ref="U30:AB30">(SALIDA_DEMANDA_RES_SOL_CELDACONTINGENCIA+SALIDA_DEMANDA_RES_SOL_PLANTA_CDM+SALIDA_DEMANDA_RES_SOL_PLANTA_INCINERACION+SALIDA_DEMANDA_RES_SOL_PLANTA_RECICLADO+SALIDA_DEMANDA_RES_SOL_PLANTA_TMB+SALIDA_DEMANDA_RES_SOL_RELLENOSANITARIO)*AJUSTE_UNIDAD_SELECCIONADA_RESIDUOS_ENERGIA</f>
        <v>0</v>
      </c>
      <c r="V30" s="2296">
        <v>0</v>
      </c>
      <c r="W30" s="2296">
        <v>0</v>
      </c>
      <c r="X30" s="2296">
        <v>0</v>
      </c>
      <c r="Y30" s="2296">
        <v>0</v>
      </c>
      <c r="Z30" s="2296">
        <v>0</v>
      </c>
      <c r="AA30" s="2296">
        <v>0</v>
      </c>
      <c r="AB30" s="2296">
        <v>0</v>
      </c>
    </row>
    <row r="31" spans="1:28" ht="15" customHeight="1">
      <c r="T31" s="2305" t="s">
        <v>583</v>
      </c>
      <c r="U31" s="2296" cm="1">
        <f t="array" ref="U31:AB31">(SALIDA_DEMANDA_RES_AGU_DOMESTICAS+SALIDA_DEMANDA_RES_AGU_INDUSTRIALES)*AJUSTE_UNIDAD_SELECCIONADA_RESIDUOS_ENERGIA</f>
        <v>0</v>
      </c>
      <c r="V31" s="2296">
        <v>0</v>
      </c>
      <c r="W31" s="2296">
        <v>0</v>
      </c>
      <c r="X31" s="2296">
        <v>0</v>
      </c>
      <c r="Y31" s="2296">
        <v>0</v>
      </c>
      <c r="Z31" s="2296">
        <v>0</v>
      </c>
      <c r="AA31" s="2296">
        <v>0</v>
      </c>
      <c r="AB31" s="2296">
        <v>0</v>
      </c>
    </row>
    <row r="32" spans="1:28" ht="15" customHeight="1">
      <c r="T32" s="2306"/>
      <c r="U32" s="2296"/>
      <c r="V32" s="2296"/>
      <c r="W32" s="2296"/>
      <c r="X32" s="2296"/>
      <c r="Y32" s="2296"/>
      <c r="Z32" s="2296"/>
      <c r="AA32" s="2296"/>
      <c r="AB32" s="2296"/>
    </row>
    <row r="33" spans="4:28" ht="15" customHeight="1">
      <c r="D33" s="3897" t="str">
        <f>AJUSTES_UNIDADES_RESIDUOS_ENERGIA</f>
        <v>TWh</v>
      </c>
      <c r="W33" s="2296"/>
      <c r="X33" s="2296"/>
      <c r="Y33" s="2296"/>
      <c r="Z33" s="2296"/>
      <c r="AA33" s="2296"/>
      <c r="AB33" s="2296"/>
    </row>
    <row r="34" spans="4:28" ht="15" customHeight="1">
      <c r="D34" s="3897"/>
      <c r="W34" s="2296"/>
      <c r="X34" s="2296"/>
      <c r="Y34" s="2296"/>
      <c r="Z34" s="2296"/>
      <c r="AA34" s="2296"/>
      <c r="AB34" s="2296"/>
    </row>
    <row r="35" spans="4:28" ht="15" customHeight="1">
      <c r="D35" s="3897"/>
      <c r="W35" s="2296"/>
      <c r="X35" s="2296"/>
      <c r="Y35" s="2296"/>
      <c r="Z35" s="2296"/>
      <c r="AA35" s="2296"/>
      <c r="AB35" s="2296"/>
    </row>
    <row r="36" spans="4:28" ht="15" customHeight="1">
      <c r="D36" s="3897"/>
      <c r="W36" s="2296"/>
      <c r="X36" s="2296"/>
      <c r="Y36" s="2296"/>
      <c r="Z36" s="2296"/>
      <c r="AA36" s="2296"/>
      <c r="AB36" s="2296"/>
    </row>
    <row r="37" spans="4:28" ht="15" customHeight="1">
      <c r="D37" s="3897"/>
      <c r="U37" s="2296"/>
      <c r="V37" s="2296"/>
      <c r="W37" s="2296"/>
      <c r="X37" s="2296"/>
      <c r="Y37" s="2296"/>
      <c r="Z37" s="2296"/>
      <c r="AA37" s="2296"/>
      <c r="AB37" s="2296"/>
    </row>
    <row r="38" spans="4:28" ht="15" customHeight="1">
      <c r="U38" s="2296"/>
      <c r="V38" s="2296"/>
      <c r="W38" s="2296"/>
      <c r="X38" s="2296"/>
      <c r="Y38" s="2296"/>
      <c r="Z38" s="2296"/>
      <c r="AA38" s="2296"/>
      <c r="AB38" s="2296"/>
    </row>
    <row r="39" spans="4:28" ht="17.25" customHeight="1"/>
    <row r="45" spans="4:28" ht="18.75">
      <c r="E45" s="2278" t="s">
        <v>584</v>
      </c>
      <c r="F45" s="2279"/>
      <c r="G45" s="2279"/>
      <c r="H45" s="2279"/>
      <c r="I45" s="2279"/>
      <c r="J45" s="2279"/>
      <c r="K45" s="2279"/>
      <c r="L45" s="2279"/>
      <c r="M45" s="2280"/>
      <c r="N45" s="2280"/>
      <c r="O45" s="2280"/>
      <c r="P45" s="2280"/>
      <c r="Q45" s="2280"/>
      <c r="R45" s="2280"/>
    </row>
    <row r="46" spans="4:28">
      <c r="T46" s="2281"/>
      <c r="U46" s="2281"/>
      <c r="V46" s="2281"/>
      <c r="W46" s="2281"/>
      <c r="X46" s="2281"/>
      <c r="Y46" s="2281"/>
      <c r="Z46" s="2281"/>
      <c r="AA46" s="2281"/>
      <c r="AB46" s="2282" t="str">
        <f>AJUSTES_UNIDADES_RESIDUOS_ENERGIA</f>
        <v>TWh</v>
      </c>
    </row>
    <row r="47" spans="4:28" ht="15" customHeight="1">
      <c r="T47" s="2283" t="s">
        <v>582</v>
      </c>
      <c r="U47" s="2298">
        <v>2018</v>
      </c>
      <c r="V47" s="2284">
        <v>2020</v>
      </c>
      <c r="W47" s="2284">
        <v>2025</v>
      </c>
      <c r="X47" s="2284">
        <v>2030</v>
      </c>
      <c r="Y47" s="2284">
        <v>2035</v>
      </c>
      <c r="Z47" s="2284">
        <v>2040</v>
      </c>
      <c r="AA47" s="2284">
        <v>2045</v>
      </c>
      <c r="AB47" s="2284">
        <v>2050</v>
      </c>
    </row>
    <row r="48" spans="4:28">
      <c r="T48" s="2292" t="s">
        <v>131</v>
      </c>
      <c r="U48" s="3389" cm="1">
        <f t="array" ref="U48:AB48">SALIDA_GENERACION_RES_GENERACION*AJUSTE_UNIDAD_SELECCIONADA_RESIDUOS_ENERGIA</f>
        <v>8.2983241269553848E-12</v>
      </c>
      <c r="V48" s="3389">
        <v>9.009188814620217E-12</v>
      </c>
      <c r="W48" s="3389">
        <v>1.0843255572503704E-11</v>
      </c>
      <c r="X48" s="3389">
        <v>1.2779510215300475E-11</v>
      </c>
      <c r="Y48" s="3389">
        <v>1.2933248009276829E-11</v>
      </c>
      <c r="Z48" s="3389">
        <v>1.309109052451993E-11</v>
      </c>
      <c r="AA48" s="3389">
        <v>1.3253204376270684E-11</v>
      </c>
      <c r="AB48" s="3389">
        <v>1.341976532091919E-11</v>
      </c>
    </row>
    <row r="49" spans="4:28" ht="25.5">
      <c r="T49" s="2295" t="s">
        <v>583</v>
      </c>
      <c r="U49" s="2288" cm="1">
        <f t="array" ref="U49:AB49">(SALIDA_GENERACION_RES_AGU_DOMESTICAS+SALIDA_GENERACION_RES_AGU_INDUSTRIALES)*AJUSTE_UNIDAD_SELECCIONADA_RESIDUOS_ENERGIA</f>
        <v>0</v>
      </c>
      <c r="V49" s="2288">
        <v>0</v>
      </c>
      <c r="W49" s="2288">
        <v>0</v>
      </c>
      <c r="X49" s="2288">
        <v>0</v>
      </c>
      <c r="Y49" s="2288">
        <v>0</v>
      </c>
      <c r="Z49" s="2288">
        <v>0</v>
      </c>
      <c r="AA49" s="2288">
        <v>0</v>
      </c>
      <c r="AB49" s="2288">
        <v>0</v>
      </c>
    </row>
    <row r="50" spans="4:28">
      <c r="U50" s="2288"/>
      <c r="V50" s="2288"/>
      <c r="W50" s="2288"/>
      <c r="X50" s="2288"/>
      <c r="Y50" s="2288"/>
      <c r="Z50" s="2288"/>
      <c r="AA50" s="2288"/>
      <c r="AB50" s="2288"/>
    </row>
    <row r="51" spans="4:28">
      <c r="Y51" s="2296"/>
      <c r="Z51" s="2296"/>
      <c r="AA51" s="2296"/>
      <c r="AB51" s="2296"/>
    </row>
    <row r="52" spans="4:28">
      <c r="Y52" s="2296"/>
      <c r="Z52" s="2296"/>
      <c r="AA52" s="2296"/>
      <c r="AB52" s="2296"/>
    </row>
    <row r="53" spans="4:28">
      <c r="D53" s="3897" t="str">
        <f>AJUSTES_UNIDADES_RESIDUOS_ENERGIA</f>
        <v>TWh</v>
      </c>
      <c r="W53" s="2287"/>
      <c r="X53" s="2287"/>
      <c r="Y53" s="2287"/>
      <c r="Z53" s="2287"/>
      <c r="AA53" s="2287"/>
      <c r="AB53" s="2287"/>
    </row>
    <row r="54" spans="4:28">
      <c r="D54" s="3897"/>
      <c r="W54" s="2296"/>
      <c r="X54" s="2296"/>
      <c r="Y54" s="2296"/>
      <c r="Z54" s="2296"/>
      <c r="AA54" s="2296"/>
      <c r="AB54" s="2296"/>
    </row>
    <row r="55" spans="4:28">
      <c r="D55" s="3897"/>
      <c r="Y55" s="2296"/>
      <c r="Z55" s="2296"/>
      <c r="AA55" s="2296"/>
      <c r="AB55" s="2296"/>
    </row>
    <row r="56" spans="4:28">
      <c r="D56" s="3897"/>
      <c r="Y56" s="2296"/>
      <c r="Z56" s="2296"/>
      <c r="AA56" s="2296"/>
      <c r="AB56" s="2296"/>
    </row>
    <row r="57" spans="4:28">
      <c r="D57" s="3897"/>
      <c r="Y57" s="2287"/>
      <c r="Z57" s="2287"/>
      <c r="AA57" s="2287"/>
      <c r="AB57" s="2287"/>
    </row>
  </sheetData>
  <sheetProtection algorithmName="SHA-512" hashValue="J5WJjVwklj0DqwocLgrRPfTmgreS/i3NIYomKaeFS9hzaLIpOr+LARHw/DI+2B/6FdA8fH24gKBI3VD+auUb/A==" saltValue="RCnQagiNCneZ5bU6+bHZpQ==" spinCount="100000" sheet="1" objects="1" scenarios="1"/>
  <mergeCells count="3">
    <mergeCell ref="D12:D16"/>
    <mergeCell ref="D33:D37"/>
    <mergeCell ref="D53:D57"/>
  </mergeCells>
  <pageMargins left="0.7" right="0.7" top="0.75" bottom="0.75" header="0.3" footer="0.3"/>
  <pageSetup paperSize="9" scale="41" orientation="portrait" r:id="rId1"/>
  <customProperties>
    <customPr name="_pios_id" r:id="rId2"/>
  </customProperties>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BB9C6-51B6-4D16-9428-080227134936}">
  <sheetPr codeName="Hoja35"/>
  <dimension ref="A1:AK121"/>
  <sheetViews>
    <sheetView showGridLines="0" zoomScale="80" zoomScaleNormal="80" workbookViewId="0"/>
  </sheetViews>
  <sheetFormatPr baseColWidth="10" defaultColWidth="11.42578125" defaultRowHeight="15"/>
  <cols>
    <col min="1" max="1" width="20.7109375" style="678" customWidth="1"/>
    <col min="2" max="2" width="30.7109375" style="2276" customWidth="1"/>
    <col min="3" max="3" width="5.28515625" style="679" customWidth="1"/>
    <col min="4" max="18" width="11.42578125" style="679"/>
    <col min="19" max="19" width="25.140625" style="679" customWidth="1"/>
    <col min="20" max="20" width="59.85546875" style="679" customWidth="1"/>
    <col min="21" max="21" width="14.42578125" style="679" bestFit="1" customWidth="1"/>
    <col min="22" max="22" width="13.42578125" style="679" bestFit="1" customWidth="1"/>
    <col min="23" max="28" width="13" style="679" bestFit="1" customWidth="1"/>
    <col min="29" max="16384" width="11.42578125" style="679"/>
  </cols>
  <sheetData>
    <row r="1" spans="1:37" ht="15" customHeight="1"/>
    <row r="2" spans="1:37" ht="15" customHeight="1"/>
    <row r="3" spans="1:37" ht="15" customHeight="1"/>
    <row r="4" spans="1:37" ht="15" customHeight="1"/>
    <row r="5" spans="1:37" ht="15" customHeight="1">
      <c r="A5" s="1559"/>
    </row>
    <row r="6" spans="1:37" ht="15" customHeight="1"/>
    <row r="7" spans="1:37" ht="15" customHeight="1">
      <c r="E7" s="694"/>
    </row>
    <row r="8" spans="1:37" ht="15" customHeight="1">
      <c r="E8" s="2278" t="s">
        <v>585</v>
      </c>
      <c r="F8" s="2279"/>
      <c r="G8" s="2279"/>
      <c r="H8" s="2279"/>
      <c r="I8" s="2279"/>
      <c r="J8" s="2279"/>
      <c r="K8" s="2279"/>
      <c r="L8" s="2279"/>
      <c r="M8" s="2280"/>
      <c r="N8" s="2280"/>
      <c r="O8" s="2280"/>
      <c r="P8" s="2280"/>
      <c r="Q8" s="2280"/>
      <c r="R8" s="2280"/>
    </row>
    <row r="9" spans="1:37" ht="15" customHeight="1"/>
    <row r="10" spans="1:37" ht="15" customHeight="1">
      <c r="T10" s="2281"/>
      <c r="U10" s="2281"/>
      <c r="AD10" s="2296"/>
      <c r="AE10" s="2296"/>
      <c r="AF10" s="2296"/>
      <c r="AG10" s="2296"/>
      <c r="AH10" s="2296"/>
      <c r="AI10" s="2296"/>
      <c r="AJ10" s="2296"/>
      <c r="AK10" s="2296"/>
    </row>
    <row r="11" spans="1:37" ht="15" customHeight="1">
      <c r="E11" s="2291"/>
      <c r="F11" s="2291"/>
      <c r="G11" s="2291"/>
      <c r="H11" s="2291"/>
      <c r="I11" s="2291"/>
      <c r="T11" s="2290"/>
      <c r="U11" s="2290"/>
      <c r="V11" s="2281"/>
      <c r="W11" s="2281"/>
      <c r="X11" s="2281"/>
      <c r="Y11" s="2281"/>
      <c r="Z11" s="2281"/>
      <c r="AA11" s="2281"/>
      <c r="AB11" s="2282" t="str">
        <f>AJUSTES_UNIDADES_EDIFICACIONES_EMISIONES</f>
        <v>Mt CO2 e</v>
      </c>
      <c r="AD11" s="2296"/>
      <c r="AE11" s="2296"/>
      <c r="AF11" s="2296"/>
      <c r="AG11" s="2296"/>
      <c r="AH11" s="2296"/>
      <c r="AI11" s="2296"/>
      <c r="AJ11" s="2296"/>
      <c r="AK11" s="2296"/>
    </row>
    <row r="12" spans="1:37" ht="15" customHeight="1">
      <c r="E12" s="2291"/>
      <c r="F12" s="2291"/>
      <c r="G12" s="2291"/>
      <c r="H12" s="2291"/>
      <c r="I12" s="2291"/>
      <c r="T12" s="2283" t="s">
        <v>582</v>
      </c>
      <c r="U12" s="2284">
        <v>2018</v>
      </c>
      <c r="V12" s="2284">
        <v>2020</v>
      </c>
      <c r="W12" s="2284">
        <v>2025</v>
      </c>
      <c r="X12" s="2284">
        <v>2030</v>
      </c>
      <c r="Y12" s="2284">
        <v>2035</v>
      </c>
      <c r="Z12" s="2284">
        <v>2040</v>
      </c>
      <c r="AA12" s="2284">
        <v>2045</v>
      </c>
      <c r="AB12" s="2284">
        <v>2050</v>
      </c>
      <c r="AD12" s="2296"/>
      <c r="AE12" s="2296"/>
      <c r="AF12" s="2296"/>
      <c r="AG12" s="2296"/>
      <c r="AH12" s="2296"/>
      <c r="AI12" s="2296"/>
      <c r="AJ12" s="2296"/>
      <c r="AK12" s="2296"/>
    </row>
    <row r="13" spans="1:37" ht="15" customHeight="1">
      <c r="E13" s="2291"/>
      <c r="F13" s="2291"/>
      <c r="G13" s="2291"/>
      <c r="H13" s="2291"/>
      <c r="I13" s="2291"/>
      <c r="S13" s="2307"/>
      <c r="T13" s="2292" t="s">
        <v>137</v>
      </c>
      <c r="U13" s="2296" cm="1">
        <f t="array" ref="U13:AB13">SALIDA_EMISIONES_EDI_RES_URB_ACONDICIONAMIENTO_TOTALCO2e*AJUSTE_UNIDAD_SELECCIONADA_EDIFICACIONES_EMISIONES</f>
        <v>0</v>
      </c>
      <c r="V13" s="2296">
        <v>0</v>
      </c>
      <c r="W13" s="2296">
        <v>0</v>
      </c>
      <c r="X13" s="2296">
        <v>0</v>
      </c>
      <c r="Y13" s="2296">
        <v>0</v>
      </c>
      <c r="Z13" s="2296">
        <v>0</v>
      </c>
      <c r="AA13" s="2296">
        <v>0</v>
      </c>
      <c r="AB13" s="2296">
        <v>0</v>
      </c>
      <c r="AD13" s="2296"/>
      <c r="AE13" s="2296"/>
      <c r="AF13" s="2296"/>
      <c r="AG13" s="2296"/>
      <c r="AH13" s="2296"/>
      <c r="AI13" s="2296"/>
      <c r="AJ13" s="2296"/>
      <c r="AK13" s="2296"/>
    </row>
    <row r="14" spans="1:37" ht="15" customHeight="1">
      <c r="E14" s="2291"/>
      <c r="F14" s="2291"/>
      <c r="G14" s="2291"/>
      <c r="H14" s="2291"/>
      <c r="I14" s="2291"/>
      <c r="S14" s="2307"/>
      <c r="T14" s="2292" t="s">
        <v>586</v>
      </c>
      <c r="U14" s="2296" cm="1">
        <f t="array" ref="U14:AB14">SALIDA_EMISIONES_EDI_RES_URB_EEYHABITOSCONSUMO_TOTALCO2e*AJUSTE_UNIDAD_SELECCIONADA_EDIFICACIONES_EMISIONES</f>
        <v>0.39703227127313701</v>
      </c>
      <c r="V14" s="2296">
        <v>0.45136869748986996</v>
      </c>
      <c r="W14" s="2296">
        <v>0.56512750537259726</v>
      </c>
      <c r="X14" s="2296">
        <v>0.66811861088159064</v>
      </c>
      <c r="Y14" s="2296">
        <v>0.75933359531681666</v>
      </c>
      <c r="Z14" s="2296">
        <v>0.84822633322494245</v>
      </c>
      <c r="AA14" s="2296">
        <v>0.93743463348905953</v>
      </c>
      <c r="AB14" s="2296">
        <v>1.027481184335886</v>
      </c>
      <c r="AD14" s="2296"/>
      <c r="AE14" s="2296"/>
      <c r="AF14" s="2296"/>
      <c r="AG14" s="2296"/>
      <c r="AH14" s="2296"/>
      <c r="AI14" s="2296"/>
      <c r="AJ14" s="2296"/>
      <c r="AK14" s="2296"/>
    </row>
    <row r="15" spans="1:37" ht="15" customHeight="1">
      <c r="D15" s="3897" t="str">
        <f>AJUSTES_UNIDADES_EDIFICACIONES_EMISIONES</f>
        <v>Mt CO2 e</v>
      </c>
      <c r="E15" s="2291"/>
      <c r="F15" s="2291"/>
      <c r="G15" s="2291"/>
      <c r="H15" s="2291"/>
      <c r="I15" s="2291"/>
      <c r="S15" s="2307"/>
      <c r="T15" s="2292" t="s">
        <v>143</v>
      </c>
      <c r="U15" s="2296" cm="1">
        <f t="array" ref="U15:AB15">SALIDA_EMISIONES_EDI_RES_RURAL_TOTALCO2e*AJUSTE_UNIDAD_SELECCIONADA_EDIFICACIONES_EMISIONES</f>
        <v>0.76086894138916894</v>
      </c>
      <c r="V15" s="2296">
        <v>0.67749021245335772</v>
      </c>
      <c r="W15" s="2296">
        <v>0.57379848957236013</v>
      </c>
      <c r="X15" s="2296">
        <v>0.4664492805774032</v>
      </c>
      <c r="Y15" s="2296">
        <v>0.40447709849763624</v>
      </c>
      <c r="Z15" s="2296">
        <v>0.34806954762033221</v>
      </c>
      <c r="AA15" s="2296">
        <v>0.29785895620218478</v>
      </c>
      <c r="AB15" s="2296">
        <v>0.25329594838976677</v>
      </c>
    </row>
    <row r="16" spans="1:37" ht="15" customHeight="1">
      <c r="D16" s="3897"/>
      <c r="E16" s="2291"/>
      <c r="F16" s="2291"/>
      <c r="G16" s="2291"/>
      <c r="H16" s="2291"/>
      <c r="I16" s="2291"/>
      <c r="S16" s="2308"/>
      <c r="T16" s="2292" t="s">
        <v>146</v>
      </c>
      <c r="U16" s="2288" cm="1">
        <f t="array" ref="U16:AB16">SALIDA_EMISIONES_EDI_COM_AEC_TOTALCO2e*AJUSTE_UNIDAD_SELECCIONADA_EDIFICACIONES_EMISIONES</f>
        <v>0</v>
      </c>
      <c r="V16" s="2288">
        <v>0</v>
      </c>
      <c r="W16" s="2288">
        <v>0</v>
      </c>
      <c r="X16" s="2288">
        <v>0</v>
      </c>
      <c r="Y16" s="2288">
        <v>0</v>
      </c>
      <c r="Z16" s="2288">
        <v>0</v>
      </c>
      <c r="AA16" s="2288">
        <v>0</v>
      </c>
      <c r="AB16" s="2288">
        <v>0</v>
      </c>
    </row>
    <row r="17" spans="1:28" s="680" customFormat="1" ht="15" customHeight="1">
      <c r="A17" s="678"/>
      <c r="B17" s="2276"/>
      <c r="C17" s="679"/>
      <c r="D17" s="3897"/>
      <c r="E17" s="2291"/>
      <c r="F17" s="2291"/>
      <c r="G17" s="2291"/>
      <c r="H17" s="2291"/>
      <c r="I17" s="2291"/>
      <c r="J17" s="679"/>
      <c r="K17" s="679"/>
      <c r="L17" s="679"/>
      <c r="M17" s="679"/>
      <c r="N17" s="679"/>
      <c r="O17" s="679"/>
      <c r="P17" s="679"/>
      <c r="Q17" s="679"/>
      <c r="R17" s="679"/>
      <c r="S17" s="2308"/>
      <c r="T17" s="2292" t="s">
        <v>148</v>
      </c>
      <c r="U17" s="2296" cm="1">
        <f t="array" ref="U17:AB17">SALIDA_EMISIONES_EDI_COM_UTE_TOTALCO2e*AJUSTE_UNIDAD_SELECCIONADA_EDIFICACIONES_EMISIONES</f>
        <v>5.4634262999583218E-2</v>
      </c>
      <c r="V17" s="2296">
        <v>6.3410025871093692E-2</v>
      </c>
      <c r="W17" s="2296">
        <v>7.5379200775849253E-2</v>
      </c>
      <c r="X17" s="2296">
        <v>8.5099428030046678E-2</v>
      </c>
      <c r="Y17" s="2296">
        <v>9.3729483911792422E-2</v>
      </c>
      <c r="Z17" s="2296">
        <v>0.10260568798513917</v>
      </c>
      <c r="AA17" s="2296">
        <v>0.1117056703473341</v>
      </c>
      <c r="AB17" s="2296">
        <v>0.12109853127414552</v>
      </c>
    </row>
    <row r="18" spans="1:28" ht="15" customHeight="1">
      <c r="D18" s="3897"/>
      <c r="E18" s="2291"/>
      <c r="F18" s="2291"/>
      <c r="G18" s="2291"/>
      <c r="H18" s="2291"/>
      <c r="I18" s="2291"/>
    </row>
    <row r="19" spans="1:28" ht="15" customHeight="1">
      <c r="D19" s="3897"/>
      <c r="E19" s="2291"/>
      <c r="F19" s="2291"/>
      <c r="G19" s="2291"/>
      <c r="H19" s="2291"/>
      <c r="I19" s="2291"/>
    </row>
    <row r="20" spans="1:28" ht="15" customHeight="1">
      <c r="C20" s="680"/>
      <c r="D20" s="680"/>
      <c r="Q20" s="680"/>
      <c r="R20" s="680"/>
      <c r="S20" s="680"/>
      <c r="V20" s="2287"/>
      <c r="W20" s="2287"/>
      <c r="X20" s="2287"/>
      <c r="Y20" s="2287"/>
      <c r="Z20" s="2287"/>
      <c r="AA20" s="2287"/>
      <c r="AB20" s="2287"/>
    </row>
    <row r="21" spans="1:28" ht="15" customHeight="1">
      <c r="T21" s="1596"/>
      <c r="U21" s="2309"/>
    </row>
    <row r="22" spans="1:28" ht="15" customHeight="1">
      <c r="E22" s="680"/>
      <c r="F22" s="680"/>
      <c r="G22" s="680"/>
      <c r="H22" s="680"/>
      <c r="I22" s="680"/>
      <c r="J22" s="680"/>
      <c r="K22" s="680"/>
      <c r="L22" s="680"/>
      <c r="M22" s="680"/>
      <c r="N22" s="680"/>
      <c r="O22" s="680"/>
      <c r="P22" s="680"/>
      <c r="V22" s="2287"/>
      <c r="W22" s="2287"/>
    </row>
    <row r="23" spans="1:28" ht="15" customHeight="1">
      <c r="T23" s="1596"/>
      <c r="U23" s="2309"/>
    </row>
    <row r="24" spans="1:28" ht="15" customHeight="1">
      <c r="V24" s="2287"/>
      <c r="W24" s="2287"/>
    </row>
    <row r="25" spans="1:28" ht="15" customHeight="1">
      <c r="T25" s="1596"/>
      <c r="U25" s="2309"/>
    </row>
    <row r="26" spans="1:28" ht="15" customHeight="1"/>
    <row r="27" spans="1:28" ht="15" customHeight="1">
      <c r="E27" s="694"/>
    </row>
    <row r="28" spans="1:28" ht="15" customHeight="1">
      <c r="E28" s="2278" t="s">
        <v>587</v>
      </c>
      <c r="F28" s="2279"/>
      <c r="G28" s="2279"/>
      <c r="H28" s="2279"/>
      <c r="I28" s="2279"/>
      <c r="J28" s="2279"/>
      <c r="K28" s="2279"/>
      <c r="L28" s="2279"/>
      <c r="M28" s="2280"/>
      <c r="N28" s="2280"/>
      <c r="O28" s="2280"/>
      <c r="P28" s="2280"/>
      <c r="Q28" s="2280"/>
      <c r="R28" s="2280"/>
    </row>
    <row r="29" spans="1:28" ht="15" customHeight="1"/>
    <row r="30" spans="1:28" ht="15" customHeight="1"/>
    <row r="31" spans="1:28" ht="15" customHeight="1">
      <c r="T31" s="2281"/>
      <c r="U31" s="2281"/>
      <c r="V31" s="2281"/>
      <c r="W31" s="2281"/>
      <c r="X31" s="2281"/>
      <c r="Y31" s="2281"/>
      <c r="Z31" s="2281"/>
      <c r="AA31" s="2281"/>
      <c r="AB31" s="2282" t="str">
        <f>AJUSTES_UNIDADES_EDIFICACIONES_ENERGIA</f>
        <v>TWh</v>
      </c>
    </row>
    <row r="32" spans="1:28" ht="15" customHeight="1">
      <c r="T32" s="2283" t="s">
        <v>588</v>
      </c>
      <c r="U32" s="2298">
        <v>2018</v>
      </c>
      <c r="V32" s="2284">
        <v>2020</v>
      </c>
      <c r="W32" s="2284">
        <v>2025</v>
      </c>
      <c r="X32" s="2284">
        <v>2030</v>
      </c>
      <c r="Y32" s="2284">
        <v>2035</v>
      </c>
      <c r="Z32" s="2284">
        <v>2040</v>
      </c>
      <c r="AA32" s="2284">
        <v>2045</v>
      </c>
      <c r="AB32" s="2284">
        <v>2050</v>
      </c>
    </row>
    <row r="33" spans="4:28" ht="15" customHeight="1">
      <c r="T33" s="2292" t="s">
        <v>589</v>
      </c>
      <c r="U33" s="2296" cm="1">
        <f t="array" ref="U33:AB33">(SALIDA_DEMANDA_EDI_RES_URB_AER_ELECTRICIDAD+SALIDA_DEMANDA_EDI_RES_URB_IRCO_ELECTRICIDAD+SALIDA_DEMANDA_EDI_RES_RURAL_ELECTRICIDAD+SALIDA_DEMANDA_EDI_COM_AEC_ELECTRICIDAD+SALIDA_DEMANDA_EDI_COM_UTE_ELECTRICIDAD)*AJUSTE_UNIDAD_SELECCIONADA_EDIFICACIONES_ENERGIA</f>
        <v>2.4956767646552338</v>
      </c>
      <c r="V33" s="2296">
        <v>2.9696845015880791</v>
      </c>
      <c r="W33" s="2296">
        <v>3.7535246156516902</v>
      </c>
      <c r="X33" s="2296">
        <v>4.492538701781136</v>
      </c>
      <c r="Y33" s="2296">
        <v>5.1692154383240059</v>
      </c>
      <c r="Z33" s="2296">
        <v>5.8756467754649666</v>
      </c>
      <c r="AA33" s="2296">
        <v>6.5486292461482893</v>
      </c>
      <c r="AB33" s="2296">
        <v>7.2209865852126551</v>
      </c>
    </row>
    <row r="34" spans="4:28" ht="15" customHeight="1">
      <c r="T34" s="2292" t="s">
        <v>590</v>
      </c>
      <c r="U34" s="2296" cm="1">
        <f t="array" ref="U34:AB34">(SALIDA_DEMANDA_EDI_COM_UTE_GN+SALIDA_DEMANDA_EDI_RES_URB_IRCO_GN)*AJUSTE_UNIDAD_SELECCIONADA_EDIFICACIONES_ENERGIA</f>
        <v>1.569993122970027</v>
      </c>
      <c r="V34" s="2296">
        <v>1.7901505464116017</v>
      </c>
      <c r="W34" s="2296">
        <v>2.2249696656521118</v>
      </c>
      <c r="X34" s="2296">
        <v>2.6140824442370127</v>
      </c>
      <c r="Y34" s="2296">
        <v>2.9587902420562533</v>
      </c>
      <c r="Z34" s="2296">
        <v>3.2966210274366361</v>
      </c>
      <c r="AA34" s="2296">
        <v>3.6364348007864296</v>
      </c>
      <c r="AB34" s="2296">
        <v>3.9802869238034635</v>
      </c>
    </row>
    <row r="35" spans="4:28" ht="15" customHeight="1">
      <c r="D35" s="3897" t="str">
        <f>AJUSTES_UNIDADES_EDIFICACIONES_ENERGIA</f>
        <v>TWh</v>
      </c>
      <c r="T35" s="2292" t="s">
        <v>498</v>
      </c>
      <c r="U35" s="2296" cm="1">
        <f t="array" ref="U35:AB35">(SALIDA_DEMANDA_EDI_COM_UTE_GLP+SALIDA_DEMANDA_EDI_RES_RURAL_HIDROCARBUROS_GLP+SALIDA_DEMANDA_EDI_RES_URB_IRCO_GLP)*AJUSTE_UNIDAD_SELECCIONADA_EDIFICACIONES_ENERGIA</f>
        <v>0.71706051129351844</v>
      </c>
      <c r="V35" s="2296">
        <v>0.80093955160299546</v>
      </c>
      <c r="W35" s="2296">
        <v>0.95509737168718012</v>
      </c>
      <c r="X35" s="2296">
        <v>1.0872944846119945</v>
      </c>
      <c r="Y35" s="2296">
        <v>1.2188852161409978</v>
      </c>
      <c r="Z35" s="2296">
        <v>1.3479274372992054</v>
      </c>
      <c r="AA35" s="2296">
        <v>1.4783693150484847</v>
      </c>
      <c r="AB35" s="2296">
        <v>1.6110496135206667</v>
      </c>
    </row>
    <row r="36" spans="4:28" ht="15" customHeight="1">
      <c r="D36" s="3897"/>
      <c r="T36" s="2292" t="s">
        <v>591</v>
      </c>
      <c r="U36" s="2296" cm="1">
        <f t="array" ref="U36:AB36">SALIDA_DEMANDA_EDI_COM_UTE_PETROLEO*AJUSTE_UNIDAD_SELECCIONADA_EDIFICACIONES_ENERGIA</f>
        <v>1.5148224448581278E-2</v>
      </c>
      <c r="V36" s="2296">
        <v>1.7581445258866235E-2</v>
      </c>
      <c r="W36" s="2296">
        <v>2.0900090701616001E-2</v>
      </c>
      <c r="X36" s="2296">
        <v>2.3595179388708448E-2</v>
      </c>
      <c r="Y36" s="2296">
        <v>2.5988000602412336E-2</v>
      </c>
      <c r="Z36" s="2296">
        <v>2.8449070344590349E-2</v>
      </c>
      <c r="AA36" s="2296">
        <v>3.0972186201423873E-2</v>
      </c>
      <c r="AB36" s="2296">
        <v>3.357650733109166E-2</v>
      </c>
    </row>
    <row r="37" spans="4:28" ht="15" customHeight="1">
      <c r="D37" s="3897"/>
      <c r="T37" s="2292" t="s">
        <v>502</v>
      </c>
      <c r="U37" s="2296" cm="1">
        <f t="array" ref="U37:AB37">SALIDA_DEMANDA_EDI_COM_UTE_QUEROSENO*AJUSTE_UNIDAD_SELECCIONADA_EDIFICACIONES_ENERGIA</f>
        <v>1.5092804115232785E-2</v>
      </c>
      <c r="V37" s="2296">
        <v>1.751712289816304E-2</v>
      </c>
      <c r="W37" s="2296">
        <v>2.082362695514672E-2</v>
      </c>
      <c r="X37" s="2296">
        <v>2.3508855561676527E-2</v>
      </c>
      <c r="Y37" s="2296">
        <v>2.5892922551427961E-2</v>
      </c>
      <c r="Z37" s="2296">
        <v>2.8344988379915049E-2</v>
      </c>
      <c r="AA37" s="2296">
        <v>3.0858873325077238E-2</v>
      </c>
      <c r="AB37" s="2296">
        <v>3.3453666450612062E-2</v>
      </c>
    </row>
    <row r="38" spans="4:28" ht="15" customHeight="1">
      <c r="D38" s="3897"/>
      <c r="T38" s="2292" t="s">
        <v>526</v>
      </c>
      <c r="U38" s="2296" cm="1">
        <f t="array" ref="U38:AB38">SALIDA_DEMANDA_EDI_COM_UTE_DIESEL*AJUSTE_UNIDAD_SELECCIONADA_EDIFICACIONES_ENERGIA</f>
        <v>7.725594468776438E-2</v>
      </c>
      <c r="V38" s="2296">
        <v>8.9665370820217624E-2</v>
      </c>
      <c r="W38" s="2296">
        <v>0.10659046257824199</v>
      </c>
      <c r="X38" s="2296">
        <v>0.1203354148824128</v>
      </c>
      <c r="Y38" s="2296">
        <v>0.13253880307230317</v>
      </c>
      <c r="Z38" s="2296">
        <v>0.14509025875741058</v>
      </c>
      <c r="AA38" s="2296">
        <v>0.15795814962726171</v>
      </c>
      <c r="AB38" s="2296">
        <v>0.17124018738856736</v>
      </c>
    </row>
    <row r="39" spans="4:28" ht="17.25" customHeight="1">
      <c r="D39" s="3897"/>
      <c r="T39" s="2292" t="s">
        <v>537</v>
      </c>
      <c r="U39" s="2288" cm="1">
        <f t="array" ref="U39:AB39">SALIDA_DEMANDA_EDI_COM_UTE_FUELOIL*AJUSTE_UNIDAD_SELECCIONADA_EDIFICACIONES_ENERGIA</f>
        <v>1.4778755559591468E-4</v>
      </c>
      <c r="V39" s="2288">
        <v>1.715262952084507E-4</v>
      </c>
      <c r="W39" s="2288">
        <v>2.0390332391820529E-4</v>
      </c>
      <c r="X39" s="2288">
        <v>2.3019687208496032E-4</v>
      </c>
      <c r="Y39" s="2288">
        <v>2.5354146929182787E-4</v>
      </c>
      <c r="Z39" s="2288">
        <v>2.7755190580088153E-4</v>
      </c>
      <c r="AA39" s="2288">
        <v>3.0216767025779436E-4</v>
      </c>
      <c r="AB39" s="2288">
        <v>3.2757568127894323E-4</v>
      </c>
    </row>
    <row r="40" spans="4:28">
      <c r="T40" s="2292" t="s">
        <v>592</v>
      </c>
      <c r="U40" s="2296" cm="1">
        <f t="array" ref="U40:AB40">SALIDA_DEMANDA_EDI_RES_RURAL_LEÑA*AJUSTE_UNIDAD_SELECCIONADA_EDIFICACIONES_ENERGIA</f>
        <v>2.0309698378916816</v>
      </c>
      <c r="V40" s="2296">
        <v>1.7930817851862304</v>
      </c>
      <c r="W40" s="2296">
        <v>1.5052663613852877</v>
      </c>
      <c r="X40" s="2296">
        <v>1.2113348985625563</v>
      </c>
      <c r="Y40" s="2296">
        <v>1.0340448093185364</v>
      </c>
      <c r="Z40" s="2296">
        <v>0.87214744066421745</v>
      </c>
      <c r="AA40" s="2296">
        <v>0.72708444025521057</v>
      </c>
      <c r="AB40" s="2296">
        <v>0.59724707586173975</v>
      </c>
    </row>
    <row r="41" spans="4:28">
      <c r="W41" s="2287"/>
      <c r="X41" s="2287"/>
      <c r="Y41" s="2287"/>
      <c r="Z41" s="2287"/>
      <c r="AA41" s="2287"/>
      <c r="AB41" s="2287"/>
    </row>
    <row r="47" spans="4:28">
      <c r="E47" s="694"/>
    </row>
    <row r="48" spans="4:28" ht="18.75">
      <c r="E48" s="2278" t="s">
        <v>593</v>
      </c>
      <c r="F48" s="2279"/>
      <c r="G48" s="2279"/>
      <c r="H48" s="2279"/>
      <c r="I48" s="2279"/>
      <c r="J48" s="2279"/>
      <c r="K48" s="2279"/>
      <c r="L48" s="2279"/>
      <c r="M48" s="2280"/>
      <c r="N48" s="2280"/>
      <c r="O48" s="2280"/>
      <c r="P48" s="2280"/>
      <c r="Q48" s="2280"/>
      <c r="R48" s="2280"/>
    </row>
    <row r="51" spans="4:28">
      <c r="T51" s="2281"/>
      <c r="U51" s="2281"/>
      <c r="V51" s="2281"/>
      <c r="W51" s="2281"/>
      <c r="X51" s="2281"/>
      <c r="Y51" s="2281"/>
      <c r="Z51" s="2281"/>
      <c r="AA51" s="2281"/>
      <c r="AB51" s="2282" t="str">
        <f>AJUSTES_UNIDADES_EDIFICACIONES_ENERGIA</f>
        <v>TWh</v>
      </c>
    </row>
    <row r="52" spans="4:28">
      <c r="T52" s="2283" t="s">
        <v>588</v>
      </c>
      <c r="U52" s="2298">
        <v>2018</v>
      </c>
      <c r="V52" s="2284">
        <v>2020</v>
      </c>
      <c r="W52" s="2284">
        <v>2025</v>
      </c>
      <c r="X52" s="2284">
        <v>2030</v>
      </c>
      <c r="Y52" s="2284">
        <v>2035</v>
      </c>
      <c r="Z52" s="2284">
        <v>2040</v>
      </c>
      <c r="AA52" s="2284">
        <v>2045</v>
      </c>
      <c r="AB52" s="2284">
        <v>2050</v>
      </c>
    </row>
    <row r="53" spans="4:28">
      <c r="T53" s="2292" t="s">
        <v>594</v>
      </c>
      <c r="U53" s="2296" cm="1">
        <f t="array" ref="U53:AB53">(SALIDA_DEMANDA_EDI_RES_URB_AER_ACONDICIONAMIENTO_ESPACIOS+SALIDA_DEMANDA_EDI_RES_URB_IRCO_CONSUMOTOTAL)*AJUSTE_UNIDAD_SELECCIONADA_EDIFICACIONES_ENERGIA</f>
        <v>3.3837986350767664</v>
      </c>
      <c r="V53" s="2296">
        <v>3.9149027017185731</v>
      </c>
      <c r="W53" s="2296">
        <v>4.9371005331730666</v>
      </c>
      <c r="X53" s="2296">
        <v>5.8901009590660607</v>
      </c>
      <c r="Y53" s="2296">
        <v>6.7602567994340745</v>
      </c>
      <c r="Z53" s="2296">
        <v>7.6501522358046845</v>
      </c>
      <c r="AA53" s="2296">
        <v>8.5138920484842728</v>
      </c>
      <c r="AB53" s="2296">
        <v>9.3882113843262456</v>
      </c>
    </row>
    <row r="54" spans="4:28">
      <c r="T54" s="2292" t="s">
        <v>595</v>
      </c>
      <c r="U54" s="2296" cm="1">
        <f t="array" ref="U54:AB54">SALIDA_DEMANDA_EDI_RES_RURAL_CONSUMOTOTAL*AJUSTE_UNIDAD_SELECCIONADA_EDIFICACIONES_ENERGIA</f>
        <v>2.4031106123421777</v>
      </c>
      <c r="V54" s="2296">
        <v>2.2472318655358188</v>
      </c>
      <c r="W54" s="2296">
        <v>2.0850881624504911</v>
      </c>
      <c r="X54" s="2296">
        <v>1.9157992520983598</v>
      </c>
      <c r="Y54" s="2296">
        <v>1.8591361631334222</v>
      </c>
      <c r="Z54" s="2296">
        <v>1.8138291915322713</v>
      </c>
      <c r="AA54" s="2296">
        <v>1.7772403227205573</v>
      </c>
      <c r="AB54" s="2296">
        <v>1.745444874466505</v>
      </c>
    </row>
    <row r="55" spans="4:28">
      <c r="D55" s="3897" t="str">
        <f>AJUSTES_UNIDADES_EDIFICACIONES_ENERGIA</f>
        <v>TWh</v>
      </c>
      <c r="T55" s="2292" t="s">
        <v>596</v>
      </c>
      <c r="U55" s="2296" cm="1">
        <f t="array" ref="U55:AB55">(SALIDA_DEMANDA_EDI_COM_AEC_ACONDICIONAMIENTO+SALIDA_DEMANDA_EDI_COM_UTE_CONSUMOTOTAL)*AJUSTE_UNIDAD_SELECCIONADA_EDIFICACIONES_ENERGIA</f>
        <v>1.1344357501986906</v>
      </c>
      <c r="V55" s="2296">
        <v>1.3166572828069698</v>
      </c>
      <c r="W55" s="2296">
        <v>1.5651874023116354</v>
      </c>
      <c r="X55" s="2296">
        <v>1.7670199647331617</v>
      </c>
      <c r="Y55" s="2296">
        <v>1.9462160109677313</v>
      </c>
      <c r="Z55" s="2296">
        <v>2.1305231229157879</v>
      </c>
      <c r="AA55" s="2296">
        <v>2.3194768078576047</v>
      </c>
      <c r="AB55" s="2296">
        <v>2.514511876457326</v>
      </c>
    </row>
    <row r="56" spans="4:28">
      <c r="D56" s="3897"/>
      <c r="W56" s="2296"/>
      <c r="X56" s="2296"/>
      <c r="Y56" s="2296"/>
      <c r="Z56" s="2296"/>
      <c r="AA56" s="2296"/>
      <c r="AB56" s="2296"/>
    </row>
    <row r="57" spans="4:28">
      <c r="D57" s="3897"/>
      <c r="W57" s="2296"/>
      <c r="X57" s="2296"/>
      <c r="Y57" s="2296"/>
      <c r="Z57" s="2296"/>
      <c r="AA57" s="2296"/>
      <c r="AB57" s="2296"/>
    </row>
    <row r="58" spans="4:28">
      <c r="D58" s="3897"/>
      <c r="W58" s="2296"/>
      <c r="X58" s="2296"/>
      <c r="Y58" s="2296"/>
      <c r="Z58" s="2296"/>
      <c r="AA58" s="2296"/>
      <c r="AB58" s="2296"/>
    </row>
    <row r="59" spans="4:28">
      <c r="D59" s="3897"/>
      <c r="W59" s="2296"/>
      <c r="X59" s="2296"/>
      <c r="Y59" s="2296"/>
      <c r="Z59" s="2296"/>
      <c r="AA59" s="2296"/>
      <c r="AB59" s="2296"/>
    </row>
    <row r="60" spans="4:28">
      <c r="W60" s="2296"/>
      <c r="X60" s="2296"/>
      <c r="Y60" s="2296"/>
      <c r="Z60" s="2296"/>
      <c r="AA60" s="2296"/>
      <c r="AB60" s="2296"/>
    </row>
    <row r="61" spans="4:28">
      <c r="W61" s="2287"/>
      <c r="X61" s="2287"/>
      <c r="Y61" s="2287"/>
      <c r="Z61" s="2287"/>
      <c r="AA61" s="2287"/>
      <c r="AB61" s="2287"/>
    </row>
    <row r="69" spans="4:28" ht="15" customHeight="1"/>
    <row r="70" spans="4:28" ht="18.75">
      <c r="E70" s="2278" t="s">
        <v>597</v>
      </c>
      <c r="F70" s="2279"/>
      <c r="G70" s="2279"/>
      <c r="H70" s="2279"/>
      <c r="I70" s="2279"/>
      <c r="J70" s="2279"/>
      <c r="K70" s="2279"/>
      <c r="L70" s="2279"/>
      <c r="M70" s="2280"/>
      <c r="N70" s="2280"/>
      <c r="O70" s="2280"/>
      <c r="P70" s="2280"/>
      <c r="Q70" s="2280"/>
      <c r="R70" s="2280"/>
    </row>
    <row r="71" spans="4:28">
      <c r="T71" s="2281"/>
      <c r="U71" s="2281"/>
      <c r="V71" s="2281"/>
      <c r="W71" s="2281"/>
      <c r="X71" s="2281"/>
      <c r="Y71" s="2281"/>
      <c r="Z71" s="2281"/>
      <c r="AA71" s="2281"/>
      <c r="AB71" s="2282" t="str">
        <f>AJUSTES_UNIDADES_EDIFICACIONES_ENERGIA</f>
        <v>TWh</v>
      </c>
    </row>
    <row r="72" spans="4:28">
      <c r="T72" s="2283" t="s">
        <v>588</v>
      </c>
      <c r="U72" s="2298">
        <v>2018</v>
      </c>
      <c r="V72" s="2284">
        <v>2020</v>
      </c>
      <c r="W72" s="2284">
        <v>2025</v>
      </c>
      <c r="X72" s="2284">
        <v>2030</v>
      </c>
      <c r="Y72" s="2284">
        <v>2035</v>
      </c>
      <c r="Z72" s="2284">
        <v>2040</v>
      </c>
      <c r="AA72" s="2284">
        <v>2045</v>
      </c>
      <c r="AB72" s="2284">
        <v>2050</v>
      </c>
    </row>
    <row r="73" spans="4:28">
      <c r="T73" s="2292" t="s">
        <v>594</v>
      </c>
      <c r="U73" s="2296" cm="1">
        <f t="array" ref="U73:AB73">EDI_RESIDENCIALES_IRCO_GENERACION_SOLAR_FOTOVOLTAICA*AJUSTE_UNIDAD_SELECCIONADA_EDIFICACIONES_ENERGIA</f>
        <v>0</v>
      </c>
      <c r="V73" s="2296">
        <v>4.619112157401981E-6</v>
      </c>
      <c r="W73" s="2296">
        <v>2.0272917560842541E-5</v>
      </c>
      <c r="X73" s="2296">
        <v>4.1380482384673446E-5</v>
      </c>
      <c r="Y73" s="2296">
        <v>6.7733993310052588E-5</v>
      </c>
      <c r="Z73" s="2296">
        <v>1.0075764518072839E-4</v>
      </c>
      <c r="AA73" s="2296">
        <v>1.3956277798552673E-4</v>
      </c>
      <c r="AB73" s="2296">
        <v>1.8297733039349229E-2</v>
      </c>
    </row>
    <row r="76" spans="4:28">
      <c r="Y76" s="2296"/>
      <c r="Z76" s="2296"/>
      <c r="AA76" s="2296"/>
      <c r="AB76" s="2296"/>
    </row>
    <row r="77" spans="4:28">
      <c r="Y77" s="2296"/>
      <c r="Z77" s="2296"/>
      <c r="AA77" s="2296"/>
      <c r="AB77" s="2296"/>
    </row>
    <row r="78" spans="4:28">
      <c r="D78" s="3897" t="str">
        <f>AJUSTES_UNIDADES_EDIFICACIONES_ENERGIA</f>
        <v>TWh</v>
      </c>
      <c r="Y78" s="2296"/>
      <c r="Z78" s="2296"/>
      <c r="AA78" s="2296"/>
      <c r="AB78" s="2296"/>
    </row>
    <row r="79" spans="4:28">
      <c r="D79" s="3897"/>
      <c r="Y79" s="2296"/>
      <c r="Z79" s="2296"/>
      <c r="AA79" s="2296"/>
      <c r="AB79" s="2296"/>
    </row>
    <row r="80" spans="4:28">
      <c r="D80" s="3897"/>
      <c r="Y80" s="2296"/>
      <c r="Z80" s="2296"/>
      <c r="AA80" s="2296"/>
      <c r="AB80" s="2296"/>
    </row>
    <row r="81" spans="4:28">
      <c r="D81" s="3897"/>
      <c r="Y81" s="2296"/>
      <c r="Z81" s="2296"/>
      <c r="AA81" s="2296"/>
      <c r="AB81" s="2296"/>
    </row>
    <row r="82" spans="4:28">
      <c r="D82" s="3897"/>
      <c r="Y82" s="2287"/>
      <c r="Z82" s="2287"/>
      <c r="AA82" s="2287"/>
      <c r="AB82" s="2287"/>
    </row>
    <row r="97" spans="4:4">
      <c r="D97" s="680"/>
    </row>
    <row r="98" spans="4:4">
      <c r="D98" s="680"/>
    </row>
    <row r="99" spans="4:4">
      <c r="D99" s="680"/>
    </row>
    <row r="100" spans="4:4">
      <c r="D100" s="680"/>
    </row>
    <row r="101" spans="4:4">
      <c r="D101" s="680"/>
    </row>
    <row r="102" spans="4:4">
      <c r="D102" s="680"/>
    </row>
    <row r="103" spans="4:4">
      <c r="D103" s="680"/>
    </row>
    <row r="104" spans="4:4">
      <c r="D104" s="680"/>
    </row>
    <row r="105" spans="4:4">
      <c r="D105" s="680"/>
    </row>
    <row r="106" spans="4:4">
      <c r="D106" s="680"/>
    </row>
    <row r="107" spans="4:4">
      <c r="D107" s="680"/>
    </row>
    <row r="108" spans="4:4">
      <c r="D108" s="680"/>
    </row>
    <row r="109" spans="4:4">
      <c r="D109" s="680"/>
    </row>
    <row r="110" spans="4:4">
      <c r="D110" s="680"/>
    </row>
    <row r="111" spans="4:4">
      <c r="D111" s="680"/>
    </row>
    <row r="112" spans="4:4">
      <c r="D112" s="680"/>
    </row>
    <row r="113" spans="4:6">
      <c r="D113" s="680"/>
    </row>
    <row r="114" spans="4:6">
      <c r="D114" s="680"/>
    </row>
    <row r="115" spans="4:6">
      <c r="D115" s="680"/>
    </row>
    <row r="116" spans="4:6">
      <c r="D116" s="680"/>
    </row>
    <row r="117" spans="4:6">
      <c r="D117" s="680"/>
    </row>
    <row r="118" spans="4:6">
      <c r="D118" s="680"/>
      <c r="E118" s="680"/>
      <c r="F118" s="680"/>
    </row>
    <row r="119" spans="4:6">
      <c r="D119" s="680"/>
      <c r="E119" s="680"/>
      <c r="F119" s="680"/>
    </row>
    <row r="120" spans="4:6">
      <c r="E120" s="680"/>
      <c r="F120" s="680"/>
    </row>
    <row r="121" spans="4:6">
      <c r="E121" s="680"/>
      <c r="F121" s="680"/>
    </row>
  </sheetData>
  <sheetProtection algorithmName="SHA-512" hashValue="Vq9JswjnDWtWbjroqmgajrWtDNze1IAmOkXXFw+ph4vqqie1yTxncdpQ4Ax3r9hCQyRs/QIawW/d8Y9/gYGi8w==" saltValue="qLLIRgypPCDLx47wir9cJQ==" spinCount="100000" sheet="1" objects="1" scenarios="1"/>
  <mergeCells count="4">
    <mergeCell ref="D15:D19"/>
    <mergeCell ref="D35:D39"/>
    <mergeCell ref="D78:D82"/>
    <mergeCell ref="D55:D59"/>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0E26DE8D-4AB0-41FF-A617-17C6C58D7762}">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RESULTADOS_EDIFICACIONES!U73:AB73</xm:f>
              <xm:sqref>S73</xm:sqref>
            </x14:sparkline>
          </x14:sparklines>
        </x14:sparklineGroup>
        <x14:sparklineGroup manualMax="0" manualMin="0" displayEmptyCellsAs="gap" xr2:uid="{4C066B89-F372-4C31-89A0-72E4A5455050}">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RESULTADOS_EDIFICACIONES!U53:AB53</xm:f>
              <xm:sqref>S53</xm:sqref>
            </x14:sparkline>
            <x14:sparkline>
              <xm:f>RESULTADOS_EDIFICACIONES!U54:AB54</xm:f>
              <xm:sqref>S54</xm:sqref>
            </x14:sparkline>
            <x14:sparkline>
              <xm:f>RESULTADOS_EDIFICACIONES!U55:AB55</xm:f>
              <xm:sqref>S55</xm:sqref>
            </x14:sparkline>
          </x14:sparklines>
        </x14:sparklineGroup>
        <x14:sparklineGroup manualMax="0" manualMin="0" displayEmptyCellsAs="gap" xr2:uid="{D8F3085D-E03A-4583-8BAC-FCF10E48BCBC}">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RESULTADOS_EDIFICACIONES!U33:AB33</xm:f>
              <xm:sqref>S33</xm:sqref>
            </x14:sparkline>
            <x14:sparkline>
              <xm:f>RESULTADOS_EDIFICACIONES!U34:AB34</xm:f>
              <xm:sqref>S34</xm:sqref>
            </x14:sparkline>
            <x14:sparkline>
              <xm:f>RESULTADOS_EDIFICACIONES!U35:AB35</xm:f>
              <xm:sqref>S35</xm:sqref>
            </x14:sparkline>
            <x14:sparkline>
              <xm:f>RESULTADOS_EDIFICACIONES!U36:AB36</xm:f>
              <xm:sqref>S36</xm:sqref>
            </x14:sparkline>
            <x14:sparkline>
              <xm:f>RESULTADOS_EDIFICACIONES!U37:AB37</xm:f>
              <xm:sqref>S37</xm:sqref>
            </x14:sparkline>
            <x14:sparkline>
              <xm:f>RESULTADOS_EDIFICACIONES!U38:AB38</xm:f>
              <xm:sqref>S38</xm:sqref>
            </x14:sparkline>
            <x14:sparkline>
              <xm:f>RESULTADOS_EDIFICACIONES!U39:AB39</xm:f>
              <xm:sqref>S39</xm:sqref>
            </x14:sparkline>
            <x14:sparkline>
              <xm:f>RESULTADOS_EDIFICACIONES!U40:AB40</xm:f>
              <xm:sqref>S40</xm:sqref>
            </x14:sparkline>
            <x14:sparkline>
              <xm:f>RESULTADOS_EDIFICACIONES!U41:AB41</xm:f>
              <xm:sqref>S41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60D48-2B68-4088-9BEF-80CE0CD95800}">
  <sheetPr codeName="Hoja36"/>
  <dimension ref="A1:AC76"/>
  <sheetViews>
    <sheetView showGridLines="0" tabSelected="1" zoomScale="80" zoomScaleNormal="80" workbookViewId="0"/>
  </sheetViews>
  <sheetFormatPr baseColWidth="10" defaultColWidth="11.42578125" defaultRowHeight="15"/>
  <cols>
    <col min="1" max="1" width="20.7109375" style="678" customWidth="1"/>
    <col min="2" max="2" width="30.7109375" style="2276" customWidth="1"/>
    <col min="3" max="3" width="5.28515625" style="679" customWidth="1"/>
    <col min="4" max="18" width="11.42578125" style="679"/>
    <col min="19" max="19" width="21.5703125" style="679" customWidth="1"/>
    <col min="20" max="20" width="43.28515625" style="679" customWidth="1"/>
    <col min="21" max="21" width="15.5703125" style="679" bestFit="1" customWidth="1"/>
    <col min="22" max="22" width="16.5703125" style="679" bestFit="1" customWidth="1"/>
    <col min="23" max="23" width="16.28515625" style="679" bestFit="1" customWidth="1"/>
    <col min="24" max="24" width="15.5703125" style="679" bestFit="1" customWidth="1"/>
    <col min="25" max="25" width="16.85546875" style="679" bestFit="1" customWidth="1"/>
    <col min="26" max="26" width="17" style="679" bestFit="1" customWidth="1"/>
    <col min="27" max="27" width="16.140625" style="679" bestFit="1" customWidth="1"/>
    <col min="28" max="28" width="17" style="679" bestFit="1" customWidth="1"/>
    <col min="29" max="16384" width="11.42578125" style="679"/>
  </cols>
  <sheetData>
    <row r="1" spans="1:28" ht="15" customHeight="1"/>
    <row r="2" spans="1:28" ht="15" customHeight="1"/>
    <row r="3" spans="1:28" ht="15" customHeight="1"/>
    <row r="4" spans="1:28" ht="15" customHeight="1">
      <c r="E4" s="694"/>
    </row>
    <row r="5" spans="1:28" ht="15" customHeight="1">
      <c r="A5" s="1559"/>
      <c r="E5" s="2278" t="s">
        <v>598</v>
      </c>
      <c r="F5" s="2279"/>
      <c r="G5" s="2279"/>
      <c r="H5" s="2279"/>
      <c r="I5" s="2279"/>
      <c r="J5" s="2279"/>
      <c r="K5" s="2279"/>
      <c r="L5" s="2279"/>
      <c r="M5" s="2280"/>
      <c r="N5" s="2280"/>
      <c r="O5" s="2280"/>
      <c r="P5" s="2280"/>
      <c r="Q5" s="2280"/>
      <c r="R5" s="2280"/>
    </row>
    <row r="6" spans="1:28" ht="15" customHeight="1"/>
    <row r="7" spans="1:28" ht="15" customHeight="1">
      <c r="T7" s="2281"/>
      <c r="U7" s="2281"/>
    </row>
    <row r="8" spans="1:28" ht="15" customHeight="1">
      <c r="E8" s="2291"/>
      <c r="F8" s="2291"/>
      <c r="G8" s="2291"/>
      <c r="H8" s="2291"/>
      <c r="I8" s="2291"/>
      <c r="T8" s="2290"/>
      <c r="U8" s="2281"/>
      <c r="V8" s="2281"/>
      <c r="W8" s="2281"/>
      <c r="X8" s="2281"/>
      <c r="Y8" s="2281"/>
      <c r="Z8" s="2281"/>
      <c r="AA8" s="2281"/>
      <c r="AB8" s="2282" t="str">
        <f>AJUSTES_UNIDADES_TRANSPORTE_EMISIONES</f>
        <v>Mt CO2 e</v>
      </c>
    </row>
    <row r="9" spans="1:28" ht="15" customHeight="1">
      <c r="E9" s="2291"/>
      <c r="F9" s="2291"/>
      <c r="G9" s="2291"/>
      <c r="H9" s="2291"/>
      <c r="I9" s="2291"/>
      <c r="T9" s="2283" t="s">
        <v>582</v>
      </c>
      <c r="U9" s="2284">
        <v>2018</v>
      </c>
      <c r="V9" s="2284">
        <v>2020</v>
      </c>
      <c r="W9" s="2284">
        <v>2025</v>
      </c>
      <c r="X9" s="2284">
        <v>2030</v>
      </c>
      <c r="Y9" s="2284">
        <v>2035</v>
      </c>
      <c r="Z9" s="2284">
        <v>2040</v>
      </c>
      <c r="AA9" s="2284">
        <v>2045</v>
      </c>
      <c r="AB9" s="2284">
        <v>2050</v>
      </c>
    </row>
    <row r="10" spans="1:28" ht="15" customHeight="1">
      <c r="E10" s="2291"/>
      <c r="F10" s="2291"/>
      <c r="G10" s="2291"/>
      <c r="H10" s="2291"/>
      <c r="I10" s="2291"/>
      <c r="T10" s="2292" t="s">
        <v>99</v>
      </c>
      <c r="U10" s="2296" cm="1">
        <f t="array" ref="U10:AB10">SALIDA_EMISIONES_TRANS_PAS_EMISIONESCO2E*AJUSTE_UNIDAD_SELECCIONADA_TRANSPORTE_EMISIONES</f>
        <v>1.1156087474801775</v>
      </c>
      <c r="V10" s="2296">
        <v>1.1861711771772978</v>
      </c>
      <c r="W10" s="2296">
        <v>1.2784777415336654</v>
      </c>
      <c r="X10" s="2296">
        <v>1.2064180299132823</v>
      </c>
      <c r="Y10" s="2296">
        <v>1.1307432363943888</v>
      </c>
      <c r="Z10" s="2296">
        <v>1.1019038379723285</v>
      </c>
      <c r="AA10" s="2296">
        <v>1.0890765568629093</v>
      </c>
      <c r="AB10" s="2296">
        <v>1.1054797425294152</v>
      </c>
    </row>
    <row r="11" spans="1:28" ht="15" customHeight="1">
      <c r="E11" s="2291"/>
      <c r="F11" s="2291"/>
      <c r="G11" s="2291"/>
      <c r="H11" s="2291"/>
      <c r="I11" s="2291"/>
      <c r="T11" s="2292" t="s">
        <v>101</v>
      </c>
      <c r="U11" s="2296" cm="1">
        <f t="array" ref="U11:AB11">SALIDA_EMISIONES_TRANS_CAR_TOTALESCO2E*AJUSTE_UNIDAD_SELECCIONADA_TRANSPORTE_EMISIONES</f>
        <v>1.1870889839408183</v>
      </c>
      <c r="V11" s="2296">
        <v>1.4556165594872588</v>
      </c>
      <c r="W11" s="2296">
        <v>1.8305227613372232</v>
      </c>
      <c r="X11" s="2296">
        <v>2.1357345851112326</v>
      </c>
      <c r="Y11" s="2296">
        <v>2.4677321864951658</v>
      </c>
      <c r="Z11" s="2296">
        <v>2.8380527203569645</v>
      </c>
      <c r="AA11" s="2296">
        <v>3.2869538791861426</v>
      </c>
      <c r="AB11" s="2296">
        <v>3.8958280345984382</v>
      </c>
    </row>
    <row r="12" spans="1:28" ht="15" customHeight="1">
      <c r="D12" s="3897" t="str">
        <f>AJUSTES_UNIDADES_TRANSPORTE_EMISIONES</f>
        <v>Mt CO2 e</v>
      </c>
      <c r="E12" s="2291"/>
      <c r="F12" s="2291"/>
      <c r="G12" s="2291"/>
      <c r="H12" s="2291"/>
      <c r="I12" s="2291"/>
      <c r="T12" s="2292" t="s">
        <v>345</v>
      </c>
      <c r="U12" s="2296" cm="1">
        <f t="array" ref="U12:AB12">SALIDA_EMISIONES_TRANS_AVI_TOTALCO2e*AJUSTE_UNIDAD_SELECCIONADA_TRANSPORTE_EMISIONES</f>
        <v>7.0597850788122876E-2</v>
      </c>
      <c r="V12" s="2296">
        <v>7.7856799381225569E-2</v>
      </c>
      <c r="W12" s="2296">
        <v>8.8445524555987212E-2</v>
      </c>
      <c r="X12" s="2296">
        <v>9.587408263006042E-2</v>
      </c>
      <c r="Y12" s="2296">
        <v>0.10179934643702558</v>
      </c>
      <c r="Z12" s="2296">
        <v>0.10780101898331276</v>
      </c>
      <c r="AA12" s="2296">
        <v>0.11386528621634175</v>
      </c>
      <c r="AB12" s="2296">
        <v>0.12006952499140411</v>
      </c>
    </row>
    <row r="13" spans="1:28" ht="15" customHeight="1">
      <c r="D13" s="3897"/>
      <c r="E13" s="2291"/>
      <c r="F13" s="2291"/>
      <c r="G13" s="2291"/>
      <c r="H13" s="2291"/>
      <c r="I13" s="2291"/>
      <c r="T13" s="2292" t="s">
        <v>346</v>
      </c>
      <c r="U13" s="2296" cm="1">
        <f t="array" ref="U13:AB13">SALIDA_EMISIONES_TRANS_NAVI_TOTALCO2e*AJUSTE_UNIDAD_SELECCIONADA_TRANSPORTE_EMISIONES</f>
        <v>0</v>
      </c>
      <c r="V13" s="2296">
        <v>0</v>
      </c>
      <c r="W13" s="2296">
        <v>0</v>
      </c>
      <c r="X13" s="2296">
        <v>0</v>
      </c>
      <c r="Y13" s="2296">
        <v>0</v>
      </c>
      <c r="Z13" s="2296">
        <v>0</v>
      </c>
      <c r="AA13" s="2296">
        <v>0</v>
      </c>
      <c r="AB13" s="2296">
        <v>0</v>
      </c>
    </row>
    <row r="14" spans="1:28" ht="15" customHeight="1">
      <c r="D14" s="3897"/>
      <c r="E14" s="2291"/>
      <c r="F14" s="2291"/>
      <c r="G14" s="2291"/>
      <c r="H14" s="2291"/>
      <c r="I14" s="2291"/>
      <c r="U14" s="2296"/>
      <c r="V14" s="2296"/>
      <c r="W14" s="2296"/>
      <c r="X14" s="2296"/>
      <c r="Y14" s="2296"/>
      <c r="Z14" s="2296"/>
      <c r="AA14" s="2296"/>
      <c r="AB14" s="2296"/>
    </row>
    <row r="15" spans="1:28" ht="15" customHeight="1">
      <c r="D15" s="3897"/>
      <c r="E15" s="2291"/>
      <c r="F15" s="2291"/>
      <c r="G15" s="2291"/>
      <c r="H15" s="2291"/>
      <c r="I15" s="2291"/>
    </row>
    <row r="16" spans="1:28" ht="15" customHeight="1">
      <c r="D16" s="3897"/>
      <c r="E16" s="2291"/>
      <c r="F16" s="2291"/>
      <c r="G16" s="2291"/>
      <c r="H16" s="2291"/>
      <c r="I16" s="2291"/>
    </row>
    <row r="17" spans="1:29" s="680" customFormat="1" ht="15" customHeight="1">
      <c r="A17" s="678"/>
      <c r="B17" s="2276"/>
      <c r="E17" s="679"/>
      <c r="F17" s="679"/>
      <c r="G17" s="679"/>
      <c r="H17" s="679"/>
      <c r="I17" s="679"/>
      <c r="J17" s="679"/>
      <c r="K17" s="679"/>
      <c r="L17" s="679"/>
      <c r="M17" s="679"/>
      <c r="N17" s="679"/>
      <c r="O17" s="679"/>
      <c r="P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8" t="s">
        <v>599</v>
      </c>
      <c r="F25" s="2279"/>
      <c r="G25" s="2279"/>
      <c r="H25" s="2279"/>
      <c r="I25" s="2279"/>
      <c r="J25" s="2279"/>
      <c r="K25" s="2279"/>
      <c r="L25" s="2279"/>
      <c r="M25" s="2280"/>
      <c r="N25" s="2280"/>
      <c r="O25" s="2280"/>
      <c r="P25" s="2280"/>
      <c r="Q25" s="2280"/>
      <c r="R25" s="2280"/>
    </row>
    <row r="26" spans="1:29" ht="15" customHeight="1"/>
    <row r="27" spans="1:29" ht="15" customHeight="1"/>
    <row r="28" spans="1:29" ht="15" customHeight="1">
      <c r="T28" s="2281"/>
      <c r="U28" s="2281"/>
      <c r="V28" s="2281"/>
      <c r="W28" s="2281"/>
      <c r="X28" s="2281"/>
      <c r="Y28" s="2281"/>
      <c r="Z28" s="2281"/>
      <c r="AA28" s="2281"/>
      <c r="AB28" s="2282" t="str">
        <f>AJUSTES_UNIDADES_TRANSPORTE_ENERGIA</f>
        <v>TWh</v>
      </c>
    </row>
    <row r="29" spans="1:29" ht="15" customHeight="1">
      <c r="T29" s="2283" t="s">
        <v>588</v>
      </c>
      <c r="U29" s="2298">
        <v>2018</v>
      </c>
      <c r="V29" s="2284">
        <v>2020</v>
      </c>
      <c r="W29" s="2284">
        <v>2025</v>
      </c>
      <c r="X29" s="2284">
        <v>2030</v>
      </c>
      <c r="Y29" s="2284">
        <v>2035</v>
      </c>
      <c r="Z29" s="2284">
        <v>2040</v>
      </c>
      <c r="AA29" s="2284">
        <v>2045</v>
      </c>
      <c r="AB29" s="2284">
        <v>2050</v>
      </c>
    </row>
    <row r="30" spans="1:29" ht="15" customHeight="1">
      <c r="T30" s="2292" t="s">
        <v>99</v>
      </c>
      <c r="U30" s="2288" cm="1">
        <f t="array" ref="U30:AB30">SALIDA_DEMANDA_TRANS_PAS_TOTAL*AJUSTE_UNIDAD_SELECCIONADA_TRANSPORTE_ENERGIA</f>
        <v>4.2211985889697088</v>
      </c>
      <c r="V30" s="2288">
        <v>4.5034901499689566</v>
      </c>
      <c r="W30" s="2288">
        <v>4.8625341028035161</v>
      </c>
      <c r="X30" s="2288">
        <v>4.6074429525737486</v>
      </c>
      <c r="Y30" s="2288">
        <v>4.3413901279366645</v>
      </c>
      <c r="Z30" s="2288">
        <v>4.2503365941485027</v>
      </c>
      <c r="AA30" s="2288">
        <v>4.2130148367934286</v>
      </c>
      <c r="AB30" s="2288">
        <v>4.2865407615197793</v>
      </c>
      <c r="AC30" s="2296"/>
    </row>
    <row r="31" spans="1:29" ht="15" customHeight="1">
      <c r="T31" s="2292" t="s">
        <v>101</v>
      </c>
      <c r="U31" s="2288" cm="1">
        <f t="array" ref="U31:AB31">SALIDA_DEMANDA_TRANS_CAR_TOTAL*AJUSTE_UNIDAD_SELECCIONADA_TRANSPORTE_ENERGIA</f>
        <v>4.4620302218337331</v>
      </c>
      <c r="V31" s="2288">
        <v>5.4566764046475305</v>
      </c>
      <c r="W31" s="2288">
        <v>6.8720448600001243</v>
      </c>
      <c r="X31" s="2288">
        <v>8.0384191080031133</v>
      </c>
      <c r="Y31" s="2288">
        <v>9.4167694527860863</v>
      </c>
      <c r="Z31" s="2288">
        <v>11.021330332753115</v>
      </c>
      <c r="AA31" s="2288">
        <v>12.922563360469601</v>
      </c>
      <c r="AB31" s="2288">
        <v>15.406914084941201</v>
      </c>
      <c r="AC31" s="2296"/>
    </row>
    <row r="32" spans="1:29" ht="15" customHeight="1">
      <c r="D32" s="3898" t="str">
        <f>AJUSTES_UNIDADES_TRANSPORTE_ENERGIA</f>
        <v>TWh</v>
      </c>
      <c r="T32" s="2292" t="s">
        <v>345</v>
      </c>
      <c r="U32" s="2288" cm="1">
        <f t="array" ref="U32:AB32">SALIDA_DEMANDA_TRANS_AVI_AVIACION_INTERNACIONAL*AJUSTE_UNIDAD_SELECCIONADA_TRANSPORTE_ENERGIA</f>
        <v>0.26328619776232887</v>
      </c>
      <c r="V32" s="2288">
        <v>0.29035757392314177</v>
      </c>
      <c r="W32" s="2288">
        <v>0.3298469515641147</v>
      </c>
      <c r="X32" s="2288">
        <v>0.35755086589500845</v>
      </c>
      <c r="Y32" s="2288">
        <v>0.37964842497165197</v>
      </c>
      <c r="Z32" s="2288">
        <v>0.40203094125630268</v>
      </c>
      <c r="AA32" s="2288">
        <v>0.42464689690048624</v>
      </c>
      <c r="AB32" s="2288">
        <v>0.44778485958433889</v>
      </c>
      <c r="AC32" s="2296"/>
    </row>
    <row r="33" spans="4:29" ht="15" customHeight="1">
      <c r="D33" s="3898"/>
      <c r="T33" s="2292" t="s">
        <v>346</v>
      </c>
      <c r="U33" s="2288" cm="1">
        <f t="array" ref="U33:AB33">SALIDA_DEMANDA_TRANS_NAV_DIESEL*AJUSTE_UNIDAD_SELECCIONADA_TRANSPORTE_ENERGIA</f>
        <v>0</v>
      </c>
      <c r="V33" s="2288">
        <v>0</v>
      </c>
      <c r="W33" s="2288">
        <v>0</v>
      </c>
      <c r="X33" s="2288">
        <v>0</v>
      </c>
      <c r="Y33" s="2288">
        <v>0</v>
      </c>
      <c r="Z33" s="2288">
        <v>0</v>
      </c>
      <c r="AA33" s="2288">
        <v>0</v>
      </c>
      <c r="AB33" s="2288">
        <v>0</v>
      </c>
      <c r="AC33" s="2296"/>
    </row>
    <row r="34" spans="4:29" ht="15" customHeight="1">
      <c r="D34" s="3898"/>
      <c r="W34" s="2296"/>
      <c r="X34" s="2296"/>
      <c r="Y34" s="2296"/>
      <c r="Z34" s="2296"/>
      <c r="AA34" s="2296"/>
      <c r="AB34" s="2296"/>
    </row>
    <row r="35" spans="4:29" ht="15" customHeight="1">
      <c r="D35" s="3898"/>
    </row>
    <row r="36" spans="4:29" ht="15" customHeight="1">
      <c r="D36" s="3898"/>
    </row>
    <row r="37" spans="4:29" ht="15" customHeight="1">
      <c r="U37" s="2288"/>
      <c r="V37" s="2288"/>
      <c r="W37" s="2288"/>
      <c r="X37" s="2288"/>
      <c r="Y37" s="2288"/>
      <c r="Z37" s="2288"/>
      <c r="AA37" s="2288"/>
      <c r="AB37" s="2288"/>
    </row>
    <row r="38" spans="4:29" ht="15" customHeight="1">
      <c r="U38" s="2288"/>
      <c r="V38" s="2288"/>
      <c r="W38" s="2288"/>
      <c r="X38" s="2288"/>
      <c r="Y38" s="2288"/>
      <c r="Z38" s="2288"/>
      <c r="AA38" s="2288"/>
      <c r="AB38" s="2288"/>
    </row>
    <row r="39" spans="4:29" ht="17.25" customHeight="1">
      <c r="U39" s="2288"/>
      <c r="V39" s="2288"/>
      <c r="W39" s="2288"/>
      <c r="X39" s="2288"/>
      <c r="Y39" s="2288"/>
      <c r="Z39" s="2288"/>
      <c r="AA39" s="2288"/>
      <c r="AB39" s="2288"/>
    </row>
    <row r="40" spans="4:29">
      <c r="U40" s="2288"/>
      <c r="V40" s="2288"/>
      <c r="W40" s="2288"/>
      <c r="X40" s="2288"/>
      <c r="Y40" s="2288"/>
      <c r="Z40" s="2288"/>
      <c r="AA40" s="2288"/>
      <c r="AB40" s="2288"/>
    </row>
    <row r="45" spans="4:29" ht="18.75">
      <c r="E45" s="2278" t="s">
        <v>600</v>
      </c>
      <c r="F45" s="2279"/>
      <c r="G45" s="2279"/>
      <c r="H45" s="2279"/>
      <c r="I45" s="2279"/>
      <c r="J45" s="2279"/>
      <c r="K45" s="2279"/>
      <c r="L45" s="2279"/>
      <c r="M45" s="2280"/>
      <c r="N45" s="2280"/>
      <c r="O45" s="2280"/>
      <c r="P45" s="2280"/>
      <c r="Q45" s="2280"/>
      <c r="R45" s="2280"/>
    </row>
    <row r="46" spans="4:29">
      <c r="T46" s="2281"/>
      <c r="U46" s="2281"/>
      <c r="V46" s="2281"/>
      <c r="W46" s="2281"/>
      <c r="X46" s="2281"/>
      <c r="Y46" s="2281"/>
      <c r="Z46" s="2281"/>
      <c r="AA46" s="2281"/>
      <c r="AB46" s="2282" t="str">
        <f>AJUSTES_UNIDADES_TRANSPORTE_ENERGIA</f>
        <v>TWh</v>
      </c>
    </row>
    <row r="47" spans="4:29" ht="15" customHeight="1">
      <c r="T47" s="2283" t="s">
        <v>588</v>
      </c>
      <c r="U47" s="2298">
        <v>2018</v>
      </c>
      <c r="V47" s="2284">
        <v>2020</v>
      </c>
      <c r="W47" s="2284">
        <v>2025</v>
      </c>
      <c r="X47" s="2284">
        <v>2030</v>
      </c>
      <c r="Y47" s="2284">
        <v>2035</v>
      </c>
      <c r="Z47" s="2284">
        <v>2040</v>
      </c>
      <c r="AA47" s="2284">
        <v>2045</v>
      </c>
      <c r="AB47" s="2284">
        <v>2050</v>
      </c>
    </row>
    <row r="48" spans="4:29">
      <c r="T48" s="2310" t="s">
        <v>494</v>
      </c>
      <c r="U48" s="2294" cm="1">
        <f t="array" ref="U48:AB48">(SALIDA_DEMANDA_TRANS_CAR_GASOLINA+SALIDA_DEMANDA_TRANS_PAS_GASOLINA)*AJUSTE_UNIDAD_SELECCIONADA_TRANSPORTE_ENERGIA</f>
        <v>2.6191418349595805</v>
      </c>
      <c r="V48" s="2294">
        <v>2.9494205820892345</v>
      </c>
      <c r="W48" s="2294">
        <v>3.4971011323777885</v>
      </c>
      <c r="X48" s="2294">
        <v>3.6485668943400569</v>
      </c>
      <c r="Y48" s="2294">
        <v>4.0044582529861064</v>
      </c>
      <c r="Z48" s="2294">
        <v>4.4988762549950598</v>
      </c>
      <c r="AA48" s="2294">
        <v>4.9854904367381119</v>
      </c>
      <c r="AB48" s="2294">
        <v>5.636858664932344</v>
      </c>
      <c r="AC48" s="2296"/>
    </row>
    <row r="49" spans="4:29">
      <c r="T49" s="2310" t="s">
        <v>495</v>
      </c>
      <c r="U49" s="2294" cm="1">
        <f t="array" ref="U49:AB49">(SALIDA_DEMANDA_TRANS_CAR_DIESEL+SALIDA_DEMANDA_TRANS_NAV_DIESEL+SALIDA_DEMANDA_TRANS_PAS_DIESEL)*AJUSTE_UNIDAD_SELECCIONADA_TRANSPORTE_ENERGIA</f>
        <v>5.8778687394458817</v>
      </c>
      <c r="V49" s="2294">
        <v>6.7854054099061543</v>
      </c>
      <c r="W49" s="2294">
        <v>7.913694596026061</v>
      </c>
      <c r="X49" s="2294">
        <v>8.4747810740617275</v>
      </c>
      <c r="Y49" s="2294">
        <v>8.6993736432198503</v>
      </c>
      <c r="Z49" s="2288">
        <v>8.8583742046487668</v>
      </c>
      <c r="AA49" s="2288">
        <v>9.3652358030083889</v>
      </c>
      <c r="AB49" s="2288">
        <v>10.4591922264272</v>
      </c>
      <c r="AC49" s="2296"/>
    </row>
    <row r="50" spans="4:29">
      <c r="T50" s="2310" t="s">
        <v>601</v>
      </c>
      <c r="U50" s="2288" cm="1">
        <f t="array" ref="U50:AB50">SALIDA_DEMANDA_TRANS_CAR_Electricidad*AJUSTE_UNIDAD_SELECCIONADA_TRANSPORTE_ENERGIA</f>
        <v>0.01</v>
      </c>
      <c r="V50" s="2288">
        <v>0.01</v>
      </c>
      <c r="W50" s="2288">
        <v>0.01</v>
      </c>
      <c r="X50" s="2288">
        <v>0.01</v>
      </c>
      <c r="Y50" s="2288">
        <v>0.05</v>
      </c>
      <c r="Z50" s="2288">
        <v>0.1</v>
      </c>
      <c r="AA50" s="2288">
        <v>0.15</v>
      </c>
      <c r="AB50" s="2288">
        <v>0.2</v>
      </c>
      <c r="AC50" s="2296"/>
    </row>
    <row r="51" spans="4:29">
      <c r="D51" s="3897" t="str" cm="1">
        <f t="array" ref="D51">AJUSTES_UNIDADES_TRANSPORTE_ENERGIA</f>
        <v>TWh</v>
      </c>
      <c r="T51" s="2310" t="s">
        <v>590</v>
      </c>
      <c r="U51" s="2288" cm="1">
        <f t="array" ref="U51:AB51">(SALIDA_DEMANDA_TRANS_CAR_GNC+SALIDA_DEMANDA_TRANS_CAR_GNL+SALIDA_DEMANDA_TRANS_PAS_GN)*AJUSTE_UNIDAD_SELECCIONADA_TRANSPORTE_ENERGIA</f>
        <v>0.17616184254380915</v>
      </c>
      <c r="V51" s="2288">
        <v>0.21526708706271147</v>
      </c>
      <c r="W51" s="2288">
        <v>0.31368063463743179</v>
      </c>
      <c r="X51" s="2288">
        <v>0.51234603138863222</v>
      </c>
      <c r="Y51" s="2288">
        <v>1.0041041080735948</v>
      </c>
      <c r="Z51" s="2288">
        <v>1.8141524075256803</v>
      </c>
      <c r="AA51" s="2288">
        <v>2.6345583771807419</v>
      </c>
      <c r="AB51" s="2288">
        <v>3.3970845547648603</v>
      </c>
      <c r="AC51" s="2296"/>
    </row>
    <row r="52" spans="4:29">
      <c r="D52" s="3897"/>
      <c r="T52" s="2310" t="s">
        <v>498</v>
      </c>
      <c r="U52" s="2288" cm="1">
        <f t="array" ref="U52:AB52">(SALIDA_DEMANDA_TRANS_CAR_GLP+SALIDA_DEMANDA_TRANS_PAS_GLP)*AJUSTE_UNIDAD_SELECCIONADA_TRANSPORTE_ENERGIA</f>
        <v>0</v>
      </c>
      <c r="V52" s="2288">
        <v>0</v>
      </c>
      <c r="W52" s="2288">
        <v>0</v>
      </c>
      <c r="X52" s="2288">
        <v>0</v>
      </c>
      <c r="Y52" s="2288">
        <v>0</v>
      </c>
      <c r="Z52" s="2288">
        <v>0</v>
      </c>
      <c r="AA52" s="2288">
        <v>0</v>
      </c>
      <c r="AB52" s="2288">
        <v>0</v>
      </c>
    </row>
    <row r="53" spans="4:29">
      <c r="D53" s="3897"/>
      <c r="T53" s="2310" t="s">
        <v>602</v>
      </c>
      <c r="U53" s="2288" cm="1">
        <f t="array" ref="U53:AB53">(SALIDA_DEMANDA_TRANS_CAR_Queroseno+SALIDA_DEMANDA_TRANS_PAS_QUEROSENO+SALIDA_DEMANDA_TRANS_AVI_QUEROSENO)*AJUSTE_UNIDAD_SELECCIONADA_TRANSPORTE_ENERGIA</f>
        <v>0.26334221124224971</v>
      </c>
      <c r="V53" s="2288">
        <v>0.29042897847437082</v>
      </c>
      <c r="W53" s="2288">
        <v>0.32993827131975051</v>
      </c>
      <c r="X53" s="2288">
        <v>0.35766019528177301</v>
      </c>
      <c r="Y53" s="2288">
        <v>0.37977479648753776</v>
      </c>
      <c r="Z53" s="2288">
        <v>0.40217498795397977</v>
      </c>
      <c r="AA53" s="2288">
        <v>0.42480920527914301</v>
      </c>
      <c r="AB53" s="2288">
        <v>0.44796610569748962</v>
      </c>
    </row>
    <row r="54" spans="4:29">
      <c r="D54" s="3897"/>
      <c r="T54" s="2310" t="s">
        <v>603</v>
      </c>
      <c r="U54" s="2288" cm="1">
        <f t="array" ref="U54:AB54">SALIDA_DEMANDA_TRANS_CAR_Hidrógeno*AJUSTE_UNIDAD_SELECCIONADA_TRANSPORTE_ENERGIA</f>
        <v>0</v>
      </c>
      <c r="V54" s="2288">
        <v>0</v>
      </c>
      <c r="W54" s="2288">
        <v>0</v>
      </c>
      <c r="X54" s="2288">
        <v>0</v>
      </c>
      <c r="Y54" s="2288">
        <v>0</v>
      </c>
      <c r="Z54" s="2288">
        <v>0</v>
      </c>
      <c r="AA54" s="2288">
        <v>0</v>
      </c>
      <c r="AB54" s="2288">
        <v>0</v>
      </c>
    </row>
    <row r="55" spans="4:29">
      <c r="D55" s="3897"/>
      <c r="U55" s="2296"/>
      <c r="V55" s="2296"/>
      <c r="W55" s="2296"/>
      <c r="X55" s="2296"/>
      <c r="Y55" s="2296"/>
      <c r="Z55" s="2296"/>
      <c r="AA55" s="2296"/>
      <c r="AB55" s="2296"/>
    </row>
    <row r="56" spans="4:29">
      <c r="Y56" s="2296"/>
      <c r="Z56" s="2296"/>
      <c r="AA56" s="2296"/>
      <c r="AB56" s="2296"/>
    </row>
    <row r="57" spans="4:29">
      <c r="Y57" s="2287"/>
      <c r="Z57" s="2287"/>
      <c r="AA57" s="2287"/>
      <c r="AB57" s="2287"/>
    </row>
    <row r="58" spans="4:29">
      <c r="U58" s="2294"/>
      <c r="V58" s="2294"/>
      <c r="W58" s="2294"/>
      <c r="X58" s="2294"/>
      <c r="Y58" s="2294"/>
      <c r="Z58" s="2294"/>
      <c r="AA58" s="2294"/>
      <c r="AB58" s="2294"/>
    </row>
    <row r="59" spans="4:29">
      <c r="U59" s="2294"/>
      <c r="V59" s="2294"/>
      <c r="W59" s="2294"/>
      <c r="X59" s="2294"/>
      <c r="Y59" s="2294"/>
      <c r="Z59" s="2288"/>
      <c r="AA59" s="2288"/>
      <c r="AB59" s="2288"/>
    </row>
    <row r="60" spans="4:29">
      <c r="U60" s="2288"/>
      <c r="V60" s="2288"/>
      <c r="W60" s="2288"/>
      <c r="X60" s="2288"/>
      <c r="Y60" s="2288"/>
      <c r="Z60" s="2288"/>
      <c r="AA60" s="2288"/>
      <c r="AB60" s="2288"/>
    </row>
    <row r="61" spans="4:29">
      <c r="D61" s="680"/>
      <c r="U61" s="2288"/>
      <c r="V61" s="2288"/>
      <c r="W61" s="2288"/>
      <c r="X61" s="2288"/>
      <c r="Y61" s="2288"/>
      <c r="Z61" s="2288"/>
      <c r="AA61" s="2288"/>
      <c r="AB61" s="2288"/>
    </row>
    <row r="62" spans="4:29">
      <c r="D62" s="680"/>
      <c r="U62" s="2288"/>
      <c r="V62" s="2288"/>
      <c r="W62" s="2288"/>
      <c r="X62" s="2288"/>
      <c r="Y62" s="2288"/>
      <c r="Z62" s="2288"/>
      <c r="AA62" s="2288"/>
      <c r="AB62" s="2288"/>
    </row>
    <row r="63" spans="4:29">
      <c r="D63" s="680"/>
      <c r="U63" s="2288"/>
      <c r="V63" s="2288"/>
      <c r="W63" s="2288"/>
      <c r="X63" s="2288"/>
      <c r="Y63" s="2288"/>
      <c r="Z63" s="2288"/>
      <c r="AA63" s="2288"/>
      <c r="AB63" s="2288"/>
    </row>
    <row r="64" spans="4:29">
      <c r="D64" s="680"/>
      <c r="U64" s="2288"/>
      <c r="V64" s="2288"/>
      <c r="W64" s="2288"/>
      <c r="X64" s="2288"/>
      <c r="Y64" s="2288"/>
      <c r="Z64" s="2288"/>
      <c r="AA64" s="2288"/>
      <c r="AB64" s="2288"/>
    </row>
    <row r="65" spans="4:6">
      <c r="D65" s="680"/>
    </row>
    <row r="66" spans="4:6">
      <c r="D66" s="680"/>
    </row>
    <row r="67" spans="4:6">
      <c r="D67" s="680"/>
    </row>
    <row r="68" spans="4:6">
      <c r="D68" s="680"/>
    </row>
    <row r="69" spans="4:6">
      <c r="D69" s="680"/>
    </row>
    <row r="70" spans="4:6">
      <c r="D70" s="680"/>
    </row>
    <row r="71" spans="4:6">
      <c r="D71" s="680"/>
    </row>
    <row r="72" spans="4:6">
      <c r="D72" s="680"/>
    </row>
    <row r="73" spans="4:6">
      <c r="D73" s="680"/>
      <c r="E73" s="680"/>
      <c r="F73" s="680"/>
    </row>
    <row r="74" spans="4:6">
      <c r="D74" s="680"/>
      <c r="E74" s="680"/>
      <c r="F74" s="680"/>
    </row>
    <row r="75" spans="4:6">
      <c r="E75" s="680"/>
      <c r="F75" s="680"/>
    </row>
    <row r="76" spans="4:6">
      <c r="E76" s="680"/>
      <c r="F76" s="680"/>
    </row>
  </sheetData>
  <sheetProtection algorithmName="SHA-512" hashValue="pKQIUeCvaOCFzB7Y/9pKwQC42gL8n2koQUERQzX/YSmSDI9h7mVDHsAwHdzqbsOZsk0SfHiOeblAmVQC0Vv3zw==" saltValue="q6XFRJ0m6XlGNLv8rcVQWA==" spinCount="100000" sheet="1" objects="1" scenarios="1"/>
  <mergeCells count="3">
    <mergeCell ref="D12:D16"/>
    <mergeCell ref="D32:D36"/>
    <mergeCell ref="D51:D55"/>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940AB167-8CDA-4F8F-B4D8-F07CEC401144}">
          <x14:colorSeries theme="9" tint="-0.249977111117893"/>
          <x14:colorNegative rgb="FFD00000"/>
          <x14:colorAxis rgb="FF000000"/>
          <x14:colorMarkers rgb="FFD00000"/>
          <x14:colorFirst rgb="FFD00000"/>
          <x14:colorLast rgb="FFD00000"/>
          <x14:colorHigh rgb="FFD00000"/>
          <x14:colorLow rgb="FFD00000"/>
          <x14:sparklines>
            <x14:sparkline>
              <xm:f>RESULTADOS_TRANSPORTE!U48:AB48</xm:f>
              <xm:sqref>S48</xm:sqref>
            </x14:sparkline>
            <x14:sparkline>
              <xm:f>RESULTADOS_TRANSPORTE!U49:AB49</xm:f>
              <xm:sqref>S49</xm:sqref>
            </x14:sparkline>
            <x14:sparkline>
              <xm:f>RESULTADOS_TRANSPORTE!U50:AB50</xm:f>
              <xm:sqref>S50</xm:sqref>
            </x14:sparkline>
            <x14:sparkline>
              <xm:f>RESULTADOS_TRANSPORTE!U51:AB51</xm:f>
              <xm:sqref>S51</xm:sqref>
            </x14:sparkline>
            <x14:sparkline>
              <xm:f>RESULTADOS_TRANSPORTE!U52:AB52</xm:f>
              <xm:sqref>S52</xm:sqref>
            </x14:sparkline>
            <x14:sparkline>
              <xm:f>RESULTADOS_TRANSPORTE!U53:AB53</xm:f>
              <xm:sqref>S53</xm:sqref>
            </x14:sparkline>
            <x14:sparkline>
              <xm:f>RESULTADOS_TRANSPORTE!U54:AB54</xm:f>
              <xm:sqref>S54</xm:sqref>
            </x14:sparkline>
            <x14:sparkline>
              <xm:f>RESULTADOS_TRANSPORTE!U55:AB55</xm:f>
              <xm:sqref>S55</xm:sqref>
            </x14:sparkline>
          </x14:sparklines>
        </x14:sparklineGroup>
        <x14:sparklineGroup manualMax="0" manualMin="0" displayEmptyCellsAs="gap" xr2:uid="{E581DF0A-84F0-4C41-BA96-3136A9094C4C}">
          <x14:colorSeries theme="9" tint="-0.249977111117893"/>
          <x14:colorNegative rgb="FFD00000"/>
          <x14:colorAxis rgb="FF000000"/>
          <x14:colorMarkers rgb="FFD00000"/>
          <x14:colorFirst rgb="FFD00000"/>
          <x14:colorLast rgb="FFD00000"/>
          <x14:colorHigh rgb="FFD00000"/>
          <x14:colorLow rgb="FFD00000"/>
          <x14:sparklines>
            <x14:sparkline>
              <xm:f>RESULTADOS_TRANSPORTE!U30:AB30</xm:f>
              <xm:sqref>S30</xm:sqref>
            </x14:sparkline>
            <x14:sparkline>
              <xm:f>RESULTADOS_TRANSPORTE!U31:AB31</xm:f>
              <xm:sqref>S31</xm:sqref>
            </x14:sparkline>
            <x14:sparkline>
              <xm:f>RESULTADOS_TRANSPORTE!U32:AB32</xm:f>
              <xm:sqref>S32</xm:sqref>
            </x14:sparkline>
            <x14:sparkline>
              <xm:f>RESULTADOS_TRANSPORTE!U33:AB33</xm:f>
              <xm:sqref>S33</xm:sqref>
            </x14:sparkline>
          </x14:sparklines>
        </x14:sparklineGroup>
        <x14:sparklineGroup manualMax="0" manualMin="0" displayEmptyCellsAs="gap" xr2:uid="{AD42B990-C81F-40FC-9267-19A962DB7F12}">
          <x14:colorSeries theme="9" tint="-0.249977111117893"/>
          <x14:colorNegative rgb="FFD00000"/>
          <x14:colorAxis rgb="FF000000"/>
          <x14:colorMarkers rgb="FFD00000"/>
          <x14:colorFirst rgb="FFD00000"/>
          <x14:colorLast rgb="FFD00000"/>
          <x14:colorHigh rgb="FFD00000"/>
          <x14:colorLow rgb="FFD00000"/>
          <x14:sparklines>
            <x14:sparkline>
              <xm:f>RESULTADOS_TRANSPORTE!U10:AB10</xm:f>
              <xm:sqref>S10</xm:sqref>
            </x14:sparkline>
            <x14:sparkline>
              <xm:f>RESULTADOS_TRANSPORTE!U11:AB11</xm:f>
              <xm:sqref>S11</xm:sqref>
            </x14:sparkline>
            <x14:sparkline>
              <xm:f>RESULTADOS_TRANSPORTE!U12:AB12</xm:f>
              <xm:sqref>S12</xm:sqref>
            </x14:sparkline>
            <x14:sparkline>
              <xm:f>RESULTADOS_TRANSPORTE!U13:AB13</xm:f>
              <xm:sqref>S13</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C0F5D-ADFC-4C12-BDDF-DE166317283F}">
  <sheetPr codeName="Hoja37"/>
  <dimension ref="A1:AC79"/>
  <sheetViews>
    <sheetView showGridLines="0" zoomScale="80" zoomScaleNormal="80" workbookViewId="0"/>
  </sheetViews>
  <sheetFormatPr baseColWidth="10" defaultColWidth="11.42578125" defaultRowHeight="15"/>
  <cols>
    <col min="1" max="1" width="20.7109375" style="678" customWidth="1"/>
    <col min="2" max="2" width="30.7109375" style="2276" customWidth="1"/>
    <col min="3" max="3" width="5.28515625" style="679" customWidth="1"/>
    <col min="4" max="19" width="11.42578125" style="679"/>
    <col min="20" max="20" width="22.28515625" style="679" customWidth="1"/>
    <col min="21" max="28" width="12" style="679" customWidth="1"/>
    <col min="29" max="16384" width="11.42578125" style="679"/>
  </cols>
  <sheetData>
    <row r="1" spans="1:29" ht="15" customHeight="1"/>
    <row r="2" spans="1:29" ht="15" customHeight="1"/>
    <row r="3" spans="1:29" ht="15" customHeight="1"/>
    <row r="4" spans="1:29" ht="15" customHeight="1">
      <c r="E4" s="694"/>
    </row>
    <row r="5" spans="1:29" ht="15" customHeight="1">
      <c r="A5" s="1559"/>
      <c r="E5" s="2278" t="s">
        <v>604</v>
      </c>
      <c r="F5" s="2279"/>
      <c r="G5" s="2279"/>
      <c r="H5" s="2279"/>
      <c r="I5" s="2279"/>
      <c r="J5" s="2279"/>
      <c r="K5" s="2279"/>
      <c r="L5" s="2279"/>
      <c r="M5" s="2280"/>
      <c r="N5" s="2280"/>
      <c r="O5" s="2280"/>
      <c r="P5" s="2280"/>
      <c r="Q5" s="2280"/>
      <c r="R5" s="2280"/>
    </row>
    <row r="6" spans="1:29" ht="15" customHeight="1"/>
    <row r="7" spans="1:29" ht="15" customHeight="1">
      <c r="T7" s="2281"/>
    </row>
    <row r="8" spans="1:29" ht="15" customHeight="1">
      <c r="E8" s="2291"/>
      <c r="F8" s="2291"/>
      <c r="G8" s="2291"/>
      <c r="H8" s="2291"/>
      <c r="I8" s="2291"/>
      <c r="T8" s="2290"/>
      <c r="V8" s="2281"/>
      <c r="W8" s="2281"/>
      <c r="X8" s="2281"/>
      <c r="Y8" s="2281"/>
      <c r="Z8" s="2281"/>
      <c r="AA8" s="2281"/>
      <c r="AB8" s="2282" t="str">
        <f>AJUSTES_UNIDADES_AGRICULTURA_EMISIONES</f>
        <v>Mt CO2 e</v>
      </c>
    </row>
    <row r="9" spans="1:29" ht="15" customHeight="1">
      <c r="E9" s="2291"/>
      <c r="F9" s="2291"/>
      <c r="G9" s="2291"/>
      <c r="H9" s="2291"/>
      <c r="I9" s="2291"/>
      <c r="T9" s="2283" t="s">
        <v>582</v>
      </c>
      <c r="U9" s="2284">
        <v>2018</v>
      </c>
      <c r="V9" s="2284">
        <v>2020</v>
      </c>
      <c r="W9" s="2284">
        <v>2025</v>
      </c>
      <c r="X9" s="2284">
        <v>2030</v>
      </c>
      <c r="Y9" s="2284">
        <v>2035</v>
      </c>
      <c r="Z9" s="2284">
        <v>2040</v>
      </c>
      <c r="AA9" s="2284">
        <v>2045</v>
      </c>
      <c r="AB9" s="2284">
        <v>2050</v>
      </c>
    </row>
    <row r="10" spans="1:29" ht="15" customHeight="1">
      <c r="E10" s="2291"/>
      <c r="F10" s="2291"/>
      <c r="G10" s="2291"/>
      <c r="H10" s="2291"/>
      <c r="I10" s="2291"/>
      <c r="T10" s="2295" t="s">
        <v>605</v>
      </c>
      <c r="U10" s="2294" cm="1">
        <f t="array" ref="U10:AB10">SALIDA_EMISIONES_AGRO_BIOCOMBUSTIBLES*AJUSTE_UNIDAD_SELECCIONADA_AGRICULTURA_EMISIONES</f>
        <v>0.29630333961804778</v>
      </c>
      <c r="V10" s="2294">
        <v>0.29592249151291378</v>
      </c>
      <c r="W10" s="2294">
        <v>0.29592249151291378</v>
      </c>
      <c r="X10" s="2294">
        <v>0.29592249151291378</v>
      </c>
      <c r="Y10" s="2294">
        <v>0.29592249151291378</v>
      </c>
      <c r="Z10" s="2294">
        <v>0.29592249151291378</v>
      </c>
      <c r="AA10" s="2294">
        <v>0.29592249151291378</v>
      </c>
      <c r="AB10" s="2294">
        <v>0.29592249151291378</v>
      </c>
      <c r="AC10" s="2311"/>
    </row>
    <row r="11" spans="1:29" ht="15" customHeight="1">
      <c r="D11" s="3897" t="str">
        <f>AJUSTES_UNIDADES_AGRICULTURA_EMISIONES</f>
        <v>Mt CO2 e</v>
      </c>
      <c r="E11" s="2291"/>
      <c r="F11" s="2291"/>
      <c r="G11" s="2291"/>
      <c r="H11" s="2291"/>
      <c r="I11" s="2291"/>
      <c r="T11" s="2295" t="s">
        <v>606</v>
      </c>
      <c r="U11" s="2294" cm="1">
        <f t="array" ref="U11:AB11">(SALIDA_EMISIONES_AGRO_REDUCCION_MEDIDAS+SALIDA_EMISIONES_AGRO_PLANTACIONES_MANGO_AGUACATE)*AJUSTE_UNIDAD_SELECCIONADA_AGRICULTURA_EMISIONES</f>
        <v>-9.8028785310310344E-3</v>
      </c>
      <c r="V11" s="2294">
        <v>-9.8028785310310344E-3</v>
      </c>
      <c r="W11" s="2294">
        <v>-9.8028785310310344E-3</v>
      </c>
      <c r="X11" s="2294">
        <v>-9.8028785310310344E-3</v>
      </c>
      <c r="Y11" s="2294">
        <v>-9.8028785310310344E-3</v>
      </c>
      <c r="Z11" s="2294">
        <v>-9.8028785310310344E-3</v>
      </c>
      <c r="AA11" s="2294">
        <v>-9.8028785310310344E-3</v>
      </c>
      <c r="AB11" s="2294">
        <v>-9.8028785310310344E-3</v>
      </c>
      <c r="AC11" s="2294"/>
    </row>
    <row r="12" spans="1:29" ht="15" customHeight="1">
      <c r="D12" s="3897"/>
      <c r="E12" s="2291"/>
      <c r="F12" s="2291"/>
      <c r="G12" s="2291"/>
      <c r="H12" s="2291"/>
      <c r="I12" s="2291"/>
      <c r="U12" s="2294"/>
      <c r="V12" s="2287"/>
      <c r="W12" s="2287"/>
      <c r="X12" s="2287"/>
      <c r="Y12" s="2287"/>
      <c r="Z12" s="2287"/>
      <c r="AA12" s="2287"/>
      <c r="AB12" s="2287"/>
      <c r="AC12" s="680"/>
    </row>
    <row r="13" spans="1:29" ht="15" customHeight="1">
      <c r="D13" s="3897"/>
      <c r="E13" s="2291"/>
      <c r="F13" s="2291"/>
      <c r="G13" s="2291"/>
      <c r="H13" s="2291"/>
      <c r="I13" s="2291"/>
      <c r="U13" s="2287"/>
      <c r="V13" s="2287"/>
      <c r="W13" s="2287"/>
      <c r="X13" s="2287"/>
      <c r="Y13" s="2287"/>
      <c r="Z13" s="2287"/>
      <c r="AA13" s="2287"/>
      <c r="AB13" s="2287"/>
      <c r="AC13" s="680"/>
    </row>
    <row r="14" spans="1:29" ht="15" customHeight="1">
      <c r="D14" s="3897"/>
      <c r="E14" s="2291"/>
      <c r="F14" s="2291"/>
      <c r="G14" s="2291"/>
      <c r="H14" s="2291"/>
      <c r="I14" s="2291"/>
      <c r="U14" s="680"/>
      <c r="V14" s="680"/>
      <c r="W14" s="680"/>
      <c r="X14" s="680"/>
      <c r="Y14" s="680"/>
      <c r="Z14" s="680"/>
      <c r="AA14" s="680"/>
      <c r="AB14" s="680"/>
      <c r="AC14" s="680"/>
    </row>
    <row r="15" spans="1:29" ht="15" customHeight="1">
      <c r="D15" s="3897"/>
      <c r="E15" s="2291"/>
      <c r="F15" s="2291"/>
      <c r="G15" s="2291"/>
      <c r="H15" s="2291"/>
      <c r="I15" s="2291"/>
      <c r="U15" s="680"/>
      <c r="V15" s="680"/>
      <c r="W15" s="680"/>
      <c r="X15" s="680"/>
      <c r="Y15" s="680"/>
      <c r="Z15" s="680"/>
      <c r="AA15" s="680"/>
      <c r="AB15" s="680"/>
      <c r="AC15" s="680"/>
    </row>
    <row r="16" spans="1:29" ht="15" customHeight="1">
      <c r="D16" s="680"/>
      <c r="E16" s="2291"/>
      <c r="F16" s="2291"/>
      <c r="G16" s="2291"/>
      <c r="H16" s="2291"/>
      <c r="I16" s="2291"/>
      <c r="S16" s="680"/>
      <c r="U16" s="680"/>
      <c r="V16" s="2287"/>
      <c r="W16" s="2287"/>
      <c r="X16" s="2287"/>
      <c r="Y16" s="2287"/>
      <c r="Z16" s="2287"/>
      <c r="AA16" s="2287"/>
      <c r="AB16" s="2287"/>
      <c r="AC16" s="680"/>
    </row>
    <row r="17" spans="1:29" s="680" customFormat="1" ht="15" customHeight="1">
      <c r="A17" s="678"/>
      <c r="B17" s="2276"/>
      <c r="E17" s="679"/>
      <c r="F17" s="679"/>
      <c r="G17" s="679"/>
      <c r="H17" s="679"/>
      <c r="I17" s="679"/>
      <c r="J17" s="679"/>
      <c r="K17" s="679"/>
      <c r="L17" s="679"/>
      <c r="M17" s="679"/>
      <c r="N17" s="679"/>
      <c r="O17" s="679"/>
      <c r="P17" s="679"/>
      <c r="S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8" t="s">
        <v>607</v>
      </c>
      <c r="F25" s="2279"/>
      <c r="G25" s="2279"/>
      <c r="H25" s="2279"/>
      <c r="I25" s="2279"/>
      <c r="J25" s="2279"/>
      <c r="K25" s="2279"/>
      <c r="L25" s="2279"/>
      <c r="M25" s="2280"/>
      <c r="N25" s="2280"/>
      <c r="O25" s="2280"/>
      <c r="P25" s="2280"/>
      <c r="Q25" s="2280"/>
      <c r="R25" s="2280"/>
    </row>
    <row r="26" spans="1:29" ht="15" customHeight="1"/>
    <row r="27" spans="1:29" ht="15" customHeight="1">
      <c r="T27" s="2281"/>
      <c r="U27" s="2281"/>
      <c r="V27" s="2281"/>
      <c r="W27" s="2281"/>
      <c r="X27" s="2281"/>
      <c r="Y27" s="2281"/>
      <c r="Z27" s="2281"/>
      <c r="AA27" s="2281"/>
      <c r="AB27" s="2282" t="str">
        <f>AJUSTES_UNIDADES_AGRICULTURA_ENERGIA</f>
        <v>TWh</v>
      </c>
    </row>
    <row r="28" spans="1:29" ht="15" customHeight="1">
      <c r="T28" s="2283" t="s">
        <v>582</v>
      </c>
      <c r="U28" s="2298">
        <v>2018</v>
      </c>
      <c r="V28" s="2284">
        <v>2020</v>
      </c>
      <c r="W28" s="2284">
        <v>2025</v>
      </c>
      <c r="X28" s="2284">
        <v>2030</v>
      </c>
      <c r="Y28" s="2284">
        <v>2035</v>
      </c>
      <c r="Z28" s="2284">
        <v>2040</v>
      </c>
      <c r="AA28" s="2284">
        <v>2045</v>
      </c>
      <c r="AB28" s="2284">
        <v>2050</v>
      </c>
    </row>
    <row r="29" spans="1:29" ht="15" customHeight="1">
      <c r="T29" s="2292" t="s">
        <v>608</v>
      </c>
      <c r="U29" s="2312" cm="1">
        <f t="array" ref="U29:AB29">SALIDA_GENERACION_AGRO_CULTIVOS*AJUSTE_UNIDAD_SELECCIONADA_AGRICULTURA_ENERGIA</f>
        <v>0.46444490631670859</v>
      </c>
      <c r="V29" s="2312">
        <v>0.46387377706626448</v>
      </c>
      <c r="W29" s="2312">
        <v>0.46366236768120134</v>
      </c>
      <c r="X29" s="2312">
        <v>0.46345123002734379</v>
      </c>
      <c r="Y29" s="2312">
        <v>0.4632403637554271</v>
      </c>
      <c r="Z29" s="2312">
        <v>0.46302976851663546</v>
      </c>
      <c r="AA29" s="2312">
        <v>0.46281944396260133</v>
      </c>
      <c r="AB29" s="2312">
        <v>0.46260938974540505</v>
      </c>
      <c r="AC29" s="2296"/>
    </row>
    <row r="30" spans="1:29" ht="15" customHeight="1">
      <c r="T30" s="2305" t="s">
        <v>609</v>
      </c>
      <c r="U30" s="2312" cm="1">
        <f t="array" ref="U30:AB30">SALIDA_GENERACION_AGRO_BIOCOMBUSTIBLES*AJUSTE_UNIDAD_SELECCIONADA_AGRICULTURA_ENERGIA</f>
        <v>0</v>
      </c>
      <c r="V30" s="2312">
        <v>0</v>
      </c>
      <c r="W30" s="2312">
        <v>0</v>
      </c>
      <c r="X30" s="2312">
        <v>0</v>
      </c>
      <c r="Y30" s="2312">
        <v>0</v>
      </c>
      <c r="Z30" s="2312">
        <v>0</v>
      </c>
      <c r="AA30" s="2312">
        <v>0</v>
      </c>
      <c r="AB30" s="2312">
        <v>0</v>
      </c>
      <c r="AC30" s="2296"/>
    </row>
    <row r="31" spans="1:29" ht="15" customHeight="1">
      <c r="D31" s="3897" t="str">
        <f>AJUSTES_UNIDADES_AGRICULTURA_ENERGIA</f>
        <v>TWh</v>
      </c>
      <c r="T31" s="2306"/>
      <c r="V31" s="2296"/>
      <c r="W31" s="2296"/>
      <c r="X31" s="2296"/>
      <c r="Y31" s="2296"/>
      <c r="Z31" s="2296"/>
      <c r="AA31" s="2296"/>
      <c r="AB31" s="2296"/>
      <c r="AC31" s="2296"/>
    </row>
    <row r="32" spans="1:29" ht="15" customHeight="1">
      <c r="D32" s="3897"/>
      <c r="W32" s="2296"/>
      <c r="X32" s="2296"/>
      <c r="Y32" s="2296"/>
      <c r="Z32" s="2296"/>
      <c r="AA32" s="2296"/>
      <c r="AB32" s="2296"/>
    </row>
    <row r="33" spans="4:28" ht="15" customHeight="1">
      <c r="D33" s="3897"/>
      <c r="W33" s="2296"/>
      <c r="X33" s="2296"/>
      <c r="Y33" s="2296"/>
      <c r="Z33" s="2296"/>
      <c r="AA33" s="2296"/>
      <c r="AB33" s="2296"/>
    </row>
    <row r="34" spans="4:28" ht="15" customHeight="1">
      <c r="D34" s="3897"/>
      <c r="W34" s="2296"/>
      <c r="X34" s="2296"/>
      <c r="Y34" s="2296"/>
      <c r="Z34" s="2296"/>
      <c r="AA34" s="2296"/>
      <c r="AB34" s="2296"/>
    </row>
    <row r="35" spans="4:28" ht="15" customHeight="1">
      <c r="D35" s="3897"/>
      <c r="W35" s="2296"/>
      <c r="X35" s="2296"/>
      <c r="Y35" s="2296"/>
      <c r="Z35" s="2296"/>
      <c r="AA35" s="2296"/>
      <c r="AB35" s="2296"/>
    </row>
    <row r="36" spans="4:28" ht="15" customHeight="1">
      <c r="W36" s="2296"/>
      <c r="X36" s="2296"/>
      <c r="Y36" s="2296"/>
      <c r="Z36" s="2296"/>
      <c r="AA36" s="2296"/>
      <c r="AB36" s="2296"/>
    </row>
    <row r="37" spans="4:28" ht="15" customHeight="1">
      <c r="W37" s="2287"/>
      <c r="X37" s="2287"/>
      <c r="Y37" s="2287"/>
      <c r="Z37" s="2287"/>
      <c r="AA37" s="2287"/>
      <c r="AB37" s="2287"/>
    </row>
    <row r="38" spans="4:28" ht="15" customHeight="1"/>
    <row r="39" spans="4:28" ht="17.25" customHeight="1"/>
    <row r="44" spans="4:28">
      <c r="D44" s="680"/>
    </row>
    <row r="45" spans="4:28">
      <c r="D45" s="680"/>
    </row>
    <row r="46" spans="4:28">
      <c r="D46" s="680"/>
    </row>
    <row r="47" spans="4:28">
      <c r="E47" s="694"/>
    </row>
    <row r="48" spans="4:28" ht="18.75">
      <c r="E48" s="2278" t="s">
        <v>610</v>
      </c>
      <c r="F48" s="2279"/>
      <c r="G48" s="2279"/>
      <c r="H48" s="2279"/>
      <c r="I48" s="2279"/>
      <c r="J48" s="2279"/>
      <c r="K48" s="2279"/>
      <c r="L48" s="2279"/>
      <c r="M48" s="2280"/>
      <c r="N48" s="2280"/>
      <c r="O48" s="2280"/>
      <c r="P48" s="2280"/>
      <c r="Q48" s="2280"/>
      <c r="R48" s="2280"/>
    </row>
    <row r="50" spans="4:28">
      <c r="T50" s="2281"/>
      <c r="U50" s="2281"/>
      <c r="V50" s="2281"/>
      <c r="W50" s="2281"/>
      <c r="X50" s="2281"/>
      <c r="Y50" s="2281"/>
      <c r="Z50" s="2281"/>
      <c r="AA50" s="2281"/>
      <c r="AB50" s="2282" t="str">
        <f>AJUSTES_UNIDADES_AGRICULTURA_ENERGIA</f>
        <v>TWh</v>
      </c>
    </row>
    <row r="51" spans="4:28">
      <c r="T51" s="2283" t="s">
        <v>582</v>
      </c>
      <c r="U51" s="2298">
        <v>2018</v>
      </c>
      <c r="V51" s="2284">
        <v>2020</v>
      </c>
      <c r="W51" s="2284">
        <v>2025</v>
      </c>
      <c r="X51" s="2284">
        <v>2030</v>
      </c>
      <c r="Y51" s="2284">
        <v>2035</v>
      </c>
      <c r="Z51" s="2284">
        <v>2040</v>
      </c>
      <c r="AA51" s="2284">
        <v>2045</v>
      </c>
      <c r="AB51" s="2284">
        <v>2050</v>
      </c>
    </row>
    <row r="52" spans="4:28">
      <c r="T52" s="2292" t="s">
        <v>611</v>
      </c>
      <c r="U52" s="2312" cm="1">
        <f t="array" ref="U52:AB52">_xlfn.ANCHORARRAY(AGRO_!E519)</f>
        <v>0</v>
      </c>
      <c r="V52" s="2312">
        <v>0</v>
      </c>
      <c r="W52" s="2312">
        <v>0</v>
      </c>
      <c r="X52" s="2312">
        <v>0</v>
      </c>
      <c r="Y52" s="2312">
        <v>0</v>
      </c>
      <c r="Z52" s="2312">
        <v>0</v>
      </c>
      <c r="AA52" s="2312">
        <v>0</v>
      </c>
      <c r="AB52" s="2312">
        <v>0</v>
      </c>
    </row>
    <row r="53" spans="4:28">
      <c r="T53" s="2305" t="s">
        <v>612</v>
      </c>
      <c r="U53" s="2312" cm="1">
        <f t="array" ref="U53:AB53">_xlfn.ANCHORARRAY(AGRO_!E520)</f>
        <v>0</v>
      </c>
      <c r="V53" s="2312">
        <v>0</v>
      </c>
      <c r="W53" s="2312">
        <v>0</v>
      </c>
      <c r="X53" s="2312">
        <v>0</v>
      </c>
      <c r="Y53" s="2312">
        <v>0</v>
      </c>
      <c r="Z53" s="2312">
        <v>0</v>
      </c>
      <c r="AA53" s="2312">
        <v>0</v>
      </c>
      <c r="AB53" s="2312">
        <v>0</v>
      </c>
    </row>
    <row r="54" spans="4:28">
      <c r="D54" s="3897" t="s">
        <v>613</v>
      </c>
      <c r="T54" s="2306"/>
      <c r="V54" s="2296"/>
      <c r="W54" s="2296"/>
      <c r="X54" s="2296"/>
      <c r="Y54" s="2296"/>
      <c r="Z54" s="2296"/>
      <c r="AA54" s="2296"/>
      <c r="AB54" s="2296"/>
    </row>
    <row r="55" spans="4:28">
      <c r="D55" s="3897"/>
      <c r="W55" s="2296"/>
      <c r="X55" s="2296"/>
      <c r="Y55" s="2296"/>
      <c r="Z55" s="2296"/>
      <c r="AA55" s="2296"/>
      <c r="AB55" s="2296"/>
    </row>
    <row r="56" spans="4:28">
      <c r="D56" s="3897"/>
      <c r="W56" s="2296"/>
      <c r="X56" s="2296"/>
      <c r="Y56" s="2296"/>
      <c r="Z56" s="2296"/>
      <c r="AA56" s="2296"/>
      <c r="AB56" s="2296"/>
    </row>
    <row r="57" spans="4:28">
      <c r="D57" s="3897"/>
      <c r="W57" s="2296"/>
      <c r="X57" s="2296"/>
      <c r="Y57" s="2296"/>
      <c r="Z57" s="2296"/>
      <c r="AA57" s="2296"/>
      <c r="AB57" s="2296"/>
    </row>
    <row r="58" spans="4:28">
      <c r="D58" s="3897"/>
      <c r="W58" s="2296"/>
      <c r="X58" s="2296"/>
      <c r="Y58" s="2296"/>
      <c r="Z58" s="2296"/>
      <c r="AA58" s="2296"/>
      <c r="AB58" s="2296"/>
    </row>
    <row r="59" spans="4:28">
      <c r="W59" s="2296"/>
      <c r="X59" s="2296"/>
      <c r="Y59" s="2296"/>
      <c r="Z59" s="2296"/>
      <c r="AA59" s="2296"/>
      <c r="AB59" s="2296"/>
    </row>
    <row r="60" spans="4:28">
      <c r="W60" s="2287"/>
      <c r="X60" s="2287"/>
      <c r="Y60" s="2287"/>
      <c r="Z60" s="2287"/>
      <c r="AA60" s="2287"/>
      <c r="AB60" s="2287"/>
    </row>
    <row r="67" spans="4:6">
      <c r="D67" s="680"/>
    </row>
    <row r="68" spans="4:6">
      <c r="D68" s="680"/>
    </row>
    <row r="69" spans="4:6">
      <c r="D69" s="680"/>
    </row>
    <row r="70" spans="4:6">
      <c r="D70" s="680"/>
    </row>
    <row r="71" spans="4:6">
      <c r="D71" s="680"/>
    </row>
    <row r="72" spans="4:6">
      <c r="D72" s="680"/>
    </row>
    <row r="73" spans="4:6">
      <c r="D73" s="680"/>
    </row>
    <row r="74" spans="4:6">
      <c r="D74" s="680"/>
    </row>
    <row r="75" spans="4:6">
      <c r="D75" s="680"/>
    </row>
    <row r="76" spans="4:6">
      <c r="D76" s="680"/>
      <c r="E76" s="680"/>
      <c r="F76" s="680"/>
    </row>
    <row r="77" spans="4:6">
      <c r="D77" s="680"/>
      <c r="E77" s="680"/>
      <c r="F77" s="680"/>
    </row>
    <row r="78" spans="4:6">
      <c r="E78" s="680"/>
      <c r="F78" s="680"/>
    </row>
    <row r="79" spans="4:6">
      <c r="E79" s="680"/>
      <c r="F79" s="680"/>
    </row>
  </sheetData>
  <sheetProtection algorithmName="SHA-512" hashValue="Tx8G1vlp3IXPlg1W4HrmbljT/9byDrxwFq4YLFXbYSaGzq812wculjmiRvtlElP1iqRePJsSf9jhbKBbnKuRvw==" saltValue="Mhcp4EV82OXqaPReSAp2VQ==" spinCount="100000" sheet="1" objects="1" scenarios="1"/>
  <mergeCells count="3">
    <mergeCell ref="D11:D15"/>
    <mergeCell ref="D31:D35"/>
    <mergeCell ref="D54:D58"/>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27DF3FDD-5AC8-46B9-8BEA-F6B737C536B9}">
          <x14:colorSeries theme="9" tint="-0.249977111117893"/>
          <x14:colorNegative rgb="FFD00000"/>
          <x14:colorAxis rgb="FF000000"/>
          <x14:colorMarkers rgb="FFD00000"/>
          <x14:colorFirst rgb="FFD00000"/>
          <x14:colorLast rgb="FFD00000"/>
          <x14:colorHigh rgb="FFD00000"/>
          <x14:colorLow rgb="FFD00000"/>
          <x14:sparklines>
            <x14:sparkline>
              <xm:f>RESULTADOS_AGRICULTURA!U29:AB29</xm:f>
              <xm:sqref>S29</xm:sqref>
            </x14:sparkline>
            <x14:sparkline>
              <xm:f>RESULTADOS_AGRICULTURA!U30:AB30</xm:f>
              <xm:sqref>S30</xm:sqref>
            </x14:sparkline>
            <x14:sparkline>
              <xm:f>RESULTADOS_AGRICULTURA!U31:AB31</xm:f>
              <xm:sqref>S31</xm:sqref>
            </x14:sparkline>
          </x14:sparklines>
        </x14:sparklineGroup>
        <x14:sparklineGroup manualMax="0" manualMin="0" displayEmptyCellsAs="gap" xr2:uid="{9B38C6A2-643A-490F-A847-DB5EEDBC0103}">
          <x14:colorSeries theme="9" tint="-0.249977111117893"/>
          <x14:colorNegative rgb="FFD00000"/>
          <x14:colorAxis rgb="FF000000"/>
          <x14:colorMarkers rgb="FFD00000"/>
          <x14:colorFirst rgb="FFD00000"/>
          <x14:colorLast rgb="FFD00000"/>
          <x14:colorHigh rgb="FFD00000"/>
          <x14:colorLow rgb="FFD00000"/>
          <x14:sparklines>
            <x14:sparkline>
              <xm:f>RESULTADOS_AGRICULTURA!U10:AB10</xm:f>
              <xm:sqref>S10</xm:sqref>
            </x14:sparkline>
            <x14:sparkline>
              <xm:f>RESULTADOS_AGRICULTURA!U11:AB11</xm:f>
              <xm:sqref>S11</xm:sqref>
            </x14:sparkline>
          </x14:sparklines>
        </x14:sparklineGroup>
        <x14:sparklineGroup manualMax="0" manualMin="0" displayEmptyCellsAs="gap" xr2:uid="{787AB2E8-E042-48E1-9D50-A485364205DB}">
          <x14:colorSeries theme="9" tint="-0.249977111117893"/>
          <x14:colorNegative rgb="FFD00000"/>
          <x14:colorAxis rgb="FF000000"/>
          <x14:colorMarkers rgb="FFD00000"/>
          <x14:colorFirst rgb="FFD00000"/>
          <x14:colorLast rgb="FFD00000"/>
          <x14:colorHigh rgb="FFD00000"/>
          <x14:colorLow rgb="FFD00000"/>
          <x14:sparklines>
            <x14:sparkline>
              <xm:f>RESULTADOS_AGRICULTURA!U52:AB52</xm:f>
              <xm:sqref>S52</xm:sqref>
            </x14:sparkline>
            <x14:sparkline>
              <xm:f>RESULTADOS_AGRICULTURA!U53:AB53</xm:f>
              <xm:sqref>S53</xm:sqref>
            </x14:sparkline>
            <x14:sparkline>
              <xm:f>RESULTADOS_AGRICULTURA!U54:AB54</xm:f>
              <xm:sqref>S54</xm:sqref>
            </x14:sparkline>
          </x14:sparklines>
        </x14:sparklineGroup>
      </x14:sparklineGroup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B5F00-47C0-4F87-A25A-3C56D9997DD4}">
  <sheetPr codeName="Hoja38"/>
  <dimension ref="A1:AC86"/>
  <sheetViews>
    <sheetView showGridLines="0" zoomScale="80" zoomScaleNormal="80" workbookViewId="0"/>
  </sheetViews>
  <sheetFormatPr baseColWidth="10" defaultColWidth="11.42578125" defaultRowHeight="15"/>
  <cols>
    <col min="1" max="1" width="20.7109375" style="678" customWidth="1"/>
    <col min="2" max="2" width="30.7109375" style="2276" customWidth="1"/>
    <col min="3" max="3" width="5.28515625" style="679" customWidth="1"/>
    <col min="4" max="18" width="11.42578125" style="679"/>
    <col min="19" max="19" width="16" style="679" customWidth="1"/>
    <col min="20" max="20" width="45.85546875" style="679" customWidth="1"/>
    <col min="21" max="21" width="11.5703125" style="679" bestFit="1" customWidth="1"/>
    <col min="22" max="22" width="13.140625" style="679" bestFit="1" customWidth="1"/>
    <col min="23" max="28" width="11.5703125" style="679" bestFit="1" customWidth="1"/>
    <col min="29" max="16384" width="11.42578125" style="679"/>
  </cols>
  <sheetData>
    <row r="1" spans="1:29" ht="15" customHeight="1"/>
    <row r="2" spans="1:29" ht="15" customHeight="1"/>
    <row r="3" spans="1:29" ht="15" customHeight="1"/>
    <row r="4" spans="1:29" ht="15" customHeight="1">
      <c r="E4" s="694"/>
    </row>
    <row r="5" spans="1:29" ht="15" customHeight="1">
      <c r="A5" s="1559"/>
      <c r="E5" s="2278" t="s">
        <v>614</v>
      </c>
      <c r="F5" s="2279"/>
      <c r="G5" s="2279"/>
      <c r="H5" s="2279"/>
      <c r="I5" s="2279"/>
      <c r="J5" s="2279"/>
      <c r="K5" s="2279"/>
      <c r="L5" s="2279"/>
      <c r="M5" s="2280"/>
      <c r="N5" s="2280"/>
      <c r="O5" s="2280"/>
      <c r="P5" s="2280"/>
      <c r="Q5" s="2280"/>
      <c r="R5" s="2280"/>
    </row>
    <row r="6" spans="1:29" ht="15" customHeight="1"/>
    <row r="7" spans="1:29" ht="15" customHeight="1">
      <c r="T7" s="2281"/>
    </row>
    <row r="8" spans="1:29" ht="15" customHeight="1">
      <c r="E8" s="2291"/>
      <c r="F8" s="2291"/>
      <c r="G8" s="2291"/>
      <c r="H8" s="2291"/>
      <c r="I8" s="2291"/>
      <c r="T8" s="2290"/>
      <c r="U8" s="2281"/>
      <c r="V8" s="2281"/>
      <c r="W8" s="2281"/>
      <c r="X8" s="2281"/>
      <c r="Y8" s="2281"/>
      <c r="Z8" s="2281"/>
      <c r="AA8" s="2281"/>
      <c r="AB8" s="2282" t="str">
        <f>AJUSTES_UNIDADES_GANADERIA_EMISIONES</f>
        <v>Mt CO2 e</v>
      </c>
    </row>
    <row r="9" spans="1:29" ht="15" customHeight="1">
      <c r="E9" s="2291"/>
      <c r="F9" s="2291"/>
      <c r="G9" s="2291"/>
      <c r="H9" s="2291"/>
      <c r="I9" s="2291"/>
      <c r="T9" s="2283" t="s">
        <v>582</v>
      </c>
      <c r="U9" s="2284">
        <v>2018</v>
      </c>
      <c r="V9" s="2284">
        <v>2020</v>
      </c>
      <c r="W9" s="2284">
        <v>2025</v>
      </c>
      <c r="X9" s="2284">
        <v>2030</v>
      </c>
      <c r="Y9" s="2284">
        <v>2035</v>
      </c>
      <c r="Z9" s="2284">
        <v>2040</v>
      </c>
      <c r="AA9" s="2284">
        <v>2045</v>
      </c>
      <c r="AB9" s="2284">
        <v>2050</v>
      </c>
    </row>
    <row r="10" spans="1:29" ht="15" customHeight="1">
      <c r="E10" s="2291"/>
      <c r="F10" s="2291"/>
      <c r="G10" s="2291"/>
      <c r="H10" s="2291"/>
      <c r="I10" s="2291"/>
      <c r="T10" s="2295" t="s">
        <v>615</v>
      </c>
      <c r="U10" s="2296" cm="1">
        <f t="array" ref="U10:AB10">SALIDA_EMISIONES_GANA_HATO_GANADERO*AJUSTES_UNIDAD_SELECCIONADA_GANADERIA_EMISIONES</f>
        <v>1.2857885016480002</v>
      </c>
      <c r="V10" s="2288">
        <v>1.341348190308</v>
      </c>
      <c r="W10" s="2288">
        <v>1.4569844758560002</v>
      </c>
      <c r="X10" s="2288">
        <v>1.5792673145760001</v>
      </c>
      <c r="Y10" s="2288">
        <v>1.701550153296</v>
      </c>
      <c r="Z10" s="2288">
        <v>1.8238329920159999</v>
      </c>
      <c r="AA10" s="2288">
        <v>1.946115830736</v>
      </c>
      <c r="AB10" s="2288">
        <v>2.0683986694560001</v>
      </c>
      <c r="AC10" s="2288"/>
    </row>
    <row r="11" spans="1:29" ht="15" customHeight="1">
      <c r="D11" s="3897" t="str">
        <f>AJUSTES_UNIDADES_AGRICULTURA_EMISIONES</f>
        <v>Mt CO2 e</v>
      </c>
      <c r="E11" s="2291"/>
      <c r="F11" s="2291"/>
      <c r="G11" s="2291"/>
      <c r="H11" s="2291"/>
      <c r="I11" s="2291"/>
      <c r="T11" s="2295" t="s">
        <v>616</v>
      </c>
      <c r="U11" s="2296" cm="1">
        <f t="array" ref="U11:AB11">SALIDA_EMISIONES_GANA_PRACTICAS_SOSTENIBLES_SUELOS_GANADEROS*AJUSTES_UNIDAD_SELECCIONADA_GANADERIA_EMISIONES</f>
        <v>3.5965090450599008E-2</v>
      </c>
      <c r="V11" s="2296">
        <v>3.6183897238623905E-2</v>
      </c>
      <c r="W11" s="2296">
        <v>3.6730914208686141E-2</v>
      </c>
      <c r="X11" s="2296">
        <v>3.7277931178748377E-2</v>
      </c>
      <c r="Y11" s="2296">
        <v>3.7824948148810614E-2</v>
      </c>
      <c r="Z11" s="2296">
        <v>3.837196511887285E-2</v>
      </c>
      <c r="AA11" s="2296">
        <v>3.8918982088935086E-2</v>
      </c>
      <c r="AB11" s="2296">
        <v>3.9465999058997329E-2</v>
      </c>
      <c r="AC11" s="2288"/>
    </row>
    <row r="12" spans="1:29" ht="15" customHeight="1">
      <c r="D12" s="3897"/>
      <c r="E12" s="2291"/>
      <c r="F12" s="2291"/>
      <c r="G12" s="2291"/>
      <c r="H12" s="2291"/>
      <c r="I12" s="2291"/>
      <c r="T12" s="2295" t="s">
        <v>114</v>
      </c>
      <c r="U12" s="2296" cm="1">
        <f t="array" ref="U12:AB12">SALIDA_EMISIONES_GANA_MEJORES_PRACTICAS_PECUARIA*AJUSTES_UNIDAD_SELECCIONADA_GANADERIA_EMISIONES</f>
        <v>0</v>
      </c>
      <c r="V12" s="2296">
        <v>0</v>
      </c>
      <c r="W12" s="2296">
        <v>0</v>
      </c>
      <c r="X12" s="2296">
        <v>0</v>
      </c>
      <c r="Y12" s="2296">
        <v>0</v>
      </c>
      <c r="Z12" s="2296">
        <v>0</v>
      </c>
      <c r="AA12" s="2296">
        <v>0</v>
      </c>
      <c r="AB12" s="2296">
        <v>0</v>
      </c>
    </row>
    <row r="13" spans="1:29" ht="15" customHeight="1">
      <c r="D13" s="3897"/>
      <c r="E13" s="2291"/>
      <c r="F13" s="2291"/>
      <c r="G13" s="2291"/>
      <c r="H13" s="2291"/>
      <c r="I13" s="2291"/>
      <c r="T13" s="2295" t="s">
        <v>617</v>
      </c>
      <c r="U13" s="2296" cm="1">
        <f t="array" ref="U13:AB13">SALIDA_EMISIONES_GANA_MANEJO_ESTIERCOL*AJUSTES_UNIDAD_SELECCIONADA_GANADERIA_EMISIONES</f>
        <v>0.8333531746062095</v>
      </c>
      <c r="V13" s="2296">
        <v>0.86936286272023422</v>
      </c>
      <c r="W13" s="2296">
        <v>0.9443097653699184</v>
      </c>
      <c r="X13" s="2296">
        <v>1.0235644730582818</v>
      </c>
      <c r="Y13" s="2296">
        <v>1.1028191807466454</v>
      </c>
      <c r="Z13" s="2296">
        <v>1.1820738884350088</v>
      </c>
      <c r="AA13" s="2296">
        <v>1.2613285961233722</v>
      </c>
      <c r="AB13" s="2296">
        <v>1.3405833038117358</v>
      </c>
    </row>
    <row r="14" spans="1:29" ht="15" customHeight="1">
      <c r="D14" s="3897"/>
      <c r="E14" s="2291"/>
      <c r="F14" s="2291"/>
      <c r="G14" s="2291"/>
      <c r="H14" s="2291"/>
      <c r="I14" s="2291"/>
    </row>
    <row r="15" spans="1:29" ht="15" customHeight="1">
      <c r="D15" s="3897"/>
      <c r="E15" s="2291"/>
      <c r="F15" s="2291"/>
      <c r="G15" s="2291"/>
      <c r="H15" s="2291"/>
      <c r="I15" s="2291"/>
    </row>
    <row r="16" spans="1:29" ht="15" customHeight="1">
      <c r="E16" s="2291"/>
      <c r="F16" s="2291"/>
      <c r="G16" s="2291"/>
      <c r="H16" s="2291"/>
      <c r="I16" s="2291"/>
      <c r="S16" s="680"/>
      <c r="V16" s="2287"/>
      <c r="W16" s="2287"/>
      <c r="X16" s="2287"/>
      <c r="Y16" s="2287"/>
      <c r="Z16" s="2287"/>
      <c r="AA16" s="2287"/>
      <c r="AB16" s="2287"/>
      <c r="AC16" s="680"/>
    </row>
    <row r="17" spans="1:29" s="680" customFormat="1" ht="15" customHeight="1">
      <c r="A17" s="678"/>
      <c r="B17" s="2276"/>
      <c r="E17" s="679"/>
      <c r="F17" s="679"/>
      <c r="G17" s="679"/>
      <c r="H17" s="679"/>
      <c r="I17" s="679"/>
      <c r="J17" s="679"/>
      <c r="K17" s="679"/>
      <c r="L17" s="679"/>
      <c r="M17" s="679"/>
      <c r="N17" s="679"/>
      <c r="O17" s="679"/>
      <c r="P17" s="679"/>
      <c r="S17" s="679"/>
      <c r="T17" s="679"/>
      <c r="U17" s="679"/>
      <c r="V17" s="679"/>
      <c r="W17" s="679"/>
      <c r="X17" s="679"/>
      <c r="Y17" s="679"/>
      <c r="Z17" s="679"/>
      <c r="AA17" s="679"/>
      <c r="AB17" s="679"/>
      <c r="AC17" s="679"/>
    </row>
    <row r="18" spans="1:29" ht="15" customHeight="1">
      <c r="V18" s="2287"/>
      <c r="W18" s="2287"/>
      <c r="X18" s="2287"/>
      <c r="Y18" s="2287"/>
      <c r="Z18" s="2287"/>
      <c r="AA18" s="2287"/>
      <c r="AB18" s="2287"/>
    </row>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8" t="s">
        <v>618</v>
      </c>
      <c r="F25" s="2279"/>
      <c r="G25" s="2279"/>
      <c r="H25" s="2279"/>
      <c r="I25" s="2279"/>
      <c r="J25" s="2279"/>
      <c r="K25" s="2279"/>
      <c r="L25" s="2279"/>
      <c r="M25" s="2280"/>
      <c r="N25" s="2280"/>
      <c r="O25" s="2280"/>
      <c r="P25" s="2280"/>
      <c r="Q25" s="2280"/>
      <c r="R25" s="2280"/>
    </row>
    <row r="26" spans="1:29" ht="15" customHeight="1"/>
    <row r="27" spans="1:29" ht="15" customHeight="1">
      <c r="T27" s="2281"/>
      <c r="U27" s="2281"/>
      <c r="V27" s="2281"/>
      <c r="W27" s="2281"/>
      <c r="X27" s="2281"/>
      <c r="Y27" s="2281"/>
      <c r="Z27" s="2281"/>
      <c r="AA27" s="2281"/>
      <c r="AB27" s="2282" t="str">
        <f>AJUSTES_UNIDADES_GANADERIA_ENERGIA</f>
        <v>TWh</v>
      </c>
    </row>
    <row r="28" spans="1:29" ht="15" customHeight="1">
      <c r="T28" s="2283" t="s">
        <v>619</v>
      </c>
      <c r="U28" s="2298">
        <v>2018</v>
      </c>
      <c r="V28" s="2284">
        <v>2020</v>
      </c>
      <c r="W28" s="2284">
        <v>2025</v>
      </c>
      <c r="X28" s="2284">
        <v>2030</v>
      </c>
      <c r="Y28" s="2284">
        <v>2035</v>
      </c>
      <c r="Z28" s="2284">
        <v>2040</v>
      </c>
      <c r="AA28" s="2284">
        <v>2045</v>
      </c>
      <c r="AB28" s="2284">
        <v>2050</v>
      </c>
    </row>
    <row r="29" spans="1:29" ht="15" customHeight="1">
      <c r="T29" s="2292" t="s">
        <v>620</v>
      </c>
      <c r="U29" s="2296" cm="1">
        <f t="array" ref="U29:AB29">SALIDA_GENERACION_GANA_BIOENERGÍA_HEMBRAS*AJUSTES_UNIDAD_SELECCIONADA_GANADERIA_EMISIONES</f>
        <v>0</v>
      </c>
      <c r="V29" s="2296">
        <v>0</v>
      </c>
      <c r="W29" s="2296">
        <v>0</v>
      </c>
      <c r="X29" s="2296">
        <v>0</v>
      </c>
      <c r="Y29" s="2296">
        <v>0</v>
      </c>
      <c r="Z29" s="2296">
        <v>0</v>
      </c>
      <c r="AA29" s="2296">
        <v>0</v>
      </c>
      <c r="AB29" s="2296">
        <v>0</v>
      </c>
      <c r="AC29" s="2296"/>
    </row>
    <row r="30" spans="1:29" ht="15" customHeight="1">
      <c r="T30" s="2295" t="s">
        <v>621</v>
      </c>
      <c r="U30" s="2296" cm="1">
        <f t="array" ref="U30:AB30">SALIDA_GENERACION_GANA_BIOENERGÍA_MACHOS*AJUSTES_UNIDAD_SELECCIONADA_GANADERIA_EMISIONES</f>
        <v>0</v>
      </c>
      <c r="V30" s="2296">
        <v>0</v>
      </c>
      <c r="W30" s="2296">
        <v>0</v>
      </c>
      <c r="X30" s="2296">
        <v>0</v>
      </c>
      <c r="Y30" s="2296">
        <v>0</v>
      </c>
      <c r="Z30" s="2296">
        <v>0</v>
      </c>
      <c r="AA30" s="2296">
        <v>0</v>
      </c>
      <c r="AB30" s="2296">
        <v>0</v>
      </c>
      <c r="AC30" s="2296"/>
    </row>
    <row r="31" spans="1:29" ht="15" customHeight="1">
      <c r="T31" s="2292"/>
      <c r="U31" s="2296"/>
      <c r="V31" s="2296"/>
      <c r="W31" s="2296"/>
      <c r="X31" s="2296"/>
      <c r="Y31" s="2296"/>
      <c r="Z31" s="2296"/>
      <c r="AA31" s="2296"/>
      <c r="AB31" s="2296"/>
      <c r="AC31" s="2296"/>
    </row>
    <row r="32" spans="1:29" ht="15" customHeight="1">
      <c r="W32" s="2296"/>
      <c r="X32" s="2296"/>
      <c r="Y32" s="2296"/>
      <c r="Z32" s="2296"/>
      <c r="AA32" s="2296"/>
      <c r="AB32" s="2296"/>
    </row>
    <row r="33" spans="4:28" ht="15" customHeight="1">
      <c r="D33" s="3897" t="str">
        <f>AJUSTES_UNIDADES_GANADERIA_ENERGIA</f>
        <v>TWh</v>
      </c>
      <c r="W33" s="2296"/>
      <c r="X33" s="2296"/>
      <c r="Y33" s="2296"/>
      <c r="Z33" s="2296"/>
      <c r="AA33" s="2296"/>
      <c r="AB33" s="2296"/>
    </row>
    <row r="34" spans="4:28" ht="15" customHeight="1">
      <c r="D34" s="3897"/>
      <c r="W34" s="2296"/>
      <c r="X34" s="2296"/>
      <c r="Y34" s="2296"/>
      <c r="Z34" s="2296"/>
      <c r="AA34" s="2296"/>
      <c r="AB34" s="2296"/>
    </row>
    <row r="35" spans="4:28" ht="15" customHeight="1">
      <c r="D35" s="3897"/>
      <c r="W35" s="2296"/>
      <c r="X35" s="2296"/>
      <c r="Y35" s="2296"/>
      <c r="Z35" s="2296"/>
      <c r="AA35" s="2296"/>
      <c r="AB35" s="2296"/>
    </row>
    <row r="36" spans="4:28" ht="15" customHeight="1">
      <c r="D36" s="3897"/>
      <c r="W36" s="2296"/>
      <c r="X36" s="2296"/>
      <c r="Y36" s="2296"/>
      <c r="Z36" s="2296"/>
      <c r="AA36" s="2296"/>
      <c r="AB36" s="2296"/>
    </row>
    <row r="37" spans="4:28" ht="15" customHeight="1">
      <c r="D37" s="3897"/>
      <c r="W37" s="2287"/>
      <c r="X37" s="2287"/>
      <c r="Y37" s="2287"/>
      <c r="Z37" s="2287"/>
      <c r="AA37" s="2287"/>
      <c r="AB37" s="2287"/>
    </row>
    <row r="38" spans="4:28" ht="15" customHeight="1"/>
    <row r="39" spans="4:28" ht="17.25" customHeight="1"/>
    <row r="43" spans="4:28">
      <c r="Y43" s="2296"/>
      <c r="Z43" s="2296"/>
      <c r="AA43" s="2296"/>
      <c r="AB43" s="2296"/>
    </row>
    <row r="44" spans="4:28">
      <c r="D44" s="3897"/>
      <c r="Y44" s="2296"/>
      <c r="Z44" s="2296"/>
      <c r="AA44" s="2296"/>
      <c r="AB44" s="2296"/>
    </row>
    <row r="45" spans="4:28">
      <c r="D45" s="3897"/>
      <c r="Y45" s="2296"/>
      <c r="Z45" s="2296"/>
      <c r="AA45" s="2296"/>
      <c r="AB45" s="2296"/>
    </row>
    <row r="46" spans="4:28">
      <c r="D46" s="3897"/>
      <c r="Y46" s="2287"/>
      <c r="Z46" s="2287"/>
      <c r="AA46" s="2287"/>
      <c r="AB46" s="2287"/>
    </row>
    <row r="51" spans="4:4">
      <c r="D51" s="680"/>
    </row>
    <row r="52" spans="4:4">
      <c r="D52" s="680"/>
    </row>
    <row r="53" spans="4:4">
      <c r="D53" s="680"/>
    </row>
    <row r="54" spans="4:4">
      <c r="D54" s="680"/>
    </row>
    <row r="55" spans="4:4">
      <c r="D55" s="680"/>
    </row>
    <row r="56" spans="4:4">
      <c r="D56" s="680"/>
    </row>
    <row r="57" spans="4:4">
      <c r="D57" s="680"/>
    </row>
    <row r="58" spans="4:4">
      <c r="D58" s="680"/>
    </row>
    <row r="59" spans="4:4">
      <c r="D59" s="680"/>
    </row>
    <row r="60" spans="4:4">
      <c r="D60" s="680"/>
    </row>
    <row r="61" spans="4:4">
      <c r="D61" s="680"/>
    </row>
    <row r="62" spans="4:4">
      <c r="D62" s="680"/>
    </row>
    <row r="63" spans="4:4">
      <c r="D63" s="680"/>
    </row>
    <row r="64" spans="4:4">
      <c r="D64" s="680"/>
    </row>
    <row r="65" spans="4:4">
      <c r="D65" s="680"/>
    </row>
    <row r="66" spans="4:4">
      <c r="D66" s="680"/>
    </row>
    <row r="67" spans="4:4">
      <c r="D67" s="680"/>
    </row>
    <row r="68" spans="4:4">
      <c r="D68" s="680"/>
    </row>
    <row r="69" spans="4:4">
      <c r="D69" s="680"/>
    </row>
    <row r="70" spans="4:4">
      <c r="D70" s="680"/>
    </row>
    <row r="71" spans="4:4">
      <c r="D71" s="680"/>
    </row>
    <row r="72" spans="4:4">
      <c r="D72" s="680"/>
    </row>
    <row r="73" spans="4:4">
      <c r="D73" s="680"/>
    </row>
    <row r="74" spans="4:4">
      <c r="D74" s="680"/>
    </row>
    <row r="75" spans="4:4">
      <c r="D75" s="680"/>
    </row>
    <row r="76" spans="4:4">
      <c r="D76" s="680"/>
    </row>
    <row r="77" spans="4:4">
      <c r="D77" s="680"/>
    </row>
    <row r="78" spans="4:4">
      <c r="D78" s="680"/>
    </row>
    <row r="79" spans="4:4">
      <c r="D79" s="680"/>
    </row>
    <row r="80" spans="4:4">
      <c r="D80" s="680"/>
    </row>
    <row r="81" spans="4:6">
      <c r="D81" s="680"/>
    </row>
    <row r="82" spans="4:6">
      <c r="D82" s="680"/>
    </row>
    <row r="83" spans="4:6">
      <c r="D83" s="680"/>
      <c r="E83" s="680"/>
      <c r="F83" s="680"/>
    </row>
    <row r="84" spans="4:6">
      <c r="D84" s="680"/>
      <c r="E84" s="680"/>
      <c r="F84" s="680"/>
    </row>
    <row r="85" spans="4:6">
      <c r="E85" s="680"/>
      <c r="F85" s="680"/>
    </row>
    <row r="86" spans="4:6">
      <c r="E86" s="680"/>
      <c r="F86" s="680"/>
    </row>
  </sheetData>
  <sheetProtection algorithmName="SHA-512" hashValue="BUUXFhvDnfEc8zDVkKcIhxN8QcaldyKYUC0+0Sm8BlSGSIEeGtDbHrlv3LJTo2VqTMbh05w1BQ8FqiuY0rVbEg==" saltValue="H2OB834NnzlI6uUlsYCY/A==" spinCount="100000" sheet="1" objects="1" scenarios="1"/>
  <mergeCells count="3">
    <mergeCell ref="D33:D37"/>
    <mergeCell ref="D11:D15"/>
    <mergeCell ref="D44:D46"/>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C4F08350-AA64-450E-80D9-6AF3B6AE0453}">
          <x14:colorSeries theme="9" tint="-0.249977111117893"/>
          <x14:colorNegative rgb="FFD00000"/>
          <x14:colorAxis rgb="FF000000"/>
          <x14:colorMarkers rgb="FFD00000"/>
          <x14:colorFirst rgb="FFD00000"/>
          <x14:colorLast rgb="FFD00000"/>
          <x14:colorHigh rgb="FFD00000"/>
          <x14:colorLow rgb="FFD00000"/>
          <x14:sparklines>
            <x14:sparkline>
              <xm:f>RESULTADOS_GANADERIA!U29:AB29</xm:f>
              <xm:sqref>S29</xm:sqref>
            </x14:sparkline>
            <x14:sparkline>
              <xm:f>RESULTADOS_GANADERIA!U30:AB30</xm:f>
              <xm:sqref>S30</xm:sqref>
            </x14:sparkline>
          </x14:sparklines>
        </x14:sparklineGroup>
        <x14:sparklineGroup manualMax="0" manualMin="0" displayEmptyCellsAs="gap" xr2:uid="{D2AD0928-EE29-4282-961D-05BCA983DA39}">
          <x14:colorSeries theme="9" tint="-0.249977111117893"/>
          <x14:colorNegative rgb="FFD00000"/>
          <x14:colorAxis rgb="FF000000"/>
          <x14:colorMarkers rgb="FFD00000"/>
          <x14:colorFirst rgb="FFD00000"/>
          <x14:colorLast rgb="FFD00000"/>
          <x14:colorHigh rgb="FFD00000"/>
          <x14:colorLow rgb="FFD00000"/>
          <x14:sparklines>
            <x14:sparkline>
              <xm:f>RESULTADOS_GANADERIA!U10:AB10</xm:f>
              <xm:sqref>S10</xm:sqref>
            </x14:sparkline>
            <x14:sparkline>
              <xm:f>RESULTADOS_GANADERIA!U11:AB11</xm:f>
              <xm:sqref>S11</xm:sqref>
            </x14:sparkline>
            <x14:sparkline>
              <xm:f>RESULTADOS_GANADERIA!U12:AB12</xm:f>
              <xm:sqref>S12</xm:sqref>
            </x14:sparkline>
            <x14:sparkline>
              <xm:f>RESULTADOS_GANADERIA!U13:AB13</xm:f>
              <xm:sqref>S13</xm:sqref>
            </x14:sparkline>
            <x14:sparkline>
              <xm:f>RESULTADOS_GANADERIA!U14:AB14</xm:f>
              <xm:sqref>S14</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353D-5FA9-4812-94AF-9C0255EF72B3}">
  <sheetPr codeName="Hoja39"/>
  <dimension ref="A1:AD82"/>
  <sheetViews>
    <sheetView zoomScale="80" zoomScaleNormal="80" workbookViewId="0"/>
  </sheetViews>
  <sheetFormatPr baseColWidth="10" defaultColWidth="11.42578125" defaultRowHeight="15"/>
  <cols>
    <col min="1" max="1" width="20.7109375" style="678" customWidth="1"/>
    <col min="2" max="2" width="30.7109375" style="2276" customWidth="1"/>
    <col min="3" max="3" width="5.28515625" style="679" customWidth="1"/>
    <col min="4" max="19" width="11.42578125" style="679"/>
    <col min="20" max="20" width="45.85546875" style="679" customWidth="1"/>
    <col min="21" max="22" width="13.5703125" style="679" bestFit="1" customWidth="1"/>
    <col min="23" max="24" width="13.85546875" style="679" bestFit="1" customWidth="1"/>
    <col min="25" max="25" width="14.5703125" style="679" bestFit="1" customWidth="1"/>
    <col min="26" max="26" width="15" style="679" bestFit="1" customWidth="1"/>
    <col min="27" max="28" width="14.5703125" style="679" bestFit="1" customWidth="1"/>
    <col min="29" max="16384" width="11.42578125" style="679"/>
  </cols>
  <sheetData>
    <row r="1" spans="1:30" ht="15" customHeight="1"/>
    <row r="2" spans="1:30" ht="15" customHeight="1"/>
    <row r="3" spans="1:30" ht="15" customHeight="1">
      <c r="U3" s="2313"/>
    </row>
    <row r="4" spans="1:30" ht="15" customHeight="1">
      <c r="E4" s="694"/>
    </row>
    <row r="5" spans="1:30" ht="15" customHeight="1">
      <c r="A5" s="1559"/>
      <c r="E5" s="2278" t="s">
        <v>622</v>
      </c>
      <c r="F5" s="2279"/>
      <c r="G5" s="2279"/>
      <c r="H5" s="2279"/>
      <c r="I5" s="2279"/>
      <c r="J5" s="2279"/>
      <c r="K5" s="2279"/>
      <c r="L5" s="2279"/>
      <c r="M5" s="2280"/>
      <c r="N5" s="2280"/>
      <c r="O5" s="2280"/>
      <c r="P5" s="2280"/>
      <c r="Q5" s="2280"/>
      <c r="R5" s="2280"/>
    </row>
    <row r="6" spans="1:30" ht="15" customHeight="1"/>
    <row r="7" spans="1:30" ht="15" customHeight="1">
      <c r="T7" s="2281"/>
    </row>
    <row r="8" spans="1:30" ht="15" customHeight="1">
      <c r="E8" s="2291"/>
      <c r="F8" s="2291"/>
      <c r="G8" s="2291"/>
      <c r="H8" s="2291"/>
      <c r="I8" s="2291"/>
      <c r="T8" s="2290"/>
      <c r="V8" s="2281"/>
      <c r="W8" s="2281"/>
      <c r="X8" s="2281"/>
      <c r="Y8" s="2281"/>
      <c r="Z8" s="2281"/>
      <c r="AA8" s="2281"/>
      <c r="AB8" s="2282" t="str">
        <f>AJUSTES_UNIDADES_BOSQUES_EMISIONES</f>
        <v>Mt CO2 e</v>
      </c>
    </row>
    <row r="9" spans="1:30" ht="15" customHeight="1">
      <c r="E9" s="2291"/>
      <c r="F9" s="2291"/>
      <c r="G9" s="2291"/>
      <c r="H9" s="2291"/>
      <c r="I9" s="2291"/>
      <c r="T9" s="2283" t="s">
        <v>623</v>
      </c>
      <c r="U9" s="2284">
        <v>2018</v>
      </c>
      <c r="V9" s="2284">
        <v>2020</v>
      </c>
      <c r="W9" s="2284">
        <v>2025</v>
      </c>
      <c r="X9" s="2284">
        <v>2030</v>
      </c>
      <c r="Y9" s="2284">
        <v>2035</v>
      </c>
      <c r="Z9" s="2284">
        <v>2040</v>
      </c>
      <c r="AA9" s="2284">
        <v>2045</v>
      </c>
      <c r="AB9" s="2284">
        <v>2050</v>
      </c>
    </row>
    <row r="10" spans="1:30" ht="15" customHeight="1">
      <c r="E10" s="2291"/>
      <c r="F10" s="2291"/>
      <c r="G10" s="2291"/>
      <c r="H10" s="2291"/>
      <c r="I10" s="2291"/>
      <c r="T10" s="2292" t="s">
        <v>624</v>
      </c>
      <c r="U10" s="2288" cm="1">
        <f t="array" ref="U10:AB10">SALIDA_EMISIONES_BOSQUES_REDUCCION_POR_REFORESTACION_COMERCIAL*AJUSTE_UNIDAD_SELECCIONADA_BOSQUES_EMISIONES</f>
        <v>-0.13332746401003859</v>
      </c>
      <c r="V10" s="2288">
        <v>-0.16320488533435534</v>
      </c>
      <c r="W10" s="2288">
        <v>-0.18216121952620817</v>
      </c>
      <c r="X10" s="2288">
        <v>-0.20091274628859196</v>
      </c>
      <c r="Y10" s="2288">
        <v>-0.22515227256120157</v>
      </c>
      <c r="Z10" s="2288">
        <v>-0.24861072644557705</v>
      </c>
      <c r="AA10" s="2288">
        <v>-0.27206918032995248</v>
      </c>
      <c r="AB10" s="2288">
        <v>-0.29552763421432798</v>
      </c>
      <c r="AC10" s="2288"/>
    </row>
    <row r="11" spans="1:30" ht="15" customHeight="1">
      <c r="E11" s="2291"/>
      <c r="F11" s="2291"/>
      <c r="G11" s="2291"/>
      <c r="H11" s="2291"/>
      <c r="I11" s="2291"/>
      <c r="T11" s="2292" t="s">
        <v>625</v>
      </c>
      <c r="U11" s="2296" cm="1">
        <f t="array" ref="U11:AB11">_xlfn.ANCHORARRAY(BOSQ_!E226)</f>
        <v>9.6194261919669927E-2</v>
      </c>
      <c r="V11" s="2296">
        <v>0.10554864977708189</v>
      </c>
      <c r="W11" s="2296">
        <v>0.11525766295412736</v>
      </c>
      <c r="X11" s="2296">
        <v>0.10442369987864994</v>
      </c>
      <c r="Y11" s="2296">
        <v>0.10945825527111679</v>
      </c>
      <c r="Z11" s="2296">
        <v>0.11223434442385447</v>
      </c>
      <c r="AA11" s="2296">
        <v>0.1150104335765922</v>
      </c>
      <c r="AB11" s="2296">
        <v>0.11778652272932985</v>
      </c>
      <c r="AC11" s="2288"/>
    </row>
    <row r="12" spans="1:30" ht="15" customHeight="1">
      <c r="D12" s="3897" t="str">
        <f>AJUSTES_UNIDADES_AGRICULTURA_EMISIONES</f>
        <v>Mt CO2 e</v>
      </c>
      <c r="E12" s="2291"/>
      <c r="F12" s="2291"/>
      <c r="G12" s="2291"/>
      <c r="H12" s="2291"/>
      <c r="I12" s="2291"/>
      <c r="U12" s="2296"/>
      <c r="V12" s="2296"/>
      <c r="W12" s="2296"/>
      <c r="X12" s="2296"/>
      <c r="Y12" s="2296"/>
      <c r="Z12" s="2296"/>
      <c r="AA12" s="2296"/>
      <c r="AB12" s="2296"/>
    </row>
    <row r="13" spans="1:30" ht="15" customHeight="1">
      <c r="D13" s="3897"/>
      <c r="E13" s="2291"/>
      <c r="F13" s="2291"/>
      <c r="G13" s="2291"/>
      <c r="H13" s="2291"/>
      <c r="I13" s="2291"/>
    </row>
    <row r="14" spans="1:30" ht="15" customHeight="1">
      <c r="D14" s="3897"/>
      <c r="E14" s="2291"/>
      <c r="F14" s="2291"/>
      <c r="G14" s="2291"/>
      <c r="H14" s="2291"/>
      <c r="I14" s="2291"/>
    </row>
    <row r="15" spans="1:30" ht="15" customHeight="1">
      <c r="D15" s="3897"/>
      <c r="E15" s="2291"/>
      <c r="F15" s="2291"/>
      <c r="G15" s="2291"/>
      <c r="H15" s="2291"/>
      <c r="I15" s="2291"/>
      <c r="V15" s="2287"/>
      <c r="W15" s="2287"/>
      <c r="X15" s="2287"/>
      <c r="Y15" s="2287"/>
      <c r="Z15" s="2287"/>
      <c r="AA15" s="2287"/>
      <c r="AB15" s="2287"/>
    </row>
    <row r="16" spans="1:30" ht="15" customHeight="1">
      <c r="D16" s="3897"/>
      <c r="E16" s="2291"/>
      <c r="F16" s="2291"/>
      <c r="G16" s="2291"/>
      <c r="H16" s="2291"/>
      <c r="I16" s="2291"/>
      <c r="AC16" s="680"/>
      <c r="AD16" s="680"/>
    </row>
    <row r="17" spans="1:30" s="680" customFormat="1" ht="15" customHeight="1">
      <c r="A17" s="678"/>
      <c r="B17" s="2276"/>
      <c r="E17" s="679"/>
      <c r="F17" s="679"/>
      <c r="G17" s="679"/>
      <c r="H17" s="679"/>
      <c r="I17" s="679"/>
      <c r="J17" s="679"/>
      <c r="K17" s="679"/>
      <c r="L17" s="679"/>
      <c r="M17" s="679"/>
      <c r="N17" s="679"/>
      <c r="O17" s="679"/>
      <c r="P17" s="679"/>
      <c r="T17" s="679"/>
      <c r="U17" s="679"/>
      <c r="V17" s="679"/>
      <c r="W17" s="679"/>
      <c r="X17" s="679"/>
      <c r="Y17" s="679"/>
      <c r="Z17" s="679"/>
      <c r="AA17" s="679"/>
      <c r="AB17" s="679"/>
      <c r="AC17" s="679"/>
      <c r="AD17" s="679"/>
    </row>
    <row r="18" spans="1:30" ht="15" customHeight="1"/>
    <row r="19" spans="1:30" ht="15" customHeight="1">
      <c r="E19" s="680"/>
      <c r="F19" s="680"/>
      <c r="G19" s="680"/>
      <c r="H19" s="680"/>
      <c r="I19" s="680"/>
      <c r="J19" s="680"/>
      <c r="K19" s="680"/>
      <c r="L19" s="680"/>
      <c r="M19" s="680"/>
      <c r="N19" s="680"/>
      <c r="O19" s="680"/>
      <c r="P19" s="680"/>
    </row>
    <row r="20" spans="1:30" ht="15" customHeight="1"/>
    <row r="21" spans="1:30" ht="15" customHeight="1"/>
    <row r="22" spans="1:30" ht="15" customHeight="1"/>
    <row r="23" spans="1:30" ht="15" customHeight="1"/>
    <row r="24" spans="1:30" ht="15" customHeight="1">
      <c r="E24" s="694"/>
    </row>
    <row r="25" spans="1:30" ht="15" customHeight="1">
      <c r="E25" s="2278" t="s">
        <v>626</v>
      </c>
      <c r="F25" s="2279"/>
      <c r="G25" s="2279"/>
      <c r="H25" s="2279"/>
      <c r="I25" s="2279"/>
      <c r="J25" s="2279"/>
      <c r="K25" s="2279"/>
      <c r="L25" s="2279"/>
      <c r="M25" s="2280"/>
      <c r="N25" s="2280"/>
      <c r="O25" s="2280"/>
      <c r="P25" s="2280"/>
      <c r="Q25" s="2280"/>
      <c r="R25" s="2280"/>
    </row>
    <row r="26" spans="1:30" ht="15" customHeight="1"/>
    <row r="27" spans="1:30" ht="15" customHeight="1">
      <c r="T27" s="2281"/>
      <c r="V27" s="2281"/>
      <c r="W27" s="2281"/>
      <c r="X27" s="2281"/>
      <c r="Y27" s="2281"/>
      <c r="Z27" s="2281"/>
      <c r="AA27" s="2281"/>
      <c r="AB27" s="2282" t="str">
        <f>AJUSTES_UNIDADES_BOSQUES_SUPERFICIE</f>
        <v>ha</v>
      </c>
    </row>
    <row r="28" spans="1:30" ht="15" customHeight="1">
      <c r="T28" s="2283" t="s">
        <v>623</v>
      </c>
      <c r="U28" s="2284">
        <v>2018</v>
      </c>
      <c r="V28" s="2284">
        <v>2020</v>
      </c>
      <c r="W28" s="2284">
        <v>2025</v>
      </c>
      <c r="X28" s="2284">
        <v>2030</v>
      </c>
      <c r="Y28" s="2284">
        <v>2035</v>
      </c>
      <c r="Z28" s="2284">
        <v>2040</v>
      </c>
      <c r="AA28" s="2284">
        <v>2045</v>
      </c>
      <c r="AB28" s="2284">
        <v>2050</v>
      </c>
    </row>
    <row r="29" spans="1:30" ht="15" customHeight="1">
      <c r="T29" s="2292" t="s">
        <v>627</v>
      </c>
      <c r="U29" s="2301" cm="1">
        <f t="array" ref="U29:AB29">(-SALIDA_BOSQUES_TOTAL_DEFORECTADA_ACUMULADA)*AJUSTES_UNIDAD_SELECCIONADA_BOSQUES_SUPERFICIE</f>
        <v>-294.50528708223351</v>
      </c>
      <c r="V29" s="2301">
        <v>-323.14438287077701</v>
      </c>
      <c r="W29" s="2301">
        <v>-352.86918823784515</v>
      </c>
      <c r="X29" s="2301">
        <v>-319.70027210804261</v>
      </c>
      <c r="Y29" s="2301">
        <v>-335.11390647251261</v>
      </c>
      <c r="Z29" s="2301">
        <v>-343.61309256300547</v>
      </c>
      <c r="AA29" s="2301">
        <v>-352.11227865349844</v>
      </c>
      <c r="AB29" s="2301">
        <v>-360.61146474399123</v>
      </c>
      <c r="AC29" s="2296"/>
    </row>
    <row r="30" spans="1:30" ht="15" customHeight="1">
      <c r="T30" s="2295" t="s">
        <v>628</v>
      </c>
      <c r="U30" s="2301" cm="1">
        <f t="array" ref="U30:AB30">SALIDA_BOSQUES_TOTAL_REFORESTACIÓN_COMERCIAL*AJUSTES_UNIDAD_SELECCIONADA_BOSQUES_SUPERFICIE</f>
        <v>3873.4498279148088</v>
      </c>
      <c r="V30" s="2301">
        <v>4336.3677358769874</v>
      </c>
      <c r="W30" s="2301">
        <v>4833.9729530188915</v>
      </c>
      <c r="X30" s="2301">
        <v>5331.5781701607975</v>
      </c>
      <c r="Y30" s="2301">
        <v>5974.8172454181276</v>
      </c>
      <c r="Z30" s="2301">
        <v>6597.3291713464496</v>
      </c>
      <c r="AA30" s="2301">
        <v>7219.8410972747724</v>
      </c>
      <c r="AB30" s="2301">
        <v>7842.3530232030962</v>
      </c>
      <c r="AC30" s="2296"/>
    </row>
    <row r="31" spans="1:30" ht="15" customHeight="1">
      <c r="T31" s="2295"/>
      <c r="U31" s="2301"/>
      <c r="V31" s="2301"/>
      <c r="W31" s="2301"/>
      <c r="X31" s="2301"/>
      <c r="Y31" s="2301"/>
      <c r="Z31" s="2301"/>
      <c r="AA31" s="2301"/>
      <c r="AB31" s="2301"/>
      <c r="AC31" s="2296"/>
    </row>
    <row r="32" spans="1:30" ht="15" customHeight="1">
      <c r="W32" s="2296"/>
      <c r="X32" s="2296"/>
      <c r="Y32" s="2296"/>
      <c r="Z32" s="2296"/>
      <c r="AA32" s="2296"/>
      <c r="AB32" s="2296"/>
      <c r="AC32" s="2296"/>
    </row>
    <row r="33" spans="4:28" ht="15" customHeight="1">
      <c r="D33" s="3897" t="str">
        <f>AJUSTES_UNIDADES_BOSQUES_SUPERFICIE</f>
        <v>ha</v>
      </c>
      <c r="W33" s="2296"/>
      <c r="X33" s="2296"/>
      <c r="Y33" s="2296"/>
      <c r="Z33" s="2296"/>
      <c r="AA33" s="2296"/>
      <c r="AB33" s="2296"/>
    </row>
    <row r="34" spans="4:28" ht="15" customHeight="1">
      <c r="D34" s="3897"/>
    </row>
    <row r="35" spans="4:28" ht="15" customHeight="1">
      <c r="D35" s="3897"/>
      <c r="W35" s="2296"/>
      <c r="X35" s="2296"/>
      <c r="Y35" s="2296"/>
      <c r="Z35" s="2296"/>
      <c r="AA35" s="2296"/>
      <c r="AB35" s="2296"/>
    </row>
    <row r="36" spans="4:28" ht="15" customHeight="1">
      <c r="D36" s="3897"/>
      <c r="W36" s="2296"/>
      <c r="X36" s="2296"/>
      <c r="Y36" s="2296"/>
      <c r="Z36" s="2296"/>
      <c r="AA36" s="2296"/>
      <c r="AB36" s="2296"/>
    </row>
    <row r="37" spans="4:28" ht="15" customHeight="1">
      <c r="D37" s="3897"/>
      <c r="W37" s="2287"/>
      <c r="X37" s="2287"/>
      <c r="Y37" s="2287"/>
      <c r="Z37" s="2287"/>
      <c r="AA37" s="2287"/>
      <c r="AB37" s="2287"/>
    </row>
    <row r="38" spans="4:28" ht="15" customHeight="1"/>
    <row r="39" spans="4:28" ht="17.25" customHeight="1"/>
    <row r="47" spans="4:28">
      <c r="D47" s="680"/>
    </row>
    <row r="48" spans="4:28">
      <c r="D48" s="680"/>
    </row>
    <row r="49" spans="4:4">
      <c r="D49" s="680"/>
    </row>
    <row r="50" spans="4:4">
      <c r="D50" s="680"/>
    </row>
    <row r="51" spans="4:4">
      <c r="D51" s="680"/>
    </row>
    <row r="52" spans="4:4">
      <c r="D52" s="680"/>
    </row>
    <row r="53" spans="4:4">
      <c r="D53" s="680"/>
    </row>
    <row r="54" spans="4:4">
      <c r="D54" s="680"/>
    </row>
    <row r="55" spans="4:4">
      <c r="D55" s="680"/>
    </row>
    <row r="56" spans="4:4">
      <c r="D56" s="680"/>
    </row>
    <row r="57" spans="4:4">
      <c r="D57" s="680"/>
    </row>
    <row r="58" spans="4:4">
      <c r="D58" s="680"/>
    </row>
    <row r="59" spans="4:4">
      <c r="D59" s="680"/>
    </row>
    <row r="60" spans="4:4">
      <c r="D60" s="680"/>
    </row>
    <row r="61" spans="4:4">
      <c r="D61" s="680"/>
    </row>
    <row r="62" spans="4:4">
      <c r="D62" s="680"/>
    </row>
    <row r="63" spans="4:4">
      <c r="D63" s="680"/>
    </row>
    <row r="64" spans="4:4">
      <c r="D64" s="680"/>
    </row>
    <row r="65" spans="4:6">
      <c r="D65" s="680"/>
    </row>
    <row r="66" spans="4:6">
      <c r="D66" s="680"/>
    </row>
    <row r="67" spans="4:6">
      <c r="D67" s="680"/>
    </row>
    <row r="68" spans="4:6">
      <c r="D68" s="680"/>
    </row>
    <row r="69" spans="4:6">
      <c r="D69" s="680"/>
    </row>
    <row r="70" spans="4:6">
      <c r="D70" s="680"/>
    </row>
    <row r="71" spans="4:6">
      <c r="D71" s="680"/>
    </row>
    <row r="72" spans="4:6">
      <c r="D72" s="680"/>
    </row>
    <row r="73" spans="4:6">
      <c r="D73" s="680"/>
    </row>
    <row r="74" spans="4:6">
      <c r="D74" s="680"/>
    </row>
    <row r="75" spans="4:6">
      <c r="D75" s="680"/>
    </row>
    <row r="76" spans="4:6">
      <c r="D76" s="680"/>
    </row>
    <row r="77" spans="4:6">
      <c r="D77" s="680"/>
    </row>
    <row r="78" spans="4:6">
      <c r="D78" s="680"/>
    </row>
    <row r="79" spans="4:6">
      <c r="D79" s="680"/>
      <c r="E79" s="680"/>
      <c r="F79" s="680"/>
    </row>
    <row r="80" spans="4:6">
      <c r="D80" s="680"/>
      <c r="E80" s="680"/>
      <c r="F80" s="680"/>
    </row>
    <row r="81" spans="5:6">
      <c r="E81" s="680"/>
      <c r="F81" s="680"/>
    </row>
    <row r="82" spans="5:6">
      <c r="E82" s="680"/>
      <c r="F82" s="680"/>
    </row>
  </sheetData>
  <sheetProtection algorithmName="SHA-512" hashValue="fZ402tDky/jPnfBqWkzHtdU0PDVEKw04wI6+cxQ752Sn6vAT0vD29JnYBlD/ZfmU3MBv1IMz/+5C+UAzowL7Vw==" saltValue="gCjalGCkIe8hWf0zvf/HSA==" spinCount="100000" sheet="1" objects="1" scenarios="1"/>
  <mergeCells count="2">
    <mergeCell ref="D12:D16"/>
    <mergeCell ref="D33:D37"/>
  </mergeCells>
  <pageMargins left="0.7" right="0.7" top="0.75" bottom="0.75" header="0.3" footer="0.3"/>
  <pageSetup paperSize="9" scale="41" orientation="portrait" r:id="rId1"/>
  <customProperties>
    <customPr name="_pios_id" r:id="rId2"/>
  </customProperties>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4B38D-B9F7-4D85-B102-6515FEDFFFB7}">
  <sheetPr codeName="Hoja40"/>
  <dimension ref="A1:T94"/>
  <sheetViews>
    <sheetView showGridLines="0" zoomScale="80" zoomScaleNormal="80" workbookViewId="0"/>
  </sheetViews>
  <sheetFormatPr baseColWidth="10" defaultColWidth="11.42578125" defaultRowHeight="15"/>
  <cols>
    <col min="1" max="1" width="20.7109375" style="678" customWidth="1"/>
    <col min="2" max="2" width="7.7109375" style="679" customWidth="1"/>
    <col min="3" max="16384" width="11.42578125" style="679"/>
  </cols>
  <sheetData>
    <row r="1" spans="1:20" ht="15" customHeight="1"/>
    <row r="2" spans="1:20" ht="15" customHeight="1"/>
    <row r="3" spans="1:20" ht="15" customHeight="1"/>
    <row r="4" spans="1:20" ht="15" customHeight="1">
      <c r="D4" s="694"/>
    </row>
    <row r="5" spans="1:20" ht="15" customHeight="1">
      <c r="A5" s="1559"/>
    </row>
    <row r="6" spans="1:20" ht="15" customHeight="1"/>
    <row r="7" spans="1:20" ht="15" customHeight="1"/>
    <row r="8" spans="1:20" ht="15" customHeight="1"/>
    <row r="9" spans="1:20" ht="15" customHeight="1"/>
    <row r="10" spans="1:20" ht="15" customHeight="1"/>
    <row r="11" spans="1:20" ht="15" customHeight="1"/>
    <row r="12" spans="1:20" ht="15" customHeight="1"/>
    <row r="13" spans="1:20" ht="15" customHeight="1"/>
    <row r="14" spans="1:20" ht="15" customHeight="1">
      <c r="T14" s="2786">
        <v>2</v>
      </c>
    </row>
    <row r="15" spans="1:20" ht="15" customHeight="1"/>
    <row r="16" spans="1:20" ht="15" customHeight="1"/>
    <row r="17" spans="1:18" s="680" customFormat="1" ht="15" customHeight="1">
      <c r="A17" s="678"/>
    </row>
    <row r="18" spans="1:18" ht="15" customHeight="1"/>
    <row r="19" spans="1:18" ht="15" customHeight="1"/>
    <row r="20" spans="1:18" ht="15" customHeight="1"/>
    <row r="21" spans="1:18" ht="15" customHeight="1"/>
    <row r="22" spans="1:18" ht="15" customHeight="1"/>
    <row r="23" spans="1:18" ht="15" customHeight="1"/>
    <row r="24" spans="1:18" ht="15" customHeight="1"/>
    <row r="25" spans="1:18" ht="15" customHeight="1"/>
    <row r="26" spans="1:18" ht="15" customHeight="1"/>
    <row r="27" spans="1:18" ht="15" customHeight="1"/>
    <row r="28" spans="1:18" ht="15" customHeight="1">
      <c r="R28" s="2786">
        <v>2</v>
      </c>
    </row>
    <row r="29" spans="1:18" ht="15" customHeight="1"/>
    <row r="30" spans="1:18" ht="15" customHeight="1"/>
    <row r="31" spans="1:18" ht="15" customHeight="1"/>
    <row r="32" spans="1:18" ht="15" customHeight="1"/>
    <row r="33" spans="4:5" ht="15" customHeight="1"/>
    <row r="34" spans="4:5" ht="15" customHeight="1"/>
    <row r="35" spans="4:5" ht="15" customHeight="1"/>
    <row r="36" spans="4:5" ht="15" customHeight="1"/>
    <row r="37" spans="4:5" ht="15" customHeight="1"/>
    <row r="38" spans="4:5" ht="15" customHeight="1"/>
    <row r="39" spans="4:5" ht="15" customHeight="1"/>
    <row r="40" spans="4:5" ht="15" customHeight="1">
      <c r="D40" s="680"/>
      <c r="E40" s="680"/>
    </row>
    <row r="41" spans="4:5" ht="15" customHeight="1">
      <c r="D41" s="680"/>
      <c r="E41" s="680"/>
    </row>
    <row r="42" spans="4:5" ht="15" customHeight="1">
      <c r="D42" s="680"/>
      <c r="E42" s="680"/>
    </row>
    <row r="43" spans="4:5" ht="15" customHeight="1">
      <c r="D43" s="680"/>
      <c r="E43" s="680"/>
    </row>
    <row r="44" spans="4:5">
      <c r="D44" s="680"/>
      <c r="E44" s="680"/>
    </row>
    <row r="45" spans="4:5">
      <c r="D45" s="680"/>
      <c r="E45" s="680"/>
    </row>
    <row r="46" spans="4:5">
      <c r="D46" s="680"/>
      <c r="E46" s="680"/>
    </row>
    <row r="47" spans="4:5" ht="15" customHeight="1">
      <c r="D47" s="680"/>
      <c r="E47" s="680"/>
    </row>
    <row r="48" spans="4:5">
      <c r="D48" s="680"/>
      <c r="E48" s="680"/>
    </row>
    <row r="49" spans="3:5">
      <c r="D49" s="680"/>
      <c r="E49" s="680"/>
    </row>
    <row r="50" spans="3:5">
      <c r="D50" s="680"/>
      <c r="E50" s="680"/>
    </row>
    <row r="51" spans="3:5">
      <c r="D51" s="680"/>
      <c r="E51" s="680"/>
    </row>
    <row r="52" spans="3:5">
      <c r="D52" s="680"/>
      <c r="E52" s="680"/>
    </row>
    <row r="53" spans="3:5">
      <c r="D53" s="680"/>
      <c r="E53" s="680"/>
    </row>
    <row r="54" spans="3:5">
      <c r="D54" s="680"/>
      <c r="E54" s="680"/>
    </row>
    <row r="55" spans="3:5">
      <c r="D55" s="680"/>
      <c r="E55" s="680"/>
    </row>
    <row r="56" spans="3:5">
      <c r="D56" s="680"/>
      <c r="E56" s="680"/>
    </row>
    <row r="57" spans="3:5">
      <c r="D57" s="680"/>
      <c r="E57" s="680"/>
    </row>
    <row r="58" spans="3:5">
      <c r="D58" s="680"/>
      <c r="E58" s="680"/>
    </row>
    <row r="59" spans="3:5">
      <c r="D59" s="680"/>
      <c r="E59" s="680"/>
    </row>
    <row r="60" spans="3:5">
      <c r="D60" s="680"/>
      <c r="E60" s="680"/>
    </row>
    <row r="61" spans="3:5">
      <c r="C61" s="680"/>
      <c r="D61" s="680"/>
      <c r="E61" s="680"/>
    </row>
    <row r="62" spans="3:5">
      <c r="C62" s="680"/>
      <c r="D62" s="680"/>
      <c r="E62" s="680"/>
    </row>
    <row r="63" spans="3:5">
      <c r="C63" s="680"/>
      <c r="D63" s="680"/>
      <c r="E63" s="680"/>
    </row>
    <row r="64" spans="3:5">
      <c r="C64" s="680"/>
      <c r="D64" s="680"/>
      <c r="E64" s="680"/>
    </row>
    <row r="65" spans="3:5">
      <c r="C65" s="680"/>
      <c r="D65" s="680"/>
      <c r="E65" s="680"/>
    </row>
    <row r="66" spans="3:5">
      <c r="C66" s="680"/>
      <c r="D66" s="680"/>
      <c r="E66" s="680"/>
    </row>
    <row r="67" spans="3:5">
      <c r="C67" s="680"/>
      <c r="D67" s="680"/>
      <c r="E67" s="680"/>
    </row>
    <row r="68" spans="3:5">
      <c r="C68" s="680"/>
      <c r="D68" s="680"/>
      <c r="E68" s="680"/>
    </row>
    <row r="69" spans="3:5">
      <c r="C69" s="680"/>
      <c r="D69" s="680"/>
      <c r="E69" s="680"/>
    </row>
    <row r="70" spans="3:5">
      <c r="C70" s="680"/>
      <c r="D70" s="680"/>
      <c r="E70" s="680"/>
    </row>
    <row r="71" spans="3:5">
      <c r="C71" s="680"/>
      <c r="D71" s="680"/>
      <c r="E71" s="680"/>
    </row>
    <row r="72" spans="3:5">
      <c r="C72" s="680"/>
      <c r="D72" s="680"/>
      <c r="E72" s="680"/>
    </row>
    <row r="73" spans="3:5">
      <c r="C73" s="680"/>
      <c r="D73" s="680"/>
      <c r="E73" s="680"/>
    </row>
    <row r="74" spans="3:5">
      <c r="C74" s="680"/>
      <c r="D74" s="680"/>
      <c r="E74" s="680"/>
    </row>
    <row r="75" spans="3:5">
      <c r="C75" s="680"/>
      <c r="D75" s="680"/>
      <c r="E75" s="680"/>
    </row>
    <row r="76" spans="3:5">
      <c r="C76" s="680"/>
      <c r="D76" s="680"/>
      <c r="E76" s="680"/>
    </row>
    <row r="77" spans="3:5">
      <c r="C77" s="680"/>
      <c r="D77" s="680"/>
      <c r="E77" s="680"/>
    </row>
    <row r="78" spans="3:5">
      <c r="C78" s="680"/>
      <c r="D78" s="680"/>
      <c r="E78" s="680"/>
    </row>
    <row r="79" spans="3:5">
      <c r="C79" s="680"/>
      <c r="D79" s="680"/>
      <c r="E79" s="680"/>
    </row>
    <row r="80" spans="3:5">
      <c r="C80" s="680"/>
      <c r="D80" s="680"/>
      <c r="E80" s="680"/>
    </row>
    <row r="81" spans="3:5">
      <c r="C81" s="680"/>
      <c r="D81" s="680"/>
      <c r="E81" s="680"/>
    </row>
    <row r="82" spans="3:5">
      <c r="C82" s="680"/>
      <c r="D82" s="680"/>
      <c r="E82" s="680"/>
    </row>
    <row r="83" spans="3:5">
      <c r="C83" s="680"/>
      <c r="D83" s="680"/>
      <c r="E83" s="680"/>
    </row>
    <row r="84" spans="3:5">
      <c r="C84" s="680"/>
      <c r="D84" s="680"/>
      <c r="E84" s="680"/>
    </row>
    <row r="85" spans="3:5">
      <c r="C85" s="680"/>
      <c r="D85" s="680"/>
      <c r="E85" s="680"/>
    </row>
    <row r="86" spans="3:5">
      <c r="C86" s="680"/>
      <c r="D86" s="680"/>
      <c r="E86" s="680"/>
    </row>
    <row r="87" spans="3:5">
      <c r="C87" s="680"/>
      <c r="D87" s="680"/>
      <c r="E87" s="680"/>
    </row>
    <row r="88" spans="3:5">
      <c r="C88" s="680"/>
      <c r="D88" s="680"/>
      <c r="E88" s="680"/>
    </row>
    <row r="89" spans="3:5">
      <c r="C89" s="680"/>
      <c r="D89" s="680"/>
      <c r="E89" s="680"/>
    </row>
    <row r="90" spans="3:5">
      <c r="C90" s="680"/>
      <c r="D90" s="680"/>
      <c r="E90" s="680"/>
    </row>
    <row r="91" spans="3:5">
      <c r="C91" s="680"/>
      <c r="D91" s="680"/>
      <c r="E91" s="680"/>
    </row>
    <row r="92" spans="3:5">
      <c r="C92" s="680"/>
      <c r="D92" s="680"/>
      <c r="E92" s="680"/>
    </row>
    <row r="93" spans="3:5">
      <c r="C93" s="680"/>
      <c r="D93" s="680"/>
      <c r="E93" s="680"/>
    </row>
    <row r="94" spans="3:5">
      <c r="C94" s="680"/>
      <c r="D94" s="680"/>
      <c r="E94" s="680"/>
    </row>
  </sheetData>
  <sheetProtection algorithmName="SHA-512" hashValue="/+eRA+LCpiB1LcrFJBSXI4Y7qfDMxJFT96GgrqBp/z6NAfMRuMk8aV1hfDXgf61AnGjsmKmSa5pYzihP7E8uFg==" saltValue="XBqLeHiDSNLKKdJy/h7S9A==" spinCount="100000" sheet="1" objects="1" scenarios="1"/>
  <pageMargins left="0.7" right="0.7" top="0.75" bottom="0.75" header="0.3" footer="0.3"/>
  <pageSetup paperSize="9" scale="41" orientation="portrait" r:id="rId1"/>
  <customProperties>
    <customPr name="_pios_id" r:id="rId2"/>
  </customPropertie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FE199-8A0D-4E3F-A1B3-52184083CD39}">
  <sheetPr codeName="Hoja41"/>
  <dimension ref="A5"/>
  <sheetViews>
    <sheetView showGridLines="0" zoomScale="80" zoomScaleNormal="80" workbookViewId="0"/>
  </sheetViews>
  <sheetFormatPr baseColWidth="10" defaultColWidth="11.42578125" defaultRowHeight="15"/>
  <cols>
    <col min="1" max="1" width="20.7109375" style="678" customWidth="1"/>
    <col min="2" max="2" width="7.7109375" style="679" customWidth="1"/>
    <col min="3" max="16384" width="11.42578125" style="679"/>
  </cols>
  <sheetData>
    <row r="5" spans="1:1">
      <c r="A5" s="1559"/>
    </row>
  </sheetData>
  <sheetProtection algorithmName="SHA-512" hashValue="oN0cSkyVOeabmZKMT+MUfiQ3NShyMjf1L0nRpWn5olMNGIcb/de1lt41IxpwZodw4NWGUbROpGz+vZXaHx3DXA==" saltValue="QxBWK2RQhQ3BbV4X8TTBmA==" spinCount="100000" sheet="1" objects="1" scenarios="1"/>
  <pageMargins left="0.7" right="0.7" top="0.75" bottom="0.75" header="0.3" footer="0.3"/>
  <customProperties>
    <customPr name="_pios_id" r:id="rId1"/>
  </customPropertie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98624-E2B1-411C-B302-541BF934AABD}">
  <sheetPr codeName="Hoja5"/>
  <dimension ref="A5:R92"/>
  <sheetViews>
    <sheetView zoomScale="80" zoomScaleNormal="80" workbookViewId="0"/>
  </sheetViews>
  <sheetFormatPr baseColWidth="10" defaultColWidth="11.5703125" defaultRowHeight="15" customHeight="1"/>
  <cols>
    <col min="1" max="1" width="20.7109375" style="678" customWidth="1"/>
    <col min="2" max="2" width="7.7109375" style="680" customWidth="1"/>
    <col min="3" max="3" width="5.7109375" style="680" customWidth="1"/>
    <col min="4" max="7" width="31.85546875" style="680" customWidth="1"/>
    <col min="8" max="8" width="11.5703125" style="680"/>
    <col min="9" max="9" width="5.7109375" style="680" customWidth="1"/>
    <col min="10" max="10" width="11.5703125" style="680"/>
    <col min="11" max="13" width="12" style="680" bestFit="1" customWidth="1"/>
    <col min="14" max="14" width="12.85546875" style="680" bestFit="1" customWidth="1"/>
    <col min="15" max="15" width="12" style="680" bestFit="1" customWidth="1"/>
    <col min="16" max="16384" width="11.5703125" style="680"/>
  </cols>
  <sheetData>
    <row r="5" spans="1:18" ht="15" customHeight="1">
      <c r="A5" s="1559"/>
      <c r="C5" s="891" t="s">
        <v>629</v>
      </c>
      <c r="D5" s="892"/>
      <c r="E5" s="892"/>
      <c r="F5" s="892"/>
      <c r="G5" s="892"/>
      <c r="H5" s="892"/>
      <c r="I5" s="892"/>
    </row>
    <row r="6" spans="1:18" ht="15" customHeight="1">
      <c r="C6" s="1685"/>
      <c r="D6" s="699"/>
      <c r="E6" s="699"/>
      <c r="F6" s="699"/>
      <c r="G6" s="699"/>
      <c r="H6" s="699"/>
      <c r="I6" s="699"/>
      <c r="L6" s="1502"/>
      <c r="M6" s="1502"/>
      <c r="N6" s="1502"/>
      <c r="O6" s="1502"/>
    </row>
    <row r="7" spans="1:18" ht="15" customHeight="1">
      <c r="C7" s="1685"/>
      <c r="D7" s="1782" t="s">
        <v>630</v>
      </c>
      <c r="E7" s="1693"/>
      <c r="F7" s="1693"/>
      <c r="G7" s="1783" t="s">
        <v>631</v>
      </c>
      <c r="H7" s="699"/>
      <c r="I7" s="699"/>
      <c r="L7" s="1502"/>
      <c r="M7" s="1502"/>
      <c r="N7" s="1502"/>
      <c r="O7" s="1502"/>
    </row>
    <row r="8" spans="1:18" ht="15" customHeight="1">
      <c r="C8" s="1685"/>
      <c r="D8" s="1780" t="s">
        <v>632</v>
      </c>
      <c r="E8" s="1697"/>
      <c r="F8" s="1696"/>
      <c r="G8" s="1696"/>
      <c r="H8" s="699"/>
      <c r="I8" s="699"/>
      <c r="L8" s="1502"/>
      <c r="M8" s="1502"/>
      <c r="N8" s="1502"/>
      <c r="O8" s="1502"/>
    </row>
    <row r="9" spans="1:18" ht="15" customHeight="1">
      <c r="C9" s="1685"/>
      <c r="D9" s="701" t="s">
        <v>504</v>
      </c>
      <c r="E9" s="1704"/>
      <c r="F9" s="1705"/>
      <c r="G9" s="3719">
        <v>4.0952630413593995E-9</v>
      </c>
      <c r="H9" s="699"/>
      <c r="I9" s="699"/>
      <c r="L9" s="1502"/>
      <c r="M9" s="1502"/>
      <c r="N9" s="1502"/>
      <c r="O9" s="1502"/>
    </row>
    <row r="10" spans="1:18" ht="15" customHeight="1">
      <c r="C10" s="1685"/>
      <c r="D10" s="701" t="s">
        <v>633</v>
      </c>
      <c r="E10" s="1704"/>
      <c r="F10" s="1705"/>
      <c r="G10" s="3719">
        <v>7.9889549083546567E-9</v>
      </c>
      <c r="H10" s="699"/>
      <c r="I10" s="699"/>
      <c r="L10" s="1502"/>
      <c r="M10" s="1502"/>
      <c r="N10" s="1502"/>
      <c r="O10" s="1502"/>
    </row>
    <row r="11" spans="1:18" ht="15" customHeight="1">
      <c r="C11" s="1685"/>
      <c r="D11" s="701" t="s">
        <v>522</v>
      </c>
      <c r="E11" s="1704"/>
      <c r="F11" s="1705"/>
      <c r="G11" s="3719">
        <v>1.4125868000000003E-8</v>
      </c>
      <c r="H11" s="699"/>
      <c r="I11" s="699"/>
      <c r="L11" s="1502"/>
      <c r="M11" s="1502"/>
      <c r="N11" s="1502"/>
      <c r="O11" s="1502"/>
    </row>
    <row r="12" spans="1:18" ht="15" customHeight="1">
      <c r="C12" s="1685"/>
      <c r="D12" s="701" t="s">
        <v>503</v>
      </c>
      <c r="E12" s="1704"/>
      <c r="F12" s="1705"/>
      <c r="G12" s="3719">
        <v>4.720403087338112E-9</v>
      </c>
      <c r="H12" s="699"/>
      <c r="I12" s="699"/>
      <c r="L12" s="1502"/>
      <c r="M12" s="1502"/>
      <c r="N12" s="1502"/>
      <c r="O12" s="1502"/>
      <c r="R12" s="1777"/>
    </row>
    <row r="13" spans="1:18" ht="15" customHeight="1">
      <c r="C13" s="1685"/>
      <c r="D13" s="701" t="s">
        <v>525</v>
      </c>
      <c r="E13" s="1704"/>
      <c r="F13" s="1705"/>
      <c r="G13" s="3719">
        <v>1.0635325966415584E-8</v>
      </c>
      <c r="H13" s="1778" t="s">
        <v>634</v>
      </c>
      <c r="I13" s="699"/>
      <c r="L13" s="1502"/>
      <c r="M13" s="1502"/>
      <c r="N13" s="1502"/>
      <c r="O13" s="1502"/>
    </row>
    <row r="14" spans="1:18" ht="15" customHeight="1">
      <c r="C14" s="1685"/>
      <c r="D14" s="701" t="s">
        <v>635</v>
      </c>
      <c r="E14" s="1704"/>
      <c r="F14" s="1705"/>
      <c r="G14" s="3720">
        <v>2.7777777777777778E-4</v>
      </c>
      <c r="H14" s="1778" t="s">
        <v>636</v>
      </c>
      <c r="I14" s="699"/>
      <c r="L14" s="1502"/>
      <c r="M14" s="1502"/>
      <c r="N14" s="1502"/>
      <c r="O14" s="1502"/>
    </row>
    <row r="15" spans="1:18" ht="15" customHeight="1">
      <c r="C15" s="1685"/>
      <c r="D15" s="701" t="s">
        <v>637</v>
      </c>
      <c r="E15" s="1704"/>
      <c r="F15" s="1705"/>
      <c r="G15" s="3719">
        <v>5.893361433859341E-9</v>
      </c>
      <c r="H15" s="699"/>
      <c r="I15" s="699"/>
      <c r="L15" s="1502"/>
      <c r="M15" s="1502"/>
      <c r="N15" s="1502"/>
      <c r="O15" s="1502"/>
    </row>
    <row r="16" spans="1:18" ht="15" customHeight="1">
      <c r="C16" s="1685"/>
      <c r="D16" s="701" t="s">
        <v>638</v>
      </c>
      <c r="E16" s="1704"/>
      <c r="F16" s="1705"/>
      <c r="G16" s="3719">
        <v>4.1535942416284789E-9</v>
      </c>
      <c r="H16" s="699"/>
      <c r="I16" s="699"/>
      <c r="L16" s="1502"/>
      <c r="M16" s="1502"/>
      <c r="N16" s="1502"/>
      <c r="O16" s="1502"/>
    </row>
    <row r="17" spans="3:15" ht="15" customHeight="1">
      <c r="C17" s="1685"/>
      <c r="D17" s="701" t="s">
        <v>639</v>
      </c>
      <c r="E17" s="1704"/>
      <c r="F17" s="1705"/>
      <c r="G17" s="3719">
        <v>4.8706022471441689E-9</v>
      </c>
      <c r="H17" s="699"/>
      <c r="I17" s="699"/>
      <c r="L17" s="1502"/>
      <c r="M17" s="1502"/>
      <c r="N17" s="1502"/>
      <c r="O17" s="1502"/>
    </row>
    <row r="18" spans="3:15" ht="15" customHeight="1">
      <c r="C18" s="1685"/>
      <c r="D18" s="1781" t="s">
        <v>640</v>
      </c>
      <c r="E18" s="1696"/>
      <c r="F18" s="1698"/>
      <c r="G18" s="1699"/>
      <c r="H18" s="699"/>
      <c r="I18" s="699"/>
      <c r="L18" s="1502"/>
      <c r="M18" s="1502"/>
      <c r="N18" s="1502"/>
      <c r="O18" s="1502"/>
    </row>
    <row r="19" spans="3:15" ht="15" customHeight="1">
      <c r="C19" s="1685"/>
      <c r="D19" s="701" t="s">
        <v>641</v>
      </c>
      <c r="E19" s="1687"/>
      <c r="F19" s="1688"/>
      <c r="G19" s="3721">
        <v>1.0238630779722312E-8</v>
      </c>
      <c r="H19" s="699"/>
      <c r="I19" s="699"/>
      <c r="L19" s="1502"/>
      <c r="M19" s="1502"/>
      <c r="N19" s="1502"/>
      <c r="O19" s="1502"/>
    </row>
    <row r="20" spans="3:15" ht="15" customHeight="1">
      <c r="C20" s="1685"/>
      <c r="D20" s="701" t="s">
        <v>642</v>
      </c>
      <c r="E20" s="1687"/>
      <c r="F20" s="1688"/>
      <c r="G20" s="3722">
        <v>7.5583333333333332E-9</v>
      </c>
      <c r="H20" s="699"/>
      <c r="I20" s="699"/>
      <c r="L20" s="1502"/>
      <c r="M20" s="1502"/>
      <c r="N20" s="1502"/>
      <c r="O20" s="1502"/>
    </row>
    <row r="21" spans="3:15" ht="15" customHeight="1">
      <c r="C21" s="1685"/>
      <c r="D21" s="701" t="s">
        <v>507</v>
      </c>
      <c r="E21" s="1687"/>
      <c r="F21" s="1688"/>
      <c r="G21" s="3722">
        <v>5.5833333333333345E-9</v>
      </c>
      <c r="H21" s="699"/>
      <c r="I21" s="699"/>
      <c r="L21" s="1502"/>
      <c r="M21" s="1502"/>
      <c r="N21" s="1502"/>
      <c r="O21" s="1502"/>
    </row>
    <row r="22" spans="3:15" ht="15" customHeight="1">
      <c r="C22" s="1685"/>
      <c r="D22" s="701" t="s">
        <v>643</v>
      </c>
      <c r="E22" s="1687"/>
      <c r="F22" s="1688"/>
      <c r="G22" s="3721">
        <v>1.1008818595913085E-8</v>
      </c>
      <c r="H22" s="1778" t="s">
        <v>634</v>
      </c>
      <c r="I22" s="699"/>
      <c r="L22" s="1502"/>
      <c r="M22" s="1502"/>
      <c r="N22" s="1502"/>
      <c r="O22" s="1502"/>
    </row>
    <row r="23" spans="3:15" ht="15" customHeight="1">
      <c r="C23" s="1685"/>
      <c r="D23" s="701" t="s">
        <v>644</v>
      </c>
      <c r="E23" s="1687"/>
      <c r="F23" s="1688"/>
      <c r="G23" s="3721">
        <v>1.192622506479167E-8</v>
      </c>
      <c r="H23" s="699"/>
      <c r="I23" s="699"/>
      <c r="L23" s="1502"/>
      <c r="M23" s="1502"/>
      <c r="N23" s="1502"/>
      <c r="O23" s="1502"/>
    </row>
    <row r="24" spans="3:15" ht="15" customHeight="1">
      <c r="C24" s="1685"/>
      <c r="D24" s="701" t="s">
        <v>498</v>
      </c>
      <c r="E24" s="1687"/>
      <c r="F24" s="1688"/>
      <c r="G24" s="3721">
        <v>3.221356787662465E-9</v>
      </c>
      <c r="H24" s="699"/>
      <c r="I24" s="699"/>
      <c r="L24" s="1502"/>
      <c r="M24" s="1502"/>
      <c r="N24" s="1502"/>
      <c r="O24" s="1502"/>
    </row>
    <row r="25" spans="3:15" ht="15" customHeight="1">
      <c r="C25" s="1685"/>
      <c r="D25" s="701" t="s">
        <v>645</v>
      </c>
      <c r="E25" s="1687"/>
      <c r="F25" s="1688"/>
      <c r="G25" s="3721">
        <v>1.0348871646428395E-8</v>
      </c>
      <c r="H25" s="1778" t="s">
        <v>634</v>
      </c>
      <c r="I25" s="699"/>
      <c r="L25" s="1502"/>
      <c r="M25" s="1502"/>
      <c r="N25" s="1502"/>
      <c r="O25" s="1502"/>
    </row>
    <row r="26" spans="3:15" ht="15" customHeight="1">
      <c r="C26" s="1685"/>
      <c r="D26" s="706" t="s">
        <v>502</v>
      </c>
      <c r="E26" s="1694"/>
      <c r="F26" s="1695"/>
      <c r="G26" s="3723">
        <v>1.0290381088683678E-8</v>
      </c>
      <c r="H26" s="1778" t="s">
        <v>634</v>
      </c>
      <c r="I26" s="699"/>
      <c r="L26" s="1502"/>
      <c r="M26" s="1502"/>
      <c r="N26" s="1502"/>
      <c r="O26" s="1502"/>
    </row>
    <row r="27" spans="3:15" ht="15" customHeight="1">
      <c r="C27" s="1685"/>
      <c r="D27" s="1686"/>
      <c r="E27" s="1687"/>
      <c r="F27" s="1688"/>
      <c r="G27" s="1779"/>
      <c r="H27" s="699"/>
      <c r="I27" s="699"/>
      <c r="L27" s="1502"/>
      <c r="M27" s="1502"/>
      <c r="N27" s="1502"/>
      <c r="O27" s="1502"/>
    </row>
    <row r="28" spans="3:15" ht="15" customHeight="1">
      <c r="L28" s="1502"/>
      <c r="M28" s="1502"/>
      <c r="N28" s="1502"/>
      <c r="O28" s="1502"/>
    </row>
    <row r="29" spans="3:15" ht="15" customHeight="1">
      <c r="C29" s="891" t="s">
        <v>646</v>
      </c>
      <c r="D29" s="892"/>
      <c r="E29" s="892"/>
      <c r="F29" s="892"/>
      <c r="G29" s="892"/>
      <c r="H29" s="892"/>
      <c r="I29" s="892"/>
      <c r="L29" s="1502"/>
      <c r="M29" s="1502"/>
      <c r="N29" s="1502"/>
      <c r="O29" s="1502"/>
    </row>
    <row r="30" spans="3:15" ht="15" customHeight="1">
      <c r="C30" s="698"/>
      <c r="D30" s="699"/>
      <c r="E30" s="699"/>
      <c r="F30" s="699"/>
      <c r="G30" s="699"/>
      <c r="H30" s="699"/>
      <c r="I30" s="699"/>
      <c r="L30" s="1502"/>
      <c r="M30" s="1502"/>
      <c r="N30" s="1502"/>
      <c r="O30" s="1502"/>
    </row>
    <row r="31" spans="3:15" ht="15" customHeight="1">
      <c r="C31" s="701"/>
      <c r="D31" s="1679" t="s">
        <v>647</v>
      </c>
      <c r="E31" s="701"/>
      <c r="F31" s="701"/>
      <c r="G31" s="1680"/>
      <c r="H31" s="1681"/>
      <c r="I31" s="701"/>
      <c r="L31" s="1502"/>
      <c r="M31" s="1502"/>
      <c r="N31" s="1502"/>
      <c r="O31" s="1502"/>
    </row>
    <row r="32" spans="3:15" ht="15" customHeight="1">
      <c r="C32" s="701"/>
      <c r="D32" s="1654" t="s">
        <v>648</v>
      </c>
      <c r="E32" s="1654"/>
      <c r="F32" s="1656"/>
      <c r="G32" s="1655"/>
      <c r="H32" s="1656" t="s">
        <v>649</v>
      </c>
      <c r="I32" s="701"/>
      <c r="L32" s="1502"/>
      <c r="M32" s="1502"/>
      <c r="N32" s="1502"/>
      <c r="O32" s="1502"/>
    </row>
    <row r="33" spans="3:15" ht="15" customHeight="1">
      <c r="C33" s="701"/>
      <c r="D33" s="701" t="s">
        <v>650</v>
      </c>
      <c r="E33" s="701"/>
      <c r="F33" s="701"/>
      <c r="G33" s="1680"/>
      <c r="H33" s="701">
        <v>1.1000000000000001</v>
      </c>
      <c r="I33" s="701"/>
      <c r="L33" s="1502"/>
      <c r="M33" s="1502"/>
      <c r="N33" s="1502"/>
      <c r="O33" s="1502"/>
    </row>
    <row r="34" spans="3:15" ht="15" customHeight="1">
      <c r="C34" s="701"/>
      <c r="D34" s="701" t="s">
        <v>651</v>
      </c>
      <c r="E34" s="701"/>
      <c r="F34" s="701"/>
      <c r="G34" s="1680"/>
      <c r="H34" s="701">
        <v>0.5</v>
      </c>
      <c r="I34" s="701"/>
      <c r="L34" s="1502"/>
      <c r="M34" s="1502"/>
      <c r="N34" s="1502"/>
      <c r="O34" s="1502"/>
    </row>
    <row r="35" spans="3:15" ht="15" customHeight="1">
      <c r="C35" s="701"/>
      <c r="D35" s="701" t="s">
        <v>652</v>
      </c>
      <c r="E35" s="701"/>
      <c r="F35" s="701"/>
      <c r="G35" s="1680"/>
      <c r="H35" s="701">
        <v>0.7</v>
      </c>
      <c r="I35" s="701"/>
      <c r="L35" s="1502"/>
      <c r="M35" s="1502"/>
      <c r="N35" s="1502"/>
      <c r="O35" s="1502"/>
    </row>
    <row r="36" spans="3:15" ht="15" customHeight="1">
      <c r="C36" s="701"/>
      <c r="D36" s="701" t="s">
        <v>653</v>
      </c>
      <c r="E36" s="701"/>
      <c r="F36" s="701"/>
      <c r="G36" s="1680"/>
      <c r="H36" s="701">
        <v>2.2000000000000002</v>
      </c>
      <c r="I36" s="701"/>
    </row>
    <row r="37" spans="3:15" ht="15" customHeight="1">
      <c r="C37" s="701"/>
      <c r="D37" s="701" t="s">
        <v>654</v>
      </c>
      <c r="E37" s="701"/>
      <c r="F37" s="701"/>
      <c r="G37" s="1680"/>
      <c r="H37" s="701">
        <v>1.9</v>
      </c>
      <c r="I37" s="701"/>
    </row>
    <row r="38" spans="3:15" ht="15" customHeight="1">
      <c r="C38" s="701"/>
      <c r="D38" s="701" t="s">
        <v>655</v>
      </c>
      <c r="E38" s="701"/>
      <c r="F38" s="701"/>
      <c r="G38" s="1680"/>
      <c r="H38" s="701">
        <v>0.9</v>
      </c>
      <c r="I38" s="701"/>
    </row>
    <row r="39" spans="3:15" ht="15" customHeight="1">
      <c r="C39" s="701"/>
      <c r="D39" s="701" t="s">
        <v>656</v>
      </c>
      <c r="E39" s="701"/>
      <c r="F39" s="701"/>
      <c r="G39" s="1680"/>
      <c r="H39" s="701">
        <v>0.7</v>
      </c>
      <c r="I39" s="701"/>
    </row>
    <row r="40" spans="3:15" ht="15" customHeight="1">
      <c r="C40" s="701"/>
      <c r="D40" s="701" t="s">
        <v>657</v>
      </c>
      <c r="E40" s="701"/>
      <c r="F40" s="701"/>
      <c r="G40" s="1680"/>
      <c r="H40" s="701">
        <v>0.8</v>
      </c>
      <c r="I40" s="701"/>
    </row>
    <row r="41" spans="3:15" ht="15" customHeight="1">
      <c r="C41" s="701"/>
      <c r="D41" s="701" t="s">
        <v>658</v>
      </c>
      <c r="E41" s="701"/>
      <c r="F41" s="701"/>
      <c r="G41" s="1680"/>
      <c r="H41" s="701">
        <v>0.8</v>
      </c>
      <c r="I41" s="701"/>
    </row>
    <row r="42" spans="3:15" ht="15" customHeight="1">
      <c r="C42" s="701"/>
      <c r="D42" s="701" t="s">
        <v>659</v>
      </c>
      <c r="E42" s="701"/>
      <c r="F42" s="701"/>
      <c r="G42" s="1680"/>
      <c r="H42" s="701">
        <v>0.8</v>
      </c>
      <c r="I42" s="701"/>
    </row>
    <row r="43" spans="3:15" ht="15" customHeight="1">
      <c r="C43" s="701"/>
      <c r="D43" s="1654" t="s">
        <v>660</v>
      </c>
      <c r="E43" s="1654"/>
      <c r="F43" s="1654"/>
      <c r="G43" s="1655"/>
      <c r="H43" s="1656" t="s">
        <v>661</v>
      </c>
      <c r="I43" s="701"/>
    </row>
    <row r="44" spans="3:15" ht="15" customHeight="1">
      <c r="C44" s="701"/>
      <c r="D44" s="701" t="s">
        <v>500</v>
      </c>
      <c r="E44" s="701"/>
      <c r="F44" s="701"/>
      <c r="G44" s="2049"/>
      <c r="H44" s="2050">
        <v>0.94140000000000001</v>
      </c>
      <c r="I44" s="701"/>
    </row>
    <row r="45" spans="3:15" ht="15" customHeight="1">
      <c r="C45" s="701"/>
      <c r="D45" s="701" t="s">
        <v>502</v>
      </c>
      <c r="E45" s="701"/>
      <c r="F45" s="701"/>
      <c r="G45" s="1680"/>
      <c r="H45" s="701">
        <v>0.8</v>
      </c>
      <c r="I45" s="701"/>
    </row>
    <row r="46" spans="3:15" ht="15" customHeight="1">
      <c r="C46" s="701"/>
      <c r="D46" s="701" t="s">
        <v>662</v>
      </c>
      <c r="E46" s="701"/>
      <c r="F46" s="701"/>
      <c r="G46" s="1680"/>
      <c r="H46" s="701">
        <v>1</v>
      </c>
      <c r="I46" s="701"/>
    </row>
    <row r="47" spans="3:15" ht="15" customHeight="1">
      <c r="C47" s="701"/>
      <c r="D47" s="701" t="s">
        <v>663</v>
      </c>
      <c r="E47" s="701"/>
      <c r="F47" s="701"/>
      <c r="G47" s="1680"/>
      <c r="H47" s="701">
        <v>0.9</v>
      </c>
      <c r="I47" s="701"/>
    </row>
    <row r="48" spans="3:15" ht="15" customHeight="1">
      <c r="C48" s="701"/>
      <c r="D48" s="701" t="s">
        <v>664</v>
      </c>
      <c r="E48" s="701"/>
      <c r="F48" s="701"/>
      <c r="G48" s="1680"/>
      <c r="H48" s="701">
        <v>0.7</v>
      </c>
      <c r="I48" s="701"/>
    </row>
    <row r="49" spans="3:9" ht="15" customHeight="1">
      <c r="C49" s="701"/>
      <c r="D49" s="701" t="s">
        <v>665</v>
      </c>
      <c r="E49" s="701"/>
      <c r="F49" s="701"/>
      <c r="G49" s="1680"/>
      <c r="H49" s="701">
        <v>0.8</v>
      </c>
      <c r="I49" s="701"/>
    </row>
    <row r="50" spans="3:9" ht="15" customHeight="1">
      <c r="C50" s="701"/>
      <c r="D50" s="701" t="s">
        <v>666</v>
      </c>
      <c r="E50" s="701"/>
      <c r="F50" s="701"/>
      <c r="G50" s="1680"/>
      <c r="H50" s="701">
        <v>0.9</v>
      </c>
      <c r="I50" s="701"/>
    </row>
    <row r="51" spans="3:9" ht="15" customHeight="1">
      <c r="C51" s="701"/>
      <c r="D51" s="701" t="s">
        <v>667</v>
      </c>
      <c r="E51" s="701"/>
      <c r="F51" s="701"/>
      <c r="G51" s="1680"/>
      <c r="H51" s="701">
        <v>0.9</v>
      </c>
      <c r="I51" s="701"/>
    </row>
    <row r="52" spans="3:9" ht="15" customHeight="1">
      <c r="C52" s="701"/>
      <c r="D52" s="701" t="s">
        <v>668</v>
      </c>
      <c r="E52" s="701"/>
      <c r="F52" s="701"/>
      <c r="G52" s="1680"/>
      <c r="H52" s="701">
        <v>0.8</v>
      </c>
      <c r="I52" s="701"/>
    </row>
    <row r="53" spans="3:9" ht="15" customHeight="1">
      <c r="C53" s="701"/>
      <c r="D53" s="701" t="s">
        <v>669</v>
      </c>
      <c r="E53" s="701"/>
      <c r="F53" s="701"/>
      <c r="G53" s="1680"/>
      <c r="H53" s="701">
        <v>0.8</v>
      </c>
      <c r="I53" s="701"/>
    </row>
    <row r="54" spans="3:9" ht="15" customHeight="1">
      <c r="C54" s="701"/>
      <c r="D54" s="701" t="s">
        <v>670</v>
      </c>
      <c r="E54" s="701"/>
      <c r="F54" s="701"/>
      <c r="G54" s="1680"/>
      <c r="H54" s="701">
        <v>0.7</v>
      </c>
      <c r="I54" s="701"/>
    </row>
    <row r="55" spans="3:9" ht="15" customHeight="1">
      <c r="C55" s="701"/>
      <c r="D55" s="701" t="s">
        <v>671</v>
      </c>
      <c r="E55" s="701"/>
      <c r="F55" s="701"/>
      <c r="G55" s="1680"/>
      <c r="H55" s="701">
        <v>0.9</v>
      </c>
      <c r="I55" s="701"/>
    </row>
    <row r="56" spans="3:9" ht="15" customHeight="1">
      <c r="C56" s="701"/>
      <c r="D56" s="701" t="s">
        <v>672</v>
      </c>
      <c r="E56" s="701"/>
      <c r="F56" s="701"/>
      <c r="G56" s="1680"/>
      <c r="H56" s="701">
        <v>0.9</v>
      </c>
      <c r="I56" s="701"/>
    </row>
    <row r="57" spans="3:9" ht="15" customHeight="1">
      <c r="C57" s="701"/>
      <c r="D57" s="701" t="s">
        <v>673</v>
      </c>
      <c r="E57" s="701"/>
      <c r="F57" s="701"/>
      <c r="G57" s="1680"/>
      <c r="H57" s="701">
        <v>0.7</v>
      </c>
      <c r="I57" s="701"/>
    </row>
    <row r="58" spans="3:9" ht="15" customHeight="1">
      <c r="C58" s="701"/>
      <c r="D58" s="701" t="s">
        <v>674</v>
      </c>
      <c r="E58" s="701"/>
      <c r="F58" s="701"/>
      <c r="G58" s="1680"/>
      <c r="H58" s="701">
        <v>0.7</v>
      </c>
      <c r="I58" s="701"/>
    </row>
    <row r="59" spans="3:9" ht="15" customHeight="1">
      <c r="C59" s="701"/>
      <c r="D59" s="701" t="s">
        <v>675</v>
      </c>
      <c r="E59" s="701"/>
      <c r="F59" s="701"/>
      <c r="G59" s="1680"/>
      <c r="H59" s="701">
        <v>0.9</v>
      </c>
      <c r="I59" s="701"/>
    </row>
    <row r="60" spans="3:9" ht="15" customHeight="1">
      <c r="C60" s="701"/>
      <c r="D60" s="706" t="s">
        <v>676</v>
      </c>
      <c r="E60" s="706"/>
      <c r="F60" s="706"/>
      <c r="G60" s="1682"/>
      <c r="H60" s="706">
        <v>0.6</v>
      </c>
      <c r="I60" s="701"/>
    </row>
    <row r="61" spans="3:9" ht="15" customHeight="1">
      <c r="C61" s="701"/>
      <c r="D61" s="701"/>
      <c r="E61" s="701"/>
      <c r="F61" s="701"/>
      <c r="G61" s="1662"/>
      <c r="H61" s="1663"/>
      <c r="I61" s="701"/>
    </row>
    <row r="63" spans="3:9" ht="15" customHeight="1">
      <c r="C63" s="891" t="s">
        <v>677</v>
      </c>
      <c r="D63" s="892"/>
      <c r="E63" s="892"/>
      <c r="F63" s="892"/>
      <c r="G63" s="892"/>
      <c r="H63" s="892"/>
      <c r="I63" s="892"/>
    </row>
    <row r="64" spans="3:9" ht="15" customHeight="1">
      <c r="C64" s="698"/>
      <c r="D64" s="699"/>
      <c r="E64" s="699"/>
      <c r="F64" s="699"/>
      <c r="G64" s="699"/>
      <c r="H64" s="699"/>
      <c r="I64" s="699"/>
    </row>
    <row r="65" spans="3:9" ht="15" customHeight="1">
      <c r="C65" s="701"/>
      <c r="D65" s="1654" t="s">
        <v>530</v>
      </c>
      <c r="E65" s="1654"/>
      <c r="F65" s="1654" t="s">
        <v>678</v>
      </c>
      <c r="G65" s="1655"/>
      <c r="H65" s="1656" t="s">
        <v>679</v>
      </c>
      <c r="I65" s="701"/>
    </row>
    <row r="66" spans="3:9" ht="15" customHeight="1">
      <c r="C66" s="701"/>
      <c r="D66" s="701" t="s">
        <v>680</v>
      </c>
      <c r="E66" s="701"/>
      <c r="F66" s="3724">
        <v>1</v>
      </c>
      <c r="G66" s="3725"/>
      <c r="H66" s="3724">
        <v>1</v>
      </c>
      <c r="I66" s="701"/>
    </row>
    <row r="67" spans="3:9" ht="15" customHeight="1">
      <c r="C67" s="701"/>
      <c r="D67" s="701" t="s">
        <v>681</v>
      </c>
      <c r="E67" s="701"/>
      <c r="F67" s="3724">
        <v>28</v>
      </c>
      <c r="G67" s="3725"/>
      <c r="H67" s="3726">
        <v>27.9</v>
      </c>
      <c r="I67" s="701"/>
    </row>
    <row r="68" spans="3:9" ht="15" customHeight="1">
      <c r="C68" s="701"/>
      <c r="D68" s="701" t="s">
        <v>682</v>
      </c>
      <c r="E68" s="701"/>
      <c r="F68" s="3724">
        <v>265</v>
      </c>
      <c r="G68" s="3725"/>
      <c r="H68" s="3724">
        <v>273</v>
      </c>
      <c r="I68" s="701"/>
    </row>
    <row r="69" spans="3:9" ht="15" customHeight="1">
      <c r="C69" s="701"/>
      <c r="D69" s="701" t="s">
        <v>683</v>
      </c>
      <c r="E69" s="701"/>
      <c r="F69" s="3724">
        <v>12400</v>
      </c>
      <c r="G69" s="3725"/>
      <c r="H69" s="3724">
        <v>14600</v>
      </c>
      <c r="I69" s="701"/>
    </row>
    <row r="70" spans="3:9" ht="15" customHeight="1">
      <c r="C70" s="701"/>
      <c r="D70" s="701" t="s">
        <v>684</v>
      </c>
      <c r="E70" s="701"/>
      <c r="F70" s="3724">
        <v>677</v>
      </c>
      <c r="G70" s="3725"/>
      <c r="H70" s="3724">
        <v>771</v>
      </c>
      <c r="I70" s="701"/>
    </row>
    <row r="71" spans="3:9" ht="15" customHeight="1">
      <c r="C71" s="701"/>
      <c r="D71" s="701" t="s">
        <v>685</v>
      </c>
      <c r="E71" s="701"/>
      <c r="F71" s="3724">
        <v>3170</v>
      </c>
      <c r="G71" s="3725"/>
      <c r="H71" s="3724">
        <v>3740</v>
      </c>
      <c r="I71" s="701"/>
    </row>
    <row r="72" spans="3:9" ht="15" customHeight="1">
      <c r="C72" s="701"/>
      <c r="D72" s="701" t="s">
        <v>686</v>
      </c>
      <c r="E72" s="701"/>
      <c r="F72" s="3724">
        <v>1300</v>
      </c>
      <c r="G72" s="3725"/>
      <c r="H72" s="3724">
        <v>1530</v>
      </c>
      <c r="I72" s="701"/>
    </row>
    <row r="73" spans="3:9" ht="15" customHeight="1">
      <c r="C73" s="701"/>
      <c r="D73" s="701" t="s">
        <v>687</v>
      </c>
      <c r="E73" s="701"/>
      <c r="F73" s="3724">
        <v>4800</v>
      </c>
      <c r="G73" s="3725"/>
      <c r="H73" s="3724">
        <v>5810</v>
      </c>
      <c r="I73" s="701"/>
    </row>
    <row r="74" spans="3:9" ht="15" customHeight="1">
      <c r="C74" s="701"/>
      <c r="D74" s="701" t="s">
        <v>688</v>
      </c>
      <c r="E74" s="701"/>
      <c r="F74" s="3727">
        <v>11100</v>
      </c>
      <c r="G74" s="3725"/>
      <c r="H74" s="3725">
        <v>12400</v>
      </c>
      <c r="I74" s="701"/>
    </row>
    <row r="75" spans="3:9" ht="15" customHeight="1">
      <c r="C75" s="701"/>
      <c r="D75" s="706" t="s">
        <v>689</v>
      </c>
      <c r="E75" s="706"/>
      <c r="F75" s="3728">
        <v>23500</v>
      </c>
      <c r="G75" s="3729"/>
      <c r="H75" s="3728">
        <v>25200</v>
      </c>
      <c r="I75" s="701"/>
    </row>
    <row r="76" spans="3:9" ht="15" customHeight="1">
      <c r="C76" s="701"/>
      <c r="D76" s="701"/>
      <c r="E76" s="701"/>
      <c r="F76" s="701"/>
      <c r="G76" s="1662"/>
      <c r="H76" s="1663"/>
      <c r="I76" s="701"/>
    </row>
    <row r="78" spans="3:9" ht="15" customHeight="1">
      <c r="C78" s="891" t="s">
        <v>690</v>
      </c>
      <c r="D78" s="892"/>
      <c r="E78" s="892"/>
      <c r="F78" s="892"/>
      <c r="G78" s="892"/>
      <c r="H78" s="892"/>
      <c r="I78" s="892"/>
    </row>
    <row r="79" spans="3:9" ht="15" customHeight="1">
      <c r="C79" s="698"/>
      <c r="D79" s="699"/>
      <c r="E79" s="699"/>
      <c r="F79" s="699"/>
      <c r="G79" s="699"/>
      <c r="H79" s="699"/>
      <c r="I79" s="699"/>
    </row>
    <row r="80" spans="3:9" ht="15" customHeight="1">
      <c r="C80" s="701"/>
      <c r="D80" s="1679"/>
      <c r="E80" s="701"/>
      <c r="F80" s="701"/>
      <c r="G80" s="1680"/>
      <c r="H80" s="1681"/>
      <c r="I80" s="701"/>
    </row>
    <row r="81" spans="3:9" ht="15" customHeight="1">
      <c r="C81" s="701"/>
      <c r="D81" s="1707" t="s">
        <v>691</v>
      </c>
      <c r="E81" s="1707"/>
      <c r="F81" s="1708"/>
      <c r="G81" s="1708" t="s">
        <v>692</v>
      </c>
      <c r="H81" s="1708">
        <v>4.5461</v>
      </c>
      <c r="I81" s="701"/>
    </row>
    <row r="82" spans="3:9" ht="15" customHeight="1">
      <c r="C82" s="701"/>
      <c r="D82" s="1707" t="s">
        <v>693</v>
      </c>
      <c r="E82" s="1707"/>
      <c r="F82" s="1707"/>
      <c r="G82" s="1708" t="s">
        <v>692</v>
      </c>
      <c r="H82" s="1709">
        <v>3.7854100000000002</v>
      </c>
      <c r="I82" s="701"/>
    </row>
    <row r="83" spans="3:9" ht="15" customHeight="1">
      <c r="C83" s="701"/>
      <c r="D83" s="701"/>
      <c r="E83" s="701"/>
      <c r="F83" s="701"/>
      <c r="G83" s="1680"/>
      <c r="H83" s="1683"/>
      <c r="I83" s="701"/>
    </row>
    <row r="85" spans="3:9" ht="15" customHeight="1">
      <c r="C85" s="891" t="s">
        <v>564</v>
      </c>
      <c r="D85" s="892"/>
      <c r="E85" s="892"/>
      <c r="F85" s="892"/>
      <c r="G85" s="892"/>
      <c r="H85" s="892"/>
      <c r="I85" s="892"/>
    </row>
    <row r="86" spans="3:9" ht="15" customHeight="1">
      <c r="C86" s="698"/>
      <c r="D86" s="699"/>
      <c r="E86" s="699"/>
      <c r="F86" s="699"/>
      <c r="G86" s="699"/>
      <c r="H86" s="699"/>
      <c r="I86" s="699"/>
    </row>
    <row r="87" spans="3:9" ht="15" customHeight="1">
      <c r="C87" s="701"/>
      <c r="D87" s="1679" t="s">
        <v>647</v>
      </c>
      <c r="E87" s="701"/>
      <c r="F87" s="701"/>
      <c r="G87" s="1680"/>
      <c r="H87" s="1681"/>
      <c r="I87" s="701"/>
    </row>
    <row r="88" spans="3:9" ht="15" customHeight="1">
      <c r="C88" s="701"/>
      <c r="D88" s="1654"/>
      <c r="E88" s="1654"/>
      <c r="F88" s="1656"/>
      <c r="G88" s="1655"/>
      <c r="H88" s="1656" t="s">
        <v>649</v>
      </c>
      <c r="I88" s="701"/>
    </row>
    <row r="89" spans="3:9" ht="15" customHeight="1">
      <c r="C89" s="701"/>
      <c r="D89" s="1684" t="s">
        <v>694</v>
      </c>
      <c r="E89" s="701"/>
      <c r="F89" s="701"/>
      <c r="G89" s="1680"/>
      <c r="H89" s="1827">
        <v>0.77100000000000002</v>
      </c>
      <c r="I89" s="701"/>
    </row>
    <row r="90" spans="3:9" ht="15" customHeight="1">
      <c r="C90" s="701"/>
      <c r="D90" s="701" t="s">
        <v>695</v>
      </c>
      <c r="E90" s="701"/>
      <c r="F90" s="701"/>
      <c r="G90" s="1680"/>
      <c r="H90" s="1827">
        <v>1.2</v>
      </c>
      <c r="I90" s="701"/>
    </row>
    <row r="91" spans="3:9" ht="15" customHeight="1">
      <c r="C91" s="701"/>
      <c r="D91" s="706" t="s">
        <v>696</v>
      </c>
      <c r="E91" s="706"/>
      <c r="F91" s="706"/>
      <c r="G91" s="706"/>
      <c r="H91" s="1692" t="s">
        <v>72</v>
      </c>
      <c r="I91" s="701"/>
    </row>
    <row r="92" spans="3:9" ht="15" customHeight="1">
      <c r="C92" s="701"/>
      <c r="D92" s="701"/>
      <c r="E92" s="701"/>
      <c r="F92" s="701"/>
      <c r="G92" s="701"/>
      <c r="H92" s="701"/>
      <c r="I92" s="701"/>
    </row>
  </sheetData>
  <sheetProtection algorithmName="SHA-512" hashValue="lzzaKcargmRXtZP9llCblSj649Roj18jZt7CNvYcRkM+DhL63chF79VhfgiY2SSFSarl4nrXxmhV+y0geX/1Pg==" saltValue="so99pVeYFFI8cZScQk+Xtg==" spinCount="100000" sheet="1" objects="1" scenarios="1"/>
  <pageMargins left="0.7" right="0.7" top="0.75" bottom="0.75" header="0.3" footer="0.3"/>
  <pageSetup paperSize="9" orientation="portrait" r:id="rId1"/>
  <customProperties>
    <customPr name="_pios_id" r:id="rId2"/>
  </customProperties>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4"/>
  <dimension ref="A1:O84"/>
  <sheetViews>
    <sheetView zoomScale="80" zoomScaleNormal="80" workbookViewId="0"/>
  </sheetViews>
  <sheetFormatPr baseColWidth="10" defaultColWidth="11.5703125" defaultRowHeight="15"/>
  <cols>
    <col min="1" max="1" width="20.7109375" style="678" customWidth="1"/>
    <col min="2" max="2" width="7.7109375" style="680" customWidth="1"/>
    <col min="3" max="3" width="5.7109375" style="680" customWidth="1"/>
    <col min="4" max="4" width="11.5703125" style="680"/>
    <col min="5" max="5" width="49" style="680" bestFit="1" customWidth="1"/>
    <col min="6" max="6" width="30.140625" style="680" bestFit="1" customWidth="1"/>
    <col min="7" max="7" width="12" style="680" bestFit="1" customWidth="1"/>
    <col min="8" max="8" width="14.85546875" style="680" bestFit="1" customWidth="1"/>
    <col min="9" max="9" width="5.7109375" style="680" customWidth="1"/>
    <col min="10" max="10" width="13.7109375" style="680" customWidth="1"/>
    <col min="11" max="11" width="5.7109375" style="680" customWidth="1"/>
    <col min="12" max="12" width="38.5703125" style="680" customWidth="1"/>
    <col min="13" max="17" width="14.5703125" style="680" bestFit="1" customWidth="1"/>
    <col min="18" max="21" width="11.7109375" style="680" bestFit="1" customWidth="1"/>
    <col min="22" max="22" width="12.85546875" style="680" bestFit="1" customWidth="1"/>
    <col min="23" max="23" width="11.7109375" style="680" bestFit="1" customWidth="1"/>
    <col min="24" max="24" width="5.7109375" style="680" customWidth="1"/>
    <col min="25" max="16384" width="11.5703125" style="680"/>
  </cols>
  <sheetData>
    <row r="1" spans="1:9" ht="15" customHeight="1"/>
    <row r="2" spans="1:9" ht="15" customHeight="1"/>
    <row r="3" spans="1:9" ht="15" customHeight="1"/>
    <row r="4" spans="1:9" ht="15" customHeight="1"/>
    <row r="5" spans="1:9" ht="15" customHeight="1">
      <c r="A5" s="1559"/>
      <c r="C5" s="891" t="s">
        <v>697</v>
      </c>
      <c r="D5" s="892"/>
      <c r="E5" s="892"/>
      <c r="F5" s="892"/>
      <c r="G5" s="892"/>
      <c r="H5" s="892"/>
      <c r="I5" s="892"/>
    </row>
    <row r="6" spans="1:9" ht="15" customHeight="1">
      <c r="C6" s="698"/>
      <c r="D6" s="699"/>
      <c r="E6" s="699"/>
      <c r="F6" s="699"/>
      <c r="G6" s="699"/>
      <c r="H6" s="699"/>
      <c r="I6" s="699"/>
    </row>
    <row r="7" spans="1:9" ht="15" customHeight="1">
      <c r="C7" s="1653"/>
      <c r="D7" s="1654" t="s">
        <v>698</v>
      </c>
      <c r="E7" s="1654" t="s">
        <v>699</v>
      </c>
      <c r="F7" s="1654"/>
      <c r="G7" s="1655" t="s">
        <v>700</v>
      </c>
      <c r="H7" s="1656" t="s">
        <v>9</v>
      </c>
      <c r="I7" s="1653"/>
    </row>
    <row r="8" spans="1:9" ht="15" customHeight="1">
      <c r="C8" s="1653"/>
      <c r="D8" s="1653" t="s">
        <v>12</v>
      </c>
      <c r="E8" s="701" t="s">
        <v>701</v>
      </c>
      <c r="F8" s="1653"/>
      <c r="G8" s="1657">
        <v>1000000000000000</v>
      </c>
      <c r="H8" s="1658">
        <v>0.27777777777777779</v>
      </c>
      <c r="I8" s="1653"/>
    </row>
    <row r="9" spans="1:9" ht="15" customHeight="1">
      <c r="C9" s="1653"/>
      <c r="D9" s="1653" t="s">
        <v>11</v>
      </c>
      <c r="E9" s="701" t="s">
        <v>702</v>
      </c>
      <c r="F9" s="1653"/>
      <c r="G9" s="1657">
        <v>1000000000000</v>
      </c>
      <c r="H9" s="1658">
        <v>2.7777777777777778E-4</v>
      </c>
      <c r="I9" s="1653"/>
    </row>
    <row r="10" spans="1:9" ht="15" customHeight="1">
      <c r="C10" s="1653"/>
      <c r="D10" s="1653" t="s">
        <v>13</v>
      </c>
      <c r="E10" s="701" t="s">
        <v>703</v>
      </c>
      <c r="F10" s="1653"/>
      <c r="G10" s="1657">
        <v>1000000000</v>
      </c>
      <c r="H10" s="1658">
        <v>2.7777777777777776E-7</v>
      </c>
      <c r="I10" s="1653"/>
    </row>
    <row r="11" spans="1:9" ht="15" customHeight="1">
      <c r="C11" s="1653"/>
      <c r="D11" s="1653" t="s">
        <v>704</v>
      </c>
      <c r="E11" s="701" t="s">
        <v>705</v>
      </c>
      <c r="F11" s="1653"/>
      <c r="G11" s="1657">
        <v>1</v>
      </c>
      <c r="H11" s="1658">
        <v>2.777777777777778E-16</v>
      </c>
      <c r="I11" s="1653"/>
    </row>
    <row r="12" spans="1:9" ht="15" customHeight="1">
      <c r="C12" s="1653"/>
      <c r="D12" s="1653" t="s">
        <v>706</v>
      </c>
      <c r="E12" s="701" t="s">
        <v>707</v>
      </c>
      <c r="F12" s="1653"/>
      <c r="G12" s="1657">
        <v>1000000</v>
      </c>
      <c r="H12" s="1658">
        <v>2.7777777777777777E-10</v>
      </c>
      <c r="I12" s="1653"/>
    </row>
    <row r="13" spans="1:9" ht="15" customHeight="1">
      <c r="C13" s="1653"/>
      <c r="D13" s="1653" t="s">
        <v>708</v>
      </c>
      <c r="E13" s="701" t="s">
        <v>709</v>
      </c>
      <c r="F13" s="1653"/>
      <c r="G13" s="1657">
        <v>3600000</v>
      </c>
      <c r="H13" s="1658">
        <v>1.0000000000000001E-9</v>
      </c>
      <c r="I13" s="1653"/>
    </row>
    <row r="14" spans="1:9" ht="15" customHeight="1">
      <c r="C14" s="1653"/>
      <c r="D14" s="1653" t="s">
        <v>9</v>
      </c>
      <c r="E14" s="701" t="s">
        <v>710</v>
      </c>
      <c r="F14" s="1653"/>
      <c r="G14" s="1657">
        <v>3600000000000000</v>
      </c>
      <c r="H14" s="1658">
        <v>1</v>
      </c>
      <c r="I14" s="1653"/>
    </row>
    <row r="15" spans="1:9" ht="15" customHeight="1">
      <c r="C15" s="1653"/>
      <c r="D15" s="1653" t="s">
        <v>711</v>
      </c>
      <c r="E15" s="701" t="s">
        <v>712</v>
      </c>
      <c r="F15" s="1653"/>
      <c r="G15" s="1657">
        <v>3600000000000</v>
      </c>
      <c r="H15" s="1658">
        <v>1E-3</v>
      </c>
      <c r="I15" s="1653"/>
    </row>
    <row r="16" spans="1:9" ht="15" customHeight="1">
      <c r="C16" s="1653"/>
      <c r="D16" s="1653" t="s">
        <v>10</v>
      </c>
      <c r="E16" s="701" t="s">
        <v>713</v>
      </c>
      <c r="F16" s="1653"/>
      <c r="G16" s="1657">
        <v>3600000000</v>
      </c>
      <c r="H16" s="1658">
        <v>9.9999999999999995E-7</v>
      </c>
      <c r="I16" s="1653"/>
    </row>
    <row r="17" spans="3:9" ht="15" customHeight="1">
      <c r="C17" s="1653"/>
      <c r="D17" s="1653" t="s">
        <v>714</v>
      </c>
      <c r="E17" s="701" t="s">
        <v>715</v>
      </c>
      <c r="F17" s="1653"/>
      <c r="G17" s="1657">
        <v>5861520000</v>
      </c>
      <c r="H17" s="1658">
        <v>1.6281999999999999E-6</v>
      </c>
      <c r="I17" s="1653"/>
    </row>
    <row r="18" spans="3:9" ht="15" customHeight="1">
      <c r="C18" s="1653"/>
      <c r="D18" s="1653" t="s">
        <v>716</v>
      </c>
      <c r="E18" s="701" t="s">
        <v>717</v>
      </c>
      <c r="F18" s="1653"/>
      <c r="G18" s="1657">
        <v>5861520000000000</v>
      </c>
      <c r="H18" s="1663">
        <v>1.6282000000000001</v>
      </c>
      <c r="I18" s="1653"/>
    </row>
    <row r="19" spans="3:9" ht="15" customHeight="1">
      <c r="C19" s="1653"/>
      <c r="D19" s="1653" t="s">
        <v>718</v>
      </c>
      <c r="E19" s="701" t="s">
        <v>719</v>
      </c>
      <c r="F19" s="1653"/>
      <c r="G19" s="1657">
        <v>41868000000</v>
      </c>
      <c r="H19" s="1658">
        <v>1.163E-5</v>
      </c>
      <c r="I19" s="1653"/>
    </row>
    <row r="20" spans="3:9" ht="15" customHeight="1">
      <c r="C20" s="1653"/>
      <c r="D20" s="1653" t="s">
        <v>720</v>
      </c>
      <c r="E20" s="701" t="s">
        <v>721</v>
      </c>
      <c r="F20" s="1653"/>
      <c r="G20" s="1657">
        <v>41868000000000</v>
      </c>
      <c r="H20" s="1658">
        <v>1.163E-2</v>
      </c>
      <c r="I20" s="1653"/>
    </row>
    <row r="21" spans="3:9" ht="15" customHeight="1">
      <c r="C21" s="1653"/>
      <c r="D21" s="1653" t="s">
        <v>722</v>
      </c>
      <c r="E21" s="701" t="s">
        <v>723</v>
      </c>
      <c r="F21" s="1653"/>
      <c r="G21" s="1657">
        <v>4.1868E+16</v>
      </c>
      <c r="H21" s="1658">
        <v>11.63</v>
      </c>
      <c r="I21" s="1653"/>
    </row>
    <row r="22" spans="3:9" ht="15" customHeight="1">
      <c r="C22" s="1653"/>
      <c r="D22" s="1653" t="s">
        <v>724</v>
      </c>
      <c r="E22" s="701" t="s">
        <v>725</v>
      </c>
      <c r="F22" s="1653"/>
      <c r="G22" s="1657">
        <v>4.1840000000000002</v>
      </c>
      <c r="H22" s="1658">
        <v>1.1622222222222223E-15</v>
      </c>
      <c r="I22" s="1653"/>
    </row>
    <row r="23" spans="3:9" ht="15" customHeight="1">
      <c r="C23" s="1653"/>
      <c r="D23" s="1659" t="s">
        <v>726</v>
      </c>
      <c r="E23" s="706" t="s">
        <v>727</v>
      </c>
      <c r="F23" s="1659"/>
      <c r="G23" s="1660">
        <v>2.5252525252525255E-17</v>
      </c>
      <c r="H23" s="1661">
        <v>9.0909090909090912E-2</v>
      </c>
      <c r="I23" s="1653"/>
    </row>
    <row r="24" spans="3:9" ht="15" customHeight="1">
      <c r="C24" s="1653"/>
      <c r="D24" s="1653"/>
      <c r="E24" s="701"/>
      <c r="F24" s="1653"/>
      <c r="G24" s="1657"/>
      <c r="H24" s="1658"/>
      <c r="I24" s="1653"/>
    </row>
    <row r="25" spans="3:9" ht="15" customHeight="1">
      <c r="C25" s="1653"/>
      <c r="D25" s="1654" t="s">
        <v>728</v>
      </c>
      <c r="E25" s="1656" t="s">
        <v>729</v>
      </c>
      <c r="F25" s="1654" t="s">
        <v>730</v>
      </c>
      <c r="G25" s="1654"/>
      <c r="H25" s="1658"/>
      <c r="I25" s="1653"/>
    </row>
    <row r="26" spans="3:9" ht="15" customHeight="1">
      <c r="C26" s="1653"/>
      <c r="D26" s="1684" t="s">
        <v>731</v>
      </c>
      <c r="E26" s="1690">
        <v>35.31467</v>
      </c>
      <c r="F26" s="1684" t="s">
        <v>732</v>
      </c>
      <c r="G26" s="1689"/>
      <c r="H26" s="1658"/>
      <c r="I26" s="1653"/>
    </row>
    <row r="27" spans="3:9" ht="15" customHeight="1">
      <c r="C27" s="1653"/>
      <c r="D27" s="701" t="s">
        <v>733</v>
      </c>
      <c r="E27" s="1691">
        <v>28316.843963146195</v>
      </c>
      <c r="F27" s="701" t="s">
        <v>734</v>
      </c>
      <c r="G27" s="1657"/>
      <c r="H27" s="1658"/>
      <c r="I27" s="1653"/>
    </row>
    <row r="28" spans="3:9" ht="15" customHeight="1">
      <c r="C28" s="1653"/>
      <c r="D28" s="701" t="s">
        <v>735</v>
      </c>
      <c r="E28" s="1691">
        <v>3.7854117999999999</v>
      </c>
      <c r="F28" s="701" t="s">
        <v>736</v>
      </c>
      <c r="G28" s="1657"/>
      <c r="H28" s="1658"/>
      <c r="I28" s="1653"/>
    </row>
    <row r="29" spans="3:9" ht="15" customHeight="1">
      <c r="C29" s="1653"/>
      <c r="D29" s="701" t="s">
        <v>737</v>
      </c>
      <c r="E29" s="1691">
        <v>42</v>
      </c>
      <c r="F29" s="701" t="s">
        <v>690</v>
      </c>
      <c r="G29" s="1657"/>
      <c r="H29" s="1658"/>
      <c r="I29" s="1653"/>
    </row>
    <row r="30" spans="3:9" ht="15" customHeight="1">
      <c r="C30" s="1653"/>
      <c r="D30" s="701" t="s">
        <v>731</v>
      </c>
      <c r="E30" s="1691">
        <v>6.2898107438466297</v>
      </c>
      <c r="F30" s="701" t="s">
        <v>738</v>
      </c>
      <c r="G30" s="1657"/>
      <c r="H30" s="1658"/>
      <c r="I30" s="1653"/>
    </row>
    <row r="31" spans="3:9" ht="15" customHeight="1">
      <c r="C31" s="1653"/>
      <c r="D31" s="701" t="s">
        <v>731</v>
      </c>
      <c r="E31" s="1691">
        <v>1000</v>
      </c>
      <c r="F31" s="701" t="s">
        <v>736</v>
      </c>
      <c r="G31" s="1657"/>
      <c r="H31" s="1658"/>
      <c r="I31" s="1653"/>
    </row>
    <row r="32" spans="3:9" ht="15" customHeight="1">
      <c r="C32" s="1653"/>
      <c r="D32" s="701" t="s">
        <v>739</v>
      </c>
      <c r="E32" s="1691">
        <v>1000</v>
      </c>
      <c r="F32" s="701" t="s">
        <v>738</v>
      </c>
      <c r="G32" s="1657"/>
      <c r="H32" s="1658"/>
      <c r="I32" s="1653"/>
    </row>
    <row r="33" spans="3:9" ht="15" customHeight="1">
      <c r="C33" s="1653"/>
      <c r="D33" s="701" t="s">
        <v>740</v>
      </c>
      <c r="E33" s="1691">
        <v>6.2898107438466298E-6</v>
      </c>
      <c r="F33" s="701" t="s">
        <v>741</v>
      </c>
      <c r="G33" s="1657"/>
      <c r="H33" s="1658"/>
      <c r="I33" s="1653"/>
    </row>
    <row r="34" spans="3:9" ht="15" customHeight="1">
      <c r="C34" s="1653"/>
      <c r="D34" s="701" t="s">
        <v>742</v>
      </c>
      <c r="E34" s="1691">
        <v>1055.056</v>
      </c>
      <c r="F34" s="701" t="s">
        <v>743</v>
      </c>
      <c r="G34" s="1657"/>
      <c r="H34" s="1658"/>
      <c r="I34" s="1653"/>
    </row>
    <row r="35" spans="3:9" ht="15" customHeight="1">
      <c r="C35" s="1653"/>
      <c r="D35" s="701" t="s">
        <v>744</v>
      </c>
      <c r="E35" s="1691">
        <v>3600</v>
      </c>
      <c r="F35" s="701" t="s">
        <v>743</v>
      </c>
      <c r="G35" s="1657"/>
      <c r="H35" s="1658"/>
      <c r="I35" s="1653"/>
    </row>
    <row r="36" spans="3:9" ht="15" customHeight="1">
      <c r="C36" s="1653"/>
      <c r="D36" s="701" t="s">
        <v>731</v>
      </c>
      <c r="E36" s="1691">
        <v>264.17205124155845</v>
      </c>
      <c r="F36" s="701" t="s">
        <v>690</v>
      </c>
      <c r="G36" s="1662"/>
      <c r="H36" s="1663"/>
      <c r="I36" s="1653"/>
    </row>
    <row r="37" spans="3:9" ht="15" customHeight="1">
      <c r="C37" s="701"/>
      <c r="D37" s="701" t="s">
        <v>745</v>
      </c>
      <c r="E37" s="2781">
        <v>2.9307107017222E-10</v>
      </c>
      <c r="F37" s="701" t="s">
        <v>9</v>
      </c>
      <c r="G37" s="1662"/>
      <c r="H37" s="1663"/>
      <c r="I37" s="701"/>
    </row>
    <row r="38" spans="3:9" ht="15" customHeight="1">
      <c r="C38" s="701"/>
      <c r="D38" s="706" t="s">
        <v>746</v>
      </c>
      <c r="E38" s="1692">
        <v>1028</v>
      </c>
      <c r="F38" s="706" t="s">
        <v>747</v>
      </c>
      <c r="G38" s="1664"/>
      <c r="H38" s="1663"/>
      <c r="I38" s="701"/>
    </row>
    <row r="39" spans="3:9" ht="15" customHeight="1">
      <c r="C39" s="1653"/>
      <c r="D39" s="2030"/>
      <c r="E39" s="701"/>
      <c r="F39" s="1653"/>
      <c r="G39" s="1657"/>
      <c r="H39" s="1658"/>
      <c r="I39" s="1653"/>
    </row>
    <row r="40" spans="3:9" ht="15" customHeight="1">
      <c r="C40" s="1653"/>
      <c r="D40" s="1653"/>
      <c r="E40" s="701"/>
      <c r="F40" s="1653"/>
      <c r="G40" s="1657"/>
      <c r="H40" s="1658"/>
      <c r="I40" s="1653"/>
    </row>
    <row r="41" spans="3:9" ht="15" customHeight="1"/>
    <row r="42" spans="3:9" ht="15" customHeight="1">
      <c r="C42" s="891" t="s">
        <v>748</v>
      </c>
      <c r="D42" s="892"/>
      <c r="E42" s="892"/>
      <c r="F42" s="892"/>
      <c r="G42" s="892"/>
      <c r="H42" s="892"/>
      <c r="I42" s="892"/>
    </row>
    <row r="43" spans="3:9" ht="15" customHeight="1">
      <c r="C43" s="701"/>
      <c r="D43" s="701"/>
      <c r="E43" s="701"/>
      <c r="F43" s="701"/>
      <c r="G43" s="701"/>
      <c r="H43" s="701"/>
      <c r="I43" s="701"/>
    </row>
    <row r="44" spans="3:9" ht="15" customHeight="1">
      <c r="C44" s="701"/>
      <c r="D44" s="1654" t="s">
        <v>698</v>
      </c>
      <c r="E44" s="1654" t="s">
        <v>699</v>
      </c>
      <c r="F44" s="1654"/>
      <c r="G44" s="1655" t="s">
        <v>749</v>
      </c>
      <c r="H44" s="1656" t="s">
        <v>750</v>
      </c>
      <c r="I44" s="701"/>
    </row>
    <row r="45" spans="3:9" ht="15" customHeight="1">
      <c r="C45" s="701"/>
      <c r="D45" s="701" t="s">
        <v>750</v>
      </c>
      <c r="E45" s="701" t="s">
        <v>751</v>
      </c>
      <c r="F45" s="701"/>
      <c r="G45" s="1662">
        <v>1000000000</v>
      </c>
      <c r="H45" s="1663">
        <v>1</v>
      </c>
      <c r="I45" s="701"/>
    </row>
    <row r="46" spans="3:9" ht="15" customHeight="1">
      <c r="C46" s="701"/>
      <c r="D46" s="701" t="s">
        <v>752</v>
      </c>
      <c r="E46" s="701" t="s">
        <v>753</v>
      </c>
      <c r="F46" s="701"/>
      <c r="G46" s="1662">
        <v>1000000</v>
      </c>
      <c r="H46" s="1663">
        <v>1E-3</v>
      </c>
      <c r="I46" s="701"/>
    </row>
    <row r="47" spans="3:9" ht="15" customHeight="1">
      <c r="C47" s="701"/>
      <c r="D47" s="701" t="s">
        <v>754</v>
      </c>
      <c r="E47" s="701" t="s">
        <v>755</v>
      </c>
      <c r="F47" s="701"/>
      <c r="G47" s="1662">
        <v>1000</v>
      </c>
      <c r="H47" s="1663">
        <v>9.9999999999999995E-7</v>
      </c>
      <c r="I47" s="701"/>
    </row>
    <row r="48" spans="3:9" ht="15" customHeight="1">
      <c r="C48" s="701"/>
      <c r="D48" s="701" t="s">
        <v>756</v>
      </c>
      <c r="E48" s="701" t="s">
        <v>757</v>
      </c>
      <c r="F48" s="701"/>
      <c r="G48" s="1662">
        <v>1</v>
      </c>
      <c r="H48" s="1663">
        <v>1.0000000000000001E-9</v>
      </c>
      <c r="I48" s="701"/>
    </row>
    <row r="49" spans="1:15" ht="15" customHeight="1">
      <c r="C49" s="701"/>
      <c r="D49" s="701" t="s">
        <v>758</v>
      </c>
      <c r="E49" s="701" t="s">
        <v>759</v>
      </c>
      <c r="F49" s="701"/>
      <c r="G49" s="1662">
        <v>335648148.14814812</v>
      </c>
      <c r="H49" s="1663">
        <v>0.33564814814814814</v>
      </c>
      <c r="I49" s="701"/>
    </row>
    <row r="50" spans="1:15" ht="15" customHeight="1">
      <c r="C50" s="701"/>
      <c r="D50" s="706" t="s">
        <v>760</v>
      </c>
      <c r="E50" s="706" t="s">
        <v>761</v>
      </c>
      <c r="F50" s="706"/>
      <c r="G50" s="1664">
        <v>1326716860.597764</v>
      </c>
      <c r="H50" s="1665">
        <v>1.3267168605977639</v>
      </c>
      <c r="I50" s="701"/>
    </row>
    <row r="51" spans="1:15" ht="15" customHeight="1">
      <c r="C51" s="701"/>
      <c r="D51" s="701"/>
      <c r="E51" s="701"/>
      <c r="F51" s="701"/>
      <c r="G51" s="701"/>
      <c r="H51" s="701"/>
      <c r="I51" s="701"/>
    </row>
    <row r="52" spans="1:15" ht="15" customHeight="1"/>
    <row r="53" spans="1:15" ht="15" customHeight="1">
      <c r="C53" s="891" t="s">
        <v>762</v>
      </c>
      <c r="D53" s="892"/>
      <c r="E53" s="892"/>
      <c r="F53" s="892"/>
      <c r="G53" s="892"/>
      <c r="H53" s="892"/>
      <c r="I53" s="892"/>
    </row>
    <row r="54" spans="1:15" ht="15" customHeight="1">
      <c r="C54" s="701"/>
      <c r="D54" s="701"/>
      <c r="E54" s="701"/>
      <c r="F54" s="701"/>
      <c r="G54" s="701"/>
      <c r="H54" s="701"/>
      <c r="I54" s="701"/>
    </row>
    <row r="55" spans="1:15" s="695" customFormat="1" ht="15" customHeight="1">
      <c r="A55" s="678"/>
      <c r="B55" s="680"/>
      <c r="C55" s="701"/>
      <c r="D55" s="1654" t="s">
        <v>698</v>
      </c>
      <c r="E55" s="1654" t="s">
        <v>699</v>
      </c>
      <c r="F55" s="1654"/>
      <c r="G55" s="1655"/>
      <c r="H55" s="1656" t="s">
        <v>763</v>
      </c>
      <c r="I55" s="701"/>
      <c r="J55" s="680"/>
      <c r="K55" s="680"/>
      <c r="O55" s="680"/>
    </row>
    <row r="56" spans="1:15" s="695" customFormat="1" ht="15" customHeight="1">
      <c r="A56" s="678"/>
      <c r="B56" s="680"/>
      <c r="C56" s="701"/>
      <c r="D56" s="701" t="s">
        <v>764</v>
      </c>
      <c r="E56" s="701" t="s">
        <v>765</v>
      </c>
      <c r="F56" s="701"/>
      <c r="G56" s="1662"/>
      <c r="H56" s="1666">
        <v>31557600</v>
      </c>
      <c r="I56" s="701"/>
      <c r="J56" s="680"/>
      <c r="K56" s="680"/>
      <c r="O56" s="680"/>
    </row>
    <row r="57" spans="1:15" s="695" customFormat="1" ht="15" customHeight="1">
      <c r="A57" s="678"/>
      <c r="B57" s="680"/>
      <c r="C57" s="701"/>
      <c r="D57" s="701" t="s">
        <v>766</v>
      </c>
      <c r="E57" s="701" t="s">
        <v>767</v>
      </c>
      <c r="F57" s="701"/>
      <c r="G57" s="1662"/>
      <c r="H57" s="1667">
        <v>86400</v>
      </c>
      <c r="I57" s="701"/>
      <c r="J57" s="680"/>
      <c r="K57" s="680"/>
      <c r="O57" s="680"/>
    </row>
    <row r="58" spans="1:15" s="695" customFormat="1" ht="15" customHeight="1">
      <c r="A58" s="678"/>
      <c r="B58" s="680"/>
      <c r="C58" s="701"/>
      <c r="D58" s="701" t="s">
        <v>768</v>
      </c>
      <c r="E58" s="701" t="s">
        <v>769</v>
      </c>
      <c r="F58" s="701"/>
      <c r="G58" s="1662"/>
      <c r="H58" s="1666">
        <v>3600</v>
      </c>
      <c r="I58" s="701"/>
      <c r="J58" s="680"/>
      <c r="K58" s="680"/>
      <c r="O58" s="680"/>
    </row>
    <row r="59" spans="1:15" s="695" customFormat="1" ht="15" customHeight="1">
      <c r="A59" s="678"/>
      <c r="B59" s="680"/>
      <c r="C59" s="701"/>
      <c r="D59" s="706" t="s">
        <v>770</v>
      </c>
      <c r="E59" s="706" t="s">
        <v>771</v>
      </c>
      <c r="F59" s="706"/>
      <c r="G59" s="1664"/>
      <c r="H59" s="1668">
        <v>60</v>
      </c>
      <c r="I59" s="701"/>
      <c r="J59" s="680"/>
      <c r="K59" s="680"/>
      <c r="O59" s="680"/>
    </row>
    <row r="60" spans="1:15" s="695" customFormat="1" ht="15" customHeight="1">
      <c r="A60" s="678"/>
      <c r="B60" s="680"/>
      <c r="C60" s="701"/>
      <c r="D60" s="701"/>
      <c r="E60" s="701"/>
      <c r="F60" s="701"/>
      <c r="G60" s="701"/>
      <c r="H60" s="701"/>
      <c r="I60" s="701"/>
      <c r="J60" s="680"/>
      <c r="K60" s="680"/>
      <c r="O60" s="680"/>
    </row>
    <row r="61" spans="1:15" s="695" customFormat="1" ht="15" customHeight="1">
      <c r="A61" s="678"/>
      <c r="B61" s="680"/>
      <c r="C61" s="680"/>
      <c r="D61" s="680"/>
      <c r="E61" s="680"/>
      <c r="F61" s="680"/>
      <c r="G61" s="680"/>
      <c r="H61" s="680"/>
      <c r="I61" s="680"/>
      <c r="J61" s="680"/>
      <c r="K61" s="680"/>
      <c r="O61" s="680"/>
    </row>
    <row r="62" spans="1:15" ht="15" customHeight="1">
      <c r="C62" s="891" t="s">
        <v>772</v>
      </c>
      <c r="D62" s="892"/>
      <c r="E62" s="892"/>
      <c r="F62" s="892"/>
      <c r="G62" s="892"/>
      <c r="H62" s="892"/>
      <c r="I62" s="892"/>
    </row>
    <row r="63" spans="1:15" ht="15" customHeight="1">
      <c r="C63" s="701"/>
      <c r="D63" s="701"/>
      <c r="E63" s="701"/>
      <c r="F63" s="701"/>
      <c r="G63" s="701"/>
      <c r="H63" s="701"/>
      <c r="I63" s="701"/>
    </row>
    <row r="64" spans="1:15" ht="15" customHeight="1">
      <c r="C64" s="701"/>
      <c r="D64" s="1654" t="s">
        <v>698</v>
      </c>
      <c r="E64" s="1654" t="s">
        <v>699</v>
      </c>
      <c r="F64" s="1654"/>
      <c r="G64" s="1655" t="s">
        <v>773</v>
      </c>
      <c r="H64" s="1656" t="s">
        <v>16</v>
      </c>
      <c r="I64" s="701"/>
    </row>
    <row r="65" spans="3:9" ht="15" customHeight="1">
      <c r="C65" s="701"/>
      <c r="D65" s="701" t="s">
        <v>16</v>
      </c>
      <c r="E65" s="701" t="s">
        <v>774</v>
      </c>
      <c r="F65" s="701"/>
      <c r="G65" s="1662">
        <v>10000</v>
      </c>
      <c r="H65" s="1663">
        <v>1</v>
      </c>
      <c r="I65" s="701"/>
    </row>
    <row r="66" spans="3:9" ht="15" customHeight="1">
      <c r="C66" s="701"/>
      <c r="D66" s="701" t="s">
        <v>15</v>
      </c>
      <c r="E66" s="701" t="s">
        <v>775</v>
      </c>
      <c r="F66" s="701"/>
      <c r="G66" s="1662">
        <v>10000000000</v>
      </c>
      <c r="H66" s="1663">
        <v>1000000</v>
      </c>
      <c r="I66" s="701"/>
    </row>
    <row r="67" spans="3:9" ht="15" customHeight="1">
      <c r="C67" s="701"/>
      <c r="D67" s="701" t="s">
        <v>776</v>
      </c>
      <c r="E67" s="701" t="s">
        <v>777</v>
      </c>
      <c r="F67" s="701"/>
      <c r="G67" s="1662">
        <v>1000000</v>
      </c>
      <c r="H67" s="1663">
        <v>100</v>
      </c>
      <c r="I67" s="701"/>
    </row>
    <row r="68" spans="3:9" ht="15" customHeight="1">
      <c r="C68" s="701"/>
      <c r="D68" s="706" t="s">
        <v>778</v>
      </c>
      <c r="E68" s="706" t="s">
        <v>779</v>
      </c>
      <c r="F68" s="706"/>
      <c r="G68" s="1664">
        <v>1</v>
      </c>
      <c r="H68" s="1665">
        <v>1E-4</v>
      </c>
      <c r="I68" s="701"/>
    </row>
    <row r="69" spans="3:9" ht="15" customHeight="1">
      <c r="C69" s="701"/>
      <c r="D69" s="701"/>
      <c r="E69" s="701"/>
      <c r="F69" s="701"/>
      <c r="G69" s="701"/>
      <c r="H69" s="701"/>
      <c r="I69" s="701"/>
    </row>
    <row r="70" spans="3:9" ht="15" customHeight="1"/>
    <row r="71" spans="3:9" ht="15" customHeight="1"/>
    <row r="72" spans="3:9" ht="15" customHeight="1"/>
    <row r="73" spans="3:9" ht="15" customHeight="1"/>
    <row r="74" spans="3:9" ht="15" customHeight="1"/>
    <row r="75" spans="3:9" ht="15" customHeight="1"/>
    <row r="76" spans="3:9" ht="15" customHeight="1"/>
    <row r="77" spans="3:9" ht="15" customHeight="1"/>
    <row r="78" spans="3:9" ht="15" customHeight="1"/>
    <row r="79" spans="3:9" ht="15" customHeight="1"/>
    <row r="80" spans="3:9" ht="15" customHeight="1"/>
    <row r="81" ht="15" customHeight="1"/>
    <row r="82" ht="15" customHeight="1"/>
    <row r="83" ht="15" customHeight="1"/>
    <row r="84" ht="15" customHeight="1"/>
  </sheetData>
  <sheetProtection algorithmName="SHA-512" hashValue="gIeyKpDZgiW7KW9EDaUfHGE4m60QiSGBwVUi8UzFNTrLO9B0muvB3v9WfWcw3O7jPpyJxbONr5E93CF2K3lLlg==" saltValue="BkyqxlxKr7ZchXi+Z0EWBQ==" spinCount="100000" sheet="1" objects="1" scenarios="1"/>
  <pageMargins left="0.7" right="0.7" top="0.75" bottom="0.75" header="0.3" footer="0.3"/>
  <pageSetup paperSize="9" orientation="portrait" r:id="rId1"/>
  <customProperties>
    <customPr name="_pios_id" r:id="rId2"/>
  </customProperties>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7BA07-AFC3-4635-ADAB-96B2012B8A69}">
  <sheetPr codeName="Hoja6"/>
  <dimension ref="A1:Q89"/>
  <sheetViews>
    <sheetView showGridLines="0" zoomScale="80" zoomScaleNormal="80" workbookViewId="0">
      <selection activeCell="P15" sqref="P15"/>
    </sheetView>
  </sheetViews>
  <sheetFormatPr baseColWidth="10" defaultColWidth="11.42578125" defaultRowHeight="15" customHeight="1"/>
  <cols>
    <col min="1" max="1" width="20.7109375" style="678" customWidth="1"/>
    <col min="2" max="2" width="7.7109375" style="680" customWidth="1"/>
    <col min="3" max="3" width="7.140625" style="679" customWidth="1"/>
    <col min="4" max="4" width="30.28515625" style="679" customWidth="1"/>
    <col min="5" max="5" width="14.140625" style="679" bestFit="1" customWidth="1"/>
    <col min="6" max="6" width="15.140625" style="679" bestFit="1" customWidth="1"/>
    <col min="7" max="12" width="14.140625" style="679" bestFit="1" customWidth="1"/>
    <col min="13" max="16384" width="11.42578125" style="679"/>
  </cols>
  <sheetData>
    <row r="1" spans="1:13" s="680" customFormat="1" ht="15" customHeight="1">
      <c r="A1" s="678"/>
      <c r="K1" s="708"/>
      <c r="L1" s="692"/>
    </row>
    <row r="2" spans="1:13" s="680" customFormat="1" ht="15" customHeight="1">
      <c r="A2" s="678"/>
    </row>
    <row r="3" spans="1:13" ht="15" customHeight="1">
      <c r="C3" s="697"/>
      <c r="D3" s="697"/>
      <c r="E3" s="697"/>
      <c r="F3" s="697"/>
      <c r="G3" s="697"/>
      <c r="H3" s="697"/>
    </row>
    <row r="5" spans="1:13" ht="15" customHeight="1">
      <c r="A5" s="1559"/>
      <c r="C5" s="891" t="s">
        <v>780</v>
      </c>
      <c r="D5" s="892"/>
      <c r="E5" s="892"/>
      <c r="F5" s="892"/>
      <c r="G5" s="892"/>
      <c r="H5" s="892"/>
      <c r="I5" s="892"/>
      <c r="J5" s="892"/>
      <c r="K5" s="892"/>
      <c r="L5" s="892"/>
      <c r="M5" s="892"/>
    </row>
    <row r="6" spans="1:13" ht="15" customHeight="1">
      <c r="C6" s="698"/>
      <c r="D6" s="699"/>
      <c r="E6" s="699"/>
      <c r="F6" s="699"/>
      <c r="G6" s="699"/>
      <c r="H6" s="699"/>
      <c r="I6" s="699"/>
      <c r="J6" s="699"/>
      <c r="K6" s="699"/>
      <c r="L6" s="699"/>
      <c r="M6" s="699"/>
    </row>
    <row r="7" spans="1:13" ht="15" customHeight="1">
      <c r="C7" s="698"/>
      <c r="D7" s="2314" t="s">
        <v>781</v>
      </c>
      <c r="E7" s="2315"/>
      <c r="F7" s="2316"/>
      <c r="G7" s="2315"/>
      <c r="H7" s="2317"/>
      <c r="I7" s="2315"/>
      <c r="J7" s="2317"/>
      <c r="K7" s="2317"/>
      <c r="L7" s="2317"/>
      <c r="M7" s="699"/>
    </row>
    <row r="8" spans="1:13" ht="15" customHeight="1">
      <c r="C8" s="698"/>
      <c r="D8" s="700"/>
      <c r="E8" s="699"/>
      <c r="F8" s="699"/>
      <c r="G8" s="699"/>
      <c r="H8" s="699"/>
      <c r="I8" s="699"/>
      <c r="J8" s="699"/>
      <c r="K8" s="699"/>
      <c r="L8" s="699"/>
      <c r="M8" s="699"/>
    </row>
    <row r="9" spans="1:13" ht="15" customHeight="1">
      <c r="C9" s="701"/>
      <c r="D9" s="702" t="s">
        <v>765</v>
      </c>
      <c r="E9" s="709">
        <v>2018</v>
      </c>
      <c r="F9" s="709">
        <v>2020</v>
      </c>
      <c r="G9" s="709">
        <v>2025</v>
      </c>
      <c r="H9" s="709">
        <v>2030</v>
      </c>
      <c r="I9" s="709">
        <v>2035</v>
      </c>
      <c r="J9" s="709">
        <v>2040</v>
      </c>
      <c r="K9" s="709">
        <v>2045</v>
      </c>
      <c r="L9" s="709">
        <v>2050</v>
      </c>
      <c r="M9" s="701"/>
    </row>
    <row r="10" spans="1:13" ht="15" customHeight="1">
      <c r="C10" s="701"/>
      <c r="D10" s="703" t="s">
        <v>782</v>
      </c>
      <c r="E10" s="3839">
        <v>2919060</v>
      </c>
      <c r="F10" s="3839">
        <v>3242999</v>
      </c>
      <c r="G10" s="3839">
        <v>3760874</v>
      </c>
      <c r="H10" s="3839">
        <v>4126231</v>
      </c>
      <c r="I10" s="3839">
        <v>4404902</v>
      </c>
      <c r="J10" s="3839">
        <v>4659501</v>
      </c>
      <c r="K10" s="3839">
        <v>4886916</v>
      </c>
      <c r="L10" s="3839">
        <v>5089865</v>
      </c>
      <c r="M10" s="701"/>
    </row>
    <row r="11" spans="1:13" ht="15" customHeight="1">
      <c r="C11" s="701"/>
      <c r="D11" s="700" t="s">
        <v>783</v>
      </c>
      <c r="E11" s="3840">
        <v>977601</v>
      </c>
      <c r="F11" s="3840">
        <v>1111392</v>
      </c>
      <c r="G11" s="3840">
        <v>1391497</v>
      </c>
      <c r="H11" s="3840">
        <v>1645089</v>
      </c>
      <c r="I11" s="3840">
        <v>1869685</v>
      </c>
      <c r="J11" s="3840">
        <v>2088563</v>
      </c>
      <c r="K11" s="3840">
        <v>2308218</v>
      </c>
      <c r="L11" s="3840">
        <v>2529937</v>
      </c>
      <c r="M11" s="701"/>
    </row>
    <row r="12" spans="1:13" ht="15" customHeight="1">
      <c r="C12" s="701"/>
      <c r="D12" s="700" t="s">
        <v>784</v>
      </c>
      <c r="E12" s="3840">
        <v>697157</v>
      </c>
      <c r="F12" s="3840">
        <v>823570</v>
      </c>
      <c r="G12" s="3840">
        <v>1085167</v>
      </c>
      <c r="H12" s="3840">
        <v>1316167</v>
      </c>
      <c r="I12" s="3840">
        <v>1517768</v>
      </c>
      <c r="J12" s="3840">
        <v>1714253</v>
      </c>
      <c r="K12" s="3840">
        <v>1911432</v>
      </c>
      <c r="L12" s="3840">
        <v>2111359</v>
      </c>
      <c r="M12" s="701"/>
    </row>
    <row r="13" spans="1:13" ht="15" customHeight="1">
      <c r="C13" s="701"/>
      <c r="D13" s="700" t="s">
        <v>785</v>
      </c>
      <c r="E13" s="3840">
        <v>280444</v>
      </c>
      <c r="F13" s="3840">
        <v>287822</v>
      </c>
      <c r="G13" s="3840">
        <v>306330</v>
      </c>
      <c r="H13" s="3840">
        <v>328922</v>
      </c>
      <c r="I13" s="3840">
        <v>351917</v>
      </c>
      <c r="J13" s="3840">
        <v>374310</v>
      </c>
      <c r="K13" s="3840">
        <v>396786</v>
      </c>
      <c r="L13" s="3840">
        <v>418578</v>
      </c>
      <c r="M13" s="701"/>
    </row>
    <row r="14" spans="1:13" ht="15" customHeight="1">
      <c r="C14" s="701"/>
      <c r="D14" s="704" t="s">
        <v>786</v>
      </c>
      <c r="E14" s="3841">
        <v>0.23882928065884224</v>
      </c>
      <c r="F14" s="3841">
        <v>0.253953208126182</v>
      </c>
      <c r="G14" s="3841">
        <v>0.28854117420578301</v>
      </c>
      <c r="H14" s="3841">
        <v>0.31897559782765433</v>
      </c>
      <c r="I14" s="3841">
        <v>0.34456339777820255</v>
      </c>
      <c r="J14" s="3841">
        <v>0.36790484646317279</v>
      </c>
      <c r="K14" s="3841">
        <v>0.39113256704228189</v>
      </c>
      <c r="L14" s="3841">
        <v>0.41481630652286455</v>
      </c>
      <c r="M14" s="701"/>
    </row>
    <row r="15" spans="1:13" ht="15" customHeight="1">
      <c r="C15" s="701"/>
      <c r="D15" s="701"/>
      <c r="E15" s="1827"/>
      <c r="F15" s="1827"/>
      <c r="G15" s="1827"/>
      <c r="H15" s="1827"/>
      <c r="I15" s="1827"/>
      <c r="J15" s="1827"/>
      <c r="K15" s="1827"/>
      <c r="L15" s="1827"/>
      <c r="M15" s="701"/>
    </row>
    <row r="16" spans="1:13" ht="15" customHeight="1">
      <c r="C16" s="701"/>
      <c r="D16" s="701"/>
      <c r="E16" s="1827"/>
      <c r="F16" s="1827"/>
      <c r="G16" s="1827"/>
      <c r="H16" s="1827"/>
      <c r="I16" s="1827"/>
      <c r="J16" s="1827"/>
      <c r="K16" s="1827"/>
      <c r="L16" s="1827"/>
      <c r="M16" s="701"/>
    </row>
    <row r="17" spans="1:14" ht="15" customHeight="1">
      <c r="C17" s="698"/>
      <c r="D17" s="2314" t="s">
        <v>787</v>
      </c>
      <c r="E17" s="2315"/>
      <c r="F17" s="2316"/>
      <c r="G17" s="2315"/>
      <c r="H17" s="2317"/>
      <c r="I17" s="2315"/>
      <c r="J17" s="2317"/>
      <c r="K17" s="2317"/>
      <c r="L17" s="2317"/>
      <c r="M17" s="699"/>
    </row>
    <row r="18" spans="1:14" ht="15" customHeight="1">
      <c r="C18" s="698"/>
      <c r="D18" s="698"/>
      <c r="E18" s="698"/>
      <c r="F18" s="698"/>
      <c r="G18" s="698"/>
      <c r="H18" s="698"/>
      <c r="I18" s="698"/>
      <c r="J18" s="698"/>
      <c r="K18" s="698"/>
      <c r="L18" s="698"/>
      <c r="M18" s="698"/>
    </row>
    <row r="19" spans="1:14" ht="15" customHeight="1">
      <c r="C19" s="701"/>
      <c r="D19" s="700"/>
      <c r="E19" s="2318" t="s">
        <v>788</v>
      </c>
      <c r="F19" s="1827"/>
      <c r="G19" s="1827"/>
      <c r="H19" s="1827"/>
      <c r="I19" s="1827"/>
      <c r="J19" s="1827"/>
      <c r="K19" s="1827"/>
      <c r="L19" s="1827"/>
      <c r="M19" s="701"/>
    </row>
    <row r="20" spans="1:14" ht="15" customHeight="1">
      <c r="C20" s="1678"/>
      <c r="D20" s="702" t="s">
        <v>789</v>
      </c>
      <c r="E20" s="2319"/>
      <c r="F20" s="1827"/>
      <c r="G20" s="1827"/>
      <c r="H20" s="1827"/>
      <c r="I20" s="1827"/>
      <c r="J20" s="1827"/>
      <c r="K20" s="1827"/>
      <c r="L20" s="1827"/>
      <c r="M20" s="701"/>
    </row>
    <row r="21" spans="1:14" ht="15" customHeight="1">
      <c r="C21" s="1678"/>
      <c r="D21" s="703" t="s">
        <v>790</v>
      </c>
      <c r="E21" s="3842">
        <v>0.67527856456775315</v>
      </c>
      <c r="F21" s="1827"/>
      <c r="G21" s="1827"/>
      <c r="H21" s="1827"/>
      <c r="I21" s="1827"/>
      <c r="J21" s="1827"/>
      <c r="K21" s="1827"/>
      <c r="L21" s="1827"/>
      <c r="M21" s="701"/>
    </row>
    <row r="22" spans="1:14" s="680" customFormat="1" ht="15" customHeight="1">
      <c r="A22" s="678"/>
      <c r="C22" s="1678"/>
      <c r="D22" s="700" t="s">
        <v>791</v>
      </c>
      <c r="E22" s="3842">
        <v>0.2369437781498302</v>
      </c>
      <c r="F22" s="1827"/>
      <c r="G22" s="1827"/>
      <c r="H22" s="1827"/>
      <c r="I22" s="1827"/>
      <c r="J22" s="1827"/>
      <c r="K22" s="1827"/>
      <c r="L22" s="1827"/>
      <c r="M22" s="701"/>
      <c r="N22" s="679"/>
    </row>
    <row r="23" spans="1:14" s="680" customFormat="1" ht="15" customHeight="1">
      <c r="A23" s="678"/>
      <c r="C23" s="1678"/>
      <c r="D23" s="700" t="s">
        <v>792</v>
      </c>
      <c r="E23" s="3842">
        <v>4.0364115830487081E-2</v>
      </c>
      <c r="F23" s="1827"/>
      <c r="G23" s="1827"/>
      <c r="H23" s="1827"/>
      <c r="I23" s="1827"/>
      <c r="J23" s="1827"/>
      <c r="K23" s="1827"/>
      <c r="L23" s="1827"/>
      <c r="M23" s="701"/>
      <c r="N23" s="679"/>
    </row>
    <row r="24" spans="1:14" s="680" customFormat="1" ht="15" customHeight="1">
      <c r="A24" s="678"/>
      <c r="C24" s="1678"/>
      <c r="D24" s="704" t="s">
        <v>793</v>
      </c>
      <c r="E24" s="3841">
        <v>4.7800687601587968E-2</v>
      </c>
      <c r="F24" s="1827"/>
      <c r="G24" s="1827"/>
      <c r="H24" s="1827"/>
      <c r="I24" s="1827"/>
      <c r="J24" s="1827"/>
      <c r="K24" s="1827"/>
      <c r="L24" s="1827"/>
      <c r="M24" s="701"/>
      <c r="N24" s="679"/>
    </row>
    <row r="25" spans="1:14" s="680" customFormat="1" ht="15" customHeight="1">
      <c r="A25" s="678"/>
      <c r="C25" s="701"/>
      <c r="D25" s="701"/>
      <c r="E25" s="701"/>
      <c r="F25" s="701"/>
      <c r="G25" s="701"/>
      <c r="H25" s="701"/>
      <c r="I25" s="701"/>
      <c r="J25" s="701"/>
      <c r="K25" s="701"/>
      <c r="L25" s="701"/>
      <c r="M25" s="701"/>
      <c r="N25" s="679"/>
    </row>
    <row r="26" spans="1:14" s="680" customFormat="1" ht="15" customHeight="1">
      <c r="A26" s="678"/>
      <c r="C26" s="701"/>
      <c r="D26" s="701"/>
      <c r="E26" s="701"/>
      <c r="F26" s="701"/>
      <c r="G26" s="701"/>
      <c r="H26" s="701"/>
      <c r="I26" s="701"/>
      <c r="J26" s="701"/>
      <c r="K26" s="701"/>
      <c r="L26" s="701"/>
      <c r="M26" s="701"/>
      <c r="N26" s="679"/>
    </row>
    <row r="27" spans="1:14" ht="15" customHeight="1">
      <c r="C27" s="698"/>
      <c r="D27" s="2314" t="s">
        <v>794</v>
      </c>
      <c r="E27" s="2315"/>
      <c r="F27" s="2316"/>
      <c r="G27" s="2315"/>
      <c r="H27" s="2317"/>
      <c r="I27" s="2315"/>
      <c r="J27" s="2317"/>
      <c r="K27" s="2317"/>
      <c r="L27" s="2317"/>
      <c r="M27" s="701"/>
    </row>
    <row r="28" spans="1:14" ht="15" customHeight="1">
      <c r="C28" s="701"/>
      <c r="D28" s="701"/>
      <c r="E28" s="2321"/>
      <c r="F28" s="701"/>
      <c r="G28" s="701"/>
      <c r="H28" s="701"/>
      <c r="I28" s="701"/>
      <c r="J28" s="701"/>
      <c r="K28" s="701"/>
      <c r="L28" s="701"/>
      <c r="M28" s="701"/>
    </row>
    <row r="29" spans="1:14" ht="15" customHeight="1">
      <c r="C29" s="2322"/>
      <c r="D29" s="700"/>
      <c r="E29" s="2322"/>
      <c r="F29" s="2322"/>
      <c r="G29" s="2322"/>
      <c r="H29" s="2322"/>
      <c r="I29" s="2322"/>
      <c r="J29" s="2322"/>
      <c r="K29" s="2323"/>
      <c r="L29" s="2323" t="s">
        <v>788</v>
      </c>
      <c r="M29" s="701"/>
    </row>
    <row r="30" spans="1:14" ht="15" customHeight="1">
      <c r="C30" s="1678"/>
      <c r="D30" s="702" t="s">
        <v>789</v>
      </c>
      <c r="E30" s="709">
        <v>2018</v>
      </c>
      <c r="F30" s="709">
        <v>2020</v>
      </c>
      <c r="G30" s="709">
        <v>2025</v>
      </c>
      <c r="H30" s="709">
        <v>2030</v>
      </c>
      <c r="I30" s="709">
        <v>2035</v>
      </c>
      <c r="J30" s="709">
        <v>2040</v>
      </c>
      <c r="K30" s="709">
        <v>2045</v>
      </c>
      <c r="L30" s="709">
        <v>2050</v>
      </c>
      <c r="M30" s="701"/>
    </row>
    <row r="31" spans="1:14" ht="15" customHeight="1">
      <c r="C31" s="1678"/>
      <c r="D31" s="2324" t="s">
        <v>795</v>
      </c>
      <c r="E31" s="3730">
        <v>1.6829629629629639E-2</v>
      </c>
      <c r="F31" s="3730">
        <v>1.2E-2</v>
      </c>
      <c r="G31" s="3730">
        <v>1.4E-2</v>
      </c>
      <c r="H31" s="3730">
        <v>1.6E-2</v>
      </c>
      <c r="I31" s="3730">
        <v>1.7999999999999999E-2</v>
      </c>
      <c r="J31" s="3730">
        <v>1.7848681093034283E-2</v>
      </c>
      <c r="K31" s="3730">
        <v>1.5075608120401393E-2</v>
      </c>
      <c r="L31" s="3730">
        <v>1.5134797507788159E-2</v>
      </c>
      <c r="M31" s="701"/>
    </row>
    <row r="32" spans="1:14" ht="15" customHeight="1">
      <c r="C32" s="1678"/>
      <c r="D32" s="2324" t="s">
        <v>791</v>
      </c>
      <c r="E32" s="3730">
        <v>2.6666505985378019E-2</v>
      </c>
      <c r="F32" s="3730">
        <v>2.8394793926247299E-2</v>
      </c>
      <c r="G32" s="3730">
        <v>2.0709771511910578E-2</v>
      </c>
      <c r="H32" s="3730">
        <v>1.9180731364275633E-2</v>
      </c>
      <c r="I32" s="3730">
        <v>1.7882013927799568E-2</v>
      </c>
      <c r="J32" s="3730">
        <v>1.7848681093034283E-2</v>
      </c>
      <c r="K32" s="3730">
        <v>1.5075608120401393E-2</v>
      </c>
      <c r="L32" s="3730">
        <v>1.5134797507788201E-2</v>
      </c>
      <c r="M32" s="701"/>
    </row>
    <row r="33" spans="3:17" ht="15" customHeight="1">
      <c r="C33" s="1678"/>
      <c r="D33" s="2324" t="s">
        <v>792</v>
      </c>
      <c r="E33" s="3730">
        <v>2.6666505985378001E-2</v>
      </c>
      <c r="F33" s="3730">
        <v>2.8394793926247268E-2</v>
      </c>
      <c r="G33" s="3730">
        <v>2.0709771511910578E-2</v>
      </c>
      <c r="H33" s="3730">
        <v>1.9180731364275633E-2</v>
      </c>
      <c r="I33" s="3730">
        <v>1.7882013927799568E-2</v>
      </c>
      <c r="J33" s="3730">
        <v>1.7848681093034283E-2</v>
      </c>
      <c r="K33" s="3730">
        <v>1.5075608120401393E-2</v>
      </c>
      <c r="L33" s="3730">
        <v>1.5134797507788159E-2</v>
      </c>
      <c r="M33" s="701"/>
    </row>
    <row r="34" spans="3:17" ht="15" customHeight="1">
      <c r="C34" s="1678"/>
      <c r="D34" s="2326" t="s">
        <v>793</v>
      </c>
      <c r="E34" s="3731">
        <v>2.6666505985378001E-2</v>
      </c>
      <c r="F34" s="3731">
        <v>2.8394793926247268E-2</v>
      </c>
      <c r="G34" s="3731">
        <v>2.0709771511910578E-2</v>
      </c>
      <c r="H34" s="3731">
        <v>1.9180731364275633E-2</v>
      </c>
      <c r="I34" s="3731">
        <v>1.7882013927799568E-2</v>
      </c>
      <c r="J34" s="3731">
        <v>1.7848681093034283E-2</v>
      </c>
      <c r="K34" s="3731">
        <v>1.5075608120401393E-2</v>
      </c>
      <c r="L34" s="3731">
        <v>1.5134797507788159E-2</v>
      </c>
      <c r="M34" s="701"/>
    </row>
    <row r="35" spans="3:17" ht="15" customHeight="1">
      <c r="C35" s="1678"/>
      <c r="D35" s="2324"/>
      <c r="E35" s="2325"/>
      <c r="F35" s="2325"/>
      <c r="G35" s="2325"/>
      <c r="H35" s="2325"/>
      <c r="I35" s="2325"/>
      <c r="J35" s="2325"/>
      <c r="K35" s="2325"/>
      <c r="L35" s="2325"/>
      <c r="M35" s="701"/>
    </row>
    <row r="36" spans="3:17" ht="15" customHeight="1">
      <c r="C36" s="701"/>
      <c r="D36" s="701"/>
      <c r="E36" s="701"/>
      <c r="F36" s="701"/>
      <c r="G36" s="701"/>
      <c r="H36" s="701"/>
      <c r="I36" s="701"/>
      <c r="J36" s="701"/>
      <c r="K36" s="701"/>
      <c r="L36" s="701"/>
      <c r="M36" s="701"/>
    </row>
    <row r="37" spans="3:17" ht="15" customHeight="1">
      <c r="C37" s="680"/>
      <c r="D37" s="680"/>
      <c r="E37" s="680"/>
      <c r="F37" s="680"/>
      <c r="G37" s="680"/>
      <c r="H37" s="680"/>
      <c r="I37" s="680"/>
      <c r="J37" s="680"/>
      <c r="K37" s="680"/>
      <c r="L37" s="680"/>
      <c r="M37" s="680"/>
    </row>
    <row r="38" spans="3:17" ht="15" customHeight="1">
      <c r="C38" s="680"/>
      <c r="D38" s="680"/>
      <c r="E38" s="680"/>
      <c r="F38" s="680"/>
      <c r="G38" s="680"/>
      <c r="H38" s="680"/>
      <c r="I38" s="680"/>
      <c r="J38" s="680"/>
      <c r="K38" s="680"/>
      <c r="L38" s="680"/>
      <c r="M38" s="680"/>
    </row>
    <row r="39" spans="3:17" ht="15" customHeight="1">
      <c r="C39" s="680"/>
      <c r="D39" s="680"/>
      <c r="E39" s="680"/>
      <c r="F39" s="680"/>
      <c r="G39" s="680"/>
      <c r="H39" s="680"/>
      <c r="I39" s="680"/>
      <c r="J39" s="680"/>
      <c r="K39" s="680"/>
      <c r="L39" s="680"/>
      <c r="M39" s="680"/>
    </row>
    <row r="40" spans="3:17" ht="15" customHeight="1">
      <c r="C40" s="680"/>
      <c r="D40" s="680"/>
      <c r="E40" s="680"/>
      <c r="F40" s="680"/>
      <c r="G40" s="680"/>
      <c r="H40" s="680"/>
      <c r="I40" s="680"/>
      <c r="J40" s="680"/>
      <c r="K40" s="680"/>
      <c r="L40" s="680"/>
      <c r="M40" s="680"/>
    </row>
    <row r="41" spans="3:17" ht="15" customHeight="1">
      <c r="C41" s="680"/>
      <c r="D41" s="680"/>
      <c r="E41" s="680"/>
      <c r="F41" s="680"/>
      <c r="G41" s="680"/>
      <c r="H41" s="680"/>
      <c r="I41" s="680"/>
      <c r="J41" s="680"/>
      <c r="K41" s="680"/>
      <c r="L41" s="680"/>
      <c r="M41" s="680"/>
    </row>
    <row r="42" spans="3:17" ht="15" customHeight="1">
      <c r="C42" s="680"/>
      <c r="D42" s="680"/>
      <c r="E42" s="680"/>
      <c r="F42" s="680"/>
      <c r="G42" s="680"/>
      <c r="H42" s="680"/>
      <c r="I42" s="680"/>
      <c r="J42" s="680"/>
      <c r="K42" s="680"/>
      <c r="L42" s="680"/>
      <c r="M42" s="680"/>
      <c r="N42" s="680"/>
      <c r="O42" s="680"/>
      <c r="P42" s="680"/>
      <c r="Q42" s="680"/>
    </row>
    <row r="43" spans="3:17" ht="15" customHeight="1">
      <c r="C43" s="680"/>
      <c r="D43" s="680"/>
      <c r="E43" s="680"/>
      <c r="F43" s="680"/>
      <c r="G43" s="680"/>
      <c r="H43" s="680"/>
      <c r="I43" s="680"/>
      <c r="J43" s="680"/>
      <c r="K43" s="680"/>
      <c r="L43" s="680"/>
      <c r="M43" s="680"/>
      <c r="N43" s="680"/>
      <c r="O43" s="680"/>
      <c r="P43" s="680"/>
      <c r="Q43" s="680"/>
    </row>
    <row r="44" spans="3:17" ht="15" customHeight="1">
      <c r="C44" s="680"/>
      <c r="D44" s="680"/>
      <c r="E44" s="680"/>
      <c r="F44" s="680"/>
      <c r="G44" s="680"/>
      <c r="H44" s="680"/>
      <c r="I44" s="680"/>
      <c r="J44" s="680"/>
      <c r="K44" s="680"/>
      <c r="L44" s="680"/>
      <c r="M44" s="680"/>
      <c r="N44" s="680"/>
      <c r="O44" s="680"/>
      <c r="P44" s="680"/>
      <c r="Q44" s="680"/>
    </row>
    <row r="45" spans="3:17" ht="15" customHeight="1">
      <c r="C45" s="680"/>
      <c r="D45" s="680"/>
      <c r="E45" s="680"/>
      <c r="F45" s="680"/>
      <c r="G45" s="680"/>
      <c r="H45" s="680"/>
      <c r="I45" s="680"/>
      <c r="J45" s="680"/>
      <c r="K45" s="680"/>
      <c r="L45" s="680"/>
      <c r="M45" s="680"/>
      <c r="N45" s="680"/>
      <c r="O45" s="680"/>
      <c r="P45" s="680"/>
      <c r="Q45" s="680"/>
    </row>
    <row r="46" spans="3:17" ht="15" customHeight="1">
      <c r="C46" s="680"/>
      <c r="D46" s="680"/>
      <c r="E46" s="680"/>
      <c r="F46" s="680"/>
      <c r="G46" s="680"/>
      <c r="H46" s="680"/>
      <c r="I46" s="680"/>
      <c r="J46" s="680"/>
      <c r="K46" s="680"/>
      <c r="L46" s="680"/>
      <c r="M46" s="680"/>
      <c r="N46" s="680"/>
      <c r="O46" s="680"/>
      <c r="P46" s="680"/>
      <c r="Q46" s="680"/>
    </row>
    <row r="47" spans="3:17" ht="15" customHeight="1">
      <c r="C47" s="680"/>
      <c r="D47" s="680"/>
      <c r="E47" s="680"/>
      <c r="F47" s="680"/>
      <c r="G47" s="680"/>
      <c r="H47" s="680"/>
      <c r="I47" s="680"/>
      <c r="J47" s="680"/>
      <c r="K47" s="680"/>
      <c r="L47" s="680"/>
      <c r="M47" s="680"/>
      <c r="N47" s="680"/>
      <c r="O47" s="680"/>
      <c r="P47" s="680"/>
      <c r="Q47" s="680"/>
    </row>
    <row r="48" spans="3:17" ht="15" customHeight="1">
      <c r="C48" s="680"/>
      <c r="D48" s="680"/>
      <c r="E48" s="680"/>
      <c r="F48" s="680"/>
      <c r="G48" s="680"/>
      <c r="H48" s="680"/>
      <c r="I48" s="680"/>
      <c r="J48" s="680"/>
      <c r="K48" s="680"/>
      <c r="L48" s="680"/>
      <c r="M48" s="680"/>
      <c r="N48" s="680"/>
      <c r="O48" s="680"/>
      <c r="P48" s="680"/>
      <c r="Q48" s="680"/>
    </row>
    <row r="49" spans="3:17" ht="15" customHeight="1">
      <c r="C49" s="680"/>
      <c r="D49" s="680"/>
      <c r="E49" s="680"/>
      <c r="F49" s="680"/>
      <c r="G49" s="680"/>
      <c r="H49" s="680"/>
      <c r="I49" s="680"/>
      <c r="J49" s="680"/>
      <c r="K49" s="680"/>
      <c r="L49" s="680"/>
      <c r="M49" s="680"/>
      <c r="N49" s="680"/>
      <c r="O49" s="680"/>
      <c r="P49" s="680"/>
      <c r="Q49" s="680"/>
    </row>
    <row r="50" spans="3:17" ht="15" customHeight="1">
      <c r="C50" s="680"/>
      <c r="D50" s="680"/>
      <c r="E50" s="680"/>
      <c r="F50" s="680"/>
      <c r="G50" s="680"/>
      <c r="H50" s="680"/>
      <c r="I50" s="680"/>
      <c r="J50" s="680"/>
      <c r="K50" s="680"/>
      <c r="L50" s="680"/>
      <c r="M50" s="680"/>
      <c r="N50" s="680"/>
      <c r="O50" s="680"/>
      <c r="P50" s="680"/>
      <c r="Q50" s="680"/>
    </row>
    <row r="51" spans="3:17" ht="15" customHeight="1">
      <c r="C51" s="680"/>
      <c r="D51" s="680"/>
      <c r="E51" s="680"/>
      <c r="F51" s="680"/>
      <c r="G51" s="680"/>
      <c r="H51" s="680"/>
      <c r="I51" s="680"/>
      <c r="J51" s="680"/>
      <c r="K51" s="680"/>
      <c r="L51" s="680"/>
      <c r="M51" s="680"/>
      <c r="N51" s="680"/>
      <c r="O51" s="680"/>
      <c r="P51" s="680"/>
      <c r="Q51" s="680"/>
    </row>
    <row r="52" spans="3:17" ht="15" customHeight="1">
      <c r="C52" s="680"/>
      <c r="D52" s="680"/>
      <c r="E52" s="680"/>
      <c r="F52" s="680"/>
      <c r="G52" s="680"/>
      <c r="H52" s="680"/>
      <c r="I52" s="680"/>
      <c r="J52" s="680"/>
      <c r="K52" s="680"/>
      <c r="L52" s="680"/>
      <c r="M52" s="680"/>
      <c r="N52" s="680"/>
      <c r="O52" s="680"/>
      <c r="P52" s="680"/>
      <c r="Q52" s="680"/>
    </row>
    <row r="53" spans="3:17" ht="15" customHeight="1">
      <c r="C53" s="680"/>
      <c r="D53" s="680"/>
      <c r="E53" s="680"/>
      <c r="F53" s="680"/>
      <c r="G53" s="680"/>
      <c r="H53" s="680"/>
      <c r="I53" s="680"/>
      <c r="J53" s="680"/>
      <c r="K53" s="680"/>
      <c r="L53" s="680"/>
      <c r="M53" s="680"/>
      <c r="N53" s="680"/>
      <c r="O53" s="680"/>
      <c r="P53" s="680"/>
      <c r="Q53" s="680"/>
    </row>
    <row r="54" spans="3:17" ht="15" customHeight="1">
      <c r="C54" s="680"/>
      <c r="D54" s="680"/>
      <c r="E54" s="680"/>
      <c r="F54" s="680"/>
      <c r="G54" s="680"/>
      <c r="H54" s="680"/>
      <c r="I54" s="680"/>
      <c r="J54" s="680"/>
      <c r="K54" s="680"/>
      <c r="L54" s="680"/>
      <c r="M54" s="680"/>
      <c r="N54" s="680"/>
      <c r="O54" s="680"/>
      <c r="P54" s="680"/>
      <c r="Q54" s="680"/>
    </row>
    <row r="55" spans="3:17" ht="15" customHeight="1">
      <c r="C55" s="680"/>
      <c r="D55" s="680"/>
      <c r="E55" s="680"/>
      <c r="F55" s="680"/>
      <c r="G55" s="680"/>
      <c r="H55" s="680"/>
      <c r="I55" s="680"/>
      <c r="J55" s="680"/>
      <c r="K55" s="680"/>
      <c r="L55" s="680"/>
      <c r="M55" s="680"/>
      <c r="N55" s="680"/>
      <c r="O55" s="680"/>
      <c r="P55" s="680"/>
      <c r="Q55" s="680"/>
    </row>
    <row r="56" spans="3:17" ht="15" customHeight="1">
      <c r="C56" s="680"/>
      <c r="D56" s="680"/>
      <c r="E56" s="680"/>
      <c r="F56" s="680"/>
      <c r="G56" s="680"/>
      <c r="H56" s="680"/>
      <c r="I56" s="680"/>
      <c r="J56" s="680"/>
      <c r="K56" s="680"/>
      <c r="L56" s="680"/>
      <c r="M56" s="680"/>
      <c r="N56" s="680"/>
      <c r="O56" s="680"/>
      <c r="P56" s="680"/>
      <c r="Q56" s="680"/>
    </row>
    <row r="57" spans="3:17" ht="15" customHeight="1">
      <c r="C57" s="680"/>
      <c r="D57" s="680"/>
      <c r="E57" s="680"/>
      <c r="F57" s="680"/>
      <c r="G57" s="680"/>
      <c r="H57" s="680"/>
      <c r="I57" s="680"/>
      <c r="J57" s="680"/>
      <c r="K57" s="680"/>
      <c r="L57" s="680"/>
      <c r="M57" s="680"/>
      <c r="N57" s="680"/>
      <c r="O57" s="680"/>
      <c r="P57" s="680"/>
      <c r="Q57" s="680"/>
    </row>
    <row r="58" spans="3:17" ht="15" customHeight="1">
      <c r="C58" s="680"/>
      <c r="D58" s="680"/>
      <c r="E58" s="680"/>
      <c r="F58" s="680"/>
      <c r="G58" s="680"/>
      <c r="H58" s="680"/>
      <c r="I58" s="680"/>
      <c r="J58" s="680"/>
      <c r="K58" s="680"/>
      <c r="L58" s="680"/>
      <c r="M58" s="680"/>
      <c r="N58" s="680"/>
      <c r="O58" s="680"/>
      <c r="P58" s="680"/>
      <c r="Q58" s="680"/>
    </row>
    <row r="59" spans="3:17" ht="15" customHeight="1">
      <c r="C59" s="680"/>
      <c r="D59" s="680"/>
      <c r="E59" s="680"/>
      <c r="F59" s="680"/>
      <c r="G59" s="680"/>
      <c r="H59" s="680"/>
      <c r="I59" s="680"/>
      <c r="J59" s="680"/>
      <c r="K59" s="680"/>
      <c r="L59" s="680"/>
      <c r="M59" s="680"/>
      <c r="N59" s="680"/>
      <c r="O59" s="680"/>
      <c r="P59" s="680"/>
      <c r="Q59" s="680"/>
    </row>
    <row r="60" spans="3:17" ht="15" customHeight="1">
      <c r="C60" s="680"/>
      <c r="D60" s="680"/>
      <c r="E60" s="680"/>
      <c r="F60" s="680"/>
      <c r="G60" s="680"/>
      <c r="H60" s="680"/>
      <c r="I60" s="680"/>
      <c r="J60" s="680"/>
      <c r="K60" s="680"/>
      <c r="L60" s="680"/>
      <c r="M60" s="680"/>
      <c r="N60" s="680"/>
      <c r="O60" s="680"/>
      <c r="P60" s="680"/>
      <c r="Q60" s="680"/>
    </row>
    <row r="61" spans="3:17" ht="15" customHeight="1">
      <c r="C61" s="680"/>
      <c r="D61" s="680"/>
      <c r="E61" s="680"/>
      <c r="F61" s="680"/>
      <c r="G61" s="680"/>
      <c r="H61" s="680"/>
      <c r="I61" s="680"/>
      <c r="J61" s="680"/>
      <c r="K61" s="680"/>
      <c r="L61" s="680"/>
      <c r="M61" s="680"/>
      <c r="N61" s="680"/>
      <c r="O61" s="680"/>
      <c r="P61" s="680"/>
      <c r="Q61" s="680"/>
    </row>
    <row r="62" spans="3:17" ht="15" customHeight="1">
      <c r="C62" s="680"/>
      <c r="D62" s="680"/>
      <c r="E62" s="680"/>
      <c r="F62" s="680"/>
      <c r="G62" s="680"/>
      <c r="H62" s="680"/>
      <c r="I62" s="680"/>
      <c r="J62" s="680"/>
      <c r="K62" s="680"/>
      <c r="L62" s="680"/>
      <c r="M62" s="680"/>
      <c r="N62" s="680"/>
      <c r="O62" s="680"/>
      <c r="P62" s="680"/>
      <c r="Q62" s="680"/>
    </row>
    <row r="63" spans="3:17" ht="15" customHeight="1">
      <c r="C63" s="680"/>
      <c r="D63" s="680"/>
      <c r="E63" s="680"/>
      <c r="F63" s="680"/>
      <c r="G63" s="680"/>
      <c r="H63" s="680"/>
      <c r="I63" s="680"/>
      <c r="J63" s="680"/>
      <c r="K63" s="680"/>
      <c r="L63" s="680"/>
      <c r="M63" s="680"/>
      <c r="N63" s="680"/>
      <c r="O63" s="680"/>
      <c r="P63" s="680"/>
      <c r="Q63" s="680"/>
    </row>
    <row r="64" spans="3:17" ht="15" customHeight="1">
      <c r="C64" s="680"/>
      <c r="D64" s="680"/>
      <c r="E64" s="680"/>
      <c r="F64" s="680"/>
      <c r="G64" s="680"/>
      <c r="H64" s="680"/>
      <c r="I64" s="680"/>
      <c r="J64" s="680"/>
      <c r="K64" s="680"/>
      <c r="L64" s="680"/>
      <c r="M64" s="680"/>
      <c r="N64" s="680"/>
      <c r="O64" s="680"/>
      <c r="P64" s="680"/>
      <c r="Q64" s="680"/>
    </row>
    <row r="65" spans="3:17" ht="15" customHeight="1">
      <c r="C65" s="680"/>
      <c r="D65" s="680"/>
      <c r="E65" s="680"/>
      <c r="F65" s="680"/>
      <c r="G65" s="680"/>
      <c r="H65" s="680"/>
      <c r="I65" s="680"/>
      <c r="J65" s="680"/>
      <c r="K65" s="680"/>
      <c r="L65" s="680"/>
      <c r="M65" s="680"/>
      <c r="N65" s="680"/>
      <c r="O65" s="680"/>
      <c r="P65" s="680"/>
      <c r="Q65" s="680"/>
    </row>
    <row r="66" spans="3:17" ht="15" customHeight="1">
      <c r="C66" s="680"/>
      <c r="D66" s="680"/>
      <c r="E66" s="680"/>
      <c r="F66" s="680"/>
      <c r="G66" s="680"/>
      <c r="H66" s="680"/>
      <c r="I66" s="680"/>
      <c r="J66" s="680"/>
      <c r="K66" s="680"/>
      <c r="L66" s="680"/>
      <c r="M66" s="680"/>
      <c r="N66" s="680"/>
      <c r="O66" s="680"/>
      <c r="P66" s="680"/>
      <c r="Q66" s="680"/>
    </row>
    <row r="67" spans="3:17" ht="15" customHeight="1">
      <c r="C67" s="680"/>
      <c r="D67" s="680"/>
      <c r="E67" s="680"/>
      <c r="F67" s="680"/>
      <c r="G67" s="680"/>
      <c r="H67" s="680"/>
      <c r="I67" s="680"/>
      <c r="J67" s="680"/>
      <c r="K67" s="680"/>
      <c r="L67" s="680"/>
      <c r="M67" s="680"/>
      <c r="N67" s="680"/>
      <c r="O67" s="680"/>
      <c r="P67" s="680"/>
      <c r="Q67" s="680"/>
    </row>
    <row r="68" spans="3:17" ht="15" customHeight="1">
      <c r="C68" s="680"/>
      <c r="D68" s="680"/>
      <c r="E68" s="680"/>
      <c r="F68" s="680"/>
      <c r="G68" s="680"/>
      <c r="H68" s="680"/>
      <c r="I68" s="680"/>
      <c r="J68" s="680"/>
      <c r="K68" s="680"/>
      <c r="L68" s="680"/>
      <c r="M68" s="680"/>
      <c r="N68" s="680"/>
      <c r="O68" s="680"/>
      <c r="P68" s="680"/>
      <c r="Q68" s="680"/>
    </row>
    <row r="69" spans="3:17" ht="15" customHeight="1">
      <c r="C69" s="680"/>
      <c r="D69" s="680"/>
      <c r="E69" s="680"/>
      <c r="F69" s="680"/>
      <c r="G69" s="680"/>
      <c r="H69" s="680"/>
      <c r="I69" s="680"/>
      <c r="J69" s="680"/>
      <c r="K69" s="680"/>
      <c r="L69" s="680"/>
      <c r="M69" s="680"/>
      <c r="N69" s="680"/>
      <c r="O69" s="680"/>
      <c r="P69" s="680"/>
      <c r="Q69" s="680"/>
    </row>
    <row r="70" spans="3:17" ht="15" customHeight="1">
      <c r="C70" s="680"/>
      <c r="D70" s="680"/>
      <c r="E70" s="680"/>
      <c r="F70" s="680"/>
      <c r="G70" s="680"/>
      <c r="H70" s="680"/>
      <c r="I70" s="680"/>
      <c r="J70" s="680"/>
      <c r="K70" s="680"/>
      <c r="L70" s="680"/>
      <c r="M70" s="680"/>
      <c r="N70" s="680"/>
      <c r="O70" s="680"/>
      <c r="P70" s="680"/>
      <c r="Q70" s="680"/>
    </row>
    <row r="71" spans="3:17" ht="15" customHeight="1">
      <c r="C71" s="680"/>
      <c r="D71" s="680"/>
      <c r="E71" s="680"/>
      <c r="F71" s="680"/>
      <c r="G71" s="680"/>
      <c r="H71" s="680"/>
      <c r="I71" s="680"/>
      <c r="J71" s="680"/>
      <c r="K71" s="680"/>
      <c r="L71" s="680"/>
      <c r="M71" s="680"/>
      <c r="N71" s="680"/>
      <c r="O71" s="680"/>
      <c r="P71" s="680"/>
      <c r="Q71" s="680"/>
    </row>
    <row r="72" spans="3:17" ht="15" customHeight="1">
      <c r="C72" s="680"/>
      <c r="D72" s="680"/>
      <c r="E72" s="680"/>
      <c r="F72" s="680"/>
      <c r="G72" s="680"/>
      <c r="H72" s="680"/>
      <c r="I72" s="680"/>
      <c r="J72" s="680"/>
      <c r="K72" s="680"/>
      <c r="L72" s="680"/>
      <c r="M72" s="680"/>
      <c r="N72" s="680"/>
      <c r="O72" s="680"/>
      <c r="P72" s="680"/>
      <c r="Q72" s="680"/>
    </row>
    <row r="73" spans="3:17" ht="15" customHeight="1">
      <c r="C73" s="680"/>
      <c r="D73" s="680"/>
      <c r="E73" s="680"/>
      <c r="F73" s="680"/>
      <c r="G73" s="680"/>
      <c r="H73" s="680"/>
      <c r="I73" s="680"/>
      <c r="J73" s="680"/>
      <c r="K73" s="680"/>
      <c r="L73" s="680"/>
      <c r="M73" s="680"/>
      <c r="N73" s="680"/>
      <c r="O73" s="680"/>
      <c r="P73" s="680"/>
      <c r="Q73" s="680"/>
    </row>
    <row r="74" spans="3:17" ht="15" customHeight="1">
      <c r="C74" s="680"/>
      <c r="D74" s="680"/>
      <c r="E74" s="680"/>
      <c r="F74" s="680"/>
      <c r="G74" s="680"/>
      <c r="H74" s="680"/>
      <c r="I74" s="680"/>
      <c r="J74" s="680"/>
      <c r="K74" s="680"/>
      <c r="L74" s="680"/>
      <c r="M74" s="680"/>
      <c r="N74" s="680"/>
      <c r="O74" s="680"/>
      <c r="P74" s="680"/>
      <c r="Q74" s="680"/>
    </row>
    <row r="75" spans="3:17" ht="15" customHeight="1">
      <c r="C75" s="680"/>
      <c r="D75" s="680"/>
      <c r="E75" s="680"/>
      <c r="F75" s="680"/>
      <c r="G75" s="680"/>
      <c r="H75" s="680"/>
      <c r="I75" s="680"/>
      <c r="J75" s="680"/>
      <c r="K75" s="680"/>
      <c r="L75" s="680"/>
      <c r="M75" s="680"/>
      <c r="N75" s="680"/>
      <c r="O75" s="680"/>
      <c r="P75" s="680"/>
      <c r="Q75" s="680"/>
    </row>
    <row r="76" spans="3:17" ht="15" customHeight="1">
      <c r="C76" s="680"/>
      <c r="D76" s="680"/>
      <c r="E76" s="680"/>
      <c r="F76" s="680"/>
      <c r="G76" s="680"/>
      <c r="H76" s="680"/>
      <c r="I76" s="680"/>
      <c r="J76" s="680"/>
      <c r="K76" s="680"/>
      <c r="L76" s="680"/>
      <c r="M76" s="680"/>
      <c r="N76" s="680"/>
      <c r="O76" s="680"/>
      <c r="P76" s="680"/>
      <c r="Q76" s="680"/>
    </row>
    <row r="77" spans="3:17" ht="15" customHeight="1">
      <c r="C77" s="680"/>
      <c r="D77" s="680"/>
      <c r="E77" s="680"/>
      <c r="F77" s="680"/>
      <c r="G77" s="680"/>
      <c r="H77" s="680"/>
      <c r="I77" s="680"/>
      <c r="J77" s="680"/>
      <c r="K77" s="680"/>
      <c r="L77" s="680"/>
      <c r="M77" s="680"/>
      <c r="N77" s="680"/>
      <c r="O77" s="680"/>
      <c r="P77" s="680"/>
      <c r="Q77" s="680"/>
    </row>
    <row r="78" spans="3:17" ht="15" customHeight="1">
      <c r="C78" s="680"/>
      <c r="D78" s="680"/>
      <c r="E78" s="680"/>
      <c r="F78" s="680"/>
      <c r="G78" s="680"/>
      <c r="H78" s="680"/>
      <c r="I78" s="680"/>
      <c r="J78" s="680"/>
      <c r="K78" s="680"/>
      <c r="L78" s="680"/>
      <c r="M78" s="680"/>
      <c r="N78" s="680"/>
      <c r="O78" s="680"/>
      <c r="P78" s="680"/>
      <c r="Q78" s="680"/>
    </row>
    <row r="79" spans="3:17" ht="15" customHeight="1">
      <c r="C79" s="680"/>
      <c r="D79" s="680"/>
      <c r="E79" s="680"/>
      <c r="F79" s="680"/>
      <c r="G79" s="680"/>
      <c r="H79" s="680"/>
      <c r="I79" s="680"/>
      <c r="J79" s="680"/>
      <c r="K79" s="680"/>
      <c r="L79" s="680"/>
      <c r="M79" s="680"/>
      <c r="N79" s="680"/>
      <c r="O79" s="680"/>
      <c r="P79" s="680"/>
      <c r="Q79" s="680"/>
    </row>
    <row r="80" spans="3:17" ht="15" customHeight="1">
      <c r="C80" s="680"/>
      <c r="D80" s="680"/>
      <c r="E80" s="680"/>
      <c r="F80" s="680"/>
      <c r="G80" s="680"/>
      <c r="H80" s="680"/>
      <c r="I80" s="680"/>
      <c r="J80" s="680"/>
      <c r="K80" s="680"/>
      <c r="L80" s="680"/>
      <c r="M80" s="680"/>
      <c r="N80" s="680"/>
      <c r="O80" s="680"/>
      <c r="P80" s="680"/>
      <c r="Q80" s="680"/>
    </row>
    <row r="81" spans="3:17" ht="15" customHeight="1">
      <c r="C81" s="680"/>
      <c r="D81" s="680"/>
      <c r="E81" s="680"/>
      <c r="F81" s="680"/>
      <c r="G81" s="680"/>
      <c r="H81" s="680"/>
      <c r="I81" s="680"/>
      <c r="J81" s="680"/>
      <c r="K81" s="680"/>
      <c r="L81" s="680"/>
      <c r="M81" s="680"/>
      <c r="N81" s="680"/>
      <c r="O81" s="680"/>
      <c r="P81" s="680"/>
      <c r="Q81" s="680"/>
    </row>
    <row r="82" spans="3:17" ht="15" customHeight="1">
      <c r="C82" s="680"/>
      <c r="D82" s="680"/>
      <c r="E82" s="680"/>
      <c r="F82" s="680"/>
      <c r="G82" s="680"/>
      <c r="H82" s="680"/>
      <c r="I82" s="680"/>
      <c r="J82" s="680"/>
      <c r="K82" s="680"/>
      <c r="L82" s="680"/>
      <c r="M82" s="680"/>
      <c r="N82" s="680"/>
      <c r="O82" s="680"/>
      <c r="P82" s="680"/>
      <c r="Q82" s="680"/>
    </row>
    <row r="83" spans="3:17" ht="15" customHeight="1">
      <c r="C83" s="680"/>
      <c r="D83" s="680"/>
      <c r="E83" s="680"/>
      <c r="F83" s="680"/>
      <c r="G83" s="680"/>
      <c r="H83" s="680"/>
      <c r="I83" s="680"/>
      <c r="J83" s="680"/>
      <c r="K83" s="680"/>
      <c r="L83" s="680"/>
      <c r="M83" s="680"/>
      <c r="N83" s="680"/>
      <c r="O83" s="680"/>
      <c r="P83" s="680"/>
      <c r="Q83" s="680"/>
    </row>
    <row r="84" spans="3:17" ht="15" customHeight="1">
      <c r="C84" s="680"/>
      <c r="D84" s="680"/>
      <c r="E84" s="680"/>
      <c r="F84" s="680"/>
      <c r="G84" s="680"/>
      <c r="H84" s="680"/>
      <c r="I84" s="680"/>
      <c r="J84" s="680"/>
      <c r="K84" s="680"/>
      <c r="L84" s="680"/>
      <c r="M84" s="680"/>
      <c r="N84" s="680"/>
      <c r="O84" s="680"/>
      <c r="P84" s="680"/>
      <c r="Q84" s="680"/>
    </row>
    <row r="85" spans="3:17" ht="15" customHeight="1">
      <c r="N85" s="680"/>
      <c r="O85" s="680"/>
      <c r="P85" s="680"/>
      <c r="Q85" s="680"/>
    </row>
    <row r="86" spans="3:17" ht="15" customHeight="1">
      <c r="N86" s="680"/>
      <c r="O86" s="680"/>
      <c r="P86" s="680"/>
      <c r="Q86" s="680"/>
    </row>
    <row r="87" spans="3:17" ht="15" customHeight="1">
      <c r="N87" s="680"/>
      <c r="O87" s="680"/>
      <c r="P87" s="680"/>
      <c r="Q87" s="680"/>
    </row>
    <row r="88" spans="3:17" ht="15" customHeight="1">
      <c r="N88" s="680"/>
      <c r="O88" s="680"/>
      <c r="P88" s="680"/>
      <c r="Q88" s="680"/>
    </row>
    <row r="89" spans="3:17" ht="15" customHeight="1">
      <c r="N89" s="680"/>
      <c r="O89" s="680"/>
      <c r="P89" s="680"/>
      <c r="Q89" s="680"/>
    </row>
  </sheetData>
  <sortState xmlns:xlrd2="http://schemas.microsoft.com/office/spreadsheetml/2017/richdata2" ref="C38:M84">
    <sortCondition sortBy="fontColor" ref="C38:C84"/>
  </sortState>
  <pageMargins left="0.7" right="0.7" top="0.75" bottom="0.75" header="0.3" footer="0.3"/>
  <customProperties>
    <customPr name="_pios_id" r:id="rId1"/>
  </customPropertie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378C-9FB8-45C8-9CC8-A8D4DCC54B5A}">
  <sheetPr codeName="Hoja42"/>
  <dimension ref="A1:O432"/>
  <sheetViews>
    <sheetView showGridLines="0" zoomScale="80" zoomScaleNormal="80" workbookViewId="0">
      <selection activeCell="F335" sqref="F335:K358"/>
    </sheetView>
  </sheetViews>
  <sheetFormatPr baseColWidth="10" defaultColWidth="11.42578125" defaultRowHeight="15" customHeight="1"/>
  <cols>
    <col min="1" max="1" width="20.7109375" style="678" customWidth="1"/>
    <col min="2" max="2" width="7.7109375" style="680" customWidth="1"/>
    <col min="3" max="3" width="7.140625" style="679" customWidth="1"/>
    <col min="4" max="4" width="45.5703125" style="679" customWidth="1"/>
    <col min="5" max="5" width="30.5703125" style="679" bestFit="1" customWidth="1"/>
    <col min="6" max="12" width="18.28515625" style="679" customWidth="1"/>
    <col min="13" max="16384" width="11.42578125" style="679"/>
  </cols>
  <sheetData>
    <row r="1" spans="1:13" s="680" customFormat="1" ht="15" customHeight="1">
      <c r="A1" s="678"/>
      <c r="K1" s="708"/>
      <c r="L1" s="692"/>
    </row>
    <row r="2" spans="1:13" s="680" customFormat="1" ht="15" customHeight="1">
      <c r="A2" s="678"/>
    </row>
    <row r="3" spans="1:13" ht="15" customHeight="1">
      <c r="C3" s="697"/>
      <c r="D3" s="697"/>
      <c r="E3" s="697"/>
      <c r="F3" s="697"/>
      <c r="G3" s="697"/>
      <c r="H3" s="697"/>
    </row>
    <row r="5" spans="1:13" ht="15" customHeight="1">
      <c r="A5" s="1559"/>
      <c r="C5" s="891" t="s">
        <v>796</v>
      </c>
      <c r="D5" s="892"/>
      <c r="E5" s="892"/>
      <c r="F5" s="892"/>
      <c r="G5" s="892"/>
      <c r="H5" s="892"/>
      <c r="I5" s="892"/>
      <c r="J5" s="892"/>
      <c r="K5" s="892"/>
      <c r="L5" s="892"/>
      <c r="M5" s="892"/>
    </row>
    <row r="6" spans="1:13" ht="15" customHeight="1">
      <c r="C6" s="698"/>
      <c r="D6" s="699"/>
      <c r="E6" s="699"/>
      <c r="F6" s="699"/>
      <c r="G6" s="699"/>
      <c r="H6" s="699"/>
      <c r="I6" s="699"/>
      <c r="J6" s="699"/>
      <c r="K6" s="699"/>
      <c r="L6" s="699"/>
      <c r="M6" s="699"/>
    </row>
    <row r="7" spans="1:13" ht="15" customHeight="1">
      <c r="C7" s="698"/>
      <c r="D7" s="700" t="s">
        <v>797</v>
      </c>
      <c r="E7" s="2327"/>
      <c r="F7" s="2327"/>
      <c r="G7" s="2327"/>
      <c r="H7" s="2327"/>
      <c r="I7" s="2327"/>
      <c r="J7" s="2327"/>
      <c r="K7" s="2327"/>
      <c r="L7" s="2327"/>
      <c r="M7" s="699"/>
    </row>
    <row r="8" spans="1:13" ht="15" customHeight="1">
      <c r="C8" s="698"/>
      <c r="D8" s="702" t="s">
        <v>765</v>
      </c>
      <c r="E8" s="709">
        <v>2018</v>
      </c>
      <c r="F8" s="709">
        <v>2020</v>
      </c>
      <c r="G8" s="709">
        <v>2025</v>
      </c>
      <c r="H8" s="709">
        <v>2030</v>
      </c>
      <c r="I8" s="709">
        <v>2035</v>
      </c>
      <c r="J8" s="709">
        <v>2040</v>
      </c>
      <c r="K8" s="709">
        <v>2045</v>
      </c>
      <c r="L8" s="709">
        <v>2050</v>
      </c>
      <c r="M8" s="699"/>
    </row>
    <row r="9" spans="1:13" ht="15" customHeight="1">
      <c r="C9" s="698"/>
      <c r="D9" s="705" t="s">
        <v>798</v>
      </c>
      <c r="E9" s="3732">
        <v>887014.35498040379</v>
      </c>
      <c r="F9" s="3732">
        <f t="shared" ref="F9:L9" si="0">E9*((1.033)^5)</f>
        <v>1043355.3705850656</v>
      </c>
      <c r="G9" s="3732">
        <f t="shared" si="0"/>
        <v>1227252.3248541439</v>
      </c>
      <c r="H9" s="3732">
        <f t="shared" si="0"/>
        <v>1443562.0990912451</v>
      </c>
      <c r="I9" s="3732">
        <f t="shared" si="0"/>
        <v>1697997.6258593644</v>
      </c>
      <c r="J9" s="3732">
        <f t="shared" si="0"/>
        <v>1997278.7725855887</v>
      </c>
      <c r="K9" s="3732">
        <f t="shared" si="0"/>
        <v>2349309.8192066569</v>
      </c>
      <c r="L9" s="3732">
        <f t="shared" si="0"/>
        <v>2763388.2171970564</v>
      </c>
      <c r="M9" s="699"/>
    </row>
    <row r="10" spans="1:13" ht="15" customHeight="1">
      <c r="C10" s="698"/>
      <c r="D10" s="700" t="s">
        <v>799</v>
      </c>
      <c r="E10" s="3733">
        <f>E9*DGEN_CONVERSIONES!U60</f>
        <v>0</v>
      </c>
      <c r="F10" s="3733">
        <f>F9*DGEN_CONVERSIONES!W60</f>
        <v>0</v>
      </c>
      <c r="G10" s="3733" t="s">
        <v>72</v>
      </c>
      <c r="H10" s="3733" t="s">
        <v>72</v>
      </c>
      <c r="I10" s="3733" t="s">
        <v>72</v>
      </c>
      <c r="J10" s="3733" t="s">
        <v>72</v>
      </c>
      <c r="K10" s="3733" t="s">
        <v>72</v>
      </c>
      <c r="L10" s="3733" t="s">
        <v>72</v>
      </c>
      <c r="M10" s="699"/>
    </row>
    <row r="11" spans="1:13" ht="15" customHeight="1">
      <c r="C11" s="698"/>
      <c r="D11" s="704" t="s">
        <v>800</v>
      </c>
      <c r="E11" s="3734">
        <v>0</v>
      </c>
      <c r="F11" s="3734">
        <v>0</v>
      </c>
      <c r="G11" s="3734">
        <v>0</v>
      </c>
      <c r="H11" s="3734">
        <v>0</v>
      </c>
      <c r="I11" s="3734">
        <v>0</v>
      </c>
      <c r="J11" s="3734">
        <v>0</v>
      </c>
      <c r="K11" s="3734">
        <v>0</v>
      </c>
      <c r="L11" s="3734">
        <v>0</v>
      </c>
      <c r="M11" s="699"/>
    </row>
    <row r="12" spans="1:13" ht="15" customHeight="1">
      <c r="C12" s="698"/>
      <c r="D12" s="699"/>
      <c r="E12" s="3735"/>
      <c r="F12" s="3735"/>
      <c r="G12" s="3735"/>
      <c r="H12" s="3735"/>
      <c r="I12" s="3735"/>
      <c r="J12" s="3735"/>
      <c r="K12" s="3735"/>
      <c r="L12" s="3735"/>
      <c r="M12" s="699"/>
    </row>
    <row r="13" spans="1:13" ht="15" customHeight="1">
      <c r="C13" s="701"/>
      <c r="D13" s="700" t="s">
        <v>188</v>
      </c>
      <c r="E13" s="2367"/>
      <c r="F13" s="2367"/>
      <c r="G13" s="2367"/>
      <c r="H13" s="2367"/>
      <c r="I13" s="2367"/>
      <c r="J13" s="2367"/>
      <c r="K13" s="2367"/>
      <c r="L13" s="2367"/>
      <c r="M13" s="701"/>
    </row>
    <row r="14" spans="1:13" ht="15" customHeight="1">
      <c r="C14" s="701"/>
      <c r="D14" s="702" t="s">
        <v>765</v>
      </c>
      <c r="E14" s="2515">
        <v>2018</v>
      </c>
      <c r="F14" s="2515">
        <v>2020</v>
      </c>
      <c r="G14" s="2515">
        <v>2025</v>
      </c>
      <c r="H14" s="2515">
        <v>2030</v>
      </c>
      <c r="I14" s="2515">
        <v>2035</v>
      </c>
      <c r="J14" s="2515">
        <v>2040</v>
      </c>
      <c r="K14" s="2515">
        <v>2045</v>
      </c>
      <c r="L14" s="2515">
        <v>2050</v>
      </c>
      <c r="M14" s="701"/>
    </row>
    <row r="15" spans="1:13" ht="15" customHeight="1">
      <c r="C15" s="701"/>
      <c r="D15" s="888" t="s">
        <v>801</v>
      </c>
      <c r="E15" s="3736">
        <v>0.05</v>
      </c>
      <c r="F15" s="3736">
        <v>0.05</v>
      </c>
      <c r="G15" s="3736">
        <v>0.05</v>
      </c>
      <c r="H15" s="3736">
        <v>0.04</v>
      </c>
      <c r="I15" s="3736">
        <v>0.04</v>
      </c>
      <c r="J15" s="3736">
        <v>0.02</v>
      </c>
      <c r="K15" s="3736">
        <v>0.02</v>
      </c>
      <c r="L15" s="3736">
        <v>0.02</v>
      </c>
      <c r="M15" s="701"/>
    </row>
    <row r="16" spans="1:13" ht="15" customHeight="1">
      <c r="C16" s="701"/>
      <c r="D16" s="889" t="s">
        <v>802</v>
      </c>
      <c r="E16" s="3150">
        <v>1</v>
      </c>
      <c r="F16" s="3150">
        <f t="shared" ref="F16:L16" si="1">E16/((1+F15)^5)</f>
        <v>0.78352616646845896</v>
      </c>
      <c r="G16" s="3150">
        <f t="shared" si="1"/>
        <v>0.61391325354075921</v>
      </c>
      <c r="H16" s="3150">
        <f t="shared" si="1"/>
        <v>0.50459194428397647</v>
      </c>
      <c r="I16" s="3150">
        <f t="shared" si="1"/>
        <v>0.41473779685940471</v>
      </c>
      <c r="J16" s="3150">
        <f t="shared" si="1"/>
        <v>0.37564080061654376</v>
      </c>
      <c r="K16" s="3150">
        <f t="shared" si="1"/>
        <v>0.34022944654758014</v>
      </c>
      <c r="L16" s="3150">
        <f t="shared" si="1"/>
        <v>0.30815629214952384</v>
      </c>
      <c r="M16" s="701"/>
    </row>
    <row r="17" spans="1:14" ht="15" customHeight="1">
      <c r="C17" s="698"/>
      <c r="D17" s="897"/>
      <c r="E17" s="3737"/>
      <c r="F17" s="3737"/>
      <c r="G17" s="3737"/>
      <c r="H17" s="3737"/>
      <c r="I17" s="3737"/>
      <c r="J17" s="3737"/>
      <c r="K17" s="3737"/>
      <c r="L17" s="3737"/>
      <c r="M17" s="699"/>
    </row>
    <row r="18" spans="1:14" ht="15" customHeight="1">
      <c r="C18" s="698"/>
      <c r="D18" s="890"/>
      <c r="E18" s="2373"/>
      <c r="F18" s="2373"/>
      <c r="G18" s="2373"/>
      <c r="H18" s="2373"/>
      <c r="I18" s="2373"/>
      <c r="J18" s="2373"/>
      <c r="K18" s="2373"/>
      <c r="L18" s="2373"/>
      <c r="M18" s="699"/>
    </row>
    <row r="19" spans="1:14" ht="15" customHeight="1">
      <c r="C19" s="698"/>
      <c r="D19" s="2329" t="s">
        <v>699</v>
      </c>
      <c r="E19" s="3738" t="s">
        <v>803</v>
      </c>
      <c r="F19" s="3738" t="s">
        <v>804</v>
      </c>
      <c r="G19" s="2373"/>
      <c r="H19" s="2373"/>
      <c r="I19" s="2373"/>
      <c r="J19" s="2373"/>
      <c r="K19" s="2367"/>
      <c r="L19" s="2373"/>
      <c r="M19" s="699"/>
    </row>
    <row r="20" spans="1:14" ht="15" customHeight="1">
      <c r="C20" s="698"/>
      <c r="D20" s="2331" t="s">
        <v>805</v>
      </c>
      <c r="E20" s="3739">
        <v>1000</v>
      </c>
      <c r="F20" s="3740">
        <v>1000000000000</v>
      </c>
      <c r="G20" s="2373"/>
      <c r="H20" s="2373"/>
      <c r="I20" s="2373"/>
      <c r="J20" s="2373"/>
      <c r="K20" s="2367"/>
      <c r="L20" s="2373"/>
      <c r="M20" s="699"/>
    </row>
    <row r="21" spans="1:14" ht="15" customHeight="1">
      <c r="C21" s="698"/>
      <c r="D21" s="2332" t="s">
        <v>806</v>
      </c>
      <c r="E21" s="3741">
        <v>1</v>
      </c>
      <c r="F21" s="3742">
        <v>1000000000</v>
      </c>
      <c r="G21" s="2373"/>
      <c r="H21" s="2373"/>
      <c r="I21" s="2373"/>
      <c r="J21" s="2373"/>
      <c r="K21" s="2367"/>
      <c r="L21" s="2373"/>
      <c r="M21" s="699"/>
      <c r="N21" s="1596"/>
    </row>
    <row r="22" spans="1:14" s="680" customFormat="1" ht="15" customHeight="1">
      <c r="A22" s="678"/>
      <c r="C22" s="698"/>
      <c r="D22" s="2332" t="s">
        <v>807</v>
      </c>
      <c r="E22" s="3742">
        <v>1E-3</v>
      </c>
      <c r="F22" s="3742">
        <v>1000000</v>
      </c>
      <c r="G22" s="2373"/>
      <c r="H22" s="2373"/>
      <c r="I22" s="2373"/>
      <c r="J22" s="2373"/>
      <c r="K22" s="2367"/>
      <c r="L22" s="2373"/>
      <c r="M22" s="699"/>
      <c r="N22" s="695"/>
    </row>
    <row r="23" spans="1:14" s="680" customFormat="1" ht="15" customHeight="1">
      <c r="A23" s="678"/>
      <c r="C23" s="698"/>
      <c r="D23" s="2332" t="s">
        <v>808</v>
      </c>
      <c r="E23" s="3742">
        <v>9.9999999999999995E-7</v>
      </c>
      <c r="F23" s="3741">
        <v>1000</v>
      </c>
      <c r="G23" s="2373"/>
      <c r="H23" s="2373"/>
      <c r="I23" s="2373"/>
      <c r="J23" s="2373"/>
      <c r="K23" s="2367"/>
      <c r="L23" s="2373"/>
      <c r="M23" s="699"/>
    </row>
    <row r="24" spans="1:14" s="680" customFormat="1" ht="15" customHeight="1">
      <c r="A24" s="678"/>
      <c r="C24" s="698"/>
      <c r="D24" s="2332" t="s">
        <v>809</v>
      </c>
      <c r="E24" s="3742">
        <v>1.0000000000000001E-9</v>
      </c>
      <c r="F24" s="3741">
        <v>1</v>
      </c>
      <c r="G24" s="3743"/>
      <c r="H24" s="2373"/>
      <c r="I24" s="2373"/>
      <c r="J24" s="2373"/>
      <c r="K24" s="2367"/>
      <c r="L24" s="2373"/>
      <c r="M24" s="699"/>
    </row>
    <row r="25" spans="1:14" s="680" customFormat="1" ht="15" customHeight="1">
      <c r="A25" s="678"/>
      <c r="C25" s="698"/>
      <c r="D25" s="2332" t="s">
        <v>810</v>
      </c>
      <c r="E25" s="3742">
        <f>F25/F21</f>
        <v>2.9564299999999997E-6</v>
      </c>
      <c r="F25" s="3741">
        <v>2956.43</v>
      </c>
      <c r="G25" s="2373"/>
      <c r="H25" s="2373"/>
      <c r="I25" s="2373"/>
      <c r="J25" s="2373"/>
      <c r="K25" s="2367"/>
      <c r="L25" s="2373"/>
      <c r="M25" s="699"/>
    </row>
    <row r="26" spans="1:14" s="680" customFormat="1" ht="15" customHeight="1">
      <c r="A26" s="678"/>
      <c r="C26" s="701"/>
      <c r="D26" s="2333" t="s">
        <v>811</v>
      </c>
      <c r="E26" s="3744">
        <f>F26/F21</f>
        <v>3.48687E-6</v>
      </c>
      <c r="F26" s="3745">
        <v>3486.87</v>
      </c>
      <c r="G26" s="2373"/>
      <c r="H26" s="2373"/>
      <c r="I26" s="2373"/>
      <c r="J26" s="2373"/>
      <c r="K26" s="2367"/>
      <c r="L26" s="2373"/>
      <c r="M26" s="699"/>
    </row>
    <row r="27" spans="1:14" ht="15" customHeight="1">
      <c r="C27" s="701"/>
      <c r="D27" s="701"/>
      <c r="E27" s="3737"/>
      <c r="F27" s="3737"/>
      <c r="G27" s="3737"/>
      <c r="H27" s="3737"/>
      <c r="I27" s="3737"/>
      <c r="J27" s="3737"/>
      <c r="K27" s="3737"/>
      <c r="L27" s="3737"/>
      <c r="M27" s="699"/>
    </row>
    <row r="28" spans="1:14" ht="15" customHeight="1">
      <c r="C28" s="701"/>
      <c r="D28" s="2245" t="s">
        <v>812</v>
      </c>
      <c r="E28" s="3737"/>
      <c r="F28" s="3737"/>
      <c r="G28" s="3737"/>
      <c r="H28" s="3737"/>
      <c r="I28" s="3737"/>
      <c r="J28" s="3737"/>
      <c r="K28" s="3737"/>
      <c r="L28" s="3737"/>
      <c r="M28" s="699"/>
    </row>
    <row r="29" spans="1:14" ht="15" customHeight="1">
      <c r="C29" s="701"/>
      <c r="D29" s="702" t="s">
        <v>813</v>
      </c>
      <c r="E29" s="2515"/>
      <c r="F29" s="2515"/>
      <c r="G29" s="2515"/>
      <c r="H29" s="2515"/>
      <c r="I29" s="2515" t="s">
        <v>788</v>
      </c>
      <c r="J29" s="3737"/>
      <c r="K29" s="3737"/>
      <c r="L29" s="3737"/>
      <c r="M29" s="699"/>
    </row>
    <row r="30" spans="1:14" ht="15" customHeight="1">
      <c r="C30" s="701"/>
      <c r="D30" s="888" t="s">
        <v>814</v>
      </c>
      <c r="E30" s="3736"/>
      <c r="F30" s="3736"/>
      <c r="G30" s="3736"/>
      <c r="H30" s="3736"/>
      <c r="I30" s="3736">
        <v>1</v>
      </c>
      <c r="J30" s="3737"/>
      <c r="K30" s="3737"/>
      <c r="L30" s="3737"/>
      <c r="M30" s="699"/>
    </row>
    <row r="31" spans="1:14" ht="15" customHeight="1">
      <c r="C31" s="701"/>
      <c r="D31" s="888" t="s">
        <v>815</v>
      </c>
      <c r="E31" s="3736"/>
      <c r="F31" s="3736"/>
      <c r="G31" s="3736"/>
      <c r="H31" s="3736"/>
      <c r="I31" s="3736">
        <f>(1-0.2)</f>
        <v>0.8</v>
      </c>
      <c r="J31" s="3737"/>
      <c r="K31" s="3737"/>
      <c r="L31" s="3737"/>
      <c r="M31" s="699"/>
    </row>
    <row r="32" spans="1:14" ht="15" customHeight="1">
      <c r="C32" s="701"/>
      <c r="D32" s="893" t="s">
        <v>816</v>
      </c>
      <c r="E32" s="3746"/>
      <c r="F32" s="3746"/>
      <c r="G32" s="3746"/>
      <c r="H32" s="3746"/>
      <c r="I32" s="3746">
        <f>(1-0.3)</f>
        <v>0.7</v>
      </c>
      <c r="J32" s="3737"/>
      <c r="K32" s="3737"/>
      <c r="L32" s="3737"/>
      <c r="M32" s="699"/>
    </row>
    <row r="33" spans="3:13" ht="15" customHeight="1">
      <c r="C33" s="701"/>
      <c r="D33" s="701"/>
      <c r="E33" s="3737"/>
      <c r="F33" s="3737"/>
      <c r="G33" s="3737"/>
      <c r="H33" s="3737"/>
      <c r="I33" s="3737"/>
      <c r="J33" s="3737"/>
      <c r="K33" s="3737"/>
      <c r="L33" s="3737"/>
      <c r="M33" s="699"/>
    </row>
    <row r="34" spans="3:13" ht="15" customHeight="1">
      <c r="C34" s="701"/>
      <c r="D34" s="2334" t="s">
        <v>817</v>
      </c>
      <c r="E34" s="2357"/>
      <c r="F34" s="2357"/>
      <c r="G34" s="2357"/>
      <c r="H34" s="2357"/>
      <c r="I34" s="2357"/>
      <c r="J34" s="2357"/>
      <c r="K34" s="2357"/>
      <c r="L34" s="2357"/>
      <c r="M34" s="699"/>
    </row>
    <row r="35" spans="3:13" ht="15" customHeight="1">
      <c r="C35" s="701"/>
      <c r="D35" s="2780"/>
      <c r="E35" s="701"/>
      <c r="F35" s="701"/>
      <c r="G35" s="701"/>
      <c r="H35" s="701"/>
      <c r="I35" s="701"/>
      <c r="J35" s="701"/>
      <c r="K35" s="701"/>
      <c r="L35" s="701"/>
      <c r="M35" s="701"/>
    </row>
    <row r="36" spans="3:13" ht="15" customHeight="1">
      <c r="C36" s="701"/>
      <c r="D36" s="2778" t="s">
        <v>818</v>
      </c>
      <c r="E36" s="2778">
        <v>2018</v>
      </c>
      <c r="F36" s="2778">
        <v>2020</v>
      </c>
      <c r="G36" s="2778">
        <v>2025</v>
      </c>
      <c r="H36" s="2778">
        <v>2030</v>
      </c>
      <c r="I36" s="2778">
        <v>2035</v>
      </c>
      <c r="J36" s="2778">
        <v>2040</v>
      </c>
      <c r="K36" s="2778">
        <v>2045</v>
      </c>
      <c r="L36" s="2778">
        <v>2050</v>
      </c>
      <c r="M36" s="699"/>
    </row>
    <row r="37" spans="3:13" ht="15" customHeight="1">
      <c r="C37" s="701"/>
      <c r="D37" s="2779" t="s">
        <v>819</v>
      </c>
      <c r="E37" s="3043"/>
      <c r="F37" s="3043"/>
      <c r="G37" s="3043"/>
      <c r="H37" s="3043"/>
      <c r="I37" s="3043"/>
      <c r="J37" s="3043"/>
      <c r="K37" s="3043"/>
      <c r="L37" s="3043"/>
      <c r="M37" s="699"/>
    </row>
    <row r="38" spans="3:13" ht="15" customHeight="1">
      <c r="C38" s="701"/>
      <c r="D38" s="3043" t="s">
        <v>820</v>
      </c>
      <c r="E38" s="3043">
        <v>118.4</v>
      </c>
      <c r="F38" s="3043">
        <v>128.30000000000001</v>
      </c>
      <c r="G38" s="3043">
        <v>135.69999999999999</v>
      </c>
      <c r="H38" s="3043">
        <v>141.1</v>
      </c>
      <c r="I38" s="3043">
        <v>145</v>
      </c>
      <c r="J38" s="3044">
        <v>147.9</v>
      </c>
      <c r="K38" s="3044">
        <v>150.30000000000001</v>
      </c>
      <c r="L38" s="3044">
        <v>152.70000000000002</v>
      </c>
      <c r="M38" s="699"/>
    </row>
    <row r="39" spans="3:13" ht="15" customHeight="1">
      <c r="C39" s="701"/>
      <c r="D39" s="3043" t="s">
        <v>821</v>
      </c>
      <c r="E39" s="3043">
        <v>116</v>
      </c>
      <c r="F39" s="3043">
        <v>119.5</v>
      </c>
      <c r="G39" s="3043">
        <v>121.9</v>
      </c>
      <c r="H39" s="3043">
        <v>123.6</v>
      </c>
      <c r="I39" s="3043">
        <v>125</v>
      </c>
      <c r="J39" s="3044">
        <v>126.29999999999998</v>
      </c>
      <c r="K39" s="3044">
        <v>127.09999999999995</v>
      </c>
      <c r="L39" s="3044">
        <v>126.9999999999999</v>
      </c>
      <c r="M39" s="699"/>
    </row>
    <row r="40" spans="3:13" ht="15" customHeight="1">
      <c r="C40" s="701"/>
      <c r="D40" s="3045" t="s">
        <v>822</v>
      </c>
      <c r="E40" s="3045">
        <v>115.3</v>
      </c>
      <c r="F40" s="3045">
        <v>113.3</v>
      </c>
      <c r="G40" s="3045">
        <v>109.1</v>
      </c>
      <c r="H40" s="3045">
        <v>104.7</v>
      </c>
      <c r="I40" s="3045">
        <v>100</v>
      </c>
      <c r="J40" s="3046">
        <v>94.899999999999991</v>
      </c>
      <c r="K40" s="3046">
        <v>89.299999999999983</v>
      </c>
      <c r="L40" s="3046">
        <v>83.09999999999998</v>
      </c>
      <c r="M40" s="699"/>
    </row>
    <row r="41" spans="3:13" ht="15" customHeight="1">
      <c r="C41" s="701"/>
      <c r="D41" s="3043"/>
      <c r="E41" s="3043"/>
      <c r="F41" s="3043"/>
      <c r="G41" s="3043"/>
      <c r="H41" s="3043"/>
      <c r="I41" s="3043"/>
      <c r="J41" s="3044"/>
      <c r="K41" s="3044"/>
      <c r="L41" s="3044"/>
      <c r="M41" s="699"/>
    </row>
    <row r="42" spans="3:13" ht="15" customHeight="1">
      <c r="C42" s="701"/>
      <c r="D42" s="2779" t="s">
        <v>823</v>
      </c>
      <c r="E42" s="3043" t="s">
        <v>824</v>
      </c>
      <c r="F42" s="3043" t="s">
        <v>824</v>
      </c>
      <c r="G42" s="3043" t="s">
        <v>824</v>
      </c>
      <c r="H42" s="3043" t="s">
        <v>824</v>
      </c>
      <c r="I42" s="3043" t="s">
        <v>824</v>
      </c>
      <c r="J42" s="3043" t="s">
        <v>824</v>
      </c>
      <c r="K42" s="3043" t="s">
        <v>824</v>
      </c>
      <c r="L42" s="3043" t="s">
        <v>824</v>
      </c>
      <c r="M42" s="699"/>
    </row>
    <row r="43" spans="3:13" ht="15" customHeight="1">
      <c r="C43" s="701"/>
      <c r="D43" s="3043" t="s">
        <v>825</v>
      </c>
      <c r="E43" s="3043">
        <v>1.776</v>
      </c>
      <c r="F43" s="3043">
        <v>1.84</v>
      </c>
      <c r="G43" s="3043">
        <v>1.87</v>
      </c>
      <c r="H43" s="3043">
        <v>1.87</v>
      </c>
      <c r="I43" s="3043">
        <v>1.87</v>
      </c>
      <c r="J43" s="3043">
        <v>1.93</v>
      </c>
      <c r="K43" s="3043">
        <v>1.992</v>
      </c>
      <c r="L43" s="3043">
        <v>2.056</v>
      </c>
      <c r="M43" s="699"/>
    </row>
    <row r="44" spans="3:13" ht="15" customHeight="1">
      <c r="C44" s="701"/>
      <c r="D44" s="3043" t="s">
        <v>821</v>
      </c>
      <c r="E44" s="3043">
        <v>1.694</v>
      </c>
      <c r="F44" s="3043">
        <v>1.72</v>
      </c>
      <c r="G44" s="3043">
        <v>1.73</v>
      </c>
      <c r="H44" s="3043">
        <v>1.72</v>
      </c>
      <c r="I44" s="3043">
        <v>1.72</v>
      </c>
      <c r="J44" s="3043">
        <v>1.73</v>
      </c>
      <c r="K44" s="3043">
        <v>1.74</v>
      </c>
      <c r="L44" s="3043">
        <v>1.75</v>
      </c>
      <c r="M44" s="699"/>
    </row>
    <row r="45" spans="3:13" ht="15" customHeight="1">
      <c r="C45" s="701"/>
      <c r="D45" s="3045" t="s">
        <v>822</v>
      </c>
      <c r="E45" s="3045">
        <v>1.415</v>
      </c>
      <c r="F45" s="3045">
        <v>1.1200000000000001</v>
      </c>
      <c r="G45" s="3045">
        <v>1.04</v>
      </c>
      <c r="H45" s="3045">
        <v>1.19</v>
      </c>
      <c r="I45" s="3045">
        <v>1.07</v>
      </c>
      <c r="J45" s="3045">
        <v>0.86699999999999999</v>
      </c>
      <c r="K45" s="3045">
        <v>0.70199999999999996</v>
      </c>
      <c r="L45" s="3045">
        <v>0.56899999999999995</v>
      </c>
      <c r="M45" s="699"/>
    </row>
    <row r="46" spans="3:13" ht="15" customHeight="1">
      <c r="C46" s="701"/>
      <c r="D46" s="2779"/>
      <c r="E46" s="3043"/>
      <c r="F46" s="3043"/>
      <c r="G46" s="3043"/>
      <c r="H46" s="3043"/>
      <c r="I46" s="3043"/>
      <c r="J46" s="3043"/>
      <c r="K46" s="3043"/>
      <c r="L46" s="3043"/>
      <c r="M46" s="699"/>
    </row>
    <row r="47" spans="3:13" ht="15" customHeight="1">
      <c r="C47" s="701"/>
      <c r="D47" s="2779" t="s">
        <v>826</v>
      </c>
      <c r="E47" s="3043" t="s">
        <v>824</v>
      </c>
      <c r="F47" s="3043" t="s">
        <v>824</v>
      </c>
      <c r="G47" s="3043" t="s">
        <v>824</v>
      </c>
      <c r="H47" s="3043" t="s">
        <v>824</v>
      </c>
      <c r="I47" s="3043" t="s">
        <v>824</v>
      </c>
      <c r="J47" s="3043" t="s">
        <v>824</v>
      </c>
      <c r="K47" s="3043" t="s">
        <v>824</v>
      </c>
      <c r="L47" s="3043" t="s">
        <v>824</v>
      </c>
      <c r="M47" s="699"/>
    </row>
    <row r="48" spans="3:13" ht="15" customHeight="1">
      <c r="C48" s="701"/>
      <c r="D48" s="3043" t="s">
        <v>825</v>
      </c>
      <c r="E48" s="3043">
        <v>6.1529999999999996</v>
      </c>
      <c r="F48" s="3043">
        <v>8.7759999999999998</v>
      </c>
      <c r="G48" s="3043">
        <v>11.904</v>
      </c>
      <c r="H48" s="3043">
        <v>10.257</v>
      </c>
      <c r="I48" s="3043">
        <v>11.685</v>
      </c>
      <c r="J48" s="3043">
        <v>11.863</v>
      </c>
      <c r="K48" s="3043">
        <v>12.044</v>
      </c>
      <c r="L48" s="3043">
        <v>12.227</v>
      </c>
      <c r="M48" s="699"/>
    </row>
    <row r="49" spans="3:13" ht="15" customHeight="1">
      <c r="C49" s="701"/>
      <c r="D49" s="3043" t="s">
        <v>821</v>
      </c>
      <c r="E49" s="3043">
        <v>5.5789999999999997</v>
      </c>
      <c r="F49" s="3043">
        <v>6.2220000000000004</v>
      </c>
      <c r="G49" s="3043">
        <v>7.57</v>
      </c>
      <c r="H49" s="3043">
        <v>8.4480000000000004</v>
      </c>
      <c r="I49" s="3043">
        <v>9.4529999999999994</v>
      </c>
      <c r="J49" s="3043">
        <v>9.58</v>
      </c>
      <c r="K49" s="3043">
        <v>9.7089999999999996</v>
      </c>
      <c r="L49" s="3043">
        <v>9.84</v>
      </c>
      <c r="M49" s="699"/>
    </row>
    <row r="50" spans="3:13" ht="15" customHeight="1">
      <c r="C50" s="701"/>
      <c r="D50" s="3045" t="s">
        <v>822</v>
      </c>
      <c r="E50" s="3045">
        <v>3.7410000000000001</v>
      </c>
      <c r="F50" s="3045">
        <v>4.2969999999999997</v>
      </c>
      <c r="G50" s="3045">
        <v>4.5730000000000004</v>
      </c>
      <c r="H50" s="3045">
        <v>5.2850000000000001</v>
      </c>
      <c r="I50" s="3045">
        <v>5.5949999999999998</v>
      </c>
      <c r="J50" s="3045">
        <v>5.6609999999999996</v>
      </c>
      <c r="K50" s="3045">
        <v>5.7279999999999998</v>
      </c>
      <c r="L50" s="3045">
        <v>5.7960000000000003</v>
      </c>
      <c r="M50" s="699"/>
    </row>
    <row r="51" spans="3:13" ht="15" customHeight="1">
      <c r="C51" s="701"/>
      <c r="D51" s="3043"/>
      <c r="E51" s="3043"/>
      <c r="F51" s="3043"/>
      <c r="G51" s="3043"/>
      <c r="H51" s="3043"/>
      <c r="I51" s="3043"/>
      <c r="J51" s="3043"/>
      <c r="K51" s="3043"/>
      <c r="L51" s="3043"/>
      <c r="M51" s="699"/>
    </row>
    <row r="52" spans="3:13" ht="15" customHeight="1">
      <c r="C52" s="701"/>
      <c r="D52" s="2504" t="s">
        <v>827</v>
      </c>
      <c r="E52" s="181"/>
      <c r="F52" s="181"/>
      <c r="G52" s="181"/>
      <c r="H52" s="181"/>
      <c r="I52" s="181"/>
      <c r="J52" s="181"/>
      <c r="K52" s="181"/>
      <c r="L52" s="181"/>
      <c r="M52" s="699"/>
    </row>
    <row r="53" spans="3:13" ht="15" customHeight="1">
      <c r="C53" s="701"/>
      <c r="D53" s="2814" t="s">
        <v>828</v>
      </c>
      <c r="E53" s="2814">
        <v>2018</v>
      </c>
      <c r="F53" s="2814">
        <v>2020</v>
      </c>
      <c r="G53" s="2814">
        <v>2025</v>
      </c>
      <c r="H53" s="2814">
        <v>2030</v>
      </c>
      <c r="I53" s="2814">
        <v>2035</v>
      </c>
      <c r="J53" s="2814">
        <v>2040</v>
      </c>
      <c r="K53" s="2814">
        <v>2045</v>
      </c>
      <c r="L53" s="2814">
        <v>2050</v>
      </c>
      <c r="M53" s="699"/>
    </row>
    <row r="54" spans="3:13" ht="15" customHeight="1">
      <c r="C54" s="701"/>
      <c r="D54" s="400" t="s">
        <v>829</v>
      </c>
      <c r="E54" s="12"/>
      <c r="F54" s="12"/>
      <c r="G54" s="12"/>
      <c r="H54" s="12"/>
      <c r="I54" s="12"/>
      <c r="J54" s="12"/>
      <c r="K54" s="12"/>
      <c r="L54" s="12"/>
      <c r="M54" s="699"/>
    </row>
    <row r="55" spans="3:13" ht="15" customHeight="1">
      <c r="C55" s="701"/>
      <c r="D55" s="12" t="s">
        <v>825</v>
      </c>
      <c r="E55" s="2815">
        <v>15.00969809982422</v>
      </c>
      <c r="F55" s="2815">
        <v>15.292094702473111</v>
      </c>
      <c r="G55" s="2815">
        <v>14.725582393835429</v>
      </c>
      <c r="H55" s="2815">
        <v>16.934272138508231</v>
      </c>
      <c r="I55" s="2815">
        <v>19.28700024011259</v>
      </c>
      <c r="J55" s="2815">
        <v>20.618635419325756</v>
      </c>
      <c r="K55" s="2815">
        <v>21.950270598538964</v>
      </c>
      <c r="L55" s="2815">
        <v>23.281905777752058</v>
      </c>
      <c r="M55" s="699"/>
    </row>
    <row r="56" spans="3:13" ht="15" customHeight="1">
      <c r="C56" s="701"/>
      <c r="D56" s="12" t="s">
        <v>821</v>
      </c>
      <c r="E56" s="2815">
        <v>14.895944704807675</v>
      </c>
      <c r="F56" s="2815">
        <v>15.292094702473111</v>
      </c>
      <c r="G56" s="2815">
        <v>14.175356425391779</v>
      </c>
      <c r="H56" s="2815">
        <v>15.955049607384808</v>
      </c>
      <c r="I56" s="2815">
        <v>18.263219684963698</v>
      </c>
      <c r="J56" s="2815">
        <v>19.253594679127161</v>
      </c>
      <c r="K56" s="2815">
        <v>20.243969673290735</v>
      </c>
      <c r="L56" s="2815">
        <v>21.234344667454252</v>
      </c>
      <c r="M56" s="699"/>
    </row>
    <row r="57" spans="3:13" ht="15" customHeight="1">
      <c r="C57" s="701"/>
      <c r="D57" s="12" t="s">
        <v>822</v>
      </c>
      <c r="E57" s="2815">
        <v>14.759440630787935</v>
      </c>
      <c r="F57" s="2815">
        <v>15.292094702473111</v>
      </c>
      <c r="G57" s="2815">
        <v>13.728297826031312</v>
      </c>
      <c r="H57" s="2815">
        <v>15.279723723851415</v>
      </c>
      <c r="I57" s="2815">
        <v>17.410069222339619</v>
      </c>
      <c r="J57" s="2815">
        <v>18.11606072896177</v>
      </c>
      <c r="K57" s="2815">
        <v>18.822052235583953</v>
      </c>
      <c r="L57" s="2815">
        <v>19.528043742206137</v>
      </c>
      <c r="M57" s="699"/>
    </row>
    <row r="58" spans="3:13" ht="15" customHeight="1">
      <c r="C58" s="701"/>
      <c r="D58" s="400" t="s">
        <v>830</v>
      </c>
      <c r="E58" s="12"/>
      <c r="F58" s="2815"/>
      <c r="G58" s="2815"/>
      <c r="H58" s="2815"/>
      <c r="I58" s="2815"/>
      <c r="J58" s="2815"/>
      <c r="K58" s="12"/>
      <c r="L58" s="12"/>
      <c r="M58" s="699"/>
    </row>
    <row r="59" spans="3:13" ht="15" customHeight="1">
      <c r="C59" s="701"/>
      <c r="D59" s="12" t="s">
        <v>825</v>
      </c>
      <c r="E59" s="2815">
        <v>22.003</v>
      </c>
      <c r="F59" s="2815">
        <v>33.082999999999998</v>
      </c>
      <c r="G59" s="2815">
        <v>38.991</v>
      </c>
      <c r="H59" s="2815">
        <v>40.591999999999999</v>
      </c>
      <c r="I59" s="2815">
        <v>42.561</v>
      </c>
      <c r="J59" s="2815">
        <v>44.511000000000003</v>
      </c>
      <c r="K59" s="2815">
        <v>46.551000000000002</v>
      </c>
      <c r="L59" s="2815">
        <v>48.683999999999997</v>
      </c>
      <c r="M59" s="699"/>
    </row>
    <row r="60" spans="3:13" ht="15" customHeight="1">
      <c r="C60" s="701"/>
      <c r="D60" s="12" t="s">
        <v>821</v>
      </c>
      <c r="E60" s="2815">
        <v>17.347000000000001</v>
      </c>
      <c r="F60" s="2815">
        <v>18.635999999999999</v>
      </c>
      <c r="G60" s="2815">
        <v>19.699000000000002</v>
      </c>
      <c r="H60" s="2815">
        <v>20.34</v>
      </c>
      <c r="I60" s="2815">
        <v>21.298999999999999</v>
      </c>
      <c r="J60" s="2815">
        <v>22.16</v>
      </c>
      <c r="K60" s="2815">
        <v>23.056000000000001</v>
      </c>
      <c r="L60" s="2815">
        <v>23.986999999999998</v>
      </c>
      <c r="M60" s="699"/>
    </row>
    <row r="61" spans="3:13" ht="15" customHeight="1">
      <c r="C61" s="701"/>
      <c r="D61" s="12" t="s">
        <v>822</v>
      </c>
      <c r="E61" s="2815">
        <v>12.769</v>
      </c>
      <c r="F61" s="2815">
        <v>10.194000000000001</v>
      </c>
      <c r="G61" s="2815">
        <v>9.234</v>
      </c>
      <c r="H61" s="2815">
        <v>9.3030000000000008</v>
      </c>
      <c r="I61" s="2815">
        <v>9.6349999999999998</v>
      </c>
      <c r="J61" s="2815">
        <v>9.51</v>
      </c>
      <c r="K61" s="2815">
        <v>9.3879999999999999</v>
      </c>
      <c r="L61" s="2815">
        <v>9.266</v>
      </c>
      <c r="M61" s="699"/>
    </row>
    <row r="62" spans="3:13" ht="15" customHeight="1">
      <c r="C62" s="701"/>
      <c r="D62" s="400" t="s">
        <v>831</v>
      </c>
      <c r="E62" s="12"/>
      <c r="F62" s="12"/>
      <c r="G62" s="12"/>
      <c r="H62" s="12"/>
      <c r="I62" s="12"/>
      <c r="J62" s="12"/>
      <c r="K62" s="12"/>
      <c r="L62" s="12"/>
      <c r="M62" s="699"/>
    </row>
    <row r="63" spans="3:13" ht="15" customHeight="1">
      <c r="C63" s="701"/>
      <c r="D63" s="12" t="s">
        <v>825</v>
      </c>
      <c r="E63" s="2815">
        <v>12.738</v>
      </c>
      <c r="F63" s="2815">
        <v>14.05</v>
      </c>
      <c r="G63" s="2815">
        <v>16.802</v>
      </c>
      <c r="H63" s="2815">
        <v>17.635999999999999</v>
      </c>
      <c r="I63" s="2815">
        <v>18.571000000000002</v>
      </c>
      <c r="J63" s="2815">
        <v>19.501999999999999</v>
      </c>
      <c r="K63" s="2815">
        <v>20.48</v>
      </c>
      <c r="L63" s="2815">
        <v>21.507000000000001</v>
      </c>
      <c r="M63" s="699"/>
    </row>
    <row r="64" spans="3:13" ht="15" customHeight="1">
      <c r="C64" s="701"/>
      <c r="D64" s="12" t="s">
        <v>821</v>
      </c>
      <c r="E64" s="2815">
        <v>7.4880000000000004</v>
      </c>
      <c r="F64" s="2815">
        <v>7.63</v>
      </c>
      <c r="G64" s="2815">
        <v>8.2639999999999993</v>
      </c>
      <c r="H64" s="2815">
        <v>8.6739999999999995</v>
      </c>
      <c r="I64" s="2815">
        <v>9.1769999999999996</v>
      </c>
      <c r="J64" s="2815">
        <v>9.625</v>
      </c>
      <c r="K64" s="2815">
        <v>10.096</v>
      </c>
      <c r="L64" s="2815">
        <v>10.589</v>
      </c>
      <c r="M64" s="699"/>
    </row>
    <row r="65" spans="3:13" ht="15" customHeight="1">
      <c r="C65" s="701"/>
      <c r="D65" s="12" t="s">
        <v>822</v>
      </c>
      <c r="E65" s="2815">
        <v>4.242</v>
      </c>
      <c r="F65" s="2815">
        <v>3.8849999999999998</v>
      </c>
      <c r="G65" s="2815">
        <v>3.633</v>
      </c>
      <c r="H65" s="2815">
        <v>3.7909999999999999</v>
      </c>
      <c r="I65" s="2815">
        <v>4.024</v>
      </c>
      <c r="J65" s="2815">
        <v>4.0350000000000001</v>
      </c>
      <c r="K65" s="2815">
        <v>4.0469999999999997</v>
      </c>
      <c r="L65" s="2815">
        <v>4.0579999999999998</v>
      </c>
      <c r="M65" s="699"/>
    </row>
    <row r="66" spans="3:13" ht="15" customHeight="1">
      <c r="C66" s="701"/>
      <c r="D66" s="400" t="s">
        <v>826</v>
      </c>
      <c r="E66" s="2815"/>
      <c r="F66" s="2815"/>
      <c r="G66" s="2815"/>
      <c r="H66" s="2815"/>
      <c r="I66" s="2815"/>
      <c r="J66" s="2815"/>
      <c r="K66" s="2815"/>
      <c r="L66" s="2815"/>
      <c r="M66" s="699"/>
    </row>
    <row r="67" spans="3:13" ht="15" customHeight="1">
      <c r="C67" s="701"/>
      <c r="D67" s="12" t="s">
        <v>825</v>
      </c>
      <c r="E67" s="2815">
        <v>6.1529999999999996</v>
      </c>
      <c r="F67" s="2815">
        <v>8.7759999999999998</v>
      </c>
      <c r="G67" s="2815">
        <v>11.904</v>
      </c>
      <c r="H67" s="2815">
        <v>10.257</v>
      </c>
      <c r="I67" s="2815">
        <v>11.685</v>
      </c>
      <c r="J67" s="2815">
        <v>11.863</v>
      </c>
      <c r="K67" s="2815">
        <v>12.044</v>
      </c>
      <c r="L67" s="2815">
        <v>12.227</v>
      </c>
      <c r="M67" s="699"/>
    </row>
    <row r="68" spans="3:13" ht="15" customHeight="1">
      <c r="C68" s="701"/>
      <c r="D68" s="12" t="s">
        <v>821</v>
      </c>
      <c r="E68" s="2815">
        <v>5.5789999999999997</v>
      </c>
      <c r="F68" s="2815">
        <v>6.2220000000000004</v>
      </c>
      <c r="G68" s="2815">
        <v>7.57</v>
      </c>
      <c r="H68" s="2815">
        <v>8.4480000000000004</v>
      </c>
      <c r="I68" s="2815">
        <v>9.4529999999999994</v>
      </c>
      <c r="J68" s="2815">
        <v>9.58</v>
      </c>
      <c r="K68" s="2815">
        <v>9.7089999999999996</v>
      </c>
      <c r="L68" s="2815">
        <v>9.84</v>
      </c>
      <c r="M68" s="699"/>
    </row>
    <row r="69" spans="3:13" ht="15" customHeight="1">
      <c r="C69" s="701"/>
      <c r="D69" s="12" t="s">
        <v>822</v>
      </c>
      <c r="E69" s="2815">
        <v>3.7410000000000001</v>
      </c>
      <c r="F69" s="2815">
        <v>4.2969999999999997</v>
      </c>
      <c r="G69" s="2815">
        <v>4.5730000000000004</v>
      </c>
      <c r="H69" s="2815">
        <v>5.2850000000000001</v>
      </c>
      <c r="I69" s="2815">
        <v>5.5949999999999998</v>
      </c>
      <c r="J69" s="2815">
        <v>5.6609999999999996</v>
      </c>
      <c r="K69" s="2815">
        <v>5.7279999999999998</v>
      </c>
      <c r="L69" s="2815">
        <v>5.7960000000000003</v>
      </c>
      <c r="M69" s="699"/>
    </row>
    <row r="70" spans="3:13" ht="15" customHeight="1">
      <c r="C70" s="701"/>
      <c r="D70" s="400" t="s">
        <v>832</v>
      </c>
      <c r="E70" s="12"/>
      <c r="F70" s="12"/>
      <c r="G70" s="12"/>
      <c r="H70" s="12"/>
      <c r="I70" s="12"/>
      <c r="J70" s="12"/>
      <c r="K70" s="12"/>
      <c r="L70" s="12"/>
      <c r="M70" s="699"/>
    </row>
    <row r="71" spans="3:13" ht="15" customHeight="1">
      <c r="C71" s="701"/>
      <c r="D71" s="12" t="s">
        <v>825</v>
      </c>
      <c r="E71" s="2815">
        <v>10.166453428407067</v>
      </c>
      <c r="F71" s="2815">
        <v>11.763746004918934</v>
      </c>
      <c r="G71" s="2815">
        <v>21.542891107604262</v>
      </c>
      <c r="H71" s="2815">
        <v>28.226084522138152</v>
      </c>
      <c r="I71" s="2815">
        <v>34.462108327658804</v>
      </c>
      <c r="J71" s="2815">
        <v>42.028229101905708</v>
      </c>
      <c r="K71" s="2815">
        <v>49.594349876152137</v>
      </c>
      <c r="L71" s="2815">
        <v>57.160470650398565</v>
      </c>
      <c r="M71" s="699"/>
    </row>
    <row r="72" spans="3:13" ht="15" customHeight="1">
      <c r="C72" s="701"/>
      <c r="D72" s="12" t="s">
        <v>821</v>
      </c>
      <c r="E72" s="2815">
        <v>9.6562872506247004</v>
      </c>
      <c r="F72" s="2815">
        <v>11.763746004918934</v>
      </c>
      <c r="G72" s="2815">
        <v>18.732948789221101</v>
      </c>
      <c r="H72" s="2815">
        <v>22.765956696544212</v>
      </c>
      <c r="I72" s="2815">
        <v>27.569686662127044</v>
      </c>
      <c r="J72" s="2815">
        <v>32.838333547863385</v>
      </c>
      <c r="K72" s="2815">
        <v>38.106980433599347</v>
      </c>
      <c r="L72" s="2815">
        <v>43.375627319335308</v>
      </c>
      <c r="M72" s="699"/>
    </row>
    <row r="73" spans="3:13" ht="15" customHeight="1">
      <c r="C73" s="701"/>
      <c r="D73" s="12" t="s">
        <v>822</v>
      </c>
      <c r="E73" s="2815">
        <v>8.7372976952201498</v>
      </c>
      <c r="F73" s="2815">
        <v>11.834552339444125</v>
      </c>
      <c r="G73" s="2815">
        <v>16.959425768520624</v>
      </c>
      <c r="H73" s="2815">
        <v>19.518671925142847</v>
      </c>
      <c r="I73" s="2815">
        <v>23.814246663282244</v>
      </c>
      <c r="J73" s="2815">
        <v>27.807478104561596</v>
      </c>
      <c r="K73" s="2815">
        <v>31.800709545840846</v>
      </c>
      <c r="L73" s="2815">
        <v>35.793940987120322</v>
      </c>
      <c r="M73" s="699"/>
    </row>
    <row r="74" spans="3:13" ht="16.5" customHeight="1">
      <c r="C74" s="701"/>
      <c r="D74" s="400" t="s">
        <v>823</v>
      </c>
      <c r="E74" s="12"/>
      <c r="F74" s="12"/>
      <c r="G74" s="12"/>
      <c r="H74" s="12"/>
      <c r="I74" s="12"/>
      <c r="J74" s="12"/>
      <c r="K74" s="12"/>
      <c r="L74" s="12"/>
      <c r="M74" s="699"/>
    </row>
    <row r="75" spans="3:13" ht="15" customHeight="1">
      <c r="C75" s="701"/>
      <c r="D75" s="12" t="s">
        <v>825</v>
      </c>
      <c r="E75" s="12">
        <v>1.776</v>
      </c>
      <c r="F75" s="12">
        <v>1.84</v>
      </c>
      <c r="G75" s="12">
        <v>1.87</v>
      </c>
      <c r="H75" s="12">
        <v>1.87</v>
      </c>
      <c r="I75" s="12">
        <v>1.87</v>
      </c>
      <c r="J75" s="12">
        <v>1.93</v>
      </c>
      <c r="K75" s="12">
        <v>1.992</v>
      </c>
      <c r="L75" s="12">
        <v>2.056</v>
      </c>
      <c r="M75" s="699"/>
    </row>
    <row r="76" spans="3:13" ht="15" customHeight="1">
      <c r="C76" s="701"/>
      <c r="D76" s="12" t="s">
        <v>821</v>
      </c>
      <c r="E76" s="12">
        <v>1.694</v>
      </c>
      <c r="F76" s="12">
        <v>1.72</v>
      </c>
      <c r="G76" s="12">
        <v>1.73</v>
      </c>
      <c r="H76" s="12">
        <v>1.72</v>
      </c>
      <c r="I76" s="12">
        <v>1.72</v>
      </c>
      <c r="J76" s="12">
        <v>1.73</v>
      </c>
      <c r="K76" s="12">
        <v>1.74</v>
      </c>
      <c r="L76" s="12">
        <v>1.75</v>
      </c>
      <c r="M76" s="699"/>
    </row>
    <row r="77" spans="3:13" ht="15" customHeight="1">
      <c r="C77" s="701"/>
      <c r="D77" s="12" t="s">
        <v>822</v>
      </c>
      <c r="E77" s="12">
        <v>1.415</v>
      </c>
      <c r="F77" s="12">
        <v>1.1200000000000001</v>
      </c>
      <c r="G77" s="12">
        <v>1.04</v>
      </c>
      <c r="H77" s="12">
        <v>1.19</v>
      </c>
      <c r="I77" s="12">
        <v>1.07</v>
      </c>
      <c r="J77" s="12">
        <v>0.86699999999999999</v>
      </c>
      <c r="K77" s="12">
        <v>0.70199999999999996</v>
      </c>
      <c r="L77" s="12">
        <v>0.56899999999999995</v>
      </c>
      <c r="M77" s="699"/>
    </row>
    <row r="78" spans="3:13" ht="15" customHeight="1">
      <c r="C78" s="701"/>
      <c r="D78" s="400" t="s">
        <v>833</v>
      </c>
      <c r="E78" s="12"/>
      <c r="F78" s="12"/>
      <c r="G78" s="12"/>
      <c r="H78" s="12"/>
      <c r="I78" s="12"/>
      <c r="J78" s="12"/>
      <c r="K78" s="12"/>
      <c r="L78" s="12"/>
      <c r="M78" s="699"/>
    </row>
    <row r="79" spans="3:13" ht="15" customHeight="1">
      <c r="C79" s="701"/>
      <c r="D79" s="12" t="s">
        <v>825</v>
      </c>
      <c r="E79" s="2815">
        <v>8.8388619333334191</v>
      </c>
      <c r="F79" s="2815">
        <v>9.5686540000000004</v>
      </c>
      <c r="G79" s="2815">
        <v>15.408177</v>
      </c>
      <c r="H79" s="2815">
        <v>20.065964000000001</v>
      </c>
      <c r="I79" s="2815">
        <v>24.254860000000001</v>
      </c>
      <c r="J79" s="2815">
        <v>28.794685000000001</v>
      </c>
      <c r="K79" s="2815">
        <v>33.890259</v>
      </c>
      <c r="L79" s="2815">
        <v>40.060402000000003</v>
      </c>
      <c r="M79" s="699"/>
    </row>
    <row r="80" spans="3:13" ht="15" customHeight="1">
      <c r="C80" s="701"/>
      <c r="D80" s="12" t="s">
        <v>821</v>
      </c>
      <c r="E80" s="2815">
        <v>8.3828150366666705</v>
      </c>
      <c r="F80" s="2815">
        <v>9.5686540000000004</v>
      </c>
      <c r="G80" s="2815">
        <v>14.703969600000001</v>
      </c>
      <c r="H80" s="2815">
        <v>17.711428699999999</v>
      </c>
      <c r="I80" s="2815">
        <v>19.995555599999999</v>
      </c>
      <c r="J80" s="2815">
        <v>22.385023950000001</v>
      </c>
      <c r="K80" s="2815">
        <v>24.791096849999999</v>
      </c>
      <c r="L80" s="2815">
        <v>27.356238449999999</v>
      </c>
      <c r="M80" s="699"/>
    </row>
    <row r="81" spans="3:13" ht="15" customHeight="1">
      <c r="C81" s="701"/>
      <c r="D81" s="12" t="s">
        <v>822</v>
      </c>
      <c r="E81" s="2815">
        <v>7.5358708000001116</v>
      </c>
      <c r="F81" s="2815">
        <v>9.5686540000000004</v>
      </c>
      <c r="G81" s="2815">
        <v>14.324781</v>
      </c>
      <c r="H81" s="2815">
        <v>16.443601999999998</v>
      </c>
      <c r="I81" s="2815">
        <v>17.702083999999999</v>
      </c>
      <c r="J81" s="2815">
        <v>18.933668000000001</v>
      </c>
      <c r="K81" s="2815">
        <v>19.891548</v>
      </c>
      <c r="L81" s="2815">
        <v>20.515535</v>
      </c>
      <c r="M81" s="699"/>
    </row>
    <row r="82" spans="3:13" ht="15" customHeight="1">
      <c r="C82" s="701"/>
      <c r="D82" s="400" t="s">
        <v>507</v>
      </c>
      <c r="E82" s="2815"/>
      <c r="F82" s="2815"/>
      <c r="G82" s="2815"/>
      <c r="H82" s="2815"/>
      <c r="I82" s="2815"/>
      <c r="J82" s="2815"/>
      <c r="K82" s="2815"/>
      <c r="L82" s="2815"/>
      <c r="M82" s="699"/>
    </row>
    <row r="83" spans="3:13" ht="15" customHeight="1">
      <c r="C83" s="701"/>
      <c r="D83" s="12" t="s">
        <v>825</v>
      </c>
      <c r="E83" s="2883">
        <v>1.776</v>
      </c>
      <c r="F83" s="2883">
        <v>1.84</v>
      </c>
      <c r="G83" s="2883">
        <v>1.87</v>
      </c>
      <c r="H83" s="2883">
        <v>1.87</v>
      </c>
      <c r="I83" s="2883">
        <v>1.87</v>
      </c>
      <c r="J83" s="2883">
        <v>1.93</v>
      </c>
      <c r="K83" s="2883">
        <v>1.992</v>
      </c>
      <c r="L83" s="2883">
        <v>2.056</v>
      </c>
      <c r="M83" s="699"/>
    </row>
    <row r="84" spans="3:13" ht="15" customHeight="1">
      <c r="C84" s="701"/>
      <c r="D84" s="12" t="s">
        <v>821</v>
      </c>
      <c r="E84" s="2883">
        <v>1.694</v>
      </c>
      <c r="F84" s="2883">
        <v>1.72</v>
      </c>
      <c r="G84" s="2883">
        <v>1.73</v>
      </c>
      <c r="H84" s="2883">
        <v>1.72</v>
      </c>
      <c r="I84" s="2883">
        <v>1.72</v>
      </c>
      <c r="J84" s="2883">
        <v>1.73</v>
      </c>
      <c r="K84" s="2883">
        <v>1.74</v>
      </c>
      <c r="L84" s="2883">
        <v>1.75</v>
      </c>
      <c r="M84" s="699"/>
    </row>
    <row r="85" spans="3:13" ht="15" customHeight="1">
      <c r="C85" s="701"/>
      <c r="D85" s="12" t="s">
        <v>822</v>
      </c>
      <c r="E85" s="2883">
        <v>1.415</v>
      </c>
      <c r="F85" s="2883">
        <v>1.1200000000000001</v>
      </c>
      <c r="G85" s="2883">
        <v>1.04</v>
      </c>
      <c r="H85" s="2883">
        <v>1.19</v>
      </c>
      <c r="I85" s="2883">
        <v>1.07</v>
      </c>
      <c r="J85" s="2883">
        <v>0.86699999999999999</v>
      </c>
      <c r="K85" s="2883">
        <v>0.70199999999999996</v>
      </c>
      <c r="L85" s="2883">
        <v>0.56899999999999995</v>
      </c>
      <c r="M85" s="699"/>
    </row>
    <row r="86" spans="3:13" ht="15" customHeight="1">
      <c r="C86" s="701"/>
      <c r="D86" s="12"/>
      <c r="E86" s="12"/>
      <c r="F86" s="12"/>
      <c r="G86" s="12"/>
      <c r="H86" s="12"/>
      <c r="I86" s="12"/>
      <c r="J86" s="12"/>
      <c r="K86" s="12"/>
      <c r="L86" s="12"/>
      <c r="M86" s="699"/>
    </row>
    <row r="87" spans="3:13" ht="15" customHeight="1">
      <c r="C87" s="701"/>
      <c r="D87" s="2334" t="s">
        <v>834</v>
      </c>
      <c r="E87" s="2334"/>
      <c r="F87" s="2334"/>
      <c r="G87" s="2334"/>
      <c r="H87" s="2334"/>
      <c r="I87" s="2334"/>
      <c r="J87" s="2334"/>
      <c r="K87" s="2334"/>
      <c r="L87" s="2334"/>
      <c r="M87" s="699"/>
    </row>
    <row r="88" spans="3:13" ht="15" customHeight="1">
      <c r="C88" s="701"/>
      <c r="D88" s="701"/>
      <c r="E88" s="701"/>
      <c r="F88" s="701"/>
      <c r="G88" s="701"/>
      <c r="H88" s="701"/>
      <c r="I88" s="701"/>
      <c r="J88" s="701"/>
      <c r="K88" s="701"/>
      <c r="L88" s="701"/>
      <c r="M88" s="701"/>
    </row>
    <row r="89" spans="3:13" ht="15" customHeight="1">
      <c r="C89" s="701"/>
      <c r="D89" s="2817" t="s">
        <v>294</v>
      </c>
      <c r="E89" s="2818">
        <v>1</v>
      </c>
      <c r="F89" s="12"/>
      <c r="G89" s="12"/>
      <c r="H89" s="12"/>
      <c r="I89" s="12"/>
      <c r="J89" s="12"/>
      <c r="K89" s="12"/>
      <c r="L89" s="12"/>
      <c r="M89" s="699"/>
    </row>
    <row r="90" spans="3:13" ht="15" customHeight="1">
      <c r="C90" s="701"/>
      <c r="D90" s="12" t="s">
        <v>296</v>
      </c>
      <c r="E90" s="2815">
        <v>1.56</v>
      </c>
      <c r="F90" s="12"/>
      <c r="G90" s="12"/>
      <c r="H90" s="12"/>
      <c r="I90" s="12"/>
      <c r="J90" s="12"/>
      <c r="K90" s="12"/>
      <c r="L90" s="12"/>
      <c r="M90" s="699"/>
    </row>
    <row r="91" spans="3:13" ht="15" customHeight="1">
      <c r="C91" s="701"/>
      <c r="D91" s="12" t="s">
        <v>487</v>
      </c>
      <c r="E91" s="2815">
        <v>1</v>
      </c>
      <c r="F91" s="12"/>
      <c r="G91" s="12"/>
      <c r="H91" s="12"/>
      <c r="I91" s="12"/>
      <c r="J91" s="12"/>
      <c r="K91" s="12"/>
      <c r="L91" s="12"/>
      <c r="M91" s="699"/>
    </row>
    <row r="92" spans="3:13" ht="15" customHeight="1">
      <c r="C92" s="701"/>
      <c r="D92" s="12" t="s">
        <v>488</v>
      </c>
      <c r="E92" s="2815">
        <v>2.4900000000000002</v>
      </c>
      <c r="F92" s="12"/>
      <c r="G92" s="12"/>
      <c r="H92" s="12"/>
      <c r="I92" s="12"/>
      <c r="J92" s="12"/>
      <c r="K92" s="12"/>
      <c r="L92" s="12"/>
      <c r="M92" s="699"/>
    </row>
    <row r="93" spans="3:13" ht="15" customHeight="1">
      <c r="C93" s="701"/>
      <c r="D93" s="12" t="s">
        <v>489</v>
      </c>
      <c r="E93" s="2815">
        <v>1.85</v>
      </c>
      <c r="F93" s="12"/>
      <c r="G93" s="12"/>
      <c r="H93" s="12"/>
      <c r="I93" s="12"/>
      <c r="J93" s="12"/>
      <c r="K93" s="12"/>
      <c r="L93" s="12"/>
      <c r="M93" s="699"/>
    </row>
    <row r="94" spans="3:13" ht="15" customHeight="1">
      <c r="C94" s="701"/>
      <c r="D94" s="12" t="s">
        <v>306</v>
      </c>
      <c r="E94" s="2815">
        <v>1</v>
      </c>
      <c r="F94" s="12"/>
      <c r="G94" s="12"/>
      <c r="H94" s="12"/>
      <c r="I94" s="12"/>
      <c r="J94" s="12"/>
      <c r="K94" s="12"/>
      <c r="L94" s="12"/>
      <c r="M94" s="699"/>
    </row>
    <row r="95" spans="3:13" ht="15" customHeight="1">
      <c r="C95" s="701"/>
      <c r="D95" s="275" t="s">
        <v>354</v>
      </c>
      <c r="E95" s="2816">
        <v>1</v>
      </c>
      <c r="F95" s="12"/>
      <c r="G95" s="12"/>
      <c r="H95" s="12"/>
      <c r="I95" s="12"/>
      <c r="J95" s="12"/>
      <c r="K95" s="12"/>
      <c r="L95" s="12"/>
      <c r="M95" s="699"/>
    </row>
    <row r="96" spans="3:13" ht="15" customHeight="1">
      <c r="C96" s="701"/>
      <c r="D96" s="12"/>
      <c r="E96" s="12"/>
      <c r="F96" s="12"/>
      <c r="G96" s="12"/>
      <c r="H96" s="12"/>
      <c r="I96" s="12"/>
      <c r="J96" s="12"/>
      <c r="K96" s="12"/>
      <c r="L96" s="12"/>
      <c r="M96" s="699"/>
    </row>
    <row r="97" spans="3:13" ht="15" customHeight="1">
      <c r="C97" s="701"/>
      <c r="D97" s="2334" t="s">
        <v>835</v>
      </c>
      <c r="E97" s="2334"/>
      <c r="F97" s="2334"/>
      <c r="G97" s="2334"/>
      <c r="H97" s="2334"/>
      <c r="I97" s="2334"/>
      <c r="J97" s="2334"/>
      <c r="K97" s="2334"/>
      <c r="L97" s="2334"/>
      <c r="M97" s="699"/>
    </row>
    <row r="98" spans="3:13" ht="15" customHeight="1">
      <c r="C98" s="701"/>
      <c r="D98" s="701"/>
      <c r="E98" s="2328"/>
      <c r="F98" s="2328"/>
      <c r="G98" s="2328"/>
      <c r="H98" s="2328"/>
      <c r="I98" s="2328"/>
      <c r="J98" s="2328"/>
      <c r="K98" s="2328"/>
      <c r="L98" s="2328"/>
      <c r="M98" s="699"/>
    </row>
    <row r="99" spans="3:13" ht="15" customHeight="1">
      <c r="C99" s="701"/>
      <c r="D99" s="2664" t="s">
        <v>836</v>
      </c>
      <c r="E99" s="2328"/>
      <c r="F99" s="2328"/>
      <c r="G99" s="2328"/>
      <c r="H99" s="2328"/>
      <c r="I99" s="2328"/>
      <c r="J99" s="2328"/>
      <c r="K99" s="2328"/>
      <c r="L99" s="2328"/>
      <c r="M99" s="699"/>
    </row>
    <row r="100" spans="3:13" ht="15" customHeight="1">
      <c r="C100" s="701"/>
      <c r="D100" s="701"/>
      <c r="E100" s="2328"/>
      <c r="F100" s="2328"/>
      <c r="G100" s="2655" t="s">
        <v>837</v>
      </c>
      <c r="H100" s="2328"/>
      <c r="I100" s="2328"/>
      <c r="J100" s="2328"/>
      <c r="K100" s="2328"/>
      <c r="L100" s="2328"/>
      <c r="M100" s="699"/>
    </row>
    <row r="101" spans="3:13" ht="15" customHeight="1">
      <c r="C101" s="701"/>
      <c r="D101" s="2329" t="s">
        <v>62</v>
      </c>
      <c r="E101" s="2330" t="s">
        <v>820</v>
      </c>
      <c r="F101" s="2330" t="s">
        <v>838</v>
      </c>
      <c r="G101" s="2330" t="s">
        <v>839</v>
      </c>
      <c r="H101" s="2328"/>
      <c r="I101" s="2328"/>
      <c r="J101" s="2328"/>
      <c r="K101" s="2328"/>
      <c r="L101" s="2328"/>
      <c r="M101" s="699"/>
    </row>
    <row r="102" spans="3:13" ht="15" customHeight="1">
      <c r="C102" s="701"/>
      <c r="D102" s="2656" t="s">
        <v>840</v>
      </c>
      <c r="E102" s="2659">
        <v>1167.4000000000001</v>
      </c>
      <c r="F102" s="2659">
        <v>987.8</v>
      </c>
      <c r="G102" s="2659">
        <v>898</v>
      </c>
      <c r="H102" s="2328"/>
      <c r="I102" s="920"/>
      <c r="J102" s="2328"/>
      <c r="K102" s="2328"/>
      <c r="L102" s="2328"/>
      <c r="M102" s="699"/>
    </row>
    <row r="103" spans="3:13" ht="15" customHeight="1">
      <c r="C103" s="701"/>
      <c r="D103" s="2656" t="s">
        <v>841</v>
      </c>
      <c r="E103" s="2659">
        <v>5250</v>
      </c>
      <c r="F103" s="2659">
        <v>1783</v>
      </c>
      <c r="G103" s="2659">
        <v>1585</v>
      </c>
      <c r="H103" s="2328"/>
      <c r="I103" s="920"/>
      <c r="J103" s="2328"/>
      <c r="K103" s="2328"/>
      <c r="L103" s="2328"/>
      <c r="M103" s="699"/>
    </row>
    <row r="104" spans="3:13" ht="15" customHeight="1">
      <c r="C104" s="701"/>
      <c r="D104" s="2656" t="s">
        <v>526</v>
      </c>
      <c r="E104" s="2659">
        <v>1028.1400000000001</v>
      </c>
      <c r="F104" s="2659">
        <v>814.07</v>
      </c>
      <c r="G104" s="2659">
        <v>600</v>
      </c>
      <c r="H104" s="2328"/>
      <c r="I104" s="920"/>
      <c r="J104" s="2328"/>
      <c r="K104" s="2328"/>
      <c r="L104" s="2328"/>
      <c r="M104" s="699"/>
    </row>
    <row r="105" spans="3:13" ht="15" customHeight="1">
      <c r="C105" s="701"/>
      <c r="D105" s="2656" t="s">
        <v>644</v>
      </c>
      <c r="E105" s="2659">
        <v>0</v>
      </c>
      <c r="F105" s="2659">
        <v>0</v>
      </c>
      <c r="G105" s="2659">
        <v>0</v>
      </c>
      <c r="H105" s="2328"/>
      <c r="I105" s="920"/>
      <c r="J105" s="2328"/>
      <c r="K105" s="2328"/>
      <c r="L105" s="2328"/>
      <c r="M105" s="699"/>
    </row>
    <row r="106" spans="3:13" ht="15" customHeight="1">
      <c r="C106" s="701"/>
      <c r="D106" s="2656" t="s">
        <v>525</v>
      </c>
      <c r="E106" s="3047">
        <v>608.28741428571425</v>
      </c>
      <c r="F106" s="3047">
        <v>577.95709999999997</v>
      </c>
      <c r="G106" s="3047">
        <v>448.56529333333333</v>
      </c>
      <c r="H106" s="2328"/>
      <c r="I106" s="920"/>
      <c r="J106" s="2328"/>
      <c r="K106" s="2328"/>
      <c r="L106" s="2328"/>
      <c r="M106" s="699"/>
    </row>
    <row r="107" spans="3:13" ht="15" customHeight="1">
      <c r="C107" s="701"/>
      <c r="D107" s="2656" t="s">
        <v>498</v>
      </c>
      <c r="E107" s="2659">
        <v>1167.4000000000001</v>
      </c>
      <c r="F107" s="2659">
        <v>987.8</v>
      </c>
      <c r="G107" s="2659">
        <v>898</v>
      </c>
      <c r="H107" s="2328"/>
      <c r="I107" s="920"/>
      <c r="J107" s="2328"/>
      <c r="K107" s="2328"/>
      <c r="L107" s="2328"/>
      <c r="M107" s="699"/>
    </row>
    <row r="108" spans="3:13" ht="15" customHeight="1">
      <c r="C108" s="701"/>
      <c r="D108" s="2656" t="s">
        <v>842</v>
      </c>
      <c r="E108" s="2659">
        <v>1506.85</v>
      </c>
      <c r="F108" s="2659">
        <v>971.29</v>
      </c>
      <c r="G108" s="2659">
        <v>505.13</v>
      </c>
      <c r="H108" s="2328"/>
      <c r="I108" s="2328"/>
      <c r="J108" s="2328"/>
      <c r="K108" s="2328"/>
      <c r="L108" s="2328"/>
      <c r="M108" s="699"/>
    </row>
    <row r="109" spans="3:13" ht="15" customHeight="1">
      <c r="C109" s="701"/>
      <c r="D109" s="2656" t="s">
        <v>843</v>
      </c>
      <c r="E109" s="2659">
        <v>1816.67</v>
      </c>
      <c r="F109" s="2659">
        <v>1816.67</v>
      </c>
      <c r="G109" s="2659">
        <v>1816.67</v>
      </c>
      <c r="H109" s="2328"/>
      <c r="I109" s="2328"/>
      <c r="J109" s="2328"/>
      <c r="K109" s="2328"/>
      <c r="L109" s="2328"/>
      <c r="M109" s="699"/>
    </row>
    <row r="110" spans="3:13" ht="15" customHeight="1">
      <c r="C110" s="701"/>
      <c r="D110" s="2657" t="s">
        <v>824</v>
      </c>
      <c r="E110" s="2657" t="s">
        <v>824</v>
      </c>
      <c r="F110" s="2657" t="s">
        <v>824</v>
      </c>
      <c r="G110" s="2657" t="s">
        <v>824</v>
      </c>
      <c r="H110" s="2328"/>
      <c r="I110" s="2328"/>
      <c r="J110" s="2328"/>
      <c r="K110" s="2328"/>
      <c r="L110" s="2328"/>
      <c r="M110" s="699"/>
    </row>
    <row r="111" spans="3:13" ht="15" customHeight="1">
      <c r="C111" s="701"/>
      <c r="D111" s="2329" t="s">
        <v>844</v>
      </c>
      <c r="E111" s="2330" t="s">
        <v>820</v>
      </c>
      <c r="F111" s="2330" t="s">
        <v>838</v>
      </c>
      <c r="G111" s="2330" t="s">
        <v>839</v>
      </c>
      <c r="H111" s="2328"/>
      <c r="I111" s="2328"/>
      <c r="J111" s="2328"/>
      <c r="K111" s="2328"/>
      <c r="L111" s="2328"/>
      <c r="M111" s="699"/>
    </row>
    <row r="112" spans="3:13" ht="15" customHeight="1">
      <c r="C112" s="701"/>
      <c r="D112" s="2656" t="s">
        <v>542</v>
      </c>
      <c r="E112" s="2660">
        <v>2570.9899999999998</v>
      </c>
      <c r="F112" s="2660">
        <v>2069.31</v>
      </c>
      <c r="G112" s="2660">
        <v>1138.1600000000001</v>
      </c>
      <c r="H112" s="2328"/>
      <c r="I112" s="2328"/>
      <c r="J112" s="2328"/>
      <c r="K112" s="2328"/>
      <c r="L112" s="2328"/>
      <c r="M112" s="699"/>
    </row>
    <row r="113" spans="3:13" ht="15" customHeight="1">
      <c r="C113" s="701"/>
      <c r="D113" s="2656" t="s">
        <v>543</v>
      </c>
      <c r="E113" s="2661">
        <v>3263</v>
      </c>
      <c r="F113" s="2661">
        <v>2624.24</v>
      </c>
      <c r="G113" s="2661">
        <v>1431.64</v>
      </c>
      <c r="H113" s="2328"/>
      <c r="I113" s="2328"/>
      <c r="J113" s="2328"/>
      <c r="K113" s="2328"/>
      <c r="L113" s="2328"/>
      <c r="M113" s="699"/>
    </row>
    <row r="114" spans="3:13" ht="15" customHeight="1">
      <c r="C114" s="701"/>
      <c r="D114" s="2656" t="s">
        <v>544</v>
      </c>
      <c r="E114" s="2661">
        <v>3063</v>
      </c>
      <c r="F114" s="2661">
        <v>2879</v>
      </c>
      <c r="G114" s="2661">
        <v>2090</v>
      </c>
      <c r="H114" s="2328"/>
      <c r="I114" s="2328"/>
      <c r="J114" s="2328"/>
      <c r="K114" s="2328"/>
      <c r="L114" s="2328"/>
      <c r="M114" s="699"/>
    </row>
    <row r="115" spans="3:13" ht="15" customHeight="1">
      <c r="C115" s="701"/>
      <c r="D115" s="2656" t="s">
        <v>545</v>
      </c>
      <c r="E115" s="2662">
        <v>1228</v>
      </c>
      <c r="F115" s="2662">
        <v>871</v>
      </c>
      <c r="G115" s="2662">
        <v>807</v>
      </c>
      <c r="H115" s="2328"/>
      <c r="I115" s="2328"/>
      <c r="J115" s="2328"/>
      <c r="K115" s="2328"/>
      <c r="L115" s="2328"/>
      <c r="M115" s="699"/>
    </row>
    <row r="116" spans="3:13" ht="15" customHeight="1">
      <c r="C116" s="701"/>
      <c r="D116" s="2656" t="s">
        <v>845</v>
      </c>
      <c r="E116" s="2661">
        <v>1858</v>
      </c>
      <c r="F116" s="2661">
        <v>1208</v>
      </c>
      <c r="G116" s="2661">
        <v>874</v>
      </c>
      <c r="H116" s="2328"/>
      <c r="I116" s="2328"/>
      <c r="J116" s="2328"/>
      <c r="K116" s="2328"/>
      <c r="L116" s="2328"/>
      <c r="M116" s="699"/>
    </row>
    <row r="117" spans="3:13" ht="15" customHeight="1">
      <c r="C117" s="701"/>
      <c r="D117" s="2656" t="s">
        <v>547</v>
      </c>
      <c r="E117" s="2662">
        <v>1170</v>
      </c>
      <c r="F117" s="2662">
        <v>1266</v>
      </c>
      <c r="G117" s="2662">
        <v>1435</v>
      </c>
      <c r="H117" s="2328"/>
      <c r="I117" s="2328"/>
      <c r="J117" s="2328"/>
      <c r="K117" s="2328"/>
      <c r="L117" s="2328"/>
      <c r="M117" s="699"/>
    </row>
    <row r="118" spans="3:13" ht="15" customHeight="1">
      <c r="C118" s="701"/>
      <c r="D118" s="2656" t="s">
        <v>548</v>
      </c>
      <c r="E118" s="2661">
        <v>5131.2</v>
      </c>
      <c r="F118" s="2661">
        <v>2868</v>
      </c>
      <c r="G118" s="2661">
        <v>2760</v>
      </c>
      <c r="H118" s="2328"/>
      <c r="I118" s="2328"/>
      <c r="J118" s="2328"/>
      <c r="K118" s="2328"/>
      <c r="L118" s="2328"/>
      <c r="M118" s="699"/>
    </row>
    <row r="119" spans="3:13" ht="15" customHeight="1">
      <c r="C119" s="701"/>
      <c r="D119" s="2656" t="s">
        <v>501</v>
      </c>
      <c r="E119" s="2661">
        <v>7094.45</v>
      </c>
      <c r="F119" s="2661">
        <f>AVERAGE(E119,G119)</f>
        <v>5633.3377799999998</v>
      </c>
      <c r="G119" s="2662">
        <v>4172.2255599999999</v>
      </c>
      <c r="H119" s="2328"/>
      <c r="I119" s="2328"/>
      <c r="J119" s="2328"/>
      <c r="K119" s="2328"/>
      <c r="L119" s="2328"/>
      <c r="M119" s="699"/>
    </row>
    <row r="120" spans="3:13" ht="15" customHeight="1">
      <c r="C120" s="701"/>
      <c r="D120" s="2656" t="s">
        <v>162</v>
      </c>
      <c r="E120" s="2661">
        <v>3170</v>
      </c>
      <c r="F120" s="2661">
        <v>1961.92</v>
      </c>
      <c r="G120" s="2661">
        <v>500</v>
      </c>
      <c r="H120" s="2328"/>
      <c r="I120" s="2328"/>
      <c r="J120" s="2328"/>
      <c r="K120" s="2328"/>
      <c r="L120" s="2328"/>
      <c r="M120" s="699"/>
    </row>
    <row r="121" spans="3:13" ht="15" customHeight="1">
      <c r="C121" s="701"/>
      <c r="D121" s="2654" t="s">
        <v>504</v>
      </c>
      <c r="E121" s="2663">
        <v>1794.8</v>
      </c>
      <c r="F121" s="2663">
        <v>1794.8</v>
      </c>
      <c r="G121" s="2663">
        <v>1794.8</v>
      </c>
      <c r="H121" s="2328"/>
      <c r="I121" s="2328"/>
      <c r="J121" s="2328"/>
      <c r="K121" s="2328"/>
      <c r="L121" s="2328"/>
      <c r="M121" s="699"/>
    </row>
    <row r="122" spans="3:13" ht="15" customHeight="1">
      <c r="C122" s="701"/>
      <c r="D122" s="701"/>
      <c r="E122" s="2328"/>
      <c r="F122" s="2328"/>
      <c r="G122" s="2328"/>
      <c r="H122" s="2328"/>
      <c r="I122" s="2328"/>
      <c r="J122" s="2328"/>
      <c r="K122" s="2328"/>
      <c r="L122" s="2328"/>
      <c r="M122" s="699"/>
    </row>
    <row r="123" spans="3:13" ht="15" customHeight="1">
      <c r="C123" s="701"/>
      <c r="D123" s="2664" t="s">
        <v>846</v>
      </c>
      <c r="E123" s="2328"/>
      <c r="F123" s="2328"/>
      <c r="G123" s="2328"/>
      <c r="H123" s="2328"/>
      <c r="I123" s="2328"/>
      <c r="J123" s="2328"/>
      <c r="K123" s="2328"/>
      <c r="L123" s="2328"/>
      <c r="M123" s="2328"/>
    </row>
    <row r="124" spans="3:13" ht="15" customHeight="1">
      <c r="C124" s="701"/>
      <c r="D124" s="701"/>
      <c r="E124" s="2328"/>
      <c r="F124" s="2328"/>
      <c r="G124" s="2655" t="s">
        <v>837</v>
      </c>
      <c r="H124" s="2328"/>
      <c r="I124" s="2328"/>
      <c r="J124" s="2328"/>
      <c r="K124" s="2328"/>
      <c r="L124" s="2328"/>
      <c r="M124" s="2328"/>
    </row>
    <row r="125" spans="3:13" ht="15" customHeight="1">
      <c r="C125" s="701"/>
      <c r="D125" s="2329" t="s">
        <v>62</v>
      </c>
      <c r="E125" s="2330" t="s">
        <v>820</v>
      </c>
      <c r="F125" s="2330" t="s">
        <v>838</v>
      </c>
      <c r="G125" s="2330" t="s">
        <v>839</v>
      </c>
      <c r="H125" s="2328"/>
      <c r="I125" s="2328"/>
      <c r="J125" s="2328"/>
      <c r="K125" s="2328"/>
      <c r="L125" s="2328"/>
      <c r="M125" s="701"/>
    </row>
    <row r="126" spans="3:13" ht="15" customHeight="1">
      <c r="C126" s="701"/>
      <c r="D126" s="2656" t="s">
        <v>840</v>
      </c>
      <c r="E126" s="2659">
        <v>29.19</v>
      </c>
      <c r="F126" s="2659">
        <v>24.7</v>
      </c>
      <c r="G126" s="2659">
        <v>22.45</v>
      </c>
      <c r="H126" s="2328"/>
      <c r="I126" s="2328"/>
      <c r="J126" s="2328"/>
      <c r="K126" s="2328"/>
      <c r="L126" s="2328"/>
      <c r="M126" s="701"/>
    </row>
    <row r="127" spans="3:13" ht="15" customHeight="1">
      <c r="C127" s="701"/>
      <c r="D127" s="2656" t="s">
        <v>841</v>
      </c>
      <c r="E127" s="2659">
        <v>131.25</v>
      </c>
      <c r="F127" s="2659">
        <v>44.58</v>
      </c>
      <c r="G127" s="2659">
        <v>39.630000000000003</v>
      </c>
      <c r="H127" s="2328"/>
      <c r="I127" s="2328"/>
      <c r="J127" s="2328"/>
      <c r="K127" s="2328"/>
      <c r="L127" s="2328"/>
      <c r="M127" s="701"/>
    </row>
    <row r="128" spans="3:13" ht="15" customHeight="1">
      <c r="C128" s="701"/>
      <c r="D128" s="2656" t="s">
        <v>526</v>
      </c>
      <c r="E128" s="2659">
        <v>15.42</v>
      </c>
      <c r="F128" s="2659">
        <v>12.21</v>
      </c>
      <c r="G128" s="2659">
        <v>9</v>
      </c>
      <c r="H128" s="2328"/>
      <c r="I128" s="2328"/>
      <c r="J128" s="2328"/>
      <c r="K128" s="2328"/>
      <c r="L128" s="2328"/>
      <c r="M128" s="701"/>
    </row>
    <row r="129" spans="3:13" ht="15" customHeight="1">
      <c r="C129" s="701"/>
      <c r="D129" s="2656" t="s">
        <v>644</v>
      </c>
      <c r="E129" s="2659">
        <v>0</v>
      </c>
      <c r="F129" s="2659">
        <v>0</v>
      </c>
      <c r="G129" s="2659">
        <v>0</v>
      </c>
      <c r="H129" s="2328"/>
      <c r="I129" s="2328"/>
      <c r="J129" s="2328"/>
      <c r="K129" s="2328"/>
      <c r="L129" s="2328"/>
      <c r="M129" s="701"/>
    </row>
    <row r="130" spans="3:13" ht="15" customHeight="1">
      <c r="C130" s="701"/>
      <c r="D130" s="2656" t="s">
        <v>525</v>
      </c>
      <c r="E130" s="2659">
        <v>42.580119000000003</v>
      </c>
      <c r="F130" s="2659">
        <v>40.456997000000001</v>
      </c>
      <c r="G130" s="2659">
        <v>31.399570533333335</v>
      </c>
      <c r="H130" s="2328"/>
      <c r="I130" s="2328"/>
      <c r="J130" s="2328"/>
      <c r="K130" s="2328"/>
      <c r="L130" s="2328"/>
      <c r="M130" s="701"/>
    </row>
    <row r="131" spans="3:13" ht="15" customHeight="1">
      <c r="C131" s="701"/>
      <c r="D131" s="2656" t="s">
        <v>498</v>
      </c>
      <c r="E131" s="2659">
        <v>29.19</v>
      </c>
      <c r="F131" s="2659">
        <v>24.7</v>
      </c>
      <c r="G131" s="2659">
        <v>22.45</v>
      </c>
      <c r="H131" s="2328"/>
      <c r="I131" s="2328"/>
      <c r="J131" s="2328"/>
      <c r="K131" s="2328"/>
      <c r="L131" s="2328"/>
      <c r="M131" s="701"/>
    </row>
    <row r="132" spans="3:13" ht="15" customHeight="1">
      <c r="C132" s="701"/>
      <c r="D132" s="2656" t="s">
        <v>842</v>
      </c>
      <c r="E132" s="2659">
        <v>37.67</v>
      </c>
      <c r="F132" s="2659">
        <v>24.28</v>
      </c>
      <c r="G132" s="2659">
        <v>12.63</v>
      </c>
      <c r="H132" s="2328"/>
      <c r="I132" s="2328"/>
      <c r="J132" s="2328"/>
      <c r="K132" s="2328"/>
      <c r="L132" s="2328"/>
      <c r="M132" s="701"/>
    </row>
    <row r="133" spans="3:13" ht="15" customHeight="1">
      <c r="C133" s="701"/>
      <c r="D133" s="2654" t="s">
        <v>843</v>
      </c>
      <c r="E133" s="3048">
        <v>45.42</v>
      </c>
      <c r="F133" s="3048">
        <v>45.42</v>
      </c>
      <c r="G133" s="3048">
        <v>45.42</v>
      </c>
      <c r="H133" s="2328"/>
      <c r="I133" s="2328"/>
      <c r="J133" s="2328"/>
      <c r="K133" s="2328"/>
      <c r="L133" s="2328"/>
      <c r="M133" s="701"/>
    </row>
    <row r="134" spans="3:13" ht="15" customHeight="1">
      <c r="C134" s="701"/>
      <c r="D134" s="2657" t="s">
        <v>824</v>
      </c>
      <c r="E134" s="2657" t="s">
        <v>824</v>
      </c>
      <c r="F134" s="2657" t="s">
        <v>824</v>
      </c>
      <c r="G134" s="2657" t="s">
        <v>824</v>
      </c>
      <c r="H134" s="2328"/>
      <c r="I134" s="2328"/>
      <c r="J134" s="2328"/>
      <c r="K134" s="2328"/>
      <c r="L134" s="2328"/>
      <c r="M134" s="701"/>
    </row>
    <row r="135" spans="3:13" ht="15" customHeight="1">
      <c r="C135" s="701"/>
      <c r="D135" s="2329" t="s">
        <v>844</v>
      </c>
      <c r="E135" s="2330" t="s">
        <v>820</v>
      </c>
      <c r="F135" s="2330" t="s">
        <v>838</v>
      </c>
      <c r="G135" s="2330" t="s">
        <v>839</v>
      </c>
      <c r="H135" s="2328"/>
      <c r="I135" s="2328"/>
      <c r="J135" s="2328"/>
      <c r="K135" s="2328"/>
      <c r="L135" s="2328"/>
      <c r="M135" s="701"/>
    </row>
    <row r="136" spans="3:13" ht="15" customHeight="1">
      <c r="C136" s="701"/>
      <c r="D136" s="2656" t="s">
        <v>542</v>
      </c>
      <c r="E136" s="2660">
        <v>25.71</v>
      </c>
      <c r="F136" s="2660">
        <v>20.69</v>
      </c>
      <c r="G136" s="2660">
        <v>11.38</v>
      </c>
      <c r="H136" s="2328"/>
      <c r="I136" s="2328"/>
      <c r="J136" s="2328"/>
      <c r="K136" s="2328"/>
      <c r="L136" s="2328"/>
      <c r="M136" s="701"/>
    </row>
    <row r="137" spans="3:13" ht="15" customHeight="1">
      <c r="C137" s="701"/>
      <c r="D137" s="2656" t="s">
        <v>543</v>
      </c>
      <c r="E137" s="2661">
        <v>48.57</v>
      </c>
      <c r="F137" s="2661">
        <v>26.24</v>
      </c>
      <c r="G137" s="2661">
        <v>14.32</v>
      </c>
      <c r="H137" s="2328"/>
      <c r="I137" s="2328"/>
      <c r="J137" s="2328"/>
      <c r="K137" s="2328"/>
      <c r="L137" s="2328"/>
      <c r="M137" s="701"/>
    </row>
    <row r="138" spans="3:13" ht="15" customHeight="1">
      <c r="C138" s="701"/>
      <c r="D138" s="2656" t="s">
        <v>544</v>
      </c>
      <c r="E138" s="2661">
        <v>45</v>
      </c>
      <c r="F138" s="2661">
        <v>32</v>
      </c>
      <c r="G138" s="2661">
        <v>27</v>
      </c>
      <c r="H138" s="2328"/>
      <c r="I138" s="2328"/>
      <c r="J138" s="2328"/>
      <c r="K138" s="2328"/>
      <c r="L138" s="2328"/>
      <c r="M138" s="701"/>
    </row>
    <row r="139" spans="3:13" ht="15" customHeight="1">
      <c r="C139" s="701"/>
      <c r="D139" s="2656" t="s">
        <v>545</v>
      </c>
      <c r="E139" s="2662">
        <v>24.560000000000002</v>
      </c>
      <c r="F139" s="2662">
        <v>17.420000000000002</v>
      </c>
      <c r="G139" s="2662">
        <v>16.14</v>
      </c>
      <c r="H139" s="2328"/>
      <c r="I139" s="2328"/>
      <c r="J139" s="2328"/>
      <c r="K139" s="2328"/>
      <c r="L139" s="2328"/>
      <c r="M139" s="701"/>
    </row>
    <row r="140" spans="3:13" ht="15" customHeight="1">
      <c r="C140" s="701"/>
      <c r="D140" s="2656" t="s">
        <v>845</v>
      </c>
      <c r="E140" s="2661">
        <v>37.160000000000004</v>
      </c>
      <c r="F140" s="2661">
        <v>24.16</v>
      </c>
      <c r="G140" s="2661">
        <v>17.48</v>
      </c>
      <c r="H140" s="2328"/>
      <c r="I140" s="2328"/>
      <c r="J140" s="2328"/>
      <c r="K140" s="2328"/>
      <c r="L140" s="2328"/>
      <c r="M140" s="701"/>
    </row>
    <row r="141" spans="3:13" ht="15" customHeight="1">
      <c r="C141" s="701"/>
      <c r="D141" s="2656" t="s">
        <v>547</v>
      </c>
      <c r="E141" s="2662">
        <v>23.400000000000002</v>
      </c>
      <c r="F141" s="2662">
        <v>25.32</v>
      </c>
      <c r="G141" s="2662">
        <v>28.7</v>
      </c>
      <c r="H141" s="2328"/>
      <c r="I141" s="2328"/>
      <c r="J141" s="2328"/>
      <c r="K141" s="2328"/>
      <c r="L141" s="2328"/>
      <c r="M141" s="701"/>
    </row>
    <row r="142" spans="3:13" ht="15" customHeight="1">
      <c r="C142" s="701"/>
      <c r="D142" s="2656" t="s">
        <v>548</v>
      </c>
      <c r="E142" s="2661">
        <v>256.8</v>
      </c>
      <c r="F142" s="2661">
        <v>67.92</v>
      </c>
      <c r="G142" s="2661">
        <v>36</v>
      </c>
      <c r="H142" s="2328"/>
      <c r="I142" s="2328"/>
      <c r="J142" s="2328"/>
      <c r="K142" s="2328"/>
      <c r="L142" s="2328"/>
      <c r="M142" s="701"/>
    </row>
    <row r="143" spans="3:13" ht="15" customHeight="1">
      <c r="C143" s="701"/>
      <c r="D143" s="2656" t="s">
        <v>501</v>
      </c>
      <c r="E143" s="2661">
        <v>212.83349999999999</v>
      </c>
      <c r="F143" s="2661">
        <v>169.00013339999998</v>
      </c>
      <c r="G143" s="2662">
        <v>125.16676679999999</v>
      </c>
      <c r="H143" s="2328"/>
      <c r="I143" s="2328"/>
      <c r="J143" s="2328"/>
      <c r="K143" s="2328"/>
      <c r="L143" s="2328"/>
      <c r="M143" s="701"/>
    </row>
    <row r="144" spans="3:13" ht="15" customHeight="1">
      <c r="C144" s="701"/>
      <c r="D144" s="2656" t="s">
        <v>162</v>
      </c>
      <c r="E144" s="2661">
        <v>54.65</v>
      </c>
      <c r="F144" s="2661">
        <v>29.43</v>
      </c>
      <c r="G144" s="2661">
        <v>7.5</v>
      </c>
      <c r="H144" s="2328"/>
      <c r="I144" s="2328"/>
      <c r="J144" s="2328"/>
      <c r="K144" s="2328"/>
      <c r="L144" s="2328"/>
      <c r="M144" s="701"/>
    </row>
    <row r="145" spans="3:13" ht="15" customHeight="1">
      <c r="C145" s="701"/>
      <c r="D145" s="2654" t="s">
        <v>504</v>
      </c>
      <c r="E145" s="2663">
        <v>26.92</v>
      </c>
      <c r="F145" s="2663">
        <v>26.92</v>
      </c>
      <c r="G145" s="2663">
        <v>26.92</v>
      </c>
      <c r="H145" s="2328"/>
      <c r="I145" s="2328"/>
      <c r="J145" s="2328"/>
      <c r="K145" s="2328"/>
      <c r="L145" s="2328"/>
      <c r="M145" s="701"/>
    </row>
    <row r="146" spans="3:13" ht="15" customHeight="1">
      <c r="C146" s="701"/>
      <c r="D146" s="701"/>
      <c r="E146" s="2328"/>
      <c r="F146" s="2328"/>
      <c r="G146" s="2328"/>
      <c r="H146" s="2328"/>
      <c r="I146" s="2328"/>
      <c r="J146" s="2328"/>
      <c r="K146" s="2328"/>
      <c r="L146" s="2328"/>
      <c r="M146" s="701"/>
    </row>
    <row r="147" spans="3:13" ht="15" customHeight="1">
      <c r="C147" s="701"/>
      <c r="D147" s="701"/>
      <c r="E147" s="2328"/>
      <c r="F147" s="2328"/>
      <c r="G147" s="2328"/>
      <c r="H147" s="2328"/>
      <c r="I147" s="2328"/>
      <c r="J147" s="2328"/>
      <c r="K147" s="2328"/>
      <c r="L147" s="2328"/>
      <c r="M147" s="701"/>
    </row>
    <row r="148" spans="3:13" ht="15" customHeight="1">
      <c r="C148" s="701"/>
      <c r="D148" s="701"/>
      <c r="E148" s="2328"/>
      <c r="F148" s="2328"/>
      <c r="G148" s="2328"/>
      <c r="H148" s="2328"/>
      <c r="I148" s="2328"/>
      <c r="J148" s="2328"/>
      <c r="K148" s="2328"/>
      <c r="L148" s="2328"/>
      <c r="M148" s="701"/>
    </row>
    <row r="149" spans="3:13" ht="15" customHeight="1">
      <c r="C149" s="701"/>
      <c r="D149" s="2334" t="s">
        <v>847</v>
      </c>
      <c r="E149" s="2334"/>
      <c r="F149" s="2334"/>
      <c r="G149" s="2334"/>
      <c r="H149" s="2334"/>
      <c r="I149" s="2334"/>
      <c r="J149" s="2334"/>
      <c r="K149" s="2334"/>
      <c r="L149" s="2334"/>
      <c r="M149" s="701"/>
    </row>
    <row r="150" spans="3:13" ht="15" customHeight="1">
      <c r="C150" s="701"/>
      <c r="D150" s="701"/>
      <c r="E150" s="2328"/>
      <c r="F150" s="2328"/>
      <c r="G150" s="2328"/>
      <c r="H150" s="2328"/>
      <c r="I150" s="2328"/>
      <c r="J150" s="2328"/>
      <c r="K150" s="2328"/>
      <c r="L150" s="2328"/>
      <c r="M150" s="701"/>
    </row>
    <row r="151" spans="3:13" ht="15" customHeight="1">
      <c r="C151" s="701"/>
      <c r="D151" s="701"/>
      <c r="E151" s="2328"/>
      <c r="F151" s="2328"/>
      <c r="G151" s="2328"/>
      <c r="H151" s="2328"/>
      <c r="I151" s="2328"/>
      <c r="J151" s="2328"/>
      <c r="K151" s="2328"/>
      <c r="L151" s="2328"/>
      <c r="M151" s="701"/>
    </row>
    <row r="152" spans="3:13" ht="15" customHeight="1">
      <c r="C152" s="701"/>
      <c r="D152" s="894" t="s">
        <v>848</v>
      </c>
      <c r="E152" s="2335"/>
      <c r="F152" s="2335"/>
      <c r="G152" s="2335"/>
      <c r="H152" s="2335"/>
      <c r="I152" s="2335"/>
      <c r="J152" s="2335"/>
      <c r="K152" s="2335"/>
      <c r="L152" s="2335"/>
      <c r="M152" s="701"/>
    </row>
    <row r="153" spans="3:13" ht="15" customHeight="1">
      <c r="C153" s="701"/>
      <c r="D153" s="701"/>
      <c r="E153" s="2328"/>
      <c r="F153" s="2328"/>
      <c r="G153" s="2328"/>
      <c r="H153" s="2328"/>
      <c r="I153" s="2328"/>
      <c r="J153" s="2328"/>
      <c r="K153" s="2328"/>
      <c r="L153" s="2328"/>
      <c r="M153" s="701"/>
    </row>
    <row r="154" spans="3:13" ht="15" customHeight="1">
      <c r="C154" s="701"/>
      <c r="D154" s="707" t="s">
        <v>849</v>
      </c>
      <c r="E154" s="2373"/>
      <c r="F154" s="2373"/>
      <c r="G154" s="2373"/>
      <c r="H154" s="3737"/>
      <c r="I154" s="3737"/>
      <c r="J154" s="3737"/>
      <c r="K154" s="3737"/>
      <c r="L154" s="2328"/>
      <c r="M154" s="701"/>
    </row>
    <row r="155" spans="3:13" ht="15" customHeight="1">
      <c r="C155" s="701"/>
      <c r="D155" s="2329" t="s">
        <v>789</v>
      </c>
      <c r="E155" s="3747" t="s">
        <v>850</v>
      </c>
      <c r="F155" s="3747" t="s">
        <v>851</v>
      </c>
      <c r="G155" s="3747"/>
      <c r="H155" s="3747" t="s">
        <v>698</v>
      </c>
      <c r="I155" s="3737"/>
      <c r="J155" s="3737"/>
      <c r="K155" s="3737"/>
      <c r="L155" s="2328"/>
      <c r="M155" s="701"/>
    </row>
    <row r="156" spans="3:13" ht="15" customHeight="1">
      <c r="C156" s="701"/>
      <c r="D156" s="2336" t="s">
        <v>795</v>
      </c>
      <c r="E156" s="3741">
        <v>8744.9615610238106</v>
      </c>
      <c r="F156" s="3741">
        <v>451.2</v>
      </c>
      <c r="G156" s="3741"/>
      <c r="H156" s="2367" t="s">
        <v>852</v>
      </c>
      <c r="I156" s="3737"/>
      <c r="J156" s="3737"/>
      <c r="K156" s="3737"/>
      <c r="L156" s="2328"/>
      <c r="M156" s="701"/>
    </row>
    <row r="157" spans="3:13" ht="15" customHeight="1">
      <c r="C157" s="701"/>
      <c r="D157" s="2336" t="s">
        <v>791</v>
      </c>
      <c r="E157" s="3741">
        <v>8744.961561023807</v>
      </c>
      <c r="F157" s="3741">
        <v>451.2</v>
      </c>
      <c r="G157" s="3741"/>
      <c r="H157" s="2367" t="s">
        <v>852</v>
      </c>
      <c r="I157" s="3737"/>
      <c r="J157" s="3737"/>
      <c r="K157" s="3737"/>
      <c r="L157" s="2328"/>
      <c r="M157" s="701"/>
    </row>
    <row r="158" spans="3:13" ht="15" customHeight="1">
      <c r="C158" s="701"/>
      <c r="D158" s="2336" t="s">
        <v>853</v>
      </c>
      <c r="E158" s="3741">
        <v>7112.9423099201758</v>
      </c>
      <c r="F158" s="3741">
        <v>432</v>
      </c>
      <c r="G158" s="3741"/>
      <c r="H158" s="2367" t="s">
        <v>852</v>
      </c>
      <c r="I158" s="3737"/>
      <c r="J158" s="3737"/>
      <c r="K158" s="3737"/>
      <c r="L158" s="2328"/>
      <c r="M158" s="701"/>
    </row>
    <row r="159" spans="3:13" ht="15" customHeight="1">
      <c r="C159" s="701"/>
      <c r="D159" s="2337" t="s">
        <v>854</v>
      </c>
      <c r="E159" s="3745">
        <v>7112.9423099201758</v>
      </c>
      <c r="F159" s="3745">
        <v>432</v>
      </c>
      <c r="G159" s="3745"/>
      <c r="H159" s="2529" t="s">
        <v>852</v>
      </c>
      <c r="I159" s="3737"/>
      <c r="J159" s="3737"/>
      <c r="K159" s="3737"/>
      <c r="L159" s="2328"/>
      <c r="M159" s="701"/>
    </row>
    <row r="160" spans="3:13" ht="15" customHeight="1">
      <c r="C160" s="701"/>
      <c r="D160" s="895"/>
      <c r="E160" s="2373"/>
      <c r="F160" s="2373"/>
      <c r="G160" s="2373"/>
      <c r="H160" s="3737"/>
      <c r="I160" s="3737"/>
      <c r="J160" s="3737"/>
      <c r="K160" s="3737"/>
      <c r="L160" s="2328"/>
      <c r="M160" s="701"/>
    </row>
    <row r="161" spans="3:13" ht="15" customHeight="1">
      <c r="C161" s="701"/>
      <c r="D161" s="707" t="s">
        <v>855</v>
      </c>
      <c r="E161" s="2373"/>
      <c r="F161" s="2373"/>
      <c r="G161" s="2373"/>
      <c r="H161" s="3737"/>
      <c r="I161" s="3737"/>
      <c r="J161" s="3737"/>
      <c r="K161" s="3737"/>
      <c r="L161" s="2328"/>
      <c r="M161" s="701"/>
    </row>
    <row r="162" spans="3:13" ht="15" customHeight="1">
      <c r="C162" s="701"/>
      <c r="D162" s="2329" t="s">
        <v>789</v>
      </c>
      <c r="E162" s="3747" t="s">
        <v>850</v>
      </c>
      <c r="F162" s="3747" t="s">
        <v>851</v>
      </c>
      <c r="G162" s="3747"/>
      <c r="H162" s="3747" t="s">
        <v>698</v>
      </c>
      <c r="I162" s="3737"/>
      <c r="J162" s="3737"/>
      <c r="K162" s="3737"/>
      <c r="L162" s="2328"/>
      <c r="M162" s="701"/>
    </row>
    <row r="163" spans="3:13" ht="15" customHeight="1">
      <c r="C163" s="701"/>
      <c r="D163" s="2336" t="s">
        <v>795</v>
      </c>
      <c r="E163" s="3741">
        <f t="shared" ref="E163:F166" si="2">E156*COSTOS_MEDIO</f>
        <v>6995.9692488190485</v>
      </c>
      <c r="F163" s="3741">
        <f t="shared" si="2"/>
        <v>360.96000000000004</v>
      </c>
      <c r="G163" s="3741"/>
      <c r="H163" s="2367" t="s">
        <v>852</v>
      </c>
      <c r="I163" s="3737"/>
      <c r="J163" s="3737"/>
      <c r="K163" s="3737"/>
      <c r="L163" s="2328"/>
      <c r="M163" s="701"/>
    </row>
    <row r="164" spans="3:13" ht="15" customHeight="1">
      <c r="C164" s="701"/>
      <c r="D164" s="2336" t="s">
        <v>791</v>
      </c>
      <c r="E164" s="3741">
        <f t="shared" si="2"/>
        <v>6995.9692488190458</v>
      </c>
      <c r="F164" s="3741">
        <f t="shared" si="2"/>
        <v>360.96000000000004</v>
      </c>
      <c r="G164" s="3741"/>
      <c r="H164" s="2367" t="s">
        <v>852</v>
      </c>
      <c r="I164" s="3737"/>
      <c r="J164" s="3737"/>
      <c r="K164" s="3737"/>
      <c r="L164" s="2328"/>
      <c r="M164" s="701"/>
    </row>
    <row r="165" spans="3:13" ht="15" customHeight="1">
      <c r="C165" s="701"/>
      <c r="D165" s="2336" t="s">
        <v>853</v>
      </c>
      <c r="E165" s="3741">
        <f t="shared" si="2"/>
        <v>5690.3538479361414</v>
      </c>
      <c r="F165" s="3741">
        <f t="shared" si="2"/>
        <v>345.6</v>
      </c>
      <c r="G165" s="3741"/>
      <c r="H165" s="2367" t="s">
        <v>852</v>
      </c>
      <c r="I165" s="3737"/>
      <c r="J165" s="3737"/>
      <c r="K165" s="3737"/>
      <c r="L165" s="2328"/>
      <c r="M165" s="701"/>
    </row>
    <row r="166" spans="3:13" ht="15" customHeight="1">
      <c r="C166" s="701"/>
      <c r="D166" s="2337" t="s">
        <v>854</v>
      </c>
      <c r="E166" s="3745">
        <f t="shared" si="2"/>
        <v>5690.3538479361414</v>
      </c>
      <c r="F166" s="3745">
        <f t="shared" si="2"/>
        <v>345.6</v>
      </c>
      <c r="G166" s="3745"/>
      <c r="H166" s="2529" t="s">
        <v>852</v>
      </c>
      <c r="I166" s="3737"/>
      <c r="J166" s="3737"/>
      <c r="K166" s="3737"/>
      <c r="L166" s="2328"/>
      <c r="M166" s="701"/>
    </row>
    <row r="167" spans="3:13" ht="15" customHeight="1">
      <c r="C167" s="701"/>
      <c r="D167" s="895"/>
      <c r="E167" s="2373"/>
      <c r="F167" s="2373"/>
      <c r="G167" s="2373"/>
      <c r="H167" s="3737"/>
      <c r="I167" s="3737"/>
      <c r="J167" s="3737"/>
      <c r="K167" s="3737"/>
      <c r="L167" s="2328"/>
      <c r="M167" s="2347"/>
    </row>
    <row r="168" spans="3:13" ht="15" customHeight="1">
      <c r="C168" s="701"/>
      <c r="D168" s="707" t="s">
        <v>856</v>
      </c>
      <c r="E168" s="2373"/>
      <c r="F168" s="2373"/>
      <c r="G168" s="2373"/>
      <c r="H168" s="3737"/>
      <c r="I168" s="3737"/>
      <c r="J168" s="3737"/>
      <c r="K168" s="3737"/>
      <c r="L168" s="2328"/>
      <c r="M168" s="2347"/>
    </row>
    <row r="169" spans="3:13" ht="15" customHeight="1">
      <c r="C169" s="701"/>
      <c r="D169" s="2329" t="s">
        <v>789</v>
      </c>
      <c r="E169" s="3747" t="s">
        <v>850</v>
      </c>
      <c r="F169" s="3747" t="s">
        <v>851</v>
      </c>
      <c r="G169" s="3747"/>
      <c r="H169" s="3747" t="s">
        <v>698</v>
      </c>
      <c r="I169" s="3737"/>
      <c r="J169" s="3737"/>
      <c r="K169" s="3737"/>
      <c r="L169" s="2328"/>
      <c r="M169" s="701"/>
    </row>
    <row r="170" spans="3:13" ht="15" customHeight="1">
      <c r="C170" s="701"/>
      <c r="D170" s="2336" t="s">
        <v>795</v>
      </c>
      <c r="E170" s="3741">
        <f t="shared" ref="E170:F173" si="3">E156*COSTOS_BAJO</f>
        <v>6121.4730927166675</v>
      </c>
      <c r="F170" s="3741">
        <f t="shared" si="3"/>
        <v>315.83999999999997</v>
      </c>
      <c r="G170" s="3741"/>
      <c r="H170" s="2367" t="s">
        <v>852</v>
      </c>
      <c r="I170" s="3737"/>
      <c r="J170" s="3737"/>
      <c r="K170" s="3737"/>
      <c r="L170" s="2328"/>
      <c r="M170" s="699"/>
    </row>
    <row r="171" spans="3:13" ht="15" customHeight="1">
      <c r="C171" s="701"/>
      <c r="D171" s="2336" t="s">
        <v>791</v>
      </c>
      <c r="E171" s="3741">
        <f t="shared" si="3"/>
        <v>6121.4730927166647</v>
      </c>
      <c r="F171" s="3741">
        <f t="shared" si="3"/>
        <v>315.83999999999997</v>
      </c>
      <c r="G171" s="3741"/>
      <c r="H171" s="2367" t="s">
        <v>852</v>
      </c>
      <c r="I171" s="3737"/>
      <c r="J171" s="3737"/>
      <c r="K171" s="3737"/>
      <c r="L171" s="2328"/>
      <c r="M171" s="699"/>
    </row>
    <row r="172" spans="3:13" ht="15" customHeight="1">
      <c r="C172" s="701"/>
      <c r="D172" s="2336" t="s">
        <v>853</v>
      </c>
      <c r="E172" s="3741">
        <f t="shared" si="3"/>
        <v>4979.0596169441224</v>
      </c>
      <c r="F172" s="3741">
        <f t="shared" si="3"/>
        <v>302.39999999999998</v>
      </c>
      <c r="G172" s="3741"/>
      <c r="H172" s="2367" t="s">
        <v>852</v>
      </c>
      <c r="I172" s="3737"/>
      <c r="J172" s="3737"/>
      <c r="K172" s="3737"/>
      <c r="L172" s="2328"/>
      <c r="M172" s="699"/>
    </row>
    <row r="173" spans="3:13" ht="15" customHeight="1">
      <c r="C173" s="701"/>
      <c r="D173" s="2337" t="s">
        <v>854</v>
      </c>
      <c r="E173" s="3745">
        <f t="shared" si="3"/>
        <v>4979.0596169441224</v>
      </c>
      <c r="F173" s="3745">
        <f t="shared" si="3"/>
        <v>302.39999999999998</v>
      </c>
      <c r="G173" s="3745"/>
      <c r="H173" s="2529" t="s">
        <v>852</v>
      </c>
      <c r="I173" s="3737"/>
      <c r="J173" s="3737"/>
      <c r="K173" s="3737"/>
      <c r="L173" s="2328"/>
      <c r="M173" s="699"/>
    </row>
    <row r="174" spans="3:13" ht="15" customHeight="1">
      <c r="C174" s="701"/>
      <c r="D174" s="2336"/>
      <c r="E174" s="3741"/>
      <c r="F174" s="3741"/>
      <c r="G174" s="3741"/>
      <c r="H174" s="2367"/>
      <c r="I174" s="3737"/>
      <c r="J174" s="3737"/>
      <c r="K174" s="3737"/>
      <c r="L174" s="2328"/>
      <c r="M174" s="699"/>
    </row>
    <row r="175" spans="3:13" ht="15" customHeight="1">
      <c r="C175" s="701"/>
      <c r="D175" s="699"/>
      <c r="E175" s="699"/>
      <c r="F175" s="699"/>
      <c r="G175" s="699"/>
      <c r="H175" s="699"/>
      <c r="I175" s="699"/>
      <c r="J175" s="699"/>
      <c r="K175" s="699"/>
      <c r="L175" s="699"/>
      <c r="M175" s="699"/>
    </row>
    <row r="176" spans="3:13" ht="15" customHeight="1">
      <c r="C176" s="701"/>
      <c r="D176" s="894" t="s">
        <v>857</v>
      </c>
      <c r="E176" s="2335"/>
      <c r="F176" s="2335"/>
      <c r="G176" s="2335"/>
      <c r="H176" s="2335"/>
      <c r="I176" s="2335"/>
      <c r="J176" s="2335"/>
      <c r="K176" s="2335"/>
      <c r="L176" s="2335"/>
      <c r="M176" s="699"/>
    </row>
    <row r="177" spans="3:13" ht="15" customHeight="1">
      <c r="C177" s="701"/>
      <c r="D177" s="699"/>
      <c r="E177" s="699"/>
      <c r="F177" s="699"/>
      <c r="G177" s="699"/>
      <c r="H177" s="699"/>
      <c r="I177" s="699"/>
      <c r="J177" s="699"/>
      <c r="K177" s="699"/>
      <c r="L177" s="699"/>
      <c r="M177" s="699"/>
    </row>
    <row r="178" spans="3:13" ht="15" customHeight="1">
      <c r="C178" s="701"/>
      <c r="D178" s="896" t="s">
        <v>858</v>
      </c>
      <c r="E178" s="2373"/>
      <c r="F178" s="2373"/>
      <c r="G178" s="2373"/>
      <c r="H178" s="2373"/>
      <c r="I178" s="2373"/>
      <c r="J178" s="2373"/>
      <c r="K178" s="2373"/>
      <c r="L178" s="699"/>
      <c r="M178" s="699"/>
    </row>
    <row r="179" spans="3:13" ht="15" customHeight="1">
      <c r="C179" s="701"/>
      <c r="D179" s="2338" t="s">
        <v>859</v>
      </c>
      <c r="E179" s="3748"/>
      <c r="F179" s="3749" t="s">
        <v>860</v>
      </c>
      <c r="G179" s="3749"/>
      <c r="H179" s="2373"/>
      <c r="I179" s="2373"/>
      <c r="J179" s="2373"/>
      <c r="K179" s="2373"/>
      <c r="L179" s="699"/>
      <c r="M179" s="699"/>
    </row>
    <row r="180" spans="3:13" ht="15" customHeight="1">
      <c r="C180" s="701"/>
      <c r="D180" s="2339"/>
      <c r="E180" s="3750" t="s">
        <v>825</v>
      </c>
      <c r="F180" s="3751" t="s">
        <v>821</v>
      </c>
      <c r="G180" s="3751" t="s">
        <v>839</v>
      </c>
      <c r="H180" s="2373"/>
      <c r="I180" s="2373"/>
      <c r="J180" s="2373"/>
      <c r="K180" s="2373"/>
      <c r="L180" s="701"/>
      <c r="M180" s="699"/>
    </row>
    <row r="181" spans="3:13" ht="15" customHeight="1">
      <c r="C181" s="701"/>
      <c r="D181" s="701" t="s">
        <v>861</v>
      </c>
      <c r="E181" s="2367">
        <v>950</v>
      </c>
      <c r="F181" s="2367">
        <f>E181*$I$31</f>
        <v>760</v>
      </c>
      <c r="G181" s="2367">
        <f>E181*$I$32</f>
        <v>665</v>
      </c>
      <c r="H181" s="2373"/>
      <c r="I181" s="2373"/>
      <c r="J181" s="2373"/>
      <c r="K181" s="2373"/>
      <c r="L181" s="701"/>
      <c r="M181" s="699"/>
    </row>
    <row r="182" spans="3:13" ht="15" customHeight="1">
      <c r="C182" s="701"/>
      <c r="D182" s="701" t="s">
        <v>862</v>
      </c>
      <c r="E182" s="2367">
        <v>9300</v>
      </c>
      <c r="F182" s="2367">
        <f>E182*$I$31</f>
        <v>7440</v>
      </c>
      <c r="G182" s="2367">
        <f>E182*$I$32</f>
        <v>6510</v>
      </c>
      <c r="H182" s="2373"/>
      <c r="I182" s="2373"/>
      <c r="J182" s="2373"/>
      <c r="K182" s="2373"/>
      <c r="L182" s="701"/>
      <c r="M182" s="699"/>
    </row>
    <row r="183" spans="3:13" ht="15" customHeight="1">
      <c r="C183" s="701"/>
      <c r="D183" s="701" t="s">
        <v>863</v>
      </c>
      <c r="E183" s="2367">
        <v>53850</v>
      </c>
      <c r="F183" s="2367">
        <f>E183*$I$31</f>
        <v>43080</v>
      </c>
      <c r="G183" s="2367">
        <f>E183*$I$32</f>
        <v>37695</v>
      </c>
      <c r="H183" s="2373"/>
      <c r="I183" s="2373"/>
      <c r="J183" s="2373"/>
      <c r="K183" s="2373"/>
      <c r="L183" s="701"/>
      <c r="M183" s="699"/>
    </row>
    <row r="184" spans="3:13" ht="15" customHeight="1">
      <c r="C184" s="701"/>
      <c r="D184" s="706" t="s">
        <v>564</v>
      </c>
      <c r="E184" s="2529">
        <v>6000</v>
      </c>
      <c r="F184" s="2529">
        <f>E184*$I$31</f>
        <v>4800</v>
      </c>
      <c r="G184" s="2529">
        <f>E184*$I$32</f>
        <v>4200</v>
      </c>
      <c r="H184" s="2373"/>
      <c r="I184" s="2373"/>
      <c r="J184" s="2373"/>
      <c r="K184" s="2373"/>
      <c r="L184" s="701"/>
      <c r="M184" s="699"/>
    </row>
    <row r="185" spans="3:13" ht="15" customHeight="1">
      <c r="C185" s="701"/>
      <c r="D185" s="701"/>
      <c r="E185" s="2367"/>
      <c r="F185" s="2367"/>
      <c r="G185" s="2367"/>
      <c r="H185" s="2373"/>
      <c r="I185" s="2373"/>
      <c r="J185" s="2373"/>
      <c r="K185" s="2373"/>
      <c r="L185" s="701"/>
      <c r="M185" s="699"/>
    </row>
    <row r="186" spans="3:13" ht="15" customHeight="1">
      <c r="C186" s="701"/>
      <c r="D186" s="896" t="s">
        <v>864</v>
      </c>
      <c r="E186" s="2367"/>
      <c r="F186" s="2367"/>
      <c r="G186" s="2367"/>
      <c r="H186" s="2373"/>
      <c r="I186" s="2373"/>
      <c r="J186" s="2373"/>
      <c r="K186" s="2373"/>
      <c r="L186" s="701"/>
      <c r="M186" s="699"/>
    </row>
    <row r="187" spans="3:13" ht="15" customHeight="1">
      <c r="C187" s="701"/>
      <c r="D187" s="2338" t="s">
        <v>859</v>
      </c>
      <c r="E187" s="3748"/>
      <c r="F187" s="3749" t="s">
        <v>860</v>
      </c>
      <c r="G187" s="3749"/>
      <c r="H187" s="2373"/>
      <c r="I187" s="2373"/>
      <c r="J187" s="2373"/>
      <c r="K187" s="2373"/>
      <c r="L187" s="701"/>
      <c r="M187" s="699"/>
    </row>
    <row r="188" spans="3:13" ht="15" customHeight="1">
      <c r="C188" s="701"/>
      <c r="D188" s="2339"/>
      <c r="E188" s="3750" t="s">
        <v>825</v>
      </c>
      <c r="F188" s="3751" t="s">
        <v>821</v>
      </c>
      <c r="G188" s="3751" t="s">
        <v>839</v>
      </c>
      <c r="H188" s="2373"/>
      <c r="I188" s="2373"/>
      <c r="J188" s="2373"/>
      <c r="K188" s="2373"/>
      <c r="L188" s="701"/>
      <c r="M188" s="699"/>
    </row>
    <row r="189" spans="3:13" ht="15" customHeight="1">
      <c r="C189" s="701"/>
      <c r="D189" s="701" t="s">
        <v>865</v>
      </c>
      <c r="E189" s="2367">
        <v>385</v>
      </c>
      <c r="F189" s="2367">
        <f>E189*$I$31</f>
        <v>308</v>
      </c>
      <c r="G189" s="2367">
        <f>E189*$I$32</f>
        <v>269.5</v>
      </c>
      <c r="H189" s="2373"/>
      <c r="I189" s="2373"/>
      <c r="J189" s="2373"/>
      <c r="K189" s="2373"/>
      <c r="L189" s="701"/>
      <c r="M189" s="699"/>
    </row>
    <row r="190" spans="3:13" ht="15" customHeight="1">
      <c r="C190" s="701"/>
      <c r="D190" s="701" t="s">
        <v>866</v>
      </c>
      <c r="E190" s="2367">
        <v>300</v>
      </c>
      <c r="F190" s="2367">
        <f>E190*$I$31</f>
        <v>240</v>
      </c>
      <c r="G190" s="2367">
        <f>E190*$I$32</f>
        <v>210</v>
      </c>
      <c r="H190" s="2373"/>
      <c r="I190" s="2373"/>
      <c r="J190" s="2373"/>
      <c r="K190" s="2373"/>
      <c r="L190" s="701"/>
      <c r="M190" s="699"/>
    </row>
    <row r="191" spans="3:13" ht="15" customHeight="1">
      <c r="C191" s="701"/>
      <c r="D191" s="706" t="s">
        <v>867</v>
      </c>
      <c r="E191" s="2529">
        <v>425</v>
      </c>
      <c r="F191" s="2529">
        <f>E191*$I$31</f>
        <v>340</v>
      </c>
      <c r="G191" s="2529">
        <f>E191*$I$32</f>
        <v>297.5</v>
      </c>
      <c r="H191" s="2373"/>
      <c r="I191" s="2373"/>
      <c r="J191" s="2373"/>
      <c r="K191" s="2373"/>
      <c r="L191" s="701"/>
      <c r="M191" s="699"/>
    </row>
    <row r="192" spans="3:13" ht="15" customHeight="1">
      <c r="C192" s="701"/>
      <c r="D192" s="701"/>
      <c r="E192" s="2367"/>
      <c r="F192" s="2367"/>
      <c r="G192" s="2367"/>
      <c r="H192" s="2373"/>
      <c r="I192" s="2373"/>
      <c r="J192" s="2373"/>
      <c r="K192" s="2373"/>
      <c r="L192" s="701"/>
      <c r="M192" s="699"/>
    </row>
    <row r="193" spans="3:13" ht="15" customHeight="1">
      <c r="C193" s="701"/>
      <c r="D193" s="894" t="s">
        <v>868</v>
      </c>
      <c r="E193" s="2335"/>
      <c r="F193" s="2335"/>
      <c r="G193" s="2335"/>
      <c r="H193" s="2335"/>
      <c r="I193" s="2335"/>
      <c r="J193" s="2335"/>
      <c r="K193" s="2335"/>
      <c r="L193" s="2335"/>
      <c r="M193" s="699"/>
    </row>
    <row r="194" spans="3:13" ht="15" customHeight="1">
      <c r="C194" s="701"/>
      <c r="D194" s="701"/>
      <c r="E194" s="701"/>
      <c r="F194" s="701"/>
      <c r="G194" s="701"/>
      <c r="H194" s="699"/>
      <c r="I194" s="699"/>
      <c r="J194" s="699"/>
      <c r="K194" s="699"/>
      <c r="L194" s="701"/>
      <c r="M194" s="699"/>
    </row>
    <row r="195" spans="3:13" ht="15" customHeight="1">
      <c r="C195" s="701"/>
      <c r="D195" s="3900" t="s">
        <v>869</v>
      </c>
      <c r="E195" s="3900" t="s">
        <v>870</v>
      </c>
      <c r="F195" s="3900" t="s">
        <v>871</v>
      </c>
      <c r="G195" s="3902" t="s">
        <v>872</v>
      </c>
      <c r="H195" s="3899" t="s">
        <v>873</v>
      </c>
      <c r="I195" s="3899"/>
      <c r="J195" s="3899"/>
      <c r="K195" s="699"/>
      <c r="L195" s="701"/>
      <c r="M195" s="699"/>
    </row>
    <row r="196" spans="3:13" ht="15" customHeight="1">
      <c r="C196" s="701"/>
      <c r="D196" s="3901"/>
      <c r="E196" s="3901"/>
      <c r="F196" s="3901"/>
      <c r="G196" s="3903"/>
      <c r="H196" s="899" t="s">
        <v>820</v>
      </c>
      <c r="I196" s="899" t="s">
        <v>821</v>
      </c>
      <c r="J196" s="899" t="s">
        <v>822</v>
      </c>
      <c r="K196" s="699"/>
      <c r="L196" s="701"/>
      <c r="M196" s="699"/>
    </row>
    <row r="197" spans="3:13" ht="15" customHeight="1">
      <c r="C197" s="701"/>
      <c r="D197" s="2884" t="s">
        <v>874</v>
      </c>
      <c r="E197" s="2817" t="s">
        <v>875</v>
      </c>
      <c r="F197" s="2817">
        <v>500000</v>
      </c>
      <c r="G197" s="2817">
        <v>5</v>
      </c>
      <c r="H197" s="2817">
        <v>0</v>
      </c>
      <c r="I197" s="2885">
        <v>-6.9489793836314817E-3</v>
      </c>
      <c r="J197" s="2885">
        <v>-1.1084204462805003E-2</v>
      </c>
      <c r="K197" s="699"/>
      <c r="L197" s="701"/>
      <c r="M197" s="699"/>
    </row>
    <row r="198" spans="3:13" ht="15" customHeight="1" thickBot="1">
      <c r="C198" s="701"/>
      <c r="D198" s="2886" t="s">
        <v>876</v>
      </c>
      <c r="E198" s="2886" t="s">
        <v>877</v>
      </c>
      <c r="F198" s="2887">
        <v>1.5725087273750001E-5</v>
      </c>
      <c r="G198" s="2887"/>
      <c r="H198" s="2887"/>
      <c r="I198" s="2887"/>
      <c r="J198" s="2887"/>
      <c r="K198" s="699"/>
      <c r="L198" s="701"/>
      <c r="M198" s="699"/>
    </row>
    <row r="199" spans="3:13" ht="15" customHeight="1">
      <c r="C199" s="701"/>
      <c r="D199" s="12"/>
      <c r="E199" s="12"/>
      <c r="F199" s="12"/>
      <c r="G199" s="12"/>
      <c r="H199" s="12"/>
      <c r="I199" s="12"/>
      <c r="J199" s="12"/>
      <c r="K199" s="699"/>
      <c r="L199" s="701"/>
      <c r="M199" s="699"/>
    </row>
    <row r="200" spans="3:13" ht="15" customHeight="1">
      <c r="C200" s="701"/>
      <c r="D200" s="699"/>
      <c r="E200" s="699"/>
      <c r="F200" s="699"/>
      <c r="G200" s="699"/>
      <c r="H200" s="699"/>
      <c r="I200" s="699"/>
      <c r="J200" s="699"/>
      <c r="K200" s="699"/>
      <c r="L200" s="699"/>
      <c r="M200" s="699"/>
    </row>
    <row r="201" spans="3:13" ht="15" customHeight="1">
      <c r="C201" s="701"/>
      <c r="D201" s="894" t="s">
        <v>878</v>
      </c>
      <c r="E201" s="2335"/>
      <c r="F201" s="2335"/>
      <c r="G201" s="2335"/>
      <c r="H201" s="2335"/>
      <c r="I201" s="2335"/>
      <c r="J201" s="2335"/>
      <c r="K201" s="2335"/>
      <c r="L201" s="2335"/>
      <c r="M201" s="699"/>
    </row>
    <row r="202" spans="3:13" ht="15" customHeight="1">
      <c r="C202" s="701"/>
      <c r="D202" s="699"/>
      <c r="E202" s="2373"/>
      <c r="F202" s="2373"/>
      <c r="G202" s="2373"/>
      <c r="H202" s="2373"/>
      <c r="I202" s="2373"/>
      <c r="J202" s="2373"/>
      <c r="K202" s="699"/>
      <c r="L202" s="699"/>
      <c r="M202" s="699"/>
    </row>
    <row r="203" spans="3:13" ht="15" customHeight="1">
      <c r="C203" s="701"/>
      <c r="D203" s="2329" t="s">
        <v>879</v>
      </c>
      <c r="E203" s="3747" t="s">
        <v>880</v>
      </c>
      <c r="F203" s="3747" t="s">
        <v>881</v>
      </c>
      <c r="G203" s="3747" t="s">
        <v>882</v>
      </c>
      <c r="H203" s="2373"/>
      <c r="I203" s="2373"/>
      <c r="J203" s="2373"/>
      <c r="K203" s="699"/>
      <c r="L203" s="699"/>
      <c r="M203" s="699"/>
    </row>
    <row r="204" spans="3:13" ht="15" customHeight="1">
      <c r="C204" s="701"/>
      <c r="D204" s="2340">
        <v>1</v>
      </c>
      <c r="E204" s="3752" t="s">
        <v>72</v>
      </c>
      <c r="F204" s="3752" t="s">
        <v>72</v>
      </c>
      <c r="G204" s="3752" t="s">
        <v>72</v>
      </c>
      <c r="H204" s="2373"/>
      <c r="I204" s="2373"/>
      <c r="J204" s="2373"/>
      <c r="K204" s="699"/>
      <c r="L204" s="699"/>
      <c r="M204" s="699"/>
    </row>
    <row r="205" spans="3:13" ht="15" customHeight="1">
      <c r="C205" s="701"/>
      <c r="D205" s="2341">
        <v>2</v>
      </c>
      <c r="E205" s="3753">
        <v>114070814.39999999</v>
      </c>
      <c r="F205" s="3753">
        <v>395382811.19999999</v>
      </c>
      <c r="G205" s="3753">
        <v>212530013.27999997</v>
      </c>
      <c r="H205" s="2373"/>
      <c r="I205" s="2373"/>
      <c r="J205" s="2373"/>
      <c r="K205" s="699"/>
      <c r="L205" s="699"/>
      <c r="M205" s="699"/>
    </row>
    <row r="206" spans="3:13" ht="15" customHeight="1">
      <c r="C206" s="701"/>
      <c r="D206" s="2341">
        <v>3</v>
      </c>
      <c r="E206" s="3753">
        <v>372826796.39999998</v>
      </c>
      <c r="F206" s="3753">
        <v>745653592.79999995</v>
      </c>
      <c r="G206" s="3753">
        <v>503316175.13999999</v>
      </c>
      <c r="H206" s="2373"/>
      <c r="I206" s="2373"/>
      <c r="J206" s="2373"/>
      <c r="K206" s="699"/>
      <c r="L206" s="699"/>
      <c r="M206" s="699"/>
    </row>
    <row r="207" spans="3:13" ht="15" customHeight="1">
      <c r="C207" s="701"/>
      <c r="D207" s="2342">
        <v>4</v>
      </c>
      <c r="E207" s="3754">
        <v>395382811.19999999</v>
      </c>
      <c r="F207" s="3754">
        <v>790765622.39999998</v>
      </c>
      <c r="G207" s="3754">
        <v>533766795.12</v>
      </c>
      <c r="H207" s="2373"/>
      <c r="I207" s="2373"/>
      <c r="J207" s="2373"/>
      <c r="K207" s="699"/>
      <c r="L207" s="699"/>
      <c r="M207" s="699"/>
    </row>
    <row r="208" spans="3:13" ht="15" customHeight="1">
      <c r="C208" s="701"/>
      <c r="D208" s="699"/>
      <c r="E208" s="2373"/>
      <c r="F208" s="2373"/>
      <c r="G208" s="2373"/>
      <c r="H208" s="2373"/>
      <c r="I208" s="2373"/>
      <c r="J208" s="2373"/>
      <c r="K208" s="699"/>
      <c r="L208" s="699"/>
      <c r="M208" s="699"/>
    </row>
    <row r="209" spans="3:13" ht="15" customHeight="1">
      <c r="C209" s="701"/>
      <c r="D209" s="699"/>
      <c r="E209" s="699"/>
      <c r="F209" s="699"/>
      <c r="G209" s="699"/>
      <c r="H209" s="699"/>
      <c r="I209" s="699"/>
      <c r="J209" s="699"/>
      <c r="K209" s="699"/>
      <c r="L209" s="699"/>
      <c r="M209" s="699"/>
    </row>
    <row r="210" spans="3:13" ht="15" customHeight="1">
      <c r="C210" s="701"/>
      <c r="D210" s="2334" t="s">
        <v>883</v>
      </c>
      <c r="E210" s="2334"/>
      <c r="F210" s="2334"/>
      <c r="G210" s="2334"/>
      <c r="H210" s="2334"/>
      <c r="I210" s="2334"/>
      <c r="J210" s="2334"/>
      <c r="K210" s="2334"/>
      <c r="L210" s="2334"/>
      <c r="M210" s="699"/>
    </row>
    <row r="211" spans="3:13" ht="15" customHeight="1">
      <c r="C211" s="701"/>
      <c r="D211" s="699"/>
      <c r="E211" s="699"/>
      <c r="F211" s="699"/>
      <c r="G211" s="699"/>
      <c r="H211" s="699"/>
      <c r="I211" s="699"/>
      <c r="J211" s="699"/>
      <c r="K211" s="699"/>
      <c r="L211" s="699"/>
      <c r="M211" s="699"/>
    </row>
    <row r="212" spans="3:13" ht="15" customHeight="1">
      <c r="C212" s="701"/>
      <c r="D212" s="894" t="s">
        <v>99</v>
      </c>
      <c r="E212" s="2335"/>
      <c r="F212" s="2335"/>
      <c r="G212" s="2335"/>
      <c r="H212" s="2335"/>
      <c r="I212" s="2335"/>
      <c r="J212" s="2335"/>
      <c r="K212" s="2335"/>
      <c r="L212" s="2335"/>
      <c r="M212" s="699"/>
    </row>
    <row r="213" spans="3:13" ht="15" customHeight="1">
      <c r="C213" s="701"/>
      <c r="D213" s="701"/>
      <c r="E213" s="701"/>
      <c r="F213" s="2320" t="s">
        <v>884</v>
      </c>
      <c r="G213" s="701"/>
      <c r="H213" s="701"/>
      <c r="I213" s="701"/>
      <c r="J213" s="701"/>
      <c r="K213" s="701"/>
      <c r="L213" s="701"/>
      <c r="M213" s="699"/>
    </row>
    <row r="214" spans="3:13" ht="15" customHeight="1">
      <c r="C214" s="701"/>
      <c r="D214" s="2329" t="s">
        <v>859</v>
      </c>
      <c r="E214" s="2330" t="s">
        <v>885</v>
      </c>
      <c r="F214" s="2330" t="s">
        <v>886</v>
      </c>
      <c r="G214" s="701"/>
      <c r="H214" s="701"/>
      <c r="I214" s="701"/>
      <c r="J214" s="701"/>
      <c r="K214" s="701"/>
      <c r="L214" s="701"/>
      <c r="M214" s="699"/>
    </row>
    <row r="215" spans="3:13" ht="15" customHeight="1">
      <c r="C215" s="701"/>
      <c r="D215" s="2343" t="s">
        <v>887</v>
      </c>
      <c r="E215" s="3755">
        <v>7500</v>
      </c>
      <c r="F215" s="3755">
        <v>1125</v>
      </c>
      <c r="G215" s="2367"/>
      <c r="H215" s="701"/>
      <c r="I215" s="701"/>
      <c r="J215" s="701"/>
      <c r="K215" s="701"/>
      <c r="L215" s="701"/>
      <c r="M215" s="699"/>
    </row>
    <row r="216" spans="3:13" ht="15" customHeight="1">
      <c r="C216" s="701"/>
      <c r="D216" s="2344"/>
      <c r="E216" s="3756"/>
      <c r="F216" s="3756"/>
      <c r="G216" s="2367"/>
      <c r="H216" s="701"/>
      <c r="I216" s="701"/>
      <c r="J216" s="701"/>
      <c r="K216" s="701"/>
      <c r="L216" s="701"/>
      <c r="M216" s="699"/>
    </row>
    <row r="217" spans="3:13" ht="15" customHeight="1">
      <c r="C217" s="701"/>
      <c r="D217" s="704" t="s">
        <v>888</v>
      </c>
      <c r="E217" s="3757"/>
      <c r="F217" s="3758" t="s">
        <v>884</v>
      </c>
      <c r="G217" s="3759"/>
      <c r="H217" s="2346"/>
      <c r="I217" s="2346"/>
      <c r="J217" s="2346"/>
      <c r="K217" s="2346"/>
      <c r="L217" s="2346"/>
      <c r="M217" s="699"/>
    </row>
    <row r="218" spans="3:13" ht="15" customHeight="1">
      <c r="C218" s="701"/>
      <c r="D218" s="2329" t="s">
        <v>859</v>
      </c>
      <c r="E218" s="3738" t="s">
        <v>885</v>
      </c>
      <c r="F218" s="3738" t="s">
        <v>886</v>
      </c>
      <c r="G218" s="3759"/>
      <c r="H218" s="2346"/>
      <c r="I218" s="2346"/>
      <c r="J218" s="2346"/>
      <c r="K218" s="2346"/>
      <c r="L218" s="2346"/>
      <c r="M218" s="699"/>
    </row>
    <row r="219" spans="3:13" ht="15" customHeight="1">
      <c r="C219" s="701"/>
      <c r="D219" s="2348" t="s">
        <v>889</v>
      </c>
      <c r="E219" s="3760">
        <v>25000</v>
      </c>
      <c r="F219" s="3760">
        <v>2000</v>
      </c>
      <c r="G219" s="2367"/>
      <c r="H219" s="701"/>
      <c r="I219" s="701"/>
      <c r="J219" s="701"/>
      <c r="K219" s="701"/>
      <c r="L219" s="701"/>
      <c r="M219" s="699"/>
    </row>
    <row r="220" spans="3:13" ht="15" customHeight="1">
      <c r="C220" s="701"/>
      <c r="D220" s="2344" t="s">
        <v>890</v>
      </c>
      <c r="E220" s="3756">
        <v>27000</v>
      </c>
      <c r="F220" s="3756">
        <v>2100</v>
      </c>
      <c r="G220" s="2367"/>
      <c r="H220" s="701"/>
      <c r="I220" s="701"/>
      <c r="J220" s="701"/>
      <c r="K220" s="701"/>
      <c r="L220" s="701"/>
      <c r="M220" s="699"/>
    </row>
    <row r="221" spans="3:13" ht="15" customHeight="1">
      <c r="C221" s="701"/>
      <c r="D221" s="2344" t="s">
        <v>891</v>
      </c>
      <c r="E221" s="3756">
        <v>36000</v>
      </c>
      <c r="F221" s="3756">
        <v>2753</v>
      </c>
      <c r="G221" s="2367"/>
      <c r="H221" s="701"/>
      <c r="I221" s="701"/>
      <c r="J221" s="701"/>
      <c r="K221" s="701"/>
      <c r="L221" s="701"/>
      <c r="M221" s="699"/>
    </row>
    <row r="222" spans="3:13" ht="15" customHeight="1">
      <c r="C222" s="701"/>
      <c r="D222" s="2344" t="s">
        <v>892</v>
      </c>
      <c r="E222" s="3756">
        <v>40000</v>
      </c>
      <c r="F222" s="3756">
        <v>4000</v>
      </c>
      <c r="G222" s="2367"/>
      <c r="H222" s="701"/>
      <c r="I222" s="701"/>
      <c r="J222" s="701"/>
      <c r="K222" s="701"/>
      <c r="L222" s="701"/>
      <c r="M222" s="699"/>
    </row>
    <row r="223" spans="3:13" ht="15" customHeight="1">
      <c r="C223" s="701"/>
      <c r="D223" s="2344" t="s">
        <v>893</v>
      </c>
      <c r="E223" s="3756">
        <v>26500</v>
      </c>
      <c r="F223" s="3756">
        <v>1900</v>
      </c>
      <c r="G223" s="2367"/>
      <c r="H223" s="701"/>
      <c r="I223" s="701"/>
      <c r="J223" s="701"/>
      <c r="K223" s="701"/>
      <c r="L223" s="701"/>
      <c r="M223" s="699"/>
    </row>
    <row r="224" spans="3:13" ht="15" customHeight="1">
      <c r="C224" s="698"/>
      <c r="D224" s="2344" t="s">
        <v>498</v>
      </c>
      <c r="E224" s="3756">
        <v>32000</v>
      </c>
      <c r="F224" s="3756">
        <v>3200</v>
      </c>
      <c r="G224" s="2367"/>
      <c r="H224" s="701"/>
      <c r="I224" s="701"/>
      <c r="J224" s="701"/>
      <c r="K224" s="701"/>
      <c r="L224" s="701"/>
      <c r="M224" s="699"/>
    </row>
    <row r="225" spans="3:13" ht="15" customHeight="1">
      <c r="C225" s="698"/>
      <c r="D225" s="2344" t="s">
        <v>894</v>
      </c>
      <c r="E225" s="3756">
        <v>37400</v>
      </c>
      <c r="F225" s="3756">
        <v>2300</v>
      </c>
      <c r="G225" s="2367"/>
      <c r="H225" s="701"/>
      <c r="I225" s="701"/>
      <c r="J225" s="701"/>
      <c r="K225" s="701"/>
      <c r="L225" s="701"/>
      <c r="M225" s="699"/>
    </row>
    <row r="226" spans="3:13" ht="15" customHeight="1">
      <c r="C226" s="698"/>
      <c r="D226" s="2343" t="s">
        <v>603</v>
      </c>
      <c r="E226" s="3755">
        <v>43000</v>
      </c>
      <c r="F226" s="3755">
        <v>4300</v>
      </c>
      <c r="G226" s="2367"/>
      <c r="H226" s="701"/>
      <c r="I226" s="701"/>
      <c r="J226" s="701"/>
      <c r="K226" s="701"/>
      <c r="L226" s="701"/>
      <c r="M226" s="699"/>
    </row>
    <row r="227" spans="3:13" ht="15" customHeight="1">
      <c r="C227" s="698"/>
      <c r="D227" s="2344"/>
      <c r="E227" s="3756"/>
      <c r="F227" s="3756"/>
      <c r="G227" s="2367"/>
      <c r="H227" s="701"/>
      <c r="I227" s="701"/>
      <c r="J227" s="701"/>
      <c r="K227" s="701"/>
      <c r="L227" s="701"/>
      <c r="M227" s="699"/>
    </row>
    <row r="228" spans="3:13" ht="15" customHeight="1">
      <c r="C228" s="698"/>
      <c r="D228" s="700" t="s">
        <v>895</v>
      </c>
      <c r="E228" s="3756"/>
      <c r="F228" s="3758" t="s">
        <v>884</v>
      </c>
      <c r="G228" s="2367"/>
      <c r="H228" s="701"/>
      <c r="I228" s="701"/>
      <c r="J228" s="701"/>
      <c r="K228" s="701"/>
      <c r="L228" s="701"/>
      <c r="M228" s="699"/>
    </row>
    <row r="229" spans="3:13" ht="15" customHeight="1">
      <c r="C229" s="698"/>
      <c r="D229" s="2329" t="s">
        <v>859</v>
      </c>
      <c r="E229" s="3738" t="s">
        <v>885</v>
      </c>
      <c r="F229" s="3738" t="s">
        <v>886</v>
      </c>
      <c r="G229" s="2367"/>
      <c r="H229" s="701"/>
      <c r="I229" s="701"/>
      <c r="J229" s="701"/>
      <c r="K229" s="701"/>
      <c r="L229" s="701"/>
      <c r="M229" s="699"/>
    </row>
    <row r="230" spans="3:13" ht="15" customHeight="1">
      <c r="C230" s="698"/>
      <c r="D230" s="2344" t="s">
        <v>889</v>
      </c>
      <c r="E230" s="3756">
        <v>21500</v>
      </c>
      <c r="F230" s="3756">
        <v>1700</v>
      </c>
      <c r="G230" s="2367"/>
      <c r="H230" s="701"/>
      <c r="I230" s="701"/>
      <c r="J230" s="701"/>
      <c r="K230" s="701"/>
      <c r="L230" s="701"/>
      <c r="M230" s="699"/>
    </row>
    <row r="231" spans="3:13" ht="15" customHeight="1">
      <c r="C231" s="698"/>
      <c r="D231" s="2344" t="s">
        <v>890</v>
      </c>
      <c r="E231" s="3756">
        <v>27000</v>
      </c>
      <c r="F231" s="3756">
        <v>2100</v>
      </c>
      <c r="G231" s="2367"/>
      <c r="H231" s="701"/>
      <c r="I231" s="701"/>
      <c r="J231" s="701"/>
      <c r="K231" s="701"/>
      <c r="L231" s="701"/>
      <c r="M231" s="699"/>
    </row>
    <row r="232" spans="3:13" ht="15" customHeight="1">
      <c r="C232" s="698"/>
      <c r="D232" s="2344" t="s">
        <v>891</v>
      </c>
      <c r="E232" s="3756">
        <v>36000</v>
      </c>
      <c r="F232" s="3756">
        <v>2753</v>
      </c>
      <c r="G232" s="2367"/>
      <c r="H232" s="701"/>
      <c r="I232" s="701"/>
      <c r="J232" s="701"/>
      <c r="K232" s="701"/>
      <c r="L232" s="701"/>
      <c r="M232" s="699"/>
    </row>
    <row r="233" spans="3:13" ht="15" customHeight="1">
      <c r="C233" s="698"/>
      <c r="D233" s="2344" t="s">
        <v>892</v>
      </c>
      <c r="E233" s="3756">
        <v>40000</v>
      </c>
      <c r="F233" s="3756">
        <v>4000</v>
      </c>
      <c r="G233" s="2367"/>
      <c r="H233" s="701"/>
      <c r="I233" s="701"/>
      <c r="J233" s="701"/>
      <c r="K233" s="701"/>
      <c r="L233" s="701"/>
      <c r="M233" s="699"/>
    </row>
    <row r="234" spans="3:13" ht="15" customHeight="1">
      <c r="C234" s="698"/>
      <c r="D234" s="2344" t="s">
        <v>893</v>
      </c>
      <c r="E234" s="3756">
        <v>23000</v>
      </c>
      <c r="F234" s="3756">
        <v>2000</v>
      </c>
      <c r="G234" s="2367"/>
      <c r="H234" s="701"/>
      <c r="I234" s="701"/>
      <c r="J234" s="701"/>
      <c r="K234" s="701"/>
      <c r="L234" s="701"/>
      <c r="M234" s="699"/>
    </row>
    <row r="235" spans="3:13" ht="15" customHeight="1">
      <c r="C235" s="698"/>
      <c r="D235" s="2344" t="s">
        <v>498</v>
      </c>
      <c r="E235" s="3756">
        <v>32000</v>
      </c>
      <c r="F235" s="3756">
        <v>3200</v>
      </c>
      <c r="G235" s="2367"/>
      <c r="H235" s="701"/>
      <c r="I235" s="701"/>
      <c r="J235" s="701"/>
      <c r="K235" s="701"/>
      <c r="L235" s="701"/>
      <c r="M235" s="699"/>
    </row>
    <row r="236" spans="3:13" ht="15" customHeight="1">
      <c r="C236" s="698"/>
      <c r="D236" s="2344" t="s">
        <v>894</v>
      </c>
      <c r="E236" s="3756">
        <v>40260</v>
      </c>
      <c r="F236" s="3756">
        <v>1900</v>
      </c>
      <c r="G236" s="2367"/>
      <c r="H236" s="701"/>
      <c r="I236" s="701"/>
      <c r="J236" s="701"/>
      <c r="K236" s="701"/>
      <c r="L236" s="701"/>
      <c r="M236" s="699"/>
    </row>
    <row r="237" spans="3:13" ht="15" customHeight="1">
      <c r="C237" s="698"/>
      <c r="D237" s="2343" t="s">
        <v>603</v>
      </c>
      <c r="E237" s="3755">
        <v>43000</v>
      </c>
      <c r="F237" s="3755">
        <v>4300</v>
      </c>
      <c r="G237" s="2367"/>
      <c r="H237" s="701"/>
      <c r="I237" s="701"/>
      <c r="J237" s="701"/>
      <c r="K237" s="701"/>
      <c r="L237" s="701"/>
      <c r="M237" s="699"/>
    </row>
    <row r="238" spans="3:13" ht="15" customHeight="1">
      <c r="C238" s="698"/>
      <c r="D238" s="2344"/>
      <c r="E238" s="3756"/>
      <c r="F238" s="3756"/>
      <c r="G238" s="2367"/>
      <c r="H238" s="701"/>
      <c r="I238" s="701"/>
      <c r="J238" s="701"/>
      <c r="K238" s="701"/>
      <c r="L238" s="701"/>
      <c r="M238" s="699"/>
    </row>
    <row r="239" spans="3:13" ht="15" customHeight="1">
      <c r="C239" s="698"/>
      <c r="D239" s="704" t="s">
        <v>896</v>
      </c>
      <c r="E239" s="3757"/>
      <c r="F239" s="3758" t="s">
        <v>884</v>
      </c>
      <c r="G239" s="2367"/>
      <c r="H239" s="701"/>
      <c r="I239" s="701"/>
      <c r="J239" s="701"/>
      <c r="K239" s="701"/>
      <c r="L239" s="701"/>
      <c r="M239" s="699"/>
    </row>
    <row r="240" spans="3:13" ht="15" customHeight="1">
      <c r="C240" s="698"/>
      <c r="D240" s="2329" t="s">
        <v>859</v>
      </c>
      <c r="E240" s="3738" t="s">
        <v>885</v>
      </c>
      <c r="F240" s="3738" t="s">
        <v>886</v>
      </c>
      <c r="G240" s="2367"/>
      <c r="H240" s="701"/>
      <c r="I240" s="701"/>
      <c r="J240" s="701"/>
      <c r="K240" s="701"/>
      <c r="L240" s="701"/>
      <c r="M240" s="699"/>
    </row>
    <row r="241" spans="2:15" ht="15" customHeight="1">
      <c r="C241" s="698"/>
      <c r="D241" s="2344" t="s">
        <v>897</v>
      </c>
      <c r="E241" s="3756">
        <v>810.81</v>
      </c>
      <c r="F241" s="3756">
        <v>81.08</v>
      </c>
      <c r="G241" s="2367"/>
      <c r="H241" s="701"/>
      <c r="I241" s="701"/>
      <c r="J241" s="701"/>
      <c r="K241" s="701"/>
      <c r="L241" s="701"/>
      <c r="M241" s="12"/>
    </row>
    <row r="242" spans="2:15" ht="15" customHeight="1">
      <c r="C242" s="698"/>
      <c r="D242" s="2344" t="s">
        <v>898</v>
      </c>
      <c r="E242" s="3756">
        <v>1351.35</v>
      </c>
      <c r="F242" s="3756">
        <v>135.13</v>
      </c>
      <c r="G242" s="2367"/>
      <c r="H242" s="701"/>
      <c r="I242" s="701"/>
      <c r="J242" s="701"/>
      <c r="K242" s="701"/>
      <c r="L242" s="701"/>
      <c r="M242" s="12"/>
    </row>
    <row r="243" spans="2:15" ht="15" customHeight="1">
      <c r="B243" s="186"/>
      <c r="C243" s="698"/>
      <c r="D243" s="2343" t="s">
        <v>894</v>
      </c>
      <c r="E243" s="3755">
        <v>1616.21</v>
      </c>
      <c r="F243" s="3755">
        <v>161.62</v>
      </c>
      <c r="G243" s="2367"/>
      <c r="H243" s="701"/>
      <c r="I243" s="701"/>
      <c r="J243" s="701"/>
      <c r="K243" s="701"/>
      <c r="L243" s="701"/>
      <c r="M243" s="12"/>
      <c r="N243"/>
      <c r="O243"/>
    </row>
    <row r="244" spans="2:15" ht="15" customHeight="1">
      <c r="B244" s="186"/>
      <c r="C244" s="11"/>
      <c r="D244" s="2344"/>
      <c r="E244" s="3756"/>
      <c r="F244" s="3756"/>
      <c r="G244" s="2367"/>
      <c r="H244" s="701"/>
      <c r="I244" s="701"/>
      <c r="J244" s="701"/>
      <c r="K244" s="701"/>
      <c r="L244" s="701"/>
      <c r="M244" s="12"/>
      <c r="N244"/>
      <c r="O244"/>
    </row>
    <row r="245" spans="2:15" ht="15" customHeight="1">
      <c r="B245" s="186"/>
      <c r="C245" s="11"/>
      <c r="D245" s="704" t="s">
        <v>899</v>
      </c>
      <c r="E245" s="3757"/>
      <c r="F245" s="3758" t="s">
        <v>884</v>
      </c>
      <c r="G245" s="2367"/>
      <c r="H245" s="701"/>
      <c r="I245" s="701"/>
      <c r="J245" s="701"/>
      <c r="K245" s="701"/>
      <c r="L245" s="701"/>
      <c r="M245" s="12"/>
      <c r="N245"/>
      <c r="O245"/>
    </row>
    <row r="246" spans="2:15" ht="15" customHeight="1">
      <c r="B246" s="186"/>
      <c r="C246" s="12"/>
      <c r="D246" s="2329" t="s">
        <v>859</v>
      </c>
      <c r="E246" s="3738" t="s">
        <v>885</v>
      </c>
      <c r="F246" s="3738" t="s">
        <v>886</v>
      </c>
      <c r="G246" s="2367"/>
      <c r="H246" s="701"/>
      <c r="I246" s="701"/>
      <c r="J246" s="701"/>
      <c r="K246" s="701"/>
      <c r="L246" s="701"/>
      <c r="M246" s="12"/>
      <c r="N246"/>
      <c r="O246"/>
    </row>
    <row r="247" spans="2:15" ht="15" customHeight="1">
      <c r="B247" s="186"/>
      <c r="C247" s="12"/>
      <c r="D247" s="2344" t="s">
        <v>889</v>
      </c>
      <c r="E247" s="3756">
        <v>95000</v>
      </c>
      <c r="F247" s="3756">
        <v>9500</v>
      </c>
      <c r="G247" s="2367"/>
      <c r="H247" s="701"/>
      <c r="I247" s="701"/>
      <c r="J247" s="701"/>
      <c r="K247" s="701"/>
      <c r="L247" s="701"/>
      <c r="M247" s="12"/>
      <c r="N247"/>
      <c r="O247"/>
    </row>
    <row r="248" spans="2:15" ht="15" customHeight="1">
      <c r="B248" s="186"/>
      <c r="C248" s="12"/>
      <c r="D248" s="2344" t="s">
        <v>890</v>
      </c>
      <c r="E248" s="3756">
        <v>170000</v>
      </c>
      <c r="F248" s="3756">
        <v>13300</v>
      </c>
      <c r="G248" s="2367"/>
      <c r="H248" s="701"/>
      <c r="I248" s="701"/>
      <c r="J248" s="701"/>
      <c r="K248" s="701"/>
      <c r="L248" s="701"/>
      <c r="M248" s="12"/>
      <c r="N248"/>
      <c r="O248"/>
    </row>
    <row r="249" spans="2:15" ht="15" customHeight="1">
      <c r="B249" s="186"/>
      <c r="C249" s="12"/>
      <c r="D249" s="2344" t="s">
        <v>891</v>
      </c>
      <c r="E249" s="3756">
        <v>328570</v>
      </c>
      <c r="F249" s="3756">
        <v>32857</v>
      </c>
      <c r="G249" s="2367"/>
      <c r="H249" s="701"/>
      <c r="I249" s="701"/>
      <c r="J249" s="701"/>
      <c r="K249" s="701"/>
      <c r="L249" s="701"/>
      <c r="M249" s="12"/>
      <c r="N249"/>
      <c r="O249"/>
    </row>
    <row r="250" spans="2:15" ht="15" customHeight="1">
      <c r="B250" s="186"/>
      <c r="C250" s="12"/>
      <c r="D250" s="2344" t="s">
        <v>892</v>
      </c>
      <c r="E250" s="3756">
        <v>350000</v>
      </c>
      <c r="F250" s="3756">
        <v>35000</v>
      </c>
      <c r="G250" s="2367"/>
      <c r="H250" s="701"/>
      <c r="I250" s="701"/>
      <c r="J250" s="701"/>
      <c r="K250" s="701"/>
      <c r="L250" s="701"/>
      <c r="M250" s="12"/>
      <c r="N250"/>
      <c r="O250"/>
    </row>
    <row r="251" spans="2:15" ht="15" customHeight="1">
      <c r="B251" s="186"/>
      <c r="C251" s="12"/>
      <c r="D251" s="2344" t="s">
        <v>893</v>
      </c>
      <c r="E251" s="3756">
        <v>202000</v>
      </c>
      <c r="F251" s="3756">
        <v>20200</v>
      </c>
      <c r="G251" s="2367"/>
      <c r="H251" s="701"/>
      <c r="I251" s="701"/>
      <c r="J251" s="701"/>
      <c r="K251" s="701"/>
      <c r="L251" s="701"/>
      <c r="M251" s="12"/>
      <c r="N251"/>
      <c r="O251"/>
    </row>
    <row r="252" spans="2:15" ht="15" customHeight="1">
      <c r="B252" s="186"/>
      <c r="C252" s="12"/>
      <c r="D252" s="2344" t="s">
        <v>498</v>
      </c>
      <c r="E252" s="3756">
        <v>250000</v>
      </c>
      <c r="F252" s="3756">
        <v>25000</v>
      </c>
      <c r="G252" s="2367"/>
      <c r="H252" s="701"/>
      <c r="I252" s="701"/>
      <c r="J252" s="701"/>
      <c r="K252" s="701"/>
      <c r="L252" s="701"/>
      <c r="M252" s="12"/>
      <c r="N252"/>
      <c r="O252"/>
    </row>
    <row r="253" spans="2:15" ht="15" customHeight="1">
      <c r="B253" s="186"/>
      <c r="C253" s="12"/>
      <c r="D253" s="2344" t="s">
        <v>894</v>
      </c>
      <c r="E253" s="3756">
        <v>500000</v>
      </c>
      <c r="F253" s="3756">
        <v>25500</v>
      </c>
      <c r="G253" s="2367"/>
      <c r="H253" s="701"/>
      <c r="I253" s="701"/>
      <c r="J253" s="701"/>
      <c r="K253" s="701"/>
      <c r="L253" s="701"/>
      <c r="M253" s="12"/>
      <c r="N253"/>
      <c r="O253"/>
    </row>
    <row r="254" spans="2:15" ht="15" customHeight="1">
      <c r="B254" s="186"/>
      <c r="C254" s="12"/>
      <c r="D254" s="2343" t="s">
        <v>603</v>
      </c>
      <c r="E254" s="2349">
        <v>1</v>
      </c>
      <c r="F254" s="2349">
        <v>1</v>
      </c>
      <c r="G254" s="701"/>
      <c r="H254" s="701"/>
      <c r="I254" s="701"/>
      <c r="J254" s="701"/>
      <c r="K254" s="701"/>
      <c r="L254" s="701"/>
      <c r="M254" s="12"/>
      <c r="N254"/>
      <c r="O254"/>
    </row>
    <row r="255" spans="2:15" ht="15" customHeight="1">
      <c r="B255" s="186"/>
      <c r="C255" s="12"/>
      <c r="D255" s="2344"/>
      <c r="E255" s="2345"/>
      <c r="F255" s="2345"/>
      <c r="G255" s="701"/>
      <c r="H255" s="701"/>
      <c r="I255" s="701"/>
      <c r="J255" s="701"/>
      <c r="K255" s="701"/>
      <c r="L255" s="701"/>
      <c r="M255" s="12"/>
      <c r="N255"/>
      <c r="O255"/>
    </row>
    <row r="256" spans="2:15" ht="15" customHeight="1">
      <c r="B256" s="186"/>
      <c r="C256" s="12"/>
      <c r="D256" s="704" t="s">
        <v>900</v>
      </c>
      <c r="E256" s="2318"/>
      <c r="F256" s="2320" t="s">
        <v>884</v>
      </c>
      <c r="G256" s="701"/>
      <c r="H256" s="701"/>
      <c r="I256" s="701"/>
      <c r="J256" s="701"/>
      <c r="K256" s="701"/>
      <c r="L256" s="701"/>
      <c r="M256" s="12"/>
      <c r="N256"/>
      <c r="O256"/>
    </row>
    <row r="257" spans="2:15" ht="15" customHeight="1">
      <c r="B257" s="186"/>
      <c r="C257" s="12"/>
      <c r="D257" s="2329" t="s">
        <v>859</v>
      </c>
      <c r="E257" s="2330" t="s">
        <v>885</v>
      </c>
      <c r="F257" s="2330" t="s">
        <v>886</v>
      </c>
      <c r="G257" s="701"/>
      <c r="H257" s="701"/>
      <c r="I257" s="701"/>
      <c r="J257" s="701"/>
      <c r="K257" s="701"/>
      <c r="L257" s="701"/>
      <c r="M257" s="12"/>
      <c r="N257"/>
      <c r="O257"/>
    </row>
    <row r="258" spans="2:15" ht="15" customHeight="1">
      <c r="B258" s="186"/>
      <c r="C258" s="12"/>
      <c r="D258" s="2344" t="s">
        <v>889</v>
      </c>
      <c r="E258" s="3756">
        <v>110000</v>
      </c>
      <c r="F258" s="3756">
        <v>11000</v>
      </c>
      <c r="G258" s="2367"/>
      <c r="H258" s="2367"/>
      <c r="I258" s="701"/>
      <c r="J258" s="701"/>
      <c r="K258" s="701"/>
      <c r="L258" s="701"/>
      <c r="M258" s="12"/>
      <c r="N258"/>
      <c r="O258"/>
    </row>
    <row r="259" spans="2:15" ht="15" customHeight="1">
      <c r="B259" s="1921"/>
      <c r="C259" s="12"/>
      <c r="D259" s="2344" t="s">
        <v>890</v>
      </c>
      <c r="E259" s="3756">
        <v>220000</v>
      </c>
      <c r="F259" s="3756">
        <v>25000</v>
      </c>
      <c r="G259" s="2367"/>
      <c r="H259" s="2367"/>
      <c r="I259" s="701"/>
      <c r="J259" s="701"/>
      <c r="K259" s="701"/>
      <c r="L259" s="701"/>
      <c r="M259" s="12"/>
      <c r="N259"/>
      <c r="O259"/>
    </row>
    <row r="260" spans="2:15" ht="15" customHeight="1">
      <c r="B260" s="1921"/>
      <c r="C260" s="12"/>
      <c r="D260" s="2344" t="s">
        <v>891</v>
      </c>
      <c r="E260" s="3756">
        <v>500000</v>
      </c>
      <c r="F260" s="3756">
        <v>50000</v>
      </c>
      <c r="G260" s="2367"/>
      <c r="H260" s="2367"/>
      <c r="I260" s="701"/>
      <c r="J260" s="701"/>
      <c r="K260" s="701"/>
      <c r="L260" s="701"/>
      <c r="M260" s="12"/>
      <c r="N260"/>
      <c r="O260"/>
    </row>
    <row r="261" spans="2:15" ht="15" customHeight="1">
      <c r="B261" s="1921"/>
      <c r="C261" s="12"/>
      <c r="D261" s="2344" t="s">
        <v>892</v>
      </c>
      <c r="E261" s="3756">
        <v>640000</v>
      </c>
      <c r="F261" s="3756">
        <v>64000</v>
      </c>
      <c r="G261" s="2367"/>
      <c r="H261" s="2367"/>
      <c r="I261" s="701"/>
      <c r="J261" s="701"/>
      <c r="K261" s="701"/>
      <c r="L261" s="701"/>
      <c r="M261" s="12"/>
      <c r="N261"/>
      <c r="O261"/>
    </row>
    <row r="262" spans="2:15" ht="15" customHeight="1">
      <c r="B262" s="1921"/>
      <c r="C262" s="12"/>
      <c r="D262" s="2344" t="s">
        <v>893</v>
      </c>
      <c r="E262" s="3756">
        <v>150000</v>
      </c>
      <c r="F262" s="3756">
        <v>27500</v>
      </c>
      <c r="G262" s="2367"/>
      <c r="H262" s="2367"/>
      <c r="I262" s="701"/>
      <c r="J262" s="701"/>
      <c r="K262" s="701"/>
      <c r="L262" s="701"/>
      <c r="M262" s="12"/>
      <c r="N262"/>
      <c r="O262"/>
    </row>
    <row r="263" spans="2:15" ht="15" customHeight="1">
      <c r="B263" s="1921"/>
      <c r="C263" s="12"/>
      <c r="D263" s="2344" t="s">
        <v>498</v>
      </c>
      <c r="E263" s="3756">
        <v>200000</v>
      </c>
      <c r="F263" s="3756">
        <v>20000</v>
      </c>
      <c r="G263" s="2367"/>
      <c r="H263" s="2367"/>
      <c r="I263" s="701"/>
      <c r="J263" s="701"/>
      <c r="K263" s="701"/>
      <c r="L263" s="701"/>
      <c r="M263" s="12"/>
      <c r="N263"/>
      <c r="O263"/>
    </row>
    <row r="264" spans="2:15" ht="15" customHeight="1">
      <c r="B264" s="1921"/>
      <c r="C264" s="12"/>
      <c r="D264" s="2344" t="s">
        <v>894</v>
      </c>
      <c r="E264" s="3756">
        <v>650000</v>
      </c>
      <c r="F264" s="3756">
        <v>47600</v>
      </c>
      <c r="G264" s="2367"/>
      <c r="H264" s="2367"/>
      <c r="I264" s="701"/>
      <c r="J264" s="701"/>
      <c r="K264" s="701"/>
      <c r="L264" s="701"/>
      <c r="M264" s="12"/>
      <c r="N264"/>
      <c r="O264"/>
    </row>
    <row r="265" spans="2:15" ht="15" customHeight="1">
      <c r="B265" s="1921"/>
      <c r="C265" s="12"/>
      <c r="D265" s="2343" t="s">
        <v>603</v>
      </c>
      <c r="E265" s="2349">
        <v>1</v>
      </c>
      <c r="F265" s="2349">
        <v>1</v>
      </c>
      <c r="G265" s="701"/>
      <c r="H265" s="701"/>
      <c r="I265" s="701"/>
      <c r="J265" s="701"/>
      <c r="K265" s="701"/>
      <c r="L265" s="701"/>
      <c r="M265" s="12"/>
      <c r="N265"/>
      <c r="O265"/>
    </row>
    <row r="266" spans="2:15" ht="15" customHeight="1">
      <c r="B266" s="1921"/>
      <c r="C266" s="12"/>
      <c r="D266" s="2344"/>
      <c r="E266" s="2345"/>
      <c r="F266" s="2345"/>
      <c r="G266" s="701"/>
      <c r="H266" s="701"/>
      <c r="I266" s="701"/>
      <c r="J266" s="701"/>
      <c r="K266" s="701"/>
      <c r="L266" s="701"/>
      <c r="M266" s="12"/>
      <c r="N266"/>
      <c r="O266"/>
    </row>
    <row r="267" spans="2:15" ht="15" customHeight="1">
      <c r="B267" s="1921"/>
      <c r="C267" s="12"/>
      <c r="D267" s="700" t="s">
        <v>901</v>
      </c>
      <c r="E267" s="2345"/>
      <c r="F267" s="2320" t="s">
        <v>884</v>
      </c>
      <c r="G267" s="701"/>
      <c r="H267" s="701"/>
      <c r="I267" s="701"/>
      <c r="J267" s="701"/>
      <c r="K267" s="701"/>
      <c r="L267" s="701"/>
      <c r="M267" s="12"/>
      <c r="N267"/>
      <c r="O267"/>
    </row>
    <row r="268" spans="2:15" ht="15" customHeight="1">
      <c r="B268" s="1921"/>
      <c r="C268" s="12"/>
      <c r="D268" s="2329" t="s">
        <v>859</v>
      </c>
      <c r="E268" s="2330" t="s">
        <v>885</v>
      </c>
      <c r="F268" s="2330" t="s">
        <v>886</v>
      </c>
      <c r="G268" s="701"/>
      <c r="H268" s="701"/>
      <c r="I268" s="701"/>
      <c r="J268" s="701"/>
      <c r="K268" s="701"/>
      <c r="L268" s="701"/>
      <c r="M268" s="12"/>
      <c r="N268"/>
      <c r="O268"/>
    </row>
    <row r="269" spans="2:15" ht="15" customHeight="1">
      <c r="B269" s="1921"/>
      <c r="C269" s="12"/>
      <c r="D269" s="2344" t="s">
        <v>495</v>
      </c>
      <c r="E269" s="2350">
        <v>1</v>
      </c>
      <c r="F269" s="2350">
        <v>1</v>
      </c>
      <c r="G269" s="701"/>
      <c r="H269" s="701"/>
      <c r="I269" s="701"/>
      <c r="J269" s="701"/>
      <c r="K269" s="701"/>
      <c r="L269" s="701"/>
      <c r="M269" s="12"/>
      <c r="N269"/>
      <c r="O269"/>
    </row>
    <row r="270" spans="2:15" ht="15" customHeight="1">
      <c r="B270" s="1921"/>
      <c r="C270" s="12"/>
      <c r="D270" s="2343" t="s">
        <v>601</v>
      </c>
      <c r="E270" s="2349">
        <v>1</v>
      </c>
      <c r="F270" s="2349">
        <v>1</v>
      </c>
      <c r="G270" s="701"/>
      <c r="H270" s="701"/>
      <c r="I270" s="701"/>
      <c r="J270" s="701"/>
      <c r="K270" s="701"/>
      <c r="L270" s="701"/>
      <c r="M270" s="12"/>
      <c r="N270"/>
      <c r="O270"/>
    </row>
    <row r="271" spans="2:15" ht="15" customHeight="1">
      <c r="B271" s="1921"/>
      <c r="C271" s="12"/>
      <c r="D271" s="701"/>
      <c r="E271" s="701"/>
      <c r="F271" s="701"/>
      <c r="G271" s="701"/>
      <c r="H271" s="701"/>
      <c r="I271" s="701"/>
      <c r="J271" s="701"/>
      <c r="K271" s="701"/>
      <c r="L271" s="701"/>
      <c r="M271" s="12"/>
      <c r="N271"/>
      <c r="O271"/>
    </row>
    <row r="272" spans="2:15" ht="15" customHeight="1">
      <c r="B272" s="1921"/>
      <c r="C272" s="12"/>
      <c r="D272" s="894" t="s">
        <v>101</v>
      </c>
      <c r="E272" s="2335"/>
      <c r="F272" s="2335"/>
      <c r="G272" s="2335"/>
      <c r="H272" s="2335"/>
      <c r="I272" s="2335"/>
      <c r="J272" s="2335"/>
      <c r="K272" s="2335"/>
      <c r="L272" s="2335"/>
      <c r="M272" s="12"/>
      <c r="N272"/>
      <c r="O272"/>
    </row>
    <row r="273" spans="2:15" ht="15" customHeight="1">
      <c r="B273" s="186"/>
      <c r="C273" s="12"/>
      <c r="D273" s="701"/>
      <c r="E273" s="701"/>
      <c r="F273" s="701"/>
      <c r="G273" s="701"/>
      <c r="H273" s="701"/>
      <c r="I273" s="701"/>
      <c r="J273" s="701"/>
      <c r="K273" s="701"/>
      <c r="L273" s="701"/>
      <c r="M273" s="12"/>
      <c r="N273"/>
      <c r="O273"/>
    </row>
    <row r="274" spans="2:15" ht="15" customHeight="1">
      <c r="B274" s="186"/>
      <c r="C274" s="12"/>
      <c r="D274" s="1679" t="s">
        <v>902</v>
      </c>
      <c r="E274" s="701"/>
      <c r="F274" s="2320" t="s">
        <v>903</v>
      </c>
      <c r="G274" s="701"/>
      <c r="H274" s="701"/>
      <c r="I274" s="701"/>
      <c r="J274" s="701"/>
      <c r="K274" s="701"/>
      <c r="L274" s="701"/>
      <c r="M274" s="12"/>
      <c r="N274"/>
      <c r="O274"/>
    </row>
    <row r="275" spans="2:15" ht="15" customHeight="1">
      <c r="B275" s="186"/>
      <c r="C275" s="12"/>
      <c r="D275" s="2329" t="s">
        <v>859</v>
      </c>
      <c r="E275" s="2330" t="s">
        <v>885</v>
      </c>
      <c r="F275" s="2330" t="s">
        <v>886</v>
      </c>
      <c r="G275" s="701"/>
      <c r="H275" s="701"/>
      <c r="I275" s="701"/>
      <c r="J275" s="701"/>
      <c r="K275" s="701"/>
      <c r="L275" s="701"/>
      <c r="M275" s="12"/>
      <c r="N275"/>
      <c r="O275"/>
    </row>
    <row r="276" spans="2:15" ht="15" customHeight="1">
      <c r="B276" s="186"/>
      <c r="C276" s="12"/>
      <c r="D276" s="2351" t="s">
        <v>904</v>
      </c>
      <c r="E276" s="3756">
        <v>27027</v>
      </c>
      <c r="F276" s="3756">
        <v>9500</v>
      </c>
      <c r="G276" s="701"/>
      <c r="H276" s="701"/>
      <c r="I276" s="701"/>
      <c r="J276" s="701"/>
      <c r="K276" s="701"/>
      <c r="L276" s="701"/>
      <c r="M276" s="12"/>
      <c r="N276"/>
      <c r="O276"/>
    </row>
    <row r="277" spans="2:15" ht="15" customHeight="1">
      <c r="B277" s="1921"/>
      <c r="C277" s="12"/>
      <c r="D277" s="2351" t="s">
        <v>905</v>
      </c>
      <c r="E277" s="3756">
        <v>32000</v>
      </c>
      <c r="F277" s="3756">
        <v>13300</v>
      </c>
      <c r="G277" s="701"/>
      <c r="H277" s="701"/>
      <c r="I277" s="701"/>
      <c r="J277" s="701"/>
      <c r="K277" s="701"/>
      <c r="L277" s="701"/>
      <c r="M277" s="12"/>
      <c r="N277"/>
      <c r="O277"/>
    </row>
    <row r="278" spans="2:15" ht="15" customHeight="1">
      <c r="B278" s="1921"/>
      <c r="C278" s="12"/>
      <c r="D278" s="2351" t="s">
        <v>906</v>
      </c>
      <c r="E278" s="3756">
        <v>78000</v>
      </c>
      <c r="F278" s="3756">
        <v>35000</v>
      </c>
      <c r="G278" s="701"/>
      <c r="H278" s="699"/>
      <c r="I278" s="699"/>
      <c r="J278" s="699"/>
      <c r="K278" s="699"/>
      <c r="L278" s="699"/>
      <c r="M278" s="12"/>
      <c r="N278"/>
      <c r="O278"/>
    </row>
    <row r="279" spans="2:15" ht="15" customHeight="1">
      <c r="B279" s="1921"/>
      <c r="C279" s="12"/>
      <c r="D279" s="2351" t="s">
        <v>907</v>
      </c>
      <c r="E279" s="3756">
        <v>86000</v>
      </c>
      <c r="F279" s="3756">
        <v>20200</v>
      </c>
      <c r="G279" s="701"/>
      <c r="H279" s="699"/>
      <c r="I279" s="699"/>
      <c r="J279" s="699"/>
      <c r="K279" s="699"/>
      <c r="L279" s="699"/>
      <c r="M279" s="12"/>
      <c r="N279"/>
      <c r="O279"/>
    </row>
    <row r="280" spans="2:15" ht="15" customHeight="1">
      <c r="B280" s="1921"/>
      <c r="C280" s="12"/>
      <c r="D280" s="2351" t="s">
        <v>498</v>
      </c>
      <c r="E280" s="2350">
        <v>1</v>
      </c>
      <c r="F280" s="2350">
        <v>1</v>
      </c>
      <c r="G280" s="701"/>
      <c r="H280" s="699"/>
      <c r="I280" s="699"/>
      <c r="J280" s="699"/>
      <c r="K280" s="699"/>
      <c r="L280" s="699"/>
      <c r="M280" s="12"/>
      <c r="N280"/>
      <c r="O280"/>
    </row>
    <row r="281" spans="2:15" ht="15" customHeight="1">
      <c r="B281" s="1921"/>
      <c r="C281" s="12"/>
      <c r="D281" s="2351" t="s">
        <v>908</v>
      </c>
      <c r="E281" s="2350">
        <v>1</v>
      </c>
      <c r="F281" s="2350">
        <v>1</v>
      </c>
      <c r="G281" s="701"/>
      <c r="H281" s="699"/>
      <c r="I281" s="699"/>
      <c r="J281" s="699"/>
      <c r="K281" s="699"/>
      <c r="L281" s="699"/>
      <c r="M281" s="701"/>
      <c r="N281"/>
      <c r="O281"/>
    </row>
    <row r="282" spans="2:15" ht="15" customHeight="1">
      <c r="B282" s="1921"/>
      <c r="C282" s="12"/>
      <c r="D282" s="2351" t="s">
        <v>909</v>
      </c>
      <c r="E282" s="3756">
        <v>89700</v>
      </c>
      <c r="F282" s="3756">
        <v>32857</v>
      </c>
      <c r="G282" s="2367"/>
      <c r="H282" s="699"/>
      <c r="I282" s="699"/>
      <c r="J282" s="699"/>
      <c r="K282" s="699"/>
      <c r="L282" s="699"/>
      <c r="M282" s="701"/>
      <c r="N282"/>
      <c r="O282"/>
    </row>
    <row r="283" spans="2:15" ht="15" customHeight="1">
      <c r="C283" s="12"/>
      <c r="D283" s="2351" t="s">
        <v>894</v>
      </c>
      <c r="E283" s="2350">
        <v>1</v>
      </c>
      <c r="F283" s="2350">
        <v>1</v>
      </c>
      <c r="G283" s="701"/>
      <c r="H283" s="701"/>
      <c r="I283" s="701"/>
      <c r="J283" s="701"/>
      <c r="K283" s="701"/>
      <c r="L283" s="699"/>
      <c r="M283" s="701"/>
    </row>
    <row r="284" spans="2:15" ht="15" customHeight="1">
      <c r="C284" s="701"/>
      <c r="D284" s="2352" t="s">
        <v>603</v>
      </c>
      <c r="E284" s="2349">
        <v>1</v>
      </c>
      <c r="F284" s="2349">
        <v>1</v>
      </c>
      <c r="G284" s="701"/>
      <c r="H284" s="701"/>
      <c r="I284" s="701"/>
      <c r="J284" s="701"/>
      <c r="K284" s="701"/>
      <c r="L284" s="699"/>
      <c r="M284" s="699"/>
    </row>
    <row r="285" spans="2:15" ht="15" customHeight="1">
      <c r="C285" s="701"/>
      <c r="D285" s="2351"/>
      <c r="E285" s="2345"/>
      <c r="F285" s="2345"/>
      <c r="G285" s="701"/>
      <c r="H285" s="701"/>
      <c r="I285" s="701"/>
      <c r="J285" s="701"/>
      <c r="K285" s="701"/>
      <c r="L285" s="699"/>
      <c r="M285" s="699"/>
    </row>
    <row r="286" spans="2:15" ht="15" customHeight="1">
      <c r="C286" s="701"/>
      <c r="D286" s="2353" t="s">
        <v>901</v>
      </c>
      <c r="E286" s="2345"/>
      <c r="F286" s="2320" t="s">
        <v>884</v>
      </c>
      <c r="G286" s="701"/>
      <c r="H286" s="701"/>
      <c r="I286" s="701"/>
      <c r="J286" s="701"/>
      <c r="K286" s="701"/>
      <c r="L286" s="699"/>
      <c r="M286" s="699"/>
    </row>
    <row r="287" spans="2:15" ht="15" customHeight="1">
      <c r="C287" s="1722"/>
      <c r="D287" s="2329" t="s">
        <v>859</v>
      </c>
      <c r="E287" s="2330" t="s">
        <v>885</v>
      </c>
      <c r="F287" s="2330" t="s">
        <v>886</v>
      </c>
      <c r="G287" s="701"/>
      <c r="H287" s="701"/>
      <c r="I287" s="701"/>
      <c r="J287" s="701"/>
      <c r="K287" s="701"/>
      <c r="L287" s="699"/>
      <c r="M287" s="699"/>
    </row>
    <row r="288" spans="2:15" ht="15" customHeight="1">
      <c r="C288" s="1722"/>
      <c r="D288" s="2354" t="s">
        <v>910</v>
      </c>
      <c r="E288" s="3756">
        <v>520000</v>
      </c>
      <c r="F288" s="3756">
        <v>5800</v>
      </c>
      <c r="G288" s="2367"/>
      <c r="H288" s="701"/>
      <c r="I288" s="701"/>
      <c r="J288" s="701"/>
      <c r="K288" s="701"/>
      <c r="L288" s="699"/>
      <c r="M288" s="699"/>
    </row>
    <row r="289" spans="3:13" ht="15" customHeight="1">
      <c r="C289" s="1722"/>
      <c r="D289" s="2355" t="s">
        <v>911</v>
      </c>
      <c r="E289" s="3761">
        <v>615000</v>
      </c>
      <c r="F289" s="3762">
        <v>2500</v>
      </c>
      <c r="G289" s="2367"/>
      <c r="H289" s="701"/>
      <c r="I289" s="701"/>
      <c r="J289" s="701"/>
      <c r="K289" s="701"/>
      <c r="L289" s="699"/>
      <c r="M289" s="699"/>
    </row>
    <row r="290" spans="3:13" ht="15" customHeight="1">
      <c r="C290" s="1722"/>
      <c r="D290" s="701"/>
      <c r="E290" s="701"/>
      <c r="F290" s="701"/>
      <c r="G290" s="701"/>
      <c r="H290" s="701"/>
      <c r="I290" s="701"/>
      <c r="J290" s="701"/>
      <c r="K290" s="701"/>
      <c r="L290" s="699"/>
      <c r="M290" s="699"/>
    </row>
    <row r="291" spans="3:13" ht="15" customHeight="1">
      <c r="C291" s="1722"/>
      <c r="D291" s="2334" t="s">
        <v>912</v>
      </c>
      <c r="E291" s="2357"/>
      <c r="F291" s="2357"/>
      <c r="G291" s="2357"/>
      <c r="H291" s="2357"/>
      <c r="I291" s="2357"/>
      <c r="J291" s="2357"/>
      <c r="K291" s="2357"/>
      <c r="L291" s="2357"/>
      <c r="M291" s="699"/>
    </row>
    <row r="292" spans="3:13" ht="15" customHeight="1">
      <c r="C292" s="1722"/>
      <c r="D292" s="12"/>
      <c r="E292" s="12"/>
      <c r="F292" s="12"/>
      <c r="G292" s="12"/>
      <c r="H292" s="12"/>
      <c r="I292" s="12"/>
      <c r="J292" s="12"/>
      <c r="K292" s="12"/>
      <c r="L292" s="12"/>
      <c r="M292" s="699"/>
    </row>
    <row r="293" spans="3:13" ht="15" customHeight="1">
      <c r="C293" s="1722"/>
      <c r="D293" s="894" t="s">
        <v>913</v>
      </c>
      <c r="E293" s="2358"/>
      <c r="F293" s="2358"/>
      <c r="G293" s="2358"/>
      <c r="H293" s="2358"/>
      <c r="I293" s="2358"/>
      <c r="J293" s="2358"/>
      <c r="K293" s="2358"/>
      <c r="L293" s="2358"/>
      <c r="M293" s="699"/>
    </row>
    <row r="294" spans="3:13" ht="15" customHeight="1">
      <c r="C294" s="1722"/>
      <c r="D294" s="12"/>
      <c r="E294" s="12"/>
      <c r="F294" s="12"/>
      <c r="G294" s="12"/>
      <c r="H294" s="12"/>
      <c r="I294" s="12"/>
      <c r="J294" s="12"/>
      <c r="K294" s="12"/>
      <c r="L294" s="12"/>
      <c r="M294" s="699"/>
    </row>
    <row r="295" spans="3:13" ht="15" customHeight="1">
      <c r="C295" s="1722"/>
      <c r="D295" s="286" t="s">
        <v>914</v>
      </c>
      <c r="E295" s="12"/>
      <c r="F295" s="12"/>
      <c r="G295" s="12"/>
      <c r="H295" s="12"/>
      <c r="I295" s="12"/>
      <c r="J295" s="12"/>
      <c r="K295" s="12"/>
      <c r="L295" s="12"/>
      <c r="M295" s="699"/>
    </row>
    <row r="296" spans="3:13" ht="15" customHeight="1">
      <c r="C296" s="1722"/>
      <c r="D296" s="528" t="s">
        <v>296</v>
      </c>
      <c r="E296" s="2206" t="s">
        <v>915</v>
      </c>
      <c r="F296" s="2207" t="s">
        <v>916</v>
      </c>
      <c r="G296" s="12"/>
      <c r="H296" s="12"/>
      <c r="I296" s="12"/>
      <c r="J296" s="12"/>
      <c r="K296" s="12"/>
      <c r="L296" s="12"/>
      <c r="M296" s="699"/>
    </row>
    <row r="297" spans="3:13" ht="15" customHeight="1">
      <c r="C297" s="1722"/>
      <c r="D297" s="449" t="s">
        <v>917</v>
      </c>
      <c r="E297" s="2061">
        <v>65786</v>
      </c>
      <c r="F297" s="2061">
        <v>520109.78651647415</v>
      </c>
      <c r="G297" s="12"/>
      <c r="H297" s="12"/>
      <c r="I297" s="12"/>
      <c r="J297" s="12"/>
      <c r="K297" s="12"/>
      <c r="L297" s="12"/>
      <c r="M297" s="699"/>
    </row>
    <row r="298" spans="3:13" ht="15" customHeight="1">
      <c r="C298" s="1722"/>
      <c r="D298" s="360" t="s">
        <v>558</v>
      </c>
      <c r="E298" s="2061">
        <v>40860</v>
      </c>
      <c r="F298" s="2061">
        <v>698133.94162106351</v>
      </c>
      <c r="G298" s="12"/>
      <c r="H298" s="12"/>
      <c r="I298" s="12"/>
      <c r="J298" s="12"/>
      <c r="K298" s="12"/>
      <c r="L298" s="12"/>
      <c r="M298" s="699"/>
    </row>
    <row r="299" spans="3:13" ht="15" customHeight="1">
      <c r="C299" s="1722"/>
      <c r="D299" s="360" t="s">
        <v>559</v>
      </c>
      <c r="E299" s="2061">
        <v>15933</v>
      </c>
      <c r="F299" s="2061">
        <v>125967</v>
      </c>
      <c r="G299" s="12"/>
      <c r="H299" s="12"/>
      <c r="I299" s="12"/>
      <c r="J299" s="12"/>
      <c r="K299" s="12"/>
      <c r="L299" s="12"/>
      <c r="M299" s="699"/>
    </row>
    <row r="300" spans="3:13" ht="15" customHeight="1">
      <c r="C300" s="1722"/>
      <c r="D300" s="360" t="s">
        <v>560</v>
      </c>
      <c r="E300" s="2061">
        <v>73989.731123634134</v>
      </c>
      <c r="F300" s="2061">
        <v>2158916.881025922</v>
      </c>
      <c r="G300" s="12"/>
      <c r="H300" s="12"/>
      <c r="I300" s="12"/>
      <c r="J300" s="12"/>
      <c r="K300" s="12"/>
      <c r="L300" s="12"/>
      <c r="M300" s="699"/>
    </row>
    <row r="301" spans="3:13" ht="15" customHeight="1">
      <c r="C301" s="1722"/>
      <c r="D301" s="360" t="s">
        <v>561</v>
      </c>
      <c r="E301" s="2061">
        <v>7451</v>
      </c>
      <c r="F301" s="2061">
        <v>58908</v>
      </c>
      <c r="G301" s="12"/>
      <c r="H301" s="12"/>
      <c r="I301" s="12"/>
      <c r="J301" s="12"/>
      <c r="K301" s="12"/>
      <c r="L301" s="12"/>
      <c r="M301" s="699"/>
    </row>
    <row r="302" spans="3:13" ht="15" customHeight="1">
      <c r="C302" s="1722"/>
      <c r="D302" s="360" t="s">
        <v>918</v>
      </c>
      <c r="E302" s="2700">
        <v>0</v>
      </c>
      <c r="F302" s="2700">
        <v>0</v>
      </c>
      <c r="G302" s="12"/>
      <c r="H302" s="12"/>
      <c r="I302" s="12"/>
      <c r="J302" s="12"/>
      <c r="K302" s="12"/>
      <c r="L302" s="12"/>
      <c r="M302" s="699"/>
    </row>
    <row r="303" spans="3:13" ht="15" customHeight="1">
      <c r="C303" s="1722"/>
      <c r="D303" s="360" t="s">
        <v>919</v>
      </c>
      <c r="E303" s="2700">
        <v>0</v>
      </c>
      <c r="F303" s="2700">
        <v>0</v>
      </c>
      <c r="G303" s="12"/>
      <c r="H303" s="12"/>
      <c r="I303" s="12"/>
      <c r="J303" s="12"/>
      <c r="K303" s="12"/>
      <c r="L303" s="12"/>
      <c r="M303" s="699"/>
    </row>
    <row r="304" spans="3:13" ht="15" customHeight="1">
      <c r="C304" s="1722"/>
      <c r="D304" s="450" t="s">
        <v>563</v>
      </c>
      <c r="E304" s="2062">
        <v>2557</v>
      </c>
      <c r="F304" s="2062">
        <v>20215</v>
      </c>
      <c r="G304" s="12"/>
      <c r="H304" s="12"/>
      <c r="I304" s="12"/>
      <c r="J304" s="12"/>
      <c r="K304" s="12"/>
      <c r="L304" s="12"/>
      <c r="M304" s="699"/>
    </row>
    <row r="305" spans="3:13" ht="15" customHeight="1">
      <c r="C305" s="1722"/>
      <c r="D305" s="12"/>
      <c r="E305" s="12"/>
      <c r="F305" s="12"/>
      <c r="G305" s="12"/>
      <c r="H305" s="12"/>
      <c r="I305" s="12"/>
      <c r="J305" s="12"/>
      <c r="K305" s="12"/>
      <c r="L305" s="12"/>
      <c r="M305" s="699"/>
    </row>
    <row r="306" spans="3:13" ht="15" customHeight="1">
      <c r="C306" s="1722"/>
      <c r="D306" s="286" t="s">
        <v>920</v>
      </c>
      <c r="E306" s="286"/>
      <c r="F306" s="286"/>
      <c r="G306" s="286"/>
      <c r="H306" s="286"/>
      <c r="I306" s="286"/>
      <c r="J306" s="286"/>
      <c r="K306" s="286"/>
      <c r="L306" s="12"/>
      <c r="M306" s="699"/>
    </row>
    <row r="307" spans="3:13" ht="15" customHeight="1">
      <c r="C307" s="1722"/>
      <c r="D307" s="12"/>
      <c r="E307" s="12"/>
      <c r="F307" s="12"/>
      <c r="G307" s="12"/>
      <c r="H307" s="12"/>
      <c r="I307" s="12"/>
      <c r="J307" s="12"/>
      <c r="K307" s="12"/>
      <c r="L307" s="12"/>
      <c r="M307" s="699"/>
    </row>
    <row r="308" spans="3:13" ht="15" customHeight="1">
      <c r="C308" s="1722"/>
      <c r="D308" s="528" t="s">
        <v>296</v>
      </c>
      <c r="E308" s="1920">
        <v>1</v>
      </c>
      <c r="F308" s="1920">
        <v>2</v>
      </c>
      <c r="G308" s="1920">
        <v>3</v>
      </c>
      <c r="H308" s="1920">
        <v>4</v>
      </c>
      <c r="I308" s="12"/>
      <c r="J308" s="12"/>
      <c r="K308" s="12"/>
      <c r="L308" s="12"/>
      <c r="M308" s="699"/>
    </row>
    <row r="309" spans="3:13" ht="15" customHeight="1">
      <c r="C309" s="1722"/>
      <c r="D309" s="449" t="s">
        <v>917</v>
      </c>
      <c r="E309" s="2055">
        <v>0</v>
      </c>
      <c r="F309" s="2056">
        <v>2.5000000000000001E-3</v>
      </c>
      <c r="G309" s="2056">
        <v>0.03</v>
      </c>
      <c r="H309" s="2057">
        <v>0.04</v>
      </c>
      <c r="I309" s="12"/>
      <c r="J309" s="12"/>
      <c r="K309" s="12"/>
      <c r="L309" s="12"/>
      <c r="M309" s="699"/>
    </row>
    <row r="310" spans="3:13" ht="15" customHeight="1">
      <c r="C310" s="1722"/>
      <c r="D310" s="360" t="s">
        <v>558</v>
      </c>
      <c r="E310" s="2055">
        <v>0</v>
      </c>
      <c r="F310" s="2056">
        <v>2.5000000000000001E-3</v>
      </c>
      <c r="G310" s="2056">
        <v>0.03</v>
      </c>
      <c r="H310" s="2057">
        <v>0.04</v>
      </c>
      <c r="I310" s="12"/>
      <c r="J310" s="12"/>
      <c r="K310" s="12"/>
      <c r="L310" s="12"/>
      <c r="M310" s="699"/>
    </row>
    <row r="311" spans="3:13" ht="15" customHeight="1">
      <c r="C311" s="1722"/>
      <c r="D311" s="360" t="s">
        <v>559</v>
      </c>
      <c r="E311" s="2055">
        <v>0</v>
      </c>
      <c r="F311" s="2056">
        <v>2.5000000000000001E-3</v>
      </c>
      <c r="G311" s="2056">
        <v>0.03</v>
      </c>
      <c r="H311" s="2057">
        <v>0.04</v>
      </c>
      <c r="I311" s="12"/>
      <c r="J311" s="12"/>
      <c r="K311" s="12"/>
      <c r="L311" s="12"/>
      <c r="M311" s="699"/>
    </row>
    <row r="312" spans="3:13" ht="15" customHeight="1">
      <c r="C312" s="1722"/>
      <c r="D312" s="360" t="s">
        <v>560</v>
      </c>
      <c r="E312" s="2055">
        <v>0</v>
      </c>
      <c r="F312" s="2056">
        <v>2.5000000000000001E-3</v>
      </c>
      <c r="G312" s="2056">
        <v>0.03</v>
      </c>
      <c r="H312" s="2057">
        <v>0.04</v>
      </c>
      <c r="I312" s="12"/>
      <c r="J312" s="12"/>
      <c r="K312" s="12"/>
      <c r="L312" s="12"/>
      <c r="M312" s="699"/>
    </row>
    <row r="313" spans="3:13" ht="15" customHeight="1">
      <c r="C313" s="1722"/>
      <c r="D313" s="360" t="s">
        <v>561</v>
      </c>
      <c r="E313" s="2055">
        <v>0</v>
      </c>
      <c r="F313" s="2056">
        <v>2.5000000000000001E-3</v>
      </c>
      <c r="G313" s="2056">
        <v>0.03</v>
      </c>
      <c r="H313" s="2057">
        <v>0.04</v>
      </c>
      <c r="I313" s="12"/>
      <c r="J313" s="12"/>
      <c r="K313" s="12"/>
      <c r="L313" s="12"/>
      <c r="M313" s="699"/>
    </row>
    <row r="314" spans="3:13" ht="15" customHeight="1">
      <c r="C314" s="1722"/>
      <c r="D314" s="360" t="s">
        <v>918</v>
      </c>
      <c r="E314" s="2055">
        <v>0</v>
      </c>
      <c r="F314" s="2056">
        <v>2.5000000000000001E-3</v>
      </c>
      <c r="G314" s="2056">
        <v>0.03</v>
      </c>
      <c r="H314" s="2057">
        <v>0.04</v>
      </c>
      <c r="I314" s="12"/>
      <c r="J314" s="12"/>
      <c r="K314" s="12"/>
      <c r="L314" s="12"/>
      <c r="M314" s="699"/>
    </row>
    <row r="315" spans="3:13" ht="15" customHeight="1">
      <c r="C315" s="1722"/>
      <c r="D315" s="360" t="s">
        <v>919</v>
      </c>
      <c r="E315" s="2055">
        <v>0</v>
      </c>
      <c r="F315" s="2056">
        <v>2.5000000000000001E-3</v>
      </c>
      <c r="G315" s="2056">
        <v>0.03</v>
      </c>
      <c r="H315" s="2057">
        <v>0.04</v>
      </c>
      <c r="I315" s="12"/>
      <c r="J315" s="12"/>
      <c r="K315" s="12"/>
      <c r="L315" s="12"/>
      <c r="M315" s="699"/>
    </row>
    <row r="316" spans="3:13" ht="15" customHeight="1">
      <c r="C316" s="1722"/>
      <c r="D316" s="450" t="s">
        <v>563</v>
      </c>
      <c r="E316" s="2058">
        <v>0</v>
      </c>
      <c r="F316" s="2059">
        <v>2.5000000000000001E-3</v>
      </c>
      <c r="G316" s="2059">
        <v>0.03</v>
      </c>
      <c r="H316" s="2060">
        <v>0.04</v>
      </c>
      <c r="I316" s="12"/>
      <c r="J316" s="12"/>
      <c r="K316" s="12"/>
      <c r="L316" s="12"/>
      <c r="M316" s="699"/>
    </row>
    <row r="317" spans="3:13" ht="15" customHeight="1">
      <c r="C317" s="698"/>
      <c r="D317" s="12"/>
      <c r="E317" s="12"/>
      <c r="F317" s="12"/>
      <c r="G317" s="12"/>
      <c r="H317" s="12"/>
      <c r="I317" s="12"/>
      <c r="J317" s="12"/>
      <c r="K317" s="12"/>
      <c r="L317" s="12"/>
      <c r="M317" s="699"/>
    </row>
    <row r="318" spans="3:13" ht="15" customHeight="1">
      <c r="C318" s="698"/>
      <c r="D318" s="286" t="s">
        <v>921</v>
      </c>
      <c r="E318" s="12"/>
      <c r="F318" s="12"/>
      <c r="G318" s="12"/>
      <c r="H318" s="12"/>
      <c r="I318" s="12"/>
      <c r="J318" s="12"/>
      <c r="K318" s="12"/>
      <c r="L318" s="12"/>
      <c r="M318" s="699"/>
    </row>
    <row r="319" spans="3:13" ht="15" customHeight="1">
      <c r="C319" s="698"/>
      <c r="D319" s="12"/>
      <c r="E319" s="12"/>
      <c r="F319" s="12"/>
      <c r="G319" s="12"/>
      <c r="H319" s="12"/>
      <c r="I319" s="12"/>
      <c r="J319" s="12"/>
      <c r="K319" s="12"/>
      <c r="L319" s="12"/>
      <c r="M319" s="699"/>
    </row>
    <row r="320" spans="3:13" ht="15" customHeight="1">
      <c r="C320" s="698"/>
      <c r="D320" s="528" t="s">
        <v>296</v>
      </c>
      <c r="E320" s="1920">
        <v>1</v>
      </c>
      <c r="F320" s="1920">
        <v>2</v>
      </c>
      <c r="G320" s="1920">
        <v>3</v>
      </c>
      <c r="H320" s="1920">
        <v>4</v>
      </c>
      <c r="I320" s="12"/>
      <c r="J320" s="12"/>
      <c r="K320" s="12"/>
      <c r="L320" s="12"/>
      <c r="M320" s="699"/>
    </row>
    <row r="321" spans="3:13" ht="15" customHeight="1">
      <c r="C321" s="698"/>
      <c r="D321" s="449" t="s">
        <v>917</v>
      </c>
      <c r="E321" s="2055">
        <v>0</v>
      </c>
      <c r="F321" s="2056">
        <v>1.2999999999999999E-3</v>
      </c>
      <c r="G321" s="2056">
        <v>0.02</v>
      </c>
      <c r="H321" s="2057">
        <v>2.5000000000000001E-2</v>
      </c>
      <c r="I321" s="12"/>
      <c r="J321" s="12"/>
      <c r="K321" s="12"/>
      <c r="L321" s="12"/>
      <c r="M321" s="699"/>
    </row>
    <row r="322" spans="3:13" ht="15" customHeight="1">
      <c r="C322" s="698"/>
      <c r="D322" s="360" t="s">
        <v>558</v>
      </c>
      <c r="E322" s="2055">
        <v>0</v>
      </c>
      <c r="F322" s="2056">
        <v>1.2999999999999999E-3</v>
      </c>
      <c r="G322" s="2056">
        <v>0.02</v>
      </c>
      <c r="H322" s="2057">
        <v>2.5000000000000001E-2</v>
      </c>
      <c r="I322" s="12"/>
      <c r="J322" s="12"/>
      <c r="K322" s="12"/>
      <c r="L322" s="12"/>
      <c r="M322" s="699"/>
    </row>
    <row r="323" spans="3:13" ht="15" customHeight="1">
      <c r="C323" s="698"/>
      <c r="D323" s="360" t="s">
        <v>559</v>
      </c>
      <c r="E323" s="2055">
        <v>0</v>
      </c>
      <c r="F323" s="2056">
        <v>1.2999999999999999E-3</v>
      </c>
      <c r="G323" s="2056">
        <v>0.02</v>
      </c>
      <c r="H323" s="2057">
        <v>2.5000000000000001E-2</v>
      </c>
      <c r="I323" s="12"/>
      <c r="J323" s="12"/>
      <c r="K323" s="12"/>
      <c r="L323" s="12"/>
      <c r="M323" s="699"/>
    </row>
    <row r="324" spans="3:13" ht="15" customHeight="1">
      <c r="C324" s="698"/>
      <c r="D324" s="360" t="s">
        <v>560</v>
      </c>
      <c r="E324" s="2055">
        <v>0</v>
      </c>
      <c r="F324" s="2056">
        <v>1.2999999999999999E-3</v>
      </c>
      <c r="G324" s="2056">
        <v>0.02</v>
      </c>
      <c r="H324" s="2057">
        <v>2.5000000000000001E-2</v>
      </c>
      <c r="I324" s="12"/>
      <c r="J324" s="12"/>
      <c r="K324" s="12"/>
      <c r="L324" s="12"/>
      <c r="M324" s="699"/>
    </row>
    <row r="325" spans="3:13" ht="15" customHeight="1">
      <c r="C325" s="698"/>
      <c r="D325" s="360" t="s">
        <v>561</v>
      </c>
      <c r="E325" s="2055">
        <v>0</v>
      </c>
      <c r="F325" s="2056">
        <v>1.2999999999999999E-3</v>
      </c>
      <c r="G325" s="2056">
        <v>0.02</v>
      </c>
      <c r="H325" s="2057">
        <v>2.5000000000000001E-2</v>
      </c>
      <c r="I325" s="12"/>
      <c r="J325" s="12"/>
      <c r="K325" s="12"/>
      <c r="L325" s="12"/>
      <c r="M325" s="699"/>
    </row>
    <row r="326" spans="3:13" ht="15" customHeight="1">
      <c r="C326" s="698"/>
      <c r="D326" s="360" t="s">
        <v>918</v>
      </c>
      <c r="E326" s="2055">
        <v>0</v>
      </c>
      <c r="F326" s="2056">
        <v>1.2999999999999999E-3</v>
      </c>
      <c r="G326" s="2056">
        <v>0.02</v>
      </c>
      <c r="H326" s="2057">
        <v>2.5000000000000001E-2</v>
      </c>
      <c r="I326" s="12"/>
      <c r="J326" s="12"/>
      <c r="K326" s="12"/>
      <c r="L326" s="12"/>
      <c r="M326" s="699"/>
    </row>
    <row r="327" spans="3:13" ht="15" customHeight="1">
      <c r="C327" s="698"/>
      <c r="D327" s="360" t="s">
        <v>919</v>
      </c>
      <c r="E327" s="2055">
        <v>0</v>
      </c>
      <c r="F327" s="2056">
        <v>1.2999999999999999E-3</v>
      </c>
      <c r="G327" s="2056">
        <v>0.02</v>
      </c>
      <c r="H327" s="2057">
        <v>2.5000000000000001E-2</v>
      </c>
      <c r="I327" s="12"/>
      <c r="J327" s="12"/>
      <c r="K327" s="12"/>
      <c r="L327" s="12"/>
      <c r="M327" s="699"/>
    </row>
    <row r="328" spans="3:13" ht="15" customHeight="1">
      <c r="C328" s="698"/>
      <c r="D328" s="450" t="s">
        <v>563</v>
      </c>
      <c r="E328" s="2058">
        <v>0</v>
      </c>
      <c r="F328" s="2059">
        <v>1.2999999999999999E-3</v>
      </c>
      <c r="G328" s="2059">
        <v>0.02</v>
      </c>
      <c r="H328" s="2060">
        <v>2.5000000000000001E-2</v>
      </c>
      <c r="I328" s="12"/>
      <c r="J328" s="12"/>
      <c r="K328" s="12"/>
      <c r="L328" s="12"/>
      <c r="M328" s="699"/>
    </row>
    <row r="329" spans="3:13" ht="15" customHeight="1">
      <c r="C329" s="698"/>
      <c r="D329" s="12"/>
      <c r="E329" s="12"/>
      <c r="F329" s="12"/>
      <c r="G329" s="12"/>
      <c r="H329" s="12"/>
      <c r="I329" s="12"/>
      <c r="J329" s="12"/>
      <c r="K329" s="12"/>
      <c r="L329" s="12"/>
      <c r="M329" s="699"/>
    </row>
    <row r="330" spans="3:13" ht="15" customHeight="1">
      <c r="C330" s="698"/>
      <c r="D330" s="12"/>
      <c r="E330" s="12"/>
      <c r="F330" s="12"/>
      <c r="G330" s="12"/>
      <c r="H330" s="12"/>
      <c r="I330" s="12"/>
      <c r="J330" s="12"/>
      <c r="K330" s="12"/>
      <c r="L330" s="12"/>
      <c r="M330" s="699"/>
    </row>
    <row r="331" spans="3:13" ht="15" customHeight="1">
      <c r="C331" s="698"/>
      <c r="D331" s="2334" t="s">
        <v>922</v>
      </c>
      <c r="E331" s="2357"/>
      <c r="F331" s="2357"/>
      <c r="G331" s="2357"/>
      <c r="H331" s="2357"/>
      <c r="I331" s="2357"/>
      <c r="J331" s="2357"/>
      <c r="K331" s="2357"/>
      <c r="L331" s="2357"/>
      <c r="M331" s="699"/>
    </row>
    <row r="332" spans="3:13" ht="15" customHeight="1">
      <c r="C332" s="698"/>
      <c r="D332" s="699"/>
      <c r="E332" s="699"/>
      <c r="F332" s="699"/>
      <c r="G332" s="699"/>
      <c r="H332" s="699"/>
      <c r="I332" s="699"/>
      <c r="J332" s="699"/>
      <c r="K332" s="699"/>
      <c r="L332" s="699"/>
      <c r="M332" s="699"/>
    </row>
    <row r="333" spans="3:13" ht="15" customHeight="1">
      <c r="C333" s="698"/>
      <c r="D333" s="894" t="s">
        <v>71</v>
      </c>
      <c r="E333" s="2358"/>
      <c r="F333" s="2358"/>
      <c r="G333" s="2358"/>
      <c r="H333" s="2358"/>
      <c r="I333" s="2358"/>
      <c r="J333" s="2358"/>
      <c r="K333" s="2358"/>
      <c r="L333" s="2358"/>
      <c r="M333" s="699"/>
    </row>
    <row r="334" spans="3:13" ht="15" customHeight="1">
      <c r="C334" s="698"/>
      <c r="D334" s="699"/>
      <c r="E334" s="699"/>
      <c r="F334" s="699"/>
      <c r="G334" s="699"/>
      <c r="H334" s="699"/>
      <c r="I334" s="699"/>
      <c r="J334" s="699"/>
      <c r="K334" s="699"/>
      <c r="L334" s="699"/>
      <c r="M334" s="699"/>
    </row>
    <row r="335" spans="3:13" ht="15" customHeight="1">
      <c r="C335" s="698"/>
      <c r="D335" s="2329" t="s">
        <v>923</v>
      </c>
      <c r="E335" s="2330"/>
      <c r="F335" s="3738" t="s">
        <v>698</v>
      </c>
      <c r="G335" s="3738" t="s">
        <v>871</v>
      </c>
      <c r="H335" s="3738" t="s">
        <v>924</v>
      </c>
      <c r="I335" s="2373"/>
      <c r="J335" s="2373"/>
      <c r="K335" s="2373"/>
      <c r="L335" s="699"/>
      <c r="M335" s="699"/>
    </row>
    <row r="336" spans="3:13" ht="15" customHeight="1">
      <c r="C336" s="698"/>
      <c r="D336" s="699" t="s">
        <v>925</v>
      </c>
      <c r="E336" s="699"/>
      <c r="F336" s="2373"/>
      <c r="G336" s="2373"/>
      <c r="H336" s="2373"/>
      <c r="I336" s="2373"/>
      <c r="J336" s="2373"/>
      <c r="K336" s="2373"/>
      <c r="L336" s="699"/>
      <c r="M336" s="699"/>
    </row>
    <row r="337" spans="3:13" ht="15" customHeight="1">
      <c r="C337" s="698"/>
      <c r="D337" s="699" t="s">
        <v>926</v>
      </c>
      <c r="E337" s="699"/>
      <c r="F337" s="2373" t="s">
        <v>927</v>
      </c>
      <c r="G337" s="2373">
        <v>15000</v>
      </c>
      <c r="H337" s="2373">
        <v>20</v>
      </c>
      <c r="I337" s="2373"/>
      <c r="J337" s="2373"/>
      <c r="K337" s="2373"/>
      <c r="L337" s="699"/>
      <c r="M337" s="699"/>
    </row>
    <row r="338" spans="3:13" ht="15" customHeight="1">
      <c r="C338" s="698"/>
      <c r="D338" s="699" t="s">
        <v>928</v>
      </c>
      <c r="E338" s="699"/>
      <c r="F338" s="2373" t="s">
        <v>929</v>
      </c>
      <c r="G338" s="2373">
        <v>1700</v>
      </c>
      <c r="H338" s="2373">
        <v>20</v>
      </c>
      <c r="I338" s="2373"/>
      <c r="J338" s="2373"/>
      <c r="K338" s="2373"/>
      <c r="L338" s="699"/>
      <c r="M338" s="699"/>
    </row>
    <row r="339" spans="3:13" ht="15" customHeight="1">
      <c r="C339" s="698"/>
      <c r="D339" s="699" t="s">
        <v>930</v>
      </c>
      <c r="E339" s="699"/>
      <c r="F339" s="2373" t="s">
        <v>929</v>
      </c>
      <c r="G339" s="2373">
        <v>1460000</v>
      </c>
      <c r="H339" s="2373">
        <v>20</v>
      </c>
      <c r="I339" s="2373"/>
      <c r="J339" s="2373"/>
      <c r="K339" s="2373"/>
      <c r="L339" s="699"/>
      <c r="M339" s="699"/>
    </row>
    <row r="340" spans="3:13" ht="15" customHeight="1">
      <c r="C340" s="698"/>
      <c r="D340" s="699" t="s">
        <v>931</v>
      </c>
      <c r="E340" s="699"/>
      <c r="F340" s="2373" t="s">
        <v>927</v>
      </c>
      <c r="G340" s="2373">
        <v>0</v>
      </c>
      <c r="H340" s="2373">
        <v>20</v>
      </c>
      <c r="I340" s="2373"/>
      <c r="J340" s="2373"/>
      <c r="K340" s="2373"/>
      <c r="L340" s="699"/>
      <c r="M340" s="699"/>
    </row>
    <row r="341" spans="3:13" ht="15" customHeight="1">
      <c r="C341" s="698"/>
      <c r="D341" s="699" t="s">
        <v>932</v>
      </c>
      <c r="E341" s="699"/>
      <c r="F341" s="2373"/>
      <c r="G341" s="2373"/>
      <c r="H341" s="2373"/>
      <c r="I341" s="2373"/>
      <c r="J341" s="2373"/>
      <c r="K341" s="2373"/>
      <c r="L341" s="699"/>
      <c r="M341" s="699"/>
    </row>
    <row r="342" spans="3:13" ht="15" customHeight="1">
      <c r="C342" s="698"/>
      <c r="D342" s="699" t="s">
        <v>933</v>
      </c>
      <c r="E342" s="699"/>
      <c r="F342" s="2373" t="s">
        <v>927</v>
      </c>
      <c r="G342" s="2373">
        <v>40000</v>
      </c>
      <c r="H342" s="2373">
        <v>20</v>
      </c>
      <c r="I342" s="2373"/>
      <c r="J342" s="2373"/>
      <c r="K342" s="2373"/>
      <c r="L342" s="699"/>
      <c r="M342" s="699"/>
    </row>
    <row r="343" spans="3:13" ht="15" customHeight="1">
      <c r="C343" s="698"/>
      <c r="D343" s="699" t="s">
        <v>934</v>
      </c>
      <c r="E343" s="699"/>
      <c r="F343" s="2373" t="s">
        <v>927</v>
      </c>
      <c r="G343" s="2373">
        <v>0</v>
      </c>
      <c r="H343" s="2373">
        <v>20</v>
      </c>
      <c r="I343" s="2373"/>
      <c r="J343" s="2373"/>
      <c r="K343" s="2373"/>
      <c r="L343" s="699"/>
      <c r="M343" s="699"/>
    </row>
    <row r="344" spans="3:13" ht="15" customHeight="1">
      <c r="C344" s="698"/>
      <c r="D344" s="699" t="s">
        <v>935</v>
      </c>
      <c r="E344" s="699"/>
      <c r="F344" s="2373" t="s">
        <v>927</v>
      </c>
      <c r="G344" s="2373">
        <v>160000</v>
      </c>
      <c r="H344" s="2373">
        <v>20</v>
      </c>
      <c r="I344" s="2373"/>
      <c r="J344" s="2373"/>
      <c r="K344" s="2373"/>
      <c r="L344" s="699"/>
      <c r="M344" s="699"/>
    </row>
    <row r="345" spans="3:13" ht="15" customHeight="1">
      <c r="C345" s="698"/>
      <c r="D345" s="2355" t="s">
        <v>84</v>
      </c>
      <c r="E345" s="2356"/>
      <c r="F345" s="3761" t="s">
        <v>927</v>
      </c>
      <c r="G345" s="3762">
        <v>150</v>
      </c>
      <c r="H345" s="3762">
        <v>20</v>
      </c>
      <c r="I345" s="2373"/>
      <c r="J345" s="2373"/>
      <c r="K345" s="2373"/>
      <c r="L345" s="699"/>
      <c r="M345" s="699"/>
    </row>
    <row r="346" spans="3:13" ht="15" customHeight="1">
      <c r="C346" s="698"/>
      <c r="D346" s="699"/>
      <c r="E346" s="699"/>
      <c r="F346" s="2373"/>
      <c r="G346" s="2373"/>
      <c r="H346" s="2373"/>
      <c r="I346" s="2373"/>
      <c r="J346" s="2373"/>
      <c r="K346" s="2373"/>
      <c r="L346" s="699"/>
      <c r="M346" s="699"/>
    </row>
    <row r="347" spans="3:13" ht="15" customHeight="1">
      <c r="C347" s="698"/>
      <c r="D347" s="2329" t="s">
        <v>936</v>
      </c>
      <c r="E347" s="2330"/>
      <c r="F347" s="3738" t="s">
        <v>698</v>
      </c>
      <c r="G347" s="3738" t="s">
        <v>871</v>
      </c>
      <c r="H347" s="3738" t="s">
        <v>924</v>
      </c>
      <c r="I347" s="2373"/>
      <c r="J347" s="2373"/>
      <c r="K347" s="2373"/>
      <c r="L347" s="699"/>
      <c r="M347" s="699"/>
    </row>
    <row r="348" spans="3:13" ht="15" customHeight="1">
      <c r="C348" s="698"/>
      <c r="D348" s="699" t="s">
        <v>937</v>
      </c>
      <c r="E348" s="699"/>
      <c r="F348" s="2373" t="s">
        <v>927</v>
      </c>
      <c r="G348" s="2373">
        <v>12.41</v>
      </c>
      <c r="H348" s="2381" t="s">
        <v>72</v>
      </c>
      <c r="I348" s="2373"/>
      <c r="J348" s="2373"/>
      <c r="K348" s="2373"/>
      <c r="L348" s="699"/>
      <c r="M348" s="699"/>
    </row>
    <row r="349" spans="3:13" ht="15" customHeight="1">
      <c r="C349" s="698"/>
      <c r="D349" s="699" t="s">
        <v>925</v>
      </c>
      <c r="E349" s="699"/>
      <c r="F349" s="2373"/>
      <c r="G349" s="2373"/>
      <c r="H349" s="2381" t="s">
        <v>72</v>
      </c>
      <c r="I349" s="2373"/>
      <c r="J349" s="2373"/>
      <c r="K349" s="2373"/>
      <c r="L349" s="699"/>
      <c r="M349" s="699"/>
    </row>
    <row r="350" spans="3:13" ht="15" customHeight="1">
      <c r="C350" s="698"/>
      <c r="D350" s="699" t="s">
        <v>926</v>
      </c>
      <c r="E350" s="699"/>
      <c r="F350" s="2373" t="s">
        <v>927</v>
      </c>
      <c r="G350" s="2373">
        <v>6.6</v>
      </c>
      <c r="H350" s="2381" t="s">
        <v>72</v>
      </c>
      <c r="I350" s="2373"/>
      <c r="J350" s="2373"/>
      <c r="K350" s="2373"/>
      <c r="L350" s="699"/>
      <c r="M350" s="699"/>
    </row>
    <row r="351" spans="3:13" ht="15" customHeight="1">
      <c r="C351" s="698"/>
      <c r="D351" s="699" t="s">
        <v>928</v>
      </c>
      <c r="E351" s="699"/>
      <c r="F351" s="2373" t="s">
        <v>929</v>
      </c>
      <c r="G351" s="2373">
        <v>255</v>
      </c>
      <c r="H351" s="2381" t="s">
        <v>72</v>
      </c>
      <c r="I351" s="2373"/>
      <c r="J351" s="2373"/>
      <c r="K351" s="2373"/>
      <c r="L351" s="699"/>
      <c r="M351" s="699"/>
    </row>
    <row r="352" spans="3:13" ht="15" customHeight="1">
      <c r="C352" s="698"/>
      <c r="D352" s="699" t="s">
        <v>930</v>
      </c>
      <c r="E352" s="699"/>
      <c r="F352" s="2373" t="s">
        <v>929</v>
      </c>
      <c r="G352" s="2373">
        <v>116800</v>
      </c>
      <c r="H352" s="2381" t="s">
        <v>72</v>
      </c>
      <c r="I352" s="2373"/>
      <c r="J352" s="2373"/>
      <c r="K352" s="2373"/>
      <c r="L352" s="699"/>
      <c r="M352" s="699"/>
    </row>
    <row r="353" spans="3:13" ht="15" customHeight="1">
      <c r="C353" s="698"/>
      <c r="D353" s="699" t="s">
        <v>931</v>
      </c>
      <c r="E353" s="699"/>
      <c r="F353" s="2373" t="s">
        <v>927</v>
      </c>
      <c r="G353" s="2373">
        <v>0</v>
      </c>
      <c r="H353" s="2381" t="s">
        <v>72</v>
      </c>
      <c r="I353" s="2373"/>
      <c r="J353" s="2373"/>
      <c r="K353" s="2373"/>
      <c r="L353" s="699"/>
      <c r="M353" s="699"/>
    </row>
    <row r="354" spans="3:13" ht="15" customHeight="1">
      <c r="C354" s="698"/>
      <c r="D354" s="699" t="s">
        <v>932</v>
      </c>
      <c r="E354" s="699"/>
      <c r="F354" s="2373"/>
      <c r="G354" s="2373"/>
      <c r="H354" s="2381" t="s">
        <v>72</v>
      </c>
      <c r="I354" s="2373"/>
      <c r="J354" s="2373"/>
      <c r="K354" s="2373"/>
      <c r="L354" s="699"/>
      <c r="M354" s="699"/>
    </row>
    <row r="355" spans="3:13" ht="15" customHeight="1">
      <c r="C355" s="698"/>
      <c r="D355" s="699" t="s">
        <v>933</v>
      </c>
      <c r="E355" s="699"/>
      <c r="F355" s="2373" t="s">
        <v>927</v>
      </c>
      <c r="G355" s="2373">
        <v>4000</v>
      </c>
      <c r="H355" s="2381" t="s">
        <v>72</v>
      </c>
      <c r="I355" s="2373"/>
      <c r="J355" s="2373"/>
      <c r="K355" s="2373"/>
      <c r="L355" s="699"/>
      <c r="M355" s="699"/>
    </row>
    <row r="356" spans="3:13" ht="15" customHeight="1">
      <c r="C356" s="698"/>
      <c r="D356" s="699" t="s">
        <v>934</v>
      </c>
      <c r="E356" s="699"/>
      <c r="F356" s="2373" t="s">
        <v>927</v>
      </c>
      <c r="G356" s="2373">
        <v>0</v>
      </c>
      <c r="H356" s="2381" t="s">
        <v>72</v>
      </c>
      <c r="I356" s="2373"/>
      <c r="J356" s="2373"/>
      <c r="K356" s="2373"/>
      <c r="L356" s="699"/>
      <c r="M356" s="699"/>
    </row>
    <row r="357" spans="3:13" ht="15" customHeight="1">
      <c r="C357" s="698"/>
      <c r="D357" s="699" t="s">
        <v>935</v>
      </c>
      <c r="E357" s="699"/>
      <c r="F357" s="2373" t="s">
        <v>927</v>
      </c>
      <c r="G357" s="2373">
        <v>150</v>
      </c>
      <c r="H357" s="2381" t="s">
        <v>72</v>
      </c>
      <c r="I357" s="2373"/>
      <c r="J357" s="2373"/>
      <c r="K357" s="2373"/>
      <c r="L357" s="699"/>
      <c r="M357" s="699"/>
    </row>
    <row r="358" spans="3:13" ht="15" customHeight="1">
      <c r="C358" s="698"/>
      <c r="D358" s="2355" t="s">
        <v>84</v>
      </c>
      <c r="E358" s="2356"/>
      <c r="F358" s="3761" t="s">
        <v>927</v>
      </c>
      <c r="G358" s="3762">
        <v>70</v>
      </c>
      <c r="H358" s="3763" t="s">
        <v>72</v>
      </c>
      <c r="I358" s="2373"/>
      <c r="J358" s="2373"/>
      <c r="K358" s="2373"/>
      <c r="L358" s="699"/>
      <c r="M358" s="699"/>
    </row>
    <row r="359" spans="3:13" ht="15" customHeight="1">
      <c r="C359" s="698"/>
      <c r="D359" s="699"/>
      <c r="E359" s="699"/>
      <c r="F359" s="699"/>
      <c r="G359" s="699"/>
      <c r="H359" s="699"/>
      <c r="I359" s="699"/>
      <c r="J359" s="699"/>
      <c r="K359" s="699"/>
      <c r="L359" s="699"/>
      <c r="M359" s="699"/>
    </row>
    <row r="360" spans="3:13" ht="15" customHeight="1">
      <c r="C360" s="698"/>
      <c r="D360" s="894" t="s">
        <v>85</v>
      </c>
      <c r="E360" s="2358"/>
      <c r="F360" s="2358"/>
      <c r="G360" s="2358"/>
      <c r="H360" s="2358"/>
      <c r="I360" s="2358"/>
      <c r="J360" s="2358"/>
      <c r="K360" s="2358"/>
      <c r="L360" s="2358"/>
      <c r="M360" s="699"/>
    </row>
    <row r="361" spans="3:13" ht="15" customHeight="1">
      <c r="C361" s="698"/>
      <c r="D361" s="699"/>
      <c r="E361" s="699"/>
      <c r="F361" s="699"/>
      <c r="G361" s="699"/>
      <c r="H361" s="699"/>
      <c r="I361" s="699"/>
      <c r="J361" s="699"/>
      <c r="K361" s="699"/>
      <c r="L361" s="699"/>
      <c r="M361" s="699"/>
    </row>
    <row r="362" spans="3:13" ht="15" customHeight="1">
      <c r="C362" s="698"/>
      <c r="D362" s="699"/>
      <c r="E362" s="699"/>
      <c r="F362" s="699"/>
      <c r="G362" s="699"/>
      <c r="H362" s="699"/>
      <c r="I362" s="699"/>
      <c r="J362" s="699"/>
      <c r="K362" s="699"/>
      <c r="L362" s="699"/>
      <c r="M362" s="699"/>
    </row>
    <row r="363" spans="3:13" ht="15" customHeight="1">
      <c r="C363" s="698"/>
      <c r="D363" s="2329" t="s">
        <v>938</v>
      </c>
      <c r="E363" s="2330"/>
      <c r="F363" s="2330" t="s">
        <v>698</v>
      </c>
      <c r="G363" s="2330" t="s">
        <v>871</v>
      </c>
      <c r="H363" s="2330" t="s">
        <v>924</v>
      </c>
      <c r="I363" s="699"/>
      <c r="J363" s="699"/>
      <c r="K363" s="699"/>
      <c r="L363" s="699"/>
      <c r="M363" s="699"/>
    </row>
    <row r="364" spans="3:13" ht="15" customHeight="1">
      <c r="C364" s="698"/>
      <c r="D364" s="1803" t="s">
        <v>939</v>
      </c>
      <c r="E364" s="1804"/>
      <c r="F364" s="1804"/>
      <c r="G364" s="1804"/>
      <c r="H364" s="1804"/>
      <c r="I364" s="699"/>
      <c r="J364" s="699"/>
      <c r="K364" s="699"/>
      <c r="L364" s="699"/>
      <c r="M364" s="699"/>
    </row>
    <row r="365" spans="3:13" ht="15" customHeight="1">
      <c r="C365" s="698"/>
      <c r="D365" s="699" t="s">
        <v>940</v>
      </c>
      <c r="E365" s="699"/>
      <c r="F365" s="699" t="s">
        <v>941</v>
      </c>
      <c r="G365" s="699">
        <v>0.2</v>
      </c>
      <c r="H365" s="699">
        <v>20</v>
      </c>
      <c r="I365" s="699"/>
      <c r="J365" s="699"/>
      <c r="K365" s="699"/>
      <c r="L365" s="699"/>
      <c r="M365" s="699"/>
    </row>
    <row r="366" spans="3:13" ht="15" customHeight="1">
      <c r="C366" s="698"/>
      <c r="D366" s="1805" t="s">
        <v>942</v>
      </c>
      <c r="E366" s="1805"/>
      <c r="F366" s="1805" t="s">
        <v>941</v>
      </c>
      <c r="G366" s="1805">
        <v>1.46</v>
      </c>
      <c r="H366" s="1805">
        <v>20</v>
      </c>
      <c r="I366" s="699"/>
      <c r="J366" s="699"/>
      <c r="K366" s="699"/>
      <c r="L366" s="699"/>
      <c r="M366" s="699"/>
    </row>
    <row r="367" spans="3:13" ht="15" customHeight="1">
      <c r="C367" s="698"/>
      <c r="D367" s="1802" t="s">
        <v>943</v>
      </c>
      <c r="E367" s="699"/>
      <c r="F367" s="699"/>
      <c r="G367" s="699"/>
      <c r="H367" s="1806"/>
      <c r="I367" s="699"/>
      <c r="J367" s="699"/>
      <c r="K367" s="699"/>
      <c r="L367" s="699"/>
      <c r="M367" s="699"/>
    </row>
    <row r="368" spans="3:13" ht="15" customHeight="1">
      <c r="C368" s="698"/>
      <c r="D368" s="699" t="s">
        <v>940</v>
      </c>
      <c r="E368" s="699"/>
      <c r="F368" s="699" t="s">
        <v>941</v>
      </c>
      <c r="G368" s="699">
        <f>G365*0.15</f>
        <v>0.03</v>
      </c>
      <c r="H368" s="1806" t="s">
        <v>72</v>
      </c>
      <c r="I368" s="699"/>
      <c r="J368" s="699"/>
      <c r="K368" s="699"/>
      <c r="L368" s="699"/>
      <c r="M368" s="699"/>
    </row>
    <row r="369" spans="3:13" ht="15" customHeight="1">
      <c r="C369" s="698"/>
      <c r="D369" s="1805" t="s">
        <v>942</v>
      </c>
      <c r="E369" s="1805"/>
      <c r="F369" s="1805" t="s">
        <v>941</v>
      </c>
      <c r="G369" s="1805">
        <f>0.08*G366</f>
        <v>0.1168</v>
      </c>
      <c r="H369" s="1807" t="s">
        <v>72</v>
      </c>
      <c r="I369" s="699"/>
      <c r="J369" s="699"/>
      <c r="K369" s="699"/>
      <c r="L369" s="699"/>
      <c r="M369" s="699"/>
    </row>
    <row r="370" spans="3:13" ht="15" customHeight="1">
      <c r="C370" s="698"/>
      <c r="D370" s="699"/>
      <c r="E370" s="699"/>
      <c r="F370" s="699"/>
      <c r="G370" s="699"/>
      <c r="H370" s="1806"/>
      <c r="I370" s="699"/>
      <c r="J370" s="699"/>
      <c r="K370" s="699"/>
      <c r="L370" s="699"/>
      <c r="M370" s="699"/>
    </row>
    <row r="371" spans="3:13" ht="15" customHeight="1">
      <c r="C371" s="698"/>
      <c r="D371" s="2334" t="s">
        <v>944</v>
      </c>
      <c r="E371" s="2357"/>
      <c r="F371" s="2357"/>
      <c r="G371" s="2357"/>
      <c r="H371" s="2357"/>
      <c r="I371" s="2357"/>
      <c r="J371" s="2357"/>
      <c r="K371" s="2357"/>
      <c r="L371" s="2357"/>
      <c r="M371" s="699"/>
    </row>
    <row r="372" spans="3:13" ht="15" customHeight="1">
      <c r="C372" s="698"/>
      <c r="D372" s="699"/>
      <c r="E372" s="699"/>
      <c r="F372" s="699"/>
      <c r="G372" s="699"/>
      <c r="H372" s="1806"/>
      <c r="I372" s="699"/>
      <c r="J372" s="699"/>
      <c r="K372" s="699"/>
      <c r="L372" s="699"/>
      <c r="M372" s="699"/>
    </row>
    <row r="373" spans="3:13" ht="15" customHeight="1">
      <c r="C373" s="698"/>
      <c r="D373" s="2665" t="s">
        <v>945</v>
      </c>
      <c r="E373" s="2665" t="s">
        <v>946</v>
      </c>
      <c r="F373" s="2666" t="s">
        <v>698</v>
      </c>
      <c r="G373" s="2666" t="s">
        <v>871</v>
      </c>
      <c r="H373" s="2666" t="s">
        <v>820</v>
      </c>
      <c r="I373" s="2666" t="s">
        <v>821</v>
      </c>
      <c r="J373" s="2666" t="s">
        <v>822</v>
      </c>
      <c r="K373" s="12"/>
      <c r="L373" s="699"/>
      <c r="M373" s="699"/>
    </row>
    <row r="374" spans="3:13" ht="15" customHeight="1">
      <c r="C374" s="698"/>
      <c r="D374" s="12" t="s">
        <v>947</v>
      </c>
      <c r="E374" s="12" t="s">
        <v>948</v>
      </c>
      <c r="F374" s="12" t="s">
        <v>949</v>
      </c>
      <c r="G374" s="2667">
        <v>300214</v>
      </c>
      <c r="H374" s="12">
        <v>0</v>
      </c>
      <c r="I374" s="2057">
        <f t="shared" ref="I374:I379" si="4">(0.8^(1/32))-1</f>
        <v>-6.9489793836314817E-3</v>
      </c>
      <c r="J374" s="2057">
        <f t="shared" ref="J374:J379" si="5">(0.7^(1/32))-1</f>
        <v>-1.1084204462805003E-2</v>
      </c>
      <c r="K374" s="12"/>
      <c r="L374" s="699"/>
      <c r="M374" s="699"/>
    </row>
    <row r="375" spans="3:13" ht="15" customHeight="1">
      <c r="C375" s="698"/>
      <c r="D375" s="12" t="s">
        <v>947</v>
      </c>
      <c r="E375" s="12" t="s">
        <v>950</v>
      </c>
      <c r="F375" s="12" t="s">
        <v>951</v>
      </c>
      <c r="G375" s="662">
        <v>0.59</v>
      </c>
      <c r="H375" s="12">
        <v>0</v>
      </c>
      <c r="I375" s="2057">
        <f t="shared" si="4"/>
        <v>-6.9489793836314817E-3</v>
      </c>
      <c r="J375" s="2057">
        <f t="shared" si="5"/>
        <v>-1.1084204462805003E-2</v>
      </c>
      <c r="K375" s="12"/>
      <c r="L375" s="699"/>
      <c r="M375" s="699"/>
    </row>
    <row r="376" spans="3:13" ht="15" customHeight="1">
      <c r="C376" s="698"/>
      <c r="D376" s="12" t="s">
        <v>947</v>
      </c>
      <c r="E376" s="12" t="s">
        <v>952</v>
      </c>
      <c r="F376" s="12" t="s">
        <v>951</v>
      </c>
      <c r="G376" s="2667">
        <v>1417</v>
      </c>
      <c r="H376" s="12">
        <v>0</v>
      </c>
      <c r="I376" s="2057">
        <f t="shared" si="4"/>
        <v>-6.9489793836314817E-3</v>
      </c>
      <c r="J376" s="2057">
        <f t="shared" si="5"/>
        <v>-1.1084204462805003E-2</v>
      </c>
      <c r="K376" s="12"/>
      <c r="L376" s="699"/>
      <c r="M376" s="699"/>
    </row>
    <row r="377" spans="3:13" ht="15" customHeight="1">
      <c r="C377" s="698"/>
      <c r="D377" s="12" t="s">
        <v>947</v>
      </c>
      <c r="E377" s="12" t="s">
        <v>953</v>
      </c>
      <c r="F377" s="12" t="s">
        <v>951</v>
      </c>
      <c r="G377" s="662">
        <v>4.2000000000000003E-2</v>
      </c>
      <c r="H377" s="12">
        <v>0</v>
      </c>
      <c r="I377" s="2057">
        <f t="shared" si="4"/>
        <v>-6.9489793836314817E-3</v>
      </c>
      <c r="J377" s="2057">
        <f t="shared" si="5"/>
        <v>-1.1084204462805003E-2</v>
      </c>
      <c r="K377" s="12"/>
      <c r="L377" s="699"/>
      <c r="M377" s="699"/>
    </row>
    <row r="378" spans="3:13" ht="15" customHeight="1">
      <c r="C378" s="698"/>
      <c r="D378" s="12" t="s">
        <v>111</v>
      </c>
      <c r="E378" s="12" t="s">
        <v>954</v>
      </c>
      <c r="F378" s="12" t="s">
        <v>949</v>
      </c>
      <c r="G378" s="2667">
        <v>16000000</v>
      </c>
      <c r="H378" s="12">
        <v>0</v>
      </c>
      <c r="I378" s="2057">
        <f t="shared" si="4"/>
        <v>-6.9489793836314817E-3</v>
      </c>
      <c r="J378" s="2057">
        <f t="shared" si="5"/>
        <v>-1.1084204462805003E-2</v>
      </c>
      <c r="K378" s="12"/>
      <c r="L378" s="699"/>
      <c r="M378" s="699"/>
    </row>
    <row r="379" spans="3:13" ht="15" customHeight="1">
      <c r="C379" s="698"/>
      <c r="D379" s="275" t="s">
        <v>111</v>
      </c>
      <c r="E379" s="275" t="s">
        <v>955</v>
      </c>
      <c r="F379" s="275" t="s">
        <v>951</v>
      </c>
      <c r="G379" s="2668">
        <v>1800</v>
      </c>
      <c r="H379" s="275">
        <v>0</v>
      </c>
      <c r="I379" s="2060">
        <f t="shared" si="4"/>
        <v>-6.9489793836314817E-3</v>
      </c>
      <c r="J379" s="2060">
        <f t="shared" si="5"/>
        <v>-1.1084204462805003E-2</v>
      </c>
      <c r="K379" s="12"/>
      <c r="L379" s="699"/>
      <c r="M379" s="699"/>
    </row>
    <row r="380" spans="3:13" ht="15" customHeight="1">
      <c r="C380" s="698"/>
      <c r="D380" s="12"/>
      <c r="E380" s="12"/>
      <c r="F380" s="12"/>
      <c r="G380" s="12"/>
      <c r="H380" s="12"/>
      <c r="I380" s="12"/>
      <c r="J380" s="12"/>
      <c r="K380" s="12"/>
      <c r="L380" s="699"/>
      <c r="M380" s="699"/>
    </row>
    <row r="381" spans="3:13" ht="15" customHeight="1">
      <c r="C381" s="698"/>
      <c r="D381" s="699"/>
      <c r="E381" s="699"/>
      <c r="F381" s="699"/>
      <c r="G381" s="699"/>
      <c r="H381" s="1806"/>
      <c r="I381" s="699"/>
      <c r="J381" s="699"/>
      <c r="K381" s="699"/>
      <c r="L381" s="699"/>
      <c r="M381" s="699"/>
    </row>
    <row r="382" spans="3:13" ht="15" customHeight="1">
      <c r="C382" s="698"/>
      <c r="D382" s="2334" t="s">
        <v>956</v>
      </c>
      <c r="E382" s="2357"/>
      <c r="F382" s="2357"/>
      <c r="G382" s="2357"/>
      <c r="H382" s="2357"/>
      <c r="I382" s="2357"/>
      <c r="J382" s="2357"/>
      <c r="K382" s="2357"/>
      <c r="L382" s="2357"/>
      <c r="M382" s="699"/>
    </row>
    <row r="383" spans="3:13" ht="15" customHeight="1">
      <c r="C383" s="698"/>
      <c r="D383" s="699"/>
      <c r="E383" s="699"/>
      <c r="F383" s="699"/>
      <c r="G383" s="699"/>
      <c r="H383" s="1806"/>
      <c r="I383" s="699"/>
      <c r="J383" s="699"/>
      <c r="K383" s="699"/>
      <c r="L383" s="699"/>
      <c r="M383" s="699"/>
    </row>
    <row r="384" spans="3:13" ht="15" customHeight="1">
      <c r="C384" s="698"/>
      <c r="D384" s="2665" t="s">
        <v>945</v>
      </c>
      <c r="E384" s="2665" t="s">
        <v>946</v>
      </c>
      <c r="F384" s="2665" t="s">
        <v>870</v>
      </c>
      <c r="G384" s="2665" t="s">
        <v>871</v>
      </c>
      <c r="H384" s="2665" t="s">
        <v>820</v>
      </c>
      <c r="I384" s="2665" t="s">
        <v>821</v>
      </c>
      <c r="J384" s="2665" t="s">
        <v>822</v>
      </c>
      <c r="K384" s="699"/>
      <c r="L384" s="699"/>
      <c r="M384" s="699"/>
    </row>
    <row r="385" spans="3:13" ht="15" customHeight="1">
      <c r="C385" s="698"/>
      <c r="D385" s="2691" t="s">
        <v>957</v>
      </c>
      <c r="E385" s="2692" t="s">
        <v>958</v>
      </c>
      <c r="F385" s="2691" t="s">
        <v>951</v>
      </c>
      <c r="G385" s="2691">
        <v>405.59</v>
      </c>
      <c r="H385" s="2691">
        <v>0</v>
      </c>
      <c r="I385" s="2693">
        <f>(0.8^(1/32))-1</f>
        <v>-6.9489793836314817E-3</v>
      </c>
      <c r="J385" s="2693">
        <f>(0.7^(1/32))-1</f>
        <v>-1.1084204462805003E-2</v>
      </c>
      <c r="K385" s="699"/>
      <c r="L385" s="699"/>
      <c r="M385" s="699"/>
    </row>
    <row r="386" spans="3:13" ht="15" customHeight="1">
      <c r="C386" s="698"/>
      <c r="D386" s="2691" t="s">
        <v>957</v>
      </c>
      <c r="E386" s="2692" t="s">
        <v>959</v>
      </c>
      <c r="F386" s="2691" t="s">
        <v>951</v>
      </c>
      <c r="G386" s="2691">
        <v>540</v>
      </c>
      <c r="H386" s="2691">
        <v>0</v>
      </c>
      <c r="I386" s="2693">
        <f>(0.8^(1/32))-1</f>
        <v>-6.9489793836314817E-3</v>
      </c>
      <c r="J386" s="2693">
        <f>(0.7^(1/32))-1</f>
        <v>-1.1084204462805003E-2</v>
      </c>
      <c r="K386" s="699"/>
      <c r="L386" s="699"/>
      <c r="M386" s="699"/>
    </row>
    <row r="387" spans="3:13" ht="15" customHeight="1">
      <c r="C387" s="698"/>
      <c r="D387" s="2691" t="s">
        <v>114</v>
      </c>
      <c r="E387" s="2692" t="s">
        <v>960</v>
      </c>
      <c r="F387" s="2691" t="s">
        <v>961</v>
      </c>
      <c r="G387" s="2691">
        <f>150000</f>
        <v>150000</v>
      </c>
      <c r="H387" s="2691">
        <v>0</v>
      </c>
      <c r="I387" s="2693">
        <f>(0.8^(1/32))-1</f>
        <v>-6.9489793836314817E-3</v>
      </c>
      <c r="J387" s="2693">
        <f>(0.7^(1/32))-1</f>
        <v>-1.1084204462805003E-2</v>
      </c>
      <c r="K387" s="699"/>
      <c r="L387" s="699"/>
      <c r="M387" s="699"/>
    </row>
    <row r="388" spans="3:13" ht="15" customHeight="1">
      <c r="C388" s="698"/>
      <c r="D388" s="2694" t="s">
        <v>114</v>
      </c>
      <c r="E388" s="2695" t="s">
        <v>962</v>
      </c>
      <c r="F388" s="2694" t="s">
        <v>951</v>
      </c>
      <c r="G388" s="2694">
        <v>90</v>
      </c>
      <c r="H388" s="2694">
        <v>0</v>
      </c>
      <c r="I388" s="2696">
        <f>(0.8^(1/32))-1</f>
        <v>-6.9489793836314817E-3</v>
      </c>
      <c r="J388" s="2696">
        <f>(0.7^(1/32))-1</f>
        <v>-1.1084204462805003E-2</v>
      </c>
      <c r="K388" s="699"/>
      <c r="L388" s="699"/>
      <c r="M388" s="699"/>
    </row>
    <row r="389" spans="3:13" ht="15" customHeight="1">
      <c r="C389" s="698"/>
      <c r="D389" s="12"/>
      <c r="E389" s="12"/>
      <c r="F389" s="12"/>
      <c r="G389" s="12"/>
      <c r="H389" s="12"/>
      <c r="I389" s="12"/>
      <c r="J389" s="12"/>
      <c r="K389" s="699"/>
      <c r="L389" s="699"/>
      <c r="M389" s="699"/>
    </row>
    <row r="390" spans="3:13" ht="15" customHeight="1">
      <c r="C390" s="698"/>
      <c r="D390" s="2334" t="s">
        <v>963</v>
      </c>
      <c r="E390" s="2357"/>
      <c r="F390" s="2357"/>
      <c r="G390" s="2357"/>
      <c r="H390" s="2357"/>
      <c r="I390" s="2357"/>
      <c r="J390" s="2357"/>
      <c r="K390" s="2357"/>
      <c r="L390" s="2357"/>
      <c r="M390" s="699"/>
    </row>
    <row r="391" spans="3:13" ht="15" customHeight="1">
      <c r="C391" s="698"/>
      <c r="D391" s="699"/>
      <c r="E391" s="699"/>
      <c r="F391" s="699"/>
      <c r="G391" s="699"/>
      <c r="H391" s="1806"/>
      <c r="I391" s="699"/>
      <c r="J391" s="699"/>
      <c r="K391" s="699"/>
      <c r="L391" s="699"/>
      <c r="M391" s="699"/>
    </row>
    <row r="392" spans="3:13" ht="15" customHeight="1">
      <c r="C392" s="12"/>
      <c r="D392" s="2691"/>
      <c r="E392" s="12"/>
      <c r="F392" s="12"/>
      <c r="G392" s="12"/>
      <c r="H392" s="12"/>
      <c r="I392" s="12"/>
      <c r="J392" s="12"/>
      <c r="K392" s="699"/>
      <c r="L392" s="699"/>
      <c r="M392" s="699"/>
    </row>
    <row r="393" spans="3:13" ht="15" customHeight="1">
      <c r="C393" s="12"/>
      <c r="D393" s="2819" t="s">
        <v>964</v>
      </c>
      <c r="E393" s="181"/>
      <c r="F393" s="181"/>
      <c r="G393" s="181"/>
      <c r="H393" s="181"/>
      <c r="I393" s="181"/>
      <c r="J393" s="181"/>
      <c r="K393" s="181"/>
      <c r="L393" s="181"/>
      <c r="M393" s="699"/>
    </row>
    <row r="394" spans="3:13" ht="15" customHeight="1">
      <c r="C394" s="12"/>
      <c r="D394" s="2691"/>
      <c r="E394" s="12"/>
      <c r="F394" s="12"/>
      <c r="G394" s="12"/>
      <c r="H394" s="12"/>
      <c r="I394" s="12"/>
      <c r="J394" s="12"/>
      <c r="K394" s="699"/>
      <c r="L394" s="699"/>
      <c r="M394" s="699"/>
    </row>
    <row r="395" spans="3:13" ht="15" customHeight="1">
      <c r="C395" s="12"/>
      <c r="D395" s="2820" t="s">
        <v>965</v>
      </c>
      <c r="E395" s="12"/>
      <c r="F395" s="12"/>
      <c r="G395" s="3899" t="s">
        <v>873</v>
      </c>
      <c r="H395" s="3899"/>
      <c r="I395" s="3899"/>
      <c r="J395" s="12"/>
      <c r="K395" s="699"/>
      <c r="L395" s="699"/>
      <c r="M395" s="699"/>
    </row>
    <row r="396" spans="3:13" ht="15" customHeight="1">
      <c r="C396" s="12"/>
      <c r="D396" s="2820" t="s">
        <v>938</v>
      </c>
      <c r="E396" s="400" t="s">
        <v>870</v>
      </c>
      <c r="F396" s="400" t="s">
        <v>871</v>
      </c>
      <c r="G396" s="400" t="s">
        <v>820</v>
      </c>
      <c r="H396" s="400" t="s">
        <v>821</v>
      </c>
      <c r="I396" s="400" t="s">
        <v>822</v>
      </c>
      <c r="J396" s="12"/>
      <c r="K396" s="699"/>
      <c r="L396" s="699"/>
      <c r="M396" s="699"/>
    </row>
    <row r="397" spans="3:13" ht="15" customHeight="1">
      <c r="C397" s="12"/>
      <c r="D397" s="2821" t="s">
        <v>966</v>
      </c>
      <c r="E397" s="2817"/>
      <c r="F397" s="2817"/>
      <c r="G397" s="2822"/>
      <c r="H397" s="2822"/>
      <c r="I397" s="2822"/>
      <c r="J397" s="12"/>
      <c r="K397" s="699"/>
      <c r="L397" s="699"/>
      <c r="M397" s="699"/>
    </row>
    <row r="398" spans="3:13" ht="15" customHeight="1">
      <c r="C398" s="12"/>
      <c r="D398" s="2691" t="s">
        <v>967</v>
      </c>
      <c r="E398" s="12" t="s">
        <v>949</v>
      </c>
      <c r="F398" s="12">
        <v>966372</v>
      </c>
      <c r="G398" s="2823">
        <v>0</v>
      </c>
      <c r="H398" s="2823">
        <v>-6.9489793836314817E-3</v>
      </c>
      <c r="I398" s="2823">
        <v>-1.1084204462805003E-2</v>
      </c>
      <c r="J398" s="12"/>
      <c r="K398" s="699"/>
      <c r="L398" s="699"/>
      <c r="M398" s="699"/>
    </row>
    <row r="399" spans="3:13" ht="15" customHeight="1">
      <c r="C399" s="12"/>
      <c r="D399" s="2691" t="s">
        <v>968</v>
      </c>
      <c r="E399" s="12" t="s">
        <v>949</v>
      </c>
      <c r="F399" s="12">
        <v>403712</v>
      </c>
      <c r="G399" s="2823">
        <v>0</v>
      </c>
      <c r="H399" s="2823">
        <v>-6.9489793836314817E-3</v>
      </c>
      <c r="I399" s="2823">
        <v>-1.1084204462805003E-2</v>
      </c>
      <c r="J399" s="12"/>
      <c r="K399" s="699"/>
      <c r="L399" s="699"/>
      <c r="M399" s="699"/>
    </row>
    <row r="400" spans="3:13" ht="15" customHeight="1">
      <c r="C400" s="12"/>
      <c r="D400" s="2824" t="s">
        <v>969</v>
      </c>
      <c r="E400" s="12"/>
      <c r="F400" s="12"/>
      <c r="G400" s="2823"/>
      <c r="H400" s="2823"/>
      <c r="I400" s="2823"/>
      <c r="J400" s="12"/>
      <c r="K400" s="699"/>
      <c r="L400" s="699"/>
      <c r="M400" s="699"/>
    </row>
    <row r="401" spans="3:13" ht="15" customHeight="1">
      <c r="C401" s="12"/>
      <c r="D401" s="2691" t="s">
        <v>970</v>
      </c>
      <c r="E401" s="12" t="s">
        <v>949</v>
      </c>
      <c r="F401" s="12">
        <v>19327</v>
      </c>
      <c r="G401" s="2823">
        <v>0</v>
      </c>
      <c r="H401" s="2823">
        <f>(0.8^(1/32))-1</f>
        <v>-6.9489793836314817E-3</v>
      </c>
      <c r="I401" s="2823">
        <f>(0.7^(1/32))-1</f>
        <v>-1.1084204462805003E-2</v>
      </c>
      <c r="J401" s="12"/>
      <c r="K401" s="699"/>
      <c r="L401" s="699"/>
      <c r="M401" s="699"/>
    </row>
    <row r="402" spans="3:13" ht="15" customHeight="1">
      <c r="C402" s="12"/>
      <c r="D402" s="2694" t="s">
        <v>971</v>
      </c>
      <c r="E402" s="275" t="s">
        <v>949</v>
      </c>
      <c r="F402" s="275">
        <v>60557</v>
      </c>
      <c r="G402" s="2825">
        <v>0</v>
      </c>
      <c r="H402" s="2825">
        <f>(0.8^(1/32))-1</f>
        <v>-6.9489793836314817E-3</v>
      </c>
      <c r="I402" s="2825">
        <f>(0.7^(1/32))-1</f>
        <v>-1.1084204462805003E-2</v>
      </c>
      <c r="J402" s="12"/>
      <c r="K402" s="699"/>
      <c r="L402" s="699"/>
      <c r="M402" s="699"/>
    </row>
    <row r="403" spans="3:13" ht="15" customHeight="1">
      <c r="C403" s="12"/>
      <c r="D403" s="2691"/>
      <c r="E403" s="12"/>
      <c r="F403" s="12"/>
      <c r="G403" s="2823"/>
      <c r="H403" s="2823"/>
      <c r="I403" s="2823"/>
      <c r="J403" s="12"/>
      <c r="K403" s="699"/>
      <c r="L403" s="699"/>
      <c r="M403" s="699"/>
    </row>
    <row r="404" spans="3:13" ht="15" customHeight="1">
      <c r="C404" s="12"/>
      <c r="D404" s="2820" t="s">
        <v>972</v>
      </c>
      <c r="E404" s="12"/>
      <c r="F404" s="12"/>
      <c r="G404" s="2823"/>
      <c r="H404" s="2823"/>
      <c r="I404" s="2823"/>
      <c r="J404" s="12"/>
      <c r="K404" s="699"/>
      <c r="L404" s="699"/>
      <c r="M404" s="699"/>
    </row>
    <row r="405" spans="3:13" ht="15" customHeight="1">
      <c r="C405" s="12"/>
      <c r="D405" s="2820" t="s">
        <v>938</v>
      </c>
      <c r="E405" s="400" t="s">
        <v>870</v>
      </c>
      <c r="F405" s="400" t="s">
        <v>871</v>
      </c>
      <c r="G405" s="400" t="s">
        <v>820</v>
      </c>
      <c r="H405" s="400" t="s">
        <v>821</v>
      </c>
      <c r="I405" s="400" t="s">
        <v>822</v>
      </c>
      <c r="J405" s="12"/>
      <c r="K405" s="699"/>
      <c r="L405" s="699"/>
      <c r="M405" s="699"/>
    </row>
    <row r="406" spans="3:13" ht="15" customHeight="1">
      <c r="C406" s="12"/>
      <c r="D406" s="2821" t="s">
        <v>973</v>
      </c>
      <c r="E406" s="2817"/>
      <c r="F406" s="2817"/>
      <c r="G406" s="2822"/>
      <c r="H406" s="2822"/>
      <c r="I406" s="2822"/>
      <c r="J406" s="12"/>
      <c r="K406" s="699"/>
      <c r="L406" s="699"/>
      <c r="M406" s="699"/>
    </row>
    <row r="407" spans="3:13" ht="15" customHeight="1">
      <c r="C407" s="12"/>
      <c r="D407" s="2691" t="s">
        <v>974</v>
      </c>
      <c r="E407" s="12" t="s">
        <v>949</v>
      </c>
      <c r="F407" s="12">
        <v>364708</v>
      </c>
      <c r="G407" s="2823">
        <v>0</v>
      </c>
      <c r="H407" s="2823">
        <v>-6.9489793836314817E-3</v>
      </c>
      <c r="I407" s="2823">
        <v>-1.1084204462805003E-2</v>
      </c>
      <c r="J407" s="12"/>
      <c r="K407" s="699"/>
      <c r="L407" s="699"/>
      <c r="M407" s="699"/>
    </row>
    <row r="408" spans="3:13" ht="15" customHeight="1">
      <c r="C408" s="12"/>
      <c r="D408" s="2691" t="s">
        <v>975</v>
      </c>
      <c r="E408" s="12" t="s">
        <v>949</v>
      </c>
      <c r="F408" s="12">
        <v>84000</v>
      </c>
      <c r="G408" s="2823">
        <v>0</v>
      </c>
      <c r="H408" s="2823">
        <v>-6.9489793836314817E-3</v>
      </c>
      <c r="I408" s="2823">
        <v>-1.1084204462805003E-2</v>
      </c>
      <c r="J408" s="12"/>
      <c r="K408" s="699"/>
      <c r="L408" s="699"/>
      <c r="M408" s="699"/>
    </row>
    <row r="409" spans="3:13" ht="15" customHeight="1">
      <c r="C409" s="12"/>
      <c r="D409" s="2824" t="s">
        <v>976</v>
      </c>
      <c r="E409" s="12"/>
      <c r="F409" s="12"/>
      <c r="G409" s="2823"/>
      <c r="H409" s="2823"/>
      <c r="I409" s="2823"/>
      <c r="J409" s="12"/>
      <c r="K409" s="699"/>
      <c r="L409" s="699"/>
      <c r="M409" s="699"/>
    </row>
    <row r="410" spans="3:13" ht="15" customHeight="1">
      <c r="C410" s="12"/>
      <c r="D410" s="2691" t="s">
        <v>977</v>
      </c>
      <c r="E410" s="12" t="s">
        <v>949</v>
      </c>
      <c r="F410" s="12">
        <v>7294</v>
      </c>
      <c r="G410" s="2823">
        <v>0</v>
      </c>
      <c r="H410" s="2823">
        <v>-6.9489793836314817E-3</v>
      </c>
      <c r="I410" s="2823">
        <v>-1.1084204462805003E-2</v>
      </c>
      <c r="J410" s="12"/>
      <c r="K410" s="699"/>
      <c r="L410" s="699"/>
      <c r="M410" s="699"/>
    </row>
    <row r="411" spans="3:13" ht="15" customHeight="1">
      <c r="C411" s="12"/>
      <c r="D411" s="2694" t="s">
        <v>978</v>
      </c>
      <c r="E411" s="275" t="s">
        <v>949</v>
      </c>
      <c r="F411" s="275">
        <v>1600</v>
      </c>
      <c r="G411" s="2825">
        <v>0</v>
      </c>
      <c r="H411" s="2825">
        <v>-6.9489793836314817E-3</v>
      </c>
      <c r="I411" s="2825">
        <v>-1.1084204462805003E-2</v>
      </c>
      <c r="J411" s="12"/>
      <c r="K411" s="699"/>
      <c r="L411" s="699"/>
      <c r="M411" s="699"/>
    </row>
    <row r="412" spans="3:13" ht="15" customHeight="1">
      <c r="C412" s="12"/>
      <c r="D412" s="2691"/>
      <c r="E412" s="12"/>
      <c r="F412" s="12"/>
      <c r="G412" s="2823"/>
      <c r="H412" s="2823"/>
      <c r="I412" s="2823"/>
      <c r="J412" s="12"/>
      <c r="K412" s="699"/>
      <c r="L412" s="699"/>
      <c r="M412" s="699"/>
    </row>
    <row r="413" spans="3:13" ht="15" customHeight="1">
      <c r="C413" s="12"/>
      <c r="D413" s="2819" t="s">
        <v>979</v>
      </c>
      <c r="E413" s="181"/>
      <c r="F413" s="181"/>
      <c r="G413" s="2826"/>
      <c r="H413" s="2826"/>
      <c r="I413" s="2826"/>
      <c r="J413" s="2826"/>
      <c r="K413" s="2826"/>
      <c r="L413" s="2826"/>
      <c r="M413" s="699"/>
    </row>
    <row r="414" spans="3:13" ht="15" customHeight="1">
      <c r="C414" s="12"/>
      <c r="D414" s="2691"/>
      <c r="E414" s="12"/>
      <c r="F414" s="12"/>
      <c r="G414" s="2823"/>
      <c r="H414" s="2823"/>
      <c r="I414" s="2823"/>
      <c r="J414" s="12"/>
      <c r="K414" s="699"/>
      <c r="L414" s="699"/>
      <c r="M414" s="699"/>
    </row>
    <row r="415" spans="3:13" ht="15" customHeight="1">
      <c r="C415" s="12"/>
      <c r="D415" s="2820" t="s">
        <v>965</v>
      </c>
      <c r="E415" s="12"/>
      <c r="F415" s="12"/>
      <c r="G415" s="2823"/>
      <c r="H415" s="2823"/>
      <c r="I415" s="2823"/>
      <c r="J415" s="12"/>
      <c r="K415" s="699"/>
      <c r="L415" s="699"/>
      <c r="M415" s="699"/>
    </row>
    <row r="416" spans="3:13" ht="15" customHeight="1">
      <c r="C416" s="12"/>
      <c r="D416" s="2820" t="s">
        <v>938</v>
      </c>
      <c r="E416" s="400" t="s">
        <v>870</v>
      </c>
      <c r="F416" s="400" t="s">
        <v>871</v>
      </c>
      <c r="G416" s="400" t="s">
        <v>820</v>
      </c>
      <c r="H416" s="400" t="s">
        <v>821</v>
      </c>
      <c r="I416" s="400" t="s">
        <v>822</v>
      </c>
      <c r="J416" s="12"/>
      <c r="K416" s="699"/>
      <c r="L416" s="699"/>
      <c r="M416" s="699"/>
    </row>
    <row r="417" spans="3:13" ht="15" customHeight="1">
      <c r="C417" s="12"/>
      <c r="D417" s="2821" t="s">
        <v>966</v>
      </c>
      <c r="E417" s="2817"/>
      <c r="F417" s="2817"/>
      <c r="G417" s="2822"/>
      <c r="H417" s="2822"/>
      <c r="I417" s="2822"/>
      <c r="J417" s="12"/>
      <c r="K417" s="699"/>
      <c r="L417" s="699"/>
      <c r="M417" s="699"/>
    </row>
    <row r="418" spans="3:13" ht="15" customHeight="1">
      <c r="C418" s="12"/>
      <c r="D418" s="2691" t="s">
        <v>980</v>
      </c>
      <c r="E418" s="12" t="s">
        <v>949</v>
      </c>
      <c r="F418" s="12">
        <v>2079549</v>
      </c>
      <c r="G418" s="2823">
        <v>0</v>
      </c>
      <c r="H418" s="2823">
        <v>-6.9489793836314817E-3</v>
      </c>
      <c r="I418" s="2823">
        <v>-1.1084204462805003E-2</v>
      </c>
      <c r="J418" s="12"/>
      <c r="K418" s="699"/>
      <c r="L418" s="699"/>
      <c r="M418" s="699"/>
    </row>
    <row r="419" spans="3:13" ht="15" customHeight="1">
      <c r="C419" s="12"/>
      <c r="D419" s="2691" t="s">
        <v>981</v>
      </c>
      <c r="E419" s="12" t="s">
        <v>949</v>
      </c>
      <c r="F419" s="12">
        <v>1126257</v>
      </c>
      <c r="G419" s="2823">
        <v>0</v>
      </c>
      <c r="H419" s="2823">
        <v>-6.9489793836314817E-3</v>
      </c>
      <c r="I419" s="2823">
        <v>-1.1084204462805003E-2</v>
      </c>
      <c r="J419" s="12"/>
      <c r="K419" s="699"/>
      <c r="L419" s="699"/>
      <c r="M419" s="699"/>
    </row>
    <row r="420" spans="3:13" ht="15" customHeight="1">
      <c r="C420" s="12"/>
      <c r="D420" s="2824" t="s">
        <v>969</v>
      </c>
      <c r="E420" s="12"/>
      <c r="F420" s="12"/>
      <c r="G420" s="2823"/>
      <c r="H420" s="2823"/>
      <c r="I420" s="2823"/>
      <c r="J420" s="12"/>
      <c r="K420" s="699"/>
      <c r="L420" s="699"/>
      <c r="M420" s="699"/>
    </row>
    <row r="421" spans="3:13" ht="15" customHeight="1">
      <c r="C421" s="12"/>
      <c r="D421" s="2691" t="s">
        <v>982</v>
      </c>
      <c r="E421" s="12" t="s">
        <v>949</v>
      </c>
      <c r="F421" s="12">
        <v>41591</v>
      </c>
      <c r="G421" s="2823">
        <v>0</v>
      </c>
      <c r="H421" s="2823">
        <v>-6.9489793836314817E-3</v>
      </c>
      <c r="I421" s="2823">
        <v>-1.1084204462805003E-2</v>
      </c>
      <c r="J421" s="12"/>
      <c r="K421" s="699"/>
      <c r="L421" s="699"/>
      <c r="M421" s="699"/>
    </row>
    <row r="422" spans="3:13" ht="15" customHeight="1">
      <c r="C422" s="12"/>
      <c r="D422" s="2694" t="s">
        <v>983</v>
      </c>
      <c r="E422" s="275" t="s">
        <v>949</v>
      </c>
      <c r="F422" s="275">
        <v>168939</v>
      </c>
      <c r="G422" s="2825">
        <v>0</v>
      </c>
      <c r="H422" s="2825">
        <v>-6.9489793836314817E-3</v>
      </c>
      <c r="I422" s="2825">
        <v>-1.1084204462805003E-2</v>
      </c>
      <c r="J422" s="12"/>
      <c r="K422" s="699"/>
      <c r="L422" s="699"/>
      <c r="M422" s="699"/>
    </row>
    <row r="423" spans="3:13" ht="15" customHeight="1">
      <c r="C423" s="12"/>
      <c r="D423" s="2691"/>
      <c r="E423" s="12"/>
      <c r="F423" s="12"/>
      <c r="G423" s="2823"/>
      <c r="H423" s="2823"/>
      <c r="I423" s="2823"/>
      <c r="J423" s="12"/>
      <c r="K423" s="699"/>
      <c r="L423" s="699"/>
      <c r="M423" s="699"/>
    </row>
    <row r="424" spans="3:13" ht="15" customHeight="1">
      <c r="C424" s="12"/>
      <c r="D424" s="2820" t="s">
        <v>972</v>
      </c>
      <c r="E424" s="12"/>
      <c r="F424" s="12"/>
      <c r="G424" s="2823"/>
      <c r="H424" s="2823"/>
      <c r="I424" s="2823"/>
      <c r="J424" s="12"/>
      <c r="K424" s="699"/>
      <c r="L424" s="699"/>
      <c r="M424" s="699"/>
    </row>
    <row r="425" spans="3:13" ht="15" customHeight="1">
      <c r="C425" s="12"/>
      <c r="D425" s="2820" t="s">
        <v>938</v>
      </c>
      <c r="E425" s="400" t="s">
        <v>870</v>
      </c>
      <c r="F425" s="400" t="s">
        <v>871</v>
      </c>
      <c r="G425" s="400" t="s">
        <v>820</v>
      </c>
      <c r="H425" s="400" t="s">
        <v>821</v>
      </c>
      <c r="I425" s="400" t="s">
        <v>822</v>
      </c>
      <c r="J425" s="12"/>
      <c r="K425" s="699"/>
      <c r="L425" s="699"/>
      <c r="M425" s="699"/>
    </row>
    <row r="426" spans="3:13" ht="15" customHeight="1">
      <c r="C426" s="12"/>
      <c r="D426" s="2821" t="s">
        <v>973</v>
      </c>
      <c r="E426" s="2817"/>
      <c r="F426" s="2817"/>
      <c r="G426" s="2822"/>
      <c r="H426" s="2822"/>
      <c r="I426" s="2822"/>
      <c r="J426" s="12"/>
      <c r="K426" s="699"/>
      <c r="L426" s="699"/>
      <c r="M426" s="699"/>
    </row>
    <row r="427" spans="3:13" ht="15" customHeight="1">
      <c r="C427" s="12"/>
      <c r="D427" s="2691" t="s">
        <v>984</v>
      </c>
      <c r="E427" s="12" t="s">
        <v>949</v>
      </c>
      <c r="F427" s="12">
        <v>1013077</v>
      </c>
      <c r="G427" s="2823">
        <v>0</v>
      </c>
      <c r="H427" s="2823">
        <v>-6.9489793836314817E-3</v>
      </c>
      <c r="I427" s="2823">
        <v>-1.1084204462805003E-2</v>
      </c>
      <c r="J427" s="12"/>
      <c r="K427" s="699"/>
      <c r="L427" s="699"/>
      <c r="M427" s="699"/>
    </row>
    <row r="428" spans="3:13" ht="15" customHeight="1">
      <c r="C428" s="12"/>
      <c r="D428" s="2691" t="s">
        <v>985</v>
      </c>
      <c r="E428" s="12" t="s">
        <v>949</v>
      </c>
      <c r="F428" s="12">
        <v>238168</v>
      </c>
      <c r="G428" s="2823">
        <v>0</v>
      </c>
      <c r="H428" s="2823">
        <v>-6.9489793836314817E-3</v>
      </c>
      <c r="I428" s="2823">
        <v>-1.1084204462805003E-2</v>
      </c>
      <c r="J428" s="12"/>
      <c r="K428" s="699"/>
      <c r="L428" s="699"/>
      <c r="M428" s="699"/>
    </row>
    <row r="429" spans="3:13" ht="15" customHeight="1">
      <c r="C429" s="12"/>
      <c r="D429" s="2824" t="s">
        <v>976</v>
      </c>
      <c r="E429" s="12"/>
      <c r="F429" s="12"/>
      <c r="G429" s="2823"/>
      <c r="H429" s="2823"/>
      <c r="I429" s="2823"/>
      <c r="J429" s="12"/>
      <c r="K429" s="699"/>
      <c r="L429" s="699"/>
      <c r="M429" s="699"/>
    </row>
    <row r="430" spans="3:13" ht="15" customHeight="1">
      <c r="C430" s="12"/>
      <c r="D430" s="2691" t="s">
        <v>986</v>
      </c>
      <c r="E430" s="12" t="s">
        <v>949</v>
      </c>
      <c r="F430" s="12">
        <v>20262</v>
      </c>
      <c r="G430" s="2823">
        <v>0</v>
      </c>
      <c r="H430" s="2823">
        <v>-6.9489793836314817E-3</v>
      </c>
      <c r="I430" s="2823">
        <v>-1.1084204462805003E-2</v>
      </c>
      <c r="J430" s="12"/>
      <c r="K430" s="699"/>
      <c r="L430" s="699"/>
      <c r="M430" s="699"/>
    </row>
    <row r="431" spans="3:13" ht="15" customHeight="1">
      <c r="C431" s="12"/>
      <c r="D431" s="2694" t="s">
        <v>987</v>
      </c>
      <c r="E431" s="275" t="s">
        <v>949</v>
      </c>
      <c r="F431" s="275">
        <v>35725</v>
      </c>
      <c r="G431" s="2825">
        <v>0</v>
      </c>
      <c r="H431" s="2825">
        <v>-6.9489793836314817E-3</v>
      </c>
      <c r="I431" s="2825">
        <v>-1.1084204462805003E-2</v>
      </c>
      <c r="J431" s="12"/>
      <c r="K431" s="699"/>
      <c r="L431" s="699"/>
      <c r="M431" s="699"/>
    </row>
    <row r="432" spans="3:13" ht="15" customHeight="1">
      <c r="C432" s="12"/>
      <c r="D432" s="2691"/>
      <c r="E432" s="12"/>
      <c r="F432" s="12"/>
      <c r="G432" s="12"/>
      <c r="H432" s="12"/>
      <c r="I432" s="12"/>
      <c r="J432" s="12"/>
      <c r="K432" s="699"/>
      <c r="L432" s="699"/>
      <c r="M432" s="699"/>
    </row>
  </sheetData>
  <sheetProtection algorithmName="SHA-512" hashValue="hJZmyiJYWcuWSgloHHvDTqhktFN2uP3qSGstX/WPmo6N+m5U7Z9JT1zEPF8zIivnXYEbLx6nbL2+BtuWB6mJlQ==" saltValue="VGLrJ8X5nxBbzO9NQEbeDA==" spinCount="100000" sheet="1" objects="1" scenarios="1"/>
  <mergeCells count="6">
    <mergeCell ref="G395:I395"/>
    <mergeCell ref="D195:D196"/>
    <mergeCell ref="E195:E196"/>
    <mergeCell ref="F195:F196"/>
    <mergeCell ref="G195:G196"/>
    <mergeCell ref="H195:J195"/>
  </mergeCells>
  <pageMargins left="0.7" right="0.7" top="0.75" bottom="0.75" header="0.3" footer="0.3"/>
  <pageSetup paperSize="9" orientation="portrait" r:id="rId1"/>
  <customProperties>
    <customPr name="_pios_id" r:id="rId2"/>
  </customProperties>
  <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9A6EA-3744-47F4-A20B-AB12733A96C0}">
  <sheetPr codeName="Hoja7">
    <pageSetUpPr fitToPage="1"/>
  </sheetPr>
  <dimension ref="A1:XFD215"/>
  <sheetViews>
    <sheetView showGridLines="0" zoomScale="80" zoomScaleNormal="80" workbookViewId="0">
      <selection activeCell="E210" sqref="E210"/>
    </sheetView>
  </sheetViews>
  <sheetFormatPr baseColWidth="10" defaultColWidth="11.42578125" defaultRowHeight="12.75"/>
  <cols>
    <col min="1" max="1" width="20.85546875" style="2849" customWidth="1"/>
    <col min="2" max="2" width="33.140625" style="2849" customWidth="1"/>
    <col min="3" max="3" width="24.140625" style="2849" customWidth="1"/>
    <col min="4" max="4" width="61.7109375" style="2849" customWidth="1"/>
    <col min="5" max="5" width="57.7109375" style="2850" customWidth="1"/>
    <col min="6" max="6" width="65.5703125" style="2851" customWidth="1"/>
    <col min="7" max="16384" width="11.42578125" style="2438"/>
  </cols>
  <sheetData>
    <row r="1" spans="1:6" ht="50.1" customHeight="1">
      <c r="A1" s="3112"/>
      <c r="B1" s="2435"/>
      <c r="C1" s="2435"/>
      <c r="D1" s="2435"/>
      <c r="E1" s="2436"/>
      <c r="F1" s="2437"/>
    </row>
    <row r="2" spans="1:6" s="2442" customFormat="1" ht="13.5" thickBot="1">
      <c r="A2" s="2439" t="s">
        <v>988</v>
      </c>
      <c r="B2" s="2439" t="s">
        <v>989</v>
      </c>
      <c r="C2" s="2439" t="s">
        <v>990</v>
      </c>
      <c r="D2" s="2439" t="s">
        <v>991</v>
      </c>
      <c r="E2" s="2440" t="s">
        <v>992</v>
      </c>
      <c r="F2" s="2441" t="s">
        <v>993</v>
      </c>
    </row>
    <row r="3" spans="1:6" s="2838" customFormat="1" ht="24">
      <c r="A3" s="2968" t="s">
        <v>994</v>
      </c>
      <c r="B3" s="2967" t="s">
        <v>995</v>
      </c>
      <c r="C3" s="2967" t="s">
        <v>996</v>
      </c>
      <c r="D3" s="2970" t="s">
        <v>781</v>
      </c>
      <c r="E3" s="2971" t="s">
        <v>997</v>
      </c>
      <c r="F3" s="2975" t="s">
        <v>998</v>
      </c>
    </row>
    <row r="4" spans="1:6" s="2838" customFormat="1" ht="36">
      <c r="A4" s="2968" t="s">
        <v>994</v>
      </c>
      <c r="B4" s="2837" t="s">
        <v>995</v>
      </c>
      <c r="C4" s="2837" t="s">
        <v>996</v>
      </c>
      <c r="D4" s="2839" t="s">
        <v>787</v>
      </c>
      <c r="E4" s="2840" t="s">
        <v>999</v>
      </c>
      <c r="F4" s="2969" t="s">
        <v>1000</v>
      </c>
    </row>
    <row r="5" spans="1:6" s="2838" customFormat="1" ht="24">
      <c r="A5" s="2968" t="s">
        <v>994</v>
      </c>
      <c r="B5" s="2837" t="s">
        <v>995</v>
      </c>
      <c r="C5" s="2837" t="s">
        <v>1001</v>
      </c>
      <c r="D5" s="2839" t="s">
        <v>794</v>
      </c>
      <c r="E5" s="2840" t="s">
        <v>1002</v>
      </c>
      <c r="F5" s="2969" t="s">
        <v>72</v>
      </c>
    </row>
    <row r="6" spans="1:6" s="2838" customFormat="1" ht="72">
      <c r="A6" s="2968" t="s">
        <v>994</v>
      </c>
      <c r="B6" s="2837" t="s">
        <v>995</v>
      </c>
      <c r="C6" s="2837" t="s">
        <v>996</v>
      </c>
      <c r="D6" s="2839" t="s">
        <v>1003</v>
      </c>
      <c r="E6" s="2840" t="s">
        <v>1004</v>
      </c>
      <c r="F6" s="3147" t="s">
        <v>998</v>
      </c>
    </row>
    <row r="7" spans="1:6" s="2838" customFormat="1" ht="36">
      <c r="A7" s="2968" t="s">
        <v>994</v>
      </c>
      <c r="B7" s="2837" t="s">
        <v>1005</v>
      </c>
      <c r="C7" s="2792" t="s">
        <v>629</v>
      </c>
      <c r="D7" s="2839" t="s">
        <v>1006</v>
      </c>
      <c r="E7" s="2840" t="s">
        <v>1007</v>
      </c>
      <c r="F7" s="2969" t="s">
        <v>1008</v>
      </c>
    </row>
    <row r="8" spans="1:6" s="2838" customFormat="1" ht="24">
      <c r="A8" s="3167" t="s">
        <v>994</v>
      </c>
      <c r="B8" s="3168" t="s">
        <v>1005</v>
      </c>
      <c r="C8" s="2792" t="s">
        <v>1009</v>
      </c>
      <c r="D8" s="2839" t="s">
        <v>1010</v>
      </c>
      <c r="E8" s="2840" t="s">
        <v>1011</v>
      </c>
      <c r="F8" s="2969" t="s">
        <v>1008</v>
      </c>
    </row>
    <row r="9" spans="1:6" s="2838" customFormat="1" ht="24">
      <c r="A9" s="3169" t="s">
        <v>994</v>
      </c>
      <c r="B9" s="3170" t="s">
        <v>1005</v>
      </c>
      <c r="C9" s="3171" t="s">
        <v>677</v>
      </c>
      <c r="D9" s="3172" t="s">
        <v>1012</v>
      </c>
      <c r="E9" s="2840" t="s">
        <v>1013</v>
      </c>
      <c r="F9" s="2969" t="s">
        <v>1014</v>
      </c>
    </row>
    <row r="10" spans="1:6" s="2838" customFormat="1" ht="60.75" thickBot="1">
      <c r="A10" s="3165" t="s">
        <v>994</v>
      </c>
      <c r="B10" s="3166" t="s">
        <v>1015</v>
      </c>
      <c r="C10" s="3173" t="s">
        <v>996</v>
      </c>
      <c r="D10" s="3174" t="s">
        <v>797</v>
      </c>
      <c r="E10" s="3164" t="s">
        <v>1016</v>
      </c>
      <c r="F10" s="3163" t="s">
        <v>1017</v>
      </c>
    </row>
    <row r="11" spans="1:6" s="2838" customFormat="1" ht="48">
      <c r="A11" s="3136" t="s">
        <v>306</v>
      </c>
      <c r="B11" s="3122" t="s">
        <v>1015</v>
      </c>
      <c r="C11" s="3122" t="s">
        <v>996</v>
      </c>
      <c r="D11" s="3122" t="s">
        <v>1018</v>
      </c>
      <c r="E11" s="3120" t="s">
        <v>1019</v>
      </c>
      <c r="F11" s="3137" t="s">
        <v>1020</v>
      </c>
    </row>
    <row r="12" spans="1:6" s="2838" customFormat="1" ht="48">
      <c r="A12" s="3124" t="s">
        <v>1021</v>
      </c>
      <c r="B12" s="2847" t="s">
        <v>1015</v>
      </c>
      <c r="C12" s="2847" t="s">
        <v>996</v>
      </c>
      <c r="D12" s="2847" t="s">
        <v>1022</v>
      </c>
      <c r="E12" s="2848" t="s">
        <v>1019</v>
      </c>
      <c r="F12" s="3137" t="s">
        <v>1023</v>
      </c>
    </row>
    <row r="13" spans="1:6" s="2838" customFormat="1" ht="48">
      <c r="A13" s="3124" t="s">
        <v>310</v>
      </c>
      <c r="B13" s="2847" t="s">
        <v>1015</v>
      </c>
      <c r="C13" s="2847" t="s">
        <v>996</v>
      </c>
      <c r="D13" s="2847" t="s">
        <v>1024</v>
      </c>
      <c r="E13" s="2848" t="s">
        <v>1025</v>
      </c>
      <c r="F13" s="3137" t="s">
        <v>1026</v>
      </c>
    </row>
    <row r="14" spans="1:6" s="2838" customFormat="1" ht="84">
      <c r="A14" s="3124" t="s">
        <v>818</v>
      </c>
      <c r="B14" s="2847" t="s">
        <v>1015</v>
      </c>
      <c r="C14" s="2847" t="s">
        <v>996</v>
      </c>
      <c r="D14" s="2847" t="s">
        <v>1027</v>
      </c>
      <c r="E14" s="2848" t="s">
        <v>1028</v>
      </c>
      <c r="F14" s="3137" t="s">
        <v>1029</v>
      </c>
    </row>
    <row r="15" spans="1:6" s="2838" customFormat="1" ht="36">
      <c r="A15" s="3124" t="s">
        <v>818</v>
      </c>
      <c r="B15" s="2847" t="s">
        <v>1015</v>
      </c>
      <c r="C15" s="2847" t="s">
        <v>996</v>
      </c>
      <c r="D15" s="2847" t="s">
        <v>1030</v>
      </c>
      <c r="E15" s="2848" t="s">
        <v>1031</v>
      </c>
      <c r="F15" s="3137" t="s">
        <v>1032</v>
      </c>
    </row>
    <row r="16" spans="1:6" s="2838" customFormat="1" ht="48">
      <c r="A16" s="3124" t="s">
        <v>488</v>
      </c>
      <c r="B16" s="2847" t="s">
        <v>1015</v>
      </c>
      <c r="C16" s="2847" t="s">
        <v>996</v>
      </c>
      <c r="D16" s="2847" t="s">
        <v>1033</v>
      </c>
      <c r="E16" s="2848" t="s">
        <v>1025</v>
      </c>
      <c r="F16" s="3137" t="s">
        <v>1034</v>
      </c>
    </row>
    <row r="17" spans="1:6" s="2838" customFormat="1" ht="48">
      <c r="A17" s="3124" t="s">
        <v>488</v>
      </c>
      <c r="B17" s="2847" t="s">
        <v>1015</v>
      </c>
      <c r="C17" s="2847" t="s">
        <v>996</v>
      </c>
      <c r="D17" s="2847" t="s">
        <v>1035</v>
      </c>
      <c r="E17" s="2848" t="s">
        <v>1036</v>
      </c>
      <c r="F17" s="3137" t="s">
        <v>1037</v>
      </c>
    </row>
    <row r="18" spans="1:6" s="2838" customFormat="1" ht="156">
      <c r="A18" s="3124" t="s">
        <v>488</v>
      </c>
      <c r="B18" s="2847" t="s">
        <v>1015</v>
      </c>
      <c r="C18" s="2847" t="s">
        <v>996</v>
      </c>
      <c r="D18" s="2847" t="s">
        <v>1038</v>
      </c>
      <c r="E18" s="2848" t="s">
        <v>1039</v>
      </c>
      <c r="F18" s="3137" t="s">
        <v>1040</v>
      </c>
    </row>
    <row r="19" spans="1:6" s="2838" customFormat="1" ht="72">
      <c r="A19" s="3124" t="s">
        <v>488</v>
      </c>
      <c r="B19" s="2847" t="s">
        <v>1015</v>
      </c>
      <c r="C19" s="2847" t="s">
        <v>996</v>
      </c>
      <c r="D19" s="2847" t="s">
        <v>1041</v>
      </c>
      <c r="E19" s="2848" t="s">
        <v>1042</v>
      </c>
      <c r="F19" s="3137" t="s">
        <v>1043</v>
      </c>
    </row>
    <row r="20" spans="1:6" s="2838" customFormat="1" ht="96">
      <c r="A20" s="3124" t="s">
        <v>488</v>
      </c>
      <c r="B20" s="2847" t="s">
        <v>1015</v>
      </c>
      <c r="C20" s="2847" t="s">
        <v>996</v>
      </c>
      <c r="D20" s="2847" t="s">
        <v>1044</v>
      </c>
      <c r="E20" s="2848" t="s">
        <v>1045</v>
      </c>
      <c r="F20" s="3137" t="s">
        <v>1046</v>
      </c>
    </row>
    <row r="21" spans="1:6" s="2838" customFormat="1" ht="48">
      <c r="A21" s="3124" t="s">
        <v>488</v>
      </c>
      <c r="B21" s="2847" t="s">
        <v>1015</v>
      </c>
      <c r="C21" s="2847" t="s">
        <v>996</v>
      </c>
      <c r="D21" s="2847" t="s">
        <v>1047</v>
      </c>
      <c r="E21" s="2848" t="s">
        <v>1048</v>
      </c>
      <c r="F21" s="3137" t="s">
        <v>1049</v>
      </c>
    </row>
    <row r="22" spans="1:6" s="2838" customFormat="1" ht="48">
      <c r="A22" s="3124" t="s">
        <v>294</v>
      </c>
      <c r="B22" s="2847" t="s">
        <v>1015</v>
      </c>
      <c r="C22" s="2847" t="s">
        <v>996</v>
      </c>
      <c r="D22" s="2847" t="s">
        <v>1050</v>
      </c>
      <c r="E22" s="2848" t="s">
        <v>1051</v>
      </c>
      <c r="F22" s="3137" t="s">
        <v>1052</v>
      </c>
    </row>
    <row r="23" spans="1:6" s="2838" customFormat="1" ht="48">
      <c r="A23" s="3124" t="s">
        <v>354</v>
      </c>
      <c r="B23" s="2847" t="s">
        <v>1015</v>
      </c>
      <c r="C23" s="2847" t="s">
        <v>996</v>
      </c>
      <c r="D23" s="2847" t="s">
        <v>1053</v>
      </c>
      <c r="E23" s="2848" t="s">
        <v>1019</v>
      </c>
      <c r="F23" s="3137" t="s">
        <v>1020</v>
      </c>
    </row>
    <row r="24" spans="1:6" s="2838" customFormat="1" ht="36">
      <c r="A24" s="3124" t="s">
        <v>296</v>
      </c>
      <c r="B24" s="2847" t="s">
        <v>1015</v>
      </c>
      <c r="C24" s="2847" t="s">
        <v>996</v>
      </c>
      <c r="D24" s="2847" t="s">
        <v>1054</v>
      </c>
      <c r="E24" s="2848"/>
      <c r="F24" s="3114" t="s">
        <v>1055</v>
      </c>
    </row>
    <row r="25" spans="1:6" s="2838" customFormat="1" ht="36">
      <c r="A25" s="3124" t="s">
        <v>296</v>
      </c>
      <c r="B25" s="2847" t="s">
        <v>1015</v>
      </c>
      <c r="C25" s="2847" t="s">
        <v>996</v>
      </c>
      <c r="D25" s="2848" t="s">
        <v>1056</v>
      </c>
      <c r="E25" s="2848"/>
      <c r="F25" s="3114" t="s">
        <v>1057</v>
      </c>
    </row>
    <row r="26" spans="1:6" s="2838" customFormat="1" ht="24">
      <c r="A26" s="3124" t="s">
        <v>296</v>
      </c>
      <c r="B26" s="2847" t="s">
        <v>1015</v>
      </c>
      <c r="C26" s="2847" t="s">
        <v>996</v>
      </c>
      <c r="D26" s="2848" t="s">
        <v>1058</v>
      </c>
      <c r="E26" s="2848"/>
      <c r="F26" s="3114" t="s">
        <v>1059</v>
      </c>
    </row>
    <row r="27" spans="1:6" s="2838" customFormat="1" ht="36">
      <c r="A27" s="3124" t="s">
        <v>296</v>
      </c>
      <c r="B27" s="2847" t="s">
        <v>1015</v>
      </c>
      <c r="C27" s="2847" t="s">
        <v>996</v>
      </c>
      <c r="D27" s="2847" t="s">
        <v>1060</v>
      </c>
      <c r="E27" s="2848"/>
      <c r="F27" s="3114" t="s">
        <v>1061</v>
      </c>
    </row>
    <row r="28" spans="1:6" s="2838" customFormat="1" ht="84">
      <c r="A28" s="3124" t="s">
        <v>296</v>
      </c>
      <c r="B28" s="2847" t="s">
        <v>1015</v>
      </c>
      <c r="C28" s="2847" t="s">
        <v>996</v>
      </c>
      <c r="D28" s="2848" t="s">
        <v>1062</v>
      </c>
      <c r="E28" s="2848" t="s">
        <v>1063</v>
      </c>
      <c r="F28" s="3114" t="s">
        <v>1064</v>
      </c>
    </row>
    <row r="29" spans="1:6" s="2838" customFormat="1" ht="48">
      <c r="A29" s="3162" t="s">
        <v>1065</v>
      </c>
      <c r="B29" s="2847" t="s">
        <v>1015</v>
      </c>
      <c r="C29" s="2847" t="s">
        <v>996</v>
      </c>
      <c r="D29" s="2847" t="s">
        <v>1066</v>
      </c>
      <c r="E29" s="2848" t="s">
        <v>1067</v>
      </c>
      <c r="F29" s="3114" t="s">
        <v>1068</v>
      </c>
    </row>
    <row r="30" spans="1:6" s="2838" customFormat="1" ht="36">
      <c r="A30" s="3124" t="s">
        <v>1015</v>
      </c>
      <c r="B30" s="2847" t="s">
        <v>1015</v>
      </c>
      <c r="C30" s="2847" t="s">
        <v>996</v>
      </c>
      <c r="D30" s="2847" t="s">
        <v>1069</v>
      </c>
      <c r="E30" s="2848"/>
      <c r="F30" s="3114" t="s">
        <v>1070</v>
      </c>
    </row>
    <row r="31" spans="1:6" s="2838" customFormat="1" ht="96">
      <c r="A31" s="3124" t="s">
        <v>489</v>
      </c>
      <c r="B31" s="2847" t="s">
        <v>1015</v>
      </c>
      <c r="C31" s="2847" t="s">
        <v>996</v>
      </c>
      <c r="D31" s="2848" t="s">
        <v>1071</v>
      </c>
      <c r="E31" s="2848" t="s">
        <v>1072</v>
      </c>
      <c r="F31" s="3114" t="s">
        <v>1073</v>
      </c>
    </row>
    <row r="32" spans="1:6" s="2838" customFormat="1" ht="84.75" thickBot="1">
      <c r="A32" s="3126" t="s">
        <v>489</v>
      </c>
      <c r="B32" s="3115" t="s">
        <v>1015</v>
      </c>
      <c r="C32" s="3115" t="s">
        <v>996</v>
      </c>
      <c r="D32" s="3116" t="s">
        <v>1074</v>
      </c>
      <c r="E32" s="3116" t="s">
        <v>1075</v>
      </c>
      <c r="F32" s="3117" t="s">
        <v>1076</v>
      </c>
    </row>
    <row r="33" spans="1:16384" s="2838" customFormat="1" ht="72">
      <c r="A33" s="3127" t="s">
        <v>994</v>
      </c>
      <c r="B33" s="3118" t="s">
        <v>1077</v>
      </c>
      <c r="C33" s="3118" t="s">
        <v>294</v>
      </c>
      <c r="D33" s="3118" t="s">
        <v>1078</v>
      </c>
      <c r="E33" s="3119" t="s">
        <v>1079</v>
      </c>
      <c r="F33" s="2973" t="s">
        <v>1080</v>
      </c>
    </row>
    <row r="34" spans="1:16384" s="2838" customFormat="1" ht="72">
      <c r="A34" s="3124" t="s">
        <v>994</v>
      </c>
      <c r="B34" s="2847" t="s">
        <v>1077</v>
      </c>
      <c r="C34" s="2847" t="s">
        <v>292</v>
      </c>
      <c r="D34" s="2847" t="s">
        <v>1081</v>
      </c>
      <c r="E34" s="2848" t="s">
        <v>1079</v>
      </c>
      <c r="F34" s="2972" t="s">
        <v>1082</v>
      </c>
    </row>
    <row r="35" spans="1:16384" s="2841" customFormat="1" ht="72">
      <c r="A35" s="3124" t="s">
        <v>994</v>
      </c>
      <c r="B35" s="2847" t="s">
        <v>1077</v>
      </c>
      <c r="C35" s="2847" t="s">
        <v>292</v>
      </c>
      <c r="D35" s="2847" t="s">
        <v>1083</v>
      </c>
      <c r="E35" s="2848" t="s">
        <v>1084</v>
      </c>
      <c r="F35" s="2972" t="s">
        <v>1082</v>
      </c>
      <c r="G35" s="2838"/>
    </row>
    <row r="36" spans="1:16384" s="2841" customFormat="1" ht="108">
      <c r="A36" s="3124" t="s">
        <v>994</v>
      </c>
      <c r="B36" s="2847" t="s">
        <v>1077</v>
      </c>
      <c r="C36" s="2847" t="s">
        <v>292</v>
      </c>
      <c r="D36" s="2847" t="s">
        <v>1085</v>
      </c>
      <c r="E36" s="2848" t="s">
        <v>1086</v>
      </c>
      <c r="F36" s="2972" t="s">
        <v>1082</v>
      </c>
      <c r="G36" s="2838"/>
    </row>
    <row r="37" spans="1:16384" s="2841" customFormat="1" ht="72">
      <c r="A37" s="3124" t="s">
        <v>994</v>
      </c>
      <c r="B37" s="2847" t="s">
        <v>1077</v>
      </c>
      <c r="C37" s="2847" t="s">
        <v>296</v>
      </c>
      <c r="D37" s="2848" t="s">
        <v>1087</v>
      </c>
      <c r="E37" s="2848" t="s">
        <v>1088</v>
      </c>
      <c r="F37" s="2972" t="s">
        <v>1082</v>
      </c>
      <c r="G37" s="2838"/>
    </row>
    <row r="38" spans="1:16384" s="2838" customFormat="1" ht="72">
      <c r="A38" s="3124" t="s">
        <v>994</v>
      </c>
      <c r="B38" s="2847" t="s">
        <v>1077</v>
      </c>
      <c r="C38" s="2847" t="s">
        <v>296</v>
      </c>
      <c r="D38" s="2848" t="s">
        <v>1089</v>
      </c>
      <c r="E38" s="2848" t="s">
        <v>1090</v>
      </c>
      <c r="F38" s="2972" t="s">
        <v>1082</v>
      </c>
    </row>
    <row r="39" spans="1:16384" s="2838" customFormat="1" ht="72">
      <c r="A39" s="3124" t="s">
        <v>994</v>
      </c>
      <c r="B39" s="2847" t="s">
        <v>1077</v>
      </c>
      <c r="C39" s="2847" t="s">
        <v>296</v>
      </c>
      <c r="D39" s="2848" t="s">
        <v>1091</v>
      </c>
      <c r="E39" s="2848" t="s">
        <v>1092</v>
      </c>
      <c r="F39" s="2972" t="s">
        <v>1082</v>
      </c>
    </row>
    <row r="40" spans="1:16384" s="2838" customFormat="1" ht="84">
      <c r="A40" s="3124" t="s">
        <v>994</v>
      </c>
      <c r="B40" s="2847" t="s">
        <v>1077</v>
      </c>
      <c r="C40" s="2847" t="s">
        <v>296</v>
      </c>
      <c r="D40" s="2848" t="s">
        <v>1093</v>
      </c>
      <c r="E40" s="2848" t="s">
        <v>1094</v>
      </c>
      <c r="F40" s="2972" t="s">
        <v>1082</v>
      </c>
    </row>
    <row r="41" spans="1:16384" s="2838" customFormat="1" ht="72">
      <c r="A41" s="3124" t="s">
        <v>994</v>
      </c>
      <c r="B41" s="2847" t="s">
        <v>1077</v>
      </c>
      <c r="C41" s="2847" t="s">
        <v>296</v>
      </c>
      <c r="D41" s="2848" t="s">
        <v>1095</v>
      </c>
      <c r="E41" s="2848" t="s">
        <v>1096</v>
      </c>
      <c r="F41" s="2972" t="s">
        <v>1082</v>
      </c>
    </row>
    <row r="42" spans="1:16384" s="2838" customFormat="1" ht="72">
      <c r="A42" s="3124" t="s">
        <v>994</v>
      </c>
      <c r="B42" s="2847" t="s">
        <v>1077</v>
      </c>
      <c r="C42" s="2847" t="s">
        <v>296</v>
      </c>
      <c r="D42" s="2848" t="s">
        <v>1097</v>
      </c>
      <c r="E42" s="2848" t="s">
        <v>1098</v>
      </c>
      <c r="F42" s="2972" t="s">
        <v>1082</v>
      </c>
    </row>
    <row r="43" spans="1:16384" s="2841" customFormat="1" ht="72">
      <c r="A43" s="3124" t="s">
        <v>994</v>
      </c>
      <c r="B43" s="2847" t="s">
        <v>1077</v>
      </c>
      <c r="C43" s="2847" t="s">
        <v>296</v>
      </c>
      <c r="D43" s="2848" t="s">
        <v>1099</v>
      </c>
      <c r="E43" s="2848" t="s">
        <v>1100</v>
      </c>
      <c r="F43" s="2972" t="s">
        <v>1082</v>
      </c>
      <c r="G43" s="2838"/>
      <c r="H43" s="2842"/>
      <c r="I43" s="2843"/>
      <c r="J43" s="2843"/>
      <c r="K43" s="2844"/>
      <c r="L43" s="2845"/>
      <c r="M43" s="2842"/>
      <c r="N43" s="2842"/>
      <c r="O43" s="2843"/>
      <c r="P43" s="2843"/>
      <c r="Q43" s="2844"/>
      <c r="R43" s="2845"/>
      <c r="S43" s="2842"/>
      <c r="T43" s="2842"/>
      <c r="U43" s="2843"/>
      <c r="V43" s="2843"/>
      <c r="W43" s="2844"/>
      <c r="X43" s="2845"/>
      <c r="Y43" s="2842"/>
      <c r="Z43" s="2842"/>
      <c r="AA43" s="2843"/>
      <c r="AB43" s="2843"/>
      <c r="AC43" s="2844"/>
      <c r="AD43" s="2845"/>
      <c r="AE43" s="2842"/>
      <c r="AF43" s="2842"/>
      <c r="AG43" s="2843"/>
      <c r="AH43" s="2843"/>
      <c r="AI43" s="2844"/>
      <c r="AJ43" s="2845"/>
      <c r="AK43" s="2842"/>
      <c r="AL43" s="2842"/>
      <c r="AM43" s="2843"/>
      <c r="AN43" s="2843"/>
      <c r="AO43" s="2844"/>
      <c r="AP43" s="2845"/>
      <c r="AQ43" s="2842"/>
      <c r="AR43" s="2842"/>
      <c r="AS43" s="2843"/>
      <c r="AT43" s="2843"/>
      <c r="AU43" s="2844"/>
      <c r="AV43" s="2845"/>
      <c r="AW43" s="2842"/>
      <c r="AX43" s="2842"/>
      <c r="AY43" s="2843"/>
      <c r="AZ43" s="2843"/>
      <c r="BA43" s="2844"/>
      <c r="BB43" s="2845"/>
      <c r="BC43" s="2842"/>
      <c r="BD43" s="2842"/>
      <c r="BE43" s="2843"/>
      <c r="BF43" s="2843"/>
      <c r="BG43" s="2844"/>
      <c r="BH43" s="2845"/>
      <c r="BI43" s="2842"/>
      <c r="BJ43" s="2842"/>
      <c r="BK43" s="2843"/>
      <c r="BL43" s="2843"/>
      <c r="BM43" s="2844"/>
      <c r="BN43" s="2845"/>
      <c r="BO43" s="2842"/>
      <c r="BP43" s="2842"/>
      <c r="BQ43" s="2843"/>
      <c r="BR43" s="2843"/>
      <c r="BS43" s="2844"/>
      <c r="BT43" s="2845"/>
      <c r="BU43" s="2842"/>
      <c r="BV43" s="2842"/>
      <c r="BW43" s="2843"/>
      <c r="BX43" s="2843"/>
      <c r="BY43" s="2844"/>
      <c r="BZ43" s="2845"/>
      <c r="CA43" s="2842"/>
      <c r="CB43" s="2842"/>
      <c r="CC43" s="2843"/>
      <c r="CD43" s="2843"/>
      <c r="CE43" s="2844"/>
      <c r="CF43" s="2845"/>
      <c r="CG43" s="2842"/>
      <c r="CH43" s="2842"/>
      <c r="CI43" s="2843"/>
      <c r="CJ43" s="2843"/>
      <c r="CK43" s="2844"/>
      <c r="CL43" s="2845"/>
      <c r="CM43" s="2842"/>
      <c r="CN43" s="2842"/>
      <c r="CO43" s="2843"/>
      <c r="CP43" s="2843"/>
      <c r="CQ43" s="2844"/>
      <c r="CR43" s="2845"/>
      <c r="CS43" s="2842"/>
      <c r="CT43" s="2842"/>
      <c r="CU43" s="2843"/>
      <c r="CV43" s="2843"/>
      <c r="CW43" s="2844"/>
      <c r="CX43" s="2845"/>
      <c r="CY43" s="2842"/>
      <c r="CZ43" s="2842"/>
      <c r="DA43" s="2843"/>
      <c r="DB43" s="2843"/>
      <c r="DC43" s="2844"/>
      <c r="DD43" s="2845"/>
      <c r="DE43" s="2842"/>
      <c r="DF43" s="2842"/>
      <c r="DG43" s="2843"/>
      <c r="DH43" s="2843"/>
      <c r="DI43" s="2844"/>
      <c r="DJ43" s="2845"/>
      <c r="DK43" s="2842"/>
      <c r="DL43" s="2842"/>
      <c r="DM43" s="2843"/>
      <c r="DN43" s="2843"/>
      <c r="DO43" s="2844"/>
      <c r="DP43" s="2845"/>
      <c r="DQ43" s="2842"/>
      <c r="DR43" s="2842"/>
      <c r="DS43" s="2843"/>
      <c r="DT43" s="2843"/>
      <c r="DU43" s="2844"/>
      <c r="DV43" s="2845"/>
      <c r="DW43" s="2842"/>
      <c r="DX43" s="2842"/>
      <c r="DY43" s="2843"/>
      <c r="DZ43" s="2843"/>
      <c r="EA43" s="2844"/>
      <c r="EB43" s="2845"/>
      <c r="EC43" s="2842"/>
      <c r="ED43" s="2842"/>
      <c r="EE43" s="2843"/>
      <c r="EF43" s="2843"/>
      <c r="EG43" s="2844"/>
      <c r="EH43" s="2845"/>
      <c r="EI43" s="2842"/>
      <c r="EJ43" s="2842"/>
      <c r="EK43" s="2843"/>
      <c r="EL43" s="2843"/>
      <c r="EM43" s="2844"/>
      <c r="EN43" s="2845"/>
      <c r="EO43" s="2842"/>
      <c r="EP43" s="2842"/>
      <c r="EQ43" s="2843"/>
      <c r="ER43" s="2843"/>
      <c r="ES43" s="2844"/>
      <c r="ET43" s="2845"/>
      <c r="EU43" s="2842"/>
      <c r="EV43" s="2842"/>
      <c r="EW43" s="2843"/>
      <c r="EX43" s="2843"/>
      <c r="EY43" s="2844"/>
      <c r="EZ43" s="2845"/>
      <c r="FA43" s="2842"/>
      <c r="FB43" s="2842"/>
      <c r="FC43" s="2843"/>
      <c r="FD43" s="2843"/>
      <c r="FE43" s="2844"/>
      <c r="FF43" s="2845"/>
      <c r="FG43" s="2842"/>
      <c r="FH43" s="2842"/>
      <c r="FI43" s="2843"/>
      <c r="FJ43" s="2843"/>
      <c r="FK43" s="2844"/>
      <c r="FL43" s="2845"/>
      <c r="FM43" s="2842"/>
      <c r="FN43" s="2842"/>
      <c r="FO43" s="2843"/>
      <c r="FP43" s="2843"/>
      <c r="FQ43" s="2844"/>
      <c r="FR43" s="2845"/>
      <c r="FS43" s="2842"/>
      <c r="FT43" s="2842"/>
      <c r="FU43" s="2843"/>
      <c r="FV43" s="2843"/>
      <c r="FW43" s="2844"/>
      <c r="FX43" s="2845"/>
      <c r="FY43" s="2842"/>
      <c r="FZ43" s="2842"/>
      <c r="GA43" s="2843"/>
      <c r="GB43" s="2843"/>
      <c r="GC43" s="2844"/>
      <c r="GD43" s="2845"/>
      <c r="GE43" s="2842"/>
      <c r="GF43" s="2842"/>
      <c r="GG43" s="2843"/>
      <c r="GH43" s="2843"/>
      <c r="GI43" s="2844"/>
      <c r="GJ43" s="2845"/>
      <c r="GK43" s="2842"/>
      <c r="GL43" s="2842"/>
      <c r="GM43" s="2843"/>
      <c r="GN43" s="2843"/>
      <c r="GO43" s="2844"/>
      <c r="GP43" s="2845"/>
      <c r="GQ43" s="2842"/>
      <c r="GR43" s="2842"/>
      <c r="GS43" s="2843"/>
      <c r="GT43" s="2843"/>
      <c r="GU43" s="2844"/>
      <c r="GV43" s="2845"/>
      <c r="GW43" s="2842"/>
      <c r="GX43" s="2842"/>
      <c r="GY43" s="2843"/>
      <c r="GZ43" s="2843"/>
      <c r="HA43" s="2844"/>
      <c r="HB43" s="2845"/>
      <c r="HC43" s="2842"/>
      <c r="HD43" s="2842"/>
      <c r="HE43" s="2843"/>
      <c r="HF43" s="2843"/>
      <c r="HG43" s="2844"/>
      <c r="HH43" s="2845"/>
      <c r="HI43" s="2842"/>
      <c r="HJ43" s="2842"/>
      <c r="HK43" s="2843"/>
      <c r="HL43" s="2843"/>
      <c r="HM43" s="2844"/>
      <c r="HN43" s="2845"/>
      <c r="HO43" s="2842"/>
      <c r="HP43" s="2842"/>
      <c r="HQ43" s="2843"/>
      <c r="HR43" s="2843"/>
      <c r="HS43" s="2844"/>
      <c r="HT43" s="2845"/>
      <c r="HU43" s="2842"/>
      <c r="HV43" s="2842"/>
      <c r="HW43" s="2843"/>
      <c r="HX43" s="2843"/>
      <c r="HY43" s="2844"/>
      <c r="HZ43" s="2845"/>
      <c r="IA43" s="2842"/>
      <c r="IB43" s="2842"/>
      <c r="IC43" s="2843"/>
      <c r="ID43" s="2843"/>
      <c r="IE43" s="2844"/>
      <c r="IF43" s="2845"/>
      <c r="IG43" s="2842"/>
      <c r="IH43" s="2842"/>
      <c r="II43" s="2843"/>
      <c r="IJ43" s="2843"/>
      <c r="IK43" s="2844"/>
      <c r="IL43" s="2845"/>
      <c r="IM43" s="2842"/>
      <c r="IN43" s="2842"/>
      <c r="IO43" s="2843"/>
      <c r="IP43" s="2843"/>
      <c r="IQ43" s="2844"/>
      <c r="IR43" s="2845"/>
      <c r="IS43" s="2842"/>
      <c r="IT43" s="2842"/>
      <c r="IU43" s="2843"/>
      <c r="IV43" s="2843"/>
      <c r="IW43" s="2844"/>
      <c r="IX43" s="2845"/>
      <c r="IY43" s="2842"/>
      <c r="IZ43" s="2842"/>
      <c r="JA43" s="2843"/>
      <c r="JB43" s="2843"/>
      <c r="JC43" s="2844"/>
      <c r="JD43" s="2845"/>
      <c r="JE43" s="2842"/>
      <c r="JF43" s="2842"/>
      <c r="JG43" s="2843"/>
      <c r="JH43" s="2843"/>
      <c r="JI43" s="2844"/>
      <c r="JJ43" s="2845"/>
      <c r="JK43" s="2842"/>
      <c r="JL43" s="2842"/>
      <c r="JM43" s="2843"/>
      <c r="JN43" s="2843"/>
      <c r="JO43" s="2844"/>
      <c r="JP43" s="2845"/>
      <c r="JQ43" s="2842"/>
      <c r="JR43" s="2842"/>
      <c r="JS43" s="2843"/>
      <c r="JT43" s="2843"/>
      <c r="JU43" s="2844"/>
      <c r="JV43" s="2845"/>
      <c r="JW43" s="2842"/>
      <c r="JX43" s="2842"/>
      <c r="JY43" s="2843"/>
      <c r="JZ43" s="2843"/>
      <c r="KA43" s="2844"/>
      <c r="KB43" s="2845"/>
      <c r="KC43" s="2842"/>
      <c r="KD43" s="2842"/>
      <c r="KE43" s="2843"/>
      <c r="KF43" s="2843"/>
      <c r="KG43" s="2844"/>
      <c r="KH43" s="2845"/>
      <c r="KI43" s="2842"/>
      <c r="KJ43" s="2842"/>
      <c r="KK43" s="2843"/>
      <c r="KL43" s="2843"/>
      <c r="KM43" s="2844"/>
      <c r="KN43" s="2845"/>
      <c r="KO43" s="2842"/>
      <c r="KP43" s="2842"/>
      <c r="KQ43" s="2843"/>
      <c r="KR43" s="2843"/>
      <c r="KS43" s="2844"/>
      <c r="KT43" s="2845"/>
      <c r="KU43" s="2842"/>
      <c r="KV43" s="2842"/>
      <c r="KW43" s="2843"/>
      <c r="KX43" s="2843"/>
      <c r="KY43" s="2844"/>
      <c r="KZ43" s="2845"/>
      <c r="LA43" s="2842"/>
      <c r="LB43" s="2842"/>
      <c r="LC43" s="2843"/>
      <c r="LD43" s="2843"/>
      <c r="LE43" s="2844"/>
      <c r="LF43" s="2845"/>
      <c r="LG43" s="2842"/>
      <c r="LH43" s="2842"/>
      <c r="LI43" s="2843"/>
      <c r="LJ43" s="2843"/>
      <c r="LK43" s="2844"/>
      <c r="LL43" s="2845"/>
      <c r="LM43" s="2842"/>
      <c r="LN43" s="2842"/>
      <c r="LO43" s="2843"/>
      <c r="LP43" s="2843"/>
      <c r="LQ43" s="2844"/>
      <c r="LR43" s="2845"/>
      <c r="LS43" s="2842"/>
      <c r="LT43" s="2842"/>
      <c r="LU43" s="2843"/>
      <c r="LV43" s="2843"/>
      <c r="LW43" s="2844"/>
      <c r="LX43" s="2845"/>
      <c r="LY43" s="2842"/>
      <c r="LZ43" s="2842"/>
      <c r="MA43" s="2843"/>
      <c r="MB43" s="2843"/>
      <c r="MC43" s="2844"/>
      <c r="MD43" s="2845"/>
      <c r="ME43" s="2842"/>
      <c r="MF43" s="2842"/>
      <c r="MG43" s="2843"/>
      <c r="MH43" s="2843"/>
      <c r="MI43" s="2844"/>
      <c r="MJ43" s="2845"/>
      <c r="MK43" s="2842"/>
      <c r="ML43" s="2842"/>
      <c r="MM43" s="2843"/>
      <c r="MN43" s="2843"/>
      <c r="MO43" s="2844"/>
      <c r="MP43" s="2845"/>
      <c r="MQ43" s="2842"/>
      <c r="MR43" s="2842"/>
      <c r="MS43" s="2843"/>
      <c r="MT43" s="2843"/>
      <c r="MU43" s="2844"/>
      <c r="MV43" s="2845"/>
      <c r="MW43" s="2842"/>
      <c r="MX43" s="2842"/>
      <c r="MY43" s="2843"/>
      <c r="MZ43" s="2843"/>
      <c r="NA43" s="2844"/>
      <c r="NB43" s="2845"/>
      <c r="NC43" s="2842"/>
      <c r="ND43" s="2842"/>
      <c r="NE43" s="2843"/>
      <c r="NF43" s="2843"/>
      <c r="NG43" s="2844"/>
      <c r="NH43" s="2845"/>
      <c r="NI43" s="2842"/>
      <c r="NJ43" s="2842"/>
      <c r="NK43" s="2843"/>
      <c r="NL43" s="2843"/>
      <c r="NM43" s="2844"/>
      <c r="NN43" s="2845"/>
      <c r="NO43" s="2842"/>
      <c r="NP43" s="2842"/>
      <c r="NQ43" s="2843"/>
      <c r="NR43" s="2843"/>
      <c r="NS43" s="2844"/>
      <c r="NT43" s="2845"/>
      <c r="NU43" s="2842"/>
      <c r="NV43" s="2842"/>
      <c r="NW43" s="2843"/>
      <c r="NX43" s="2843"/>
      <c r="NY43" s="2844"/>
      <c r="NZ43" s="2845"/>
      <c r="OA43" s="2842"/>
      <c r="OB43" s="2842"/>
      <c r="OC43" s="2843"/>
      <c r="OD43" s="2843"/>
      <c r="OE43" s="2844"/>
      <c r="OF43" s="2845"/>
      <c r="OG43" s="2842"/>
      <c r="OH43" s="2842"/>
      <c r="OI43" s="2843"/>
      <c r="OJ43" s="2843"/>
      <c r="OK43" s="2844"/>
      <c r="OL43" s="2845"/>
      <c r="OM43" s="2842"/>
      <c r="ON43" s="2842"/>
      <c r="OO43" s="2843"/>
      <c r="OP43" s="2843"/>
      <c r="OQ43" s="2844"/>
      <c r="OR43" s="2845"/>
      <c r="OS43" s="2842"/>
      <c r="OT43" s="2842"/>
      <c r="OU43" s="2843"/>
      <c r="OV43" s="2843"/>
      <c r="OW43" s="2844"/>
      <c r="OX43" s="2845"/>
      <c r="OY43" s="2842"/>
      <c r="OZ43" s="2842"/>
      <c r="PA43" s="2843"/>
      <c r="PB43" s="2843"/>
      <c r="PC43" s="2844"/>
      <c r="PD43" s="2845"/>
      <c r="PE43" s="2842"/>
      <c r="PF43" s="2842"/>
      <c r="PG43" s="2843"/>
      <c r="PH43" s="2843"/>
      <c r="PI43" s="2844"/>
      <c r="PJ43" s="2845"/>
      <c r="PK43" s="2842"/>
      <c r="PL43" s="2842"/>
      <c r="PM43" s="2843"/>
      <c r="PN43" s="2843"/>
      <c r="PO43" s="2844"/>
      <c r="PP43" s="2845"/>
      <c r="PQ43" s="2842"/>
      <c r="PR43" s="2842"/>
      <c r="PS43" s="2843"/>
      <c r="PT43" s="2843"/>
      <c r="PU43" s="2844"/>
      <c r="PV43" s="2845"/>
      <c r="PW43" s="2842"/>
      <c r="PX43" s="2842"/>
      <c r="PY43" s="2843"/>
      <c r="PZ43" s="2843"/>
      <c r="QA43" s="2844"/>
      <c r="QB43" s="2845"/>
      <c r="QC43" s="2842"/>
      <c r="QD43" s="2842"/>
      <c r="QE43" s="2843"/>
      <c r="QF43" s="2843"/>
      <c r="QG43" s="2844"/>
      <c r="QH43" s="2845"/>
      <c r="QI43" s="2842"/>
      <c r="QJ43" s="2842"/>
      <c r="QK43" s="2843"/>
      <c r="QL43" s="2843"/>
      <c r="QM43" s="2844"/>
      <c r="QN43" s="2845"/>
      <c r="QO43" s="2842"/>
      <c r="QP43" s="2842"/>
      <c r="QQ43" s="2843"/>
      <c r="QR43" s="2843"/>
      <c r="QS43" s="2844"/>
      <c r="QT43" s="2845"/>
      <c r="QU43" s="2842"/>
      <c r="QV43" s="2842"/>
      <c r="QW43" s="2843"/>
      <c r="QX43" s="2843"/>
      <c r="QY43" s="2844"/>
      <c r="QZ43" s="2845"/>
      <c r="RA43" s="2842"/>
      <c r="RB43" s="2842"/>
      <c r="RC43" s="2843"/>
      <c r="RD43" s="2843"/>
      <c r="RE43" s="2844"/>
      <c r="RF43" s="2845"/>
      <c r="RG43" s="2842"/>
      <c r="RH43" s="2842"/>
      <c r="RI43" s="2843"/>
      <c r="RJ43" s="2843"/>
      <c r="RK43" s="2844"/>
      <c r="RL43" s="2845"/>
      <c r="RM43" s="2842"/>
      <c r="RN43" s="2842"/>
      <c r="RO43" s="2843"/>
      <c r="RP43" s="2843"/>
      <c r="RQ43" s="2844"/>
      <c r="RR43" s="2845"/>
      <c r="RS43" s="2842"/>
      <c r="RT43" s="2842"/>
      <c r="RU43" s="2843"/>
      <c r="RV43" s="2843"/>
      <c r="RW43" s="2844"/>
      <c r="RX43" s="2845"/>
      <c r="RY43" s="2842"/>
      <c r="RZ43" s="2842"/>
      <c r="SA43" s="2843"/>
      <c r="SB43" s="2843"/>
      <c r="SC43" s="2844"/>
      <c r="SD43" s="2845"/>
      <c r="SE43" s="2842"/>
      <c r="SF43" s="2842"/>
      <c r="SG43" s="2843"/>
      <c r="SH43" s="2843"/>
      <c r="SI43" s="2844"/>
      <c r="SJ43" s="2845"/>
      <c r="SK43" s="2842"/>
      <c r="SL43" s="2842"/>
      <c r="SM43" s="2843"/>
      <c r="SN43" s="2843"/>
      <c r="SO43" s="2844"/>
      <c r="SP43" s="2845"/>
      <c r="SQ43" s="2842"/>
      <c r="SR43" s="2842"/>
      <c r="SS43" s="2843"/>
      <c r="ST43" s="2843"/>
      <c r="SU43" s="2844"/>
      <c r="SV43" s="2845"/>
      <c r="SW43" s="2842"/>
      <c r="SX43" s="2842"/>
      <c r="SY43" s="2843"/>
      <c r="SZ43" s="2843"/>
      <c r="TA43" s="2844"/>
      <c r="TB43" s="2845"/>
      <c r="TC43" s="2842"/>
      <c r="TD43" s="2842"/>
      <c r="TE43" s="2843"/>
      <c r="TF43" s="2843"/>
      <c r="TG43" s="2844"/>
      <c r="TH43" s="2845"/>
      <c r="TI43" s="2842"/>
      <c r="TJ43" s="2842"/>
      <c r="TK43" s="2843"/>
      <c r="TL43" s="2843"/>
      <c r="TM43" s="2844"/>
      <c r="TN43" s="2845"/>
      <c r="TO43" s="2842"/>
      <c r="TP43" s="2842"/>
      <c r="TQ43" s="2843"/>
      <c r="TR43" s="2843"/>
      <c r="TS43" s="2844"/>
      <c r="TT43" s="2845"/>
      <c r="TU43" s="2842"/>
      <c r="TV43" s="2842"/>
      <c r="TW43" s="2843"/>
      <c r="TX43" s="2843"/>
      <c r="TY43" s="2844"/>
      <c r="TZ43" s="2845"/>
      <c r="UA43" s="2842"/>
      <c r="UB43" s="2842"/>
      <c r="UC43" s="2843"/>
      <c r="UD43" s="2843"/>
      <c r="UE43" s="2844"/>
      <c r="UF43" s="2845"/>
      <c r="UG43" s="2842"/>
      <c r="UH43" s="2842"/>
      <c r="UI43" s="2843"/>
      <c r="UJ43" s="2843"/>
      <c r="UK43" s="2844"/>
      <c r="UL43" s="2845"/>
      <c r="UM43" s="2842"/>
      <c r="UN43" s="2842"/>
      <c r="UO43" s="2843"/>
      <c r="UP43" s="2843"/>
      <c r="UQ43" s="2844"/>
      <c r="UR43" s="2845"/>
      <c r="US43" s="2842"/>
      <c r="UT43" s="2842"/>
      <c r="UU43" s="2843"/>
      <c r="UV43" s="2843"/>
      <c r="UW43" s="2844"/>
      <c r="UX43" s="2845"/>
      <c r="UY43" s="2842"/>
      <c r="UZ43" s="2842"/>
      <c r="VA43" s="2843"/>
      <c r="VB43" s="2843"/>
      <c r="VC43" s="2844"/>
      <c r="VD43" s="2845"/>
      <c r="VE43" s="2842"/>
      <c r="VF43" s="2842"/>
      <c r="VG43" s="2843"/>
      <c r="VH43" s="2843"/>
      <c r="VI43" s="2844"/>
      <c r="VJ43" s="2845"/>
      <c r="VK43" s="2842"/>
      <c r="VL43" s="2842"/>
      <c r="VM43" s="2843"/>
      <c r="VN43" s="2843"/>
      <c r="VO43" s="2844"/>
      <c r="VP43" s="2845"/>
      <c r="VQ43" s="2842"/>
      <c r="VR43" s="2842"/>
      <c r="VS43" s="2843"/>
      <c r="VT43" s="2843"/>
      <c r="VU43" s="2844"/>
      <c r="VV43" s="2845"/>
      <c r="VW43" s="2842"/>
      <c r="VX43" s="2842"/>
      <c r="VY43" s="2843"/>
      <c r="VZ43" s="2843"/>
      <c r="WA43" s="2844"/>
      <c r="WB43" s="2845"/>
      <c r="WC43" s="2842"/>
      <c r="WD43" s="2842"/>
      <c r="WE43" s="2843"/>
      <c r="WF43" s="2843"/>
      <c r="WG43" s="2844"/>
      <c r="WH43" s="2845"/>
      <c r="WI43" s="2842"/>
      <c r="WJ43" s="2842"/>
      <c r="WK43" s="2843"/>
      <c r="WL43" s="2843"/>
      <c r="WM43" s="2844"/>
      <c r="WN43" s="2845"/>
      <c r="WO43" s="2842"/>
      <c r="WP43" s="2842"/>
      <c r="WQ43" s="2843"/>
      <c r="WR43" s="2843"/>
      <c r="WS43" s="2844"/>
      <c r="WT43" s="2845"/>
      <c r="WU43" s="2842"/>
      <c r="WV43" s="2842"/>
      <c r="WW43" s="2843"/>
      <c r="WX43" s="2843"/>
      <c r="WY43" s="2844"/>
      <c r="WZ43" s="2845"/>
      <c r="XA43" s="2842"/>
      <c r="XB43" s="2842"/>
      <c r="XC43" s="2843"/>
      <c r="XD43" s="2843"/>
      <c r="XE43" s="2844"/>
      <c r="XF43" s="2845"/>
      <c r="XG43" s="2842"/>
      <c r="XH43" s="2842"/>
      <c r="XI43" s="2843"/>
      <c r="XJ43" s="2843"/>
      <c r="XK43" s="2844"/>
      <c r="XL43" s="2845"/>
      <c r="XM43" s="2842"/>
      <c r="XN43" s="2842"/>
      <c r="XO43" s="2843"/>
      <c r="XP43" s="2843"/>
      <c r="XQ43" s="2844"/>
      <c r="XR43" s="2845"/>
      <c r="XS43" s="2842"/>
      <c r="XT43" s="2842"/>
      <c r="XU43" s="2843"/>
      <c r="XV43" s="2843"/>
      <c r="XW43" s="2844"/>
      <c r="XX43" s="2845"/>
      <c r="XY43" s="2842"/>
      <c r="XZ43" s="2842"/>
      <c r="YA43" s="2843"/>
      <c r="YB43" s="2843"/>
      <c r="YC43" s="2844"/>
      <c r="YD43" s="2845"/>
      <c r="YE43" s="2842"/>
      <c r="YF43" s="2842"/>
      <c r="YG43" s="2843"/>
      <c r="YH43" s="2843"/>
      <c r="YI43" s="2844"/>
      <c r="YJ43" s="2845"/>
      <c r="YK43" s="2842"/>
      <c r="YL43" s="2842"/>
      <c r="YM43" s="2843"/>
      <c r="YN43" s="2843"/>
      <c r="YO43" s="2844"/>
      <c r="YP43" s="2845"/>
      <c r="YQ43" s="2842"/>
      <c r="YR43" s="2842"/>
      <c r="YS43" s="2843"/>
      <c r="YT43" s="2843"/>
      <c r="YU43" s="2844"/>
      <c r="YV43" s="2845"/>
      <c r="YW43" s="2842"/>
      <c r="YX43" s="2842"/>
      <c r="YY43" s="2843"/>
      <c r="YZ43" s="2843"/>
      <c r="ZA43" s="2844"/>
      <c r="ZB43" s="2845"/>
      <c r="ZC43" s="2842"/>
      <c r="ZD43" s="2842"/>
      <c r="ZE43" s="2843"/>
      <c r="ZF43" s="2843"/>
      <c r="ZG43" s="2844"/>
      <c r="ZH43" s="2845"/>
      <c r="ZI43" s="2842"/>
      <c r="ZJ43" s="2842"/>
      <c r="ZK43" s="2843"/>
      <c r="ZL43" s="2843"/>
      <c r="ZM43" s="2844"/>
      <c r="ZN43" s="2845"/>
      <c r="ZO43" s="2842"/>
      <c r="ZP43" s="2842"/>
      <c r="ZQ43" s="2843"/>
      <c r="ZR43" s="2843"/>
      <c r="ZS43" s="2844"/>
      <c r="ZT43" s="2845"/>
      <c r="ZU43" s="2842"/>
      <c r="ZV43" s="2842"/>
      <c r="ZW43" s="2843"/>
      <c r="ZX43" s="2843"/>
      <c r="ZY43" s="2844"/>
      <c r="ZZ43" s="2845"/>
      <c r="AAA43" s="2842"/>
      <c r="AAB43" s="2842"/>
      <c r="AAC43" s="2843"/>
      <c r="AAD43" s="2843"/>
      <c r="AAE43" s="2844"/>
      <c r="AAF43" s="2845"/>
      <c r="AAG43" s="2842"/>
      <c r="AAH43" s="2842"/>
      <c r="AAI43" s="2843"/>
      <c r="AAJ43" s="2843"/>
      <c r="AAK43" s="2844"/>
      <c r="AAL43" s="2845"/>
      <c r="AAM43" s="2842"/>
      <c r="AAN43" s="2842"/>
      <c r="AAO43" s="2843"/>
      <c r="AAP43" s="2843"/>
      <c r="AAQ43" s="2844"/>
      <c r="AAR43" s="2845"/>
      <c r="AAS43" s="2842"/>
      <c r="AAT43" s="2842"/>
      <c r="AAU43" s="2843"/>
      <c r="AAV43" s="2843"/>
      <c r="AAW43" s="2844"/>
      <c r="AAX43" s="2845"/>
      <c r="AAY43" s="2842"/>
      <c r="AAZ43" s="2842"/>
      <c r="ABA43" s="2843"/>
      <c r="ABB43" s="2843"/>
      <c r="ABC43" s="2844"/>
      <c r="ABD43" s="2845"/>
      <c r="ABE43" s="2842"/>
      <c r="ABF43" s="2842"/>
      <c r="ABG43" s="2843"/>
      <c r="ABH43" s="2843"/>
      <c r="ABI43" s="2844"/>
      <c r="ABJ43" s="2845"/>
      <c r="ABK43" s="2842"/>
      <c r="ABL43" s="2842"/>
      <c r="ABM43" s="2843"/>
      <c r="ABN43" s="2843"/>
      <c r="ABO43" s="2844"/>
      <c r="ABP43" s="2845"/>
      <c r="ABQ43" s="2842"/>
      <c r="ABR43" s="2842"/>
      <c r="ABS43" s="2843"/>
      <c r="ABT43" s="2843"/>
      <c r="ABU43" s="2844"/>
      <c r="ABV43" s="2845"/>
      <c r="ABW43" s="2842"/>
      <c r="ABX43" s="2842"/>
      <c r="ABY43" s="2843"/>
      <c r="ABZ43" s="2843"/>
      <c r="ACA43" s="2844"/>
      <c r="ACB43" s="2845"/>
      <c r="ACC43" s="2842"/>
      <c r="ACD43" s="2842"/>
      <c r="ACE43" s="2843"/>
      <c r="ACF43" s="2843"/>
      <c r="ACG43" s="2844"/>
      <c r="ACH43" s="2845"/>
      <c r="ACI43" s="2842"/>
      <c r="ACJ43" s="2842"/>
      <c r="ACK43" s="2843"/>
      <c r="ACL43" s="2843"/>
      <c r="ACM43" s="2844"/>
      <c r="ACN43" s="2845"/>
      <c r="ACO43" s="2842"/>
      <c r="ACP43" s="2842"/>
      <c r="ACQ43" s="2843"/>
      <c r="ACR43" s="2843"/>
      <c r="ACS43" s="2844"/>
      <c r="ACT43" s="2845"/>
      <c r="ACU43" s="2842"/>
      <c r="ACV43" s="2842"/>
      <c r="ACW43" s="2843"/>
      <c r="ACX43" s="2843"/>
      <c r="ACY43" s="2844"/>
      <c r="ACZ43" s="2845"/>
      <c r="ADA43" s="2842"/>
      <c r="ADB43" s="2842"/>
      <c r="ADC43" s="2843"/>
      <c r="ADD43" s="2843"/>
      <c r="ADE43" s="2844"/>
      <c r="ADF43" s="2845"/>
      <c r="ADG43" s="2842"/>
      <c r="ADH43" s="2842"/>
      <c r="ADI43" s="2843"/>
      <c r="ADJ43" s="2843"/>
      <c r="ADK43" s="2844"/>
      <c r="ADL43" s="2845"/>
      <c r="ADM43" s="2842"/>
      <c r="ADN43" s="2842"/>
      <c r="ADO43" s="2843"/>
      <c r="ADP43" s="2843"/>
      <c r="ADQ43" s="2844"/>
      <c r="ADR43" s="2845"/>
      <c r="ADS43" s="2842"/>
      <c r="ADT43" s="2842"/>
      <c r="ADU43" s="2843"/>
      <c r="ADV43" s="2843"/>
      <c r="ADW43" s="2844"/>
      <c r="ADX43" s="2845"/>
      <c r="ADY43" s="2842"/>
      <c r="ADZ43" s="2842"/>
      <c r="AEA43" s="2843"/>
      <c r="AEB43" s="2843"/>
      <c r="AEC43" s="2844"/>
      <c r="AED43" s="2845"/>
      <c r="AEE43" s="2842"/>
      <c r="AEF43" s="2842"/>
      <c r="AEG43" s="2843"/>
      <c r="AEH43" s="2843"/>
      <c r="AEI43" s="2844"/>
      <c r="AEJ43" s="2845"/>
      <c r="AEK43" s="2842"/>
      <c r="AEL43" s="2842"/>
      <c r="AEM43" s="2843"/>
      <c r="AEN43" s="2843"/>
      <c r="AEO43" s="2844"/>
      <c r="AEP43" s="2845"/>
      <c r="AEQ43" s="2842"/>
      <c r="AER43" s="2842"/>
      <c r="AES43" s="2843"/>
      <c r="AET43" s="2843"/>
      <c r="AEU43" s="2844"/>
      <c r="AEV43" s="2845"/>
      <c r="AEW43" s="2842"/>
      <c r="AEX43" s="2842"/>
      <c r="AEY43" s="2843"/>
      <c r="AEZ43" s="2843"/>
      <c r="AFA43" s="2844"/>
      <c r="AFB43" s="2845"/>
      <c r="AFC43" s="2842"/>
      <c r="AFD43" s="2842"/>
      <c r="AFE43" s="2843"/>
      <c r="AFF43" s="2843"/>
      <c r="AFG43" s="2844"/>
      <c r="AFH43" s="2845"/>
      <c r="AFI43" s="2842"/>
      <c r="AFJ43" s="2842"/>
      <c r="AFK43" s="2843"/>
      <c r="AFL43" s="2843"/>
      <c r="AFM43" s="2844"/>
      <c r="AFN43" s="2845"/>
      <c r="AFO43" s="2842"/>
      <c r="AFP43" s="2842"/>
      <c r="AFQ43" s="2843"/>
      <c r="AFR43" s="2843"/>
      <c r="AFS43" s="2844"/>
      <c r="AFT43" s="2845"/>
      <c r="AFU43" s="2842"/>
      <c r="AFV43" s="2842"/>
      <c r="AFW43" s="2843"/>
      <c r="AFX43" s="2843"/>
      <c r="AFY43" s="2844"/>
      <c r="AFZ43" s="2845"/>
      <c r="AGA43" s="2842"/>
      <c r="AGB43" s="2842"/>
      <c r="AGC43" s="2843"/>
      <c r="AGD43" s="2843"/>
      <c r="AGE43" s="2844"/>
      <c r="AGF43" s="2845"/>
      <c r="AGG43" s="2842"/>
      <c r="AGH43" s="2842"/>
      <c r="AGI43" s="2843"/>
      <c r="AGJ43" s="2843"/>
      <c r="AGK43" s="2844"/>
      <c r="AGL43" s="2845"/>
      <c r="AGM43" s="2842"/>
      <c r="AGN43" s="2842"/>
      <c r="AGO43" s="2843"/>
      <c r="AGP43" s="2843"/>
      <c r="AGQ43" s="2844"/>
      <c r="AGR43" s="2845"/>
      <c r="AGS43" s="2842"/>
      <c r="AGT43" s="2842"/>
      <c r="AGU43" s="2843"/>
      <c r="AGV43" s="2843"/>
      <c r="AGW43" s="2844"/>
      <c r="AGX43" s="2845"/>
      <c r="AGY43" s="2842"/>
      <c r="AGZ43" s="2842"/>
      <c r="AHA43" s="2843"/>
      <c r="AHB43" s="2843"/>
      <c r="AHC43" s="2844"/>
      <c r="AHD43" s="2845"/>
      <c r="AHE43" s="2842"/>
      <c r="AHF43" s="2842"/>
      <c r="AHG43" s="2843"/>
      <c r="AHH43" s="2843"/>
      <c r="AHI43" s="2844"/>
      <c r="AHJ43" s="2845"/>
      <c r="AHK43" s="2842"/>
      <c r="AHL43" s="2842"/>
      <c r="AHM43" s="2843"/>
      <c r="AHN43" s="2843"/>
      <c r="AHO43" s="2844"/>
      <c r="AHP43" s="2845"/>
      <c r="AHQ43" s="2842"/>
      <c r="AHR43" s="2842"/>
      <c r="AHS43" s="2843"/>
      <c r="AHT43" s="2843"/>
      <c r="AHU43" s="2844"/>
      <c r="AHV43" s="2845"/>
      <c r="AHW43" s="2842"/>
      <c r="AHX43" s="2842"/>
      <c r="AHY43" s="2843"/>
      <c r="AHZ43" s="2843"/>
      <c r="AIA43" s="2844"/>
      <c r="AIB43" s="2845"/>
      <c r="AIC43" s="2842"/>
      <c r="AID43" s="2842"/>
      <c r="AIE43" s="2843"/>
      <c r="AIF43" s="2843"/>
      <c r="AIG43" s="2844"/>
      <c r="AIH43" s="2845"/>
      <c r="AII43" s="2842"/>
      <c r="AIJ43" s="2842"/>
      <c r="AIK43" s="2843"/>
      <c r="AIL43" s="2843"/>
      <c r="AIM43" s="2844"/>
      <c r="AIN43" s="2845"/>
      <c r="AIO43" s="2842"/>
      <c r="AIP43" s="2842"/>
      <c r="AIQ43" s="2843"/>
      <c r="AIR43" s="2843"/>
      <c r="AIS43" s="2844"/>
      <c r="AIT43" s="2845"/>
      <c r="AIU43" s="2842"/>
      <c r="AIV43" s="2842"/>
      <c r="AIW43" s="2843"/>
      <c r="AIX43" s="2843"/>
      <c r="AIY43" s="2844"/>
      <c r="AIZ43" s="2845"/>
      <c r="AJA43" s="2842"/>
      <c r="AJB43" s="2842"/>
      <c r="AJC43" s="2843"/>
      <c r="AJD43" s="2843"/>
      <c r="AJE43" s="2844"/>
      <c r="AJF43" s="2845"/>
      <c r="AJG43" s="2842"/>
      <c r="AJH43" s="2842"/>
      <c r="AJI43" s="2843"/>
      <c r="AJJ43" s="2843"/>
      <c r="AJK43" s="2844"/>
      <c r="AJL43" s="2845"/>
      <c r="AJM43" s="2842"/>
      <c r="AJN43" s="2842"/>
      <c r="AJO43" s="2843"/>
      <c r="AJP43" s="2843"/>
      <c r="AJQ43" s="2844"/>
      <c r="AJR43" s="2845"/>
      <c r="AJS43" s="2842"/>
      <c r="AJT43" s="2842"/>
      <c r="AJU43" s="2843"/>
      <c r="AJV43" s="2843"/>
      <c r="AJW43" s="2844"/>
      <c r="AJX43" s="2845"/>
      <c r="AJY43" s="2842"/>
      <c r="AJZ43" s="2842"/>
      <c r="AKA43" s="2843"/>
      <c r="AKB43" s="2843"/>
      <c r="AKC43" s="2844"/>
      <c r="AKD43" s="2845"/>
      <c r="AKE43" s="2842"/>
      <c r="AKF43" s="2842"/>
      <c r="AKG43" s="2843"/>
      <c r="AKH43" s="2843"/>
      <c r="AKI43" s="2844"/>
      <c r="AKJ43" s="2845"/>
      <c r="AKK43" s="2842"/>
      <c r="AKL43" s="2842"/>
      <c r="AKM43" s="2843"/>
      <c r="AKN43" s="2843"/>
      <c r="AKO43" s="2844"/>
      <c r="AKP43" s="2845"/>
      <c r="AKQ43" s="2842"/>
      <c r="AKR43" s="2842"/>
      <c r="AKS43" s="2843"/>
      <c r="AKT43" s="2843"/>
      <c r="AKU43" s="2844"/>
      <c r="AKV43" s="2845"/>
      <c r="AKW43" s="2842"/>
      <c r="AKX43" s="2842"/>
      <c r="AKY43" s="2843"/>
      <c r="AKZ43" s="2843"/>
      <c r="ALA43" s="2844"/>
      <c r="ALB43" s="2845"/>
      <c r="ALC43" s="2842"/>
      <c r="ALD43" s="2842"/>
      <c r="ALE43" s="2843"/>
      <c r="ALF43" s="2843"/>
      <c r="ALG43" s="2844"/>
      <c r="ALH43" s="2845"/>
      <c r="ALI43" s="2842"/>
      <c r="ALJ43" s="2842"/>
      <c r="ALK43" s="2843"/>
      <c r="ALL43" s="2843"/>
      <c r="ALM43" s="2844"/>
      <c r="ALN43" s="2845"/>
      <c r="ALO43" s="2842"/>
      <c r="ALP43" s="2842"/>
      <c r="ALQ43" s="2843"/>
      <c r="ALR43" s="2843"/>
      <c r="ALS43" s="2844"/>
      <c r="ALT43" s="2845"/>
      <c r="ALU43" s="2842"/>
      <c r="ALV43" s="2842"/>
      <c r="ALW43" s="2843"/>
      <c r="ALX43" s="2843"/>
      <c r="ALY43" s="2844"/>
      <c r="ALZ43" s="2845"/>
      <c r="AMA43" s="2842"/>
      <c r="AMB43" s="2842"/>
      <c r="AMC43" s="2843"/>
      <c r="AMD43" s="2843"/>
      <c r="AME43" s="2844"/>
      <c r="AMF43" s="2845"/>
      <c r="AMG43" s="2842"/>
      <c r="AMH43" s="2842"/>
      <c r="AMI43" s="2843"/>
      <c r="AMJ43" s="2843"/>
      <c r="AMK43" s="2844"/>
      <c r="AML43" s="2845"/>
      <c r="AMM43" s="2842"/>
      <c r="AMN43" s="2842"/>
      <c r="AMO43" s="2843"/>
      <c r="AMP43" s="2843"/>
      <c r="AMQ43" s="2844"/>
      <c r="AMR43" s="2845"/>
      <c r="AMS43" s="2842"/>
      <c r="AMT43" s="2842"/>
      <c r="AMU43" s="2843"/>
      <c r="AMV43" s="2843"/>
      <c r="AMW43" s="2844"/>
      <c r="AMX43" s="2845"/>
      <c r="AMY43" s="2842"/>
      <c r="AMZ43" s="2842"/>
      <c r="ANA43" s="2843"/>
      <c r="ANB43" s="2843"/>
      <c r="ANC43" s="2844"/>
      <c r="AND43" s="2845"/>
      <c r="ANE43" s="2842"/>
      <c r="ANF43" s="2842"/>
      <c r="ANG43" s="2843"/>
      <c r="ANH43" s="2843"/>
      <c r="ANI43" s="2844"/>
      <c r="ANJ43" s="2845"/>
      <c r="ANK43" s="2842"/>
      <c r="ANL43" s="2842"/>
      <c r="ANM43" s="2843"/>
      <c r="ANN43" s="2843"/>
      <c r="ANO43" s="2844"/>
      <c r="ANP43" s="2845"/>
      <c r="ANQ43" s="2842"/>
      <c r="ANR43" s="2842"/>
      <c r="ANS43" s="2843"/>
      <c r="ANT43" s="2843"/>
      <c r="ANU43" s="2844"/>
      <c r="ANV43" s="2845"/>
      <c r="ANW43" s="2842"/>
      <c r="ANX43" s="2842"/>
      <c r="ANY43" s="2843"/>
      <c r="ANZ43" s="2843"/>
      <c r="AOA43" s="2844"/>
      <c r="AOB43" s="2845"/>
      <c r="AOC43" s="2842"/>
      <c r="AOD43" s="2842"/>
      <c r="AOE43" s="2843"/>
      <c r="AOF43" s="2843"/>
      <c r="AOG43" s="2844"/>
      <c r="AOH43" s="2845"/>
      <c r="AOI43" s="2842"/>
      <c r="AOJ43" s="2842"/>
      <c r="AOK43" s="2843"/>
      <c r="AOL43" s="2843"/>
      <c r="AOM43" s="2844"/>
      <c r="AON43" s="2845"/>
      <c r="AOO43" s="2842"/>
      <c r="AOP43" s="2842"/>
      <c r="AOQ43" s="2843"/>
      <c r="AOR43" s="2843"/>
      <c r="AOS43" s="2844"/>
      <c r="AOT43" s="2845"/>
      <c r="AOU43" s="2842"/>
      <c r="AOV43" s="2842"/>
      <c r="AOW43" s="2843"/>
      <c r="AOX43" s="2843"/>
      <c r="AOY43" s="2844"/>
      <c r="AOZ43" s="2845"/>
      <c r="APA43" s="2842"/>
      <c r="APB43" s="2842"/>
      <c r="APC43" s="2843"/>
      <c r="APD43" s="2843"/>
      <c r="APE43" s="2844"/>
      <c r="APF43" s="2845"/>
      <c r="APG43" s="2842"/>
      <c r="APH43" s="2842"/>
      <c r="API43" s="2843"/>
      <c r="APJ43" s="2843"/>
      <c r="APK43" s="2844"/>
      <c r="APL43" s="2845"/>
      <c r="APM43" s="2842"/>
      <c r="APN43" s="2842"/>
      <c r="APO43" s="2843"/>
      <c r="APP43" s="2843"/>
      <c r="APQ43" s="2844"/>
      <c r="APR43" s="2845"/>
      <c r="APS43" s="2842"/>
      <c r="APT43" s="2842"/>
      <c r="APU43" s="2843"/>
      <c r="APV43" s="2843"/>
      <c r="APW43" s="2844"/>
      <c r="APX43" s="2845"/>
      <c r="APY43" s="2842"/>
      <c r="APZ43" s="2842"/>
      <c r="AQA43" s="2843"/>
      <c r="AQB43" s="2843"/>
      <c r="AQC43" s="2844"/>
      <c r="AQD43" s="2845"/>
      <c r="AQE43" s="2842"/>
      <c r="AQF43" s="2842"/>
      <c r="AQG43" s="2843"/>
      <c r="AQH43" s="2843"/>
      <c r="AQI43" s="2844"/>
      <c r="AQJ43" s="2845"/>
      <c r="AQK43" s="2842"/>
      <c r="AQL43" s="2842"/>
      <c r="AQM43" s="2843"/>
      <c r="AQN43" s="2843"/>
      <c r="AQO43" s="2844"/>
      <c r="AQP43" s="2845"/>
      <c r="AQQ43" s="2842"/>
      <c r="AQR43" s="2842"/>
      <c r="AQS43" s="2843"/>
      <c r="AQT43" s="2843"/>
      <c r="AQU43" s="2844"/>
      <c r="AQV43" s="2845"/>
      <c r="AQW43" s="2842"/>
      <c r="AQX43" s="2842"/>
      <c r="AQY43" s="2843"/>
      <c r="AQZ43" s="2843"/>
      <c r="ARA43" s="2844"/>
      <c r="ARB43" s="2845"/>
      <c r="ARC43" s="2842"/>
      <c r="ARD43" s="2842"/>
      <c r="ARE43" s="2843"/>
      <c r="ARF43" s="2843"/>
      <c r="ARG43" s="2844"/>
      <c r="ARH43" s="2845"/>
      <c r="ARI43" s="2842"/>
      <c r="ARJ43" s="2842"/>
      <c r="ARK43" s="2843"/>
      <c r="ARL43" s="2843"/>
      <c r="ARM43" s="2844"/>
      <c r="ARN43" s="2845"/>
      <c r="ARO43" s="2842"/>
      <c r="ARP43" s="2842"/>
      <c r="ARQ43" s="2843"/>
      <c r="ARR43" s="2843"/>
      <c r="ARS43" s="2844"/>
      <c r="ART43" s="2845"/>
      <c r="ARU43" s="2842"/>
      <c r="ARV43" s="2842"/>
      <c r="ARW43" s="2843"/>
      <c r="ARX43" s="2843"/>
      <c r="ARY43" s="2844"/>
      <c r="ARZ43" s="2845"/>
      <c r="ASA43" s="2842"/>
      <c r="ASB43" s="2842"/>
      <c r="ASC43" s="2843"/>
      <c r="ASD43" s="2843"/>
      <c r="ASE43" s="2844"/>
      <c r="ASF43" s="2845"/>
      <c r="ASG43" s="2842"/>
      <c r="ASH43" s="2842"/>
      <c r="ASI43" s="2843"/>
      <c r="ASJ43" s="2843"/>
      <c r="ASK43" s="2844"/>
      <c r="ASL43" s="2845"/>
      <c r="ASM43" s="2842"/>
      <c r="ASN43" s="2842"/>
      <c r="ASO43" s="2843"/>
      <c r="ASP43" s="2843"/>
      <c r="ASQ43" s="2844"/>
      <c r="ASR43" s="2845"/>
      <c r="ASS43" s="2842"/>
      <c r="AST43" s="2842"/>
      <c r="ASU43" s="2843"/>
      <c r="ASV43" s="2843"/>
      <c r="ASW43" s="2844"/>
      <c r="ASX43" s="2845"/>
      <c r="ASY43" s="2842"/>
      <c r="ASZ43" s="2842"/>
      <c r="ATA43" s="2843"/>
      <c r="ATB43" s="2843"/>
      <c r="ATC43" s="2844"/>
      <c r="ATD43" s="2845"/>
      <c r="ATE43" s="2842"/>
      <c r="ATF43" s="2842"/>
      <c r="ATG43" s="2843"/>
      <c r="ATH43" s="2843"/>
      <c r="ATI43" s="2844"/>
      <c r="ATJ43" s="2845"/>
      <c r="ATK43" s="2842"/>
      <c r="ATL43" s="2842"/>
      <c r="ATM43" s="2843"/>
      <c r="ATN43" s="2843"/>
      <c r="ATO43" s="2844"/>
      <c r="ATP43" s="2845"/>
      <c r="ATQ43" s="2842"/>
      <c r="ATR43" s="2842"/>
      <c r="ATS43" s="2843"/>
      <c r="ATT43" s="2843"/>
      <c r="ATU43" s="2844"/>
      <c r="ATV43" s="2845"/>
      <c r="ATW43" s="2842"/>
      <c r="ATX43" s="2842"/>
      <c r="ATY43" s="2843"/>
      <c r="ATZ43" s="2843"/>
      <c r="AUA43" s="2844"/>
      <c r="AUB43" s="2845"/>
      <c r="AUC43" s="2842"/>
      <c r="AUD43" s="2842"/>
      <c r="AUE43" s="2843"/>
      <c r="AUF43" s="2843"/>
      <c r="AUG43" s="2844"/>
      <c r="AUH43" s="2845"/>
      <c r="AUI43" s="2842"/>
      <c r="AUJ43" s="2842"/>
      <c r="AUK43" s="2843"/>
      <c r="AUL43" s="2843"/>
      <c r="AUM43" s="2844"/>
      <c r="AUN43" s="2845"/>
      <c r="AUO43" s="2842"/>
      <c r="AUP43" s="2842"/>
      <c r="AUQ43" s="2843"/>
      <c r="AUR43" s="2843"/>
      <c r="AUS43" s="2844"/>
      <c r="AUT43" s="2845"/>
      <c r="AUU43" s="2842"/>
      <c r="AUV43" s="2842"/>
      <c r="AUW43" s="2843"/>
      <c r="AUX43" s="2843"/>
      <c r="AUY43" s="2844"/>
      <c r="AUZ43" s="2845"/>
      <c r="AVA43" s="2842"/>
      <c r="AVB43" s="2842"/>
      <c r="AVC43" s="2843"/>
      <c r="AVD43" s="2843"/>
      <c r="AVE43" s="2844"/>
      <c r="AVF43" s="2845"/>
      <c r="AVG43" s="2842"/>
      <c r="AVH43" s="2842"/>
      <c r="AVI43" s="2843"/>
      <c r="AVJ43" s="2843"/>
      <c r="AVK43" s="2844"/>
      <c r="AVL43" s="2845"/>
      <c r="AVM43" s="2842"/>
      <c r="AVN43" s="2842"/>
      <c r="AVO43" s="2843"/>
      <c r="AVP43" s="2843"/>
      <c r="AVQ43" s="2844"/>
      <c r="AVR43" s="2845"/>
      <c r="AVS43" s="2842"/>
      <c r="AVT43" s="2842"/>
      <c r="AVU43" s="2843"/>
      <c r="AVV43" s="2843"/>
      <c r="AVW43" s="2844"/>
      <c r="AVX43" s="2845"/>
      <c r="AVY43" s="2842"/>
      <c r="AVZ43" s="2842"/>
      <c r="AWA43" s="2843"/>
      <c r="AWB43" s="2843"/>
      <c r="AWC43" s="2844"/>
      <c r="AWD43" s="2845"/>
      <c r="AWE43" s="2842"/>
      <c r="AWF43" s="2842"/>
      <c r="AWG43" s="2843"/>
      <c r="AWH43" s="2843"/>
      <c r="AWI43" s="2844"/>
      <c r="AWJ43" s="2845"/>
      <c r="AWK43" s="2842"/>
      <c r="AWL43" s="2842"/>
      <c r="AWM43" s="2843"/>
      <c r="AWN43" s="2843"/>
      <c r="AWO43" s="2844"/>
      <c r="AWP43" s="2845"/>
      <c r="AWQ43" s="2842"/>
      <c r="AWR43" s="2842"/>
      <c r="AWS43" s="2843"/>
      <c r="AWT43" s="2843"/>
      <c r="AWU43" s="2844"/>
      <c r="AWV43" s="2845"/>
      <c r="AWW43" s="2842"/>
      <c r="AWX43" s="2842"/>
      <c r="AWY43" s="2843"/>
      <c r="AWZ43" s="2843"/>
      <c r="AXA43" s="2844"/>
      <c r="AXB43" s="2845"/>
      <c r="AXC43" s="2842"/>
      <c r="AXD43" s="2842"/>
      <c r="AXE43" s="2843"/>
      <c r="AXF43" s="2843"/>
      <c r="AXG43" s="2844"/>
      <c r="AXH43" s="2845"/>
      <c r="AXI43" s="2842"/>
      <c r="AXJ43" s="2842"/>
      <c r="AXK43" s="2843"/>
      <c r="AXL43" s="2843"/>
      <c r="AXM43" s="2844"/>
      <c r="AXN43" s="2845"/>
      <c r="AXO43" s="2842"/>
      <c r="AXP43" s="2842"/>
      <c r="AXQ43" s="2843"/>
      <c r="AXR43" s="2843"/>
      <c r="AXS43" s="2844"/>
      <c r="AXT43" s="2845"/>
      <c r="AXU43" s="2842"/>
      <c r="AXV43" s="2842"/>
      <c r="AXW43" s="2843"/>
      <c r="AXX43" s="2843"/>
      <c r="AXY43" s="2844"/>
      <c r="AXZ43" s="2845"/>
      <c r="AYA43" s="2842"/>
      <c r="AYB43" s="2842"/>
      <c r="AYC43" s="2843"/>
      <c r="AYD43" s="2843"/>
      <c r="AYE43" s="2844"/>
      <c r="AYF43" s="2845"/>
      <c r="AYG43" s="2842"/>
      <c r="AYH43" s="2842"/>
      <c r="AYI43" s="2843"/>
      <c r="AYJ43" s="2843"/>
      <c r="AYK43" s="2844"/>
      <c r="AYL43" s="2845"/>
      <c r="AYM43" s="2842"/>
      <c r="AYN43" s="2842"/>
      <c r="AYO43" s="2843"/>
      <c r="AYP43" s="2843"/>
      <c r="AYQ43" s="2844"/>
      <c r="AYR43" s="2845"/>
      <c r="AYS43" s="2842"/>
      <c r="AYT43" s="2842"/>
      <c r="AYU43" s="2843"/>
      <c r="AYV43" s="2843"/>
      <c r="AYW43" s="2844"/>
      <c r="AYX43" s="2845"/>
      <c r="AYY43" s="2842"/>
      <c r="AYZ43" s="2842"/>
      <c r="AZA43" s="2843"/>
      <c r="AZB43" s="2843"/>
      <c r="AZC43" s="2844"/>
      <c r="AZD43" s="2845"/>
      <c r="AZE43" s="2842"/>
      <c r="AZF43" s="2842"/>
      <c r="AZG43" s="2843"/>
      <c r="AZH43" s="2843"/>
      <c r="AZI43" s="2844"/>
      <c r="AZJ43" s="2845"/>
      <c r="AZK43" s="2842"/>
      <c r="AZL43" s="2842"/>
      <c r="AZM43" s="2843"/>
      <c r="AZN43" s="2843"/>
      <c r="AZO43" s="2844"/>
      <c r="AZP43" s="2845"/>
      <c r="AZQ43" s="2842"/>
      <c r="AZR43" s="2842"/>
      <c r="AZS43" s="2843"/>
      <c r="AZT43" s="2843"/>
      <c r="AZU43" s="2844"/>
      <c r="AZV43" s="2845"/>
      <c r="AZW43" s="2842"/>
      <c r="AZX43" s="2842"/>
      <c r="AZY43" s="2843"/>
      <c r="AZZ43" s="2843"/>
      <c r="BAA43" s="2844"/>
      <c r="BAB43" s="2845"/>
      <c r="BAC43" s="2842"/>
      <c r="BAD43" s="2842"/>
      <c r="BAE43" s="2843"/>
      <c r="BAF43" s="2843"/>
      <c r="BAG43" s="2844"/>
      <c r="BAH43" s="2845"/>
      <c r="BAI43" s="2842"/>
      <c r="BAJ43" s="2842"/>
      <c r="BAK43" s="2843"/>
      <c r="BAL43" s="2843"/>
      <c r="BAM43" s="2844"/>
      <c r="BAN43" s="2845"/>
      <c r="BAO43" s="2842"/>
      <c r="BAP43" s="2842"/>
      <c r="BAQ43" s="2843"/>
      <c r="BAR43" s="2843"/>
      <c r="BAS43" s="2844"/>
      <c r="BAT43" s="2845"/>
      <c r="BAU43" s="2842"/>
      <c r="BAV43" s="2842"/>
      <c r="BAW43" s="2843"/>
      <c r="BAX43" s="2843"/>
      <c r="BAY43" s="2844"/>
      <c r="BAZ43" s="2845"/>
      <c r="BBA43" s="2842"/>
      <c r="BBB43" s="2842"/>
      <c r="BBC43" s="2843"/>
      <c r="BBD43" s="2843"/>
      <c r="BBE43" s="2844"/>
      <c r="BBF43" s="2845"/>
      <c r="BBG43" s="2842"/>
      <c r="BBH43" s="2842"/>
      <c r="BBI43" s="2843"/>
      <c r="BBJ43" s="2843"/>
      <c r="BBK43" s="2844"/>
      <c r="BBL43" s="2845"/>
      <c r="BBM43" s="2842"/>
      <c r="BBN43" s="2842"/>
      <c r="BBO43" s="2843"/>
      <c r="BBP43" s="2843"/>
      <c r="BBQ43" s="2844"/>
      <c r="BBR43" s="2845"/>
      <c r="BBS43" s="2842"/>
      <c r="BBT43" s="2842"/>
      <c r="BBU43" s="2843"/>
      <c r="BBV43" s="2843"/>
      <c r="BBW43" s="2844"/>
      <c r="BBX43" s="2845"/>
      <c r="BBY43" s="2842"/>
      <c r="BBZ43" s="2842"/>
      <c r="BCA43" s="2843"/>
      <c r="BCB43" s="2843"/>
      <c r="BCC43" s="2844"/>
      <c r="BCD43" s="2845"/>
      <c r="BCE43" s="2842"/>
      <c r="BCF43" s="2842"/>
      <c r="BCG43" s="2843"/>
      <c r="BCH43" s="2843"/>
      <c r="BCI43" s="2844"/>
      <c r="BCJ43" s="2845"/>
      <c r="BCK43" s="2842"/>
      <c r="BCL43" s="2842"/>
      <c r="BCM43" s="2843"/>
      <c r="BCN43" s="2843"/>
      <c r="BCO43" s="2844"/>
      <c r="BCP43" s="2845"/>
      <c r="BCQ43" s="2842"/>
      <c r="BCR43" s="2842"/>
      <c r="BCS43" s="2843"/>
      <c r="BCT43" s="2843"/>
      <c r="BCU43" s="2844"/>
      <c r="BCV43" s="2845"/>
      <c r="BCW43" s="2842"/>
      <c r="BCX43" s="2842"/>
      <c r="BCY43" s="2843"/>
      <c r="BCZ43" s="2843"/>
      <c r="BDA43" s="2844"/>
      <c r="BDB43" s="2845"/>
      <c r="BDC43" s="2842"/>
      <c r="BDD43" s="2842"/>
      <c r="BDE43" s="2843"/>
      <c r="BDF43" s="2843"/>
      <c r="BDG43" s="2844"/>
      <c r="BDH43" s="2845"/>
      <c r="BDI43" s="2842"/>
      <c r="BDJ43" s="2842"/>
      <c r="BDK43" s="2843"/>
      <c r="BDL43" s="2843"/>
      <c r="BDM43" s="2844"/>
      <c r="BDN43" s="2845"/>
      <c r="BDO43" s="2842"/>
      <c r="BDP43" s="2842"/>
      <c r="BDQ43" s="2843"/>
      <c r="BDR43" s="2843"/>
      <c r="BDS43" s="2844"/>
      <c r="BDT43" s="2845"/>
      <c r="BDU43" s="2842"/>
      <c r="BDV43" s="2842"/>
      <c r="BDW43" s="2843"/>
      <c r="BDX43" s="2843"/>
      <c r="BDY43" s="2844"/>
      <c r="BDZ43" s="2845"/>
      <c r="BEA43" s="2842"/>
      <c r="BEB43" s="2842"/>
      <c r="BEC43" s="2843"/>
      <c r="BED43" s="2843"/>
      <c r="BEE43" s="2844"/>
      <c r="BEF43" s="2845"/>
      <c r="BEG43" s="2842"/>
      <c r="BEH43" s="2842"/>
      <c r="BEI43" s="2843"/>
      <c r="BEJ43" s="2843"/>
      <c r="BEK43" s="2844"/>
      <c r="BEL43" s="2845"/>
      <c r="BEM43" s="2842"/>
      <c r="BEN43" s="2842"/>
      <c r="BEO43" s="2843"/>
      <c r="BEP43" s="2843"/>
      <c r="BEQ43" s="2844"/>
      <c r="BER43" s="2845"/>
      <c r="BES43" s="2842"/>
      <c r="BET43" s="2842"/>
      <c r="BEU43" s="2843"/>
      <c r="BEV43" s="2843"/>
      <c r="BEW43" s="2844"/>
      <c r="BEX43" s="2845"/>
      <c r="BEY43" s="2842"/>
      <c r="BEZ43" s="2842"/>
      <c r="BFA43" s="2843"/>
      <c r="BFB43" s="2843"/>
      <c r="BFC43" s="2844"/>
      <c r="BFD43" s="2845"/>
      <c r="BFE43" s="2842"/>
      <c r="BFF43" s="2842"/>
      <c r="BFG43" s="2843"/>
      <c r="BFH43" s="2843"/>
      <c r="BFI43" s="2844"/>
      <c r="BFJ43" s="2845"/>
      <c r="BFK43" s="2842"/>
      <c r="BFL43" s="2842"/>
      <c r="BFM43" s="2843"/>
      <c r="BFN43" s="2843"/>
      <c r="BFO43" s="2844"/>
      <c r="BFP43" s="2845"/>
      <c r="BFQ43" s="2842"/>
      <c r="BFR43" s="2842"/>
      <c r="BFS43" s="2843"/>
      <c r="BFT43" s="2843"/>
      <c r="BFU43" s="2844"/>
      <c r="BFV43" s="2845"/>
      <c r="BFW43" s="2842"/>
      <c r="BFX43" s="2842"/>
      <c r="BFY43" s="2843"/>
      <c r="BFZ43" s="2843"/>
      <c r="BGA43" s="2844"/>
      <c r="BGB43" s="2845"/>
      <c r="BGC43" s="2842"/>
      <c r="BGD43" s="2842"/>
      <c r="BGE43" s="2843"/>
      <c r="BGF43" s="2843"/>
      <c r="BGG43" s="2844"/>
      <c r="BGH43" s="2845"/>
      <c r="BGI43" s="2842"/>
      <c r="BGJ43" s="2842"/>
      <c r="BGK43" s="2843"/>
      <c r="BGL43" s="2843"/>
      <c r="BGM43" s="2844"/>
      <c r="BGN43" s="2845"/>
      <c r="BGO43" s="2842"/>
      <c r="BGP43" s="2842"/>
      <c r="BGQ43" s="2843"/>
      <c r="BGR43" s="2843"/>
      <c r="BGS43" s="2844"/>
      <c r="BGT43" s="2845"/>
      <c r="BGU43" s="2842"/>
      <c r="BGV43" s="2842"/>
      <c r="BGW43" s="2843"/>
      <c r="BGX43" s="2843"/>
      <c r="BGY43" s="2844"/>
      <c r="BGZ43" s="2845"/>
      <c r="BHA43" s="2842"/>
      <c r="BHB43" s="2842"/>
      <c r="BHC43" s="2843"/>
      <c r="BHD43" s="2843"/>
      <c r="BHE43" s="2844"/>
      <c r="BHF43" s="2845"/>
      <c r="BHG43" s="2842"/>
      <c r="BHH43" s="2842"/>
      <c r="BHI43" s="2843"/>
      <c r="BHJ43" s="2843"/>
      <c r="BHK43" s="2844"/>
      <c r="BHL43" s="2845"/>
      <c r="BHM43" s="2842"/>
      <c r="BHN43" s="2842"/>
      <c r="BHO43" s="2843"/>
      <c r="BHP43" s="2843"/>
      <c r="BHQ43" s="2844"/>
      <c r="BHR43" s="2845"/>
      <c r="BHS43" s="2842"/>
      <c r="BHT43" s="2842"/>
      <c r="BHU43" s="2843"/>
      <c r="BHV43" s="2843"/>
      <c r="BHW43" s="2844"/>
      <c r="BHX43" s="2845"/>
      <c r="BHY43" s="2842"/>
      <c r="BHZ43" s="2842"/>
      <c r="BIA43" s="2843"/>
      <c r="BIB43" s="2843"/>
      <c r="BIC43" s="2844"/>
      <c r="BID43" s="2845"/>
      <c r="BIE43" s="2842"/>
      <c r="BIF43" s="2842"/>
      <c r="BIG43" s="2843"/>
      <c r="BIH43" s="2843"/>
      <c r="BII43" s="2844"/>
      <c r="BIJ43" s="2845"/>
      <c r="BIK43" s="2842"/>
      <c r="BIL43" s="2842"/>
      <c r="BIM43" s="2843"/>
      <c r="BIN43" s="2843"/>
      <c r="BIO43" s="2844"/>
      <c r="BIP43" s="2845"/>
      <c r="BIQ43" s="2842"/>
      <c r="BIR43" s="2842"/>
      <c r="BIS43" s="2843"/>
      <c r="BIT43" s="2843"/>
      <c r="BIU43" s="2844"/>
      <c r="BIV43" s="2845"/>
      <c r="BIW43" s="2842"/>
      <c r="BIX43" s="2842"/>
      <c r="BIY43" s="2843"/>
      <c r="BIZ43" s="2843"/>
      <c r="BJA43" s="2844"/>
      <c r="BJB43" s="2845"/>
      <c r="BJC43" s="2842"/>
      <c r="BJD43" s="2842"/>
      <c r="BJE43" s="2843"/>
      <c r="BJF43" s="2843"/>
      <c r="BJG43" s="2844"/>
      <c r="BJH43" s="2845"/>
      <c r="BJI43" s="2842"/>
      <c r="BJJ43" s="2842"/>
      <c r="BJK43" s="2843"/>
      <c r="BJL43" s="2843"/>
      <c r="BJM43" s="2844"/>
      <c r="BJN43" s="2845"/>
      <c r="BJO43" s="2842"/>
      <c r="BJP43" s="2842"/>
      <c r="BJQ43" s="2843"/>
      <c r="BJR43" s="2843"/>
      <c r="BJS43" s="2844"/>
      <c r="BJT43" s="2845"/>
      <c r="BJU43" s="2842"/>
      <c r="BJV43" s="2842"/>
      <c r="BJW43" s="2843"/>
      <c r="BJX43" s="2843"/>
      <c r="BJY43" s="2844"/>
      <c r="BJZ43" s="2845"/>
      <c r="BKA43" s="2842"/>
      <c r="BKB43" s="2842"/>
      <c r="BKC43" s="2843"/>
      <c r="BKD43" s="2843"/>
      <c r="BKE43" s="2844"/>
      <c r="BKF43" s="2845"/>
      <c r="BKG43" s="2842"/>
      <c r="BKH43" s="2842"/>
      <c r="BKI43" s="2843"/>
      <c r="BKJ43" s="2843"/>
      <c r="BKK43" s="2844"/>
      <c r="BKL43" s="2845"/>
      <c r="BKM43" s="2842"/>
      <c r="BKN43" s="2842"/>
      <c r="BKO43" s="2843"/>
      <c r="BKP43" s="2843"/>
      <c r="BKQ43" s="2844"/>
      <c r="BKR43" s="2845"/>
      <c r="BKS43" s="2842"/>
      <c r="BKT43" s="2842"/>
      <c r="BKU43" s="2843"/>
      <c r="BKV43" s="2843"/>
      <c r="BKW43" s="2844"/>
      <c r="BKX43" s="2845"/>
      <c r="BKY43" s="2842"/>
      <c r="BKZ43" s="2842"/>
      <c r="BLA43" s="2843"/>
      <c r="BLB43" s="2843"/>
      <c r="BLC43" s="2844"/>
      <c r="BLD43" s="2845"/>
      <c r="BLE43" s="2842"/>
      <c r="BLF43" s="2842"/>
      <c r="BLG43" s="2843"/>
      <c r="BLH43" s="2843"/>
      <c r="BLI43" s="2844"/>
      <c r="BLJ43" s="2845"/>
      <c r="BLK43" s="2842"/>
      <c r="BLL43" s="2842"/>
      <c r="BLM43" s="2843"/>
      <c r="BLN43" s="2843"/>
      <c r="BLO43" s="2844"/>
      <c r="BLP43" s="2845"/>
      <c r="BLQ43" s="2842"/>
      <c r="BLR43" s="2842"/>
      <c r="BLS43" s="2843"/>
      <c r="BLT43" s="2843"/>
      <c r="BLU43" s="2844"/>
      <c r="BLV43" s="2845"/>
      <c r="BLW43" s="2842"/>
      <c r="BLX43" s="2842"/>
      <c r="BLY43" s="2843"/>
      <c r="BLZ43" s="2843"/>
      <c r="BMA43" s="2844"/>
      <c r="BMB43" s="2845"/>
      <c r="BMC43" s="2842"/>
      <c r="BMD43" s="2842"/>
      <c r="BME43" s="2843"/>
      <c r="BMF43" s="2843"/>
      <c r="BMG43" s="2844"/>
      <c r="BMH43" s="2845"/>
      <c r="BMI43" s="2842"/>
      <c r="BMJ43" s="2842"/>
      <c r="BMK43" s="2843"/>
      <c r="BML43" s="2843"/>
      <c r="BMM43" s="2844"/>
      <c r="BMN43" s="2845"/>
      <c r="BMO43" s="2842"/>
      <c r="BMP43" s="2842"/>
      <c r="BMQ43" s="2843"/>
      <c r="BMR43" s="2843"/>
      <c r="BMS43" s="2844"/>
      <c r="BMT43" s="2845"/>
      <c r="BMU43" s="2842"/>
      <c r="BMV43" s="2842"/>
      <c r="BMW43" s="2843"/>
      <c r="BMX43" s="2843"/>
      <c r="BMY43" s="2844"/>
      <c r="BMZ43" s="2845"/>
      <c r="BNA43" s="2842"/>
      <c r="BNB43" s="2842"/>
      <c r="BNC43" s="2843"/>
      <c r="BND43" s="2843"/>
      <c r="BNE43" s="2844"/>
      <c r="BNF43" s="2845"/>
      <c r="BNG43" s="2842"/>
      <c r="BNH43" s="2842"/>
      <c r="BNI43" s="2843"/>
      <c r="BNJ43" s="2843"/>
      <c r="BNK43" s="2844"/>
      <c r="BNL43" s="2845"/>
      <c r="BNM43" s="2842"/>
      <c r="BNN43" s="2842"/>
      <c r="BNO43" s="2843"/>
      <c r="BNP43" s="2843"/>
      <c r="BNQ43" s="2844"/>
      <c r="BNR43" s="2845"/>
      <c r="BNS43" s="2842"/>
      <c r="BNT43" s="2842"/>
      <c r="BNU43" s="2843"/>
      <c r="BNV43" s="2843"/>
      <c r="BNW43" s="2844"/>
      <c r="BNX43" s="2845"/>
      <c r="BNY43" s="2842"/>
      <c r="BNZ43" s="2842"/>
      <c r="BOA43" s="2843"/>
      <c r="BOB43" s="2843"/>
      <c r="BOC43" s="2844"/>
      <c r="BOD43" s="2845"/>
      <c r="BOE43" s="2842"/>
      <c r="BOF43" s="2842"/>
      <c r="BOG43" s="2843"/>
      <c r="BOH43" s="2843"/>
      <c r="BOI43" s="2844"/>
      <c r="BOJ43" s="2845"/>
      <c r="BOK43" s="2842"/>
      <c r="BOL43" s="2842"/>
      <c r="BOM43" s="2843"/>
      <c r="BON43" s="2843"/>
      <c r="BOO43" s="2844"/>
      <c r="BOP43" s="2845"/>
      <c r="BOQ43" s="2842"/>
      <c r="BOR43" s="2842"/>
      <c r="BOS43" s="2843"/>
      <c r="BOT43" s="2843"/>
      <c r="BOU43" s="2844"/>
      <c r="BOV43" s="2845"/>
      <c r="BOW43" s="2842"/>
      <c r="BOX43" s="2842"/>
      <c r="BOY43" s="2843"/>
      <c r="BOZ43" s="2843"/>
      <c r="BPA43" s="2844"/>
      <c r="BPB43" s="2845"/>
      <c r="BPC43" s="2842"/>
      <c r="BPD43" s="2842"/>
      <c r="BPE43" s="2843"/>
      <c r="BPF43" s="2843"/>
      <c r="BPG43" s="2844"/>
      <c r="BPH43" s="2845"/>
      <c r="BPI43" s="2842"/>
      <c r="BPJ43" s="2842"/>
      <c r="BPK43" s="2843"/>
      <c r="BPL43" s="2843"/>
      <c r="BPM43" s="2844"/>
      <c r="BPN43" s="2845"/>
      <c r="BPO43" s="2842"/>
      <c r="BPP43" s="2842"/>
      <c r="BPQ43" s="2843"/>
      <c r="BPR43" s="2843"/>
      <c r="BPS43" s="2844"/>
      <c r="BPT43" s="2845"/>
      <c r="BPU43" s="2842"/>
      <c r="BPV43" s="2842"/>
      <c r="BPW43" s="2843"/>
      <c r="BPX43" s="2843"/>
      <c r="BPY43" s="2844"/>
      <c r="BPZ43" s="2845"/>
      <c r="BQA43" s="2842"/>
      <c r="BQB43" s="2842"/>
      <c r="BQC43" s="2843"/>
      <c r="BQD43" s="2843"/>
      <c r="BQE43" s="2844"/>
      <c r="BQF43" s="2845"/>
      <c r="BQG43" s="2842"/>
      <c r="BQH43" s="2842"/>
      <c r="BQI43" s="2843"/>
      <c r="BQJ43" s="2843"/>
      <c r="BQK43" s="2844"/>
      <c r="BQL43" s="2845"/>
      <c r="BQM43" s="2842"/>
      <c r="BQN43" s="2842"/>
      <c r="BQO43" s="2843"/>
      <c r="BQP43" s="2843"/>
      <c r="BQQ43" s="2844"/>
      <c r="BQR43" s="2845"/>
      <c r="BQS43" s="2842"/>
      <c r="BQT43" s="2842"/>
      <c r="BQU43" s="2843"/>
      <c r="BQV43" s="2843"/>
      <c r="BQW43" s="2844"/>
      <c r="BQX43" s="2845"/>
      <c r="BQY43" s="2842"/>
      <c r="BQZ43" s="2842"/>
      <c r="BRA43" s="2843"/>
      <c r="BRB43" s="2843"/>
      <c r="BRC43" s="2844"/>
      <c r="BRD43" s="2845"/>
      <c r="BRE43" s="2842"/>
      <c r="BRF43" s="2842"/>
      <c r="BRG43" s="2843"/>
      <c r="BRH43" s="2843"/>
      <c r="BRI43" s="2844"/>
      <c r="BRJ43" s="2845"/>
      <c r="BRK43" s="2842"/>
      <c r="BRL43" s="2842"/>
      <c r="BRM43" s="2843"/>
      <c r="BRN43" s="2843"/>
      <c r="BRO43" s="2844"/>
      <c r="BRP43" s="2845"/>
      <c r="BRQ43" s="2842"/>
      <c r="BRR43" s="2842"/>
      <c r="BRS43" s="2843"/>
      <c r="BRT43" s="2843"/>
      <c r="BRU43" s="2844"/>
      <c r="BRV43" s="2845"/>
      <c r="BRW43" s="2842"/>
      <c r="BRX43" s="2842"/>
      <c r="BRY43" s="2843"/>
      <c r="BRZ43" s="2843"/>
      <c r="BSA43" s="2844"/>
      <c r="BSB43" s="2845"/>
      <c r="BSC43" s="2842"/>
      <c r="BSD43" s="2842"/>
      <c r="BSE43" s="2843"/>
      <c r="BSF43" s="2843"/>
      <c r="BSG43" s="2844"/>
      <c r="BSH43" s="2845"/>
      <c r="BSI43" s="2842"/>
      <c r="BSJ43" s="2842"/>
      <c r="BSK43" s="2843"/>
      <c r="BSL43" s="2843"/>
      <c r="BSM43" s="2844"/>
      <c r="BSN43" s="2845"/>
      <c r="BSO43" s="2842"/>
      <c r="BSP43" s="2842"/>
      <c r="BSQ43" s="2843"/>
      <c r="BSR43" s="2843"/>
      <c r="BSS43" s="2844"/>
      <c r="BST43" s="2845"/>
      <c r="BSU43" s="2842"/>
      <c r="BSV43" s="2842"/>
      <c r="BSW43" s="2843"/>
      <c r="BSX43" s="2843"/>
      <c r="BSY43" s="2844"/>
      <c r="BSZ43" s="2845"/>
      <c r="BTA43" s="2842"/>
      <c r="BTB43" s="2842"/>
      <c r="BTC43" s="2843"/>
      <c r="BTD43" s="2843"/>
      <c r="BTE43" s="2844"/>
      <c r="BTF43" s="2845"/>
      <c r="BTG43" s="2842"/>
      <c r="BTH43" s="2842"/>
      <c r="BTI43" s="2843"/>
      <c r="BTJ43" s="2843"/>
      <c r="BTK43" s="2844"/>
      <c r="BTL43" s="2845"/>
      <c r="BTM43" s="2842"/>
      <c r="BTN43" s="2842"/>
      <c r="BTO43" s="2843"/>
      <c r="BTP43" s="2843"/>
      <c r="BTQ43" s="2844"/>
      <c r="BTR43" s="2845"/>
      <c r="BTS43" s="2842"/>
      <c r="BTT43" s="2842"/>
      <c r="BTU43" s="2843"/>
      <c r="BTV43" s="2843"/>
      <c r="BTW43" s="2844"/>
      <c r="BTX43" s="2845"/>
      <c r="BTY43" s="2842"/>
      <c r="BTZ43" s="2842"/>
      <c r="BUA43" s="2843"/>
      <c r="BUB43" s="2843"/>
      <c r="BUC43" s="2844"/>
      <c r="BUD43" s="2845"/>
      <c r="BUE43" s="2842"/>
      <c r="BUF43" s="2842"/>
      <c r="BUG43" s="2843"/>
      <c r="BUH43" s="2843"/>
      <c r="BUI43" s="2844"/>
      <c r="BUJ43" s="2845"/>
      <c r="BUK43" s="2842"/>
      <c r="BUL43" s="2842"/>
      <c r="BUM43" s="2843"/>
      <c r="BUN43" s="2843"/>
      <c r="BUO43" s="2844"/>
      <c r="BUP43" s="2845"/>
      <c r="BUQ43" s="2842"/>
      <c r="BUR43" s="2842"/>
      <c r="BUS43" s="2843"/>
      <c r="BUT43" s="2843"/>
      <c r="BUU43" s="2844"/>
      <c r="BUV43" s="2845"/>
      <c r="BUW43" s="2842"/>
      <c r="BUX43" s="2842"/>
      <c r="BUY43" s="2843"/>
      <c r="BUZ43" s="2843"/>
      <c r="BVA43" s="2844"/>
      <c r="BVB43" s="2845"/>
      <c r="BVC43" s="2842"/>
      <c r="BVD43" s="2842"/>
      <c r="BVE43" s="2843"/>
      <c r="BVF43" s="2843"/>
      <c r="BVG43" s="2844"/>
      <c r="BVH43" s="2845"/>
      <c r="BVI43" s="2842"/>
      <c r="BVJ43" s="2842"/>
      <c r="BVK43" s="2843"/>
      <c r="BVL43" s="2843"/>
      <c r="BVM43" s="2844"/>
      <c r="BVN43" s="2845"/>
      <c r="BVO43" s="2842"/>
      <c r="BVP43" s="2842"/>
      <c r="BVQ43" s="2843"/>
      <c r="BVR43" s="2843"/>
      <c r="BVS43" s="2844"/>
      <c r="BVT43" s="2845"/>
      <c r="BVU43" s="2842"/>
      <c r="BVV43" s="2842"/>
      <c r="BVW43" s="2843"/>
      <c r="BVX43" s="2843"/>
      <c r="BVY43" s="2844"/>
      <c r="BVZ43" s="2845"/>
      <c r="BWA43" s="2842"/>
      <c r="BWB43" s="2842"/>
      <c r="BWC43" s="2843"/>
      <c r="BWD43" s="2843"/>
      <c r="BWE43" s="2844"/>
      <c r="BWF43" s="2845"/>
      <c r="BWG43" s="2842"/>
      <c r="BWH43" s="2842"/>
      <c r="BWI43" s="2843"/>
      <c r="BWJ43" s="2843"/>
      <c r="BWK43" s="2844"/>
      <c r="BWL43" s="2845"/>
      <c r="BWM43" s="2842"/>
      <c r="BWN43" s="2842"/>
      <c r="BWO43" s="2843"/>
      <c r="BWP43" s="2843"/>
      <c r="BWQ43" s="2844"/>
      <c r="BWR43" s="2845"/>
      <c r="BWS43" s="2842"/>
      <c r="BWT43" s="2842"/>
      <c r="BWU43" s="2843"/>
      <c r="BWV43" s="2843"/>
      <c r="BWW43" s="2844"/>
      <c r="BWX43" s="2845"/>
      <c r="BWY43" s="2842"/>
      <c r="BWZ43" s="2842"/>
      <c r="BXA43" s="2843"/>
      <c r="BXB43" s="2843"/>
      <c r="BXC43" s="2844"/>
      <c r="BXD43" s="2845"/>
      <c r="BXE43" s="2842"/>
      <c r="BXF43" s="2842"/>
      <c r="BXG43" s="2843"/>
      <c r="BXH43" s="2843"/>
      <c r="BXI43" s="2844"/>
      <c r="BXJ43" s="2845"/>
      <c r="BXK43" s="2842"/>
      <c r="BXL43" s="2842"/>
      <c r="BXM43" s="2843"/>
      <c r="BXN43" s="2843"/>
      <c r="BXO43" s="2844"/>
      <c r="BXP43" s="2845"/>
      <c r="BXQ43" s="2842"/>
      <c r="BXR43" s="2842"/>
      <c r="BXS43" s="2843"/>
      <c r="BXT43" s="2843"/>
      <c r="BXU43" s="2844"/>
      <c r="BXV43" s="2845"/>
      <c r="BXW43" s="2842"/>
      <c r="BXX43" s="2842"/>
      <c r="BXY43" s="2843"/>
      <c r="BXZ43" s="2843"/>
      <c r="BYA43" s="2844"/>
      <c r="BYB43" s="2845"/>
      <c r="BYC43" s="2842"/>
      <c r="BYD43" s="2842"/>
      <c r="BYE43" s="2843"/>
      <c r="BYF43" s="2843"/>
      <c r="BYG43" s="2844"/>
      <c r="BYH43" s="2845"/>
      <c r="BYI43" s="2842"/>
      <c r="BYJ43" s="2842"/>
      <c r="BYK43" s="2843"/>
      <c r="BYL43" s="2843"/>
      <c r="BYM43" s="2844"/>
      <c r="BYN43" s="2845"/>
      <c r="BYO43" s="2842"/>
      <c r="BYP43" s="2842"/>
      <c r="BYQ43" s="2843"/>
      <c r="BYR43" s="2843"/>
      <c r="BYS43" s="2844"/>
      <c r="BYT43" s="2845"/>
      <c r="BYU43" s="2842"/>
      <c r="BYV43" s="2842"/>
      <c r="BYW43" s="2843"/>
      <c r="BYX43" s="2843"/>
      <c r="BYY43" s="2844"/>
      <c r="BYZ43" s="2845"/>
      <c r="BZA43" s="2842"/>
      <c r="BZB43" s="2842"/>
      <c r="BZC43" s="2843"/>
      <c r="BZD43" s="2843"/>
      <c r="BZE43" s="2844"/>
      <c r="BZF43" s="2845"/>
      <c r="BZG43" s="2842"/>
      <c r="BZH43" s="2842"/>
      <c r="BZI43" s="2843"/>
      <c r="BZJ43" s="2843"/>
      <c r="BZK43" s="2844"/>
      <c r="BZL43" s="2845"/>
      <c r="BZM43" s="2842"/>
      <c r="BZN43" s="2842"/>
      <c r="BZO43" s="2843"/>
      <c r="BZP43" s="2843"/>
      <c r="BZQ43" s="2844"/>
      <c r="BZR43" s="2845"/>
      <c r="BZS43" s="2842"/>
      <c r="BZT43" s="2842"/>
      <c r="BZU43" s="2843"/>
      <c r="BZV43" s="2843"/>
      <c r="BZW43" s="2844"/>
      <c r="BZX43" s="2845"/>
      <c r="BZY43" s="2842"/>
      <c r="BZZ43" s="2842"/>
      <c r="CAA43" s="2843"/>
      <c r="CAB43" s="2843"/>
      <c r="CAC43" s="2844"/>
      <c r="CAD43" s="2845"/>
      <c r="CAE43" s="2842"/>
      <c r="CAF43" s="2842"/>
      <c r="CAG43" s="2843"/>
      <c r="CAH43" s="2843"/>
      <c r="CAI43" s="2844"/>
      <c r="CAJ43" s="2845"/>
      <c r="CAK43" s="2842"/>
      <c r="CAL43" s="2842"/>
      <c r="CAM43" s="2843"/>
      <c r="CAN43" s="2843"/>
      <c r="CAO43" s="2844"/>
      <c r="CAP43" s="2845"/>
      <c r="CAQ43" s="2842"/>
      <c r="CAR43" s="2842"/>
      <c r="CAS43" s="2843"/>
      <c r="CAT43" s="2843"/>
      <c r="CAU43" s="2844"/>
      <c r="CAV43" s="2845"/>
      <c r="CAW43" s="2842"/>
      <c r="CAX43" s="2842"/>
      <c r="CAY43" s="2843"/>
      <c r="CAZ43" s="2843"/>
      <c r="CBA43" s="2844"/>
      <c r="CBB43" s="2845"/>
      <c r="CBC43" s="2842"/>
      <c r="CBD43" s="2842"/>
      <c r="CBE43" s="2843"/>
      <c r="CBF43" s="2843"/>
      <c r="CBG43" s="2844"/>
      <c r="CBH43" s="2845"/>
      <c r="CBI43" s="2842"/>
      <c r="CBJ43" s="2842"/>
      <c r="CBK43" s="2843"/>
      <c r="CBL43" s="2843"/>
      <c r="CBM43" s="2844"/>
      <c r="CBN43" s="2845"/>
      <c r="CBO43" s="2842"/>
      <c r="CBP43" s="2842"/>
      <c r="CBQ43" s="2843"/>
      <c r="CBR43" s="2843"/>
      <c r="CBS43" s="2844"/>
      <c r="CBT43" s="2845"/>
      <c r="CBU43" s="2842"/>
      <c r="CBV43" s="2842"/>
      <c r="CBW43" s="2843"/>
      <c r="CBX43" s="2843"/>
      <c r="CBY43" s="2844"/>
      <c r="CBZ43" s="2845"/>
      <c r="CCA43" s="2842"/>
      <c r="CCB43" s="2842"/>
      <c r="CCC43" s="2843"/>
      <c r="CCD43" s="2843"/>
      <c r="CCE43" s="2844"/>
      <c r="CCF43" s="2845"/>
      <c r="CCG43" s="2842"/>
      <c r="CCH43" s="2842"/>
      <c r="CCI43" s="2843"/>
      <c r="CCJ43" s="2843"/>
      <c r="CCK43" s="2844"/>
      <c r="CCL43" s="2845"/>
      <c r="CCM43" s="2842"/>
      <c r="CCN43" s="2842"/>
      <c r="CCO43" s="2843"/>
      <c r="CCP43" s="2843"/>
      <c r="CCQ43" s="2844"/>
      <c r="CCR43" s="2845"/>
      <c r="CCS43" s="2842"/>
      <c r="CCT43" s="2842"/>
      <c r="CCU43" s="2843"/>
      <c r="CCV43" s="2843"/>
      <c r="CCW43" s="2844"/>
      <c r="CCX43" s="2845"/>
      <c r="CCY43" s="2842"/>
      <c r="CCZ43" s="2842"/>
      <c r="CDA43" s="2843"/>
      <c r="CDB43" s="2843"/>
      <c r="CDC43" s="2844"/>
      <c r="CDD43" s="2845"/>
      <c r="CDE43" s="2842"/>
      <c r="CDF43" s="2842"/>
      <c r="CDG43" s="2843"/>
      <c r="CDH43" s="2843"/>
      <c r="CDI43" s="2844"/>
      <c r="CDJ43" s="2845"/>
      <c r="CDK43" s="2842"/>
      <c r="CDL43" s="2842"/>
      <c r="CDM43" s="2843"/>
      <c r="CDN43" s="2843"/>
      <c r="CDO43" s="2844"/>
      <c r="CDP43" s="2845"/>
      <c r="CDQ43" s="2842"/>
      <c r="CDR43" s="2842"/>
      <c r="CDS43" s="2843"/>
      <c r="CDT43" s="2843"/>
      <c r="CDU43" s="2844"/>
      <c r="CDV43" s="2845"/>
      <c r="CDW43" s="2842"/>
      <c r="CDX43" s="2842"/>
      <c r="CDY43" s="2843"/>
      <c r="CDZ43" s="2843"/>
      <c r="CEA43" s="2844"/>
      <c r="CEB43" s="2845"/>
      <c r="CEC43" s="2842"/>
      <c r="CED43" s="2842"/>
      <c r="CEE43" s="2843"/>
      <c r="CEF43" s="2843"/>
      <c r="CEG43" s="2844"/>
      <c r="CEH43" s="2845"/>
      <c r="CEI43" s="2842"/>
      <c r="CEJ43" s="2842"/>
      <c r="CEK43" s="2843"/>
      <c r="CEL43" s="2843"/>
      <c r="CEM43" s="2844"/>
      <c r="CEN43" s="2845"/>
      <c r="CEO43" s="2842"/>
      <c r="CEP43" s="2842"/>
      <c r="CEQ43" s="2843"/>
      <c r="CER43" s="2843"/>
      <c r="CES43" s="2844"/>
      <c r="CET43" s="2845"/>
      <c r="CEU43" s="2842"/>
      <c r="CEV43" s="2842"/>
      <c r="CEW43" s="2843"/>
      <c r="CEX43" s="2843"/>
      <c r="CEY43" s="2844"/>
      <c r="CEZ43" s="2845"/>
      <c r="CFA43" s="2842"/>
      <c r="CFB43" s="2842"/>
      <c r="CFC43" s="2843"/>
      <c r="CFD43" s="2843"/>
      <c r="CFE43" s="2844"/>
      <c r="CFF43" s="2845"/>
      <c r="CFG43" s="2842"/>
      <c r="CFH43" s="2842"/>
      <c r="CFI43" s="2843"/>
      <c r="CFJ43" s="2843"/>
      <c r="CFK43" s="2844"/>
      <c r="CFL43" s="2845"/>
      <c r="CFM43" s="2842"/>
      <c r="CFN43" s="2842"/>
      <c r="CFO43" s="2843"/>
      <c r="CFP43" s="2843"/>
      <c r="CFQ43" s="2844"/>
      <c r="CFR43" s="2845"/>
      <c r="CFS43" s="2842"/>
      <c r="CFT43" s="2842"/>
      <c r="CFU43" s="2843"/>
      <c r="CFV43" s="2843"/>
      <c r="CFW43" s="2844"/>
      <c r="CFX43" s="2845"/>
      <c r="CFY43" s="2842"/>
      <c r="CFZ43" s="2842"/>
      <c r="CGA43" s="2843"/>
      <c r="CGB43" s="2843"/>
      <c r="CGC43" s="2844"/>
      <c r="CGD43" s="2845"/>
      <c r="CGE43" s="2842"/>
      <c r="CGF43" s="2842"/>
      <c r="CGG43" s="2843"/>
      <c r="CGH43" s="2843"/>
      <c r="CGI43" s="2844"/>
      <c r="CGJ43" s="2845"/>
      <c r="CGK43" s="2842"/>
      <c r="CGL43" s="2842"/>
      <c r="CGM43" s="2843"/>
      <c r="CGN43" s="2843"/>
      <c r="CGO43" s="2844"/>
      <c r="CGP43" s="2845"/>
      <c r="CGQ43" s="2842"/>
      <c r="CGR43" s="2842"/>
      <c r="CGS43" s="2843"/>
      <c r="CGT43" s="2843"/>
      <c r="CGU43" s="2844"/>
      <c r="CGV43" s="2845"/>
      <c r="CGW43" s="2842"/>
      <c r="CGX43" s="2842"/>
      <c r="CGY43" s="2843"/>
      <c r="CGZ43" s="2843"/>
      <c r="CHA43" s="2844"/>
      <c r="CHB43" s="2845"/>
      <c r="CHC43" s="2842"/>
      <c r="CHD43" s="2842"/>
      <c r="CHE43" s="2843"/>
      <c r="CHF43" s="2843"/>
      <c r="CHG43" s="2844"/>
      <c r="CHH43" s="2845"/>
      <c r="CHI43" s="2842"/>
      <c r="CHJ43" s="2842"/>
      <c r="CHK43" s="2843"/>
      <c r="CHL43" s="2843"/>
      <c r="CHM43" s="2844"/>
      <c r="CHN43" s="2845"/>
      <c r="CHO43" s="2842"/>
      <c r="CHP43" s="2842"/>
      <c r="CHQ43" s="2843"/>
      <c r="CHR43" s="2843"/>
      <c r="CHS43" s="2844"/>
      <c r="CHT43" s="2845"/>
      <c r="CHU43" s="2842"/>
      <c r="CHV43" s="2842"/>
      <c r="CHW43" s="2843"/>
      <c r="CHX43" s="2843"/>
      <c r="CHY43" s="2844"/>
      <c r="CHZ43" s="2845"/>
      <c r="CIA43" s="2842"/>
      <c r="CIB43" s="2842"/>
      <c r="CIC43" s="2843"/>
      <c r="CID43" s="2843"/>
      <c r="CIE43" s="2844"/>
      <c r="CIF43" s="2845"/>
      <c r="CIG43" s="2842"/>
      <c r="CIH43" s="2842"/>
      <c r="CII43" s="2843"/>
      <c r="CIJ43" s="2843"/>
      <c r="CIK43" s="2844"/>
      <c r="CIL43" s="2845"/>
      <c r="CIM43" s="2842"/>
      <c r="CIN43" s="2842"/>
      <c r="CIO43" s="2843"/>
      <c r="CIP43" s="2843"/>
      <c r="CIQ43" s="2844"/>
      <c r="CIR43" s="2845"/>
      <c r="CIS43" s="2842"/>
      <c r="CIT43" s="2842"/>
      <c r="CIU43" s="2843"/>
      <c r="CIV43" s="2843"/>
      <c r="CIW43" s="2844"/>
      <c r="CIX43" s="2845"/>
      <c r="CIY43" s="2842"/>
      <c r="CIZ43" s="2842"/>
      <c r="CJA43" s="2843"/>
      <c r="CJB43" s="2843"/>
      <c r="CJC43" s="2844"/>
      <c r="CJD43" s="2845"/>
      <c r="CJE43" s="2842"/>
      <c r="CJF43" s="2842"/>
      <c r="CJG43" s="2843"/>
      <c r="CJH43" s="2843"/>
      <c r="CJI43" s="2844"/>
      <c r="CJJ43" s="2845"/>
      <c r="CJK43" s="2842"/>
      <c r="CJL43" s="2842"/>
      <c r="CJM43" s="2843"/>
      <c r="CJN43" s="2843"/>
      <c r="CJO43" s="2844"/>
      <c r="CJP43" s="2845"/>
      <c r="CJQ43" s="2842"/>
      <c r="CJR43" s="2842"/>
      <c r="CJS43" s="2843"/>
      <c r="CJT43" s="2843"/>
      <c r="CJU43" s="2844"/>
      <c r="CJV43" s="2845"/>
      <c r="CJW43" s="2842"/>
      <c r="CJX43" s="2842"/>
      <c r="CJY43" s="2843"/>
      <c r="CJZ43" s="2843"/>
      <c r="CKA43" s="2844"/>
      <c r="CKB43" s="2845"/>
      <c r="CKC43" s="2842"/>
      <c r="CKD43" s="2842"/>
      <c r="CKE43" s="2843"/>
      <c r="CKF43" s="2843"/>
      <c r="CKG43" s="2844"/>
      <c r="CKH43" s="2845"/>
      <c r="CKI43" s="2842"/>
      <c r="CKJ43" s="2842"/>
      <c r="CKK43" s="2843"/>
      <c r="CKL43" s="2843"/>
      <c r="CKM43" s="2844"/>
      <c r="CKN43" s="2845"/>
      <c r="CKO43" s="2842"/>
      <c r="CKP43" s="2842"/>
      <c r="CKQ43" s="2843"/>
      <c r="CKR43" s="2843"/>
      <c r="CKS43" s="2844"/>
      <c r="CKT43" s="2845"/>
      <c r="CKU43" s="2842"/>
      <c r="CKV43" s="2842"/>
      <c r="CKW43" s="2843"/>
      <c r="CKX43" s="2843"/>
      <c r="CKY43" s="2844"/>
      <c r="CKZ43" s="2845"/>
      <c r="CLA43" s="2842"/>
      <c r="CLB43" s="2842"/>
      <c r="CLC43" s="2843"/>
      <c r="CLD43" s="2843"/>
      <c r="CLE43" s="2844"/>
      <c r="CLF43" s="2845"/>
      <c r="CLG43" s="2842"/>
      <c r="CLH43" s="2842"/>
      <c r="CLI43" s="2843"/>
      <c r="CLJ43" s="2843"/>
      <c r="CLK43" s="2844"/>
      <c r="CLL43" s="2845"/>
      <c r="CLM43" s="2842"/>
      <c r="CLN43" s="2842"/>
      <c r="CLO43" s="2843"/>
      <c r="CLP43" s="2843"/>
      <c r="CLQ43" s="2844"/>
      <c r="CLR43" s="2845"/>
      <c r="CLS43" s="2842"/>
      <c r="CLT43" s="2842"/>
      <c r="CLU43" s="2843"/>
      <c r="CLV43" s="2843"/>
      <c r="CLW43" s="2844"/>
      <c r="CLX43" s="2845"/>
      <c r="CLY43" s="2842"/>
      <c r="CLZ43" s="2842"/>
      <c r="CMA43" s="2843"/>
      <c r="CMB43" s="2843"/>
      <c r="CMC43" s="2844"/>
      <c r="CMD43" s="2845"/>
      <c r="CME43" s="2842"/>
      <c r="CMF43" s="2842"/>
      <c r="CMG43" s="2843"/>
      <c r="CMH43" s="2843"/>
      <c r="CMI43" s="2844"/>
      <c r="CMJ43" s="2845"/>
      <c r="CMK43" s="2842"/>
      <c r="CML43" s="2842"/>
      <c r="CMM43" s="2843"/>
      <c r="CMN43" s="2843"/>
      <c r="CMO43" s="2844"/>
      <c r="CMP43" s="2845"/>
      <c r="CMQ43" s="2842"/>
      <c r="CMR43" s="2842"/>
      <c r="CMS43" s="2843"/>
      <c r="CMT43" s="2843"/>
      <c r="CMU43" s="2844"/>
      <c r="CMV43" s="2845"/>
      <c r="CMW43" s="2842"/>
      <c r="CMX43" s="2842"/>
      <c r="CMY43" s="2843"/>
      <c r="CMZ43" s="2843"/>
      <c r="CNA43" s="2844"/>
      <c r="CNB43" s="2845"/>
      <c r="CNC43" s="2842"/>
      <c r="CND43" s="2842"/>
      <c r="CNE43" s="2843"/>
      <c r="CNF43" s="2843"/>
      <c r="CNG43" s="2844"/>
      <c r="CNH43" s="2845"/>
      <c r="CNI43" s="2842"/>
      <c r="CNJ43" s="2842"/>
      <c r="CNK43" s="2843"/>
      <c r="CNL43" s="2843"/>
      <c r="CNM43" s="2844"/>
      <c r="CNN43" s="2845"/>
      <c r="CNO43" s="2842"/>
      <c r="CNP43" s="2842"/>
      <c r="CNQ43" s="2843"/>
      <c r="CNR43" s="2843"/>
      <c r="CNS43" s="2844"/>
      <c r="CNT43" s="2845"/>
      <c r="CNU43" s="2842"/>
      <c r="CNV43" s="2842"/>
      <c r="CNW43" s="2843"/>
      <c r="CNX43" s="2843"/>
      <c r="CNY43" s="2844"/>
      <c r="CNZ43" s="2845"/>
      <c r="COA43" s="2842"/>
      <c r="COB43" s="2842"/>
      <c r="COC43" s="2843"/>
      <c r="COD43" s="2843"/>
      <c r="COE43" s="2844"/>
      <c r="COF43" s="2845"/>
      <c r="COG43" s="2842"/>
      <c r="COH43" s="2842"/>
      <c r="COI43" s="2843"/>
      <c r="COJ43" s="2843"/>
      <c r="COK43" s="2844"/>
      <c r="COL43" s="2845"/>
      <c r="COM43" s="2842"/>
      <c r="CON43" s="2842"/>
      <c r="COO43" s="2843"/>
      <c r="COP43" s="2843"/>
      <c r="COQ43" s="2844"/>
      <c r="COR43" s="2845"/>
      <c r="COS43" s="2842"/>
      <c r="COT43" s="2842"/>
      <c r="COU43" s="2843"/>
      <c r="COV43" s="2843"/>
      <c r="COW43" s="2844"/>
      <c r="COX43" s="2845"/>
      <c r="COY43" s="2842"/>
      <c r="COZ43" s="2842"/>
      <c r="CPA43" s="2843"/>
      <c r="CPB43" s="2843"/>
      <c r="CPC43" s="2844"/>
      <c r="CPD43" s="2845"/>
      <c r="CPE43" s="2842"/>
      <c r="CPF43" s="2842"/>
      <c r="CPG43" s="2843"/>
      <c r="CPH43" s="2843"/>
      <c r="CPI43" s="2844"/>
      <c r="CPJ43" s="2845"/>
      <c r="CPK43" s="2842"/>
      <c r="CPL43" s="2842"/>
      <c r="CPM43" s="2843"/>
      <c r="CPN43" s="2843"/>
      <c r="CPO43" s="2844"/>
      <c r="CPP43" s="2845"/>
      <c r="CPQ43" s="2842"/>
      <c r="CPR43" s="2842"/>
      <c r="CPS43" s="2843"/>
      <c r="CPT43" s="2843"/>
      <c r="CPU43" s="2844"/>
      <c r="CPV43" s="2845"/>
      <c r="CPW43" s="2842"/>
      <c r="CPX43" s="2842"/>
      <c r="CPY43" s="2843"/>
      <c r="CPZ43" s="2843"/>
      <c r="CQA43" s="2844"/>
      <c r="CQB43" s="2845"/>
      <c r="CQC43" s="2842"/>
      <c r="CQD43" s="2842"/>
      <c r="CQE43" s="2843"/>
      <c r="CQF43" s="2843"/>
      <c r="CQG43" s="2844"/>
      <c r="CQH43" s="2845"/>
      <c r="CQI43" s="2842"/>
      <c r="CQJ43" s="2842"/>
      <c r="CQK43" s="2843"/>
      <c r="CQL43" s="2843"/>
      <c r="CQM43" s="2844"/>
      <c r="CQN43" s="2845"/>
      <c r="CQO43" s="2842"/>
      <c r="CQP43" s="2842"/>
      <c r="CQQ43" s="2843"/>
      <c r="CQR43" s="2843"/>
      <c r="CQS43" s="2844"/>
      <c r="CQT43" s="2845"/>
      <c r="CQU43" s="2842"/>
      <c r="CQV43" s="2842"/>
      <c r="CQW43" s="2843"/>
      <c r="CQX43" s="2843"/>
      <c r="CQY43" s="2844"/>
      <c r="CQZ43" s="2845"/>
      <c r="CRA43" s="2842"/>
      <c r="CRB43" s="2842"/>
      <c r="CRC43" s="2843"/>
      <c r="CRD43" s="2843"/>
      <c r="CRE43" s="2844"/>
      <c r="CRF43" s="2845"/>
      <c r="CRG43" s="2842"/>
      <c r="CRH43" s="2842"/>
      <c r="CRI43" s="2843"/>
      <c r="CRJ43" s="2843"/>
      <c r="CRK43" s="2844"/>
      <c r="CRL43" s="2845"/>
      <c r="CRM43" s="2842"/>
      <c r="CRN43" s="2842"/>
      <c r="CRO43" s="2843"/>
      <c r="CRP43" s="2843"/>
      <c r="CRQ43" s="2844"/>
      <c r="CRR43" s="2845"/>
      <c r="CRS43" s="2842"/>
      <c r="CRT43" s="2842"/>
      <c r="CRU43" s="2843"/>
      <c r="CRV43" s="2843"/>
      <c r="CRW43" s="2844"/>
      <c r="CRX43" s="2845"/>
      <c r="CRY43" s="2842"/>
      <c r="CRZ43" s="2842"/>
      <c r="CSA43" s="2843"/>
      <c r="CSB43" s="2843"/>
      <c r="CSC43" s="2844"/>
      <c r="CSD43" s="2845"/>
      <c r="CSE43" s="2842"/>
      <c r="CSF43" s="2842"/>
      <c r="CSG43" s="2843"/>
      <c r="CSH43" s="2843"/>
      <c r="CSI43" s="2844"/>
      <c r="CSJ43" s="2845"/>
      <c r="CSK43" s="2842"/>
      <c r="CSL43" s="2842"/>
      <c r="CSM43" s="2843"/>
      <c r="CSN43" s="2843"/>
      <c r="CSO43" s="2844"/>
      <c r="CSP43" s="2845"/>
      <c r="CSQ43" s="2842"/>
      <c r="CSR43" s="2842"/>
      <c r="CSS43" s="2843"/>
      <c r="CST43" s="2843"/>
      <c r="CSU43" s="2844"/>
      <c r="CSV43" s="2845"/>
      <c r="CSW43" s="2842"/>
      <c r="CSX43" s="2842"/>
      <c r="CSY43" s="2843"/>
      <c r="CSZ43" s="2843"/>
      <c r="CTA43" s="2844"/>
      <c r="CTB43" s="2845"/>
      <c r="CTC43" s="2842"/>
      <c r="CTD43" s="2842"/>
      <c r="CTE43" s="2843"/>
      <c r="CTF43" s="2843"/>
      <c r="CTG43" s="2844"/>
      <c r="CTH43" s="2845"/>
      <c r="CTI43" s="2842"/>
      <c r="CTJ43" s="2842"/>
      <c r="CTK43" s="2843"/>
      <c r="CTL43" s="2843"/>
      <c r="CTM43" s="2844"/>
      <c r="CTN43" s="2845"/>
      <c r="CTO43" s="2842"/>
      <c r="CTP43" s="2842"/>
      <c r="CTQ43" s="2843"/>
      <c r="CTR43" s="2843"/>
      <c r="CTS43" s="2844"/>
      <c r="CTT43" s="2845"/>
      <c r="CTU43" s="2842"/>
      <c r="CTV43" s="2842"/>
      <c r="CTW43" s="2843"/>
      <c r="CTX43" s="2843"/>
      <c r="CTY43" s="2844"/>
      <c r="CTZ43" s="2845"/>
      <c r="CUA43" s="2842"/>
      <c r="CUB43" s="2842"/>
      <c r="CUC43" s="2843"/>
      <c r="CUD43" s="2843"/>
      <c r="CUE43" s="2844"/>
      <c r="CUF43" s="2845"/>
      <c r="CUG43" s="2842"/>
      <c r="CUH43" s="2842"/>
      <c r="CUI43" s="2843"/>
      <c r="CUJ43" s="2843"/>
      <c r="CUK43" s="2844"/>
      <c r="CUL43" s="2845"/>
      <c r="CUM43" s="2842"/>
      <c r="CUN43" s="2842"/>
      <c r="CUO43" s="2843"/>
      <c r="CUP43" s="2843"/>
      <c r="CUQ43" s="2844"/>
      <c r="CUR43" s="2845"/>
      <c r="CUS43" s="2842"/>
      <c r="CUT43" s="2842"/>
      <c r="CUU43" s="2843"/>
      <c r="CUV43" s="2843"/>
      <c r="CUW43" s="2844"/>
      <c r="CUX43" s="2845"/>
      <c r="CUY43" s="2842"/>
      <c r="CUZ43" s="2842"/>
      <c r="CVA43" s="2843"/>
      <c r="CVB43" s="2843"/>
      <c r="CVC43" s="2844"/>
      <c r="CVD43" s="2845"/>
      <c r="CVE43" s="2842"/>
      <c r="CVF43" s="2842"/>
      <c r="CVG43" s="2843"/>
      <c r="CVH43" s="2843"/>
      <c r="CVI43" s="2844"/>
      <c r="CVJ43" s="2845"/>
      <c r="CVK43" s="2842"/>
      <c r="CVL43" s="2842"/>
      <c r="CVM43" s="2843"/>
      <c r="CVN43" s="2843"/>
      <c r="CVO43" s="2844"/>
      <c r="CVP43" s="2845"/>
      <c r="CVQ43" s="2842"/>
      <c r="CVR43" s="2842"/>
      <c r="CVS43" s="2843"/>
      <c r="CVT43" s="2843"/>
      <c r="CVU43" s="2844"/>
      <c r="CVV43" s="2845"/>
      <c r="CVW43" s="2842"/>
      <c r="CVX43" s="2842"/>
      <c r="CVY43" s="2843"/>
      <c r="CVZ43" s="2843"/>
      <c r="CWA43" s="2844"/>
      <c r="CWB43" s="2845"/>
      <c r="CWC43" s="2842"/>
      <c r="CWD43" s="2842"/>
      <c r="CWE43" s="2843"/>
      <c r="CWF43" s="2843"/>
      <c r="CWG43" s="2844"/>
      <c r="CWH43" s="2845"/>
      <c r="CWI43" s="2842"/>
      <c r="CWJ43" s="2842"/>
      <c r="CWK43" s="2843"/>
      <c r="CWL43" s="2843"/>
      <c r="CWM43" s="2844"/>
      <c r="CWN43" s="2845"/>
      <c r="CWO43" s="2842"/>
      <c r="CWP43" s="2842"/>
      <c r="CWQ43" s="2843"/>
      <c r="CWR43" s="2843"/>
      <c r="CWS43" s="2844"/>
      <c r="CWT43" s="2845"/>
      <c r="CWU43" s="2842"/>
      <c r="CWV43" s="2842"/>
      <c r="CWW43" s="2843"/>
      <c r="CWX43" s="2843"/>
      <c r="CWY43" s="2844"/>
      <c r="CWZ43" s="2845"/>
      <c r="CXA43" s="2842"/>
      <c r="CXB43" s="2842"/>
      <c r="CXC43" s="2843"/>
      <c r="CXD43" s="2843"/>
      <c r="CXE43" s="2844"/>
      <c r="CXF43" s="2845"/>
      <c r="CXG43" s="2842"/>
      <c r="CXH43" s="2842"/>
      <c r="CXI43" s="2843"/>
      <c r="CXJ43" s="2843"/>
      <c r="CXK43" s="2844"/>
      <c r="CXL43" s="2845"/>
      <c r="CXM43" s="2842"/>
      <c r="CXN43" s="2842"/>
      <c r="CXO43" s="2843"/>
      <c r="CXP43" s="2843"/>
      <c r="CXQ43" s="2844"/>
      <c r="CXR43" s="2845"/>
      <c r="CXS43" s="2842"/>
      <c r="CXT43" s="2842"/>
      <c r="CXU43" s="2843"/>
      <c r="CXV43" s="2843"/>
      <c r="CXW43" s="2844"/>
      <c r="CXX43" s="2845"/>
      <c r="CXY43" s="2842"/>
      <c r="CXZ43" s="2842"/>
      <c r="CYA43" s="2843"/>
      <c r="CYB43" s="2843"/>
      <c r="CYC43" s="2844"/>
      <c r="CYD43" s="2845"/>
      <c r="CYE43" s="2842"/>
      <c r="CYF43" s="2842"/>
      <c r="CYG43" s="2843"/>
      <c r="CYH43" s="2843"/>
      <c r="CYI43" s="2844"/>
      <c r="CYJ43" s="2845"/>
      <c r="CYK43" s="2842"/>
      <c r="CYL43" s="2842"/>
      <c r="CYM43" s="2843"/>
      <c r="CYN43" s="2843"/>
      <c r="CYO43" s="2844"/>
      <c r="CYP43" s="2845"/>
      <c r="CYQ43" s="2842"/>
      <c r="CYR43" s="2842"/>
      <c r="CYS43" s="2843"/>
      <c r="CYT43" s="2843"/>
      <c r="CYU43" s="2844"/>
      <c r="CYV43" s="2845"/>
      <c r="CYW43" s="2842"/>
      <c r="CYX43" s="2842"/>
      <c r="CYY43" s="2843"/>
      <c r="CYZ43" s="2843"/>
      <c r="CZA43" s="2844"/>
      <c r="CZB43" s="2845"/>
      <c r="CZC43" s="2842"/>
      <c r="CZD43" s="2842"/>
      <c r="CZE43" s="2843"/>
      <c r="CZF43" s="2843"/>
      <c r="CZG43" s="2844"/>
      <c r="CZH43" s="2845"/>
      <c r="CZI43" s="2842"/>
      <c r="CZJ43" s="2842"/>
      <c r="CZK43" s="2843"/>
      <c r="CZL43" s="2843"/>
      <c r="CZM43" s="2844"/>
      <c r="CZN43" s="2845"/>
      <c r="CZO43" s="2842"/>
      <c r="CZP43" s="2842"/>
      <c r="CZQ43" s="2843"/>
      <c r="CZR43" s="2843"/>
      <c r="CZS43" s="2844"/>
      <c r="CZT43" s="2845"/>
      <c r="CZU43" s="2842"/>
      <c r="CZV43" s="2842"/>
      <c r="CZW43" s="2843"/>
      <c r="CZX43" s="2843"/>
      <c r="CZY43" s="2844"/>
      <c r="CZZ43" s="2845"/>
      <c r="DAA43" s="2842"/>
      <c r="DAB43" s="2842"/>
      <c r="DAC43" s="2843"/>
      <c r="DAD43" s="2843"/>
      <c r="DAE43" s="2844"/>
      <c r="DAF43" s="2845"/>
      <c r="DAG43" s="2842"/>
      <c r="DAH43" s="2842"/>
      <c r="DAI43" s="2843"/>
      <c r="DAJ43" s="2843"/>
      <c r="DAK43" s="2844"/>
      <c r="DAL43" s="2845"/>
      <c r="DAM43" s="2842"/>
      <c r="DAN43" s="2842"/>
      <c r="DAO43" s="2843"/>
      <c r="DAP43" s="2843"/>
      <c r="DAQ43" s="2844"/>
      <c r="DAR43" s="2845"/>
      <c r="DAS43" s="2842"/>
      <c r="DAT43" s="2842"/>
      <c r="DAU43" s="2843"/>
      <c r="DAV43" s="2843"/>
      <c r="DAW43" s="2844"/>
      <c r="DAX43" s="2845"/>
      <c r="DAY43" s="2842"/>
      <c r="DAZ43" s="2842"/>
      <c r="DBA43" s="2843"/>
      <c r="DBB43" s="2843"/>
      <c r="DBC43" s="2844"/>
      <c r="DBD43" s="2845"/>
      <c r="DBE43" s="2842"/>
      <c r="DBF43" s="2842"/>
      <c r="DBG43" s="2843"/>
      <c r="DBH43" s="2843"/>
      <c r="DBI43" s="2844"/>
      <c r="DBJ43" s="2845"/>
      <c r="DBK43" s="2842"/>
      <c r="DBL43" s="2842"/>
      <c r="DBM43" s="2843"/>
      <c r="DBN43" s="2843"/>
      <c r="DBO43" s="2844"/>
      <c r="DBP43" s="2845"/>
      <c r="DBQ43" s="2842"/>
      <c r="DBR43" s="2842"/>
      <c r="DBS43" s="2843"/>
      <c r="DBT43" s="2843"/>
      <c r="DBU43" s="2844"/>
      <c r="DBV43" s="2845"/>
      <c r="DBW43" s="2842"/>
      <c r="DBX43" s="2842"/>
      <c r="DBY43" s="2843"/>
      <c r="DBZ43" s="2843"/>
      <c r="DCA43" s="2844"/>
      <c r="DCB43" s="2845"/>
      <c r="DCC43" s="2842"/>
      <c r="DCD43" s="2842"/>
      <c r="DCE43" s="2843"/>
      <c r="DCF43" s="2843"/>
      <c r="DCG43" s="2844"/>
      <c r="DCH43" s="2845"/>
      <c r="DCI43" s="2842"/>
      <c r="DCJ43" s="2842"/>
      <c r="DCK43" s="2843"/>
      <c r="DCL43" s="2843"/>
      <c r="DCM43" s="2844"/>
      <c r="DCN43" s="2845"/>
      <c r="DCO43" s="2842"/>
      <c r="DCP43" s="2842"/>
      <c r="DCQ43" s="2843"/>
      <c r="DCR43" s="2843"/>
      <c r="DCS43" s="2844"/>
      <c r="DCT43" s="2845"/>
      <c r="DCU43" s="2842"/>
      <c r="DCV43" s="2842"/>
      <c r="DCW43" s="2843"/>
      <c r="DCX43" s="2843"/>
      <c r="DCY43" s="2844"/>
      <c r="DCZ43" s="2845"/>
      <c r="DDA43" s="2842"/>
      <c r="DDB43" s="2842"/>
      <c r="DDC43" s="2843"/>
      <c r="DDD43" s="2843"/>
      <c r="DDE43" s="2844"/>
      <c r="DDF43" s="2845"/>
      <c r="DDG43" s="2842"/>
      <c r="DDH43" s="2842"/>
      <c r="DDI43" s="2843"/>
      <c r="DDJ43" s="2843"/>
      <c r="DDK43" s="2844"/>
      <c r="DDL43" s="2845"/>
      <c r="DDM43" s="2842"/>
      <c r="DDN43" s="2842"/>
      <c r="DDO43" s="2843"/>
      <c r="DDP43" s="2843"/>
      <c r="DDQ43" s="2844"/>
      <c r="DDR43" s="2845"/>
      <c r="DDS43" s="2842"/>
      <c r="DDT43" s="2842"/>
      <c r="DDU43" s="2843"/>
      <c r="DDV43" s="2843"/>
      <c r="DDW43" s="2844"/>
      <c r="DDX43" s="2845"/>
      <c r="DDY43" s="2842"/>
      <c r="DDZ43" s="2842"/>
      <c r="DEA43" s="2843"/>
      <c r="DEB43" s="2843"/>
      <c r="DEC43" s="2844"/>
      <c r="DED43" s="2845"/>
      <c r="DEE43" s="2842"/>
      <c r="DEF43" s="2842"/>
      <c r="DEG43" s="2843"/>
      <c r="DEH43" s="2843"/>
      <c r="DEI43" s="2844"/>
      <c r="DEJ43" s="2845"/>
      <c r="DEK43" s="2842"/>
      <c r="DEL43" s="2842"/>
      <c r="DEM43" s="2843"/>
      <c r="DEN43" s="2843"/>
      <c r="DEO43" s="2844"/>
      <c r="DEP43" s="2845"/>
      <c r="DEQ43" s="2842"/>
      <c r="DER43" s="2842"/>
      <c r="DES43" s="2843"/>
      <c r="DET43" s="2843"/>
      <c r="DEU43" s="2844"/>
      <c r="DEV43" s="2845"/>
      <c r="DEW43" s="2842"/>
      <c r="DEX43" s="2842"/>
      <c r="DEY43" s="2843"/>
      <c r="DEZ43" s="2843"/>
      <c r="DFA43" s="2844"/>
      <c r="DFB43" s="2845"/>
      <c r="DFC43" s="2842"/>
      <c r="DFD43" s="2842"/>
      <c r="DFE43" s="2843"/>
      <c r="DFF43" s="2843"/>
      <c r="DFG43" s="2844"/>
      <c r="DFH43" s="2845"/>
      <c r="DFI43" s="2842"/>
      <c r="DFJ43" s="2842"/>
      <c r="DFK43" s="2843"/>
      <c r="DFL43" s="2843"/>
      <c r="DFM43" s="2844"/>
      <c r="DFN43" s="2845"/>
      <c r="DFO43" s="2842"/>
      <c r="DFP43" s="2842"/>
      <c r="DFQ43" s="2843"/>
      <c r="DFR43" s="2843"/>
      <c r="DFS43" s="2844"/>
      <c r="DFT43" s="2845"/>
      <c r="DFU43" s="2842"/>
      <c r="DFV43" s="2842"/>
      <c r="DFW43" s="2843"/>
      <c r="DFX43" s="2843"/>
      <c r="DFY43" s="2844"/>
      <c r="DFZ43" s="2845"/>
      <c r="DGA43" s="2842"/>
      <c r="DGB43" s="2842"/>
      <c r="DGC43" s="2843"/>
      <c r="DGD43" s="2843"/>
      <c r="DGE43" s="2844"/>
      <c r="DGF43" s="2845"/>
      <c r="DGG43" s="2842"/>
      <c r="DGH43" s="2842"/>
      <c r="DGI43" s="2843"/>
      <c r="DGJ43" s="2843"/>
      <c r="DGK43" s="2844"/>
      <c r="DGL43" s="2845"/>
      <c r="DGM43" s="2842"/>
      <c r="DGN43" s="2842"/>
      <c r="DGO43" s="2843"/>
      <c r="DGP43" s="2843"/>
      <c r="DGQ43" s="2844"/>
      <c r="DGR43" s="2845"/>
      <c r="DGS43" s="2842"/>
      <c r="DGT43" s="2842"/>
      <c r="DGU43" s="2843"/>
      <c r="DGV43" s="2843"/>
      <c r="DGW43" s="2844"/>
      <c r="DGX43" s="2845"/>
      <c r="DGY43" s="2842"/>
      <c r="DGZ43" s="2842"/>
      <c r="DHA43" s="2843"/>
      <c r="DHB43" s="2843"/>
      <c r="DHC43" s="2844"/>
      <c r="DHD43" s="2845"/>
      <c r="DHE43" s="2842"/>
      <c r="DHF43" s="2842"/>
      <c r="DHG43" s="2843"/>
      <c r="DHH43" s="2843"/>
      <c r="DHI43" s="2844"/>
      <c r="DHJ43" s="2845"/>
      <c r="DHK43" s="2842"/>
      <c r="DHL43" s="2842"/>
      <c r="DHM43" s="2843"/>
      <c r="DHN43" s="2843"/>
      <c r="DHO43" s="2844"/>
      <c r="DHP43" s="2845"/>
      <c r="DHQ43" s="2842"/>
      <c r="DHR43" s="2842"/>
      <c r="DHS43" s="2843"/>
      <c r="DHT43" s="2843"/>
      <c r="DHU43" s="2844"/>
      <c r="DHV43" s="2845"/>
      <c r="DHW43" s="2842"/>
      <c r="DHX43" s="2842"/>
      <c r="DHY43" s="2843"/>
      <c r="DHZ43" s="2843"/>
      <c r="DIA43" s="2844"/>
      <c r="DIB43" s="2845"/>
      <c r="DIC43" s="2842"/>
      <c r="DID43" s="2842"/>
      <c r="DIE43" s="2843"/>
      <c r="DIF43" s="2843"/>
      <c r="DIG43" s="2844"/>
      <c r="DIH43" s="2845"/>
      <c r="DII43" s="2842"/>
      <c r="DIJ43" s="2842"/>
      <c r="DIK43" s="2843"/>
      <c r="DIL43" s="2843"/>
      <c r="DIM43" s="2844"/>
      <c r="DIN43" s="2845"/>
      <c r="DIO43" s="2842"/>
      <c r="DIP43" s="2842"/>
      <c r="DIQ43" s="2843"/>
      <c r="DIR43" s="2843"/>
      <c r="DIS43" s="2844"/>
      <c r="DIT43" s="2845"/>
      <c r="DIU43" s="2842"/>
      <c r="DIV43" s="2842"/>
      <c r="DIW43" s="2843"/>
      <c r="DIX43" s="2843"/>
      <c r="DIY43" s="2844"/>
      <c r="DIZ43" s="2845"/>
      <c r="DJA43" s="2842"/>
      <c r="DJB43" s="2842"/>
      <c r="DJC43" s="2843"/>
      <c r="DJD43" s="2843"/>
      <c r="DJE43" s="2844"/>
      <c r="DJF43" s="2845"/>
      <c r="DJG43" s="2842"/>
      <c r="DJH43" s="2842"/>
      <c r="DJI43" s="2843"/>
      <c r="DJJ43" s="2843"/>
      <c r="DJK43" s="2844"/>
      <c r="DJL43" s="2845"/>
      <c r="DJM43" s="2842"/>
      <c r="DJN43" s="2842"/>
      <c r="DJO43" s="2843"/>
      <c r="DJP43" s="2843"/>
      <c r="DJQ43" s="2844"/>
      <c r="DJR43" s="2845"/>
      <c r="DJS43" s="2842"/>
      <c r="DJT43" s="2842"/>
      <c r="DJU43" s="2843"/>
      <c r="DJV43" s="2843"/>
      <c r="DJW43" s="2844"/>
      <c r="DJX43" s="2845"/>
      <c r="DJY43" s="2842"/>
      <c r="DJZ43" s="2842"/>
      <c r="DKA43" s="2843"/>
      <c r="DKB43" s="2843"/>
      <c r="DKC43" s="2844"/>
      <c r="DKD43" s="2845"/>
      <c r="DKE43" s="2842"/>
      <c r="DKF43" s="2842"/>
      <c r="DKG43" s="2843"/>
      <c r="DKH43" s="2843"/>
      <c r="DKI43" s="2844"/>
      <c r="DKJ43" s="2845"/>
      <c r="DKK43" s="2842"/>
      <c r="DKL43" s="2842"/>
      <c r="DKM43" s="2843"/>
      <c r="DKN43" s="2843"/>
      <c r="DKO43" s="2844"/>
      <c r="DKP43" s="2845"/>
      <c r="DKQ43" s="2842"/>
      <c r="DKR43" s="2842"/>
      <c r="DKS43" s="2843"/>
      <c r="DKT43" s="2843"/>
      <c r="DKU43" s="2844"/>
      <c r="DKV43" s="2845"/>
      <c r="DKW43" s="2842"/>
      <c r="DKX43" s="2842"/>
      <c r="DKY43" s="2843"/>
      <c r="DKZ43" s="2843"/>
      <c r="DLA43" s="2844"/>
      <c r="DLB43" s="2845"/>
      <c r="DLC43" s="2842"/>
      <c r="DLD43" s="2842"/>
      <c r="DLE43" s="2843"/>
      <c r="DLF43" s="2843"/>
      <c r="DLG43" s="2844"/>
      <c r="DLH43" s="2845"/>
      <c r="DLI43" s="2842"/>
      <c r="DLJ43" s="2842"/>
      <c r="DLK43" s="2843"/>
      <c r="DLL43" s="2843"/>
      <c r="DLM43" s="2844"/>
      <c r="DLN43" s="2845"/>
      <c r="DLO43" s="2842"/>
      <c r="DLP43" s="2842"/>
      <c r="DLQ43" s="2843"/>
      <c r="DLR43" s="2843"/>
      <c r="DLS43" s="2844"/>
      <c r="DLT43" s="2845"/>
      <c r="DLU43" s="2842"/>
      <c r="DLV43" s="2842"/>
      <c r="DLW43" s="2843"/>
      <c r="DLX43" s="2843"/>
      <c r="DLY43" s="2844"/>
      <c r="DLZ43" s="2845"/>
      <c r="DMA43" s="2842"/>
      <c r="DMB43" s="2842"/>
      <c r="DMC43" s="2843"/>
      <c r="DMD43" s="2843"/>
      <c r="DME43" s="2844"/>
      <c r="DMF43" s="2845"/>
      <c r="DMG43" s="2842"/>
      <c r="DMH43" s="2842"/>
      <c r="DMI43" s="2843"/>
      <c r="DMJ43" s="2843"/>
      <c r="DMK43" s="2844"/>
      <c r="DML43" s="2845"/>
      <c r="DMM43" s="2842"/>
      <c r="DMN43" s="2842"/>
      <c r="DMO43" s="2843"/>
      <c r="DMP43" s="2843"/>
      <c r="DMQ43" s="2844"/>
      <c r="DMR43" s="2845"/>
      <c r="DMS43" s="2842"/>
      <c r="DMT43" s="2842"/>
      <c r="DMU43" s="2843"/>
      <c r="DMV43" s="2843"/>
      <c r="DMW43" s="2844"/>
      <c r="DMX43" s="2845"/>
      <c r="DMY43" s="2842"/>
      <c r="DMZ43" s="2842"/>
      <c r="DNA43" s="2843"/>
      <c r="DNB43" s="2843"/>
      <c r="DNC43" s="2844"/>
      <c r="DND43" s="2845"/>
      <c r="DNE43" s="2842"/>
      <c r="DNF43" s="2842"/>
      <c r="DNG43" s="2843"/>
      <c r="DNH43" s="2843"/>
      <c r="DNI43" s="2844"/>
      <c r="DNJ43" s="2845"/>
      <c r="DNK43" s="2842"/>
      <c r="DNL43" s="2842"/>
      <c r="DNM43" s="2843"/>
      <c r="DNN43" s="2843"/>
      <c r="DNO43" s="2844"/>
      <c r="DNP43" s="2845"/>
      <c r="DNQ43" s="2842"/>
      <c r="DNR43" s="2842"/>
      <c r="DNS43" s="2843"/>
      <c r="DNT43" s="2843"/>
      <c r="DNU43" s="2844"/>
      <c r="DNV43" s="2845"/>
      <c r="DNW43" s="2842"/>
      <c r="DNX43" s="2842"/>
      <c r="DNY43" s="2843"/>
      <c r="DNZ43" s="2843"/>
      <c r="DOA43" s="2844"/>
      <c r="DOB43" s="2845"/>
      <c r="DOC43" s="2842"/>
      <c r="DOD43" s="2842"/>
      <c r="DOE43" s="2843"/>
      <c r="DOF43" s="2843"/>
      <c r="DOG43" s="2844"/>
      <c r="DOH43" s="2845"/>
      <c r="DOI43" s="2842"/>
      <c r="DOJ43" s="2842"/>
      <c r="DOK43" s="2843"/>
      <c r="DOL43" s="2843"/>
      <c r="DOM43" s="2844"/>
      <c r="DON43" s="2845"/>
      <c r="DOO43" s="2842"/>
      <c r="DOP43" s="2842"/>
      <c r="DOQ43" s="2843"/>
      <c r="DOR43" s="2843"/>
      <c r="DOS43" s="2844"/>
      <c r="DOT43" s="2845"/>
      <c r="DOU43" s="2842"/>
      <c r="DOV43" s="2842"/>
      <c r="DOW43" s="2843"/>
      <c r="DOX43" s="2843"/>
      <c r="DOY43" s="2844"/>
      <c r="DOZ43" s="2845"/>
      <c r="DPA43" s="2842"/>
      <c r="DPB43" s="2842"/>
      <c r="DPC43" s="2843"/>
      <c r="DPD43" s="2843"/>
      <c r="DPE43" s="2844"/>
      <c r="DPF43" s="2845"/>
      <c r="DPG43" s="2842"/>
      <c r="DPH43" s="2842"/>
      <c r="DPI43" s="2843"/>
      <c r="DPJ43" s="2843"/>
      <c r="DPK43" s="2844"/>
      <c r="DPL43" s="2845"/>
      <c r="DPM43" s="2842"/>
      <c r="DPN43" s="2842"/>
      <c r="DPO43" s="2843"/>
      <c r="DPP43" s="2843"/>
      <c r="DPQ43" s="2844"/>
      <c r="DPR43" s="2845"/>
      <c r="DPS43" s="2842"/>
      <c r="DPT43" s="2842"/>
      <c r="DPU43" s="2843"/>
      <c r="DPV43" s="2843"/>
      <c r="DPW43" s="2844"/>
      <c r="DPX43" s="2845"/>
      <c r="DPY43" s="2842"/>
      <c r="DPZ43" s="2842"/>
      <c r="DQA43" s="2843"/>
      <c r="DQB43" s="2843"/>
      <c r="DQC43" s="2844"/>
      <c r="DQD43" s="2845"/>
      <c r="DQE43" s="2842"/>
      <c r="DQF43" s="2842"/>
      <c r="DQG43" s="2843"/>
      <c r="DQH43" s="2843"/>
      <c r="DQI43" s="2844"/>
      <c r="DQJ43" s="2845"/>
      <c r="DQK43" s="2842"/>
      <c r="DQL43" s="2842"/>
      <c r="DQM43" s="2843"/>
      <c r="DQN43" s="2843"/>
      <c r="DQO43" s="2844"/>
      <c r="DQP43" s="2845"/>
      <c r="DQQ43" s="2842"/>
      <c r="DQR43" s="2842"/>
      <c r="DQS43" s="2843"/>
      <c r="DQT43" s="2843"/>
      <c r="DQU43" s="2844"/>
      <c r="DQV43" s="2845"/>
      <c r="DQW43" s="2842"/>
      <c r="DQX43" s="2842"/>
      <c r="DQY43" s="2843"/>
      <c r="DQZ43" s="2843"/>
      <c r="DRA43" s="2844"/>
      <c r="DRB43" s="2845"/>
      <c r="DRC43" s="2842"/>
      <c r="DRD43" s="2842"/>
      <c r="DRE43" s="2843"/>
      <c r="DRF43" s="2843"/>
      <c r="DRG43" s="2844"/>
      <c r="DRH43" s="2845"/>
      <c r="DRI43" s="2842"/>
      <c r="DRJ43" s="2842"/>
      <c r="DRK43" s="2843"/>
      <c r="DRL43" s="2843"/>
      <c r="DRM43" s="2844"/>
      <c r="DRN43" s="2845"/>
      <c r="DRO43" s="2842"/>
      <c r="DRP43" s="2842"/>
      <c r="DRQ43" s="2843"/>
      <c r="DRR43" s="2843"/>
      <c r="DRS43" s="2844"/>
      <c r="DRT43" s="2845"/>
      <c r="DRU43" s="2842"/>
      <c r="DRV43" s="2842"/>
      <c r="DRW43" s="2843"/>
      <c r="DRX43" s="2843"/>
      <c r="DRY43" s="2844"/>
      <c r="DRZ43" s="2845"/>
      <c r="DSA43" s="2842"/>
      <c r="DSB43" s="2842"/>
      <c r="DSC43" s="2843"/>
      <c r="DSD43" s="2843"/>
      <c r="DSE43" s="2844"/>
      <c r="DSF43" s="2845"/>
      <c r="DSG43" s="2842"/>
      <c r="DSH43" s="2842"/>
      <c r="DSI43" s="2843"/>
      <c r="DSJ43" s="2843"/>
      <c r="DSK43" s="2844"/>
      <c r="DSL43" s="2845"/>
      <c r="DSM43" s="2842"/>
      <c r="DSN43" s="2842"/>
      <c r="DSO43" s="2843"/>
      <c r="DSP43" s="2843"/>
      <c r="DSQ43" s="2844"/>
      <c r="DSR43" s="2845"/>
      <c r="DSS43" s="2842"/>
      <c r="DST43" s="2842"/>
      <c r="DSU43" s="2843"/>
      <c r="DSV43" s="2843"/>
      <c r="DSW43" s="2844"/>
      <c r="DSX43" s="2845"/>
      <c r="DSY43" s="2842"/>
      <c r="DSZ43" s="2842"/>
      <c r="DTA43" s="2843"/>
      <c r="DTB43" s="2843"/>
      <c r="DTC43" s="2844"/>
      <c r="DTD43" s="2845"/>
      <c r="DTE43" s="2842"/>
      <c r="DTF43" s="2842"/>
      <c r="DTG43" s="2843"/>
      <c r="DTH43" s="2843"/>
      <c r="DTI43" s="2844"/>
      <c r="DTJ43" s="2845"/>
      <c r="DTK43" s="2842"/>
      <c r="DTL43" s="2842"/>
      <c r="DTM43" s="2843"/>
      <c r="DTN43" s="2843"/>
      <c r="DTO43" s="2844"/>
      <c r="DTP43" s="2845"/>
      <c r="DTQ43" s="2842"/>
      <c r="DTR43" s="2842"/>
      <c r="DTS43" s="2843"/>
      <c r="DTT43" s="2843"/>
      <c r="DTU43" s="2844"/>
      <c r="DTV43" s="2845"/>
      <c r="DTW43" s="2842"/>
      <c r="DTX43" s="2842"/>
      <c r="DTY43" s="2843"/>
      <c r="DTZ43" s="2843"/>
      <c r="DUA43" s="2844"/>
      <c r="DUB43" s="2845"/>
      <c r="DUC43" s="2842"/>
      <c r="DUD43" s="2842"/>
      <c r="DUE43" s="2843"/>
      <c r="DUF43" s="2843"/>
      <c r="DUG43" s="2844"/>
      <c r="DUH43" s="2845"/>
      <c r="DUI43" s="2842"/>
      <c r="DUJ43" s="2842"/>
      <c r="DUK43" s="2843"/>
      <c r="DUL43" s="2843"/>
      <c r="DUM43" s="2844"/>
      <c r="DUN43" s="2845"/>
      <c r="DUO43" s="2842"/>
      <c r="DUP43" s="2842"/>
      <c r="DUQ43" s="2843"/>
      <c r="DUR43" s="2843"/>
      <c r="DUS43" s="2844"/>
      <c r="DUT43" s="2845"/>
      <c r="DUU43" s="2842"/>
      <c r="DUV43" s="2842"/>
      <c r="DUW43" s="2843"/>
      <c r="DUX43" s="2843"/>
      <c r="DUY43" s="2844"/>
      <c r="DUZ43" s="2845"/>
      <c r="DVA43" s="2842"/>
      <c r="DVB43" s="2842"/>
      <c r="DVC43" s="2843"/>
      <c r="DVD43" s="2843"/>
      <c r="DVE43" s="2844"/>
      <c r="DVF43" s="2845"/>
      <c r="DVG43" s="2842"/>
      <c r="DVH43" s="2842"/>
      <c r="DVI43" s="2843"/>
      <c r="DVJ43" s="2843"/>
      <c r="DVK43" s="2844"/>
      <c r="DVL43" s="2845"/>
      <c r="DVM43" s="2842"/>
      <c r="DVN43" s="2842"/>
      <c r="DVO43" s="2843"/>
      <c r="DVP43" s="2843"/>
      <c r="DVQ43" s="2844"/>
      <c r="DVR43" s="2845"/>
      <c r="DVS43" s="2842"/>
      <c r="DVT43" s="2842"/>
      <c r="DVU43" s="2843"/>
      <c r="DVV43" s="2843"/>
      <c r="DVW43" s="2844"/>
      <c r="DVX43" s="2845"/>
      <c r="DVY43" s="2842"/>
      <c r="DVZ43" s="2842"/>
      <c r="DWA43" s="2843"/>
      <c r="DWB43" s="2843"/>
      <c r="DWC43" s="2844"/>
      <c r="DWD43" s="2845"/>
      <c r="DWE43" s="2842"/>
      <c r="DWF43" s="2842"/>
      <c r="DWG43" s="2843"/>
      <c r="DWH43" s="2843"/>
      <c r="DWI43" s="2844"/>
      <c r="DWJ43" s="2845"/>
      <c r="DWK43" s="2842"/>
      <c r="DWL43" s="2842"/>
      <c r="DWM43" s="2843"/>
      <c r="DWN43" s="2843"/>
      <c r="DWO43" s="2844"/>
      <c r="DWP43" s="2845"/>
      <c r="DWQ43" s="2842"/>
      <c r="DWR43" s="2842"/>
      <c r="DWS43" s="2843"/>
      <c r="DWT43" s="2843"/>
      <c r="DWU43" s="2844"/>
      <c r="DWV43" s="2845"/>
      <c r="DWW43" s="2842"/>
      <c r="DWX43" s="2842"/>
      <c r="DWY43" s="2843"/>
      <c r="DWZ43" s="2843"/>
      <c r="DXA43" s="2844"/>
      <c r="DXB43" s="2845"/>
      <c r="DXC43" s="2842"/>
      <c r="DXD43" s="2842"/>
      <c r="DXE43" s="2843"/>
      <c r="DXF43" s="2843"/>
      <c r="DXG43" s="2844"/>
      <c r="DXH43" s="2845"/>
      <c r="DXI43" s="2842"/>
      <c r="DXJ43" s="2842"/>
      <c r="DXK43" s="2843"/>
      <c r="DXL43" s="2843"/>
      <c r="DXM43" s="2844"/>
      <c r="DXN43" s="2845"/>
      <c r="DXO43" s="2842"/>
      <c r="DXP43" s="2842"/>
      <c r="DXQ43" s="2843"/>
      <c r="DXR43" s="2843"/>
      <c r="DXS43" s="2844"/>
      <c r="DXT43" s="2845"/>
      <c r="DXU43" s="2842"/>
      <c r="DXV43" s="2842"/>
      <c r="DXW43" s="2843"/>
      <c r="DXX43" s="2843"/>
      <c r="DXY43" s="2844"/>
      <c r="DXZ43" s="2845"/>
      <c r="DYA43" s="2842"/>
      <c r="DYB43" s="2842"/>
      <c r="DYC43" s="2843"/>
      <c r="DYD43" s="2843"/>
      <c r="DYE43" s="2844"/>
      <c r="DYF43" s="2845"/>
      <c r="DYG43" s="2842"/>
      <c r="DYH43" s="2842"/>
      <c r="DYI43" s="2843"/>
      <c r="DYJ43" s="2843"/>
      <c r="DYK43" s="2844"/>
      <c r="DYL43" s="2845"/>
      <c r="DYM43" s="2842"/>
      <c r="DYN43" s="2842"/>
      <c r="DYO43" s="2843"/>
      <c r="DYP43" s="2843"/>
      <c r="DYQ43" s="2844"/>
      <c r="DYR43" s="2845"/>
      <c r="DYS43" s="2842"/>
      <c r="DYT43" s="2842"/>
      <c r="DYU43" s="2843"/>
      <c r="DYV43" s="2843"/>
      <c r="DYW43" s="2844"/>
      <c r="DYX43" s="2845"/>
      <c r="DYY43" s="2842"/>
      <c r="DYZ43" s="2842"/>
      <c r="DZA43" s="2843"/>
      <c r="DZB43" s="2843"/>
      <c r="DZC43" s="2844"/>
      <c r="DZD43" s="2845"/>
      <c r="DZE43" s="2842"/>
      <c r="DZF43" s="2842"/>
      <c r="DZG43" s="2843"/>
      <c r="DZH43" s="2843"/>
      <c r="DZI43" s="2844"/>
      <c r="DZJ43" s="2845"/>
      <c r="DZK43" s="2842"/>
      <c r="DZL43" s="2842"/>
      <c r="DZM43" s="2843"/>
      <c r="DZN43" s="2843"/>
      <c r="DZO43" s="2844"/>
      <c r="DZP43" s="2845"/>
      <c r="DZQ43" s="2842"/>
      <c r="DZR43" s="2842"/>
      <c r="DZS43" s="2843"/>
      <c r="DZT43" s="2843"/>
      <c r="DZU43" s="2844"/>
      <c r="DZV43" s="2845"/>
      <c r="DZW43" s="2842"/>
      <c r="DZX43" s="2842"/>
      <c r="DZY43" s="2843"/>
      <c r="DZZ43" s="2843"/>
      <c r="EAA43" s="2844"/>
      <c r="EAB43" s="2845"/>
      <c r="EAC43" s="2842"/>
      <c r="EAD43" s="2842"/>
      <c r="EAE43" s="2843"/>
      <c r="EAF43" s="2843"/>
      <c r="EAG43" s="2844"/>
      <c r="EAH43" s="2845"/>
      <c r="EAI43" s="2842"/>
      <c r="EAJ43" s="2842"/>
      <c r="EAK43" s="2843"/>
      <c r="EAL43" s="2843"/>
      <c r="EAM43" s="2844"/>
      <c r="EAN43" s="2845"/>
      <c r="EAO43" s="2842"/>
      <c r="EAP43" s="2842"/>
      <c r="EAQ43" s="2843"/>
      <c r="EAR43" s="2843"/>
      <c r="EAS43" s="2844"/>
      <c r="EAT43" s="2845"/>
      <c r="EAU43" s="2842"/>
      <c r="EAV43" s="2842"/>
      <c r="EAW43" s="2843"/>
      <c r="EAX43" s="2843"/>
      <c r="EAY43" s="2844"/>
      <c r="EAZ43" s="2845"/>
      <c r="EBA43" s="2842"/>
      <c r="EBB43" s="2842"/>
      <c r="EBC43" s="2843"/>
      <c r="EBD43" s="2843"/>
      <c r="EBE43" s="2844"/>
      <c r="EBF43" s="2845"/>
      <c r="EBG43" s="2842"/>
      <c r="EBH43" s="2842"/>
      <c r="EBI43" s="2843"/>
      <c r="EBJ43" s="2843"/>
      <c r="EBK43" s="2844"/>
      <c r="EBL43" s="2845"/>
      <c r="EBM43" s="2842"/>
      <c r="EBN43" s="2842"/>
      <c r="EBO43" s="2843"/>
      <c r="EBP43" s="2843"/>
      <c r="EBQ43" s="2844"/>
      <c r="EBR43" s="2845"/>
      <c r="EBS43" s="2842"/>
      <c r="EBT43" s="2842"/>
      <c r="EBU43" s="2843"/>
      <c r="EBV43" s="2843"/>
      <c r="EBW43" s="2844"/>
      <c r="EBX43" s="2845"/>
      <c r="EBY43" s="2842"/>
      <c r="EBZ43" s="2842"/>
      <c r="ECA43" s="2843"/>
      <c r="ECB43" s="2843"/>
      <c r="ECC43" s="2844"/>
      <c r="ECD43" s="2845"/>
      <c r="ECE43" s="2842"/>
      <c r="ECF43" s="2842"/>
      <c r="ECG43" s="2843"/>
      <c r="ECH43" s="2843"/>
      <c r="ECI43" s="2844"/>
      <c r="ECJ43" s="2845"/>
      <c r="ECK43" s="2842"/>
      <c r="ECL43" s="2842"/>
      <c r="ECM43" s="2843"/>
      <c r="ECN43" s="2843"/>
      <c r="ECO43" s="2844"/>
      <c r="ECP43" s="2845"/>
      <c r="ECQ43" s="2842"/>
      <c r="ECR43" s="2842"/>
      <c r="ECS43" s="2843"/>
      <c r="ECT43" s="2843"/>
      <c r="ECU43" s="2844"/>
      <c r="ECV43" s="2845"/>
      <c r="ECW43" s="2842"/>
      <c r="ECX43" s="2842"/>
      <c r="ECY43" s="2843"/>
      <c r="ECZ43" s="2843"/>
      <c r="EDA43" s="2844"/>
      <c r="EDB43" s="2845"/>
      <c r="EDC43" s="2842"/>
      <c r="EDD43" s="2842"/>
      <c r="EDE43" s="2843"/>
      <c r="EDF43" s="2843"/>
      <c r="EDG43" s="2844"/>
      <c r="EDH43" s="2845"/>
      <c r="EDI43" s="2842"/>
      <c r="EDJ43" s="2842"/>
      <c r="EDK43" s="2843"/>
      <c r="EDL43" s="2843"/>
      <c r="EDM43" s="2844"/>
      <c r="EDN43" s="2845"/>
      <c r="EDO43" s="2842"/>
      <c r="EDP43" s="2842"/>
      <c r="EDQ43" s="2843"/>
      <c r="EDR43" s="2843"/>
      <c r="EDS43" s="2844"/>
      <c r="EDT43" s="2845"/>
      <c r="EDU43" s="2842"/>
      <c r="EDV43" s="2842"/>
      <c r="EDW43" s="2843"/>
      <c r="EDX43" s="2843"/>
      <c r="EDY43" s="2844"/>
      <c r="EDZ43" s="2845"/>
      <c r="EEA43" s="2842"/>
      <c r="EEB43" s="2842"/>
      <c r="EEC43" s="2843"/>
      <c r="EED43" s="2843"/>
      <c r="EEE43" s="2844"/>
      <c r="EEF43" s="2845"/>
      <c r="EEG43" s="2842"/>
      <c r="EEH43" s="2842"/>
      <c r="EEI43" s="2843"/>
      <c r="EEJ43" s="2843"/>
      <c r="EEK43" s="2844"/>
      <c r="EEL43" s="2845"/>
      <c r="EEM43" s="2842"/>
      <c r="EEN43" s="2842"/>
      <c r="EEO43" s="2843"/>
      <c r="EEP43" s="2843"/>
      <c r="EEQ43" s="2844"/>
      <c r="EER43" s="2845"/>
      <c r="EES43" s="2842"/>
      <c r="EET43" s="2842"/>
      <c r="EEU43" s="2843"/>
      <c r="EEV43" s="2843"/>
      <c r="EEW43" s="2844"/>
      <c r="EEX43" s="2845"/>
      <c r="EEY43" s="2842"/>
      <c r="EEZ43" s="2842"/>
      <c r="EFA43" s="2843"/>
      <c r="EFB43" s="2843"/>
      <c r="EFC43" s="2844"/>
      <c r="EFD43" s="2845"/>
      <c r="EFE43" s="2842"/>
      <c r="EFF43" s="2842"/>
      <c r="EFG43" s="2843"/>
      <c r="EFH43" s="2843"/>
      <c r="EFI43" s="2844"/>
      <c r="EFJ43" s="2845"/>
      <c r="EFK43" s="2842"/>
      <c r="EFL43" s="2842"/>
      <c r="EFM43" s="2843"/>
      <c r="EFN43" s="2843"/>
      <c r="EFO43" s="2844"/>
      <c r="EFP43" s="2845"/>
      <c r="EFQ43" s="2842"/>
      <c r="EFR43" s="2842"/>
      <c r="EFS43" s="2843"/>
      <c r="EFT43" s="2843"/>
      <c r="EFU43" s="2844"/>
      <c r="EFV43" s="2845"/>
      <c r="EFW43" s="2842"/>
      <c r="EFX43" s="2842"/>
      <c r="EFY43" s="2843"/>
      <c r="EFZ43" s="2843"/>
      <c r="EGA43" s="2844"/>
      <c r="EGB43" s="2845"/>
      <c r="EGC43" s="2842"/>
      <c r="EGD43" s="2842"/>
      <c r="EGE43" s="2843"/>
      <c r="EGF43" s="2843"/>
      <c r="EGG43" s="2844"/>
      <c r="EGH43" s="2845"/>
      <c r="EGI43" s="2842"/>
      <c r="EGJ43" s="2842"/>
      <c r="EGK43" s="2843"/>
      <c r="EGL43" s="2843"/>
      <c r="EGM43" s="2844"/>
      <c r="EGN43" s="2845"/>
      <c r="EGO43" s="2842"/>
      <c r="EGP43" s="2842"/>
      <c r="EGQ43" s="2843"/>
      <c r="EGR43" s="2843"/>
      <c r="EGS43" s="2844"/>
      <c r="EGT43" s="2845"/>
      <c r="EGU43" s="2842"/>
      <c r="EGV43" s="2842"/>
      <c r="EGW43" s="2843"/>
      <c r="EGX43" s="2843"/>
      <c r="EGY43" s="2844"/>
      <c r="EGZ43" s="2845"/>
      <c r="EHA43" s="2842"/>
      <c r="EHB43" s="2842"/>
      <c r="EHC43" s="2843"/>
      <c r="EHD43" s="2843"/>
      <c r="EHE43" s="2844"/>
      <c r="EHF43" s="2845"/>
      <c r="EHG43" s="2842"/>
      <c r="EHH43" s="2842"/>
      <c r="EHI43" s="2843"/>
      <c r="EHJ43" s="2843"/>
      <c r="EHK43" s="2844"/>
      <c r="EHL43" s="2845"/>
      <c r="EHM43" s="2842"/>
      <c r="EHN43" s="2842"/>
      <c r="EHO43" s="2843"/>
      <c r="EHP43" s="2843"/>
      <c r="EHQ43" s="2844"/>
      <c r="EHR43" s="2845"/>
      <c r="EHS43" s="2842"/>
      <c r="EHT43" s="2842"/>
      <c r="EHU43" s="2843"/>
      <c r="EHV43" s="2843"/>
      <c r="EHW43" s="2844"/>
      <c r="EHX43" s="2845"/>
      <c r="EHY43" s="2842"/>
      <c r="EHZ43" s="2842"/>
      <c r="EIA43" s="2843"/>
      <c r="EIB43" s="2843"/>
      <c r="EIC43" s="2844"/>
      <c r="EID43" s="2845"/>
      <c r="EIE43" s="2842"/>
      <c r="EIF43" s="2842"/>
      <c r="EIG43" s="2843"/>
      <c r="EIH43" s="2843"/>
      <c r="EII43" s="2844"/>
      <c r="EIJ43" s="2845"/>
      <c r="EIK43" s="2842"/>
      <c r="EIL43" s="2842"/>
      <c r="EIM43" s="2843"/>
      <c r="EIN43" s="2843"/>
      <c r="EIO43" s="2844"/>
      <c r="EIP43" s="2845"/>
      <c r="EIQ43" s="2842"/>
      <c r="EIR43" s="2842"/>
      <c r="EIS43" s="2843"/>
      <c r="EIT43" s="2843"/>
      <c r="EIU43" s="2844"/>
      <c r="EIV43" s="2845"/>
      <c r="EIW43" s="2842"/>
      <c r="EIX43" s="2842"/>
      <c r="EIY43" s="2843"/>
      <c r="EIZ43" s="2843"/>
      <c r="EJA43" s="2844"/>
      <c r="EJB43" s="2845"/>
      <c r="EJC43" s="2842"/>
      <c r="EJD43" s="2842"/>
      <c r="EJE43" s="2843"/>
      <c r="EJF43" s="2843"/>
      <c r="EJG43" s="2844"/>
      <c r="EJH43" s="2845"/>
      <c r="EJI43" s="2842"/>
      <c r="EJJ43" s="2842"/>
      <c r="EJK43" s="2843"/>
      <c r="EJL43" s="2843"/>
      <c r="EJM43" s="2844"/>
      <c r="EJN43" s="2845"/>
      <c r="EJO43" s="2842"/>
      <c r="EJP43" s="2842"/>
      <c r="EJQ43" s="2843"/>
      <c r="EJR43" s="2843"/>
      <c r="EJS43" s="2844"/>
      <c r="EJT43" s="2845"/>
      <c r="EJU43" s="2842"/>
      <c r="EJV43" s="2842"/>
      <c r="EJW43" s="2843"/>
      <c r="EJX43" s="2843"/>
      <c r="EJY43" s="2844"/>
      <c r="EJZ43" s="2845"/>
      <c r="EKA43" s="2842"/>
      <c r="EKB43" s="2842"/>
      <c r="EKC43" s="2843"/>
      <c r="EKD43" s="2843"/>
      <c r="EKE43" s="2844"/>
      <c r="EKF43" s="2845"/>
      <c r="EKG43" s="2842"/>
      <c r="EKH43" s="2842"/>
      <c r="EKI43" s="2843"/>
      <c r="EKJ43" s="2843"/>
      <c r="EKK43" s="2844"/>
      <c r="EKL43" s="2845"/>
      <c r="EKM43" s="2842"/>
      <c r="EKN43" s="2842"/>
      <c r="EKO43" s="2843"/>
      <c r="EKP43" s="2843"/>
      <c r="EKQ43" s="2844"/>
      <c r="EKR43" s="2845"/>
      <c r="EKS43" s="2842"/>
      <c r="EKT43" s="2842"/>
      <c r="EKU43" s="2843"/>
      <c r="EKV43" s="2843"/>
      <c r="EKW43" s="2844"/>
      <c r="EKX43" s="2845"/>
      <c r="EKY43" s="2842"/>
      <c r="EKZ43" s="2842"/>
      <c r="ELA43" s="2843"/>
      <c r="ELB43" s="2843"/>
      <c r="ELC43" s="2844"/>
      <c r="ELD43" s="2845"/>
      <c r="ELE43" s="2842"/>
      <c r="ELF43" s="2842"/>
      <c r="ELG43" s="2843"/>
      <c r="ELH43" s="2843"/>
      <c r="ELI43" s="2844"/>
      <c r="ELJ43" s="2845"/>
      <c r="ELK43" s="2842"/>
      <c r="ELL43" s="2842"/>
      <c r="ELM43" s="2843"/>
      <c r="ELN43" s="2843"/>
      <c r="ELO43" s="2844"/>
      <c r="ELP43" s="2845"/>
      <c r="ELQ43" s="2842"/>
      <c r="ELR43" s="2842"/>
      <c r="ELS43" s="2843"/>
      <c r="ELT43" s="2843"/>
      <c r="ELU43" s="2844"/>
      <c r="ELV43" s="2845"/>
      <c r="ELW43" s="2842"/>
      <c r="ELX43" s="2842"/>
      <c r="ELY43" s="2843"/>
      <c r="ELZ43" s="2843"/>
      <c r="EMA43" s="2844"/>
      <c r="EMB43" s="2845"/>
      <c r="EMC43" s="2842"/>
      <c r="EMD43" s="2842"/>
      <c r="EME43" s="2843"/>
      <c r="EMF43" s="2843"/>
      <c r="EMG43" s="2844"/>
      <c r="EMH43" s="2845"/>
      <c r="EMI43" s="2842"/>
      <c r="EMJ43" s="2842"/>
      <c r="EMK43" s="2843"/>
      <c r="EML43" s="2843"/>
      <c r="EMM43" s="2844"/>
      <c r="EMN43" s="2845"/>
      <c r="EMO43" s="2842"/>
      <c r="EMP43" s="2842"/>
      <c r="EMQ43" s="2843"/>
      <c r="EMR43" s="2843"/>
      <c r="EMS43" s="2844"/>
      <c r="EMT43" s="2845"/>
      <c r="EMU43" s="2842"/>
      <c r="EMV43" s="2842"/>
      <c r="EMW43" s="2843"/>
      <c r="EMX43" s="2843"/>
      <c r="EMY43" s="2844"/>
      <c r="EMZ43" s="2845"/>
      <c r="ENA43" s="2842"/>
      <c r="ENB43" s="2842"/>
      <c r="ENC43" s="2843"/>
      <c r="END43" s="2843"/>
      <c r="ENE43" s="2844"/>
      <c r="ENF43" s="2845"/>
      <c r="ENG43" s="2842"/>
      <c r="ENH43" s="2842"/>
      <c r="ENI43" s="2843"/>
      <c r="ENJ43" s="2843"/>
      <c r="ENK43" s="2844"/>
      <c r="ENL43" s="2845"/>
      <c r="ENM43" s="2842"/>
      <c r="ENN43" s="2842"/>
      <c r="ENO43" s="2843"/>
      <c r="ENP43" s="2843"/>
      <c r="ENQ43" s="2844"/>
      <c r="ENR43" s="2845"/>
      <c r="ENS43" s="2842"/>
      <c r="ENT43" s="2842"/>
      <c r="ENU43" s="2843"/>
      <c r="ENV43" s="2843"/>
      <c r="ENW43" s="2844"/>
      <c r="ENX43" s="2845"/>
      <c r="ENY43" s="2842"/>
      <c r="ENZ43" s="2842"/>
      <c r="EOA43" s="2843"/>
      <c r="EOB43" s="2843"/>
      <c r="EOC43" s="2844"/>
      <c r="EOD43" s="2845"/>
      <c r="EOE43" s="2842"/>
      <c r="EOF43" s="2842"/>
      <c r="EOG43" s="2843"/>
      <c r="EOH43" s="2843"/>
      <c r="EOI43" s="2844"/>
      <c r="EOJ43" s="2845"/>
      <c r="EOK43" s="2842"/>
      <c r="EOL43" s="2842"/>
      <c r="EOM43" s="2843"/>
      <c r="EON43" s="2843"/>
      <c r="EOO43" s="2844"/>
      <c r="EOP43" s="2845"/>
      <c r="EOQ43" s="2842"/>
      <c r="EOR43" s="2842"/>
      <c r="EOS43" s="2843"/>
      <c r="EOT43" s="2843"/>
      <c r="EOU43" s="2844"/>
      <c r="EOV43" s="2845"/>
      <c r="EOW43" s="2842"/>
      <c r="EOX43" s="2842"/>
      <c r="EOY43" s="2843"/>
      <c r="EOZ43" s="2843"/>
      <c r="EPA43" s="2844"/>
      <c r="EPB43" s="2845"/>
      <c r="EPC43" s="2842"/>
      <c r="EPD43" s="2842"/>
      <c r="EPE43" s="2843"/>
      <c r="EPF43" s="2843"/>
      <c r="EPG43" s="2844"/>
      <c r="EPH43" s="2845"/>
      <c r="EPI43" s="2842"/>
      <c r="EPJ43" s="2842"/>
      <c r="EPK43" s="2843"/>
      <c r="EPL43" s="2843"/>
      <c r="EPM43" s="2844"/>
      <c r="EPN43" s="2845"/>
      <c r="EPO43" s="2842"/>
      <c r="EPP43" s="2842"/>
      <c r="EPQ43" s="2843"/>
      <c r="EPR43" s="2843"/>
      <c r="EPS43" s="2844"/>
      <c r="EPT43" s="2845"/>
      <c r="EPU43" s="2842"/>
      <c r="EPV43" s="2842"/>
      <c r="EPW43" s="2843"/>
      <c r="EPX43" s="2843"/>
      <c r="EPY43" s="2844"/>
      <c r="EPZ43" s="2845"/>
      <c r="EQA43" s="2842"/>
      <c r="EQB43" s="2842"/>
      <c r="EQC43" s="2843"/>
      <c r="EQD43" s="2843"/>
      <c r="EQE43" s="2844"/>
      <c r="EQF43" s="2845"/>
      <c r="EQG43" s="2842"/>
      <c r="EQH43" s="2842"/>
      <c r="EQI43" s="2843"/>
      <c r="EQJ43" s="2843"/>
      <c r="EQK43" s="2844"/>
      <c r="EQL43" s="2845"/>
      <c r="EQM43" s="2842"/>
      <c r="EQN43" s="2842"/>
      <c r="EQO43" s="2843"/>
      <c r="EQP43" s="2843"/>
      <c r="EQQ43" s="2844"/>
      <c r="EQR43" s="2845"/>
      <c r="EQS43" s="2842"/>
      <c r="EQT43" s="2842"/>
      <c r="EQU43" s="2843"/>
      <c r="EQV43" s="2843"/>
      <c r="EQW43" s="2844"/>
      <c r="EQX43" s="2845"/>
      <c r="EQY43" s="2842"/>
      <c r="EQZ43" s="2842"/>
      <c r="ERA43" s="2843"/>
      <c r="ERB43" s="2843"/>
      <c r="ERC43" s="2844"/>
      <c r="ERD43" s="2845"/>
      <c r="ERE43" s="2842"/>
      <c r="ERF43" s="2842"/>
      <c r="ERG43" s="2843"/>
      <c r="ERH43" s="2843"/>
      <c r="ERI43" s="2844"/>
      <c r="ERJ43" s="2845"/>
      <c r="ERK43" s="2842"/>
      <c r="ERL43" s="2842"/>
      <c r="ERM43" s="2843"/>
      <c r="ERN43" s="2843"/>
      <c r="ERO43" s="2844"/>
      <c r="ERP43" s="2845"/>
      <c r="ERQ43" s="2842"/>
      <c r="ERR43" s="2842"/>
      <c r="ERS43" s="2843"/>
      <c r="ERT43" s="2843"/>
      <c r="ERU43" s="2844"/>
      <c r="ERV43" s="2845"/>
      <c r="ERW43" s="2842"/>
      <c r="ERX43" s="2842"/>
      <c r="ERY43" s="2843"/>
      <c r="ERZ43" s="2843"/>
      <c r="ESA43" s="2844"/>
      <c r="ESB43" s="2845"/>
      <c r="ESC43" s="2842"/>
      <c r="ESD43" s="2842"/>
      <c r="ESE43" s="2843"/>
      <c r="ESF43" s="2843"/>
      <c r="ESG43" s="2844"/>
      <c r="ESH43" s="2845"/>
      <c r="ESI43" s="2842"/>
      <c r="ESJ43" s="2842"/>
      <c r="ESK43" s="2843"/>
      <c r="ESL43" s="2843"/>
      <c r="ESM43" s="2844"/>
      <c r="ESN43" s="2845"/>
      <c r="ESO43" s="2842"/>
      <c r="ESP43" s="2842"/>
      <c r="ESQ43" s="2843"/>
      <c r="ESR43" s="2843"/>
      <c r="ESS43" s="2844"/>
      <c r="EST43" s="2845"/>
      <c r="ESU43" s="2842"/>
      <c r="ESV43" s="2842"/>
      <c r="ESW43" s="2843"/>
      <c r="ESX43" s="2843"/>
      <c r="ESY43" s="2844"/>
      <c r="ESZ43" s="2845"/>
      <c r="ETA43" s="2842"/>
      <c r="ETB43" s="2842"/>
      <c r="ETC43" s="2843"/>
      <c r="ETD43" s="2843"/>
      <c r="ETE43" s="2844"/>
      <c r="ETF43" s="2845"/>
      <c r="ETG43" s="2842"/>
      <c r="ETH43" s="2842"/>
      <c r="ETI43" s="2843"/>
      <c r="ETJ43" s="2843"/>
      <c r="ETK43" s="2844"/>
      <c r="ETL43" s="2845"/>
      <c r="ETM43" s="2842"/>
      <c r="ETN43" s="2842"/>
      <c r="ETO43" s="2843"/>
      <c r="ETP43" s="2843"/>
      <c r="ETQ43" s="2844"/>
      <c r="ETR43" s="2845"/>
      <c r="ETS43" s="2842"/>
      <c r="ETT43" s="2842"/>
      <c r="ETU43" s="2843"/>
      <c r="ETV43" s="2843"/>
      <c r="ETW43" s="2844"/>
      <c r="ETX43" s="2845"/>
      <c r="ETY43" s="2842"/>
      <c r="ETZ43" s="2842"/>
      <c r="EUA43" s="2843"/>
      <c r="EUB43" s="2843"/>
      <c r="EUC43" s="2844"/>
      <c r="EUD43" s="2845"/>
      <c r="EUE43" s="2842"/>
      <c r="EUF43" s="2842"/>
      <c r="EUG43" s="2843"/>
      <c r="EUH43" s="2843"/>
      <c r="EUI43" s="2844"/>
      <c r="EUJ43" s="2845"/>
      <c r="EUK43" s="2842"/>
      <c r="EUL43" s="2842"/>
      <c r="EUM43" s="2843"/>
      <c r="EUN43" s="2843"/>
      <c r="EUO43" s="2844"/>
      <c r="EUP43" s="2845"/>
      <c r="EUQ43" s="2842"/>
      <c r="EUR43" s="2842"/>
      <c r="EUS43" s="2843"/>
      <c r="EUT43" s="2843"/>
      <c r="EUU43" s="2844"/>
      <c r="EUV43" s="2845"/>
      <c r="EUW43" s="2842"/>
      <c r="EUX43" s="2842"/>
      <c r="EUY43" s="2843"/>
      <c r="EUZ43" s="2843"/>
      <c r="EVA43" s="2844"/>
      <c r="EVB43" s="2845"/>
      <c r="EVC43" s="2842"/>
      <c r="EVD43" s="2842"/>
      <c r="EVE43" s="2843"/>
      <c r="EVF43" s="2843"/>
      <c r="EVG43" s="2844"/>
      <c r="EVH43" s="2845"/>
      <c r="EVI43" s="2842"/>
      <c r="EVJ43" s="2842"/>
      <c r="EVK43" s="2843"/>
      <c r="EVL43" s="2843"/>
      <c r="EVM43" s="2844"/>
      <c r="EVN43" s="2845"/>
      <c r="EVO43" s="2842"/>
      <c r="EVP43" s="2842"/>
      <c r="EVQ43" s="2843"/>
      <c r="EVR43" s="2843"/>
      <c r="EVS43" s="2844"/>
      <c r="EVT43" s="2845"/>
      <c r="EVU43" s="2842"/>
      <c r="EVV43" s="2842"/>
      <c r="EVW43" s="2843"/>
      <c r="EVX43" s="2843"/>
      <c r="EVY43" s="2844"/>
      <c r="EVZ43" s="2845"/>
      <c r="EWA43" s="2842"/>
      <c r="EWB43" s="2842"/>
      <c r="EWC43" s="2843"/>
      <c r="EWD43" s="2843"/>
      <c r="EWE43" s="2844"/>
      <c r="EWF43" s="2845"/>
      <c r="EWG43" s="2842"/>
      <c r="EWH43" s="2842"/>
      <c r="EWI43" s="2843"/>
      <c r="EWJ43" s="2843"/>
      <c r="EWK43" s="2844"/>
      <c r="EWL43" s="2845"/>
      <c r="EWM43" s="2842"/>
      <c r="EWN43" s="2842"/>
      <c r="EWO43" s="2843"/>
      <c r="EWP43" s="2843"/>
      <c r="EWQ43" s="2844"/>
      <c r="EWR43" s="2845"/>
      <c r="EWS43" s="2842"/>
      <c r="EWT43" s="2842"/>
      <c r="EWU43" s="2843"/>
      <c r="EWV43" s="2843"/>
      <c r="EWW43" s="2844"/>
      <c r="EWX43" s="2845"/>
      <c r="EWY43" s="2842"/>
      <c r="EWZ43" s="2842"/>
      <c r="EXA43" s="2843"/>
      <c r="EXB43" s="2843"/>
      <c r="EXC43" s="2844"/>
      <c r="EXD43" s="2845"/>
      <c r="EXE43" s="2842"/>
      <c r="EXF43" s="2842"/>
      <c r="EXG43" s="2843"/>
      <c r="EXH43" s="2843"/>
      <c r="EXI43" s="2844"/>
      <c r="EXJ43" s="2845"/>
      <c r="EXK43" s="2842"/>
      <c r="EXL43" s="2842"/>
      <c r="EXM43" s="2843"/>
      <c r="EXN43" s="2843"/>
      <c r="EXO43" s="2844"/>
      <c r="EXP43" s="2845"/>
      <c r="EXQ43" s="2842"/>
      <c r="EXR43" s="2842"/>
      <c r="EXS43" s="2843"/>
      <c r="EXT43" s="2843"/>
      <c r="EXU43" s="2844"/>
      <c r="EXV43" s="2845"/>
      <c r="EXW43" s="2842"/>
      <c r="EXX43" s="2842"/>
      <c r="EXY43" s="2843"/>
      <c r="EXZ43" s="2843"/>
      <c r="EYA43" s="2844"/>
      <c r="EYB43" s="2845"/>
      <c r="EYC43" s="2842"/>
      <c r="EYD43" s="2842"/>
      <c r="EYE43" s="2843"/>
      <c r="EYF43" s="2843"/>
      <c r="EYG43" s="2844"/>
      <c r="EYH43" s="2845"/>
      <c r="EYI43" s="2842"/>
      <c r="EYJ43" s="2842"/>
      <c r="EYK43" s="2843"/>
      <c r="EYL43" s="2843"/>
      <c r="EYM43" s="2844"/>
      <c r="EYN43" s="2845"/>
      <c r="EYO43" s="2842"/>
      <c r="EYP43" s="2842"/>
      <c r="EYQ43" s="2843"/>
      <c r="EYR43" s="2843"/>
      <c r="EYS43" s="2844"/>
      <c r="EYT43" s="2845"/>
      <c r="EYU43" s="2842"/>
      <c r="EYV43" s="2842"/>
      <c r="EYW43" s="2843"/>
      <c r="EYX43" s="2843"/>
      <c r="EYY43" s="2844"/>
      <c r="EYZ43" s="2845"/>
      <c r="EZA43" s="2842"/>
      <c r="EZB43" s="2842"/>
      <c r="EZC43" s="2843"/>
      <c r="EZD43" s="2843"/>
      <c r="EZE43" s="2844"/>
      <c r="EZF43" s="2845"/>
      <c r="EZG43" s="2842"/>
      <c r="EZH43" s="2842"/>
      <c r="EZI43" s="2843"/>
      <c r="EZJ43" s="2843"/>
      <c r="EZK43" s="2844"/>
      <c r="EZL43" s="2845"/>
      <c r="EZM43" s="2842"/>
      <c r="EZN43" s="2842"/>
      <c r="EZO43" s="2843"/>
      <c r="EZP43" s="2843"/>
      <c r="EZQ43" s="2844"/>
      <c r="EZR43" s="2845"/>
      <c r="EZS43" s="2842"/>
      <c r="EZT43" s="2842"/>
      <c r="EZU43" s="2843"/>
      <c r="EZV43" s="2843"/>
      <c r="EZW43" s="2844"/>
      <c r="EZX43" s="2845"/>
      <c r="EZY43" s="2842"/>
      <c r="EZZ43" s="2842"/>
      <c r="FAA43" s="2843"/>
      <c r="FAB43" s="2843"/>
      <c r="FAC43" s="2844"/>
      <c r="FAD43" s="2845"/>
      <c r="FAE43" s="2842"/>
      <c r="FAF43" s="2842"/>
      <c r="FAG43" s="2843"/>
      <c r="FAH43" s="2843"/>
      <c r="FAI43" s="2844"/>
      <c r="FAJ43" s="2845"/>
      <c r="FAK43" s="2842"/>
      <c r="FAL43" s="2842"/>
      <c r="FAM43" s="2843"/>
      <c r="FAN43" s="2843"/>
      <c r="FAO43" s="2844"/>
      <c r="FAP43" s="2845"/>
      <c r="FAQ43" s="2842"/>
      <c r="FAR43" s="2842"/>
      <c r="FAS43" s="2843"/>
      <c r="FAT43" s="2843"/>
      <c r="FAU43" s="2844"/>
      <c r="FAV43" s="2845"/>
      <c r="FAW43" s="2842"/>
      <c r="FAX43" s="2842"/>
      <c r="FAY43" s="2843"/>
      <c r="FAZ43" s="2843"/>
      <c r="FBA43" s="2844"/>
      <c r="FBB43" s="2845"/>
      <c r="FBC43" s="2842"/>
      <c r="FBD43" s="2842"/>
      <c r="FBE43" s="2843"/>
      <c r="FBF43" s="2843"/>
      <c r="FBG43" s="2844"/>
      <c r="FBH43" s="2845"/>
      <c r="FBI43" s="2842"/>
      <c r="FBJ43" s="2842"/>
      <c r="FBK43" s="2843"/>
      <c r="FBL43" s="2843"/>
      <c r="FBM43" s="2844"/>
      <c r="FBN43" s="2845"/>
      <c r="FBO43" s="2842"/>
      <c r="FBP43" s="2842"/>
      <c r="FBQ43" s="2843"/>
      <c r="FBR43" s="2843"/>
      <c r="FBS43" s="2844"/>
      <c r="FBT43" s="2845"/>
      <c r="FBU43" s="2842"/>
      <c r="FBV43" s="2842"/>
      <c r="FBW43" s="2843"/>
      <c r="FBX43" s="2843"/>
      <c r="FBY43" s="2844"/>
      <c r="FBZ43" s="2845"/>
      <c r="FCA43" s="2842"/>
      <c r="FCB43" s="2842"/>
      <c r="FCC43" s="2843"/>
      <c r="FCD43" s="2843"/>
      <c r="FCE43" s="2844"/>
      <c r="FCF43" s="2845"/>
      <c r="FCG43" s="2842"/>
      <c r="FCH43" s="2842"/>
      <c r="FCI43" s="2843"/>
      <c r="FCJ43" s="2843"/>
      <c r="FCK43" s="2844"/>
      <c r="FCL43" s="2845"/>
      <c r="FCM43" s="2842"/>
      <c r="FCN43" s="2842"/>
      <c r="FCO43" s="2843"/>
      <c r="FCP43" s="2843"/>
      <c r="FCQ43" s="2844"/>
      <c r="FCR43" s="2845"/>
      <c r="FCS43" s="2842"/>
      <c r="FCT43" s="2842"/>
      <c r="FCU43" s="2843"/>
      <c r="FCV43" s="2843"/>
      <c r="FCW43" s="2844"/>
      <c r="FCX43" s="2845"/>
      <c r="FCY43" s="2842"/>
      <c r="FCZ43" s="2842"/>
      <c r="FDA43" s="2843"/>
      <c r="FDB43" s="2843"/>
      <c r="FDC43" s="2844"/>
      <c r="FDD43" s="2845"/>
      <c r="FDE43" s="2842"/>
      <c r="FDF43" s="2842"/>
      <c r="FDG43" s="2843"/>
      <c r="FDH43" s="2843"/>
      <c r="FDI43" s="2844"/>
      <c r="FDJ43" s="2845"/>
      <c r="FDK43" s="2842"/>
      <c r="FDL43" s="2842"/>
      <c r="FDM43" s="2843"/>
      <c r="FDN43" s="2843"/>
      <c r="FDO43" s="2844"/>
      <c r="FDP43" s="2845"/>
      <c r="FDQ43" s="2842"/>
      <c r="FDR43" s="2842"/>
      <c r="FDS43" s="2843"/>
      <c r="FDT43" s="2843"/>
      <c r="FDU43" s="2844"/>
      <c r="FDV43" s="2845"/>
      <c r="FDW43" s="2842"/>
      <c r="FDX43" s="2842"/>
      <c r="FDY43" s="2843"/>
      <c r="FDZ43" s="2843"/>
      <c r="FEA43" s="2844"/>
      <c r="FEB43" s="2845"/>
      <c r="FEC43" s="2842"/>
      <c r="FED43" s="2842"/>
      <c r="FEE43" s="2843"/>
      <c r="FEF43" s="2843"/>
      <c r="FEG43" s="2844"/>
      <c r="FEH43" s="2845"/>
      <c r="FEI43" s="2842"/>
      <c r="FEJ43" s="2842"/>
      <c r="FEK43" s="2843"/>
      <c r="FEL43" s="2843"/>
      <c r="FEM43" s="2844"/>
      <c r="FEN43" s="2845"/>
      <c r="FEO43" s="2842"/>
      <c r="FEP43" s="2842"/>
      <c r="FEQ43" s="2843"/>
      <c r="FER43" s="2843"/>
      <c r="FES43" s="2844"/>
      <c r="FET43" s="2845"/>
      <c r="FEU43" s="2842"/>
      <c r="FEV43" s="2842"/>
      <c r="FEW43" s="2843"/>
      <c r="FEX43" s="2843"/>
      <c r="FEY43" s="2844"/>
      <c r="FEZ43" s="2845"/>
      <c r="FFA43" s="2842"/>
      <c r="FFB43" s="2842"/>
      <c r="FFC43" s="2843"/>
      <c r="FFD43" s="2843"/>
      <c r="FFE43" s="2844"/>
      <c r="FFF43" s="2845"/>
      <c r="FFG43" s="2842"/>
      <c r="FFH43" s="2842"/>
      <c r="FFI43" s="2843"/>
      <c r="FFJ43" s="2843"/>
      <c r="FFK43" s="2844"/>
      <c r="FFL43" s="2845"/>
      <c r="FFM43" s="2842"/>
      <c r="FFN43" s="2842"/>
      <c r="FFO43" s="2843"/>
      <c r="FFP43" s="2843"/>
      <c r="FFQ43" s="2844"/>
      <c r="FFR43" s="2845"/>
      <c r="FFS43" s="2842"/>
      <c r="FFT43" s="2842"/>
      <c r="FFU43" s="2843"/>
      <c r="FFV43" s="2843"/>
      <c r="FFW43" s="2844"/>
      <c r="FFX43" s="2845"/>
      <c r="FFY43" s="2842"/>
      <c r="FFZ43" s="2842"/>
      <c r="FGA43" s="2843"/>
      <c r="FGB43" s="2843"/>
      <c r="FGC43" s="2844"/>
      <c r="FGD43" s="2845"/>
      <c r="FGE43" s="2842"/>
      <c r="FGF43" s="2842"/>
      <c r="FGG43" s="2843"/>
      <c r="FGH43" s="2843"/>
      <c r="FGI43" s="2844"/>
      <c r="FGJ43" s="2845"/>
      <c r="FGK43" s="2842"/>
      <c r="FGL43" s="2842"/>
      <c r="FGM43" s="2843"/>
      <c r="FGN43" s="2843"/>
      <c r="FGO43" s="2844"/>
      <c r="FGP43" s="2845"/>
      <c r="FGQ43" s="2842"/>
      <c r="FGR43" s="2842"/>
      <c r="FGS43" s="2843"/>
      <c r="FGT43" s="2843"/>
      <c r="FGU43" s="2844"/>
      <c r="FGV43" s="2845"/>
      <c r="FGW43" s="2842"/>
      <c r="FGX43" s="2842"/>
      <c r="FGY43" s="2843"/>
      <c r="FGZ43" s="2843"/>
      <c r="FHA43" s="2844"/>
      <c r="FHB43" s="2845"/>
      <c r="FHC43" s="2842"/>
      <c r="FHD43" s="2842"/>
      <c r="FHE43" s="2843"/>
      <c r="FHF43" s="2843"/>
      <c r="FHG43" s="2844"/>
      <c r="FHH43" s="2845"/>
      <c r="FHI43" s="2842"/>
      <c r="FHJ43" s="2842"/>
      <c r="FHK43" s="2843"/>
      <c r="FHL43" s="2843"/>
      <c r="FHM43" s="2844"/>
      <c r="FHN43" s="2845"/>
      <c r="FHO43" s="2842"/>
      <c r="FHP43" s="2842"/>
      <c r="FHQ43" s="2843"/>
      <c r="FHR43" s="2843"/>
      <c r="FHS43" s="2844"/>
      <c r="FHT43" s="2845"/>
      <c r="FHU43" s="2842"/>
      <c r="FHV43" s="2842"/>
      <c r="FHW43" s="2843"/>
      <c r="FHX43" s="2843"/>
      <c r="FHY43" s="2844"/>
      <c r="FHZ43" s="2845"/>
      <c r="FIA43" s="2842"/>
      <c r="FIB43" s="2842"/>
      <c r="FIC43" s="2843"/>
      <c r="FID43" s="2843"/>
      <c r="FIE43" s="2844"/>
      <c r="FIF43" s="2845"/>
      <c r="FIG43" s="2842"/>
      <c r="FIH43" s="2842"/>
      <c r="FII43" s="2843"/>
      <c r="FIJ43" s="2843"/>
      <c r="FIK43" s="2844"/>
      <c r="FIL43" s="2845"/>
      <c r="FIM43" s="2842"/>
      <c r="FIN43" s="2842"/>
      <c r="FIO43" s="2843"/>
      <c r="FIP43" s="2843"/>
      <c r="FIQ43" s="2844"/>
      <c r="FIR43" s="2845"/>
      <c r="FIS43" s="2842"/>
      <c r="FIT43" s="2842"/>
      <c r="FIU43" s="2843"/>
      <c r="FIV43" s="2843"/>
      <c r="FIW43" s="2844"/>
      <c r="FIX43" s="2845"/>
      <c r="FIY43" s="2842"/>
      <c r="FIZ43" s="2842"/>
      <c r="FJA43" s="2843"/>
      <c r="FJB43" s="2843"/>
      <c r="FJC43" s="2844"/>
      <c r="FJD43" s="2845"/>
      <c r="FJE43" s="2842"/>
      <c r="FJF43" s="2842"/>
      <c r="FJG43" s="2843"/>
      <c r="FJH43" s="2843"/>
      <c r="FJI43" s="2844"/>
      <c r="FJJ43" s="2845"/>
      <c r="FJK43" s="2842"/>
      <c r="FJL43" s="2842"/>
      <c r="FJM43" s="2843"/>
      <c r="FJN43" s="2843"/>
      <c r="FJO43" s="2844"/>
      <c r="FJP43" s="2845"/>
      <c r="FJQ43" s="2842"/>
      <c r="FJR43" s="2842"/>
      <c r="FJS43" s="2843"/>
      <c r="FJT43" s="2843"/>
      <c r="FJU43" s="2844"/>
      <c r="FJV43" s="2845"/>
      <c r="FJW43" s="2842"/>
      <c r="FJX43" s="2842"/>
      <c r="FJY43" s="2843"/>
      <c r="FJZ43" s="2843"/>
      <c r="FKA43" s="2844"/>
      <c r="FKB43" s="2845"/>
      <c r="FKC43" s="2842"/>
      <c r="FKD43" s="2842"/>
      <c r="FKE43" s="2843"/>
      <c r="FKF43" s="2843"/>
      <c r="FKG43" s="2844"/>
      <c r="FKH43" s="2845"/>
      <c r="FKI43" s="2842"/>
      <c r="FKJ43" s="2842"/>
      <c r="FKK43" s="2843"/>
      <c r="FKL43" s="2843"/>
      <c r="FKM43" s="2844"/>
      <c r="FKN43" s="2845"/>
      <c r="FKO43" s="2842"/>
      <c r="FKP43" s="2842"/>
      <c r="FKQ43" s="2843"/>
      <c r="FKR43" s="2843"/>
      <c r="FKS43" s="2844"/>
      <c r="FKT43" s="2845"/>
      <c r="FKU43" s="2842"/>
      <c r="FKV43" s="2842"/>
      <c r="FKW43" s="2843"/>
      <c r="FKX43" s="2843"/>
      <c r="FKY43" s="2844"/>
      <c r="FKZ43" s="2845"/>
      <c r="FLA43" s="2842"/>
      <c r="FLB43" s="2842"/>
      <c r="FLC43" s="2843"/>
      <c r="FLD43" s="2843"/>
      <c r="FLE43" s="2844"/>
      <c r="FLF43" s="2845"/>
      <c r="FLG43" s="2842"/>
      <c r="FLH43" s="2842"/>
      <c r="FLI43" s="2843"/>
      <c r="FLJ43" s="2843"/>
      <c r="FLK43" s="2844"/>
      <c r="FLL43" s="2845"/>
      <c r="FLM43" s="2842"/>
      <c r="FLN43" s="2842"/>
      <c r="FLO43" s="2843"/>
      <c r="FLP43" s="2843"/>
      <c r="FLQ43" s="2844"/>
      <c r="FLR43" s="2845"/>
      <c r="FLS43" s="2842"/>
      <c r="FLT43" s="2842"/>
      <c r="FLU43" s="2843"/>
      <c r="FLV43" s="2843"/>
      <c r="FLW43" s="2844"/>
      <c r="FLX43" s="2845"/>
      <c r="FLY43" s="2842"/>
      <c r="FLZ43" s="2842"/>
      <c r="FMA43" s="2843"/>
      <c r="FMB43" s="2843"/>
      <c r="FMC43" s="2844"/>
      <c r="FMD43" s="2845"/>
      <c r="FME43" s="2842"/>
      <c r="FMF43" s="2842"/>
      <c r="FMG43" s="2843"/>
      <c r="FMH43" s="2843"/>
      <c r="FMI43" s="2844"/>
      <c r="FMJ43" s="2845"/>
      <c r="FMK43" s="2842"/>
      <c r="FML43" s="2842"/>
      <c r="FMM43" s="2843"/>
      <c r="FMN43" s="2843"/>
      <c r="FMO43" s="2844"/>
      <c r="FMP43" s="2845"/>
      <c r="FMQ43" s="2842"/>
      <c r="FMR43" s="2842"/>
      <c r="FMS43" s="2843"/>
      <c r="FMT43" s="2843"/>
      <c r="FMU43" s="2844"/>
      <c r="FMV43" s="2845"/>
      <c r="FMW43" s="2842"/>
      <c r="FMX43" s="2842"/>
      <c r="FMY43" s="2843"/>
      <c r="FMZ43" s="2843"/>
      <c r="FNA43" s="2844"/>
      <c r="FNB43" s="2845"/>
      <c r="FNC43" s="2842"/>
      <c r="FND43" s="2842"/>
      <c r="FNE43" s="2843"/>
      <c r="FNF43" s="2843"/>
      <c r="FNG43" s="2844"/>
      <c r="FNH43" s="2845"/>
      <c r="FNI43" s="2842"/>
      <c r="FNJ43" s="2842"/>
      <c r="FNK43" s="2843"/>
      <c r="FNL43" s="2843"/>
      <c r="FNM43" s="2844"/>
      <c r="FNN43" s="2845"/>
      <c r="FNO43" s="2842"/>
      <c r="FNP43" s="2842"/>
      <c r="FNQ43" s="2843"/>
      <c r="FNR43" s="2843"/>
      <c r="FNS43" s="2844"/>
      <c r="FNT43" s="2845"/>
      <c r="FNU43" s="2842"/>
      <c r="FNV43" s="2842"/>
      <c r="FNW43" s="2843"/>
      <c r="FNX43" s="2843"/>
      <c r="FNY43" s="2844"/>
      <c r="FNZ43" s="2845"/>
      <c r="FOA43" s="2842"/>
      <c r="FOB43" s="2842"/>
      <c r="FOC43" s="2843"/>
      <c r="FOD43" s="2843"/>
      <c r="FOE43" s="2844"/>
      <c r="FOF43" s="2845"/>
      <c r="FOG43" s="2842"/>
      <c r="FOH43" s="2842"/>
      <c r="FOI43" s="2843"/>
      <c r="FOJ43" s="2843"/>
      <c r="FOK43" s="2844"/>
      <c r="FOL43" s="2845"/>
      <c r="FOM43" s="2842"/>
      <c r="FON43" s="2842"/>
      <c r="FOO43" s="2843"/>
      <c r="FOP43" s="2843"/>
      <c r="FOQ43" s="2844"/>
      <c r="FOR43" s="2845"/>
      <c r="FOS43" s="2842"/>
      <c r="FOT43" s="2842"/>
      <c r="FOU43" s="2843"/>
      <c r="FOV43" s="2843"/>
      <c r="FOW43" s="2844"/>
      <c r="FOX43" s="2845"/>
      <c r="FOY43" s="2842"/>
      <c r="FOZ43" s="2842"/>
      <c r="FPA43" s="2843"/>
      <c r="FPB43" s="2843"/>
      <c r="FPC43" s="2844"/>
      <c r="FPD43" s="2845"/>
      <c r="FPE43" s="2842"/>
      <c r="FPF43" s="2842"/>
      <c r="FPG43" s="2843"/>
      <c r="FPH43" s="2843"/>
      <c r="FPI43" s="2844"/>
      <c r="FPJ43" s="2845"/>
      <c r="FPK43" s="2842"/>
      <c r="FPL43" s="2842"/>
      <c r="FPM43" s="2843"/>
      <c r="FPN43" s="2843"/>
      <c r="FPO43" s="2844"/>
      <c r="FPP43" s="2845"/>
      <c r="FPQ43" s="2842"/>
      <c r="FPR43" s="2842"/>
      <c r="FPS43" s="2843"/>
      <c r="FPT43" s="2843"/>
      <c r="FPU43" s="2844"/>
      <c r="FPV43" s="2845"/>
      <c r="FPW43" s="2842"/>
      <c r="FPX43" s="2842"/>
      <c r="FPY43" s="2843"/>
      <c r="FPZ43" s="2843"/>
      <c r="FQA43" s="2844"/>
      <c r="FQB43" s="2845"/>
      <c r="FQC43" s="2842"/>
      <c r="FQD43" s="2842"/>
      <c r="FQE43" s="2843"/>
      <c r="FQF43" s="2843"/>
      <c r="FQG43" s="2844"/>
      <c r="FQH43" s="2845"/>
      <c r="FQI43" s="2842"/>
      <c r="FQJ43" s="2842"/>
      <c r="FQK43" s="2843"/>
      <c r="FQL43" s="2843"/>
      <c r="FQM43" s="2844"/>
      <c r="FQN43" s="2845"/>
      <c r="FQO43" s="2842"/>
      <c r="FQP43" s="2842"/>
      <c r="FQQ43" s="2843"/>
      <c r="FQR43" s="2843"/>
      <c r="FQS43" s="2844"/>
      <c r="FQT43" s="2845"/>
      <c r="FQU43" s="2842"/>
      <c r="FQV43" s="2842"/>
      <c r="FQW43" s="2843"/>
      <c r="FQX43" s="2843"/>
      <c r="FQY43" s="2844"/>
      <c r="FQZ43" s="2845"/>
      <c r="FRA43" s="2842"/>
      <c r="FRB43" s="2842"/>
      <c r="FRC43" s="2843"/>
      <c r="FRD43" s="2843"/>
      <c r="FRE43" s="2844"/>
      <c r="FRF43" s="2845"/>
      <c r="FRG43" s="2842"/>
      <c r="FRH43" s="2842"/>
      <c r="FRI43" s="2843"/>
      <c r="FRJ43" s="2843"/>
      <c r="FRK43" s="2844"/>
      <c r="FRL43" s="2845"/>
      <c r="FRM43" s="2842"/>
      <c r="FRN43" s="2842"/>
      <c r="FRO43" s="2843"/>
      <c r="FRP43" s="2843"/>
      <c r="FRQ43" s="2844"/>
      <c r="FRR43" s="2845"/>
      <c r="FRS43" s="2842"/>
      <c r="FRT43" s="2842"/>
      <c r="FRU43" s="2843"/>
      <c r="FRV43" s="2843"/>
      <c r="FRW43" s="2844"/>
      <c r="FRX43" s="2845"/>
      <c r="FRY43" s="2842"/>
      <c r="FRZ43" s="2842"/>
      <c r="FSA43" s="2843"/>
      <c r="FSB43" s="2843"/>
      <c r="FSC43" s="2844"/>
      <c r="FSD43" s="2845"/>
      <c r="FSE43" s="2842"/>
      <c r="FSF43" s="2842"/>
      <c r="FSG43" s="2843"/>
      <c r="FSH43" s="2843"/>
      <c r="FSI43" s="2844"/>
      <c r="FSJ43" s="2845"/>
      <c r="FSK43" s="2842"/>
      <c r="FSL43" s="2842"/>
      <c r="FSM43" s="2843"/>
      <c r="FSN43" s="2843"/>
      <c r="FSO43" s="2844"/>
      <c r="FSP43" s="2845"/>
      <c r="FSQ43" s="2842"/>
      <c r="FSR43" s="2842"/>
      <c r="FSS43" s="2843"/>
      <c r="FST43" s="2843"/>
      <c r="FSU43" s="2844"/>
      <c r="FSV43" s="2845"/>
      <c r="FSW43" s="2842"/>
      <c r="FSX43" s="2842"/>
      <c r="FSY43" s="2843"/>
      <c r="FSZ43" s="2843"/>
      <c r="FTA43" s="2844"/>
      <c r="FTB43" s="2845"/>
      <c r="FTC43" s="2842"/>
      <c r="FTD43" s="2842"/>
      <c r="FTE43" s="2843"/>
      <c r="FTF43" s="2843"/>
      <c r="FTG43" s="2844"/>
      <c r="FTH43" s="2845"/>
      <c r="FTI43" s="2842"/>
      <c r="FTJ43" s="2842"/>
      <c r="FTK43" s="2843"/>
      <c r="FTL43" s="2843"/>
      <c r="FTM43" s="2844"/>
      <c r="FTN43" s="2845"/>
      <c r="FTO43" s="2842"/>
      <c r="FTP43" s="2842"/>
      <c r="FTQ43" s="2843"/>
      <c r="FTR43" s="2843"/>
      <c r="FTS43" s="2844"/>
      <c r="FTT43" s="2845"/>
      <c r="FTU43" s="2842"/>
      <c r="FTV43" s="2842"/>
      <c r="FTW43" s="2843"/>
      <c r="FTX43" s="2843"/>
      <c r="FTY43" s="2844"/>
      <c r="FTZ43" s="2845"/>
      <c r="FUA43" s="2842"/>
      <c r="FUB43" s="2842"/>
      <c r="FUC43" s="2843"/>
      <c r="FUD43" s="2843"/>
      <c r="FUE43" s="2844"/>
      <c r="FUF43" s="2845"/>
      <c r="FUG43" s="2842"/>
      <c r="FUH43" s="2842"/>
      <c r="FUI43" s="2843"/>
      <c r="FUJ43" s="2843"/>
      <c r="FUK43" s="2844"/>
      <c r="FUL43" s="2845"/>
      <c r="FUM43" s="2842"/>
      <c r="FUN43" s="2842"/>
      <c r="FUO43" s="2843"/>
      <c r="FUP43" s="2843"/>
      <c r="FUQ43" s="2844"/>
      <c r="FUR43" s="2845"/>
      <c r="FUS43" s="2842"/>
      <c r="FUT43" s="2842"/>
      <c r="FUU43" s="2843"/>
      <c r="FUV43" s="2843"/>
      <c r="FUW43" s="2844"/>
      <c r="FUX43" s="2845"/>
      <c r="FUY43" s="2842"/>
      <c r="FUZ43" s="2842"/>
      <c r="FVA43" s="2843"/>
      <c r="FVB43" s="2843"/>
      <c r="FVC43" s="2844"/>
      <c r="FVD43" s="2845"/>
      <c r="FVE43" s="2842"/>
      <c r="FVF43" s="2842"/>
      <c r="FVG43" s="2843"/>
      <c r="FVH43" s="2843"/>
      <c r="FVI43" s="2844"/>
      <c r="FVJ43" s="2845"/>
      <c r="FVK43" s="2842"/>
      <c r="FVL43" s="2842"/>
      <c r="FVM43" s="2843"/>
      <c r="FVN43" s="2843"/>
      <c r="FVO43" s="2844"/>
      <c r="FVP43" s="2845"/>
      <c r="FVQ43" s="2842"/>
      <c r="FVR43" s="2842"/>
      <c r="FVS43" s="2843"/>
      <c r="FVT43" s="2843"/>
      <c r="FVU43" s="2844"/>
      <c r="FVV43" s="2845"/>
      <c r="FVW43" s="2842"/>
      <c r="FVX43" s="2842"/>
      <c r="FVY43" s="2843"/>
      <c r="FVZ43" s="2843"/>
      <c r="FWA43" s="2844"/>
      <c r="FWB43" s="2845"/>
      <c r="FWC43" s="2842"/>
      <c r="FWD43" s="2842"/>
      <c r="FWE43" s="2843"/>
      <c r="FWF43" s="2843"/>
      <c r="FWG43" s="2844"/>
      <c r="FWH43" s="2845"/>
      <c r="FWI43" s="2842"/>
      <c r="FWJ43" s="2842"/>
      <c r="FWK43" s="2843"/>
      <c r="FWL43" s="2843"/>
      <c r="FWM43" s="2844"/>
      <c r="FWN43" s="2845"/>
      <c r="FWO43" s="2842"/>
      <c r="FWP43" s="2842"/>
      <c r="FWQ43" s="2843"/>
      <c r="FWR43" s="2843"/>
      <c r="FWS43" s="2844"/>
      <c r="FWT43" s="2845"/>
      <c r="FWU43" s="2842"/>
      <c r="FWV43" s="2842"/>
      <c r="FWW43" s="2843"/>
      <c r="FWX43" s="2843"/>
      <c r="FWY43" s="2844"/>
      <c r="FWZ43" s="2845"/>
      <c r="FXA43" s="2842"/>
      <c r="FXB43" s="2842"/>
      <c r="FXC43" s="2843"/>
      <c r="FXD43" s="2843"/>
      <c r="FXE43" s="2844"/>
      <c r="FXF43" s="2845"/>
      <c r="FXG43" s="2842"/>
      <c r="FXH43" s="2842"/>
      <c r="FXI43" s="2843"/>
      <c r="FXJ43" s="2843"/>
      <c r="FXK43" s="2844"/>
      <c r="FXL43" s="2845"/>
      <c r="FXM43" s="2842"/>
      <c r="FXN43" s="2842"/>
      <c r="FXO43" s="2843"/>
      <c r="FXP43" s="2843"/>
      <c r="FXQ43" s="2844"/>
      <c r="FXR43" s="2845"/>
      <c r="FXS43" s="2842"/>
      <c r="FXT43" s="2842"/>
      <c r="FXU43" s="2843"/>
      <c r="FXV43" s="2843"/>
      <c r="FXW43" s="2844"/>
      <c r="FXX43" s="2845"/>
      <c r="FXY43" s="2842"/>
      <c r="FXZ43" s="2842"/>
      <c r="FYA43" s="2843"/>
      <c r="FYB43" s="2843"/>
      <c r="FYC43" s="2844"/>
      <c r="FYD43" s="2845"/>
      <c r="FYE43" s="2842"/>
      <c r="FYF43" s="2842"/>
      <c r="FYG43" s="2843"/>
      <c r="FYH43" s="2843"/>
      <c r="FYI43" s="2844"/>
      <c r="FYJ43" s="2845"/>
      <c r="FYK43" s="2842"/>
      <c r="FYL43" s="2842"/>
      <c r="FYM43" s="2843"/>
      <c r="FYN43" s="2843"/>
      <c r="FYO43" s="2844"/>
      <c r="FYP43" s="2845"/>
      <c r="FYQ43" s="2842"/>
      <c r="FYR43" s="2842"/>
      <c r="FYS43" s="2843"/>
      <c r="FYT43" s="2843"/>
      <c r="FYU43" s="2844"/>
      <c r="FYV43" s="2845"/>
      <c r="FYW43" s="2842"/>
      <c r="FYX43" s="2842"/>
      <c r="FYY43" s="2843"/>
      <c r="FYZ43" s="2843"/>
      <c r="FZA43" s="2844"/>
      <c r="FZB43" s="2845"/>
      <c r="FZC43" s="2842"/>
      <c r="FZD43" s="2842"/>
      <c r="FZE43" s="2843"/>
      <c r="FZF43" s="2843"/>
      <c r="FZG43" s="2844"/>
      <c r="FZH43" s="2845"/>
      <c r="FZI43" s="2842"/>
      <c r="FZJ43" s="2842"/>
      <c r="FZK43" s="2843"/>
      <c r="FZL43" s="2843"/>
      <c r="FZM43" s="2844"/>
      <c r="FZN43" s="2845"/>
      <c r="FZO43" s="2842"/>
      <c r="FZP43" s="2842"/>
      <c r="FZQ43" s="2843"/>
      <c r="FZR43" s="2843"/>
      <c r="FZS43" s="2844"/>
      <c r="FZT43" s="2845"/>
      <c r="FZU43" s="2842"/>
      <c r="FZV43" s="2842"/>
      <c r="FZW43" s="2843"/>
      <c r="FZX43" s="2843"/>
      <c r="FZY43" s="2844"/>
      <c r="FZZ43" s="2845"/>
      <c r="GAA43" s="2842"/>
      <c r="GAB43" s="2842"/>
      <c r="GAC43" s="2843"/>
      <c r="GAD43" s="2843"/>
      <c r="GAE43" s="2844"/>
      <c r="GAF43" s="2845"/>
      <c r="GAG43" s="2842"/>
      <c r="GAH43" s="2842"/>
      <c r="GAI43" s="2843"/>
      <c r="GAJ43" s="2843"/>
      <c r="GAK43" s="2844"/>
      <c r="GAL43" s="2845"/>
      <c r="GAM43" s="2842"/>
      <c r="GAN43" s="2842"/>
      <c r="GAO43" s="2843"/>
      <c r="GAP43" s="2843"/>
      <c r="GAQ43" s="2844"/>
      <c r="GAR43" s="2845"/>
      <c r="GAS43" s="2842"/>
      <c r="GAT43" s="2842"/>
      <c r="GAU43" s="2843"/>
      <c r="GAV43" s="2843"/>
      <c r="GAW43" s="2844"/>
      <c r="GAX43" s="2845"/>
      <c r="GAY43" s="2842"/>
      <c r="GAZ43" s="2842"/>
      <c r="GBA43" s="2843"/>
      <c r="GBB43" s="2843"/>
      <c r="GBC43" s="2844"/>
      <c r="GBD43" s="2845"/>
      <c r="GBE43" s="2842"/>
      <c r="GBF43" s="2842"/>
      <c r="GBG43" s="2843"/>
      <c r="GBH43" s="2843"/>
      <c r="GBI43" s="2844"/>
      <c r="GBJ43" s="2845"/>
      <c r="GBK43" s="2842"/>
      <c r="GBL43" s="2842"/>
      <c r="GBM43" s="2843"/>
      <c r="GBN43" s="2843"/>
      <c r="GBO43" s="2844"/>
      <c r="GBP43" s="2845"/>
      <c r="GBQ43" s="2842"/>
      <c r="GBR43" s="2842"/>
      <c r="GBS43" s="2843"/>
      <c r="GBT43" s="2843"/>
      <c r="GBU43" s="2844"/>
      <c r="GBV43" s="2845"/>
      <c r="GBW43" s="2842"/>
      <c r="GBX43" s="2842"/>
      <c r="GBY43" s="2843"/>
      <c r="GBZ43" s="2843"/>
      <c r="GCA43" s="2844"/>
      <c r="GCB43" s="2845"/>
      <c r="GCC43" s="2842"/>
      <c r="GCD43" s="2842"/>
      <c r="GCE43" s="2843"/>
      <c r="GCF43" s="2843"/>
      <c r="GCG43" s="2844"/>
      <c r="GCH43" s="2845"/>
      <c r="GCI43" s="2842"/>
      <c r="GCJ43" s="2842"/>
      <c r="GCK43" s="2843"/>
      <c r="GCL43" s="2843"/>
      <c r="GCM43" s="2844"/>
      <c r="GCN43" s="2845"/>
      <c r="GCO43" s="2842"/>
      <c r="GCP43" s="2842"/>
      <c r="GCQ43" s="2843"/>
      <c r="GCR43" s="2843"/>
      <c r="GCS43" s="2844"/>
      <c r="GCT43" s="2845"/>
      <c r="GCU43" s="2842"/>
      <c r="GCV43" s="2842"/>
      <c r="GCW43" s="2843"/>
      <c r="GCX43" s="2843"/>
      <c r="GCY43" s="2844"/>
      <c r="GCZ43" s="2845"/>
      <c r="GDA43" s="2842"/>
      <c r="GDB43" s="2842"/>
      <c r="GDC43" s="2843"/>
      <c r="GDD43" s="2843"/>
      <c r="GDE43" s="2844"/>
      <c r="GDF43" s="2845"/>
      <c r="GDG43" s="2842"/>
      <c r="GDH43" s="2842"/>
      <c r="GDI43" s="2843"/>
      <c r="GDJ43" s="2843"/>
      <c r="GDK43" s="2844"/>
      <c r="GDL43" s="2845"/>
      <c r="GDM43" s="2842"/>
      <c r="GDN43" s="2842"/>
      <c r="GDO43" s="2843"/>
      <c r="GDP43" s="2843"/>
      <c r="GDQ43" s="2844"/>
      <c r="GDR43" s="2845"/>
      <c r="GDS43" s="2842"/>
      <c r="GDT43" s="2842"/>
      <c r="GDU43" s="2843"/>
      <c r="GDV43" s="2843"/>
      <c r="GDW43" s="2844"/>
      <c r="GDX43" s="2845"/>
      <c r="GDY43" s="2842"/>
      <c r="GDZ43" s="2842"/>
      <c r="GEA43" s="2843"/>
      <c r="GEB43" s="2843"/>
      <c r="GEC43" s="2844"/>
      <c r="GED43" s="2845"/>
      <c r="GEE43" s="2842"/>
      <c r="GEF43" s="2842"/>
      <c r="GEG43" s="2843"/>
      <c r="GEH43" s="2843"/>
      <c r="GEI43" s="2844"/>
      <c r="GEJ43" s="2845"/>
      <c r="GEK43" s="2842"/>
      <c r="GEL43" s="2842"/>
      <c r="GEM43" s="2843"/>
      <c r="GEN43" s="2843"/>
      <c r="GEO43" s="2844"/>
      <c r="GEP43" s="2845"/>
      <c r="GEQ43" s="2842"/>
      <c r="GER43" s="2842"/>
      <c r="GES43" s="2843"/>
      <c r="GET43" s="2843"/>
      <c r="GEU43" s="2844"/>
      <c r="GEV43" s="2845"/>
      <c r="GEW43" s="2842"/>
      <c r="GEX43" s="2842"/>
      <c r="GEY43" s="2843"/>
      <c r="GEZ43" s="2843"/>
      <c r="GFA43" s="2844"/>
      <c r="GFB43" s="2845"/>
      <c r="GFC43" s="2842"/>
      <c r="GFD43" s="2842"/>
      <c r="GFE43" s="2843"/>
      <c r="GFF43" s="2843"/>
      <c r="GFG43" s="2844"/>
      <c r="GFH43" s="2845"/>
      <c r="GFI43" s="2842"/>
      <c r="GFJ43" s="2842"/>
      <c r="GFK43" s="2843"/>
      <c r="GFL43" s="2843"/>
      <c r="GFM43" s="2844"/>
      <c r="GFN43" s="2845"/>
      <c r="GFO43" s="2842"/>
      <c r="GFP43" s="2842"/>
      <c r="GFQ43" s="2843"/>
      <c r="GFR43" s="2843"/>
      <c r="GFS43" s="2844"/>
      <c r="GFT43" s="2845"/>
      <c r="GFU43" s="2842"/>
      <c r="GFV43" s="2842"/>
      <c r="GFW43" s="2843"/>
      <c r="GFX43" s="2843"/>
      <c r="GFY43" s="2844"/>
      <c r="GFZ43" s="2845"/>
      <c r="GGA43" s="2842"/>
      <c r="GGB43" s="2842"/>
      <c r="GGC43" s="2843"/>
      <c r="GGD43" s="2843"/>
      <c r="GGE43" s="2844"/>
      <c r="GGF43" s="2845"/>
      <c r="GGG43" s="2842"/>
      <c r="GGH43" s="2842"/>
      <c r="GGI43" s="2843"/>
      <c r="GGJ43" s="2843"/>
      <c r="GGK43" s="2844"/>
      <c r="GGL43" s="2845"/>
      <c r="GGM43" s="2842"/>
      <c r="GGN43" s="2842"/>
      <c r="GGO43" s="2843"/>
      <c r="GGP43" s="2843"/>
      <c r="GGQ43" s="2844"/>
      <c r="GGR43" s="2845"/>
      <c r="GGS43" s="2842"/>
      <c r="GGT43" s="2842"/>
      <c r="GGU43" s="2843"/>
      <c r="GGV43" s="2843"/>
      <c r="GGW43" s="2844"/>
      <c r="GGX43" s="2845"/>
      <c r="GGY43" s="2842"/>
      <c r="GGZ43" s="2842"/>
      <c r="GHA43" s="2843"/>
      <c r="GHB43" s="2843"/>
      <c r="GHC43" s="2844"/>
      <c r="GHD43" s="2845"/>
      <c r="GHE43" s="2842"/>
      <c r="GHF43" s="2842"/>
      <c r="GHG43" s="2843"/>
      <c r="GHH43" s="2843"/>
      <c r="GHI43" s="2844"/>
      <c r="GHJ43" s="2845"/>
      <c r="GHK43" s="2842"/>
      <c r="GHL43" s="2842"/>
      <c r="GHM43" s="2843"/>
      <c r="GHN43" s="2843"/>
      <c r="GHO43" s="2844"/>
      <c r="GHP43" s="2845"/>
      <c r="GHQ43" s="2842"/>
      <c r="GHR43" s="2842"/>
      <c r="GHS43" s="2843"/>
      <c r="GHT43" s="2843"/>
      <c r="GHU43" s="2844"/>
      <c r="GHV43" s="2845"/>
      <c r="GHW43" s="2842"/>
      <c r="GHX43" s="2842"/>
      <c r="GHY43" s="2843"/>
      <c r="GHZ43" s="2843"/>
      <c r="GIA43" s="2844"/>
      <c r="GIB43" s="2845"/>
      <c r="GIC43" s="2842"/>
      <c r="GID43" s="2842"/>
      <c r="GIE43" s="2843"/>
      <c r="GIF43" s="2843"/>
      <c r="GIG43" s="2844"/>
      <c r="GIH43" s="2845"/>
      <c r="GII43" s="2842"/>
      <c r="GIJ43" s="2842"/>
      <c r="GIK43" s="2843"/>
      <c r="GIL43" s="2843"/>
      <c r="GIM43" s="2844"/>
      <c r="GIN43" s="2845"/>
      <c r="GIO43" s="2842"/>
      <c r="GIP43" s="2842"/>
      <c r="GIQ43" s="2843"/>
      <c r="GIR43" s="2843"/>
      <c r="GIS43" s="2844"/>
      <c r="GIT43" s="2845"/>
      <c r="GIU43" s="2842"/>
      <c r="GIV43" s="2842"/>
      <c r="GIW43" s="2843"/>
      <c r="GIX43" s="2843"/>
      <c r="GIY43" s="2844"/>
      <c r="GIZ43" s="2845"/>
      <c r="GJA43" s="2842"/>
      <c r="GJB43" s="2842"/>
      <c r="GJC43" s="2843"/>
      <c r="GJD43" s="2843"/>
      <c r="GJE43" s="2844"/>
      <c r="GJF43" s="2845"/>
      <c r="GJG43" s="2842"/>
      <c r="GJH43" s="2842"/>
      <c r="GJI43" s="2843"/>
      <c r="GJJ43" s="2843"/>
      <c r="GJK43" s="2844"/>
      <c r="GJL43" s="2845"/>
      <c r="GJM43" s="2842"/>
      <c r="GJN43" s="2842"/>
      <c r="GJO43" s="2843"/>
      <c r="GJP43" s="2843"/>
      <c r="GJQ43" s="2844"/>
      <c r="GJR43" s="2845"/>
      <c r="GJS43" s="2842"/>
      <c r="GJT43" s="2842"/>
      <c r="GJU43" s="2843"/>
      <c r="GJV43" s="2843"/>
      <c r="GJW43" s="2844"/>
      <c r="GJX43" s="2845"/>
      <c r="GJY43" s="2842"/>
      <c r="GJZ43" s="2842"/>
      <c r="GKA43" s="2843"/>
      <c r="GKB43" s="2843"/>
      <c r="GKC43" s="2844"/>
      <c r="GKD43" s="2845"/>
      <c r="GKE43" s="2842"/>
      <c r="GKF43" s="2842"/>
      <c r="GKG43" s="2843"/>
      <c r="GKH43" s="2843"/>
      <c r="GKI43" s="2844"/>
      <c r="GKJ43" s="2845"/>
      <c r="GKK43" s="2842"/>
      <c r="GKL43" s="2842"/>
      <c r="GKM43" s="2843"/>
      <c r="GKN43" s="2843"/>
      <c r="GKO43" s="2844"/>
      <c r="GKP43" s="2845"/>
      <c r="GKQ43" s="2842"/>
      <c r="GKR43" s="2842"/>
      <c r="GKS43" s="2843"/>
      <c r="GKT43" s="2843"/>
      <c r="GKU43" s="2844"/>
      <c r="GKV43" s="2845"/>
      <c r="GKW43" s="2842"/>
      <c r="GKX43" s="2842"/>
      <c r="GKY43" s="2843"/>
      <c r="GKZ43" s="2843"/>
      <c r="GLA43" s="2844"/>
      <c r="GLB43" s="2845"/>
      <c r="GLC43" s="2842"/>
      <c r="GLD43" s="2842"/>
      <c r="GLE43" s="2843"/>
      <c r="GLF43" s="2843"/>
      <c r="GLG43" s="2844"/>
      <c r="GLH43" s="2845"/>
      <c r="GLI43" s="2842"/>
      <c r="GLJ43" s="2842"/>
      <c r="GLK43" s="2843"/>
      <c r="GLL43" s="2843"/>
      <c r="GLM43" s="2844"/>
      <c r="GLN43" s="2845"/>
      <c r="GLO43" s="2842"/>
      <c r="GLP43" s="2842"/>
      <c r="GLQ43" s="2843"/>
      <c r="GLR43" s="2843"/>
      <c r="GLS43" s="2844"/>
      <c r="GLT43" s="2845"/>
      <c r="GLU43" s="2842"/>
      <c r="GLV43" s="2842"/>
      <c r="GLW43" s="2843"/>
      <c r="GLX43" s="2843"/>
      <c r="GLY43" s="2844"/>
      <c r="GLZ43" s="2845"/>
      <c r="GMA43" s="2842"/>
      <c r="GMB43" s="2842"/>
      <c r="GMC43" s="2843"/>
      <c r="GMD43" s="2843"/>
      <c r="GME43" s="2844"/>
      <c r="GMF43" s="2845"/>
      <c r="GMG43" s="2842"/>
      <c r="GMH43" s="2842"/>
      <c r="GMI43" s="2843"/>
      <c r="GMJ43" s="2843"/>
      <c r="GMK43" s="2844"/>
      <c r="GML43" s="2845"/>
      <c r="GMM43" s="2842"/>
      <c r="GMN43" s="2842"/>
      <c r="GMO43" s="2843"/>
      <c r="GMP43" s="2843"/>
      <c r="GMQ43" s="2844"/>
      <c r="GMR43" s="2845"/>
      <c r="GMS43" s="2842"/>
      <c r="GMT43" s="2842"/>
      <c r="GMU43" s="2843"/>
      <c r="GMV43" s="2843"/>
      <c r="GMW43" s="2844"/>
      <c r="GMX43" s="2845"/>
      <c r="GMY43" s="2842"/>
      <c r="GMZ43" s="2842"/>
      <c r="GNA43" s="2843"/>
      <c r="GNB43" s="2843"/>
      <c r="GNC43" s="2844"/>
      <c r="GND43" s="2845"/>
      <c r="GNE43" s="2842"/>
      <c r="GNF43" s="2842"/>
      <c r="GNG43" s="2843"/>
      <c r="GNH43" s="2843"/>
      <c r="GNI43" s="2844"/>
      <c r="GNJ43" s="2845"/>
      <c r="GNK43" s="2842"/>
      <c r="GNL43" s="2842"/>
      <c r="GNM43" s="2843"/>
      <c r="GNN43" s="2843"/>
      <c r="GNO43" s="2844"/>
      <c r="GNP43" s="2845"/>
      <c r="GNQ43" s="2842"/>
      <c r="GNR43" s="2842"/>
      <c r="GNS43" s="2843"/>
      <c r="GNT43" s="2843"/>
      <c r="GNU43" s="2844"/>
      <c r="GNV43" s="2845"/>
      <c r="GNW43" s="2842"/>
      <c r="GNX43" s="2842"/>
      <c r="GNY43" s="2843"/>
      <c r="GNZ43" s="2843"/>
      <c r="GOA43" s="2844"/>
      <c r="GOB43" s="2845"/>
      <c r="GOC43" s="2842"/>
      <c r="GOD43" s="2842"/>
      <c r="GOE43" s="2843"/>
      <c r="GOF43" s="2843"/>
      <c r="GOG43" s="2844"/>
      <c r="GOH43" s="2845"/>
      <c r="GOI43" s="2842"/>
      <c r="GOJ43" s="2842"/>
      <c r="GOK43" s="2843"/>
      <c r="GOL43" s="2843"/>
      <c r="GOM43" s="2844"/>
      <c r="GON43" s="2845"/>
      <c r="GOO43" s="2842"/>
      <c r="GOP43" s="2842"/>
      <c r="GOQ43" s="2843"/>
      <c r="GOR43" s="2843"/>
      <c r="GOS43" s="2844"/>
      <c r="GOT43" s="2845"/>
      <c r="GOU43" s="2842"/>
      <c r="GOV43" s="2842"/>
      <c r="GOW43" s="2843"/>
      <c r="GOX43" s="2843"/>
      <c r="GOY43" s="2844"/>
      <c r="GOZ43" s="2845"/>
      <c r="GPA43" s="2842"/>
      <c r="GPB43" s="2842"/>
      <c r="GPC43" s="2843"/>
      <c r="GPD43" s="2843"/>
      <c r="GPE43" s="2844"/>
      <c r="GPF43" s="2845"/>
      <c r="GPG43" s="2842"/>
      <c r="GPH43" s="2842"/>
      <c r="GPI43" s="2843"/>
      <c r="GPJ43" s="2843"/>
      <c r="GPK43" s="2844"/>
      <c r="GPL43" s="2845"/>
      <c r="GPM43" s="2842"/>
      <c r="GPN43" s="2842"/>
      <c r="GPO43" s="2843"/>
      <c r="GPP43" s="2843"/>
      <c r="GPQ43" s="2844"/>
      <c r="GPR43" s="2845"/>
      <c r="GPS43" s="2842"/>
      <c r="GPT43" s="2842"/>
      <c r="GPU43" s="2843"/>
      <c r="GPV43" s="2843"/>
      <c r="GPW43" s="2844"/>
      <c r="GPX43" s="2845"/>
      <c r="GPY43" s="2842"/>
      <c r="GPZ43" s="2842"/>
      <c r="GQA43" s="2843"/>
      <c r="GQB43" s="2843"/>
      <c r="GQC43" s="2844"/>
      <c r="GQD43" s="2845"/>
      <c r="GQE43" s="2842"/>
      <c r="GQF43" s="2842"/>
      <c r="GQG43" s="2843"/>
      <c r="GQH43" s="2843"/>
      <c r="GQI43" s="2844"/>
      <c r="GQJ43" s="2845"/>
      <c r="GQK43" s="2842"/>
      <c r="GQL43" s="2842"/>
      <c r="GQM43" s="2843"/>
      <c r="GQN43" s="2843"/>
      <c r="GQO43" s="2844"/>
      <c r="GQP43" s="2845"/>
      <c r="GQQ43" s="2842"/>
      <c r="GQR43" s="2842"/>
      <c r="GQS43" s="2843"/>
      <c r="GQT43" s="2843"/>
      <c r="GQU43" s="2844"/>
      <c r="GQV43" s="2845"/>
      <c r="GQW43" s="2842"/>
      <c r="GQX43" s="2842"/>
      <c r="GQY43" s="2843"/>
      <c r="GQZ43" s="2843"/>
      <c r="GRA43" s="2844"/>
      <c r="GRB43" s="2845"/>
      <c r="GRC43" s="2842"/>
      <c r="GRD43" s="2842"/>
      <c r="GRE43" s="2843"/>
      <c r="GRF43" s="2843"/>
      <c r="GRG43" s="2844"/>
      <c r="GRH43" s="2845"/>
      <c r="GRI43" s="2842"/>
      <c r="GRJ43" s="2842"/>
      <c r="GRK43" s="2843"/>
      <c r="GRL43" s="2843"/>
      <c r="GRM43" s="2844"/>
      <c r="GRN43" s="2845"/>
      <c r="GRO43" s="2842"/>
      <c r="GRP43" s="2842"/>
      <c r="GRQ43" s="2843"/>
      <c r="GRR43" s="2843"/>
      <c r="GRS43" s="2844"/>
      <c r="GRT43" s="2845"/>
      <c r="GRU43" s="2842"/>
      <c r="GRV43" s="2842"/>
      <c r="GRW43" s="2843"/>
      <c r="GRX43" s="2843"/>
      <c r="GRY43" s="2844"/>
      <c r="GRZ43" s="2845"/>
      <c r="GSA43" s="2842"/>
      <c r="GSB43" s="2842"/>
      <c r="GSC43" s="2843"/>
      <c r="GSD43" s="2843"/>
      <c r="GSE43" s="2844"/>
      <c r="GSF43" s="2845"/>
      <c r="GSG43" s="2842"/>
      <c r="GSH43" s="2842"/>
      <c r="GSI43" s="2843"/>
      <c r="GSJ43" s="2843"/>
      <c r="GSK43" s="2844"/>
      <c r="GSL43" s="2845"/>
      <c r="GSM43" s="2842"/>
      <c r="GSN43" s="2842"/>
      <c r="GSO43" s="2843"/>
      <c r="GSP43" s="2843"/>
      <c r="GSQ43" s="2844"/>
      <c r="GSR43" s="2845"/>
      <c r="GSS43" s="2842"/>
      <c r="GST43" s="2842"/>
      <c r="GSU43" s="2843"/>
      <c r="GSV43" s="2843"/>
      <c r="GSW43" s="2844"/>
      <c r="GSX43" s="2845"/>
      <c r="GSY43" s="2842"/>
      <c r="GSZ43" s="2842"/>
      <c r="GTA43" s="2843"/>
      <c r="GTB43" s="2843"/>
      <c r="GTC43" s="2844"/>
      <c r="GTD43" s="2845"/>
      <c r="GTE43" s="2842"/>
      <c r="GTF43" s="2842"/>
      <c r="GTG43" s="2843"/>
      <c r="GTH43" s="2843"/>
      <c r="GTI43" s="2844"/>
      <c r="GTJ43" s="2845"/>
      <c r="GTK43" s="2842"/>
      <c r="GTL43" s="2842"/>
      <c r="GTM43" s="2843"/>
      <c r="GTN43" s="2843"/>
      <c r="GTO43" s="2844"/>
      <c r="GTP43" s="2845"/>
      <c r="GTQ43" s="2842"/>
      <c r="GTR43" s="2842"/>
      <c r="GTS43" s="2843"/>
      <c r="GTT43" s="2843"/>
      <c r="GTU43" s="2844"/>
      <c r="GTV43" s="2845"/>
      <c r="GTW43" s="2842"/>
      <c r="GTX43" s="2842"/>
      <c r="GTY43" s="2843"/>
      <c r="GTZ43" s="2843"/>
      <c r="GUA43" s="2844"/>
      <c r="GUB43" s="2845"/>
      <c r="GUC43" s="2842"/>
      <c r="GUD43" s="2842"/>
      <c r="GUE43" s="2843"/>
      <c r="GUF43" s="2843"/>
      <c r="GUG43" s="2844"/>
      <c r="GUH43" s="2845"/>
      <c r="GUI43" s="2842"/>
      <c r="GUJ43" s="2842"/>
      <c r="GUK43" s="2843"/>
      <c r="GUL43" s="2843"/>
      <c r="GUM43" s="2844"/>
      <c r="GUN43" s="2845"/>
      <c r="GUO43" s="2842"/>
      <c r="GUP43" s="2842"/>
      <c r="GUQ43" s="2843"/>
      <c r="GUR43" s="2843"/>
      <c r="GUS43" s="2844"/>
      <c r="GUT43" s="2845"/>
      <c r="GUU43" s="2842"/>
      <c r="GUV43" s="2842"/>
      <c r="GUW43" s="2843"/>
      <c r="GUX43" s="2843"/>
      <c r="GUY43" s="2844"/>
      <c r="GUZ43" s="2845"/>
      <c r="GVA43" s="2842"/>
      <c r="GVB43" s="2842"/>
      <c r="GVC43" s="2843"/>
      <c r="GVD43" s="2843"/>
      <c r="GVE43" s="2844"/>
      <c r="GVF43" s="2845"/>
      <c r="GVG43" s="2842"/>
      <c r="GVH43" s="2842"/>
      <c r="GVI43" s="2843"/>
      <c r="GVJ43" s="2843"/>
      <c r="GVK43" s="2844"/>
      <c r="GVL43" s="2845"/>
      <c r="GVM43" s="2842"/>
      <c r="GVN43" s="2842"/>
      <c r="GVO43" s="2843"/>
      <c r="GVP43" s="2843"/>
      <c r="GVQ43" s="2844"/>
      <c r="GVR43" s="2845"/>
      <c r="GVS43" s="2842"/>
      <c r="GVT43" s="2842"/>
      <c r="GVU43" s="2843"/>
      <c r="GVV43" s="2843"/>
      <c r="GVW43" s="2844"/>
      <c r="GVX43" s="2845"/>
      <c r="GVY43" s="2842"/>
      <c r="GVZ43" s="2842"/>
      <c r="GWA43" s="2843"/>
      <c r="GWB43" s="2843"/>
      <c r="GWC43" s="2844"/>
      <c r="GWD43" s="2845"/>
      <c r="GWE43" s="2842"/>
      <c r="GWF43" s="2842"/>
      <c r="GWG43" s="2843"/>
      <c r="GWH43" s="2843"/>
      <c r="GWI43" s="2844"/>
      <c r="GWJ43" s="2845"/>
      <c r="GWK43" s="2842"/>
      <c r="GWL43" s="2842"/>
      <c r="GWM43" s="2843"/>
      <c r="GWN43" s="2843"/>
      <c r="GWO43" s="2844"/>
      <c r="GWP43" s="2845"/>
      <c r="GWQ43" s="2842"/>
      <c r="GWR43" s="2842"/>
      <c r="GWS43" s="2843"/>
      <c r="GWT43" s="2843"/>
      <c r="GWU43" s="2844"/>
      <c r="GWV43" s="2845"/>
      <c r="GWW43" s="2842"/>
      <c r="GWX43" s="2842"/>
      <c r="GWY43" s="2843"/>
      <c r="GWZ43" s="2843"/>
      <c r="GXA43" s="2844"/>
      <c r="GXB43" s="2845"/>
      <c r="GXC43" s="2842"/>
      <c r="GXD43" s="2842"/>
      <c r="GXE43" s="2843"/>
      <c r="GXF43" s="2843"/>
      <c r="GXG43" s="2844"/>
      <c r="GXH43" s="2845"/>
      <c r="GXI43" s="2842"/>
      <c r="GXJ43" s="2842"/>
      <c r="GXK43" s="2843"/>
      <c r="GXL43" s="2843"/>
      <c r="GXM43" s="2844"/>
      <c r="GXN43" s="2845"/>
      <c r="GXO43" s="2842"/>
      <c r="GXP43" s="2842"/>
      <c r="GXQ43" s="2843"/>
      <c r="GXR43" s="2843"/>
      <c r="GXS43" s="2844"/>
      <c r="GXT43" s="2845"/>
      <c r="GXU43" s="2842"/>
      <c r="GXV43" s="2842"/>
      <c r="GXW43" s="2843"/>
      <c r="GXX43" s="2843"/>
      <c r="GXY43" s="2844"/>
      <c r="GXZ43" s="2845"/>
      <c r="GYA43" s="2842"/>
      <c r="GYB43" s="2842"/>
      <c r="GYC43" s="2843"/>
      <c r="GYD43" s="2843"/>
      <c r="GYE43" s="2844"/>
      <c r="GYF43" s="2845"/>
      <c r="GYG43" s="2842"/>
      <c r="GYH43" s="2842"/>
      <c r="GYI43" s="2843"/>
      <c r="GYJ43" s="2843"/>
      <c r="GYK43" s="2844"/>
      <c r="GYL43" s="2845"/>
      <c r="GYM43" s="2842"/>
      <c r="GYN43" s="2842"/>
      <c r="GYO43" s="2843"/>
      <c r="GYP43" s="2843"/>
      <c r="GYQ43" s="2844"/>
      <c r="GYR43" s="2845"/>
      <c r="GYS43" s="2842"/>
      <c r="GYT43" s="2842"/>
      <c r="GYU43" s="2843"/>
      <c r="GYV43" s="2843"/>
      <c r="GYW43" s="2844"/>
      <c r="GYX43" s="2845"/>
      <c r="GYY43" s="2842"/>
      <c r="GYZ43" s="2842"/>
      <c r="GZA43" s="2843"/>
      <c r="GZB43" s="2843"/>
      <c r="GZC43" s="2844"/>
      <c r="GZD43" s="2845"/>
      <c r="GZE43" s="2842"/>
      <c r="GZF43" s="2842"/>
      <c r="GZG43" s="2843"/>
      <c r="GZH43" s="2843"/>
      <c r="GZI43" s="2844"/>
      <c r="GZJ43" s="2845"/>
      <c r="GZK43" s="2842"/>
      <c r="GZL43" s="2842"/>
      <c r="GZM43" s="2843"/>
      <c r="GZN43" s="2843"/>
      <c r="GZO43" s="2844"/>
      <c r="GZP43" s="2845"/>
      <c r="GZQ43" s="2842"/>
      <c r="GZR43" s="2842"/>
      <c r="GZS43" s="2843"/>
      <c r="GZT43" s="2843"/>
      <c r="GZU43" s="2844"/>
      <c r="GZV43" s="2845"/>
      <c r="GZW43" s="2842"/>
      <c r="GZX43" s="2842"/>
      <c r="GZY43" s="2843"/>
      <c r="GZZ43" s="2843"/>
      <c r="HAA43" s="2844"/>
      <c r="HAB43" s="2845"/>
      <c r="HAC43" s="2842"/>
      <c r="HAD43" s="2842"/>
      <c r="HAE43" s="2843"/>
      <c r="HAF43" s="2843"/>
      <c r="HAG43" s="2844"/>
      <c r="HAH43" s="2845"/>
      <c r="HAI43" s="2842"/>
      <c r="HAJ43" s="2842"/>
      <c r="HAK43" s="2843"/>
      <c r="HAL43" s="2843"/>
      <c r="HAM43" s="2844"/>
      <c r="HAN43" s="2845"/>
      <c r="HAO43" s="2842"/>
      <c r="HAP43" s="2842"/>
      <c r="HAQ43" s="2843"/>
      <c r="HAR43" s="2843"/>
      <c r="HAS43" s="2844"/>
      <c r="HAT43" s="2845"/>
      <c r="HAU43" s="2842"/>
      <c r="HAV43" s="2842"/>
      <c r="HAW43" s="2843"/>
      <c r="HAX43" s="2843"/>
      <c r="HAY43" s="2844"/>
      <c r="HAZ43" s="2845"/>
      <c r="HBA43" s="2842"/>
      <c r="HBB43" s="2842"/>
      <c r="HBC43" s="2843"/>
      <c r="HBD43" s="2843"/>
      <c r="HBE43" s="2844"/>
      <c r="HBF43" s="2845"/>
      <c r="HBG43" s="2842"/>
      <c r="HBH43" s="2842"/>
      <c r="HBI43" s="2843"/>
      <c r="HBJ43" s="2843"/>
      <c r="HBK43" s="2844"/>
      <c r="HBL43" s="2845"/>
      <c r="HBM43" s="2842"/>
      <c r="HBN43" s="2842"/>
      <c r="HBO43" s="2843"/>
      <c r="HBP43" s="2843"/>
      <c r="HBQ43" s="2844"/>
      <c r="HBR43" s="2845"/>
      <c r="HBS43" s="2842"/>
      <c r="HBT43" s="2842"/>
      <c r="HBU43" s="2843"/>
      <c r="HBV43" s="2843"/>
      <c r="HBW43" s="2844"/>
      <c r="HBX43" s="2845"/>
      <c r="HBY43" s="2842"/>
      <c r="HBZ43" s="2842"/>
      <c r="HCA43" s="2843"/>
      <c r="HCB43" s="2843"/>
      <c r="HCC43" s="2844"/>
      <c r="HCD43" s="2845"/>
      <c r="HCE43" s="2842"/>
      <c r="HCF43" s="2842"/>
      <c r="HCG43" s="2843"/>
      <c r="HCH43" s="2843"/>
      <c r="HCI43" s="2844"/>
      <c r="HCJ43" s="2845"/>
      <c r="HCK43" s="2842"/>
      <c r="HCL43" s="2842"/>
      <c r="HCM43" s="2843"/>
      <c r="HCN43" s="2843"/>
      <c r="HCO43" s="2844"/>
      <c r="HCP43" s="2845"/>
      <c r="HCQ43" s="2842"/>
      <c r="HCR43" s="2842"/>
      <c r="HCS43" s="2843"/>
      <c r="HCT43" s="2843"/>
      <c r="HCU43" s="2844"/>
      <c r="HCV43" s="2845"/>
      <c r="HCW43" s="2842"/>
      <c r="HCX43" s="2842"/>
      <c r="HCY43" s="2843"/>
      <c r="HCZ43" s="2843"/>
      <c r="HDA43" s="2844"/>
      <c r="HDB43" s="2845"/>
      <c r="HDC43" s="2842"/>
      <c r="HDD43" s="2842"/>
      <c r="HDE43" s="2843"/>
      <c r="HDF43" s="2843"/>
      <c r="HDG43" s="2844"/>
      <c r="HDH43" s="2845"/>
      <c r="HDI43" s="2842"/>
      <c r="HDJ43" s="2842"/>
      <c r="HDK43" s="2843"/>
      <c r="HDL43" s="2843"/>
      <c r="HDM43" s="2844"/>
      <c r="HDN43" s="2845"/>
      <c r="HDO43" s="2842"/>
      <c r="HDP43" s="2842"/>
      <c r="HDQ43" s="2843"/>
      <c r="HDR43" s="2843"/>
      <c r="HDS43" s="2844"/>
      <c r="HDT43" s="2845"/>
      <c r="HDU43" s="2842"/>
      <c r="HDV43" s="2842"/>
      <c r="HDW43" s="2843"/>
      <c r="HDX43" s="2843"/>
      <c r="HDY43" s="2844"/>
      <c r="HDZ43" s="2845"/>
      <c r="HEA43" s="2842"/>
      <c r="HEB43" s="2842"/>
      <c r="HEC43" s="2843"/>
      <c r="HED43" s="2843"/>
      <c r="HEE43" s="2844"/>
      <c r="HEF43" s="2845"/>
      <c r="HEG43" s="2842"/>
      <c r="HEH43" s="2842"/>
      <c r="HEI43" s="2843"/>
      <c r="HEJ43" s="2843"/>
      <c r="HEK43" s="2844"/>
      <c r="HEL43" s="2845"/>
      <c r="HEM43" s="2842"/>
      <c r="HEN43" s="2842"/>
      <c r="HEO43" s="2843"/>
      <c r="HEP43" s="2843"/>
      <c r="HEQ43" s="2844"/>
      <c r="HER43" s="2845"/>
      <c r="HES43" s="2842"/>
      <c r="HET43" s="2842"/>
      <c r="HEU43" s="2843"/>
      <c r="HEV43" s="2843"/>
      <c r="HEW43" s="2844"/>
      <c r="HEX43" s="2845"/>
      <c r="HEY43" s="2842"/>
      <c r="HEZ43" s="2842"/>
      <c r="HFA43" s="2843"/>
      <c r="HFB43" s="2843"/>
      <c r="HFC43" s="2844"/>
      <c r="HFD43" s="2845"/>
      <c r="HFE43" s="2842"/>
      <c r="HFF43" s="2842"/>
      <c r="HFG43" s="2843"/>
      <c r="HFH43" s="2843"/>
      <c r="HFI43" s="2844"/>
      <c r="HFJ43" s="2845"/>
      <c r="HFK43" s="2842"/>
      <c r="HFL43" s="2842"/>
      <c r="HFM43" s="2843"/>
      <c r="HFN43" s="2843"/>
      <c r="HFO43" s="2844"/>
      <c r="HFP43" s="2845"/>
      <c r="HFQ43" s="2842"/>
      <c r="HFR43" s="2842"/>
      <c r="HFS43" s="2843"/>
      <c r="HFT43" s="2843"/>
      <c r="HFU43" s="2844"/>
      <c r="HFV43" s="2845"/>
      <c r="HFW43" s="2842"/>
      <c r="HFX43" s="2842"/>
      <c r="HFY43" s="2843"/>
      <c r="HFZ43" s="2843"/>
      <c r="HGA43" s="2844"/>
      <c r="HGB43" s="2845"/>
      <c r="HGC43" s="2842"/>
      <c r="HGD43" s="2842"/>
      <c r="HGE43" s="2843"/>
      <c r="HGF43" s="2843"/>
      <c r="HGG43" s="2844"/>
      <c r="HGH43" s="2845"/>
      <c r="HGI43" s="2842"/>
      <c r="HGJ43" s="2842"/>
      <c r="HGK43" s="2843"/>
      <c r="HGL43" s="2843"/>
      <c r="HGM43" s="2844"/>
      <c r="HGN43" s="2845"/>
      <c r="HGO43" s="2842"/>
      <c r="HGP43" s="2842"/>
      <c r="HGQ43" s="2843"/>
      <c r="HGR43" s="2843"/>
      <c r="HGS43" s="2844"/>
      <c r="HGT43" s="2845"/>
      <c r="HGU43" s="2842"/>
      <c r="HGV43" s="2842"/>
      <c r="HGW43" s="2843"/>
      <c r="HGX43" s="2843"/>
      <c r="HGY43" s="2844"/>
      <c r="HGZ43" s="2845"/>
      <c r="HHA43" s="2842"/>
      <c r="HHB43" s="2842"/>
      <c r="HHC43" s="2843"/>
      <c r="HHD43" s="2843"/>
      <c r="HHE43" s="2844"/>
      <c r="HHF43" s="2845"/>
      <c r="HHG43" s="2842"/>
      <c r="HHH43" s="2842"/>
      <c r="HHI43" s="2843"/>
      <c r="HHJ43" s="2843"/>
      <c r="HHK43" s="2844"/>
      <c r="HHL43" s="2845"/>
      <c r="HHM43" s="2842"/>
      <c r="HHN43" s="2842"/>
      <c r="HHO43" s="2843"/>
      <c r="HHP43" s="2843"/>
      <c r="HHQ43" s="2844"/>
      <c r="HHR43" s="2845"/>
      <c r="HHS43" s="2842"/>
      <c r="HHT43" s="2842"/>
      <c r="HHU43" s="2843"/>
      <c r="HHV43" s="2843"/>
      <c r="HHW43" s="2844"/>
      <c r="HHX43" s="2845"/>
      <c r="HHY43" s="2842"/>
      <c r="HHZ43" s="2842"/>
      <c r="HIA43" s="2843"/>
      <c r="HIB43" s="2843"/>
      <c r="HIC43" s="2844"/>
      <c r="HID43" s="2845"/>
      <c r="HIE43" s="2842"/>
      <c r="HIF43" s="2842"/>
      <c r="HIG43" s="2843"/>
      <c r="HIH43" s="2843"/>
      <c r="HII43" s="2844"/>
      <c r="HIJ43" s="2845"/>
      <c r="HIK43" s="2842"/>
      <c r="HIL43" s="2842"/>
      <c r="HIM43" s="2843"/>
      <c r="HIN43" s="2843"/>
      <c r="HIO43" s="2844"/>
      <c r="HIP43" s="2845"/>
      <c r="HIQ43" s="2842"/>
      <c r="HIR43" s="2842"/>
      <c r="HIS43" s="2843"/>
      <c r="HIT43" s="2843"/>
      <c r="HIU43" s="2844"/>
      <c r="HIV43" s="2845"/>
      <c r="HIW43" s="2842"/>
      <c r="HIX43" s="2842"/>
      <c r="HIY43" s="2843"/>
      <c r="HIZ43" s="2843"/>
      <c r="HJA43" s="2844"/>
      <c r="HJB43" s="2845"/>
      <c r="HJC43" s="2842"/>
      <c r="HJD43" s="2842"/>
      <c r="HJE43" s="2843"/>
      <c r="HJF43" s="2843"/>
      <c r="HJG43" s="2844"/>
      <c r="HJH43" s="2845"/>
      <c r="HJI43" s="2842"/>
      <c r="HJJ43" s="2842"/>
      <c r="HJK43" s="2843"/>
      <c r="HJL43" s="2843"/>
      <c r="HJM43" s="2844"/>
      <c r="HJN43" s="2845"/>
      <c r="HJO43" s="2842"/>
      <c r="HJP43" s="2842"/>
      <c r="HJQ43" s="2843"/>
      <c r="HJR43" s="2843"/>
      <c r="HJS43" s="2844"/>
      <c r="HJT43" s="2845"/>
      <c r="HJU43" s="2842"/>
      <c r="HJV43" s="2842"/>
      <c r="HJW43" s="2843"/>
      <c r="HJX43" s="2843"/>
      <c r="HJY43" s="2844"/>
      <c r="HJZ43" s="2845"/>
      <c r="HKA43" s="2842"/>
      <c r="HKB43" s="2842"/>
      <c r="HKC43" s="2843"/>
      <c r="HKD43" s="2843"/>
      <c r="HKE43" s="2844"/>
      <c r="HKF43" s="2845"/>
      <c r="HKG43" s="2842"/>
      <c r="HKH43" s="2842"/>
      <c r="HKI43" s="2843"/>
      <c r="HKJ43" s="2843"/>
      <c r="HKK43" s="2844"/>
      <c r="HKL43" s="2845"/>
      <c r="HKM43" s="2842"/>
      <c r="HKN43" s="2842"/>
      <c r="HKO43" s="2843"/>
      <c r="HKP43" s="2843"/>
      <c r="HKQ43" s="2844"/>
      <c r="HKR43" s="2845"/>
      <c r="HKS43" s="2842"/>
      <c r="HKT43" s="2842"/>
      <c r="HKU43" s="2843"/>
      <c r="HKV43" s="2843"/>
      <c r="HKW43" s="2844"/>
      <c r="HKX43" s="2845"/>
      <c r="HKY43" s="2842"/>
      <c r="HKZ43" s="2842"/>
      <c r="HLA43" s="2843"/>
      <c r="HLB43" s="2843"/>
      <c r="HLC43" s="2844"/>
      <c r="HLD43" s="2845"/>
      <c r="HLE43" s="2842"/>
      <c r="HLF43" s="2842"/>
      <c r="HLG43" s="2843"/>
      <c r="HLH43" s="2843"/>
      <c r="HLI43" s="2844"/>
      <c r="HLJ43" s="2845"/>
      <c r="HLK43" s="2842"/>
      <c r="HLL43" s="2842"/>
      <c r="HLM43" s="2843"/>
      <c r="HLN43" s="2843"/>
      <c r="HLO43" s="2844"/>
      <c r="HLP43" s="2845"/>
      <c r="HLQ43" s="2842"/>
      <c r="HLR43" s="2842"/>
      <c r="HLS43" s="2843"/>
      <c r="HLT43" s="2843"/>
      <c r="HLU43" s="2844"/>
      <c r="HLV43" s="2845"/>
      <c r="HLW43" s="2842"/>
      <c r="HLX43" s="2842"/>
      <c r="HLY43" s="2843"/>
      <c r="HLZ43" s="2843"/>
      <c r="HMA43" s="2844"/>
      <c r="HMB43" s="2845"/>
      <c r="HMC43" s="2842"/>
      <c r="HMD43" s="2842"/>
      <c r="HME43" s="2843"/>
      <c r="HMF43" s="2843"/>
      <c r="HMG43" s="2844"/>
      <c r="HMH43" s="2845"/>
      <c r="HMI43" s="2842"/>
      <c r="HMJ43" s="2842"/>
      <c r="HMK43" s="2843"/>
      <c r="HML43" s="2843"/>
      <c r="HMM43" s="2844"/>
      <c r="HMN43" s="2845"/>
      <c r="HMO43" s="2842"/>
      <c r="HMP43" s="2842"/>
      <c r="HMQ43" s="2843"/>
      <c r="HMR43" s="2843"/>
      <c r="HMS43" s="2844"/>
      <c r="HMT43" s="2845"/>
      <c r="HMU43" s="2842"/>
      <c r="HMV43" s="2842"/>
      <c r="HMW43" s="2843"/>
      <c r="HMX43" s="2843"/>
      <c r="HMY43" s="2844"/>
      <c r="HMZ43" s="2845"/>
      <c r="HNA43" s="2842"/>
      <c r="HNB43" s="2842"/>
      <c r="HNC43" s="2843"/>
      <c r="HND43" s="2843"/>
      <c r="HNE43" s="2844"/>
      <c r="HNF43" s="2845"/>
      <c r="HNG43" s="2842"/>
      <c r="HNH43" s="2842"/>
      <c r="HNI43" s="2843"/>
      <c r="HNJ43" s="2843"/>
      <c r="HNK43" s="2844"/>
      <c r="HNL43" s="2845"/>
      <c r="HNM43" s="2842"/>
      <c r="HNN43" s="2842"/>
      <c r="HNO43" s="2843"/>
      <c r="HNP43" s="2843"/>
      <c r="HNQ43" s="2844"/>
      <c r="HNR43" s="2845"/>
      <c r="HNS43" s="2842"/>
      <c r="HNT43" s="2842"/>
      <c r="HNU43" s="2843"/>
      <c r="HNV43" s="2843"/>
      <c r="HNW43" s="2844"/>
      <c r="HNX43" s="2845"/>
      <c r="HNY43" s="2842"/>
      <c r="HNZ43" s="2842"/>
      <c r="HOA43" s="2843"/>
      <c r="HOB43" s="2843"/>
      <c r="HOC43" s="2844"/>
      <c r="HOD43" s="2845"/>
      <c r="HOE43" s="2842"/>
      <c r="HOF43" s="2842"/>
      <c r="HOG43" s="2843"/>
      <c r="HOH43" s="2843"/>
      <c r="HOI43" s="2844"/>
      <c r="HOJ43" s="2845"/>
      <c r="HOK43" s="2842"/>
      <c r="HOL43" s="2842"/>
      <c r="HOM43" s="2843"/>
      <c r="HON43" s="2843"/>
      <c r="HOO43" s="2844"/>
      <c r="HOP43" s="2845"/>
      <c r="HOQ43" s="2842"/>
      <c r="HOR43" s="2842"/>
      <c r="HOS43" s="2843"/>
      <c r="HOT43" s="2843"/>
      <c r="HOU43" s="2844"/>
      <c r="HOV43" s="2845"/>
      <c r="HOW43" s="2842"/>
      <c r="HOX43" s="2842"/>
      <c r="HOY43" s="2843"/>
      <c r="HOZ43" s="2843"/>
      <c r="HPA43" s="2844"/>
      <c r="HPB43" s="2845"/>
      <c r="HPC43" s="2842"/>
      <c r="HPD43" s="2842"/>
      <c r="HPE43" s="2843"/>
      <c r="HPF43" s="2843"/>
      <c r="HPG43" s="2844"/>
      <c r="HPH43" s="2845"/>
      <c r="HPI43" s="2842"/>
      <c r="HPJ43" s="2842"/>
      <c r="HPK43" s="2843"/>
      <c r="HPL43" s="2843"/>
      <c r="HPM43" s="2844"/>
      <c r="HPN43" s="2845"/>
      <c r="HPO43" s="2842"/>
      <c r="HPP43" s="2842"/>
      <c r="HPQ43" s="2843"/>
      <c r="HPR43" s="2843"/>
      <c r="HPS43" s="2844"/>
      <c r="HPT43" s="2845"/>
      <c r="HPU43" s="2842"/>
      <c r="HPV43" s="2842"/>
      <c r="HPW43" s="2843"/>
      <c r="HPX43" s="2843"/>
      <c r="HPY43" s="2844"/>
      <c r="HPZ43" s="2845"/>
      <c r="HQA43" s="2842"/>
      <c r="HQB43" s="2842"/>
      <c r="HQC43" s="2843"/>
      <c r="HQD43" s="2843"/>
      <c r="HQE43" s="2844"/>
      <c r="HQF43" s="2845"/>
      <c r="HQG43" s="2842"/>
      <c r="HQH43" s="2842"/>
      <c r="HQI43" s="2843"/>
      <c r="HQJ43" s="2843"/>
      <c r="HQK43" s="2844"/>
      <c r="HQL43" s="2845"/>
      <c r="HQM43" s="2842"/>
      <c r="HQN43" s="2842"/>
      <c r="HQO43" s="2843"/>
      <c r="HQP43" s="2843"/>
      <c r="HQQ43" s="2844"/>
      <c r="HQR43" s="2845"/>
      <c r="HQS43" s="2842"/>
      <c r="HQT43" s="2842"/>
      <c r="HQU43" s="2843"/>
      <c r="HQV43" s="2843"/>
      <c r="HQW43" s="2844"/>
      <c r="HQX43" s="2845"/>
      <c r="HQY43" s="2842"/>
      <c r="HQZ43" s="2842"/>
      <c r="HRA43" s="2843"/>
      <c r="HRB43" s="2843"/>
      <c r="HRC43" s="2844"/>
      <c r="HRD43" s="2845"/>
      <c r="HRE43" s="2842"/>
      <c r="HRF43" s="2842"/>
      <c r="HRG43" s="2843"/>
      <c r="HRH43" s="2843"/>
      <c r="HRI43" s="2844"/>
      <c r="HRJ43" s="2845"/>
      <c r="HRK43" s="2842"/>
      <c r="HRL43" s="2842"/>
      <c r="HRM43" s="2843"/>
      <c r="HRN43" s="2843"/>
      <c r="HRO43" s="2844"/>
      <c r="HRP43" s="2845"/>
      <c r="HRQ43" s="2842"/>
      <c r="HRR43" s="2842"/>
      <c r="HRS43" s="2843"/>
      <c r="HRT43" s="2843"/>
      <c r="HRU43" s="2844"/>
      <c r="HRV43" s="2845"/>
      <c r="HRW43" s="2842"/>
      <c r="HRX43" s="2842"/>
      <c r="HRY43" s="2843"/>
      <c r="HRZ43" s="2843"/>
      <c r="HSA43" s="2844"/>
      <c r="HSB43" s="2845"/>
      <c r="HSC43" s="2842"/>
      <c r="HSD43" s="2842"/>
      <c r="HSE43" s="2843"/>
      <c r="HSF43" s="2843"/>
      <c r="HSG43" s="2844"/>
      <c r="HSH43" s="2845"/>
      <c r="HSI43" s="2842"/>
      <c r="HSJ43" s="2842"/>
      <c r="HSK43" s="2843"/>
      <c r="HSL43" s="2843"/>
      <c r="HSM43" s="2844"/>
      <c r="HSN43" s="2845"/>
      <c r="HSO43" s="2842"/>
      <c r="HSP43" s="2842"/>
      <c r="HSQ43" s="2843"/>
      <c r="HSR43" s="2843"/>
      <c r="HSS43" s="2844"/>
      <c r="HST43" s="2845"/>
      <c r="HSU43" s="2842"/>
      <c r="HSV43" s="2842"/>
      <c r="HSW43" s="2843"/>
      <c r="HSX43" s="2843"/>
      <c r="HSY43" s="2844"/>
      <c r="HSZ43" s="2845"/>
      <c r="HTA43" s="2842"/>
      <c r="HTB43" s="2842"/>
      <c r="HTC43" s="2843"/>
      <c r="HTD43" s="2843"/>
      <c r="HTE43" s="2844"/>
      <c r="HTF43" s="2845"/>
      <c r="HTG43" s="2842"/>
      <c r="HTH43" s="2842"/>
      <c r="HTI43" s="2843"/>
      <c r="HTJ43" s="2843"/>
      <c r="HTK43" s="2844"/>
      <c r="HTL43" s="2845"/>
      <c r="HTM43" s="2842"/>
      <c r="HTN43" s="2842"/>
      <c r="HTO43" s="2843"/>
      <c r="HTP43" s="2843"/>
      <c r="HTQ43" s="2844"/>
      <c r="HTR43" s="2845"/>
      <c r="HTS43" s="2842"/>
      <c r="HTT43" s="2842"/>
      <c r="HTU43" s="2843"/>
      <c r="HTV43" s="2843"/>
      <c r="HTW43" s="2844"/>
      <c r="HTX43" s="2845"/>
      <c r="HTY43" s="2842"/>
      <c r="HTZ43" s="2842"/>
      <c r="HUA43" s="2843"/>
      <c r="HUB43" s="2843"/>
      <c r="HUC43" s="2844"/>
      <c r="HUD43" s="2845"/>
      <c r="HUE43" s="2842"/>
      <c r="HUF43" s="2842"/>
      <c r="HUG43" s="2843"/>
      <c r="HUH43" s="2843"/>
      <c r="HUI43" s="2844"/>
      <c r="HUJ43" s="2845"/>
      <c r="HUK43" s="2842"/>
      <c r="HUL43" s="2842"/>
      <c r="HUM43" s="2843"/>
      <c r="HUN43" s="2843"/>
      <c r="HUO43" s="2844"/>
      <c r="HUP43" s="2845"/>
      <c r="HUQ43" s="2842"/>
      <c r="HUR43" s="2842"/>
      <c r="HUS43" s="2843"/>
      <c r="HUT43" s="2843"/>
      <c r="HUU43" s="2844"/>
      <c r="HUV43" s="2845"/>
      <c r="HUW43" s="2842"/>
      <c r="HUX43" s="2842"/>
      <c r="HUY43" s="2843"/>
      <c r="HUZ43" s="2843"/>
      <c r="HVA43" s="2844"/>
      <c r="HVB43" s="2845"/>
      <c r="HVC43" s="2842"/>
      <c r="HVD43" s="2842"/>
      <c r="HVE43" s="2843"/>
      <c r="HVF43" s="2843"/>
      <c r="HVG43" s="2844"/>
      <c r="HVH43" s="2845"/>
      <c r="HVI43" s="2842"/>
      <c r="HVJ43" s="2842"/>
      <c r="HVK43" s="2843"/>
      <c r="HVL43" s="2843"/>
      <c r="HVM43" s="2844"/>
      <c r="HVN43" s="2845"/>
      <c r="HVO43" s="2842"/>
      <c r="HVP43" s="2842"/>
      <c r="HVQ43" s="2843"/>
      <c r="HVR43" s="2843"/>
      <c r="HVS43" s="2844"/>
      <c r="HVT43" s="2845"/>
      <c r="HVU43" s="2842"/>
      <c r="HVV43" s="2842"/>
      <c r="HVW43" s="2843"/>
      <c r="HVX43" s="2843"/>
      <c r="HVY43" s="2844"/>
      <c r="HVZ43" s="2845"/>
      <c r="HWA43" s="2842"/>
      <c r="HWB43" s="2842"/>
      <c r="HWC43" s="2843"/>
      <c r="HWD43" s="2843"/>
      <c r="HWE43" s="2844"/>
      <c r="HWF43" s="2845"/>
      <c r="HWG43" s="2842"/>
      <c r="HWH43" s="2842"/>
      <c r="HWI43" s="2843"/>
      <c r="HWJ43" s="2843"/>
      <c r="HWK43" s="2844"/>
      <c r="HWL43" s="2845"/>
      <c r="HWM43" s="2842"/>
      <c r="HWN43" s="2842"/>
      <c r="HWO43" s="2843"/>
      <c r="HWP43" s="2843"/>
      <c r="HWQ43" s="2844"/>
      <c r="HWR43" s="2845"/>
      <c r="HWS43" s="2842"/>
      <c r="HWT43" s="2842"/>
      <c r="HWU43" s="2843"/>
      <c r="HWV43" s="2843"/>
      <c r="HWW43" s="2844"/>
      <c r="HWX43" s="2845"/>
      <c r="HWY43" s="2842"/>
      <c r="HWZ43" s="2842"/>
      <c r="HXA43" s="2843"/>
      <c r="HXB43" s="2843"/>
      <c r="HXC43" s="2844"/>
      <c r="HXD43" s="2845"/>
      <c r="HXE43" s="2842"/>
      <c r="HXF43" s="2842"/>
      <c r="HXG43" s="2843"/>
      <c r="HXH43" s="2843"/>
      <c r="HXI43" s="2844"/>
      <c r="HXJ43" s="2845"/>
      <c r="HXK43" s="2842"/>
      <c r="HXL43" s="2842"/>
      <c r="HXM43" s="2843"/>
      <c r="HXN43" s="2843"/>
      <c r="HXO43" s="2844"/>
      <c r="HXP43" s="2845"/>
      <c r="HXQ43" s="2842"/>
      <c r="HXR43" s="2842"/>
      <c r="HXS43" s="2843"/>
      <c r="HXT43" s="2843"/>
      <c r="HXU43" s="2844"/>
      <c r="HXV43" s="2845"/>
      <c r="HXW43" s="2842"/>
      <c r="HXX43" s="2842"/>
      <c r="HXY43" s="2843"/>
      <c r="HXZ43" s="2843"/>
      <c r="HYA43" s="2844"/>
      <c r="HYB43" s="2845"/>
      <c r="HYC43" s="2842"/>
      <c r="HYD43" s="2842"/>
      <c r="HYE43" s="2843"/>
      <c r="HYF43" s="2843"/>
      <c r="HYG43" s="2844"/>
      <c r="HYH43" s="2845"/>
      <c r="HYI43" s="2842"/>
      <c r="HYJ43" s="2842"/>
      <c r="HYK43" s="2843"/>
      <c r="HYL43" s="2843"/>
      <c r="HYM43" s="2844"/>
      <c r="HYN43" s="2845"/>
      <c r="HYO43" s="2842"/>
      <c r="HYP43" s="2842"/>
      <c r="HYQ43" s="2843"/>
      <c r="HYR43" s="2843"/>
      <c r="HYS43" s="2844"/>
      <c r="HYT43" s="2845"/>
      <c r="HYU43" s="2842"/>
      <c r="HYV43" s="2842"/>
      <c r="HYW43" s="2843"/>
      <c r="HYX43" s="2843"/>
      <c r="HYY43" s="2844"/>
      <c r="HYZ43" s="2845"/>
      <c r="HZA43" s="2842"/>
      <c r="HZB43" s="2842"/>
      <c r="HZC43" s="2843"/>
      <c r="HZD43" s="2843"/>
      <c r="HZE43" s="2844"/>
      <c r="HZF43" s="2845"/>
      <c r="HZG43" s="2842"/>
      <c r="HZH43" s="2842"/>
      <c r="HZI43" s="2843"/>
      <c r="HZJ43" s="2843"/>
      <c r="HZK43" s="2844"/>
      <c r="HZL43" s="2845"/>
      <c r="HZM43" s="2842"/>
      <c r="HZN43" s="2842"/>
      <c r="HZO43" s="2843"/>
      <c r="HZP43" s="2843"/>
      <c r="HZQ43" s="2844"/>
      <c r="HZR43" s="2845"/>
      <c r="HZS43" s="2842"/>
      <c r="HZT43" s="2842"/>
      <c r="HZU43" s="2843"/>
      <c r="HZV43" s="2843"/>
      <c r="HZW43" s="2844"/>
      <c r="HZX43" s="2845"/>
      <c r="HZY43" s="2842"/>
      <c r="HZZ43" s="2842"/>
      <c r="IAA43" s="2843"/>
      <c r="IAB43" s="2843"/>
      <c r="IAC43" s="2844"/>
      <c r="IAD43" s="2845"/>
      <c r="IAE43" s="2842"/>
      <c r="IAF43" s="2842"/>
      <c r="IAG43" s="2843"/>
      <c r="IAH43" s="2843"/>
      <c r="IAI43" s="2844"/>
      <c r="IAJ43" s="2845"/>
      <c r="IAK43" s="2842"/>
      <c r="IAL43" s="2842"/>
      <c r="IAM43" s="2843"/>
      <c r="IAN43" s="2843"/>
      <c r="IAO43" s="2844"/>
      <c r="IAP43" s="2845"/>
      <c r="IAQ43" s="2842"/>
      <c r="IAR43" s="2842"/>
      <c r="IAS43" s="2843"/>
      <c r="IAT43" s="2843"/>
      <c r="IAU43" s="2844"/>
      <c r="IAV43" s="2845"/>
      <c r="IAW43" s="2842"/>
      <c r="IAX43" s="2842"/>
      <c r="IAY43" s="2843"/>
      <c r="IAZ43" s="2843"/>
      <c r="IBA43" s="2844"/>
      <c r="IBB43" s="2845"/>
      <c r="IBC43" s="2842"/>
      <c r="IBD43" s="2842"/>
      <c r="IBE43" s="2843"/>
      <c r="IBF43" s="2843"/>
      <c r="IBG43" s="2844"/>
      <c r="IBH43" s="2845"/>
      <c r="IBI43" s="2842"/>
      <c r="IBJ43" s="2842"/>
      <c r="IBK43" s="2843"/>
      <c r="IBL43" s="2843"/>
      <c r="IBM43" s="2844"/>
      <c r="IBN43" s="2845"/>
      <c r="IBO43" s="2842"/>
      <c r="IBP43" s="2842"/>
      <c r="IBQ43" s="2843"/>
      <c r="IBR43" s="2843"/>
      <c r="IBS43" s="2844"/>
      <c r="IBT43" s="2845"/>
      <c r="IBU43" s="2842"/>
      <c r="IBV43" s="2842"/>
      <c r="IBW43" s="2843"/>
      <c r="IBX43" s="2843"/>
      <c r="IBY43" s="2844"/>
      <c r="IBZ43" s="2845"/>
      <c r="ICA43" s="2842"/>
      <c r="ICB43" s="2842"/>
      <c r="ICC43" s="2843"/>
      <c r="ICD43" s="2843"/>
      <c r="ICE43" s="2844"/>
      <c r="ICF43" s="2845"/>
      <c r="ICG43" s="2842"/>
      <c r="ICH43" s="2842"/>
      <c r="ICI43" s="2843"/>
      <c r="ICJ43" s="2843"/>
      <c r="ICK43" s="2844"/>
      <c r="ICL43" s="2845"/>
      <c r="ICM43" s="2842"/>
      <c r="ICN43" s="2842"/>
      <c r="ICO43" s="2843"/>
      <c r="ICP43" s="2843"/>
      <c r="ICQ43" s="2844"/>
      <c r="ICR43" s="2845"/>
      <c r="ICS43" s="2842"/>
      <c r="ICT43" s="2842"/>
      <c r="ICU43" s="2843"/>
      <c r="ICV43" s="2843"/>
      <c r="ICW43" s="2844"/>
      <c r="ICX43" s="2845"/>
      <c r="ICY43" s="2842"/>
      <c r="ICZ43" s="2842"/>
      <c r="IDA43" s="2843"/>
      <c r="IDB43" s="2843"/>
      <c r="IDC43" s="2844"/>
      <c r="IDD43" s="2845"/>
      <c r="IDE43" s="2842"/>
      <c r="IDF43" s="2842"/>
      <c r="IDG43" s="2843"/>
      <c r="IDH43" s="2843"/>
      <c r="IDI43" s="2844"/>
      <c r="IDJ43" s="2845"/>
      <c r="IDK43" s="2842"/>
      <c r="IDL43" s="2842"/>
      <c r="IDM43" s="2843"/>
      <c r="IDN43" s="2843"/>
      <c r="IDO43" s="2844"/>
      <c r="IDP43" s="2845"/>
      <c r="IDQ43" s="2842"/>
      <c r="IDR43" s="2842"/>
      <c r="IDS43" s="2843"/>
      <c r="IDT43" s="2843"/>
      <c r="IDU43" s="2844"/>
      <c r="IDV43" s="2845"/>
      <c r="IDW43" s="2842"/>
      <c r="IDX43" s="2842"/>
      <c r="IDY43" s="2843"/>
      <c r="IDZ43" s="2843"/>
      <c r="IEA43" s="2844"/>
      <c r="IEB43" s="2845"/>
      <c r="IEC43" s="2842"/>
      <c r="IED43" s="2842"/>
      <c r="IEE43" s="2843"/>
      <c r="IEF43" s="2843"/>
      <c r="IEG43" s="2844"/>
      <c r="IEH43" s="2845"/>
      <c r="IEI43" s="2842"/>
      <c r="IEJ43" s="2842"/>
      <c r="IEK43" s="2843"/>
      <c r="IEL43" s="2843"/>
      <c r="IEM43" s="2844"/>
      <c r="IEN43" s="2845"/>
      <c r="IEO43" s="2842"/>
      <c r="IEP43" s="2842"/>
      <c r="IEQ43" s="2843"/>
      <c r="IER43" s="2843"/>
      <c r="IES43" s="2844"/>
      <c r="IET43" s="2845"/>
      <c r="IEU43" s="2842"/>
      <c r="IEV43" s="2842"/>
      <c r="IEW43" s="2843"/>
      <c r="IEX43" s="2843"/>
      <c r="IEY43" s="2844"/>
      <c r="IEZ43" s="2845"/>
      <c r="IFA43" s="2842"/>
      <c r="IFB43" s="2842"/>
      <c r="IFC43" s="2843"/>
      <c r="IFD43" s="2843"/>
      <c r="IFE43" s="2844"/>
      <c r="IFF43" s="2845"/>
      <c r="IFG43" s="2842"/>
      <c r="IFH43" s="2842"/>
      <c r="IFI43" s="2843"/>
      <c r="IFJ43" s="2843"/>
      <c r="IFK43" s="2844"/>
      <c r="IFL43" s="2845"/>
      <c r="IFM43" s="2842"/>
      <c r="IFN43" s="2842"/>
      <c r="IFO43" s="2843"/>
      <c r="IFP43" s="2843"/>
      <c r="IFQ43" s="2844"/>
      <c r="IFR43" s="2845"/>
      <c r="IFS43" s="2842"/>
      <c r="IFT43" s="2842"/>
      <c r="IFU43" s="2843"/>
      <c r="IFV43" s="2843"/>
      <c r="IFW43" s="2844"/>
      <c r="IFX43" s="2845"/>
      <c r="IFY43" s="2842"/>
      <c r="IFZ43" s="2842"/>
      <c r="IGA43" s="2843"/>
      <c r="IGB43" s="2843"/>
      <c r="IGC43" s="2844"/>
      <c r="IGD43" s="2845"/>
      <c r="IGE43" s="2842"/>
      <c r="IGF43" s="2842"/>
      <c r="IGG43" s="2843"/>
      <c r="IGH43" s="2843"/>
      <c r="IGI43" s="2844"/>
      <c r="IGJ43" s="2845"/>
      <c r="IGK43" s="2842"/>
      <c r="IGL43" s="2842"/>
      <c r="IGM43" s="2843"/>
      <c r="IGN43" s="2843"/>
      <c r="IGO43" s="2844"/>
      <c r="IGP43" s="2845"/>
      <c r="IGQ43" s="2842"/>
      <c r="IGR43" s="2842"/>
      <c r="IGS43" s="2843"/>
      <c r="IGT43" s="2843"/>
      <c r="IGU43" s="2844"/>
      <c r="IGV43" s="2845"/>
      <c r="IGW43" s="2842"/>
      <c r="IGX43" s="2842"/>
      <c r="IGY43" s="2843"/>
      <c r="IGZ43" s="2843"/>
      <c r="IHA43" s="2844"/>
      <c r="IHB43" s="2845"/>
      <c r="IHC43" s="2842"/>
      <c r="IHD43" s="2842"/>
      <c r="IHE43" s="2843"/>
      <c r="IHF43" s="2843"/>
      <c r="IHG43" s="2844"/>
      <c r="IHH43" s="2845"/>
      <c r="IHI43" s="2842"/>
      <c r="IHJ43" s="2842"/>
      <c r="IHK43" s="2843"/>
      <c r="IHL43" s="2843"/>
      <c r="IHM43" s="2844"/>
      <c r="IHN43" s="2845"/>
      <c r="IHO43" s="2842"/>
      <c r="IHP43" s="2842"/>
      <c r="IHQ43" s="2843"/>
      <c r="IHR43" s="2843"/>
      <c r="IHS43" s="2844"/>
      <c r="IHT43" s="2845"/>
      <c r="IHU43" s="2842"/>
      <c r="IHV43" s="2842"/>
      <c r="IHW43" s="2843"/>
      <c r="IHX43" s="2843"/>
      <c r="IHY43" s="2844"/>
      <c r="IHZ43" s="2845"/>
      <c r="IIA43" s="2842"/>
      <c r="IIB43" s="2842"/>
      <c r="IIC43" s="2843"/>
      <c r="IID43" s="2843"/>
      <c r="IIE43" s="2844"/>
      <c r="IIF43" s="2845"/>
      <c r="IIG43" s="2842"/>
      <c r="IIH43" s="2842"/>
      <c r="III43" s="2843"/>
      <c r="IIJ43" s="2843"/>
      <c r="IIK43" s="2844"/>
      <c r="IIL43" s="2845"/>
      <c r="IIM43" s="2842"/>
      <c r="IIN43" s="2842"/>
      <c r="IIO43" s="2843"/>
      <c r="IIP43" s="2843"/>
      <c r="IIQ43" s="2844"/>
      <c r="IIR43" s="2845"/>
      <c r="IIS43" s="2842"/>
      <c r="IIT43" s="2842"/>
      <c r="IIU43" s="2843"/>
      <c r="IIV43" s="2843"/>
      <c r="IIW43" s="2844"/>
      <c r="IIX43" s="2845"/>
      <c r="IIY43" s="2842"/>
      <c r="IIZ43" s="2842"/>
      <c r="IJA43" s="2843"/>
      <c r="IJB43" s="2843"/>
      <c r="IJC43" s="2844"/>
      <c r="IJD43" s="2845"/>
      <c r="IJE43" s="2842"/>
      <c r="IJF43" s="2842"/>
      <c r="IJG43" s="2843"/>
      <c r="IJH43" s="2843"/>
      <c r="IJI43" s="2844"/>
      <c r="IJJ43" s="2845"/>
      <c r="IJK43" s="2842"/>
      <c r="IJL43" s="2842"/>
      <c r="IJM43" s="2843"/>
      <c r="IJN43" s="2843"/>
      <c r="IJO43" s="2844"/>
      <c r="IJP43" s="2845"/>
      <c r="IJQ43" s="2842"/>
      <c r="IJR43" s="2842"/>
      <c r="IJS43" s="2843"/>
      <c r="IJT43" s="2843"/>
      <c r="IJU43" s="2844"/>
      <c r="IJV43" s="2845"/>
      <c r="IJW43" s="2842"/>
      <c r="IJX43" s="2842"/>
      <c r="IJY43" s="2843"/>
      <c r="IJZ43" s="2843"/>
      <c r="IKA43" s="2844"/>
      <c r="IKB43" s="2845"/>
      <c r="IKC43" s="2842"/>
      <c r="IKD43" s="2842"/>
      <c r="IKE43" s="2843"/>
      <c r="IKF43" s="2843"/>
      <c r="IKG43" s="2844"/>
      <c r="IKH43" s="2845"/>
      <c r="IKI43" s="2842"/>
      <c r="IKJ43" s="2842"/>
      <c r="IKK43" s="2843"/>
      <c r="IKL43" s="2843"/>
      <c r="IKM43" s="2844"/>
      <c r="IKN43" s="2845"/>
      <c r="IKO43" s="2842"/>
      <c r="IKP43" s="2842"/>
      <c r="IKQ43" s="2843"/>
      <c r="IKR43" s="2843"/>
      <c r="IKS43" s="2844"/>
      <c r="IKT43" s="2845"/>
      <c r="IKU43" s="2842"/>
      <c r="IKV43" s="2842"/>
      <c r="IKW43" s="2843"/>
      <c r="IKX43" s="2843"/>
      <c r="IKY43" s="2844"/>
      <c r="IKZ43" s="2845"/>
      <c r="ILA43" s="2842"/>
      <c r="ILB43" s="2842"/>
      <c r="ILC43" s="2843"/>
      <c r="ILD43" s="2843"/>
      <c r="ILE43" s="2844"/>
      <c r="ILF43" s="2845"/>
      <c r="ILG43" s="2842"/>
      <c r="ILH43" s="2842"/>
      <c r="ILI43" s="2843"/>
      <c r="ILJ43" s="2843"/>
      <c r="ILK43" s="2844"/>
      <c r="ILL43" s="2845"/>
      <c r="ILM43" s="2842"/>
      <c r="ILN43" s="2842"/>
      <c r="ILO43" s="2843"/>
      <c r="ILP43" s="2843"/>
      <c r="ILQ43" s="2844"/>
      <c r="ILR43" s="2845"/>
      <c r="ILS43" s="2842"/>
      <c r="ILT43" s="2842"/>
      <c r="ILU43" s="2843"/>
      <c r="ILV43" s="2843"/>
      <c r="ILW43" s="2844"/>
      <c r="ILX43" s="2845"/>
      <c r="ILY43" s="2842"/>
      <c r="ILZ43" s="2842"/>
      <c r="IMA43" s="2843"/>
      <c r="IMB43" s="2843"/>
      <c r="IMC43" s="2844"/>
      <c r="IMD43" s="2845"/>
      <c r="IME43" s="2842"/>
      <c r="IMF43" s="2842"/>
      <c r="IMG43" s="2843"/>
      <c r="IMH43" s="2843"/>
      <c r="IMI43" s="2844"/>
      <c r="IMJ43" s="2845"/>
      <c r="IMK43" s="2842"/>
      <c r="IML43" s="2842"/>
      <c r="IMM43" s="2843"/>
      <c r="IMN43" s="2843"/>
      <c r="IMO43" s="2844"/>
      <c r="IMP43" s="2845"/>
      <c r="IMQ43" s="2842"/>
      <c r="IMR43" s="2842"/>
      <c r="IMS43" s="2843"/>
      <c r="IMT43" s="2843"/>
      <c r="IMU43" s="2844"/>
      <c r="IMV43" s="2845"/>
      <c r="IMW43" s="2842"/>
      <c r="IMX43" s="2842"/>
      <c r="IMY43" s="2843"/>
      <c r="IMZ43" s="2843"/>
      <c r="INA43" s="2844"/>
      <c r="INB43" s="2845"/>
      <c r="INC43" s="2842"/>
      <c r="IND43" s="2842"/>
      <c r="INE43" s="2843"/>
      <c r="INF43" s="2843"/>
      <c r="ING43" s="2844"/>
      <c r="INH43" s="2845"/>
      <c r="INI43" s="2842"/>
      <c r="INJ43" s="2842"/>
      <c r="INK43" s="2843"/>
      <c r="INL43" s="2843"/>
      <c r="INM43" s="2844"/>
      <c r="INN43" s="2845"/>
      <c r="INO43" s="2842"/>
      <c r="INP43" s="2842"/>
      <c r="INQ43" s="2843"/>
      <c r="INR43" s="2843"/>
      <c r="INS43" s="2844"/>
      <c r="INT43" s="2845"/>
      <c r="INU43" s="2842"/>
      <c r="INV43" s="2842"/>
      <c r="INW43" s="2843"/>
      <c r="INX43" s="2843"/>
      <c r="INY43" s="2844"/>
      <c r="INZ43" s="2845"/>
      <c r="IOA43" s="2842"/>
      <c r="IOB43" s="2842"/>
      <c r="IOC43" s="2843"/>
      <c r="IOD43" s="2843"/>
      <c r="IOE43" s="2844"/>
      <c r="IOF43" s="2845"/>
      <c r="IOG43" s="2842"/>
      <c r="IOH43" s="2842"/>
      <c r="IOI43" s="2843"/>
      <c r="IOJ43" s="2843"/>
      <c r="IOK43" s="2844"/>
      <c r="IOL43" s="2845"/>
      <c r="IOM43" s="2842"/>
      <c r="ION43" s="2842"/>
      <c r="IOO43" s="2843"/>
      <c r="IOP43" s="2843"/>
      <c r="IOQ43" s="2844"/>
      <c r="IOR43" s="2845"/>
      <c r="IOS43" s="2842"/>
      <c r="IOT43" s="2842"/>
      <c r="IOU43" s="2843"/>
      <c r="IOV43" s="2843"/>
      <c r="IOW43" s="2844"/>
      <c r="IOX43" s="2845"/>
      <c r="IOY43" s="2842"/>
      <c r="IOZ43" s="2842"/>
      <c r="IPA43" s="2843"/>
      <c r="IPB43" s="2843"/>
      <c r="IPC43" s="2844"/>
      <c r="IPD43" s="2845"/>
      <c r="IPE43" s="2842"/>
      <c r="IPF43" s="2842"/>
      <c r="IPG43" s="2843"/>
      <c r="IPH43" s="2843"/>
      <c r="IPI43" s="2844"/>
      <c r="IPJ43" s="2845"/>
      <c r="IPK43" s="2842"/>
      <c r="IPL43" s="2842"/>
      <c r="IPM43" s="2843"/>
      <c r="IPN43" s="2843"/>
      <c r="IPO43" s="2844"/>
      <c r="IPP43" s="2845"/>
      <c r="IPQ43" s="2842"/>
      <c r="IPR43" s="2842"/>
      <c r="IPS43" s="2843"/>
      <c r="IPT43" s="2843"/>
      <c r="IPU43" s="2844"/>
      <c r="IPV43" s="2845"/>
      <c r="IPW43" s="2842"/>
      <c r="IPX43" s="2842"/>
      <c r="IPY43" s="2843"/>
      <c r="IPZ43" s="2843"/>
      <c r="IQA43" s="2844"/>
      <c r="IQB43" s="2845"/>
      <c r="IQC43" s="2842"/>
      <c r="IQD43" s="2842"/>
      <c r="IQE43" s="2843"/>
      <c r="IQF43" s="2843"/>
      <c r="IQG43" s="2844"/>
      <c r="IQH43" s="2845"/>
      <c r="IQI43" s="2842"/>
      <c r="IQJ43" s="2842"/>
      <c r="IQK43" s="2843"/>
      <c r="IQL43" s="2843"/>
      <c r="IQM43" s="2844"/>
      <c r="IQN43" s="2845"/>
      <c r="IQO43" s="2842"/>
      <c r="IQP43" s="2842"/>
      <c r="IQQ43" s="2843"/>
      <c r="IQR43" s="2843"/>
      <c r="IQS43" s="2844"/>
      <c r="IQT43" s="2845"/>
      <c r="IQU43" s="2842"/>
      <c r="IQV43" s="2842"/>
      <c r="IQW43" s="2843"/>
      <c r="IQX43" s="2843"/>
      <c r="IQY43" s="2844"/>
      <c r="IQZ43" s="2845"/>
      <c r="IRA43" s="2842"/>
      <c r="IRB43" s="2842"/>
      <c r="IRC43" s="2843"/>
      <c r="IRD43" s="2843"/>
      <c r="IRE43" s="2844"/>
      <c r="IRF43" s="2845"/>
      <c r="IRG43" s="2842"/>
      <c r="IRH43" s="2842"/>
      <c r="IRI43" s="2843"/>
      <c r="IRJ43" s="2843"/>
      <c r="IRK43" s="2844"/>
      <c r="IRL43" s="2845"/>
      <c r="IRM43" s="2842"/>
      <c r="IRN43" s="2842"/>
      <c r="IRO43" s="2843"/>
      <c r="IRP43" s="2843"/>
      <c r="IRQ43" s="2844"/>
      <c r="IRR43" s="2845"/>
      <c r="IRS43" s="2842"/>
      <c r="IRT43" s="2842"/>
      <c r="IRU43" s="2843"/>
      <c r="IRV43" s="2843"/>
      <c r="IRW43" s="2844"/>
      <c r="IRX43" s="2845"/>
      <c r="IRY43" s="2842"/>
      <c r="IRZ43" s="2842"/>
      <c r="ISA43" s="2843"/>
      <c r="ISB43" s="2843"/>
      <c r="ISC43" s="2844"/>
      <c r="ISD43" s="2845"/>
      <c r="ISE43" s="2842"/>
      <c r="ISF43" s="2842"/>
      <c r="ISG43" s="2843"/>
      <c r="ISH43" s="2843"/>
      <c r="ISI43" s="2844"/>
      <c r="ISJ43" s="2845"/>
      <c r="ISK43" s="2842"/>
      <c r="ISL43" s="2842"/>
      <c r="ISM43" s="2843"/>
      <c r="ISN43" s="2843"/>
      <c r="ISO43" s="2844"/>
      <c r="ISP43" s="2845"/>
      <c r="ISQ43" s="2842"/>
      <c r="ISR43" s="2842"/>
      <c r="ISS43" s="2843"/>
      <c r="IST43" s="2843"/>
      <c r="ISU43" s="2844"/>
      <c r="ISV43" s="2845"/>
      <c r="ISW43" s="2842"/>
      <c r="ISX43" s="2842"/>
      <c r="ISY43" s="2843"/>
      <c r="ISZ43" s="2843"/>
      <c r="ITA43" s="2844"/>
      <c r="ITB43" s="2845"/>
      <c r="ITC43" s="2842"/>
      <c r="ITD43" s="2842"/>
      <c r="ITE43" s="2843"/>
      <c r="ITF43" s="2843"/>
      <c r="ITG43" s="2844"/>
      <c r="ITH43" s="2845"/>
      <c r="ITI43" s="2842"/>
      <c r="ITJ43" s="2842"/>
      <c r="ITK43" s="2843"/>
      <c r="ITL43" s="2843"/>
      <c r="ITM43" s="2844"/>
      <c r="ITN43" s="2845"/>
      <c r="ITO43" s="2842"/>
      <c r="ITP43" s="2842"/>
      <c r="ITQ43" s="2843"/>
      <c r="ITR43" s="2843"/>
      <c r="ITS43" s="2844"/>
      <c r="ITT43" s="2845"/>
      <c r="ITU43" s="2842"/>
      <c r="ITV43" s="2842"/>
      <c r="ITW43" s="2843"/>
      <c r="ITX43" s="2843"/>
      <c r="ITY43" s="2844"/>
      <c r="ITZ43" s="2845"/>
      <c r="IUA43" s="2842"/>
      <c r="IUB43" s="2842"/>
      <c r="IUC43" s="2843"/>
      <c r="IUD43" s="2843"/>
      <c r="IUE43" s="2844"/>
      <c r="IUF43" s="2845"/>
      <c r="IUG43" s="2842"/>
      <c r="IUH43" s="2842"/>
      <c r="IUI43" s="2843"/>
      <c r="IUJ43" s="2843"/>
      <c r="IUK43" s="2844"/>
      <c r="IUL43" s="2845"/>
      <c r="IUM43" s="2842"/>
      <c r="IUN43" s="2842"/>
      <c r="IUO43" s="2843"/>
      <c r="IUP43" s="2843"/>
      <c r="IUQ43" s="2844"/>
      <c r="IUR43" s="2845"/>
      <c r="IUS43" s="2842"/>
      <c r="IUT43" s="2842"/>
      <c r="IUU43" s="2843"/>
      <c r="IUV43" s="2843"/>
      <c r="IUW43" s="2844"/>
      <c r="IUX43" s="2845"/>
      <c r="IUY43" s="2842"/>
      <c r="IUZ43" s="2842"/>
      <c r="IVA43" s="2843"/>
      <c r="IVB43" s="2843"/>
      <c r="IVC43" s="2844"/>
      <c r="IVD43" s="2845"/>
      <c r="IVE43" s="2842"/>
      <c r="IVF43" s="2842"/>
      <c r="IVG43" s="2843"/>
      <c r="IVH43" s="2843"/>
      <c r="IVI43" s="2844"/>
      <c r="IVJ43" s="2845"/>
      <c r="IVK43" s="2842"/>
      <c r="IVL43" s="2842"/>
      <c r="IVM43" s="2843"/>
      <c r="IVN43" s="2843"/>
      <c r="IVO43" s="2844"/>
      <c r="IVP43" s="2845"/>
      <c r="IVQ43" s="2842"/>
      <c r="IVR43" s="2842"/>
      <c r="IVS43" s="2843"/>
      <c r="IVT43" s="2843"/>
      <c r="IVU43" s="2844"/>
      <c r="IVV43" s="2845"/>
      <c r="IVW43" s="2842"/>
      <c r="IVX43" s="2842"/>
      <c r="IVY43" s="2843"/>
      <c r="IVZ43" s="2843"/>
      <c r="IWA43" s="2844"/>
      <c r="IWB43" s="2845"/>
      <c r="IWC43" s="2842"/>
      <c r="IWD43" s="2842"/>
      <c r="IWE43" s="2843"/>
      <c r="IWF43" s="2843"/>
      <c r="IWG43" s="2844"/>
      <c r="IWH43" s="2845"/>
      <c r="IWI43" s="2842"/>
      <c r="IWJ43" s="2842"/>
      <c r="IWK43" s="2843"/>
      <c r="IWL43" s="2843"/>
      <c r="IWM43" s="2844"/>
      <c r="IWN43" s="2845"/>
      <c r="IWO43" s="2842"/>
      <c r="IWP43" s="2842"/>
      <c r="IWQ43" s="2843"/>
      <c r="IWR43" s="2843"/>
      <c r="IWS43" s="2844"/>
      <c r="IWT43" s="2845"/>
      <c r="IWU43" s="2842"/>
      <c r="IWV43" s="2842"/>
      <c r="IWW43" s="2843"/>
      <c r="IWX43" s="2843"/>
      <c r="IWY43" s="2844"/>
      <c r="IWZ43" s="2845"/>
      <c r="IXA43" s="2842"/>
      <c r="IXB43" s="2842"/>
      <c r="IXC43" s="2843"/>
      <c r="IXD43" s="2843"/>
      <c r="IXE43" s="2844"/>
      <c r="IXF43" s="2845"/>
      <c r="IXG43" s="2842"/>
      <c r="IXH43" s="2842"/>
      <c r="IXI43" s="2843"/>
      <c r="IXJ43" s="2843"/>
      <c r="IXK43" s="2844"/>
      <c r="IXL43" s="2845"/>
      <c r="IXM43" s="2842"/>
      <c r="IXN43" s="2842"/>
      <c r="IXO43" s="2843"/>
      <c r="IXP43" s="2843"/>
      <c r="IXQ43" s="2844"/>
      <c r="IXR43" s="2845"/>
      <c r="IXS43" s="2842"/>
      <c r="IXT43" s="2842"/>
      <c r="IXU43" s="2843"/>
      <c r="IXV43" s="2843"/>
      <c r="IXW43" s="2844"/>
      <c r="IXX43" s="2845"/>
      <c r="IXY43" s="2842"/>
      <c r="IXZ43" s="2842"/>
      <c r="IYA43" s="2843"/>
      <c r="IYB43" s="2843"/>
      <c r="IYC43" s="2844"/>
      <c r="IYD43" s="2845"/>
      <c r="IYE43" s="2842"/>
      <c r="IYF43" s="2842"/>
      <c r="IYG43" s="2843"/>
      <c r="IYH43" s="2843"/>
      <c r="IYI43" s="2844"/>
      <c r="IYJ43" s="2845"/>
      <c r="IYK43" s="2842"/>
      <c r="IYL43" s="2842"/>
      <c r="IYM43" s="2843"/>
      <c r="IYN43" s="2843"/>
      <c r="IYO43" s="2844"/>
      <c r="IYP43" s="2845"/>
      <c r="IYQ43" s="2842"/>
      <c r="IYR43" s="2842"/>
      <c r="IYS43" s="2843"/>
      <c r="IYT43" s="2843"/>
      <c r="IYU43" s="2844"/>
      <c r="IYV43" s="2845"/>
      <c r="IYW43" s="2842"/>
      <c r="IYX43" s="2842"/>
      <c r="IYY43" s="2843"/>
      <c r="IYZ43" s="2843"/>
      <c r="IZA43" s="2844"/>
      <c r="IZB43" s="2845"/>
      <c r="IZC43" s="2842"/>
      <c r="IZD43" s="2842"/>
      <c r="IZE43" s="2843"/>
      <c r="IZF43" s="2843"/>
      <c r="IZG43" s="2844"/>
      <c r="IZH43" s="2845"/>
      <c r="IZI43" s="2842"/>
      <c r="IZJ43" s="2842"/>
      <c r="IZK43" s="2843"/>
      <c r="IZL43" s="2843"/>
      <c r="IZM43" s="2844"/>
      <c r="IZN43" s="2845"/>
      <c r="IZO43" s="2842"/>
      <c r="IZP43" s="2842"/>
      <c r="IZQ43" s="2843"/>
      <c r="IZR43" s="2843"/>
      <c r="IZS43" s="2844"/>
      <c r="IZT43" s="2845"/>
      <c r="IZU43" s="2842"/>
      <c r="IZV43" s="2842"/>
      <c r="IZW43" s="2843"/>
      <c r="IZX43" s="2843"/>
      <c r="IZY43" s="2844"/>
      <c r="IZZ43" s="2845"/>
      <c r="JAA43" s="2842"/>
      <c r="JAB43" s="2842"/>
      <c r="JAC43" s="2843"/>
      <c r="JAD43" s="2843"/>
      <c r="JAE43" s="2844"/>
      <c r="JAF43" s="2845"/>
      <c r="JAG43" s="2842"/>
      <c r="JAH43" s="2842"/>
      <c r="JAI43" s="2843"/>
      <c r="JAJ43" s="2843"/>
      <c r="JAK43" s="2844"/>
      <c r="JAL43" s="2845"/>
      <c r="JAM43" s="2842"/>
      <c r="JAN43" s="2842"/>
      <c r="JAO43" s="2843"/>
      <c r="JAP43" s="2843"/>
      <c r="JAQ43" s="2844"/>
      <c r="JAR43" s="2845"/>
      <c r="JAS43" s="2842"/>
      <c r="JAT43" s="2842"/>
      <c r="JAU43" s="2843"/>
      <c r="JAV43" s="2843"/>
      <c r="JAW43" s="2844"/>
      <c r="JAX43" s="2845"/>
      <c r="JAY43" s="2842"/>
      <c r="JAZ43" s="2842"/>
      <c r="JBA43" s="2843"/>
      <c r="JBB43" s="2843"/>
      <c r="JBC43" s="2844"/>
      <c r="JBD43" s="2845"/>
      <c r="JBE43" s="2842"/>
      <c r="JBF43" s="2842"/>
      <c r="JBG43" s="2843"/>
      <c r="JBH43" s="2843"/>
      <c r="JBI43" s="2844"/>
      <c r="JBJ43" s="2845"/>
      <c r="JBK43" s="2842"/>
      <c r="JBL43" s="2842"/>
      <c r="JBM43" s="2843"/>
      <c r="JBN43" s="2843"/>
      <c r="JBO43" s="2844"/>
      <c r="JBP43" s="2845"/>
      <c r="JBQ43" s="2842"/>
      <c r="JBR43" s="2842"/>
      <c r="JBS43" s="2843"/>
      <c r="JBT43" s="2843"/>
      <c r="JBU43" s="2844"/>
      <c r="JBV43" s="2845"/>
      <c r="JBW43" s="2842"/>
      <c r="JBX43" s="2842"/>
      <c r="JBY43" s="2843"/>
      <c r="JBZ43" s="2843"/>
      <c r="JCA43" s="2844"/>
      <c r="JCB43" s="2845"/>
      <c r="JCC43" s="2842"/>
      <c r="JCD43" s="2842"/>
      <c r="JCE43" s="2843"/>
      <c r="JCF43" s="2843"/>
      <c r="JCG43" s="2844"/>
      <c r="JCH43" s="2845"/>
      <c r="JCI43" s="2842"/>
      <c r="JCJ43" s="2842"/>
      <c r="JCK43" s="2843"/>
      <c r="JCL43" s="2843"/>
      <c r="JCM43" s="2844"/>
      <c r="JCN43" s="2845"/>
      <c r="JCO43" s="2842"/>
      <c r="JCP43" s="2842"/>
      <c r="JCQ43" s="2843"/>
      <c r="JCR43" s="2843"/>
      <c r="JCS43" s="2844"/>
      <c r="JCT43" s="2845"/>
      <c r="JCU43" s="2842"/>
      <c r="JCV43" s="2842"/>
      <c r="JCW43" s="2843"/>
      <c r="JCX43" s="2843"/>
      <c r="JCY43" s="2844"/>
      <c r="JCZ43" s="2845"/>
      <c r="JDA43" s="2842"/>
      <c r="JDB43" s="2842"/>
      <c r="JDC43" s="2843"/>
      <c r="JDD43" s="2843"/>
      <c r="JDE43" s="2844"/>
      <c r="JDF43" s="2845"/>
      <c r="JDG43" s="2842"/>
      <c r="JDH43" s="2842"/>
      <c r="JDI43" s="2843"/>
      <c r="JDJ43" s="2843"/>
      <c r="JDK43" s="2844"/>
      <c r="JDL43" s="2845"/>
      <c r="JDM43" s="2842"/>
      <c r="JDN43" s="2842"/>
      <c r="JDO43" s="2843"/>
      <c r="JDP43" s="2843"/>
      <c r="JDQ43" s="2844"/>
      <c r="JDR43" s="2845"/>
      <c r="JDS43" s="2842"/>
      <c r="JDT43" s="2842"/>
      <c r="JDU43" s="2843"/>
      <c r="JDV43" s="2843"/>
      <c r="JDW43" s="2844"/>
      <c r="JDX43" s="2845"/>
      <c r="JDY43" s="2842"/>
      <c r="JDZ43" s="2842"/>
      <c r="JEA43" s="2843"/>
      <c r="JEB43" s="2843"/>
      <c r="JEC43" s="2844"/>
      <c r="JED43" s="2845"/>
      <c r="JEE43" s="2842"/>
      <c r="JEF43" s="2842"/>
      <c r="JEG43" s="2843"/>
      <c r="JEH43" s="2843"/>
      <c r="JEI43" s="2844"/>
      <c r="JEJ43" s="2845"/>
      <c r="JEK43" s="2842"/>
      <c r="JEL43" s="2842"/>
      <c r="JEM43" s="2843"/>
      <c r="JEN43" s="2843"/>
      <c r="JEO43" s="2844"/>
      <c r="JEP43" s="2845"/>
      <c r="JEQ43" s="2842"/>
      <c r="JER43" s="2842"/>
      <c r="JES43" s="2843"/>
      <c r="JET43" s="2843"/>
      <c r="JEU43" s="2844"/>
      <c r="JEV43" s="2845"/>
      <c r="JEW43" s="2842"/>
      <c r="JEX43" s="2842"/>
      <c r="JEY43" s="2843"/>
      <c r="JEZ43" s="2843"/>
      <c r="JFA43" s="2844"/>
      <c r="JFB43" s="2845"/>
      <c r="JFC43" s="2842"/>
      <c r="JFD43" s="2842"/>
      <c r="JFE43" s="2843"/>
      <c r="JFF43" s="2843"/>
      <c r="JFG43" s="2844"/>
      <c r="JFH43" s="2845"/>
      <c r="JFI43" s="2842"/>
      <c r="JFJ43" s="2842"/>
      <c r="JFK43" s="2843"/>
      <c r="JFL43" s="2843"/>
      <c r="JFM43" s="2844"/>
      <c r="JFN43" s="2845"/>
      <c r="JFO43" s="2842"/>
      <c r="JFP43" s="2842"/>
      <c r="JFQ43" s="2843"/>
      <c r="JFR43" s="2843"/>
      <c r="JFS43" s="2844"/>
      <c r="JFT43" s="2845"/>
      <c r="JFU43" s="2842"/>
      <c r="JFV43" s="2842"/>
      <c r="JFW43" s="2843"/>
      <c r="JFX43" s="2843"/>
      <c r="JFY43" s="2844"/>
      <c r="JFZ43" s="2845"/>
      <c r="JGA43" s="2842"/>
      <c r="JGB43" s="2842"/>
      <c r="JGC43" s="2843"/>
      <c r="JGD43" s="2843"/>
      <c r="JGE43" s="2844"/>
      <c r="JGF43" s="2845"/>
      <c r="JGG43" s="2842"/>
      <c r="JGH43" s="2842"/>
      <c r="JGI43" s="2843"/>
      <c r="JGJ43" s="2843"/>
      <c r="JGK43" s="2844"/>
      <c r="JGL43" s="2845"/>
      <c r="JGM43" s="2842"/>
      <c r="JGN43" s="2842"/>
      <c r="JGO43" s="2843"/>
      <c r="JGP43" s="2843"/>
      <c r="JGQ43" s="2844"/>
      <c r="JGR43" s="2845"/>
      <c r="JGS43" s="2842"/>
      <c r="JGT43" s="2842"/>
      <c r="JGU43" s="2843"/>
      <c r="JGV43" s="2843"/>
      <c r="JGW43" s="2844"/>
      <c r="JGX43" s="2845"/>
      <c r="JGY43" s="2842"/>
      <c r="JGZ43" s="2842"/>
      <c r="JHA43" s="2843"/>
      <c r="JHB43" s="2843"/>
      <c r="JHC43" s="2844"/>
      <c r="JHD43" s="2845"/>
      <c r="JHE43" s="2842"/>
      <c r="JHF43" s="2842"/>
      <c r="JHG43" s="2843"/>
      <c r="JHH43" s="2843"/>
      <c r="JHI43" s="2844"/>
      <c r="JHJ43" s="2845"/>
      <c r="JHK43" s="2842"/>
      <c r="JHL43" s="2842"/>
      <c r="JHM43" s="2843"/>
      <c r="JHN43" s="2843"/>
      <c r="JHO43" s="2844"/>
      <c r="JHP43" s="2845"/>
      <c r="JHQ43" s="2842"/>
      <c r="JHR43" s="2842"/>
      <c r="JHS43" s="2843"/>
      <c r="JHT43" s="2843"/>
      <c r="JHU43" s="2844"/>
      <c r="JHV43" s="2845"/>
      <c r="JHW43" s="2842"/>
      <c r="JHX43" s="2842"/>
      <c r="JHY43" s="2843"/>
      <c r="JHZ43" s="2843"/>
      <c r="JIA43" s="2844"/>
      <c r="JIB43" s="2845"/>
      <c r="JIC43" s="2842"/>
      <c r="JID43" s="2842"/>
      <c r="JIE43" s="2843"/>
      <c r="JIF43" s="2843"/>
      <c r="JIG43" s="2844"/>
      <c r="JIH43" s="2845"/>
      <c r="JII43" s="2842"/>
      <c r="JIJ43" s="2842"/>
      <c r="JIK43" s="2843"/>
      <c r="JIL43" s="2843"/>
      <c r="JIM43" s="2844"/>
      <c r="JIN43" s="2845"/>
      <c r="JIO43" s="2842"/>
      <c r="JIP43" s="2842"/>
      <c r="JIQ43" s="2843"/>
      <c r="JIR43" s="2843"/>
      <c r="JIS43" s="2844"/>
      <c r="JIT43" s="2845"/>
      <c r="JIU43" s="2842"/>
      <c r="JIV43" s="2842"/>
      <c r="JIW43" s="2843"/>
      <c r="JIX43" s="2843"/>
      <c r="JIY43" s="2844"/>
      <c r="JIZ43" s="2845"/>
      <c r="JJA43" s="2842"/>
      <c r="JJB43" s="2842"/>
      <c r="JJC43" s="2843"/>
      <c r="JJD43" s="2843"/>
      <c r="JJE43" s="2844"/>
      <c r="JJF43" s="2845"/>
      <c r="JJG43" s="2842"/>
      <c r="JJH43" s="2842"/>
      <c r="JJI43" s="2843"/>
      <c r="JJJ43" s="2843"/>
      <c r="JJK43" s="2844"/>
      <c r="JJL43" s="2845"/>
      <c r="JJM43" s="2842"/>
      <c r="JJN43" s="2842"/>
      <c r="JJO43" s="2843"/>
      <c r="JJP43" s="2843"/>
      <c r="JJQ43" s="2844"/>
      <c r="JJR43" s="2845"/>
      <c r="JJS43" s="2842"/>
      <c r="JJT43" s="2842"/>
      <c r="JJU43" s="2843"/>
      <c r="JJV43" s="2843"/>
      <c r="JJW43" s="2844"/>
      <c r="JJX43" s="2845"/>
      <c r="JJY43" s="2842"/>
      <c r="JJZ43" s="2842"/>
      <c r="JKA43" s="2843"/>
      <c r="JKB43" s="2843"/>
      <c r="JKC43" s="2844"/>
      <c r="JKD43" s="2845"/>
      <c r="JKE43" s="2842"/>
      <c r="JKF43" s="2842"/>
      <c r="JKG43" s="2843"/>
      <c r="JKH43" s="2843"/>
      <c r="JKI43" s="2844"/>
      <c r="JKJ43" s="2845"/>
      <c r="JKK43" s="2842"/>
      <c r="JKL43" s="2842"/>
      <c r="JKM43" s="2843"/>
      <c r="JKN43" s="2843"/>
      <c r="JKO43" s="2844"/>
      <c r="JKP43" s="2845"/>
      <c r="JKQ43" s="2842"/>
      <c r="JKR43" s="2842"/>
      <c r="JKS43" s="2843"/>
      <c r="JKT43" s="2843"/>
      <c r="JKU43" s="2844"/>
      <c r="JKV43" s="2845"/>
      <c r="JKW43" s="2842"/>
      <c r="JKX43" s="2842"/>
      <c r="JKY43" s="2843"/>
      <c r="JKZ43" s="2843"/>
      <c r="JLA43" s="2844"/>
      <c r="JLB43" s="2845"/>
      <c r="JLC43" s="2842"/>
      <c r="JLD43" s="2842"/>
      <c r="JLE43" s="2843"/>
      <c r="JLF43" s="2843"/>
      <c r="JLG43" s="2844"/>
      <c r="JLH43" s="2845"/>
      <c r="JLI43" s="2842"/>
      <c r="JLJ43" s="2842"/>
      <c r="JLK43" s="2843"/>
      <c r="JLL43" s="2843"/>
      <c r="JLM43" s="2844"/>
      <c r="JLN43" s="2845"/>
      <c r="JLO43" s="2842"/>
      <c r="JLP43" s="2842"/>
      <c r="JLQ43" s="2843"/>
      <c r="JLR43" s="2843"/>
      <c r="JLS43" s="2844"/>
      <c r="JLT43" s="2845"/>
      <c r="JLU43" s="2842"/>
      <c r="JLV43" s="2842"/>
      <c r="JLW43" s="2843"/>
      <c r="JLX43" s="2843"/>
      <c r="JLY43" s="2844"/>
      <c r="JLZ43" s="2845"/>
      <c r="JMA43" s="2842"/>
      <c r="JMB43" s="2842"/>
      <c r="JMC43" s="2843"/>
      <c r="JMD43" s="2843"/>
      <c r="JME43" s="2844"/>
      <c r="JMF43" s="2845"/>
      <c r="JMG43" s="2842"/>
      <c r="JMH43" s="2842"/>
      <c r="JMI43" s="2843"/>
      <c r="JMJ43" s="2843"/>
      <c r="JMK43" s="2844"/>
      <c r="JML43" s="2845"/>
      <c r="JMM43" s="2842"/>
      <c r="JMN43" s="2842"/>
      <c r="JMO43" s="2843"/>
      <c r="JMP43" s="2843"/>
      <c r="JMQ43" s="2844"/>
      <c r="JMR43" s="2845"/>
      <c r="JMS43" s="2842"/>
      <c r="JMT43" s="2842"/>
      <c r="JMU43" s="2843"/>
      <c r="JMV43" s="2843"/>
      <c r="JMW43" s="2844"/>
      <c r="JMX43" s="2845"/>
      <c r="JMY43" s="2842"/>
      <c r="JMZ43" s="2842"/>
      <c r="JNA43" s="2843"/>
      <c r="JNB43" s="2843"/>
      <c r="JNC43" s="2844"/>
      <c r="JND43" s="2845"/>
      <c r="JNE43" s="2842"/>
      <c r="JNF43" s="2842"/>
      <c r="JNG43" s="2843"/>
      <c r="JNH43" s="2843"/>
      <c r="JNI43" s="2844"/>
      <c r="JNJ43" s="2845"/>
      <c r="JNK43" s="2842"/>
      <c r="JNL43" s="2842"/>
      <c r="JNM43" s="2843"/>
      <c r="JNN43" s="2843"/>
      <c r="JNO43" s="2844"/>
      <c r="JNP43" s="2845"/>
      <c r="JNQ43" s="2842"/>
      <c r="JNR43" s="2842"/>
      <c r="JNS43" s="2843"/>
      <c r="JNT43" s="2843"/>
      <c r="JNU43" s="2844"/>
      <c r="JNV43" s="2845"/>
      <c r="JNW43" s="2842"/>
      <c r="JNX43" s="2842"/>
      <c r="JNY43" s="2843"/>
      <c r="JNZ43" s="2843"/>
      <c r="JOA43" s="2844"/>
      <c r="JOB43" s="2845"/>
      <c r="JOC43" s="2842"/>
      <c r="JOD43" s="2842"/>
      <c r="JOE43" s="2843"/>
      <c r="JOF43" s="2843"/>
      <c r="JOG43" s="2844"/>
      <c r="JOH43" s="2845"/>
      <c r="JOI43" s="2842"/>
      <c r="JOJ43" s="2842"/>
      <c r="JOK43" s="2843"/>
      <c r="JOL43" s="2843"/>
      <c r="JOM43" s="2844"/>
      <c r="JON43" s="2845"/>
      <c r="JOO43" s="2842"/>
      <c r="JOP43" s="2842"/>
      <c r="JOQ43" s="2843"/>
      <c r="JOR43" s="2843"/>
      <c r="JOS43" s="2844"/>
      <c r="JOT43" s="2845"/>
      <c r="JOU43" s="2842"/>
      <c r="JOV43" s="2842"/>
      <c r="JOW43" s="2843"/>
      <c r="JOX43" s="2843"/>
      <c r="JOY43" s="2844"/>
      <c r="JOZ43" s="2845"/>
      <c r="JPA43" s="2842"/>
      <c r="JPB43" s="2842"/>
      <c r="JPC43" s="2843"/>
      <c r="JPD43" s="2843"/>
      <c r="JPE43" s="2844"/>
      <c r="JPF43" s="2845"/>
      <c r="JPG43" s="2842"/>
      <c r="JPH43" s="2842"/>
      <c r="JPI43" s="2843"/>
      <c r="JPJ43" s="2843"/>
      <c r="JPK43" s="2844"/>
      <c r="JPL43" s="2845"/>
      <c r="JPM43" s="2842"/>
      <c r="JPN43" s="2842"/>
      <c r="JPO43" s="2843"/>
      <c r="JPP43" s="2843"/>
      <c r="JPQ43" s="2844"/>
      <c r="JPR43" s="2845"/>
      <c r="JPS43" s="2842"/>
      <c r="JPT43" s="2842"/>
      <c r="JPU43" s="2843"/>
      <c r="JPV43" s="2843"/>
      <c r="JPW43" s="2844"/>
      <c r="JPX43" s="2845"/>
      <c r="JPY43" s="2842"/>
      <c r="JPZ43" s="2842"/>
      <c r="JQA43" s="2843"/>
      <c r="JQB43" s="2843"/>
      <c r="JQC43" s="2844"/>
      <c r="JQD43" s="2845"/>
      <c r="JQE43" s="2842"/>
      <c r="JQF43" s="2842"/>
      <c r="JQG43" s="2843"/>
      <c r="JQH43" s="2843"/>
      <c r="JQI43" s="2844"/>
      <c r="JQJ43" s="2845"/>
      <c r="JQK43" s="2842"/>
      <c r="JQL43" s="2842"/>
      <c r="JQM43" s="2843"/>
      <c r="JQN43" s="2843"/>
      <c r="JQO43" s="2844"/>
      <c r="JQP43" s="2845"/>
      <c r="JQQ43" s="2842"/>
      <c r="JQR43" s="2842"/>
      <c r="JQS43" s="2843"/>
      <c r="JQT43" s="2843"/>
      <c r="JQU43" s="2844"/>
      <c r="JQV43" s="2845"/>
      <c r="JQW43" s="2842"/>
      <c r="JQX43" s="2842"/>
      <c r="JQY43" s="2843"/>
      <c r="JQZ43" s="2843"/>
      <c r="JRA43" s="2844"/>
      <c r="JRB43" s="2845"/>
      <c r="JRC43" s="2842"/>
      <c r="JRD43" s="2842"/>
      <c r="JRE43" s="2843"/>
      <c r="JRF43" s="2843"/>
      <c r="JRG43" s="2844"/>
      <c r="JRH43" s="2845"/>
      <c r="JRI43" s="2842"/>
      <c r="JRJ43" s="2842"/>
      <c r="JRK43" s="2843"/>
      <c r="JRL43" s="2843"/>
      <c r="JRM43" s="2844"/>
      <c r="JRN43" s="2845"/>
      <c r="JRO43" s="2842"/>
      <c r="JRP43" s="2842"/>
      <c r="JRQ43" s="2843"/>
      <c r="JRR43" s="2843"/>
      <c r="JRS43" s="2844"/>
      <c r="JRT43" s="2845"/>
      <c r="JRU43" s="2842"/>
      <c r="JRV43" s="2842"/>
      <c r="JRW43" s="2843"/>
      <c r="JRX43" s="2843"/>
      <c r="JRY43" s="2844"/>
      <c r="JRZ43" s="2845"/>
      <c r="JSA43" s="2842"/>
      <c r="JSB43" s="2842"/>
      <c r="JSC43" s="2843"/>
      <c r="JSD43" s="2843"/>
      <c r="JSE43" s="2844"/>
      <c r="JSF43" s="2845"/>
      <c r="JSG43" s="2842"/>
      <c r="JSH43" s="2842"/>
      <c r="JSI43" s="2843"/>
      <c r="JSJ43" s="2843"/>
      <c r="JSK43" s="2844"/>
      <c r="JSL43" s="2845"/>
      <c r="JSM43" s="2842"/>
      <c r="JSN43" s="2842"/>
      <c r="JSO43" s="2843"/>
      <c r="JSP43" s="2843"/>
      <c r="JSQ43" s="2844"/>
      <c r="JSR43" s="2845"/>
      <c r="JSS43" s="2842"/>
      <c r="JST43" s="2842"/>
      <c r="JSU43" s="2843"/>
      <c r="JSV43" s="2843"/>
      <c r="JSW43" s="2844"/>
      <c r="JSX43" s="2845"/>
      <c r="JSY43" s="2842"/>
      <c r="JSZ43" s="2842"/>
      <c r="JTA43" s="2843"/>
      <c r="JTB43" s="2843"/>
      <c r="JTC43" s="2844"/>
      <c r="JTD43" s="2845"/>
      <c r="JTE43" s="2842"/>
      <c r="JTF43" s="2842"/>
      <c r="JTG43" s="2843"/>
      <c r="JTH43" s="2843"/>
      <c r="JTI43" s="2844"/>
      <c r="JTJ43" s="2845"/>
      <c r="JTK43" s="2842"/>
      <c r="JTL43" s="2842"/>
      <c r="JTM43" s="2843"/>
      <c r="JTN43" s="2843"/>
      <c r="JTO43" s="2844"/>
      <c r="JTP43" s="2845"/>
      <c r="JTQ43" s="2842"/>
      <c r="JTR43" s="2842"/>
      <c r="JTS43" s="2843"/>
      <c r="JTT43" s="2843"/>
      <c r="JTU43" s="2844"/>
      <c r="JTV43" s="2845"/>
      <c r="JTW43" s="2842"/>
      <c r="JTX43" s="2842"/>
      <c r="JTY43" s="2843"/>
      <c r="JTZ43" s="2843"/>
      <c r="JUA43" s="2844"/>
      <c r="JUB43" s="2845"/>
      <c r="JUC43" s="2842"/>
      <c r="JUD43" s="2842"/>
      <c r="JUE43" s="2843"/>
      <c r="JUF43" s="2843"/>
      <c r="JUG43" s="2844"/>
      <c r="JUH43" s="2845"/>
      <c r="JUI43" s="2842"/>
      <c r="JUJ43" s="2842"/>
      <c r="JUK43" s="2843"/>
      <c r="JUL43" s="2843"/>
      <c r="JUM43" s="2844"/>
      <c r="JUN43" s="2845"/>
      <c r="JUO43" s="2842"/>
      <c r="JUP43" s="2842"/>
      <c r="JUQ43" s="2843"/>
      <c r="JUR43" s="2843"/>
      <c r="JUS43" s="2844"/>
      <c r="JUT43" s="2845"/>
      <c r="JUU43" s="2842"/>
      <c r="JUV43" s="2842"/>
      <c r="JUW43" s="2843"/>
      <c r="JUX43" s="2843"/>
      <c r="JUY43" s="2844"/>
      <c r="JUZ43" s="2845"/>
      <c r="JVA43" s="2842"/>
      <c r="JVB43" s="2842"/>
      <c r="JVC43" s="2843"/>
      <c r="JVD43" s="2843"/>
      <c r="JVE43" s="2844"/>
      <c r="JVF43" s="2845"/>
      <c r="JVG43" s="2842"/>
      <c r="JVH43" s="2842"/>
      <c r="JVI43" s="2843"/>
      <c r="JVJ43" s="2843"/>
      <c r="JVK43" s="2844"/>
      <c r="JVL43" s="2845"/>
      <c r="JVM43" s="2842"/>
      <c r="JVN43" s="2842"/>
      <c r="JVO43" s="2843"/>
      <c r="JVP43" s="2843"/>
      <c r="JVQ43" s="2844"/>
      <c r="JVR43" s="2845"/>
      <c r="JVS43" s="2842"/>
      <c r="JVT43" s="2842"/>
      <c r="JVU43" s="2843"/>
      <c r="JVV43" s="2843"/>
      <c r="JVW43" s="2844"/>
      <c r="JVX43" s="2845"/>
      <c r="JVY43" s="2842"/>
      <c r="JVZ43" s="2842"/>
      <c r="JWA43" s="2843"/>
      <c r="JWB43" s="2843"/>
      <c r="JWC43" s="2844"/>
      <c r="JWD43" s="2845"/>
      <c r="JWE43" s="2842"/>
      <c r="JWF43" s="2842"/>
      <c r="JWG43" s="2843"/>
      <c r="JWH43" s="2843"/>
      <c r="JWI43" s="2844"/>
      <c r="JWJ43" s="2845"/>
      <c r="JWK43" s="2842"/>
      <c r="JWL43" s="2842"/>
      <c r="JWM43" s="2843"/>
      <c r="JWN43" s="2843"/>
      <c r="JWO43" s="2844"/>
      <c r="JWP43" s="2845"/>
      <c r="JWQ43" s="2842"/>
      <c r="JWR43" s="2842"/>
      <c r="JWS43" s="2843"/>
      <c r="JWT43" s="2843"/>
      <c r="JWU43" s="2844"/>
      <c r="JWV43" s="2845"/>
      <c r="JWW43" s="2842"/>
      <c r="JWX43" s="2842"/>
      <c r="JWY43" s="2843"/>
      <c r="JWZ43" s="2843"/>
      <c r="JXA43" s="2844"/>
      <c r="JXB43" s="2845"/>
      <c r="JXC43" s="2842"/>
      <c r="JXD43" s="2842"/>
      <c r="JXE43" s="2843"/>
      <c r="JXF43" s="2843"/>
      <c r="JXG43" s="2844"/>
      <c r="JXH43" s="2845"/>
      <c r="JXI43" s="2842"/>
      <c r="JXJ43" s="2842"/>
      <c r="JXK43" s="2843"/>
      <c r="JXL43" s="2843"/>
      <c r="JXM43" s="2844"/>
      <c r="JXN43" s="2845"/>
      <c r="JXO43" s="2842"/>
      <c r="JXP43" s="2842"/>
      <c r="JXQ43" s="2843"/>
      <c r="JXR43" s="2843"/>
      <c r="JXS43" s="2844"/>
      <c r="JXT43" s="2845"/>
      <c r="JXU43" s="2842"/>
      <c r="JXV43" s="2842"/>
      <c r="JXW43" s="2843"/>
      <c r="JXX43" s="2843"/>
      <c r="JXY43" s="2844"/>
      <c r="JXZ43" s="2845"/>
      <c r="JYA43" s="2842"/>
      <c r="JYB43" s="2842"/>
      <c r="JYC43" s="2843"/>
      <c r="JYD43" s="2843"/>
      <c r="JYE43" s="2844"/>
      <c r="JYF43" s="2845"/>
      <c r="JYG43" s="2842"/>
      <c r="JYH43" s="2842"/>
      <c r="JYI43" s="2843"/>
      <c r="JYJ43" s="2843"/>
      <c r="JYK43" s="2844"/>
      <c r="JYL43" s="2845"/>
      <c r="JYM43" s="2842"/>
      <c r="JYN43" s="2842"/>
      <c r="JYO43" s="2843"/>
      <c r="JYP43" s="2843"/>
      <c r="JYQ43" s="2844"/>
      <c r="JYR43" s="2845"/>
      <c r="JYS43" s="2842"/>
      <c r="JYT43" s="2842"/>
      <c r="JYU43" s="2843"/>
      <c r="JYV43" s="2843"/>
      <c r="JYW43" s="2844"/>
      <c r="JYX43" s="2845"/>
      <c r="JYY43" s="2842"/>
      <c r="JYZ43" s="2842"/>
      <c r="JZA43" s="2843"/>
      <c r="JZB43" s="2843"/>
      <c r="JZC43" s="2844"/>
      <c r="JZD43" s="2845"/>
      <c r="JZE43" s="2842"/>
      <c r="JZF43" s="2842"/>
      <c r="JZG43" s="2843"/>
      <c r="JZH43" s="2843"/>
      <c r="JZI43" s="2844"/>
      <c r="JZJ43" s="2845"/>
      <c r="JZK43" s="2842"/>
      <c r="JZL43" s="2842"/>
      <c r="JZM43" s="2843"/>
      <c r="JZN43" s="2843"/>
      <c r="JZO43" s="2844"/>
      <c r="JZP43" s="2845"/>
      <c r="JZQ43" s="2842"/>
      <c r="JZR43" s="2842"/>
      <c r="JZS43" s="2843"/>
      <c r="JZT43" s="2843"/>
      <c r="JZU43" s="2844"/>
      <c r="JZV43" s="2845"/>
      <c r="JZW43" s="2842"/>
      <c r="JZX43" s="2842"/>
      <c r="JZY43" s="2843"/>
      <c r="JZZ43" s="2843"/>
      <c r="KAA43" s="2844"/>
      <c r="KAB43" s="2845"/>
      <c r="KAC43" s="2842"/>
      <c r="KAD43" s="2842"/>
      <c r="KAE43" s="2843"/>
      <c r="KAF43" s="2843"/>
      <c r="KAG43" s="2844"/>
      <c r="KAH43" s="2845"/>
      <c r="KAI43" s="2842"/>
      <c r="KAJ43" s="2842"/>
      <c r="KAK43" s="2843"/>
      <c r="KAL43" s="2843"/>
      <c r="KAM43" s="2844"/>
      <c r="KAN43" s="2845"/>
      <c r="KAO43" s="2842"/>
      <c r="KAP43" s="2842"/>
      <c r="KAQ43" s="2843"/>
      <c r="KAR43" s="2843"/>
      <c r="KAS43" s="2844"/>
      <c r="KAT43" s="2845"/>
      <c r="KAU43" s="2842"/>
      <c r="KAV43" s="2842"/>
      <c r="KAW43" s="2843"/>
      <c r="KAX43" s="2843"/>
      <c r="KAY43" s="2844"/>
      <c r="KAZ43" s="2845"/>
      <c r="KBA43" s="2842"/>
      <c r="KBB43" s="2842"/>
      <c r="KBC43" s="2843"/>
      <c r="KBD43" s="2843"/>
      <c r="KBE43" s="2844"/>
      <c r="KBF43" s="2845"/>
      <c r="KBG43" s="2842"/>
      <c r="KBH43" s="2842"/>
      <c r="KBI43" s="2843"/>
      <c r="KBJ43" s="2843"/>
      <c r="KBK43" s="2844"/>
      <c r="KBL43" s="2845"/>
      <c r="KBM43" s="2842"/>
      <c r="KBN43" s="2842"/>
      <c r="KBO43" s="2843"/>
      <c r="KBP43" s="2843"/>
      <c r="KBQ43" s="2844"/>
      <c r="KBR43" s="2845"/>
      <c r="KBS43" s="2842"/>
      <c r="KBT43" s="2842"/>
      <c r="KBU43" s="2843"/>
      <c r="KBV43" s="2843"/>
      <c r="KBW43" s="2844"/>
      <c r="KBX43" s="2845"/>
      <c r="KBY43" s="2842"/>
      <c r="KBZ43" s="2842"/>
      <c r="KCA43" s="2843"/>
      <c r="KCB43" s="2843"/>
      <c r="KCC43" s="2844"/>
      <c r="KCD43" s="2845"/>
      <c r="KCE43" s="2842"/>
      <c r="KCF43" s="2842"/>
      <c r="KCG43" s="2843"/>
      <c r="KCH43" s="2843"/>
      <c r="KCI43" s="2844"/>
      <c r="KCJ43" s="2845"/>
      <c r="KCK43" s="2842"/>
      <c r="KCL43" s="2842"/>
      <c r="KCM43" s="2843"/>
      <c r="KCN43" s="2843"/>
      <c r="KCO43" s="2844"/>
      <c r="KCP43" s="2845"/>
      <c r="KCQ43" s="2842"/>
      <c r="KCR43" s="2842"/>
      <c r="KCS43" s="2843"/>
      <c r="KCT43" s="2843"/>
      <c r="KCU43" s="2844"/>
      <c r="KCV43" s="2845"/>
      <c r="KCW43" s="2842"/>
      <c r="KCX43" s="2842"/>
      <c r="KCY43" s="2843"/>
      <c r="KCZ43" s="2843"/>
      <c r="KDA43" s="2844"/>
      <c r="KDB43" s="2845"/>
      <c r="KDC43" s="2842"/>
      <c r="KDD43" s="2842"/>
      <c r="KDE43" s="2843"/>
      <c r="KDF43" s="2843"/>
      <c r="KDG43" s="2844"/>
      <c r="KDH43" s="2845"/>
      <c r="KDI43" s="2842"/>
      <c r="KDJ43" s="2842"/>
      <c r="KDK43" s="2843"/>
      <c r="KDL43" s="2843"/>
      <c r="KDM43" s="2844"/>
      <c r="KDN43" s="2845"/>
      <c r="KDO43" s="2842"/>
      <c r="KDP43" s="2842"/>
      <c r="KDQ43" s="2843"/>
      <c r="KDR43" s="2843"/>
      <c r="KDS43" s="2844"/>
      <c r="KDT43" s="2845"/>
      <c r="KDU43" s="2842"/>
      <c r="KDV43" s="2842"/>
      <c r="KDW43" s="2843"/>
      <c r="KDX43" s="2843"/>
      <c r="KDY43" s="2844"/>
      <c r="KDZ43" s="2845"/>
      <c r="KEA43" s="2842"/>
      <c r="KEB43" s="2842"/>
      <c r="KEC43" s="2843"/>
      <c r="KED43" s="2843"/>
      <c r="KEE43" s="2844"/>
      <c r="KEF43" s="2845"/>
      <c r="KEG43" s="2842"/>
      <c r="KEH43" s="2842"/>
      <c r="KEI43" s="2843"/>
      <c r="KEJ43" s="2843"/>
      <c r="KEK43" s="2844"/>
      <c r="KEL43" s="2845"/>
      <c r="KEM43" s="2842"/>
      <c r="KEN43" s="2842"/>
      <c r="KEO43" s="2843"/>
      <c r="KEP43" s="2843"/>
      <c r="KEQ43" s="2844"/>
      <c r="KER43" s="2845"/>
      <c r="KES43" s="2842"/>
      <c r="KET43" s="2842"/>
      <c r="KEU43" s="2843"/>
      <c r="KEV43" s="2843"/>
      <c r="KEW43" s="2844"/>
      <c r="KEX43" s="2845"/>
      <c r="KEY43" s="2842"/>
      <c r="KEZ43" s="2842"/>
      <c r="KFA43" s="2843"/>
      <c r="KFB43" s="2843"/>
      <c r="KFC43" s="2844"/>
      <c r="KFD43" s="2845"/>
      <c r="KFE43" s="2842"/>
      <c r="KFF43" s="2842"/>
      <c r="KFG43" s="2843"/>
      <c r="KFH43" s="2843"/>
      <c r="KFI43" s="2844"/>
      <c r="KFJ43" s="2845"/>
      <c r="KFK43" s="2842"/>
      <c r="KFL43" s="2842"/>
      <c r="KFM43" s="2843"/>
      <c r="KFN43" s="2843"/>
      <c r="KFO43" s="2844"/>
      <c r="KFP43" s="2845"/>
      <c r="KFQ43" s="2842"/>
      <c r="KFR43" s="2842"/>
      <c r="KFS43" s="2843"/>
      <c r="KFT43" s="2843"/>
      <c r="KFU43" s="2844"/>
      <c r="KFV43" s="2845"/>
      <c r="KFW43" s="2842"/>
      <c r="KFX43" s="2842"/>
      <c r="KFY43" s="2843"/>
      <c r="KFZ43" s="2843"/>
      <c r="KGA43" s="2844"/>
      <c r="KGB43" s="2845"/>
      <c r="KGC43" s="2842"/>
      <c r="KGD43" s="2842"/>
      <c r="KGE43" s="2843"/>
      <c r="KGF43" s="2843"/>
      <c r="KGG43" s="2844"/>
      <c r="KGH43" s="2845"/>
      <c r="KGI43" s="2842"/>
      <c r="KGJ43" s="2842"/>
      <c r="KGK43" s="2843"/>
      <c r="KGL43" s="2843"/>
      <c r="KGM43" s="2844"/>
      <c r="KGN43" s="2845"/>
      <c r="KGO43" s="2842"/>
      <c r="KGP43" s="2842"/>
      <c r="KGQ43" s="2843"/>
      <c r="KGR43" s="2843"/>
      <c r="KGS43" s="2844"/>
      <c r="KGT43" s="2845"/>
      <c r="KGU43" s="2842"/>
      <c r="KGV43" s="2842"/>
      <c r="KGW43" s="2843"/>
      <c r="KGX43" s="2843"/>
      <c r="KGY43" s="2844"/>
      <c r="KGZ43" s="2845"/>
      <c r="KHA43" s="2842"/>
      <c r="KHB43" s="2842"/>
      <c r="KHC43" s="2843"/>
      <c r="KHD43" s="2843"/>
      <c r="KHE43" s="2844"/>
      <c r="KHF43" s="2845"/>
      <c r="KHG43" s="2842"/>
      <c r="KHH43" s="2842"/>
      <c r="KHI43" s="2843"/>
      <c r="KHJ43" s="2843"/>
      <c r="KHK43" s="2844"/>
      <c r="KHL43" s="2845"/>
      <c r="KHM43" s="2842"/>
      <c r="KHN43" s="2842"/>
      <c r="KHO43" s="2843"/>
      <c r="KHP43" s="2843"/>
      <c r="KHQ43" s="2844"/>
      <c r="KHR43" s="2845"/>
      <c r="KHS43" s="2842"/>
      <c r="KHT43" s="2842"/>
      <c r="KHU43" s="2843"/>
      <c r="KHV43" s="2843"/>
      <c r="KHW43" s="2844"/>
      <c r="KHX43" s="2845"/>
      <c r="KHY43" s="2842"/>
      <c r="KHZ43" s="2842"/>
      <c r="KIA43" s="2843"/>
      <c r="KIB43" s="2843"/>
      <c r="KIC43" s="2844"/>
      <c r="KID43" s="2845"/>
      <c r="KIE43" s="2842"/>
      <c r="KIF43" s="2842"/>
      <c r="KIG43" s="2843"/>
      <c r="KIH43" s="2843"/>
      <c r="KII43" s="2844"/>
      <c r="KIJ43" s="2845"/>
      <c r="KIK43" s="2842"/>
      <c r="KIL43" s="2842"/>
      <c r="KIM43" s="2843"/>
      <c r="KIN43" s="2843"/>
      <c r="KIO43" s="2844"/>
      <c r="KIP43" s="2845"/>
      <c r="KIQ43" s="2842"/>
      <c r="KIR43" s="2842"/>
      <c r="KIS43" s="2843"/>
      <c r="KIT43" s="2843"/>
      <c r="KIU43" s="2844"/>
      <c r="KIV43" s="2845"/>
      <c r="KIW43" s="2842"/>
      <c r="KIX43" s="2842"/>
      <c r="KIY43" s="2843"/>
      <c r="KIZ43" s="2843"/>
      <c r="KJA43" s="2844"/>
      <c r="KJB43" s="2845"/>
      <c r="KJC43" s="2842"/>
      <c r="KJD43" s="2842"/>
      <c r="KJE43" s="2843"/>
      <c r="KJF43" s="2843"/>
      <c r="KJG43" s="2844"/>
      <c r="KJH43" s="2845"/>
      <c r="KJI43" s="2842"/>
      <c r="KJJ43" s="2842"/>
      <c r="KJK43" s="2843"/>
      <c r="KJL43" s="2843"/>
      <c r="KJM43" s="2844"/>
      <c r="KJN43" s="2845"/>
      <c r="KJO43" s="2842"/>
      <c r="KJP43" s="2842"/>
      <c r="KJQ43" s="2843"/>
      <c r="KJR43" s="2843"/>
      <c r="KJS43" s="2844"/>
      <c r="KJT43" s="2845"/>
      <c r="KJU43" s="2842"/>
      <c r="KJV43" s="2842"/>
      <c r="KJW43" s="2843"/>
      <c r="KJX43" s="2843"/>
      <c r="KJY43" s="2844"/>
      <c r="KJZ43" s="2845"/>
      <c r="KKA43" s="2842"/>
      <c r="KKB43" s="2842"/>
      <c r="KKC43" s="2843"/>
      <c r="KKD43" s="2843"/>
      <c r="KKE43" s="2844"/>
      <c r="KKF43" s="2845"/>
      <c r="KKG43" s="2842"/>
      <c r="KKH43" s="2842"/>
      <c r="KKI43" s="2843"/>
      <c r="KKJ43" s="2843"/>
      <c r="KKK43" s="2844"/>
      <c r="KKL43" s="2845"/>
      <c r="KKM43" s="2842"/>
      <c r="KKN43" s="2842"/>
      <c r="KKO43" s="2843"/>
      <c r="KKP43" s="2843"/>
      <c r="KKQ43" s="2844"/>
      <c r="KKR43" s="2845"/>
      <c r="KKS43" s="2842"/>
      <c r="KKT43" s="2842"/>
      <c r="KKU43" s="2843"/>
      <c r="KKV43" s="2843"/>
      <c r="KKW43" s="2844"/>
      <c r="KKX43" s="2845"/>
      <c r="KKY43" s="2842"/>
      <c r="KKZ43" s="2842"/>
      <c r="KLA43" s="2843"/>
      <c r="KLB43" s="2843"/>
      <c r="KLC43" s="2844"/>
      <c r="KLD43" s="2845"/>
      <c r="KLE43" s="2842"/>
      <c r="KLF43" s="2842"/>
      <c r="KLG43" s="2843"/>
      <c r="KLH43" s="2843"/>
      <c r="KLI43" s="2844"/>
      <c r="KLJ43" s="2845"/>
      <c r="KLK43" s="2842"/>
      <c r="KLL43" s="2842"/>
      <c r="KLM43" s="2843"/>
      <c r="KLN43" s="2843"/>
      <c r="KLO43" s="2844"/>
      <c r="KLP43" s="2845"/>
      <c r="KLQ43" s="2842"/>
      <c r="KLR43" s="2842"/>
      <c r="KLS43" s="2843"/>
      <c r="KLT43" s="2843"/>
      <c r="KLU43" s="2844"/>
      <c r="KLV43" s="2845"/>
      <c r="KLW43" s="2842"/>
      <c r="KLX43" s="2842"/>
      <c r="KLY43" s="2843"/>
      <c r="KLZ43" s="2843"/>
      <c r="KMA43" s="2844"/>
      <c r="KMB43" s="2845"/>
      <c r="KMC43" s="2842"/>
      <c r="KMD43" s="2842"/>
      <c r="KME43" s="2843"/>
      <c r="KMF43" s="2843"/>
      <c r="KMG43" s="2844"/>
      <c r="KMH43" s="2845"/>
      <c r="KMI43" s="2842"/>
      <c r="KMJ43" s="2842"/>
      <c r="KMK43" s="2843"/>
      <c r="KML43" s="2843"/>
      <c r="KMM43" s="2844"/>
      <c r="KMN43" s="2845"/>
      <c r="KMO43" s="2842"/>
      <c r="KMP43" s="2842"/>
      <c r="KMQ43" s="2843"/>
      <c r="KMR43" s="2843"/>
      <c r="KMS43" s="2844"/>
      <c r="KMT43" s="2845"/>
      <c r="KMU43" s="2842"/>
      <c r="KMV43" s="2842"/>
      <c r="KMW43" s="2843"/>
      <c r="KMX43" s="2843"/>
      <c r="KMY43" s="2844"/>
      <c r="KMZ43" s="2845"/>
      <c r="KNA43" s="2842"/>
      <c r="KNB43" s="2842"/>
      <c r="KNC43" s="2843"/>
      <c r="KND43" s="2843"/>
      <c r="KNE43" s="2844"/>
      <c r="KNF43" s="2845"/>
      <c r="KNG43" s="2842"/>
      <c r="KNH43" s="2842"/>
      <c r="KNI43" s="2843"/>
      <c r="KNJ43" s="2843"/>
      <c r="KNK43" s="2844"/>
      <c r="KNL43" s="2845"/>
      <c r="KNM43" s="2842"/>
      <c r="KNN43" s="2842"/>
      <c r="KNO43" s="2843"/>
      <c r="KNP43" s="2843"/>
      <c r="KNQ43" s="2844"/>
      <c r="KNR43" s="2845"/>
      <c r="KNS43" s="2842"/>
      <c r="KNT43" s="2842"/>
      <c r="KNU43" s="2843"/>
      <c r="KNV43" s="2843"/>
      <c r="KNW43" s="2844"/>
      <c r="KNX43" s="2845"/>
      <c r="KNY43" s="2842"/>
      <c r="KNZ43" s="2842"/>
      <c r="KOA43" s="2843"/>
      <c r="KOB43" s="2843"/>
      <c r="KOC43" s="2844"/>
      <c r="KOD43" s="2845"/>
      <c r="KOE43" s="2842"/>
      <c r="KOF43" s="2842"/>
      <c r="KOG43" s="2843"/>
      <c r="KOH43" s="2843"/>
      <c r="KOI43" s="2844"/>
      <c r="KOJ43" s="2845"/>
      <c r="KOK43" s="2842"/>
      <c r="KOL43" s="2842"/>
      <c r="KOM43" s="2843"/>
      <c r="KON43" s="2843"/>
      <c r="KOO43" s="2844"/>
      <c r="KOP43" s="2845"/>
      <c r="KOQ43" s="2842"/>
      <c r="KOR43" s="2842"/>
      <c r="KOS43" s="2843"/>
      <c r="KOT43" s="2843"/>
      <c r="KOU43" s="2844"/>
      <c r="KOV43" s="2845"/>
      <c r="KOW43" s="2842"/>
      <c r="KOX43" s="2842"/>
      <c r="KOY43" s="2843"/>
      <c r="KOZ43" s="2843"/>
      <c r="KPA43" s="2844"/>
      <c r="KPB43" s="2845"/>
      <c r="KPC43" s="2842"/>
      <c r="KPD43" s="2842"/>
      <c r="KPE43" s="2843"/>
      <c r="KPF43" s="2843"/>
      <c r="KPG43" s="2844"/>
      <c r="KPH43" s="2845"/>
      <c r="KPI43" s="2842"/>
      <c r="KPJ43" s="2842"/>
      <c r="KPK43" s="2843"/>
      <c r="KPL43" s="2843"/>
      <c r="KPM43" s="2844"/>
      <c r="KPN43" s="2845"/>
      <c r="KPO43" s="2842"/>
      <c r="KPP43" s="2842"/>
      <c r="KPQ43" s="2843"/>
      <c r="KPR43" s="2843"/>
      <c r="KPS43" s="2844"/>
      <c r="KPT43" s="2845"/>
      <c r="KPU43" s="2842"/>
      <c r="KPV43" s="2842"/>
      <c r="KPW43" s="2843"/>
      <c r="KPX43" s="2843"/>
      <c r="KPY43" s="2844"/>
      <c r="KPZ43" s="2845"/>
      <c r="KQA43" s="2842"/>
      <c r="KQB43" s="2842"/>
      <c r="KQC43" s="2843"/>
      <c r="KQD43" s="2843"/>
      <c r="KQE43" s="2844"/>
      <c r="KQF43" s="2845"/>
      <c r="KQG43" s="2842"/>
      <c r="KQH43" s="2842"/>
      <c r="KQI43" s="2843"/>
      <c r="KQJ43" s="2843"/>
      <c r="KQK43" s="2844"/>
      <c r="KQL43" s="2845"/>
      <c r="KQM43" s="2842"/>
      <c r="KQN43" s="2842"/>
      <c r="KQO43" s="2843"/>
      <c r="KQP43" s="2843"/>
      <c r="KQQ43" s="2844"/>
      <c r="KQR43" s="2845"/>
      <c r="KQS43" s="2842"/>
      <c r="KQT43" s="2842"/>
      <c r="KQU43" s="2843"/>
      <c r="KQV43" s="2843"/>
      <c r="KQW43" s="2844"/>
      <c r="KQX43" s="2845"/>
      <c r="KQY43" s="2842"/>
      <c r="KQZ43" s="2842"/>
      <c r="KRA43" s="2843"/>
      <c r="KRB43" s="2843"/>
      <c r="KRC43" s="2844"/>
      <c r="KRD43" s="2845"/>
      <c r="KRE43" s="2842"/>
      <c r="KRF43" s="2842"/>
      <c r="KRG43" s="2843"/>
      <c r="KRH43" s="2843"/>
      <c r="KRI43" s="2844"/>
      <c r="KRJ43" s="2845"/>
      <c r="KRK43" s="2842"/>
      <c r="KRL43" s="2842"/>
      <c r="KRM43" s="2843"/>
      <c r="KRN43" s="2843"/>
      <c r="KRO43" s="2844"/>
      <c r="KRP43" s="2845"/>
      <c r="KRQ43" s="2842"/>
      <c r="KRR43" s="2842"/>
      <c r="KRS43" s="2843"/>
      <c r="KRT43" s="2843"/>
      <c r="KRU43" s="2844"/>
      <c r="KRV43" s="2845"/>
      <c r="KRW43" s="2842"/>
      <c r="KRX43" s="2842"/>
      <c r="KRY43" s="2843"/>
      <c r="KRZ43" s="2843"/>
      <c r="KSA43" s="2844"/>
      <c r="KSB43" s="2845"/>
      <c r="KSC43" s="2842"/>
      <c r="KSD43" s="2842"/>
      <c r="KSE43" s="2843"/>
      <c r="KSF43" s="2843"/>
      <c r="KSG43" s="2844"/>
      <c r="KSH43" s="2845"/>
      <c r="KSI43" s="2842"/>
      <c r="KSJ43" s="2842"/>
      <c r="KSK43" s="2843"/>
      <c r="KSL43" s="2843"/>
      <c r="KSM43" s="2844"/>
      <c r="KSN43" s="2845"/>
      <c r="KSO43" s="2842"/>
      <c r="KSP43" s="2842"/>
      <c r="KSQ43" s="2843"/>
      <c r="KSR43" s="2843"/>
      <c r="KSS43" s="2844"/>
      <c r="KST43" s="2845"/>
      <c r="KSU43" s="2842"/>
      <c r="KSV43" s="2842"/>
      <c r="KSW43" s="2843"/>
      <c r="KSX43" s="2843"/>
      <c r="KSY43" s="2844"/>
      <c r="KSZ43" s="2845"/>
      <c r="KTA43" s="2842"/>
      <c r="KTB43" s="2842"/>
      <c r="KTC43" s="2843"/>
      <c r="KTD43" s="2843"/>
      <c r="KTE43" s="2844"/>
      <c r="KTF43" s="2845"/>
      <c r="KTG43" s="2842"/>
      <c r="KTH43" s="2842"/>
      <c r="KTI43" s="2843"/>
      <c r="KTJ43" s="2843"/>
      <c r="KTK43" s="2844"/>
      <c r="KTL43" s="2845"/>
      <c r="KTM43" s="2842"/>
      <c r="KTN43" s="2842"/>
      <c r="KTO43" s="2843"/>
      <c r="KTP43" s="2843"/>
      <c r="KTQ43" s="2844"/>
      <c r="KTR43" s="2845"/>
      <c r="KTS43" s="2842"/>
      <c r="KTT43" s="2842"/>
      <c r="KTU43" s="2843"/>
      <c r="KTV43" s="2843"/>
      <c r="KTW43" s="2844"/>
      <c r="KTX43" s="2845"/>
      <c r="KTY43" s="2842"/>
      <c r="KTZ43" s="2842"/>
      <c r="KUA43" s="2843"/>
      <c r="KUB43" s="2843"/>
      <c r="KUC43" s="2844"/>
      <c r="KUD43" s="2845"/>
      <c r="KUE43" s="2842"/>
      <c r="KUF43" s="2842"/>
      <c r="KUG43" s="2843"/>
      <c r="KUH43" s="2843"/>
      <c r="KUI43" s="2844"/>
      <c r="KUJ43" s="2845"/>
      <c r="KUK43" s="2842"/>
      <c r="KUL43" s="2842"/>
      <c r="KUM43" s="2843"/>
      <c r="KUN43" s="2843"/>
      <c r="KUO43" s="2844"/>
      <c r="KUP43" s="2845"/>
      <c r="KUQ43" s="2842"/>
      <c r="KUR43" s="2842"/>
      <c r="KUS43" s="2843"/>
      <c r="KUT43" s="2843"/>
      <c r="KUU43" s="2844"/>
      <c r="KUV43" s="2845"/>
      <c r="KUW43" s="2842"/>
      <c r="KUX43" s="2842"/>
      <c r="KUY43" s="2843"/>
      <c r="KUZ43" s="2843"/>
      <c r="KVA43" s="2844"/>
      <c r="KVB43" s="2845"/>
      <c r="KVC43" s="2842"/>
      <c r="KVD43" s="2842"/>
      <c r="KVE43" s="2843"/>
      <c r="KVF43" s="2843"/>
      <c r="KVG43" s="2844"/>
      <c r="KVH43" s="2845"/>
      <c r="KVI43" s="2842"/>
      <c r="KVJ43" s="2842"/>
      <c r="KVK43" s="2843"/>
      <c r="KVL43" s="2843"/>
      <c r="KVM43" s="2844"/>
      <c r="KVN43" s="2845"/>
      <c r="KVO43" s="2842"/>
      <c r="KVP43" s="2842"/>
      <c r="KVQ43" s="2843"/>
      <c r="KVR43" s="2843"/>
      <c r="KVS43" s="2844"/>
      <c r="KVT43" s="2845"/>
      <c r="KVU43" s="2842"/>
      <c r="KVV43" s="2842"/>
      <c r="KVW43" s="2843"/>
      <c r="KVX43" s="2843"/>
      <c r="KVY43" s="2844"/>
      <c r="KVZ43" s="2845"/>
      <c r="KWA43" s="2842"/>
      <c r="KWB43" s="2842"/>
      <c r="KWC43" s="2843"/>
      <c r="KWD43" s="2843"/>
      <c r="KWE43" s="2844"/>
      <c r="KWF43" s="2845"/>
      <c r="KWG43" s="2842"/>
      <c r="KWH43" s="2842"/>
      <c r="KWI43" s="2843"/>
      <c r="KWJ43" s="2843"/>
      <c r="KWK43" s="2844"/>
      <c r="KWL43" s="2845"/>
      <c r="KWM43" s="2842"/>
      <c r="KWN43" s="2842"/>
      <c r="KWO43" s="2843"/>
      <c r="KWP43" s="2843"/>
      <c r="KWQ43" s="2844"/>
      <c r="KWR43" s="2845"/>
      <c r="KWS43" s="2842"/>
      <c r="KWT43" s="2842"/>
      <c r="KWU43" s="2843"/>
      <c r="KWV43" s="2843"/>
      <c r="KWW43" s="2844"/>
      <c r="KWX43" s="2845"/>
      <c r="KWY43" s="2842"/>
      <c r="KWZ43" s="2842"/>
      <c r="KXA43" s="2843"/>
      <c r="KXB43" s="2843"/>
      <c r="KXC43" s="2844"/>
      <c r="KXD43" s="2845"/>
      <c r="KXE43" s="2842"/>
      <c r="KXF43" s="2842"/>
      <c r="KXG43" s="2843"/>
      <c r="KXH43" s="2843"/>
      <c r="KXI43" s="2844"/>
      <c r="KXJ43" s="2845"/>
      <c r="KXK43" s="2842"/>
      <c r="KXL43" s="2842"/>
      <c r="KXM43" s="2843"/>
      <c r="KXN43" s="2843"/>
      <c r="KXO43" s="2844"/>
      <c r="KXP43" s="2845"/>
      <c r="KXQ43" s="2842"/>
      <c r="KXR43" s="2842"/>
      <c r="KXS43" s="2843"/>
      <c r="KXT43" s="2843"/>
      <c r="KXU43" s="2844"/>
      <c r="KXV43" s="2845"/>
      <c r="KXW43" s="2842"/>
      <c r="KXX43" s="2842"/>
      <c r="KXY43" s="2843"/>
      <c r="KXZ43" s="2843"/>
      <c r="KYA43" s="2844"/>
      <c r="KYB43" s="2845"/>
      <c r="KYC43" s="2842"/>
      <c r="KYD43" s="2842"/>
      <c r="KYE43" s="2843"/>
      <c r="KYF43" s="2843"/>
      <c r="KYG43" s="2844"/>
      <c r="KYH43" s="2845"/>
      <c r="KYI43" s="2842"/>
      <c r="KYJ43" s="2842"/>
      <c r="KYK43" s="2843"/>
      <c r="KYL43" s="2843"/>
      <c r="KYM43" s="2844"/>
      <c r="KYN43" s="2845"/>
      <c r="KYO43" s="2842"/>
      <c r="KYP43" s="2842"/>
      <c r="KYQ43" s="2843"/>
      <c r="KYR43" s="2843"/>
      <c r="KYS43" s="2844"/>
      <c r="KYT43" s="2845"/>
      <c r="KYU43" s="2842"/>
      <c r="KYV43" s="2842"/>
      <c r="KYW43" s="2843"/>
      <c r="KYX43" s="2843"/>
      <c r="KYY43" s="2844"/>
      <c r="KYZ43" s="2845"/>
      <c r="KZA43" s="2842"/>
      <c r="KZB43" s="2842"/>
      <c r="KZC43" s="2843"/>
      <c r="KZD43" s="2843"/>
      <c r="KZE43" s="2844"/>
      <c r="KZF43" s="2845"/>
      <c r="KZG43" s="2842"/>
      <c r="KZH43" s="2842"/>
      <c r="KZI43" s="2843"/>
      <c r="KZJ43" s="2843"/>
      <c r="KZK43" s="2844"/>
      <c r="KZL43" s="2845"/>
      <c r="KZM43" s="2842"/>
      <c r="KZN43" s="2842"/>
      <c r="KZO43" s="2843"/>
      <c r="KZP43" s="2843"/>
      <c r="KZQ43" s="2844"/>
      <c r="KZR43" s="2845"/>
      <c r="KZS43" s="2842"/>
      <c r="KZT43" s="2842"/>
      <c r="KZU43" s="2843"/>
      <c r="KZV43" s="2843"/>
      <c r="KZW43" s="2844"/>
      <c r="KZX43" s="2845"/>
      <c r="KZY43" s="2842"/>
      <c r="KZZ43" s="2842"/>
      <c r="LAA43" s="2843"/>
      <c r="LAB43" s="2843"/>
      <c r="LAC43" s="2844"/>
      <c r="LAD43" s="2845"/>
      <c r="LAE43" s="2842"/>
      <c r="LAF43" s="2842"/>
      <c r="LAG43" s="2843"/>
      <c r="LAH43" s="2843"/>
      <c r="LAI43" s="2844"/>
      <c r="LAJ43" s="2845"/>
      <c r="LAK43" s="2842"/>
      <c r="LAL43" s="2842"/>
      <c r="LAM43" s="2843"/>
      <c r="LAN43" s="2843"/>
      <c r="LAO43" s="2844"/>
      <c r="LAP43" s="2845"/>
      <c r="LAQ43" s="2842"/>
      <c r="LAR43" s="2842"/>
      <c r="LAS43" s="2843"/>
      <c r="LAT43" s="2843"/>
      <c r="LAU43" s="2844"/>
      <c r="LAV43" s="2845"/>
      <c r="LAW43" s="2842"/>
      <c r="LAX43" s="2842"/>
      <c r="LAY43" s="2843"/>
      <c r="LAZ43" s="2843"/>
      <c r="LBA43" s="2844"/>
      <c r="LBB43" s="2845"/>
      <c r="LBC43" s="2842"/>
      <c r="LBD43" s="2842"/>
      <c r="LBE43" s="2843"/>
      <c r="LBF43" s="2843"/>
      <c r="LBG43" s="2844"/>
      <c r="LBH43" s="2845"/>
      <c r="LBI43" s="2842"/>
      <c r="LBJ43" s="2842"/>
      <c r="LBK43" s="2843"/>
      <c r="LBL43" s="2843"/>
      <c r="LBM43" s="2844"/>
      <c r="LBN43" s="2845"/>
      <c r="LBO43" s="2842"/>
      <c r="LBP43" s="2842"/>
      <c r="LBQ43" s="2843"/>
      <c r="LBR43" s="2843"/>
      <c r="LBS43" s="2844"/>
      <c r="LBT43" s="2845"/>
      <c r="LBU43" s="2842"/>
      <c r="LBV43" s="2842"/>
      <c r="LBW43" s="2843"/>
      <c r="LBX43" s="2843"/>
      <c r="LBY43" s="2844"/>
      <c r="LBZ43" s="2845"/>
      <c r="LCA43" s="2842"/>
      <c r="LCB43" s="2842"/>
      <c r="LCC43" s="2843"/>
      <c r="LCD43" s="2843"/>
      <c r="LCE43" s="2844"/>
      <c r="LCF43" s="2845"/>
      <c r="LCG43" s="2842"/>
      <c r="LCH43" s="2842"/>
      <c r="LCI43" s="2843"/>
      <c r="LCJ43" s="2843"/>
      <c r="LCK43" s="2844"/>
      <c r="LCL43" s="2845"/>
      <c r="LCM43" s="2842"/>
      <c r="LCN43" s="2842"/>
      <c r="LCO43" s="2843"/>
      <c r="LCP43" s="2843"/>
      <c r="LCQ43" s="2844"/>
      <c r="LCR43" s="2845"/>
      <c r="LCS43" s="2842"/>
      <c r="LCT43" s="2842"/>
      <c r="LCU43" s="2843"/>
      <c r="LCV43" s="2843"/>
      <c r="LCW43" s="2844"/>
      <c r="LCX43" s="2845"/>
      <c r="LCY43" s="2842"/>
      <c r="LCZ43" s="2842"/>
      <c r="LDA43" s="2843"/>
      <c r="LDB43" s="2843"/>
      <c r="LDC43" s="2844"/>
      <c r="LDD43" s="2845"/>
      <c r="LDE43" s="2842"/>
      <c r="LDF43" s="2842"/>
      <c r="LDG43" s="2843"/>
      <c r="LDH43" s="2843"/>
      <c r="LDI43" s="2844"/>
      <c r="LDJ43" s="2845"/>
      <c r="LDK43" s="2842"/>
      <c r="LDL43" s="2842"/>
      <c r="LDM43" s="2843"/>
      <c r="LDN43" s="2843"/>
      <c r="LDO43" s="2844"/>
      <c r="LDP43" s="2845"/>
      <c r="LDQ43" s="2842"/>
      <c r="LDR43" s="2842"/>
      <c r="LDS43" s="2843"/>
      <c r="LDT43" s="2843"/>
      <c r="LDU43" s="2844"/>
      <c r="LDV43" s="2845"/>
      <c r="LDW43" s="2842"/>
      <c r="LDX43" s="2842"/>
      <c r="LDY43" s="2843"/>
      <c r="LDZ43" s="2843"/>
      <c r="LEA43" s="2844"/>
      <c r="LEB43" s="2845"/>
      <c r="LEC43" s="2842"/>
      <c r="LED43" s="2842"/>
      <c r="LEE43" s="2843"/>
      <c r="LEF43" s="2843"/>
      <c r="LEG43" s="2844"/>
      <c r="LEH43" s="2845"/>
      <c r="LEI43" s="2842"/>
      <c r="LEJ43" s="2842"/>
      <c r="LEK43" s="2843"/>
      <c r="LEL43" s="2843"/>
      <c r="LEM43" s="2844"/>
      <c r="LEN43" s="2845"/>
      <c r="LEO43" s="2842"/>
      <c r="LEP43" s="2842"/>
      <c r="LEQ43" s="2843"/>
      <c r="LER43" s="2843"/>
      <c r="LES43" s="2844"/>
      <c r="LET43" s="2845"/>
      <c r="LEU43" s="2842"/>
      <c r="LEV43" s="2842"/>
      <c r="LEW43" s="2843"/>
      <c r="LEX43" s="2843"/>
      <c r="LEY43" s="2844"/>
      <c r="LEZ43" s="2845"/>
      <c r="LFA43" s="2842"/>
      <c r="LFB43" s="2842"/>
      <c r="LFC43" s="2843"/>
      <c r="LFD43" s="2843"/>
      <c r="LFE43" s="2844"/>
      <c r="LFF43" s="2845"/>
      <c r="LFG43" s="2842"/>
      <c r="LFH43" s="2842"/>
      <c r="LFI43" s="2843"/>
      <c r="LFJ43" s="2843"/>
      <c r="LFK43" s="2844"/>
      <c r="LFL43" s="2845"/>
      <c r="LFM43" s="2842"/>
      <c r="LFN43" s="2842"/>
      <c r="LFO43" s="2843"/>
      <c r="LFP43" s="2843"/>
      <c r="LFQ43" s="2844"/>
      <c r="LFR43" s="2845"/>
      <c r="LFS43" s="2842"/>
      <c r="LFT43" s="2842"/>
      <c r="LFU43" s="2843"/>
      <c r="LFV43" s="2843"/>
      <c r="LFW43" s="2844"/>
      <c r="LFX43" s="2845"/>
      <c r="LFY43" s="2842"/>
      <c r="LFZ43" s="2842"/>
      <c r="LGA43" s="2843"/>
      <c r="LGB43" s="2843"/>
      <c r="LGC43" s="2844"/>
      <c r="LGD43" s="2845"/>
      <c r="LGE43" s="2842"/>
      <c r="LGF43" s="2842"/>
      <c r="LGG43" s="2843"/>
      <c r="LGH43" s="2843"/>
      <c r="LGI43" s="2844"/>
      <c r="LGJ43" s="2845"/>
      <c r="LGK43" s="2842"/>
      <c r="LGL43" s="2842"/>
      <c r="LGM43" s="2843"/>
      <c r="LGN43" s="2843"/>
      <c r="LGO43" s="2844"/>
      <c r="LGP43" s="2845"/>
      <c r="LGQ43" s="2842"/>
      <c r="LGR43" s="2842"/>
      <c r="LGS43" s="2843"/>
      <c r="LGT43" s="2843"/>
      <c r="LGU43" s="2844"/>
      <c r="LGV43" s="2845"/>
      <c r="LGW43" s="2842"/>
      <c r="LGX43" s="2842"/>
      <c r="LGY43" s="2843"/>
      <c r="LGZ43" s="2843"/>
      <c r="LHA43" s="2844"/>
      <c r="LHB43" s="2845"/>
      <c r="LHC43" s="2842"/>
      <c r="LHD43" s="2842"/>
      <c r="LHE43" s="2843"/>
      <c r="LHF43" s="2843"/>
      <c r="LHG43" s="2844"/>
      <c r="LHH43" s="2845"/>
      <c r="LHI43" s="2842"/>
      <c r="LHJ43" s="2842"/>
      <c r="LHK43" s="2843"/>
      <c r="LHL43" s="2843"/>
      <c r="LHM43" s="2844"/>
      <c r="LHN43" s="2845"/>
      <c r="LHO43" s="2842"/>
      <c r="LHP43" s="2842"/>
      <c r="LHQ43" s="2843"/>
      <c r="LHR43" s="2843"/>
      <c r="LHS43" s="2844"/>
      <c r="LHT43" s="2845"/>
      <c r="LHU43" s="2842"/>
      <c r="LHV43" s="2842"/>
      <c r="LHW43" s="2843"/>
      <c r="LHX43" s="2843"/>
      <c r="LHY43" s="2844"/>
      <c r="LHZ43" s="2845"/>
      <c r="LIA43" s="2842"/>
      <c r="LIB43" s="2842"/>
      <c r="LIC43" s="2843"/>
      <c r="LID43" s="2843"/>
      <c r="LIE43" s="2844"/>
      <c r="LIF43" s="2845"/>
      <c r="LIG43" s="2842"/>
      <c r="LIH43" s="2842"/>
      <c r="LII43" s="2843"/>
      <c r="LIJ43" s="2843"/>
      <c r="LIK43" s="2844"/>
      <c r="LIL43" s="2845"/>
      <c r="LIM43" s="2842"/>
      <c r="LIN43" s="2842"/>
      <c r="LIO43" s="2843"/>
      <c r="LIP43" s="2843"/>
      <c r="LIQ43" s="2844"/>
      <c r="LIR43" s="2845"/>
      <c r="LIS43" s="2842"/>
      <c r="LIT43" s="2842"/>
      <c r="LIU43" s="2843"/>
      <c r="LIV43" s="2843"/>
      <c r="LIW43" s="2844"/>
      <c r="LIX43" s="2845"/>
      <c r="LIY43" s="2842"/>
      <c r="LIZ43" s="2842"/>
      <c r="LJA43" s="2843"/>
      <c r="LJB43" s="2843"/>
      <c r="LJC43" s="2844"/>
      <c r="LJD43" s="2845"/>
      <c r="LJE43" s="2842"/>
      <c r="LJF43" s="2842"/>
      <c r="LJG43" s="2843"/>
      <c r="LJH43" s="2843"/>
      <c r="LJI43" s="2844"/>
      <c r="LJJ43" s="2845"/>
      <c r="LJK43" s="2842"/>
      <c r="LJL43" s="2842"/>
      <c r="LJM43" s="2843"/>
      <c r="LJN43" s="2843"/>
      <c r="LJO43" s="2844"/>
      <c r="LJP43" s="2845"/>
      <c r="LJQ43" s="2842"/>
      <c r="LJR43" s="2842"/>
      <c r="LJS43" s="2843"/>
      <c r="LJT43" s="2843"/>
      <c r="LJU43" s="2844"/>
      <c r="LJV43" s="2845"/>
      <c r="LJW43" s="2842"/>
      <c r="LJX43" s="2842"/>
      <c r="LJY43" s="2843"/>
      <c r="LJZ43" s="2843"/>
      <c r="LKA43" s="2844"/>
      <c r="LKB43" s="2845"/>
      <c r="LKC43" s="2842"/>
      <c r="LKD43" s="2842"/>
      <c r="LKE43" s="2843"/>
      <c r="LKF43" s="2843"/>
      <c r="LKG43" s="2844"/>
      <c r="LKH43" s="2845"/>
      <c r="LKI43" s="2842"/>
      <c r="LKJ43" s="2842"/>
      <c r="LKK43" s="2843"/>
      <c r="LKL43" s="2843"/>
      <c r="LKM43" s="2844"/>
      <c r="LKN43" s="2845"/>
      <c r="LKO43" s="2842"/>
      <c r="LKP43" s="2842"/>
      <c r="LKQ43" s="2843"/>
      <c r="LKR43" s="2843"/>
      <c r="LKS43" s="2844"/>
      <c r="LKT43" s="2845"/>
      <c r="LKU43" s="2842"/>
      <c r="LKV43" s="2842"/>
      <c r="LKW43" s="2843"/>
      <c r="LKX43" s="2843"/>
      <c r="LKY43" s="2844"/>
      <c r="LKZ43" s="2845"/>
      <c r="LLA43" s="2842"/>
      <c r="LLB43" s="2842"/>
      <c r="LLC43" s="2843"/>
      <c r="LLD43" s="2843"/>
      <c r="LLE43" s="2844"/>
      <c r="LLF43" s="2845"/>
      <c r="LLG43" s="2842"/>
      <c r="LLH43" s="2842"/>
      <c r="LLI43" s="2843"/>
      <c r="LLJ43" s="2843"/>
      <c r="LLK43" s="2844"/>
      <c r="LLL43" s="2845"/>
      <c r="LLM43" s="2842"/>
      <c r="LLN43" s="2842"/>
      <c r="LLO43" s="2843"/>
      <c r="LLP43" s="2843"/>
      <c r="LLQ43" s="2844"/>
      <c r="LLR43" s="2845"/>
      <c r="LLS43" s="2842"/>
      <c r="LLT43" s="2842"/>
      <c r="LLU43" s="2843"/>
      <c r="LLV43" s="2843"/>
      <c r="LLW43" s="2844"/>
      <c r="LLX43" s="2845"/>
      <c r="LLY43" s="2842"/>
      <c r="LLZ43" s="2842"/>
      <c r="LMA43" s="2843"/>
      <c r="LMB43" s="2843"/>
      <c r="LMC43" s="2844"/>
      <c r="LMD43" s="2845"/>
      <c r="LME43" s="2842"/>
      <c r="LMF43" s="2842"/>
      <c r="LMG43" s="2843"/>
      <c r="LMH43" s="2843"/>
      <c r="LMI43" s="2844"/>
      <c r="LMJ43" s="2845"/>
      <c r="LMK43" s="2842"/>
      <c r="LML43" s="2842"/>
      <c r="LMM43" s="2843"/>
      <c r="LMN43" s="2843"/>
      <c r="LMO43" s="2844"/>
      <c r="LMP43" s="2845"/>
      <c r="LMQ43" s="2842"/>
      <c r="LMR43" s="2842"/>
      <c r="LMS43" s="2843"/>
      <c r="LMT43" s="2843"/>
      <c r="LMU43" s="2844"/>
      <c r="LMV43" s="2845"/>
      <c r="LMW43" s="2842"/>
      <c r="LMX43" s="2842"/>
      <c r="LMY43" s="2843"/>
      <c r="LMZ43" s="2843"/>
      <c r="LNA43" s="2844"/>
      <c r="LNB43" s="2845"/>
      <c r="LNC43" s="2842"/>
      <c r="LND43" s="2842"/>
      <c r="LNE43" s="2843"/>
      <c r="LNF43" s="2843"/>
      <c r="LNG43" s="2844"/>
      <c r="LNH43" s="2845"/>
      <c r="LNI43" s="2842"/>
      <c r="LNJ43" s="2842"/>
      <c r="LNK43" s="2843"/>
      <c r="LNL43" s="2843"/>
      <c r="LNM43" s="2844"/>
      <c r="LNN43" s="2845"/>
      <c r="LNO43" s="2842"/>
      <c r="LNP43" s="2842"/>
      <c r="LNQ43" s="2843"/>
      <c r="LNR43" s="2843"/>
      <c r="LNS43" s="2844"/>
      <c r="LNT43" s="2845"/>
      <c r="LNU43" s="2842"/>
      <c r="LNV43" s="2842"/>
      <c r="LNW43" s="2843"/>
      <c r="LNX43" s="2843"/>
      <c r="LNY43" s="2844"/>
      <c r="LNZ43" s="2845"/>
      <c r="LOA43" s="2842"/>
      <c r="LOB43" s="2842"/>
      <c r="LOC43" s="2843"/>
      <c r="LOD43" s="2843"/>
      <c r="LOE43" s="2844"/>
      <c r="LOF43" s="2845"/>
      <c r="LOG43" s="2842"/>
      <c r="LOH43" s="2842"/>
      <c r="LOI43" s="2843"/>
      <c r="LOJ43" s="2843"/>
      <c r="LOK43" s="2844"/>
      <c r="LOL43" s="2845"/>
      <c r="LOM43" s="2842"/>
      <c r="LON43" s="2842"/>
      <c r="LOO43" s="2843"/>
      <c r="LOP43" s="2843"/>
      <c r="LOQ43" s="2844"/>
      <c r="LOR43" s="2845"/>
      <c r="LOS43" s="2842"/>
      <c r="LOT43" s="2842"/>
      <c r="LOU43" s="2843"/>
      <c r="LOV43" s="2843"/>
      <c r="LOW43" s="2844"/>
      <c r="LOX43" s="2845"/>
      <c r="LOY43" s="2842"/>
      <c r="LOZ43" s="2842"/>
      <c r="LPA43" s="2843"/>
      <c r="LPB43" s="2843"/>
      <c r="LPC43" s="2844"/>
      <c r="LPD43" s="2845"/>
      <c r="LPE43" s="2842"/>
      <c r="LPF43" s="2842"/>
      <c r="LPG43" s="2843"/>
      <c r="LPH43" s="2843"/>
      <c r="LPI43" s="2844"/>
      <c r="LPJ43" s="2845"/>
      <c r="LPK43" s="2842"/>
      <c r="LPL43" s="2842"/>
      <c r="LPM43" s="2843"/>
      <c r="LPN43" s="2843"/>
      <c r="LPO43" s="2844"/>
      <c r="LPP43" s="2845"/>
      <c r="LPQ43" s="2842"/>
      <c r="LPR43" s="2842"/>
      <c r="LPS43" s="2843"/>
      <c r="LPT43" s="2843"/>
      <c r="LPU43" s="2844"/>
      <c r="LPV43" s="2845"/>
      <c r="LPW43" s="2842"/>
      <c r="LPX43" s="2842"/>
      <c r="LPY43" s="2843"/>
      <c r="LPZ43" s="2843"/>
      <c r="LQA43" s="2844"/>
      <c r="LQB43" s="2845"/>
      <c r="LQC43" s="2842"/>
      <c r="LQD43" s="2842"/>
      <c r="LQE43" s="2843"/>
      <c r="LQF43" s="2843"/>
      <c r="LQG43" s="2844"/>
      <c r="LQH43" s="2845"/>
      <c r="LQI43" s="2842"/>
      <c r="LQJ43" s="2842"/>
      <c r="LQK43" s="2843"/>
      <c r="LQL43" s="2843"/>
      <c r="LQM43" s="2844"/>
      <c r="LQN43" s="2845"/>
      <c r="LQO43" s="2842"/>
      <c r="LQP43" s="2842"/>
      <c r="LQQ43" s="2843"/>
      <c r="LQR43" s="2843"/>
      <c r="LQS43" s="2844"/>
      <c r="LQT43" s="2845"/>
      <c r="LQU43" s="2842"/>
      <c r="LQV43" s="2842"/>
      <c r="LQW43" s="2843"/>
      <c r="LQX43" s="2843"/>
      <c r="LQY43" s="2844"/>
      <c r="LQZ43" s="2845"/>
      <c r="LRA43" s="2842"/>
      <c r="LRB43" s="2842"/>
      <c r="LRC43" s="2843"/>
      <c r="LRD43" s="2843"/>
      <c r="LRE43" s="2844"/>
      <c r="LRF43" s="2845"/>
      <c r="LRG43" s="2842"/>
      <c r="LRH43" s="2842"/>
      <c r="LRI43" s="2843"/>
      <c r="LRJ43" s="2843"/>
      <c r="LRK43" s="2844"/>
      <c r="LRL43" s="2845"/>
      <c r="LRM43" s="2842"/>
      <c r="LRN43" s="2842"/>
      <c r="LRO43" s="2843"/>
      <c r="LRP43" s="2843"/>
      <c r="LRQ43" s="2844"/>
      <c r="LRR43" s="2845"/>
      <c r="LRS43" s="2842"/>
      <c r="LRT43" s="2842"/>
      <c r="LRU43" s="2843"/>
      <c r="LRV43" s="2843"/>
      <c r="LRW43" s="2844"/>
      <c r="LRX43" s="2845"/>
      <c r="LRY43" s="2842"/>
      <c r="LRZ43" s="2842"/>
      <c r="LSA43" s="2843"/>
      <c r="LSB43" s="2843"/>
      <c r="LSC43" s="2844"/>
      <c r="LSD43" s="2845"/>
      <c r="LSE43" s="2842"/>
      <c r="LSF43" s="2842"/>
      <c r="LSG43" s="2843"/>
      <c r="LSH43" s="2843"/>
      <c r="LSI43" s="2844"/>
      <c r="LSJ43" s="2845"/>
      <c r="LSK43" s="2842"/>
      <c r="LSL43" s="2842"/>
      <c r="LSM43" s="2843"/>
      <c r="LSN43" s="2843"/>
      <c r="LSO43" s="2844"/>
      <c r="LSP43" s="2845"/>
      <c r="LSQ43" s="2842"/>
      <c r="LSR43" s="2842"/>
      <c r="LSS43" s="2843"/>
      <c r="LST43" s="2843"/>
      <c r="LSU43" s="2844"/>
      <c r="LSV43" s="2845"/>
      <c r="LSW43" s="2842"/>
      <c r="LSX43" s="2842"/>
      <c r="LSY43" s="2843"/>
      <c r="LSZ43" s="2843"/>
      <c r="LTA43" s="2844"/>
      <c r="LTB43" s="2845"/>
      <c r="LTC43" s="2842"/>
      <c r="LTD43" s="2842"/>
      <c r="LTE43" s="2843"/>
      <c r="LTF43" s="2843"/>
      <c r="LTG43" s="2844"/>
      <c r="LTH43" s="2845"/>
      <c r="LTI43" s="2842"/>
      <c r="LTJ43" s="2842"/>
      <c r="LTK43" s="2843"/>
      <c r="LTL43" s="2843"/>
      <c r="LTM43" s="2844"/>
      <c r="LTN43" s="2845"/>
      <c r="LTO43" s="2842"/>
      <c r="LTP43" s="2842"/>
      <c r="LTQ43" s="2843"/>
      <c r="LTR43" s="2843"/>
      <c r="LTS43" s="2844"/>
      <c r="LTT43" s="2845"/>
      <c r="LTU43" s="2842"/>
      <c r="LTV43" s="2842"/>
      <c r="LTW43" s="2843"/>
      <c r="LTX43" s="2843"/>
      <c r="LTY43" s="2844"/>
      <c r="LTZ43" s="2845"/>
      <c r="LUA43" s="2842"/>
      <c r="LUB43" s="2842"/>
      <c r="LUC43" s="2843"/>
      <c r="LUD43" s="2843"/>
      <c r="LUE43" s="2844"/>
      <c r="LUF43" s="2845"/>
      <c r="LUG43" s="2842"/>
      <c r="LUH43" s="2842"/>
      <c r="LUI43" s="2843"/>
      <c r="LUJ43" s="2843"/>
      <c r="LUK43" s="2844"/>
      <c r="LUL43" s="2845"/>
      <c r="LUM43" s="2842"/>
      <c r="LUN43" s="2842"/>
      <c r="LUO43" s="2843"/>
      <c r="LUP43" s="2843"/>
      <c r="LUQ43" s="2844"/>
      <c r="LUR43" s="2845"/>
      <c r="LUS43" s="2842"/>
      <c r="LUT43" s="2842"/>
      <c r="LUU43" s="2843"/>
      <c r="LUV43" s="2843"/>
      <c r="LUW43" s="2844"/>
      <c r="LUX43" s="2845"/>
      <c r="LUY43" s="2842"/>
      <c r="LUZ43" s="2842"/>
      <c r="LVA43" s="2843"/>
      <c r="LVB43" s="2843"/>
      <c r="LVC43" s="2844"/>
      <c r="LVD43" s="2845"/>
      <c r="LVE43" s="2842"/>
      <c r="LVF43" s="2842"/>
      <c r="LVG43" s="2843"/>
      <c r="LVH43" s="2843"/>
      <c r="LVI43" s="2844"/>
      <c r="LVJ43" s="2845"/>
      <c r="LVK43" s="2842"/>
      <c r="LVL43" s="2842"/>
      <c r="LVM43" s="2843"/>
      <c r="LVN43" s="2843"/>
      <c r="LVO43" s="2844"/>
      <c r="LVP43" s="2845"/>
      <c r="LVQ43" s="2842"/>
      <c r="LVR43" s="2842"/>
      <c r="LVS43" s="2843"/>
      <c r="LVT43" s="2843"/>
      <c r="LVU43" s="2844"/>
      <c r="LVV43" s="2845"/>
      <c r="LVW43" s="2842"/>
      <c r="LVX43" s="2842"/>
      <c r="LVY43" s="2843"/>
      <c r="LVZ43" s="2843"/>
      <c r="LWA43" s="2844"/>
      <c r="LWB43" s="2845"/>
      <c r="LWC43" s="2842"/>
      <c r="LWD43" s="2842"/>
      <c r="LWE43" s="2843"/>
      <c r="LWF43" s="2843"/>
      <c r="LWG43" s="2844"/>
      <c r="LWH43" s="2845"/>
      <c r="LWI43" s="2842"/>
      <c r="LWJ43" s="2842"/>
      <c r="LWK43" s="2843"/>
      <c r="LWL43" s="2843"/>
      <c r="LWM43" s="2844"/>
      <c r="LWN43" s="2845"/>
      <c r="LWO43" s="2842"/>
      <c r="LWP43" s="2842"/>
      <c r="LWQ43" s="2843"/>
      <c r="LWR43" s="2843"/>
      <c r="LWS43" s="2844"/>
      <c r="LWT43" s="2845"/>
      <c r="LWU43" s="2842"/>
      <c r="LWV43" s="2842"/>
      <c r="LWW43" s="2843"/>
      <c r="LWX43" s="2843"/>
      <c r="LWY43" s="2844"/>
      <c r="LWZ43" s="2845"/>
      <c r="LXA43" s="2842"/>
      <c r="LXB43" s="2842"/>
      <c r="LXC43" s="2843"/>
      <c r="LXD43" s="2843"/>
      <c r="LXE43" s="2844"/>
      <c r="LXF43" s="2845"/>
      <c r="LXG43" s="2842"/>
      <c r="LXH43" s="2842"/>
      <c r="LXI43" s="2843"/>
      <c r="LXJ43" s="2843"/>
      <c r="LXK43" s="2844"/>
      <c r="LXL43" s="2845"/>
      <c r="LXM43" s="2842"/>
      <c r="LXN43" s="2842"/>
      <c r="LXO43" s="2843"/>
      <c r="LXP43" s="2843"/>
      <c r="LXQ43" s="2844"/>
      <c r="LXR43" s="2845"/>
      <c r="LXS43" s="2842"/>
      <c r="LXT43" s="2842"/>
      <c r="LXU43" s="2843"/>
      <c r="LXV43" s="2843"/>
      <c r="LXW43" s="2844"/>
      <c r="LXX43" s="2845"/>
      <c r="LXY43" s="2842"/>
      <c r="LXZ43" s="2842"/>
      <c r="LYA43" s="2843"/>
      <c r="LYB43" s="2843"/>
      <c r="LYC43" s="2844"/>
      <c r="LYD43" s="2845"/>
      <c r="LYE43" s="2842"/>
      <c r="LYF43" s="2842"/>
      <c r="LYG43" s="2843"/>
      <c r="LYH43" s="2843"/>
      <c r="LYI43" s="2844"/>
      <c r="LYJ43" s="2845"/>
      <c r="LYK43" s="2842"/>
      <c r="LYL43" s="2842"/>
      <c r="LYM43" s="2843"/>
      <c r="LYN43" s="2843"/>
      <c r="LYO43" s="2844"/>
      <c r="LYP43" s="2845"/>
      <c r="LYQ43" s="2842"/>
      <c r="LYR43" s="2842"/>
      <c r="LYS43" s="2843"/>
      <c r="LYT43" s="2843"/>
      <c r="LYU43" s="2844"/>
      <c r="LYV43" s="2845"/>
      <c r="LYW43" s="2842"/>
      <c r="LYX43" s="2842"/>
      <c r="LYY43" s="2843"/>
      <c r="LYZ43" s="2843"/>
      <c r="LZA43" s="2844"/>
      <c r="LZB43" s="2845"/>
      <c r="LZC43" s="2842"/>
      <c r="LZD43" s="2842"/>
      <c r="LZE43" s="2843"/>
      <c r="LZF43" s="2843"/>
      <c r="LZG43" s="2844"/>
      <c r="LZH43" s="2845"/>
      <c r="LZI43" s="2842"/>
      <c r="LZJ43" s="2842"/>
      <c r="LZK43" s="2843"/>
      <c r="LZL43" s="2843"/>
      <c r="LZM43" s="2844"/>
      <c r="LZN43" s="2845"/>
      <c r="LZO43" s="2842"/>
      <c r="LZP43" s="2842"/>
      <c r="LZQ43" s="2843"/>
      <c r="LZR43" s="2843"/>
      <c r="LZS43" s="2844"/>
      <c r="LZT43" s="2845"/>
      <c r="LZU43" s="2842"/>
      <c r="LZV43" s="2842"/>
      <c r="LZW43" s="2843"/>
      <c r="LZX43" s="2843"/>
      <c r="LZY43" s="2844"/>
      <c r="LZZ43" s="2845"/>
      <c r="MAA43" s="2842"/>
      <c r="MAB43" s="2842"/>
      <c r="MAC43" s="2843"/>
      <c r="MAD43" s="2843"/>
      <c r="MAE43" s="2844"/>
      <c r="MAF43" s="2845"/>
      <c r="MAG43" s="2842"/>
      <c r="MAH43" s="2842"/>
      <c r="MAI43" s="2843"/>
      <c r="MAJ43" s="2843"/>
      <c r="MAK43" s="2844"/>
      <c r="MAL43" s="2845"/>
      <c r="MAM43" s="2842"/>
      <c r="MAN43" s="2842"/>
      <c r="MAO43" s="2843"/>
      <c r="MAP43" s="2843"/>
      <c r="MAQ43" s="2844"/>
      <c r="MAR43" s="2845"/>
      <c r="MAS43" s="2842"/>
      <c r="MAT43" s="2842"/>
      <c r="MAU43" s="2843"/>
      <c r="MAV43" s="2843"/>
      <c r="MAW43" s="2844"/>
      <c r="MAX43" s="2845"/>
      <c r="MAY43" s="2842"/>
      <c r="MAZ43" s="2842"/>
      <c r="MBA43" s="2843"/>
      <c r="MBB43" s="2843"/>
      <c r="MBC43" s="2844"/>
      <c r="MBD43" s="2845"/>
      <c r="MBE43" s="2842"/>
      <c r="MBF43" s="2842"/>
      <c r="MBG43" s="2843"/>
      <c r="MBH43" s="2843"/>
      <c r="MBI43" s="2844"/>
      <c r="MBJ43" s="2845"/>
      <c r="MBK43" s="2842"/>
      <c r="MBL43" s="2842"/>
      <c r="MBM43" s="2843"/>
      <c r="MBN43" s="2843"/>
      <c r="MBO43" s="2844"/>
      <c r="MBP43" s="2845"/>
      <c r="MBQ43" s="2842"/>
      <c r="MBR43" s="2842"/>
      <c r="MBS43" s="2843"/>
      <c r="MBT43" s="2843"/>
      <c r="MBU43" s="2844"/>
      <c r="MBV43" s="2845"/>
      <c r="MBW43" s="2842"/>
      <c r="MBX43" s="2842"/>
      <c r="MBY43" s="2843"/>
      <c r="MBZ43" s="2843"/>
      <c r="MCA43" s="2844"/>
      <c r="MCB43" s="2845"/>
      <c r="MCC43" s="2842"/>
      <c r="MCD43" s="2842"/>
      <c r="MCE43" s="2843"/>
      <c r="MCF43" s="2843"/>
      <c r="MCG43" s="2844"/>
      <c r="MCH43" s="2845"/>
      <c r="MCI43" s="2842"/>
      <c r="MCJ43" s="2842"/>
      <c r="MCK43" s="2843"/>
      <c r="MCL43" s="2843"/>
      <c r="MCM43" s="2844"/>
      <c r="MCN43" s="2845"/>
      <c r="MCO43" s="2842"/>
      <c r="MCP43" s="2842"/>
      <c r="MCQ43" s="2843"/>
      <c r="MCR43" s="2843"/>
      <c r="MCS43" s="2844"/>
      <c r="MCT43" s="2845"/>
      <c r="MCU43" s="2842"/>
      <c r="MCV43" s="2842"/>
      <c r="MCW43" s="2843"/>
      <c r="MCX43" s="2843"/>
      <c r="MCY43" s="2844"/>
      <c r="MCZ43" s="2845"/>
      <c r="MDA43" s="2842"/>
      <c r="MDB43" s="2842"/>
      <c r="MDC43" s="2843"/>
      <c r="MDD43" s="2843"/>
      <c r="MDE43" s="2844"/>
      <c r="MDF43" s="2845"/>
      <c r="MDG43" s="2842"/>
      <c r="MDH43" s="2842"/>
      <c r="MDI43" s="2843"/>
      <c r="MDJ43" s="2843"/>
      <c r="MDK43" s="2844"/>
      <c r="MDL43" s="2845"/>
      <c r="MDM43" s="2842"/>
      <c r="MDN43" s="2842"/>
      <c r="MDO43" s="2843"/>
      <c r="MDP43" s="2843"/>
      <c r="MDQ43" s="2844"/>
      <c r="MDR43" s="2845"/>
      <c r="MDS43" s="2842"/>
      <c r="MDT43" s="2842"/>
      <c r="MDU43" s="2843"/>
      <c r="MDV43" s="2843"/>
      <c r="MDW43" s="2844"/>
      <c r="MDX43" s="2845"/>
      <c r="MDY43" s="2842"/>
      <c r="MDZ43" s="2842"/>
      <c r="MEA43" s="2843"/>
      <c r="MEB43" s="2843"/>
      <c r="MEC43" s="2844"/>
      <c r="MED43" s="2845"/>
      <c r="MEE43" s="2842"/>
      <c r="MEF43" s="2842"/>
      <c r="MEG43" s="2843"/>
      <c r="MEH43" s="2843"/>
      <c r="MEI43" s="2844"/>
      <c r="MEJ43" s="2845"/>
      <c r="MEK43" s="2842"/>
      <c r="MEL43" s="2842"/>
      <c r="MEM43" s="2843"/>
      <c r="MEN43" s="2843"/>
      <c r="MEO43" s="2844"/>
      <c r="MEP43" s="2845"/>
      <c r="MEQ43" s="2842"/>
      <c r="MER43" s="2842"/>
      <c r="MES43" s="2843"/>
      <c r="MET43" s="2843"/>
      <c r="MEU43" s="2844"/>
      <c r="MEV43" s="2845"/>
      <c r="MEW43" s="2842"/>
      <c r="MEX43" s="2842"/>
      <c r="MEY43" s="2843"/>
      <c r="MEZ43" s="2843"/>
      <c r="MFA43" s="2844"/>
      <c r="MFB43" s="2845"/>
      <c r="MFC43" s="2842"/>
      <c r="MFD43" s="2842"/>
      <c r="MFE43" s="2843"/>
      <c r="MFF43" s="2843"/>
      <c r="MFG43" s="2844"/>
      <c r="MFH43" s="2845"/>
      <c r="MFI43" s="2842"/>
      <c r="MFJ43" s="2842"/>
      <c r="MFK43" s="2843"/>
      <c r="MFL43" s="2843"/>
      <c r="MFM43" s="2844"/>
      <c r="MFN43" s="2845"/>
      <c r="MFO43" s="2842"/>
      <c r="MFP43" s="2842"/>
      <c r="MFQ43" s="2843"/>
      <c r="MFR43" s="2843"/>
      <c r="MFS43" s="2844"/>
      <c r="MFT43" s="2845"/>
      <c r="MFU43" s="2842"/>
      <c r="MFV43" s="2842"/>
      <c r="MFW43" s="2843"/>
      <c r="MFX43" s="2843"/>
      <c r="MFY43" s="2844"/>
      <c r="MFZ43" s="2845"/>
      <c r="MGA43" s="2842"/>
      <c r="MGB43" s="2842"/>
      <c r="MGC43" s="2843"/>
      <c r="MGD43" s="2843"/>
      <c r="MGE43" s="2844"/>
      <c r="MGF43" s="2845"/>
      <c r="MGG43" s="2842"/>
      <c r="MGH43" s="2842"/>
      <c r="MGI43" s="2843"/>
      <c r="MGJ43" s="2843"/>
      <c r="MGK43" s="2844"/>
      <c r="MGL43" s="2845"/>
      <c r="MGM43" s="2842"/>
      <c r="MGN43" s="2842"/>
      <c r="MGO43" s="2843"/>
      <c r="MGP43" s="2843"/>
      <c r="MGQ43" s="2844"/>
      <c r="MGR43" s="2845"/>
      <c r="MGS43" s="2842"/>
      <c r="MGT43" s="2842"/>
      <c r="MGU43" s="2843"/>
      <c r="MGV43" s="2843"/>
      <c r="MGW43" s="2844"/>
      <c r="MGX43" s="2845"/>
      <c r="MGY43" s="2842"/>
      <c r="MGZ43" s="2842"/>
      <c r="MHA43" s="2843"/>
      <c r="MHB43" s="2843"/>
      <c r="MHC43" s="2844"/>
      <c r="MHD43" s="2845"/>
      <c r="MHE43" s="2842"/>
      <c r="MHF43" s="2842"/>
      <c r="MHG43" s="2843"/>
      <c r="MHH43" s="2843"/>
      <c r="MHI43" s="2844"/>
      <c r="MHJ43" s="2845"/>
      <c r="MHK43" s="2842"/>
      <c r="MHL43" s="2842"/>
      <c r="MHM43" s="2843"/>
      <c r="MHN43" s="2843"/>
      <c r="MHO43" s="2844"/>
      <c r="MHP43" s="2845"/>
      <c r="MHQ43" s="2842"/>
      <c r="MHR43" s="2842"/>
      <c r="MHS43" s="2843"/>
      <c r="MHT43" s="2843"/>
      <c r="MHU43" s="2844"/>
      <c r="MHV43" s="2845"/>
      <c r="MHW43" s="2842"/>
      <c r="MHX43" s="2842"/>
      <c r="MHY43" s="2843"/>
      <c r="MHZ43" s="2843"/>
      <c r="MIA43" s="2844"/>
      <c r="MIB43" s="2845"/>
      <c r="MIC43" s="2842"/>
      <c r="MID43" s="2842"/>
      <c r="MIE43" s="2843"/>
      <c r="MIF43" s="2843"/>
      <c r="MIG43" s="2844"/>
      <c r="MIH43" s="2845"/>
      <c r="MII43" s="2842"/>
      <c r="MIJ43" s="2842"/>
      <c r="MIK43" s="2843"/>
      <c r="MIL43" s="2843"/>
      <c r="MIM43" s="2844"/>
      <c r="MIN43" s="2845"/>
      <c r="MIO43" s="2842"/>
      <c r="MIP43" s="2842"/>
      <c r="MIQ43" s="2843"/>
      <c r="MIR43" s="2843"/>
      <c r="MIS43" s="2844"/>
      <c r="MIT43" s="2845"/>
      <c r="MIU43" s="2842"/>
      <c r="MIV43" s="2842"/>
      <c r="MIW43" s="2843"/>
      <c r="MIX43" s="2843"/>
      <c r="MIY43" s="2844"/>
      <c r="MIZ43" s="2845"/>
      <c r="MJA43" s="2842"/>
      <c r="MJB43" s="2842"/>
      <c r="MJC43" s="2843"/>
      <c r="MJD43" s="2843"/>
      <c r="MJE43" s="2844"/>
      <c r="MJF43" s="2845"/>
      <c r="MJG43" s="2842"/>
      <c r="MJH43" s="2842"/>
      <c r="MJI43" s="2843"/>
      <c r="MJJ43" s="2843"/>
      <c r="MJK43" s="2844"/>
      <c r="MJL43" s="2845"/>
      <c r="MJM43" s="2842"/>
      <c r="MJN43" s="2842"/>
      <c r="MJO43" s="2843"/>
      <c r="MJP43" s="2843"/>
      <c r="MJQ43" s="2844"/>
      <c r="MJR43" s="2845"/>
      <c r="MJS43" s="2842"/>
      <c r="MJT43" s="2842"/>
      <c r="MJU43" s="2843"/>
      <c r="MJV43" s="2843"/>
      <c r="MJW43" s="2844"/>
      <c r="MJX43" s="2845"/>
      <c r="MJY43" s="2842"/>
      <c r="MJZ43" s="2842"/>
      <c r="MKA43" s="2843"/>
      <c r="MKB43" s="2843"/>
      <c r="MKC43" s="2844"/>
      <c r="MKD43" s="2845"/>
      <c r="MKE43" s="2842"/>
      <c r="MKF43" s="2842"/>
      <c r="MKG43" s="2843"/>
      <c r="MKH43" s="2843"/>
      <c r="MKI43" s="2844"/>
      <c r="MKJ43" s="2845"/>
      <c r="MKK43" s="2842"/>
      <c r="MKL43" s="2842"/>
      <c r="MKM43" s="2843"/>
      <c r="MKN43" s="2843"/>
      <c r="MKO43" s="2844"/>
      <c r="MKP43" s="2845"/>
      <c r="MKQ43" s="2842"/>
      <c r="MKR43" s="2842"/>
      <c r="MKS43" s="2843"/>
      <c r="MKT43" s="2843"/>
      <c r="MKU43" s="2844"/>
      <c r="MKV43" s="2845"/>
      <c r="MKW43" s="2842"/>
      <c r="MKX43" s="2842"/>
      <c r="MKY43" s="2843"/>
      <c r="MKZ43" s="2843"/>
      <c r="MLA43" s="2844"/>
      <c r="MLB43" s="2845"/>
      <c r="MLC43" s="2842"/>
      <c r="MLD43" s="2842"/>
      <c r="MLE43" s="2843"/>
      <c r="MLF43" s="2843"/>
      <c r="MLG43" s="2844"/>
      <c r="MLH43" s="2845"/>
      <c r="MLI43" s="2842"/>
      <c r="MLJ43" s="2842"/>
      <c r="MLK43" s="2843"/>
      <c r="MLL43" s="2843"/>
      <c r="MLM43" s="2844"/>
      <c r="MLN43" s="2845"/>
      <c r="MLO43" s="2842"/>
      <c r="MLP43" s="2842"/>
      <c r="MLQ43" s="2843"/>
      <c r="MLR43" s="2843"/>
      <c r="MLS43" s="2844"/>
      <c r="MLT43" s="2845"/>
      <c r="MLU43" s="2842"/>
      <c r="MLV43" s="2842"/>
      <c r="MLW43" s="2843"/>
      <c r="MLX43" s="2843"/>
      <c r="MLY43" s="2844"/>
      <c r="MLZ43" s="2845"/>
      <c r="MMA43" s="2842"/>
      <c r="MMB43" s="2842"/>
      <c r="MMC43" s="2843"/>
      <c r="MMD43" s="2843"/>
      <c r="MME43" s="2844"/>
      <c r="MMF43" s="2845"/>
      <c r="MMG43" s="2842"/>
      <c r="MMH43" s="2842"/>
      <c r="MMI43" s="2843"/>
      <c r="MMJ43" s="2843"/>
      <c r="MMK43" s="2844"/>
      <c r="MML43" s="2845"/>
      <c r="MMM43" s="2842"/>
      <c r="MMN43" s="2842"/>
      <c r="MMO43" s="2843"/>
      <c r="MMP43" s="2843"/>
      <c r="MMQ43" s="2844"/>
      <c r="MMR43" s="2845"/>
      <c r="MMS43" s="2842"/>
      <c r="MMT43" s="2842"/>
      <c r="MMU43" s="2843"/>
      <c r="MMV43" s="2843"/>
      <c r="MMW43" s="2844"/>
      <c r="MMX43" s="2845"/>
      <c r="MMY43" s="2842"/>
      <c r="MMZ43" s="2842"/>
      <c r="MNA43" s="2843"/>
      <c r="MNB43" s="2843"/>
      <c r="MNC43" s="2844"/>
      <c r="MND43" s="2845"/>
      <c r="MNE43" s="2842"/>
      <c r="MNF43" s="2842"/>
      <c r="MNG43" s="2843"/>
      <c r="MNH43" s="2843"/>
      <c r="MNI43" s="2844"/>
      <c r="MNJ43" s="2845"/>
      <c r="MNK43" s="2842"/>
      <c r="MNL43" s="2842"/>
      <c r="MNM43" s="2843"/>
      <c r="MNN43" s="2843"/>
      <c r="MNO43" s="2844"/>
      <c r="MNP43" s="2845"/>
      <c r="MNQ43" s="2842"/>
      <c r="MNR43" s="2842"/>
      <c r="MNS43" s="2843"/>
      <c r="MNT43" s="2843"/>
      <c r="MNU43" s="2844"/>
      <c r="MNV43" s="2845"/>
      <c r="MNW43" s="2842"/>
      <c r="MNX43" s="2842"/>
      <c r="MNY43" s="2843"/>
      <c r="MNZ43" s="2843"/>
      <c r="MOA43" s="2844"/>
      <c r="MOB43" s="2845"/>
      <c r="MOC43" s="2842"/>
      <c r="MOD43" s="2842"/>
      <c r="MOE43" s="2843"/>
      <c r="MOF43" s="2843"/>
      <c r="MOG43" s="2844"/>
      <c r="MOH43" s="2845"/>
      <c r="MOI43" s="2842"/>
      <c r="MOJ43" s="2842"/>
      <c r="MOK43" s="2843"/>
      <c r="MOL43" s="2843"/>
      <c r="MOM43" s="2844"/>
      <c r="MON43" s="2845"/>
      <c r="MOO43" s="2842"/>
      <c r="MOP43" s="2842"/>
      <c r="MOQ43" s="2843"/>
      <c r="MOR43" s="2843"/>
      <c r="MOS43" s="2844"/>
      <c r="MOT43" s="2845"/>
      <c r="MOU43" s="2842"/>
      <c r="MOV43" s="2842"/>
      <c r="MOW43" s="2843"/>
      <c r="MOX43" s="2843"/>
      <c r="MOY43" s="2844"/>
      <c r="MOZ43" s="2845"/>
      <c r="MPA43" s="2842"/>
      <c r="MPB43" s="2842"/>
      <c r="MPC43" s="2843"/>
      <c r="MPD43" s="2843"/>
      <c r="MPE43" s="2844"/>
      <c r="MPF43" s="2845"/>
      <c r="MPG43" s="2842"/>
      <c r="MPH43" s="2842"/>
      <c r="MPI43" s="2843"/>
      <c r="MPJ43" s="2843"/>
      <c r="MPK43" s="2844"/>
      <c r="MPL43" s="2845"/>
      <c r="MPM43" s="2842"/>
      <c r="MPN43" s="2842"/>
      <c r="MPO43" s="2843"/>
      <c r="MPP43" s="2843"/>
      <c r="MPQ43" s="2844"/>
      <c r="MPR43" s="2845"/>
      <c r="MPS43" s="2842"/>
      <c r="MPT43" s="2842"/>
      <c r="MPU43" s="2843"/>
      <c r="MPV43" s="2843"/>
      <c r="MPW43" s="2844"/>
      <c r="MPX43" s="2845"/>
      <c r="MPY43" s="2842"/>
      <c r="MPZ43" s="2842"/>
      <c r="MQA43" s="2843"/>
      <c r="MQB43" s="2843"/>
      <c r="MQC43" s="2844"/>
      <c r="MQD43" s="2845"/>
      <c r="MQE43" s="2842"/>
      <c r="MQF43" s="2842"/>
      <c r="MQG43" s="2843"/>
      <c r="MQH43" s="2843"/>
      <c r="MQI43" s="2844"/>
      <c r="MQJ43" s="2845"/>
      <c r="MQK43" s="2842"/>
      <c r="MQL43" s="2842"/>
      <c r="MQM43" s="2843"/>
      <c r="MQN43" s="2843"/>
      <c r="MQO43" s="2844"/>
      <c r="MQP43" s="2845"/>
      <c r="MQQ43" s="2842"/>
      <c r="MQR43" s="2842"/>
      <c r="MQS43" s="2843"/>
      <c r="MQT43" s="2843"/>
      <c r="MQU43" s="2844"/>
      <c r="MQV43" s="2845"/>
      <c r="MQW43" s="2842"/>
      <c r="MQX43" s="2842"/>
      <c r="MQY43" s="2843"/>
      <c r="MQZ43" s="2843"/>
      <c r="MRA43" s="2844"/>
      <c r="MRB43" s="2845"/>
      <c r="MRC43" s="2842"/>
      <c r="MRD43" s="2842"/>
      <c r="MRE43" s="2843"/>
      <c r="MRF43" s="2843"/>
      <c r="MRG43" s="2844"/>
      <c r="MRH43" s="2845"/>
      <c r="MRI43" s="2842"/>
      <c r="MRJ43" s="2842"/>
      <c r="MRK43" s="2843"/>
      <c r="MRL43" s="2843"/>
      <c r="MRM43" s="2844"/>
      <c r="MRN43" s="2845"/>
      <c r="MRO43" s="2842"/>
      <c r="MRP43" s="2842"/>
      <c r="MRQ43" s="2843"/>
      <c r="MRR43" s="2843"/>
      <c r="MRS43" s="2844"/>
      <c r="MRT43" s="2845"/>
      <c r="MRU43" s="2842"/>
      <c r="MRV43" s="2842"/>
      <c r="MRW43" s="2843"/>
      <c r="MRX43" s="2843"/>
      <c r="MRY43" s="2844"/>
      <c r="MRZ43" s="2845"/>
      <c r="MSA43" s="2842"/>
      <c r="MSB43" s="2842"/>
      <c r="MSC43" s="2843"/>
      <c r="MSD43" s="2843"/>
      <c r="MSE43" s="2844"/>
      <c r="MSF43" s="2845"/>
      <c r="MSG43" s="2842"/>
      <c r="MSH43" s="2842"/>
      <c r="MSI43" s="2843"/>
      <c r="MSJ43" s="2843"/>
      <c r="MSK43" s="2844"/>
      <c r="MSL43" s="2845"/>
      <c r="MSM43" s="2842"/>
      <c r="MSN43" s="2842"/>
      <c r="MSO43" s="2843"/>
      <c r="MSP43" s="2843"/>
      <c r="MSQ43" s="2844"/>
      <c r="MSR43" s="2845"/>
      <c r="MSS43" s="2842"/>
      <c r="MST43" s="2842"/>
      <c r="MSU43" s="2843"/>
      <c r="MSV43" s="2843"/>
      <c r="MSW43" s="2844"/>
      <c r="MSX43" s="2845"/>
      <c r="MSY43" s="2842"/>
      <c r="MSZ43" s="2842"/>
      <c r="MTA43" s="2843"/>
      <c r="MTB43" s="2843"/>
      <c r="MTC43" s="2844"/>
      <c r="MTD43" s="2845"/>
      <c r="MTE43" s="2842"/>
      <c r="MTF43" s="2842"/>
      <c r="MTG43" s="2843"/>
      <c r="MTH43" s="2843"/>
      <c r="MTI43" s="2844"/>
      <c r="MTJ43" s="2845"/>
      <c r="MTK43" s="2842"/>
      <c r="MTL43" s="2842"/>
      <c r="MTM43" s="2843"/>
      <c r="MTN43" s="2843"/>
      <c r="MTO43" s="2844"/>
      <c r="MTP43" s="2845"/>
      <c r="MTQ43" s="2842"/>
      <c r="MTR43" s="2842"/>
      <c r="MTS43" s="2843"/>
      <c r="MTT43" s="2843"/>
      <c r="MTU43" s="2844"/>
      <c r="MTV43" s="2845"/>
      <c r="MTW43" s="2842"/>
      <c r="MTX43" s="2842"/>
      <c r="MTY43" s="2843"/>
      <c r="MTZ43" s="2843"/>
      <c r="MUA43" s="2844"/>
      <c r="MUB43" s="2845"/>
      <c r="MUC43" s="2842"/>
      <c r="MUD43" s="2842"/>
      <c r="MUE43" s="2843"/>
      <c r="MUF43" s="2843"/>
      <c r="MUG43" s="2844"/>
      <c r="MUH43" s="2845"/>
      <c r="MUI43" s="2842"/>
      <c r="MUJ43" s="2842"/>
      <c r="MUK43" s="2843"/>
      <c r="MUL43" s="2843"/>
      <c r="MUM43" s="2844"/>
      <c r="MUN43" s="2845"/>
      <c r="MUO43" s="2842"/>
      <c r="MUP43" s="2842"/>
      <c r="MUQ43" s="2843"/>
      <c r="MUR43" s="2843"/>
      <c r="MUS43" s="2844"/>
      <c r="MUT43" s="2845"/>
      <c r="MUU43" s="2842"/>
      <c r="MUV43" s="2842"/>
      <c r="MUW43" s="2843"/>
      <c r="MUX43" s="2843"/>
      <c r="MUY43" s="2844"/>
      <c r="MUZ43" s="2845"/>
      <c r="MVA43" s="2842"/>
      <c r="MVB43" s="2842"/>
      <c r="MVC43" s="2843"/>
      <c r="MVD43" s="2843"/>
      <c r="MVE43" s="2844"/>
      <c r="MVF43" s="2845"/>
      <c r="MVG43" s="2842"/>
      <c r="MVH43" s="2842"/>
      <c r="MVI43" s="2843"/>
      <c r="MVJ43" s="2843"/>
      <c r="MVK43" s="2844"/>
      <c r="MVL43" s="2845"/>
      <c r="MVM43" s="2842"/>
      <c r="MVN43" s="2842"/>
      <c r="MVO43" s="2843"/>
      <c r="MVP43" s="2843"/>
      <c r="MVQ43" s="2844"/>
      <c r="MVR43" s="2845"/>
      <c r="MVS43" s="2842"/>
      <c r="MVT43" s="2842"/>
      <c r="MVU43" s="2843"/>
      <c r="MVV43" s="2843"/>
      <c r="MVW43" s="2844"/>
      <c r="MVX43" s="2845"/>
      <c r="MVY43" s="2842"/>
      <c r="MVZ43" s="2842"/>
      <c r="MWA43" s="2843"/>
      <c r="MWB43" s="2843"/>
      <c r="MWC43" s="2844"/>
      <c r="MWD43" s="2845"/>
      <c r="MWE43" s="2842"/>
      <c r="MWF43" s="2842"/>
      <c r="MWG43" s="2843"/>
      <c r="MWH43" s="2843"/>
      <c r="MWI43" s="2844"/>
      <c r="MWJ43" s="2845"/>
      <c r="MWK43" s="2842"/>
      <c r="MWL43" s="2842"/>
      <c r="MWM43" s="2843"/>
      <c r="MWN43" s="2843"/>
      <c r="MWO43" s="2844"/>
      <c r="MWP43" s="2845"/>
      <c r="MWQ43" s="2842"/>
      <c r="MWR43" s="2842"/>
      <c r="MWS43" s="2843"/>
      <c r="MWT43" s="2843"/>
      <c r="MWU43" s="2844"/>
      <c r="MWV43" s="2845"/>
      <c r="MWW43" s="2842"/>
      <c r="MWX43" s="2842"/>
      <c r="MWY43" s="2843"/>
      <c r="MWZ43" s="2843"/>
      <c r="MXA43" s="2844"/>
      <c r="MXB43" s="2845"/>
      <c r="MXC43" s="2842"/>
      <c r="MXD43" s="2842"/>
      <c r="MXE43" s="2843"/>
      <c r="MXF43" s="2843"/>
      <c r="MXG43" s="2844"/>
      <c r="MXH43" s="2845"/>
      <c r="MXI43" s="2842"/>
      <c r="MXJ43" s="2842"/>
      <c r="MXK43" s="2843"/>
      <c r="MXL43" s="2843"/>
      <c r="MXM43" s="2844"/>
      <c r="MXN43" s="2845"/>
      <c r="MXO43" s="2842"/>
      <c r="MXP43" s="2842"/>
      <c r="MXQ43" s="2843"/>
      <c r="MXR43" s="2843"/>
      <c r="MXS43" s="2844"/>
      <c r="MXT43" s="2845"/>
      <c r="MXU43" s="2842"/>
      <c r="MXV43" s="2842"/>
      <c r="MXW43" s="2843"/>
      <c r="MXX43" s="2843"/>
      <c r="MXY43" s="2844"/>
      <c r="MXZ43" s="2845"/>
      <c r="MYA43" s="2842"/>
      <c r="MYB43" s="2842"/>
      <c r="MYC43" s="2843"/>
      <c r="MYD43" s="2843"/>
      <c r="MYE43" s="2844"/>
      <c r="MYF43" s="2845"/>
      <c r="MYG43" s="2842"/>
      <c r="MYH43" s="2842"/>
      <c r="MYI43" s="2843"/>
      <c r="MYJ43" s="2843"/>
      <c r="MYK43" s="2844"/>
      <c r="MYL43" s="2845"/>
      <c r="MYM43" s="2842"/>
      <c r="MYN43" s="2842"/>
      <c r="MYO43" s="2843"/>
      <c r="MYP43" s="2843"/>
      <c r="MYQ43" s="2844"/>
      <c r="MYR43" s="2845"/>
      <c r="MYS43" s="2842"/>
      <c r="MYT43" s="2842"/>
      <c r="MYU43" s="2843"/>
      <c r="MYV43" s="2843"/>
      <c r="MYW43" s="2844"/>
      <c r="MYX43" s="2845"/>
      <c r="MYY43" s="2842"/>
      <c r="MYZ43" s="2842"/>
      <c r="MZA43" s="2843"/>
      <c r="MZB43" s="2843"/>
      <c r="MZC43" s="2844"/>
      <c r="MZD43" s="2845"/>
      <c r="MZE43" s="2842"/>
      <c r="MZF43" s="2842"/>
      <c r="MZG43" s="2843"/>
      <c r="MZH43" s="2843"/>
      <c r="MZI43" s="2844"/>
      <c r="MZJ43" s="2845"/>
      <c r="MZK43" s="2842"/>
      <c r="MZL43" s="2842"/>
      <c r="MZM43" s="2843"/>
      <c r="MZN43" s="2843"/>
      <c r="MZO43" s="2844"/>
      <c r="MZP43" s="2845"/>
      <c r="MZQ43" s="2842"/>
      <c r="MZR43" s="2842"/>
      <c r="MZS43" s="2843"/>
      <c r="MZT43" s="2843"/>
      <c r="MZU43" s="2844"/>
      <c r="MZV43" s="2845"/>
      <c r="MZW43" s="2842"/>
      <c r="MZX43" s="2842"/>
      <c r="MZY43" s="2843"/>
      <c r="MZZ43" s="2843"/>
      <c r="NAA43" s="2844"/>
      <c r="NAB43" s="2845"/>
      <c r="NAC43" s="2842"/>
      <c r="NAD43" s="2842"/>
      <c r="NAE43" s="2843"/>
      <c r="NAF43" s="2843"/>
      <c r="NAG43" s="2844"/>
      <c r="NAH43" s="2845"/>
      <c r="NAI43" s="2842"/>
      <c r="NAJ43" s="2842"/>
      <c r="NAK43" s="2843"/>
      <c r="NAL43" s="2843"/>
      <c r="NAM43" s="2844"/>
      <c r="NAN43" s="2845"/>
      <c r="NAO43" s="2842"/>
      <c r="NAP43" s="2842"/>
      <c r="NAQ43" s="2843"/>
      <c r="NAR43" s="2843"/>
      <c r="NAS43" s="2844"/>
      <c r="NAT43" s="2845"/>
      <c r="NAU43" s="2842"/>
      <c r="NAV43" s="2842"/>
      <c r="NAW43" s="2843"/>
      <c r="NAX43" s="2843"/>
      <c r="NAY43" s="2844"/>
      <c r="NAZ43" s="2845"/>
      <c r="NBA43" s="2842"/>
      <c r="NBB43" s="2842"/>
      <c r="NBC43" s="2843"/>
      <c r="NBD43" s="2843"/>
      <c r="NBE43" s="2844"/>
      <c r="NBF43" s="2845"/>
      <c r="NBG43" s="2842"/>
      <c r="NBH43" s="2842"/>
      <c r="NBI43" s="2843"/>
      <c r="NBJ43" s="2843"/>
      <c r="NBK43" s="2844"/>
      <c r="NBL43" s="2845"/>
      <c r="NBM43" s="2842"/>
      <c r="NBN43" s="2842"/>
      <c r="NBO43" s="2843"/>
      <c r="NBP43" s="2843"/>
      <c r="NBQ43" s="2844"/>
      <c r="NBR43" s="2845"/>
      <c r="NBS43" s="2842"/>
      <c r="NBT43" s="2842"/>
      <c r="NBU43" s="2843"/>
      <c r="NBV43" s="2843"/>
      <c r="NBW43" s="2844"/>
      <c r="NBX43" s="2845"/>
      <c r="NBY43" s="2842"/>
      <c r="NBZ43" s="2842"/>
      <c r="NCA43" s="2843"/>
      <c r="NCB43" s="2843"/>
      <c r="NCC43" s="2844"/>
      <c r="NCD43" s="2845"/>
      <c r="NCE43" s="2842"/>
      <c r="NCF43" s="2842"/>
      <c r="NCG43" s="2843"/>
      <c r="NCH43" s="2843"/>
      <c r="NCI43" s="2844"/>
      <c r="NCJ43" s="2845"/>
      <c r="NCK43" s="2842"/>
      <c r="NCL43" s="2842"/>
      <c r="NCM43" s="2843"/>
      <c r="NCN43" s="2843"/>
      <c r="NCO43" s="2844"/>
      <c r="NCP43" s="2845"/>
      <c r="NCQ43" s="2842"/>
      <c r="NCR43" s="2842"/>
      <c r="NCS43" s="2843"/>
      <c r="NCT43" s="2843"/>
      <c r="NCU43" s="2844"/>
      <c r="NCV43" s="2845"/>
      <c r="NCW43" s="2842"/>
      <c r="NCX43" s="2842"/>
      <c r="NCY43" s="2843"/>
      <c r="NCZ43" s="2843"/>
      <c r="NDA43" s="2844"/>
      <c r="NDB43" s="2845"/>
      <c r="NDC43" s="2842"/>
      <c r="NDD43" s="2842"/>
      <c r="NDE43" s="2843"/>
      <c r="NDF43" s="2843"/>
      <c r="NDG43" s="2844"/>
      <c r="NDH43" s="2845"/>
      <c r="NDI43" s="2842"/>
      <c r="NDJ43" s="2842"/>
      <c r="NDK43" s="2843"/>
      <c r="NDL43" s="2843"/>
      <c r="NDM43" s="2844"/>
      <c r="NDN43" s="2845"/>
      <c r="NDO43" s="2842"/>
      <c r="NDP43" s="2842"/>
      <c r="NDQ43" s="2843"/>
      <c r="NDR43" s="2843"/>
      <c r="NDS43" s="2844"/>
      <c r="NDT43" s="2845"/>
      <c r="NDU43" s="2842"/>
      <c r="NDV43" s="2842"/>
      <c r="NDW43" s="2843"/>
      <c r="NDX43" s="2843"/>
      <c r="NDY43" s="2844"/>
      <c r="NDZ43" s="2845"/>
      <c r="NEA43" s="2842"/>
      <c r="NEB43" s="2842"/>
      <c r="NEC43" s="2843"/>
      <c r="NED43" s="2843"/>
      <c r="NEE43" s="2844"/>
      <c r="NEF43" s="2845"/>
      <c r="NEG43" s="2842"/>
      <c r="NEH43" s="2842"/>
      <c r="NEI43" s="2843"/>
      <c r="NEJ43" s="2843"/>
      <c r="NEK43" s="2844"/>
      <c r="NEL43" s="2845"/>
      <c r="NEM43" s="2842"/>
      <c r="NEN43" s="2842"/>
      <c r="NEO43" s="2843"/>
      <c r="NEP43" s="2843"/>
      <c r="NEQ43" s="2844"/>
      <c r="NER43" s="2845"/>
      <c r="NES43" s="2842"/>
      <c r="NET43" s="2842"/>
      <c r="NEU43" s="2843"/>
      <c r="NEV43" s="2843"/>
      <c r="NEW43" s="2844"/>
      <c r="NEX43" s="2845"/>
      <c r="NEY43" s="2842"/>
      <c r="NEZ43" s="2842"/>
      <c r="NFA43" s="2843"/>
      <c r="NFB43" s="2843"/>
      <c r="NFC43" s="2844"/>
      <c r="NFD43" s="2845"/>
      <c r="NFE43" s="2842"/>
      <c r="NFF43" s="2842"/>
      <c r="NFG43" s="2843"/>
      <c r="NFH43" s="2843"/>
      <c r="NFI43" s="2844"/>
      <c r="NFJ43" s="2845"/>
      <c r="NFK43" s="2842"/>
      <c r="NFL43" s="2842"/>
      <c r="NFM43" s="2843"/>
      <c r="NFN43" s="2843"/>
      <c r="NFO43" s="2844"/>
      <c r="NFP43" s="2845"/>
      <c r="NFQ43" s="2842"/>
      <c r="NFR43" s="2842"/>
      <c r="NFS43" s="2843"/>
      <c r="NFT43" s="2843"/>
      <c r="NFU43" s="2844"/>
      <c r="NFV43" s="2845"/>
      <c r="NFW43" s="2842"/>
      <c r="NFX43" s="2842"/>
      <c r="NFY43" s="2843"/>
      <c r="NFZ43" s="2843"/>
      <c r="NGA43" s="2844"/>
      <c r="NGB43" s="2845"/>
      <c r="NGC43" s="2842"/>
      <c r="NGD43" s="2842"/>
      <c r="NGE43" s="2843"/>
      <c r="NGF43" s="2843"/>
      <c r="NGG43" s="2844"/>
      <c r="NGH43" s="2845"/>
      <c r="NGI43" s="2842"/>
      <c r="NGJ43" s="2842"/>
      <c r="NGK43" s="2843"/>
      <c r="NGL43" s="2843"/>
      <c r="NGM43" s="2844"/>
      <c r="NGN43" s="2845"/>
      <c r="NGO43" s="2842"/>
      <c r="NGP43" s="2842"/>
      <c r="NGQ43" s="2843"/>
      <c r="NGR43" s="2843"/>
      <c r="NGS43" s="2844"/>
      <c r="NGT43" s="2845"/>
      <c r="NGU43" s="2842"/>
      <c r="NGV43" s="2842"/>
      <c r="NGW43" s="2843"/>
      <c r="NGX43" s="2843"/>
      <c r="NGY43" s="2844"/>
      <c r="NGZ43" s="2845"/>
      <c r="NHA43" s="2842"/>
      <c r="NHB43" s="2842"/>
      <c r="NHC43" s="2843"/>
      <c r="NHD43" s="2843"/>
      <c r="NHE43" s="2844"/>
      <c r="NHF43" s="2845"/>
      <c r="NHG43" s="2842"/>
      <c r="NHH43" s="2842"/>
      <c r="NHI43" s="2843"/>
      <c r="NHJ43" s="2843"/>
      <c r="NHK43" s="2844"/>
      <c r="NHL43" s="2845"/>
      <c r="NHM43" s="2842"/>
      <c r="NHN43" s="2842"/>
      <c r="NHO43" s="2843"/>
      <c r="NHP43" s="2843"/>
      <c r="NHQ43" s="2844"/>
      <c r="NHR43" s="2845"/>
      <c r="NHS43" s="2842"/>
      <c r="NHT43" s="2842"/>
      <c r="NHU43" s="2843"/>
      <c r="NHV43" s="2843"/>
      <c r="NHW43" s="2844"/>
      <c r="NHX43" s="2845"/>
      <c r="NHY43" s="2842"/>
      <c r="NHZ43" s="2842"/>
      <c r="NIA43" s="2843"/>
      <c r="NIB43" s="2843"/>
      <c r="NIC43" s="2844"/>
      <c r="NID43" s="2845"/>
      <c r="NIE43" s="2842"/>
      <c r="NIF43" s="2842"/>
      <c r="NIG43" s="2843"/>
      <c r="NIH43" s="2843"/>
      <c r="NII43" s="2844"/>
      <c r="NIJ43" s="2845"/>
      <c r="NIK43" s="2842"/>
      <c r="NIL43" s="2842"/>
      <c r="NIM43" s="2843"/>
      <c r="NIN43" s="2843"/>
      <c r="NIO43" s="2844"/>
      <c r="NIP43" s="2845"/>
      <c r="NIQ43" s="2842"/>
      <c r="NIR43" s="2842"/>
      <c r="NIS43" s="2843"/>
      <c r="NIT43" s="2843"/>
      <c r="NIU43" s="2844"/>
      <c r="NIV43" s="2845"/>
      <c r="NIW43" s="2842"/>
      <c r="NIX43" s="2842"/>
      <c r="NIY43" s="2843"/>
      <c r="NIZ43" s="2843"/>
      <c r="NJA43" s="2844"/>
      <c r="NJB43" s="2845"/>
      <c r="NJC43" s="2842"/>
      <c r="NJD43" s="2842"/>
      <c r="NJE43" s="2843"/>
      <c r="NJF43" s="2843"/>
      <c r="NJG43" s="2844"/>
      <c r="NJH43" s="2845"/>
      <c r="NJI43" s="2842"/>
      <c r="NJJ43" s="2842"/>
      <c r="NJK43" s="2843"/>
      <c r="NJL43" s="2843"/>
      <c r="NJM43" s="2844"/>
      <c r="NJN43" s="2845"/>
      <c r="NJO43" s="2842"/>
      <c r="NJP43" s="2842"/>
      <c r="NJQ43" s="2843"/>
      <c r="NJR43" s="2843"/>
      <c r="NJS43" s="2844"/>
      <c r="NJT43" s="2845"/>
      <c r="NJU43" s="2842"/>
      <c r="NJV43" s="2842"/>
      <c r="NJW43" s="2843"/>
      <c r="NJX43" s="2843"/>
      <c r="NJY43" s="2844"/>
      <c r="NJZ43" s="2845"/>
      <c r="NKA43" s="2842"/>
      <c r="NKB43" s="2842"/>
      <c r="NKC43" s="2843"/>
      <c r="NKD43" s="2843"/>
      <c r="NKE43" s="2844"/>
      <c r="NKF43" s="2845"/>
      <c r="NKG43" s="2842"/>
      <c r="NKH43" s="2842"/>
      <c r="NKI43" s="2843"/>
      <c r="NKJ43" s="2843"/>
      <c r="NKK43" s="2844"/>
      <c r="NKL43" s="2845"/>
      <c r="NKM43" s="2842"/>
      <c r="NKN43" s="2842"/>
      <c r="NKO43" s="2843"/>
      <c r="NKP43" s="2843"/>
      <c r="NKQ43" s="2844"/>
      <c r="NKR43" s="2845"/>
      <c r="NKS43" s="2842"/>
      <c r="NKT43" s="2842"/>
      <c r="NKU43" s="2843"/>
      <c r="NKV43" s="2843"/>
      <c r="NKW43" s="2844"/>
      <c r="NKX43" s="2845"/>
      <c r="NKY43" s="2842"/>
      <c r="NKZ43" s="2842"/>
      <c r="NLA43" s="2843"/>
      <c r="NLB43" s="2843"/>
      <c r="NLC43" s="2844"/>
      <c r="NLD43" s="2845"/>
      <c r="NLE43" s="2842"/>
      <c r="NLF43" s="2842"/>
      <c r="NLG43" s="2843"/>
      <c r="NLH43" s="2843"/>
      <c r="NLI43" s="2844"/>
      <c r="NLJ43" s="2845"/>
      <c r="NLK43" s="2842"/>
      <c r="NLL43" s="2842"/>
      <c r="NLM43" s="2843"/>
      <c r="NLN43" s="2843"/>
      <c r="NLO43" s="2844"/>
      <c r="NLP43" s="2845"/>
      <c r="NLQ43" s="2842"/>
      <c r="NLR43" s="2842"/>
      <c r="NLS43" s="2843"/>
      <c r="NLT43" s="2843"/>
      <c r="NLU43" s="2844"/>
      <c r="NLV43" s="2845"/>
      <c r="NLW43" s="2842"/>
      <c r="NLX43" s="2842"/>
      <c r="NLY43" s="2843"/>
      <c r="NLZ43" s="2843"/>
      <c r="NMA43" s="2844"/>
      <c r="NMB43" s="2845"/>
      <c r="NMC43" s="2842"/>
      <c r="NMD43" s="2842"/>
      <c r="NME43" s="2843"/>
      <c r="NMF43" s="2843"/>
      <c r="NMG43" s="2844"/>
      <c r="NMH43" s="2845"/>
      <c r="NMI43" s="2842"/>
      <c r="NMJ43" s="2842"/>
      <c r="NMK43" s="2843"/>
      <c r="NML43" s="2843"/>
      <c r="NMM43" s="2844"/>
      <c r="NMN43" s="2845"/>
      <c r="NMO43" s="2842"/>
      <c r="NMP43" s="2842"/>
      <c r="NMQ43" s="2843"/>
      <c r="NMR43" s="2843"/>
      <c r="NMS43" s="2844"/>
      <c r="NMT43" s="2845"/>
      <c r="NMU43" s="2842"/>
      <c r="NMV43" s="2842"/>
      <c r="NMW43" s="2843"/>
      <c r="NMX43" s="2843"/>
      <c r="NMY43" s="2844"/>
      <c r="NMZ43" s="2845"/>
      <c r="NNA43" s="2842"/>
      <c r="NNB43" s="2842"/>
      <c r="NNC43" s="2843"/>
      <c r="NND43" s="2843"/>
      <c r="NNE43" s="2844"/>
      <c r="NNF43" s="2845"/>
      <c r="NNG43" s="2842"/>
      <c r="NNH43" s="2842"/>
      <c r="NNI43" s="2843"/>
      <c r="NNJ43" s="2843"/>
      <c r="NNK43" s="2844"/>
      <c r="NNL43" s="2845"/>
      <c r="NNM43" s="2842"/>
      <c r="NNN43" s="2842"/>
      <c r="NNO43" s="2843"/>
      <c r="NNP43" s="2843"/>
      <c r="NNQ43" s="2844"/>
      <c r="NNR43" s="2845"/>
      <c r="NNS43" s="2842"/>
      <c r="NNT43" s="2842"/>
      <c r="NNU43" s="2843"/>
      <c r="NNV43" s="2843"/>
      <c r="NNW43" s="2844"/>
      <c r="NNX43" s="2845"/>
      <c r="NNY43" s="2842"/>
      <c r="NNZ43" s="2842"/>
      <c r="NOA43" s="2843"/>
      <c r="NOB43" s="2843"/>
      <c r="NOC43" s="2844"/>
      <c r="NOD43" s="2845"/>
      <c r="NOE43" s="2842"/>
      <c r="NOF43" s="2842"/>
      <c r="NOG43" s="2843"/>
      <c r="NOH43" s="2843"/>
      <c r="NOI43" s="2844"/>
      <c r="NOJ43" s="2845"/>
      <c r="NOK43" s="2842"/>
      <c r="NOL43" s="2842"/>
      <c r="NOM43" s="2843"/>
      <c r="NON43" s="2843"/>
      <c r="NOO43" s="2844"/>
      <c r="NOP43" s="2845"/>
      <c r="NOQ43" s="2842"/>
      <c r="NOR43" s="2842"/>
      <c r="NOS43" s="2843"/>
      <c r="NOT43" s="2843"/>
      <c r="NOU43" s="2844"/>
      <c r="NOV43" s="2845"/>
      <c r="NOW43" s="2842"/>
      <c r="NOX43" s="2842"/>
      <c r="NOY43" s="2843"/>
      <c r="NOZ43" s="2843"/>
      <c r="NPA43" s="2844"/>
      <c r="NPB43" s="2845"/>
      <c r="NPC43" s="2842"/>
      <c r="NPD43" s="2842"/>
      <c r="NPE43" s="2843"/>
      <c r="NPF43" s="2843"/>
      <c r="NPG43" s="2844"/>
      <c r="NPH43" s="2845"/>
      <c r="NPI43" s="2842"/>
      <c r="NPJ43" s="2842"/>
      <c r="NPK43" s="2843"/>
      <c r="NPL43" s="2843"/>
      <c r="NPM43" s="2844"/>
      <c r="NPN43" s="2845"/>
      <c r="NPO43" s="2842"/>
      <c r="NPP43" s="2842"/>
      <c r="NPQ43" s="2843"/>
      <c r="NPR43" s="2843"/>
      <c r="NPS43" s="2844"/>
      <c r="NPT43" s="2845"/>
      <c r="NPU43" s="2842"/>
      <c r="NPV43" s="2842"/>
      <c r="NPW43" s="2843"/>
      <c r="NPX43" s="2843"/>
      <c r="NPY43" s="2844"/>
      <c r="NPZ43" s="2845"/>
      <c r="NQA43" s="2842"/>
      <c r="NQB43" s="2842"/>
      <c r="NQC43" s="2843"/>
      <c r="NQD43" s="2843"/>
      <c r="NQE43" s="2844"/>
      <c r="NQF43" s="2845"/>
      <c r="NQG43" s="2842"/>
      <c r="NQH43" s="2842"/>
      <c r="NQI43" s="2843"/>
      <c r="NQJ43" s="2843"/>
      <c r="NQK43" s="2844"/>
      <c r="NQL43" s="2845"/>
      <c r="NQM43" s="2842"/>
      <c r="NQN43" s="2842"/>
      <c r="NQO43" s="2843"/>
      <c r="NQP43" s="2843"/>
      <c r="NQQ43" s="2844"/>
      <c r="NQR43" s="2845"/>
      <c r="NQS43" s="2842"/>
      <c r="NQT43" s="2842"/>
      <c r="NQU43" s="2843"/>
      <c r="NQV43" s="2843"/>
      <c r="NQW43" s="2844"/>
      <c r="NQX43" s="2845"/>
      <c r="NQY43" s="2842"/>
      <c r="NQZ43" s="2842"/>
      <c r="NRA43" s="2843"/>
      <c r="NRB43" s="2843"/>
      <c r="NRC43" s="2844"/>
      <c r="NRD43" s="2845"/>
      <c r="NRE43" s="2842"/>
      <c r="NRF43" s="2842"/>
      <c r="NRG43" s="2843"/>
      <c r="NRH43" s="2843"/>
      <c r="NRI43" s="2844"/>
      <c r="NRJ43" s="2845"/>
      <c r="NRK43" s="2842"/>
      <c r="NRL43" s="2842"/>
      <c r="NRM43" s="2843"/>
      <c r="NRN43" s="2843"/>
      <c r="NRO43" s="2844"/>
      <c r="NRP43" s="2845"/>
      <c r="NRQ43" s="2842"/>
      <c r="NRR43" s="2842"/>
      <c r="NRS43" s="2843"/>
      <c r="NRT43" s="2843"/>
      <c r="NRU43" s="2844"/>
      <c r="NRV43" s="2845"/>
      <c r="NRW43" s="2842"/>
      <c r="NRX43" s="2842"/>
      <c r="NRY43" s="2843"/>
      <c r="NRZ43" s="2843"/>
      <c r="NSA43" s="2844"/>
      <c r="NSB43" s="2845"/>
      <c r="NSC43" s="2842"/>
      <c r="NSD43" s="2842"/>
      <c r="NSE43" s="2843"/>
      <c r="NSF43" s="2843"/>
      <c r="NSG43" s="2844"/>
      <c r="NSH43" s="2845"/>
      <c r="NSI43" s="2842"/>
      <c r="NSJ43" s="2842"/>
      <c r="NSK43" s="2843"/>
      <c r="NSL43" s="2843"/>
      <c r="NSM43" s="2844"/>
      <c r="NSN43" s="2845"/>
      <c r="NSO43" s="2842"/>
      <c r="NSP43" s="2842"/>
      <c r="NSQ43" s="2843"/>
      <c r="NSR43" s="2843"/>
      <c r="NSS43" s="2844"/>
      <c r="NST43" s="2845"/>
      <c r="NSU43" s="2842"/>
      <c r="NSV43" s="2842"/>
      <c r="NSW43" s="2843"/>
      <c r="NSX43" s="2843"/>
      <c r="NSY43" s="2844"/>
      <c r="NSZ43" s="2845"/>
      <c r="NTA43" s="2842"/>
      <c r="NTB43" s="2842"/>
      <c r="NTC43" s="2843"/>
      <c r="NTD43" s="2843"/>
      <c r="NTE43" s="2844"/>
      <c r="NTF43" s="2845"/>
      <c r="NTG43" s="2842"/>
      <c r="NTH43" s="2842"/>
      <c r="NTI43" s="2843"/>
      <c r="NTJ43" s="2843"/>
      <c r="NTK43" s="2844"/>
      <c r="NTL43" s="2845"/>
      <c r="NTM43" s="2842"/>
      <c r="NTN43" s="2842"/>
      <c r="NTO43" s="2843"/>
      <c r="NTP43" s="2843"/>
      <c r="NTQ43" s="2844"/>
      <c r="NTR43" s="2845"/>
      <c r="NTS43" s="2842"/>
      <c r="NTT43" s="2842"/>
      <c r="NTU43" s="2843"/>
      <c r="NTV43" s="2843"/>
      <c r="NTW43" s="2844"/>
      <c r="NTX43" s="2845"/>
      <c r="NTY43" s="2842"/>
      <c r="NTZ43" s="2842"/>
      <c r="NUA43" s="2843"/>
      <c r="NUB43" s="2843"/>
      <c r="NUC43" s="2844"/>
      <c r="NUD43" s="2845"/>
      <c r="NUE43" s="2842"/>
      <c r="NUF43" s="2842"/>
      <c r="NUG43" s="2843"/>
      <c r="NUH43" s="2843"/>
      <c r="NUI43" s="2844"/>
      <c r="NUJ43" s="2845"/>
      <c r="NUK43" s="2842"/>
      <c r="NUL43" s="2842"/>
      <c r="NUM43" s="2843"/>
      <c r="NUN43" s="2843"/>
      <c r="NUO43" s="2844"/>
      <c r="NUP43" s="2845"/>
      <c r="NUQ43" s="2842"/>
      <c r="NUR43" s="2842"/>
      <c r="NUS43" s="2843"/>
      <c r="NUT43" s="2843"/>
      <c r="NUU43" s="2844"/>
      <c r="NUV43" s="2845"/>
      <c r="NUW43" s="2842"/>
      <c r="NUX43" s="2842"/>
      <c r="NUY43" s="2843"/>
      <c r="NUZ43" s="2843"/>
      <c r="NVA43" s="2844"/>
      <c r="NVB43" s="2845"/>
      <c r="NVC43" s="2842"/>
      <c r="NVD43" s="2842"/>
      <c r="NVE43" s="2843"/>
      <c r="NVF43" s="2843"/>
      <c r="NVG43" s="2844"/>
      <c r="NVH43" s="2845"/>
      <c r="NVI43" s="2842"/>
      <c r="NVJ43" s="2842"/>
      <c r="NVK43" s="2843"/>
      <c r="NVL43" s="2843"/>
      <c r="NVM43" s="2844"/>
      <c r="NVN43" s="2845"/>
      <c r="NVO43" s="2842"/>
      <c r="NVP43" s="2842"/>
      <c r="NVQ43" s="2843"/>
      <c r="NVR43" s="2843"/>
      <c r="NVS43" s="2844"/>
      <c r="NVT43" s="2845"/>
      <c r="NVU43" s="2842"/>
      <c r="NVV43" s="2842"/>
      <c r="NVW43" s="2843"/>
      <c r="NVX43" s="2843"/>
      <c r="NVY43" s="2844"/>
      <c r="NVZ43" s="2845"/>
      <c r="NWA43" s="2842"/>
      <c r="NWB43" s="2842"/>
      <c r="NWC43" s="2843"/>
      <c r="NWD43" s="2843"/>
      <c r="NWE43" s="2844"/>
      <c r="NWF43" s="2845"/>
      <c r="NWG43" s="2842"/>
      <c r="NWH43" s="2842"/>
      <c r="NWI43" s="2843"/>
      <c r="NWJ43" s="2843"/>
      <c r="NWK43" s="2844"/>
      <c r="NWL43" s="2845"/>
      <c r="NWM43" s="2842"/>
      <c r="NWN43" s="2842"/>
      <c r="NWO43" s="2843"/>
      <c r="NWP43" s="2843"/>
      <c r="NWQ43" s="2844"/>
      <c r="NWR43" s="2845"/>
      <c r="NWS43" s="2842"/>
      <c r="NWT43" s="2842"/>
      <c r="NWU43" s="2843"/>
      <c r="NWV43" s="2843"/>
      <c r="NWW43" s="2844"/>
      <c r="NWX43" s="2845"/>
      <c r="NWY43" s="2842"/>
      <c r="NWZ43" s="2842"/>
      <c r="NXA43" s="2843"/>
      <c r="NXB43" s="2843"/>
      <c r="NXC43" s="2844"/>
      <c r="NXD43" s="2845"/>
      <c r="NXE43" s="2842"/>
      <c r="NXF43" s="2842"/>
      <c r="NXG43" s="2843"/>
      <c r="NXH43" s="2843"/>
      <c r="NXI43" s="2844"/>
      <c r="NXJ43" s="2845"/>
      <c r="NXK43" s="2842"/>
      <c r="NXL43" s="2842"/>
      <c r="NXM43" s="2843"/>
      <c r="NXN43" s="2843"/>
      <c r="NXO43" s="2844"/>
      <c r="NXP43" s="2845"/>
      <c r="NXQ43" s="2842"/>
      <c r="NXR43" s="2842"/>
      <c r="NXS43" s="2843"/>
      <c r="NXT43" s="2843"/>
      <c r="NXU43" s="2844"/>
      <c r="NXV43" s="2845"/>
      <c r="NXW43" s="2842"/>
      <c r="NXX43" s="2842"/>
      <c r="NXY43" s="2843"/>
      <c r="NXZ43" s="2843"/>
      <c r="NYA43" s="2844"/>
      <c r="NYB43" s="2845"/>
      <c r="NYC43" s="2842"/>
      <c r="NYD43" s="2842"/>
      <c r="NYE43" s="2843"/>
      <c r="NYF43" s="2843"/>
      <c r="NYG43" s="2844"/>
      <c r="NYH43" s="2845"/>
      <c r="NYI43" s="2842"/>
      <c r="NYJ43" s="2842"/>
      <c r="NYK43" s="2843"/>
      <c r="NYL43" s="2843"/>
      <c r="NYM43" s="2844"/>
      <c r="NYN43" s="2845"/>
      <c r="NYO43" s="2842"/>
      <c r="NYP43" s="2842"/>
      <c r="NYQ43" s="2843"/>
      <c r="NYR43" s="2843"/>
      <c r="NYS43" s="2844"/>
      <c r="NYT43" s="2845"/>
      <c r="NYU43" s="2842"/>
      <c r="NYV43" s="2842"/>
      <c r="NYW43" s="2843"/>
      <c r="NYX43" s="2843"/>
      <c r="NYY43" s="2844"/>
      <c r="NYZ43" s="2845"/>
      <c r="NZA43" s="2842"/>
      <c r="NZB43" s="2842"/>
      <c r="NZC43" s="2843"/>
      <c r="NZD43" s="2843"/>
      <c r="NZE43" s="2844"/>
      <c r="NZF43" s="2845"/>
      <c r="NZG43" s="2842"/>
      <c r="NZH43" s="2842"/>
      <c r="NZI43" s="2843"/>
      <c r="NZJ43" s="2843"/>
      <c r="NZK43" s="2844"/>
      <c r="NZL43" s="2845"/>
      <c r="NZM43" s="2842"/>
      <c r="NZN43" s="2842"/>
      <c r="NZO43" s="2843"/>
      <c r="NZP43" s="2843"/>
      <c r="NZQ43" s="2844"/>
      <c r="NZR43" s="2845"/>
      <c r="NZS43" s="2842"/>
      <c r="NZT43" s="2842"/>
      <c r="NZU43" s="2843"/>
      <c r="NZV43" s="2843"/>
      <c r="NZW43" s="2844"/>
      <c r="NZX43" s="2845"/>
      <c r="NZY43" s="2842"/>
      <c r="NZZ43" s="2842"/>
      <c r="OAA43" s="2843"/>
      <c r="OAB43" s="2843"/>
      <c r="OAC43" s="2844"/>
      <c r="OAD43" s="2845"/>
      <c r="OAE43" s="2842"/>
      <c r="OAF43" s="2842"/>
      <c r="OAG43" s="2843"/>
      <c r="OAH43" s="2843"/>
      <c r="OAI43" s="2844"/>
      <c r="OAJ43" s="2845"/>
      <c r="OAK43" s="2842"/>
      <c r="OAL43" s="2842"/>
      <c r="OAM43" s="2843"/>
      <c r="OAN43" s="2843"/>
      <c r="OAO43" s="2844"/>
      <c r="OAP43" s="2845"/>
      <c r="OAQ43" s="2842"/>
      <c r="OAR43" s="2842"/>
      <c r="OAS43" s="2843"/>
      <c r="OAT43" s="2843"/>
      <c r="OAU43" s="2844"/>
      <c r="OAV43" s="2845"/>
      <c r="OAW43" s="2842"/>
      <c r="OAX43" s="2842"/>
      <c r="OAY43" s="2843"/>
      <c r="OAZ43" s="2843"/>
      <c r="OBA43" s="2844"/>
      <c r="OBB43" s="2845"/>
      <c r="OBC43" s="2842"/>
      <c r="OBD43" s="2842"/>
      <c r="OBE43" s="2843"/>
      <c r="OBF43" s="2843"/>
      <c r="OBG43" s="2844"/>
      <c r="OBH43" s="2845"/>
      <c r="OBI43" s="2842"/>
      <c r="OBJ43" s="2842"/>
      <c r="OBK43" s="2843"/>
      <c r="OBL43" s="2843"/>
      <c r="OBM43" s="2844"/>
      <c r="OBN43" s="2845"/>
      <c r="OBO43" s="2842"/>
      <c r="OBP43" s="2842"/>
      <c r="OBQ43" s="2843"/>
      <c r="OBR43" s="2843"/>
      <c r="OBS43" s="2844"/>
      <c r="OBT43" s="2845"/>
      <c r="OBU43" s="2842"/>
      <c r="OBV43" s="2842"/>
      <c r="OBW43" s="2843"/>
      <c r="OBX43" s="2843"/>
      <c r="OBY43" s="2844"/>
      <c r="OBZ43" s="2845"/>
      <c r="OCA43" s="2842"/>
      <c r="OCB43" s="2842"/>
      <c r="OCC43" s="2843"/>
      <c r="OCD43" s="2843"/>
      <c r="OCE43" s="2844"/>
      <c r="OCF43" s="2845"/>
      <c r="OCG43" s="2842"/>
      <c r="OCH43" s="2842"/>
      <c r="OCI43" s="2843"/>
      <c r="OCJ43" s="2843"/>
      <c r="OCK43" s="2844"/>
      <c r="OCL43" s="2845"/>
      <c r="OCM43" s="2842"/>
      <c r="OCN43" s="2842"/>
      <c r="OCO43" s="2843"/>
      <c r="OCP43" s="2843"/>
      <c r="OCQ43" s="2844"/>
      <c r="OCR43" s="2845"/>
      <c r="OCS43" s="2842"/>
      <c r="OCT43" s="2842"/>
      <c r="OCU43" s="2843"/>
      <c r="OCV43" s="2843"/>
      <c r="OCW43" s="2844"/>
      <c r="OCX43" s="2845"/>
      <c r="OCY43" s="2842"/>
      <c r="OCZ43" s="2842"/>
      <c r="ODA43" s="2843"/>
      <c r="ODB43" s="2843"/>
      <c r="ODC43" s="2844"/>
      <c r="ODD43" s="2845"/>
      <c r="ODE43" s="2842"/>
      <c r="ODF43" s="2842"/>
      <c r="ODG43" s="2843"/>
      <c r="ODH43" s="2843"/>
      <c r="ODI43" s="2844"/>
      <c r="ODJ43" s="2845"/>
      <c r="ODK43" s="2842"/>
      <c r="ODL43" s="2842"/>
      <c r="ODM43" s="2843"/>
      <c r="ODN43" s="2843"/>
      <c r="ODO43" s="2844"/>
      <c r="ODP43" s="2845"/>
      <c r="ODQ43" s="2842"/>
      <c r="ODR43" s="2842"/>
      <c r="ODS43" s="2843"/>
      <c r="ODT43" s="2843"/>
      <c r="ODU43" s="2844"/>
      <c r="ODV43" s="2845"/>
      <c r="ODW43" s="2842"/>
      <c r="ODX43" s="2842"/>
      <c r="ODY43" s="2843"/>
      <c r="ODZ43" s="2843"/>
      <c r="OEA43" s="2844"/>
      <c r="OEB43" s="2845"/>
      <c r="OEC43" s="2842"/>
      <c r="OED43" s="2842"/>
      <c r="OEE43" s="2843"/>
      <c r="OEF43" s="2843"/>
      <c r="OEG43" s="2844"/>
      <c r="OEH43" s="2845"/>
      <c r="OEI43" s="2842"/>
      <c r="OEJ43" s="2842"/>
      <c r="OEK43" s="2843"/>
      <c r="OEL43" s="2843"/>
      <c r="OEM43" s="2844"/>
      <c r="OEN43" s="2845"/>
      <c r="OEO43" s="2842"/>
      <c r="OEP43" s="2842"/>
      <c r="OEQ43" s="2843"/>
      <c r="OER43" s="2843"/>
      <c r="OES43" s="2844"/>
      <c r="OET43" s="2845"/>
      <c r="OEU43" s="2842"/>
      <c r="OEV43" s="2842"/>
      <c r="OEW43" s="2843"/>
      <c r="OEX43" s="2843"/>
      <c r="OEY43" s="2844"/>
      <c r="OEZ43" s="2845"/>
      <c r="OFA43" s="2842"/>
      <c r="OFB43" s="2842"/>
      <c r="OFC43" s="2843"/>
      <c r="OFD43" s="2843"/>
      <c r="OFE43" s="2844"/>
      <c r="OFF43" s="2845"/>
      <c r="OFG43" s="2842"/>
      <c r="OFH43" s="2842"/>
      <c r="OFI43" s="2843"/>
      <c r="OFJ43" s="2843"/>
      <c r="OFK43" s="2844"/>
      <c r="OFL43" s="2845"/>
      <c r="OFM43" s="2842"/>
      <c r="OFN43" s="2842"/>
      <c r="OFO43" s="2843"/>
      <c r="OFP43" s="2843"/>
      <c r="OFQ43" s="2844"/>
      <c r="OFR43" s="2845"/>
      <c r="OFS43" s="2842"/>
      <c r="OFT43" s="2842"/>
      <c r="OFU43" s="2843"/>
      <c r="OFV43" s="2843"/>
      <c r="OFW43" s="2844"/>
      <c r="OFX43" s="2845"/>
      <c r="OFY43" s="2842"/>
      <c r="OFZ43" s="2842"/>
      <c r="OGA43" s="2843"/>
      <c r="OGB43" s="2843"/>
      <c r="OGC43" s="2844"/>
      <c r="OGD43" s="2845"/>
      <c r="OGE43" s="2842"/>
      <c r="OGF43" s="2842"/>
      <c r="OGG43" s="2843"/>
      <c r="OGH43" s="2843"/>
      <c r="OGI43" s="2844"/>
      <c r="OGJ43" s="2845"/>
      <c r="OGK43" s="2842"/>
      <c r="OGL43" s="2842"/>
      <c r="OGM43" s="2843"/>
      <c r="OGN43" s="2843"/>
      <c r="OGO43" s="2844"/>
      <c r="OGP43" s="2845"/>
      <c r="OGQ43" s="2842"/>
      <c r="OGR43" s="2842"/>
      <c r="OGS43" s="2843"/>
      <c r="OGT43" s="2843"/>
      <c r="OGU43" s="2844"/>
      <c r="OGV43" s="2845"/>
      <c r="OGW43" s="2842"/>
      <c r="OGX43" s="2842"/>
      <c r="OGY43" s="2843"/>
      <c r="OGZ43" s="2843"/>
      <c r="OHA43" s="2844"/>
      <c r="OHB43" s="2845"/>
      <c r="OHC43" s="2842"/>
      <c r="OHD43" s="2842"/>
      <c r="OHE43" s="2843"/>
      <c r="OHF43" s="2843"/>
      <c r="OHG43" s="2844"/>
      <c r="OHH43" s="2845"/>
      <c r="OHI43" s="2842"/>
      <c r="OHJ43" s="2842"/>
      <c r="OHK43" s="2843"/>
      <c r="OHL43" s="2843"/>
      <c r="OHM43" s="2844"/>
      <c r="OHN43" s="2845"/>
      <c r="OHO43" s="2842"/>
      <c r="OHP43" s="2842"/>
      <c r="OHQ43" s="2843"/>
      <c r="OHR43" s="2843"/>
      <c r="OHS43" s="2844"/>
      <c r="OHT43" s="2845"/>
      <c r="OHU43" s="2842"/>
      <c r="OHV43" s="2842"/>
      <c r="OHW43" s="2843"/>
      <c r="OHX43" s="2843"/>
      <c r="OHY43" s="2844"/>
      <c r="OHZ43" s="2845"/>
      <c r="OIA43" s="2842"/>
      <c r="OIB43" s="2842"/>
      <c r="OIC43" s="2843"/>
      <c r="OID43" s="2843"/>
      <c r="OIE43" s="2844"/>
      <c r="OIF43" s="2845"/>
      <c r="OIG43" s="2842"/>
      <c r="OIH43" s="2842"/>
      <c r="OII43" s="2843"/>
      <c r="OIJ43" s="2843"/>
      <c r="OIK43" s="2844"/>
      <c r="OIL43" s="2845"/>
      <c r="OIM43" s="2842"/>
      <c r="OIN43" s="2842"/>
      <c r="OIO43" s="2843"/>
      <c r="OIP43" s="2843"/>
      <c r="OIQ43" s="2844"/>
      <c r="OIR43" s="2845"/>
      <c r="OIS43" s="2842"/>
      <c r="OIT43" s="2842"/>
      <c r="OIU43" s="2843"/>
      <c r="OIV43" s="2843"/>
      <c r="OIW43" s="2844"/>
      <c r="OIX43" s="2845"/>
      <c r="OIY43" s="2842"/>
      <c r="OIZ43" s="2842"/>
      <c r="OJA43" s="2843"/>
      <c r="OJB43" s="2843"/>
      <c r="OJC43" s="2844"/>
      <c r="OJD43" s="2845"/>
      <c r="OJE43" s="2842"/>
      <c r="OJF43" s="2842"/>
      <c r="OJG43" s="2843"/>
      <c r="OJH43" s="2843"/>
      <c r="OJI43" s="2844"/>
      <c r="OJJ43" s="2845"/>
      <c r="OJK43" s="2842"/>
      <c r="OJL43" s="2842"/>
      <c r="OJM43" s="2843"/>
      <c r="OJN43" s="2843"/>
      <c r="OJO43" s="2844"/>
      <c r="OJP43" s="2845"/>
      <c r="OJQ43" s="2842"/>
      <c r="OJR43" s="2842"/>
      <c r="OJS43" s="2843"/>
      <c r="OJT43" s="2843"/>
      <c r="OJU43" s="2844"/>
      <c r="OJV43" s="2845"/>
      <c r="OJW43" s="2842"/>
      <c r="OJX43" s="2842"/>
      <c r="OJY43" s="2843"/>
      <c r="OJZ43" s="2843"/>
      <c r="OKA43" s="2844"/>
      <c r="OKB43" s="2845"/>
      <c r="OKC43" s="2842"/>
      <c r="OKD43" s="2842"/>
      <c r="OKE43" s="2843"/>
      <c r="OKF43" s="2843"/>
      <c r="OKG43" s="2844"/>
      <c r="OKH43" s="2845"/>
      <c r="OKI43" s="2842"/>
      <c r="OKJ43" s="2842"/>
      <c r="OKK43" s="2843"/>
      <c r="OKL43" s="2843"/>
      <c r="OKM43" s="2844"/>
      <c r="OKN43" s="2845"/>
      <c r="OKO43" s="2842"/>
      <c r="OKP43" s="2842"/>
      <c r="OKQ43" s="2843"/>
      <c r="OKR43" s="2843"/>
      <c r="OKS43" s="2844"/>
      <c r="OKT43" s="2845"/>
      <c r="OKU43" s="2842"/>
      <c r="OKV43" s="2842"/>
      <c r="OKW43" s="2843"/>
      <c r="OKX43" s="2843"/>
      <c r="OKY43" s="2844"/>
      <c r="OKZ43" s="2845"/>
      <c r="OLA43" s="2842"/>
      <c r="OLB43" s="2842"/>
      <c r="OLC43" s="2843"/>
      <c r="OLD43" s="2843"/>
      <c r="OLE43" s="2844"/>
      <c r="OLF43" s="2845"/>
      <c r="OLG43" s="2842"/>
      <c r="OLH43" s="2842"/>
      <c r="OLI43" s="2843"/>
      <c r="OLJ43" s="2843"/>
      <c r="OLK43" s="2844"/>
      <c r="OLL43" s="2845"/>
      <c r="OLM43" s="2842"/>
      <c r="OLN43" s="2842"/>
      <c r="OLO43" s="2843"/>
      <c r="OLP43" s="2843"/>
      <c r="OLQ43" s="2844"/>
      <c r="OLR43" s="2845"/>
      <c r="OLS43" s="2842"/>
      <c r="OLT43" s="2842"/>
      <c r="OLU43" s="2843"/>
      <c r="OLV43" s="2843"/>
      <c r="OLW43" s="2844"/>
      <c r="OLX43" s="2845"/>
      <c r="OLY43" s="2842"/>
      <c r="OLZ43" s="2842"/>
      <c r="OMA43" s="2843"/>
      <c r="OMB43" s="2843"/>
      <c r="OMC43" s="2844"/>
      <c r="OMD43" s="2845"/>
      <c r="OME43" s="2842"/>
      <c r="OMF43" s="2842"/>
      <c r="OMG43" s="2843"/>
      <c r="OMH43" s="2843"/>
      <c r="OMI43" s="2844"/>
      <c r="OMJ43" s="2845"/>
      <c r="OMK43" s="2842"/>
      <c r="OML43" s="2842"/>
      <c r="OMM43" s="2843"/>
      <c r="OMN43" s="2843"/>
      <c r="OMO43" s="2844"/>
      <c r="OMP43" s="2845"/>
      <c r="OMQ43" s="2842"/>
      <c r="OMR43" s="2842"/>
      <c r="OMS43" s="2843"/>
      <c r="OMT43" s="2843"/>
      <c r="OMU43" s="2844"/>
      <c r="OMV43" s="2845"/>
      <c r="OMW43" s="2842"/>
      <c r="OMX43" s="2842"/>
      <c r="OMY43" s="2843"/>
      <c r="OMZ43" s="2843"/>
      <c r="ONA43" s="2844"/>
      <c r="ONB43" s="2845"/>
      <c r="ONC43" s="2842"/>
      <c r="OND43" s="2842"/>
      <c r="ONE43" s="2843"/>
      <c r="ONF43" s="2843"/>
      <c r="ONG43" s="2844"/>
      <c r="ONH43" s="2845"/>
      <c r="ONI43" s="2842"/>
      <c r="ONJ43" s="2842"/>
      <c r="ONK43" s="2843"/>
      <c r="ONL43" s="2843"/>
      <c r="ONM43" s="2844"/>
      <c r="ONN43" s="2845"/>
      <c r="ONO43" s="2842"/>
      <c r="ONP43" s="2842"/>
      <c r="ONQ43" s="2843"/>
      <c r="ONR43" s="2843"/>
      <c r="ONS43" s="2844"/>
      <c r="ONT43" s="2845"/>
      <c r="ONU43" s="2842"/>
      <c r="ONV43" s="2842"/>
      <c r="ONW43" s="2843"/>
      <c r="ONX43" s="2843"/>
      <c r="ONY43" s="2844"/>
      <c r="ONZ43" s="2845"/>
      <c r="OOA43" s="2842"/>
      <c r="OOB43" s="2842"/>
      <c r="OOC43" s="2843"/>
      <c r="OOD43" s="2843"/>
      <c r="OOE43" s="2844"/>
      <c r="OOF43" s="2845"/>
      <c r="OOG43" s="2842"/>
      <c r="OOH43" s="2842"/>
      <c r="OOI43" s="2843"/>
      <c r="OOJ43" s="2843"/>
      <c r="OOK43" s="2844"/>
      <c r="OOL43" s="2845"/>
      <c r="OOM43" s="2842"/>
      <c r="OON43" s="2842"/>
      <c r="OOO43" s="2843"/>
      <c r="OOP43" s="2843"/>
      <c r="OOQ43" s="2844"/>
      <c r="OOR43" s="2845"/>
      <c r="OOS43" s="2842"/>
      <c r="OOT43" s="2842"/>
      <c r="OOU43" s="2843"/>
      <c r="OOV43" s="2843"/>
      <c r="OOW43" s="2844"/>
      <c r="OOX43" s="2845"/>
      <c r="OOY43" s="2842"/>
      <c r="OOZ43" s="2842"/>
      <c r="OPA43" s="2843"/>
      <c r="OPB43" s="2843"/>
      <c r="OPC43" s="2844"/>
      <c r="OPD43" s="2845"/>
      <c r="OPE43" s="2842"/>
      <c r="OPF43" s="2842"/>
      <c r="OPG43" s="2843"/>
      <c r="OPH43" s="2843"/>
      <c r="OPI43" s="2844"/>
      <c r="OPJ43" s="2845"/>
      <c r="OPK43" s="2842"/>
      <c r="OPL43" s="2842"/>
      <c r="OPM43" s="2843"/>
      <c r="OPN43" s="2843"/>
      <c r="OPO43" s="2844"/>
      <c r="OPP43" s="2845"/>
      <c r="OPQ43" s="2842"/>
      <c r="OPR43" s="2842"/>
      <c r="OPS43" s="2843"/>
      <c r="OPT43" s="2843"/>
      <c r="OPU43" s="2844"/>
      <c r="OPV43" s="2845"/>
      <c r="OPW43" s="2842"/>
      <c r="OPX43" s="2842"/>
      <c r="OPY43" s="2843"/>
      <c r="OPZ43" s="2843"/>
      <c r="OQA43" s="2844"/>
      <c r="OQB43" s="2845"/>
      <c r="OQC43" s="2842"/>
      <c r="OQD43" s="2842"/>
      <c r="OQE43" s="2843"/>
      <c r="OQF43" s="2843"/>
      <c r="OQG43" s="2844"/>
      <c r="OQH43" s="2845"/>
      <c r="OQI43" s="2842"/>
      <c r="OQJ43" s="2842"/>
      <c r="OQK43" s="2843"/>
      <c r="OQL43" s="2843"/>
      <c r="OQM43" s="2844"/>
      <c r="OQN43" s="2845"/>
      <c r="OQO43" s="2842"/>
      <c r="OQP43" s="2842"/>
      <c r="OQQ43" s="2843"/>
      <c r="OQR43" s="2843"/>
      <c r="OQS43" s="2844"/>
      <c r="OQT43" s="2845"/>
      <c r="OQU43" s="2842"/>
      <c r="OQV43" s="2842"/>
      <c r="OQW43" s="2843"/>
      <c r="OQX43" s="2843"/>
      <c r="OQY43" s="2844"/>
      <c r="OQZ43" s="2845"/>
      <c r="ORA43" s="2842"/>
      <c r="ORB43" s="2842"/>
      <c r="ORC43" s="2843"/>
      <c r="ORD43" s="2843"/>
      <c r="ORE43" s="2844"/>
      <c r="ORF43" s="2845"/>
      <c r="ORG43" s="2842"/>
      <c r="ORH43" s="2842"/>
      <c r="ORI43" s="2843"/>
      <c r="ORJ43" s="2843"/>
      <c r="ORK43" s="2844"/>
      <c r="ORL43" s="2845"/>
      <c r="ORM43" s="2842"/>
      <c r="ORN43" s="2842"/>
      <c r="ORO43" s="2843"/>
      <c r="ORP43" s="2843"/>
      <c r="ORQ43" s="2844"/>
      <c r="ORR43" s="2845"/>
      <c r="ORS43" s="2842"/>
      <c r="ORT43" s="2842"/>
      <c r="ORU43" s="2843"/>
      <c r="ORV43" s="2843"/>
      <c r="ORW43" s="2844"/>
      <c r="ORX43" s="2845"/>
      <c r="ORY43" s="2842"/>
      <c r="ORZ43" s="2842"/>
      <c r="OSA43" s="2843"/>
      <c r="OSB43" s="2843"/>
      <c r="OSC43" s="2844"/>
      <c r="OSD43" s="2845"/>
      <c r="OSE43" s="2842"/>
      <c r="OSF43" s="2842"/>
      <c r="OSG43" s="2843"/>
      <c r="OSH43" s="2843"/>
      <c r="OSI43" s="2844"/>
      <c r="OSJ43" s="2845"/>
      <c r="OSK43" s="2842"/>
      <c r="OSL43" s="2842"/>
      <c r="OSM43" s="2843"/>
      <c r="OSN43" s="2843"/>
      <c r="OSO43" s="2844"/>
      <c r="OSP43" s="2845"/>
      <c r="OSQ43" s="2842"/>
      <c r="OSR43" s="2842"/>
      <c r="OSS43" s="2843"/>
      <c r="OST43" s="2843"/>
      <c r="OSU43" s="2844"/>
      <c r="OSV43" s="2845"/>
      <c r="OSW43" s="2842"/>
      <c r="OSX43" s="2842"/>
      <c r="OSY43" s="2843"/>
      <c r="OSZ43" s="2843"/>
      <c r="OTA43" s="2844"/>
      <c r="OTB43" s="2845"/>
      <c r="OTC43" s="2842"/>
      <c r="OTD43" s="2842"/>
      <c r="OTE43" s="2843"/>
      <c r="OTF43" s="2843"/>
      <c r="OTG43" s="2844"/>
      <c r="OTH43" s="2845"/>
      <c r="OTI43" s="2842"/>
      <c r="OTJ43" s="2842"/>
      <c r="OTK43" s="2843"/>
      <c r="OTL43" s="2843"/>
      <c r="OTM43" s="2844"/>
      <c r="OTN43" s="2845"/>
      <c r="OTO43" s="2842"/>
      <c r="OTP43" s="2842"/>
      <c r="OTQ43" s="2843"/>
      <c r="OTR43" s="2843"/>
      <c r="OTS43" s="2844"/>
      <c r="OTT43" s="2845"/>
      <c r="OTU43" s="2842"/>
      <c r="OTV43" s="2842"/>
      <c r="OTW43" s="2843"/>
      <c r="OTX43" s="2843"/>
      <c r="OTY43" s="2844"/>
      <c r="OTZ43" s="2845"/>
      <c r="OUA43" s="2842"/>
      <c r="OUB43" s="2842"/>
      <c r="OUC43" s="2843"/>
      <c r="OUD43" s="2843"/>
      <c r="OUE43" s="2844"/>
      <c r="OUF43" s="2845"/>
      <c r="OUG43" s="2842"/>
      <c r="OUH43" s="2842"/>
      <c r="OUI43" s="2843"/>
      <c r="OUJ43" s="2843"/>
      <c r="OUK43" s="2844"/>
      <c r="OUL43" s="2845"/>
      <c r="OUM43" s="2842"/>
      <c r="OUN43" s="2842"/>
      <c r="OUO43" s="2843"/>
      <c r="OUP43" s="2843"/>
      <c r="OUQ43" s="2844"/>
      <c r="OUR43" s="2845"/>
      <c r="OUS43" s="2842"/>
      <c r="OUT43" s="2842"/>
      <c r="OUU43" s="2843"/>
      <c r="OUV43" s="2843"/>
      <c r="OUW43" s="2844"/>
      <c r="OUX43" s="2845"/>
      <c r="OUY43" s="2842"/>
      <c r="OUZ43" s="2842"/>
      <c r="OVA43" s="2843"/>
      <c r="OVB43" s="2843"/>
      <c r="OVC43" s="2844"/>
      <c r="OVD43" s="2845"/>
      <c r="OVE43" s="2842"/>
      <c r="OVF43" s="2842"/>
      <c r="OVG43" s="2843"/>
      <c r="OVH43" s="2843"/>
      <c r="OVI43" s="2844"/>
      <c r="OVJ43" s="2845"/>
      <c r="OVK43" s="2842"/>
      <c r="OVL43" s="2842"/>
      <c r="OVM43" s="2843"/>
      <c r="OVN43" s="2843"/>
      <c r="OVO43" s="2844"/>
      <c r="OVP43" s="2845"/>
      <c r="OVQ43" s="2842"/>
      <c r="OVR43" s="2842"/>
      <c r="OVS43" s="2843"/>
      <c r="OVT43" s="2843"/>
      <c r="OVU43" s="2844"/>
      <c r="OVV43" s="2845"/>
      <c r="OVW43" s="2842"/>
      <c r="OVX43" s="2842"/>
      <c r="OVY43" s="2843"/>
      <c r="OVZ43" s="2843"/>
      <c r="OWA43" s="2844"/>
      <c r="OWB43" s="2845"/>
      <c r="OWC43" s="2842"/>
      <c r="OWD43" s="2842"/>
      <c r="OWE43" s="2843"/>
      <c r="OWF43" s="2843"/>
      <c r="OWG43" s="2844"/>
      <c r="OWH43" s="2845"/>
      <c r="OWI43" s="2842"/>
      <c r="OWJ43" s="2842"/>
      <c r="OWK43" s="2843"/>
      <c r="OWL43" s="2843"/>
      <c r="OWM43" s="2844"/>
      <c r="OWN43" s="2845"/>
      <c r="OWO43" s="2842"/>
      <c r="OWP43" s="2842"/>
      <c r="OWQ43" s="2843"/>
      <c r="OWR43" s="2843"/>
      <c r="OWS43" s="2844"/>
      <c r="OWT43" s="2845"/>
      <c r="OWU43" s="2842"/>
      <c r="OWV43" s="2842"/>
      <c r="OWW43" s="2843"/>
      <c r="OWX43" s="2843"/>
      <c r="OWY43" s="2844"/>
      <c r="OWZ43" s="2845"/>
      <c r="OXA43" s="2842"/>
      <c r="OXB43" s="2842"/>
      <c r="OXC43" s="2843"/>
      <c r="OXD43" s="2843"/>
      <c r="OXE43" s="2844"/>
      <c r="OXF43" s="2845"/>
      <c r="OXG43" s="2842"/>
      <c r="OXH43" s="2842"/>
      <c r="OXI43" s="2843"/>
      <c r="OXJ43" s="2843"/>
      <c r="OXK43" s="2844"/>
      <c r="OXL43" s="2845"/>
      <c r="OXM43" s="2842"/>
      <c r="OXN43" s="2842"/>
      <c r="OXO43" s="2843"/>
      <c r="OXP43" s="2843"/>
      <c r="OXQ43" s="2844"/>
      <c r="OXR43" s="2845"/>
      <c r="OXS43" s="2842"/>
      <c r="OXT43" s="2842"/>
      <c r="OXU43" s="2843"/>
      <c r="OXV43" s="2843"/>
      <c r="OXW43" s="2844"/>
      <c r="OXX43" s="2845"/>
      <c r="OXY43" s="2842"/>
      <c r="OXZ43" s="2842"/>
      <c r="OYA43" s="2843"/>
      <c r="OYB43" s="2843"/>
      <c r="OYC43" s="2844"/>
      <c r="OYD43" s="2845"/>
      <c r="OYE43" s="2842"/>
      <c r="OYF43" s="2842"/>
      <c r="OYG43" s="2843"/>
      <c r="OYH43" s="2843"/>
      <c r="OYI43" s="2844"/>
      <c r="OYJ43" s="2845"/>
      <c r="OYK43" s="2842"/>
      <c r="OYL43" s="2842"/>
      <c r="OYM43" s="2843"/>
      <c r="OYN43" s="2843"/>
      <c r="OYO43" s="2844"/>
      <c r="OYP43" s="2845"/>
      <c r="OYQ43" s="2842"/>
      <c r="OYR43" s="2842"/>
      <c r="OYS43" s="2843"/>
      <c r="OYT43" s="2843"/>
      <c r="OYU43" s="2844"/>
      <c r="OYV43" s="2845"/>
      <c r="OYW43" s="2842"/>
      <c r="OYX43" s="2842"/>
      <c r="OYY43" s="2843"/>
      <c r="OYZ43" s="2843"/>
      <c r="OZA43" s="2844"/>
      <c r="OZB43" s="2845"/>
      <c r="OZC43" s="2842"/>
      <c r="OZD43" s="2842"/>
      <c r="OZE43" s="2843"/>
      <c r="OZF43" s="2843"/>
      <c r="OZG43" s="2844"/>
      <c r="OZH43" s="2845"/>
      <c r="OZI43" s="2842"/>
      <c r="OZJ43" s="2842"/>
      <c r="OZK43" s="2843"/>
      <c r="OZL43" s="2843"/>
      <c r="OZM43" s="2844"/>
      <c r="OZN43" s="2845"/>
      <c r="OZO43" s="2842"/>
      <c r="OZP43" s="2842"/>
      <c r="OZQ43" s="2843"/>
      <c r="OZR43" s="2843"/>
      <c r="OZS43" s="2844"/>
      <c r="OZT43" s="2845"/>
      <c r="OZU43" s="2842"/>
      <c r="OZV43" s="2842"/>
      <c r="OZW43" s="2843"/>
      <c r="OZX43" s="2843"/>
      <c r="OZY43" s="2844"/>
      <c r="OZZ43" s="2845"/>
      <c r="PAA43" s="2842"/>
      <c r="PAB43" s="2842"/>
      <c r="PAC43" s="2843"/>
      <c r="PAD43" s="2843"/>
      <c r="PAE43" s="2844"/>
      <c r="PAF43" s="2845"/>
      <c r="PAG43" s="2842"/>
      <c r="PAH43" s="2842"/>
      <c r="PAI43" s="2843"/>
      <c r="PAJ43" s="2843"/>
      <c r="PAK43" s="2844"/>
      <c r="PAL43" s="2845"/>
      <c r="PAM43" s="2842"/>
      <c r="PAN43" s="2842"/>
      <c r="PAO43" s="2843"/>
      <c r="PAP43" s="2843"/>
      <c r="PAQ43" s="2844"/>
      <c r="PAR43" s="2845"/>
      <c r="PAS43" s="2842"/>
      <c r="PAT43" s="2842"/>
      <c r="PAU43" s="2843"/>
      <c r="PAV43" s="2843"/>
      <c r="PAW43" s="2844"/>
      <c r="PAX43" s="2845"/>
      <c r="PAY43" s="2842"/>
      <c r="PAZ43" s="2842"/>
      <c r="PBA43" s="2843"/>
      <c r="PBB43" s="2843"/>
      <c r="PBC43" s="2844"/>
      <c r="PBD43" s="2845"/>
      <c r="PBE43" s="2842"/>
      <c r="PBF43" s="2842"/>
      <c r="PBG43" s="2843"/>
      <c r="PBH43" s="2843"/>
      <c r="PBI43" s="2844"/>
      <c r="PBJ43" s="2845"/>
      <c r="PBK43" s="2842"/>
      <c r="PBL43" s="2842"/>
      <c r="PBM43" s="2843"/>
      <c r="PBN43" s="2843"/>
      <c r="PBO43" s="2844"/>
      <c r="PBP43" s="2845"/>
      <c r="PBQ43" s="2842"/>
      <c r="PBR43" s="2842"/>
      <c r="PBS43" s="2843"/>
      <c r="PBT43" s="2843"/>
      <c r="PBU43" s="2844"/>
      <c r="PBV43" s="2845"/>
      <c r="PBW43" s="2842"/>
      <c r="PBX43" s="2842"/>
      <c r="PBY43" s="2843"/>
      <c r="PBZ43" s="2843"/>
      <c r="PCA43" s="2844"/>
      <c r="PCB43" s="2845"/>
      <c r="PCC43" s="2842"/>
      <c r="PCD43" s="2842"/>
      <c r="PCE43" s="2843"/>
      <c r="PCF43" s="2843"/>
      <c r="PCG43" s="2844"/>
      <c r="PCH43" s="2845"/>
      <c r="PCI43" s="2842"/>
      <c r="PCJ43" s="2842"/>
      <c r="PCK43" s="2843"/>
      <c r="PCL43" s="2843"/>
      <c r="PCM43" s="2844"/>
      <c r="PCN43" s="2845"/>
      <c r="PCO43" s="2842"/>
      <c r="PCP43" s="2842"/>
      <c r="PCQ43" s="2843"/>
      <c r="PCR43" s="2843"/>
      <c r="PCS43" s="2844"/>
      <c r="PCT43" s="2845"/>
      <c r="PCU43" s="2842"/>
      <c r="PCV43" s="2842"/>
      <c r="PCW43" s="2843"/>
      <c r="PCX43" s="2843"/>
      <c r="PCY43" s="2844"/>
      <c r="PCZ43" s="2845"/>
      <c r="PDA43" s="2842"/>
      <c r="PDB43" s="2842"/>
      <c r="PDC43" s="2843"/>
      <c r="PDD43" s="2843"/>
      <c r="PDE43" s="2844"/>
      <c r="PDF43" s="2845"/>
      <c r="PDG43" s="2842"/>
      <c r="PDH43" s="2842"/>
      <c r="PDI43" s="2843"/>
      <c r="PDJ43" s="2843"/>
      <c r="PDK43" s="2844"/>
      <c r="PDL43" s="2845"/>
      <c r="PDM43" s="2842"/>
      <c r="PDN43" s="2842"/>
      <c r="PDO43" s="2843"/>
      <c r="PDP43" s="2843"/>
      <c r="PDQ43" s="2844"/>
      <c r="PDR43" s="2845"/>
      <c r="PDS43" s="2842"/>
      <c r="PDT43" s="2842"/>
      <c r="PDU43" s="2843"/>
      <c r="PDV43" s="2843"/>
      <c r="PDW43" s="2844"/>
      <c r="PDX43" s="2845"/>
      <c r="PDY43" s="2842"/>
      <c r="PDZ43" s="2842"/>
      <c r="PEA43" s="2843"/>
      <c r="PEB43" s="2843"/>
      <c r="PEC43" s="2844"/>
      <c r="PED43" s="2845"/>
      <c r="PEE43" s="2842"/>
      <c r="PEF43" s="2842"/>
      <c r="PEG43" s="2843"/>
      <c r="PEH43" s="2843"/>
      <c r="PEI43" s="2844"/>
      <c r="PEJ43" s="2845"/>
      <c r="PEK43" s="2842"/>
      <c r="PEL43" s="2842"/>
      <c r="PEM43" s="2843"/>
      <c r="PEN43" s="2843"/>
      <c r="PEO43" s="2844"/>
      <c r="PEP43" s="2845"/>
      <c r="PEQ43" s="2842"/>
      <c r="PER43" s="2842"/>
      <c r="PES43" s="2843"/>
      <c r="PET43" s="2843"/>
      <c r="PEU43" s="2844"/>
      <c r="PEV43" s="2845"/>
      <c r="PEW43" s="2842"/>
      <c r="PEX43" s="2842"/>
      <c r="PEY43" s="2843"/>
      <c r="PEZ43" s="2843"/>
      <c r="PFA43" s="2844"/>
      <c r="PFB43" s="2845"/>
      <c r="PFC43" s="2842"/>
      <c r="PFD43" s="2842"/>
      <c r="PFE43" s="2843"/>
      <c r="PFF43" s="2843"/>
      <c r="PFG43" s="2844"/>
      <c r="PFH43" s="2845"/>
      <c r="PFI43" s="2842"/>
      <c r="PFJ43" s="2842"/>
      <c r="PFK43" s="2843"/>
      <c r="PFL43" s="2843"/>
      <c r="PFM43" s="2844"/>
      <c r="PFN43" s="2845"/>
      <c r="PFO43" s="2842"/>
      <c r="PFP43" s="2842"/>
      <c r="PFQ43" s="2843"/>
      <c r="PFR43" s="2843"/>
      <c r="PFS43" s="2844"/>
      <c r="PFT43" s="2845"/>
      <c r="PFU43" s="2842"/>
      <c r="PFV43" s="2842"/>
      <c r="PFW43" s="2843"/>
      <c r="PFX43" s="2843"/>
      <c r="PFY43" s="2844"/>
      <c r="PFZ43" s="2845"/>
      <c r="PGA43" s="2842"/>
      <c r="PGB43" s="2842"/>
      <c r="PGC43" s="2843"/>
      <c r="PGD43" s="2843"/>
      <c r="PGE43" s="2844"/>
      <c r="PGF43" s="2845"/>
      <c r="PGG43" s="2842"/>
      <c r="PGH43" s="2842"/>
      <c r="PGI43" s="2843"/>
      <c r="PGJ43" s="2843"/>
      <c r="PGK43" s="2844"/>
      <c r="PGL43" s="2845"/>
      <c r="PGM43" s="2842"/>
      <c r="PGN43" s="2842"/>
      <c r="PGO43" s="2843"/>
      <c r="PGP43" s="2843"/>
      <c r="PGQ43" s="2844"/>
      <c r="PGR43" s="2845"/>
      <c r="PGS43" s="2842"/>
      <c r="PGT43" s="2842"/>
      <c r="PGU43" s="2843"/>
      <c r="PGV43" s="2843"/>
      <c r="PGW43" s="2844"/>
      <c r="PGX43" s="2845"/>
      <c r="PGY43" s="2842"/>
      <c r="PGZ43" s="2842"/>
      <c r="PHA43" s="2843"/>
      <c r="PHB43" s="2843"/>
      <c r="PHC43" s="2844"/>
      <c r="PHD43" s="2845"/>
      <c r="PHE43" s="2842"/>
      <c r="PHF43" s="2842"/>
      <c r="PHG43" s="2843"/>
      <c r="PHH43" s="2843"/>
      <c r="PHI43" s="2844"/>
      <c r="PHJ43" s="2845"/>
      <c r="PHK43" s="2842"/>
      <c r="PHL43" s="2842"/>
      <c r="PHM43" s="2843"/>
      <c r="PHN43" s="2843"/>
      <c r="PHO43" s="2844"/>
      <c r="PHP43" s="2845"/>
      <c r="PHQ43" s="2842"/>
      <c r="PHR43" s="2842"/>
      <c r="PHS43" s="2843"/>
      <c r="PHT43" s="2843"/>
      <c r="PHU43" s="2844"/>
      <c r="PHV43" s="2845"/>
      <c r="PHW43" s="2842"/>
      <c r="PHX43" s="2842"/>
      <c r="PHY43" s="2843"/>
      <c r="PHZ43" s="2843"/>
      <c r="PIA43" s="2844"/>
      <c r="PIB43" s="2845"/>
      <c r="PIC43" s="2842"/>
      <c r="PID43" s="2842"/>
      <c r="PIE43" s="2843"/>
      <c r="PIF43" s="2843"/>
      <c r="PIG43" s="2844"/>
      <c r="PIH43" s="2845"/>
      <c r="PII43" s="2842"/>
      <c r="PIJ43" s="2842"/>
      <c r="PIK43" s="2843"/>
      <c r="PIL43" s="2843"/>
      <c r="PIM43" s="2844"/>
      <c r="PIN43" s="2845"/>
      <c r="PIO43" s="2842"/>
      <c r="PIP43" s="2842"/>
      <c r="PIQ43" s="2843"/>
      <c r="PIR43" s="2843"/>
      <c r="PIS43" s="2844"/>
      <c r="PIT43" s="2845"/>
      <c r="PIU43" s="2842"/>
      <c r="PIV43" s="2842"/>
      <c r="PIW43" s="2843"/>
      <c r="PIX43" s="2843"/>
      <c r="PIY43" s="2844"/>
      <c r="PIZ43" s="2845"/>
      <c r="PJA43" s="2842"/>
      <c r="PJB43" s="2842"/>
      <c r="PJC43" s="2843"/>
      <c r="PJD43" s="2843"/>
      <c r="PJE43" s="2844"/>
      <c r="PJF43" s="2845"/>
      <c r="PJG43" s="2842"/>
      <c r="PJH43" s="2842"/>
      <c r="PJI43" s="2843"/>
      <c r="PJJ43" s="2843"/>
      <c r="PJK43" s="2844"/>
      <c r="PJL43" s="2845"/>
      <c r="PJM43" s="2842"/>
      <c r="PJN43" s="2842"/>
      <c r="PJO43" s="2843"/>
      <c r="PJP43" s="2843"/>
      <c r="PJQ43" s="2844"/>
      <c r="PJR43" s="2845"/>
      <c r="PJS43" s="2842"/>
      <c r="PJT43" s="2842"/>
      <c r="PJU43" s="2843"/>
      <c r="PJV43" s="2843"/>
      <c r="PJW43" s="2844"/>
      <c r="PJX43" s="2845"/>
      <c r="PJY43" s="2842"/>
      <c r="PJZ43" s="2842"/>
      <c r="PKA43" s="2843"/>
      <c r="PKB43" s="2843"/>
      <c r="PKC43" s="2844"/>
      <c r="PKD43" s="2845"/>
      <c r="PKE43" s="2842"/>
      <c r="PKF43" s="2842"/>
      <c r="PKG43" s="2843"/>
      <c r="PKH43" s="2843"/>
      <c r="PKI43" s="2844"/>
      <c r="PKJ43" s="2845"/>
      <c r="PKK43" s="2842"/>
      <c r="PKL43" s="2842"/>
      <c r="PKM43" s="2843"/>
      <c r="PKN43" s="2843"/>
      <c r="PKO43" s="2844"/>
      <c r="PKP43" s="2845"/>
      <c r="PKQ43" s="2842"/>
      <c r="PKR43" s="2842"/>
      <c r="PKS43" s="2843"/>
      <c r="PKT43" s="2843"/>
      <c r="PKU43" s="2844"/>
      <c r="PKV43" s="2845"/>
      <c r="PKW43" s="2842"/>
      <c r="PKX43" s="2842"/>
      <c r="PKY43" s="2843"/>
      <c r="PKZ43" s="2843"/>
      <c r="PLA43" s="2844"/>
      <c r="PLB43" s="2845"/>
      <c r="PLC43" s="2842"/>
      <c r="PLD43" s="2842"/>
      <c r="PLE43" s="2843"/>
      <c r="PLF43" s="2843"/>
      <c r="PLG43" s="2844"/>
      <c r="PLH43" s="2845"/>
      <c r="PLI43" s="2842"/>
      <c r="PLJ43" s="2842"/>
      <c r="PLK43" s="2843"/>
      <c r="PLL43" s="2843"/>
      <c r="PLM43" s="2844"/>
      <c r="PLN43" s="2845"/>
      <c r="PLO43" s="2842"/>
      <c r="PLP43" s="2842"/>
      <c r="PLQ43" s="2843"/>
      <c r="PLR43" s="2843"/>
      <c r="PLS43" s="2844"/>
      <c r="PLT43" s="2845"/>
      <c r="PLU43" s="2842"/>
      <c r="PLV43" s="2842"/>
      <c r="PLW43" s="2843"/>
      <c r="PLX43" s="2843"/>
      <c r="PLY43" s="2844"/>
      <c r="PLZ43" s="2845"/>
      <c r="PMA43" s="2842"/>
      <c r="PMB43" s="2842"/>
      <c r="PMC43" s="2843"/>
      <c r="PMD43" s="2843"/>
      <c r="PME43" s="2844"/>
      <c r="PMF43" s="2845"/>
      <c r="PMG43" s="2842"/>
      <c r="PMH43" s="2842"/>
      <c r="PMI43" s="2843"/>
      <c r="PMJ43" s="2843"/>
      <c r="PMK43" s="2844"/>
      <c r="PML43" s="2845"/>
      <c r="PMM43" s="2842"/>
      <c r="PMN43" s="2842"/>
      <c r="PMO43" s="2843"/>
      <c r="PMP43" s="2843"/>
      <c r="PMQ43" s="2844"/>
      <c r="PMR43" s="2845"/>
      <c r="PMS43" s="2842"/>
      <c r="PMT43" s="2842"/>
      <c r="PMU43" s="2843"/>
      <c r="PMV43" s="2843"/>
      <c r="PMW43" s="2844"/>
      <c r="PMX43" s="2845"/>
      <c r="PMY43" s="2842"/>
      <c r="PMZ43" s="2842"/>
      <c r="PNA43" s="2843"/>
      <c r="PNB43" s="2843"/>
      <c r="PNC43" s="2844"/>
      <c r="PND43" s="2845"/>
      <c r="PNE43" s="2842"/>
      <c r="PNF43" s="2842"/>
      <c r="PNG43" s="2843"/>
      <c r="PNH43" s="2843"/>
      <c r="PNI43" s="2844"/>
      <c r="PNJ43" s="2845"/>
      <c r="PNK43" s="2842"/>
      <c r="PNL43" s="2842"/>
      <c r="PNM43" s="2843"/>
      <c r="PNN43" s="2843"/>
      <c r="PNO43" s="2844"/>
      <c r="PNP43" s="2845"/>
      <c r="PNQ43" s="2842"/>
      <c r="PNR43" s="2842"/>
      <c r="PNS43" s="2843"/>
      <c r="PNT43" s="2843"/>
      <c r="PNU43" s="2844"/>
      <c r="PNV43" s="2845"/>
      <c r="PNW43" s="2842"/>
      <c r="PNX43" s="2842"/>
      <c r="PNY43" s="2843"/>
      <c r="PNZ43" s="2843"/>
      <c r="POA43" s="2844"/>
      <c r="POB43" s="2845"/>
      <c r="POC43" s="2842"/>
      <c r="POD43" s="2842"/>
      <c r="POE43" s="2843"/>
      <c r="POF43" s="2843"/>
      <c r="POG43" s="2844"/>
      <c r="POH43" s="2845"/>
      <c r="POI43" s="2842"/>
      <c r="POJ43" s="2842"/>
      <c r="POK43" s="2843"/>
      <c r="POL43" s="2843"/>
      <c r="POM43" s="2844"/>
      <c r="PON43" s="2845"/>
      <c r="POO43" s="2842"/>
      <c r="POP43" s="2842"/>
      <c r="POQ43" s="2843"/>
      <c r="POR43" s="2843"/>
      <c r="POS43" s="2844"/>
      <c r="POT43" s="2845"/>
      <c r="POU43" s="2842"/>
      <c r="POV43" s="2842"/>
      <c r="POW43" s="2843"/>
      <c r="POX43" s="2843"/>
      <c r="POY43" s="2844"/>
      <c r="POZ43" s="2845"/>
      <c r="PPA43" s="2842"/>
      <c r="PPB43" s="2842"/>
      <c r="PPC43" s="2843"/>
      <c r="PPD43" s="2843"/>
      <c r="PPE43" s="2844"/>
      <c r="PPF43" s="2845"/>
      <c r="PPG43" s="2842"/>
      <c r="PPH43" s="2842"/>
      <c r="PPI43" s="2843"/>
      <c r="PPJ43" s="2843"/>
      <c r="PPK43" s="2844"/>
      <c r="PPL43" s="2845"/>
      <c r="PPM43" s="2842"/>
      <c r="PPN43" s="2842"/>
      <c r="PPO43" s="2843"/>
      <c r="PPP43" s="2843"/>
      <c r="PPQ43" s="2844"/>
      <c r="PPR43" s="2845"/>
      <c r="PPS43" s="2842"/>
      <c r="PPT43" s="2842"/>
      <c r="PPU43" s="2843"/>
      <c r="PPV43" s="2843"/>
      <c r="PPW43" s="2844"/>
      <c r="PPX43" s="2845"/>
      <c r="PPY43" s="2842"/>
      <c r="PPZ43" s="2842"/>
      <c r="PQA43" s="2843"/>
      <c r="PQB43" s="2843"/>
      <c r="PQC43" s="2844"/>
      <c r="PQD43" s="2845"/>
      <c r="PQE43" s="2842"/>
      <c r="PQF43" s="2842"/>
      <c r="PQG43" s="2843"/>
      <c r="PQH43" s="2843"/>
      <c r="PQI43" s="2844"/>
      <c r="PQJ43" s="2845"/>
      <c r="PQK43" s="2842"/>
      <c r="PQL43" s="2842"/>
      <c r="PQM43" s="2843"/>
      <c r="PQN43" s="2843"/>
      <c r="PQO43" s="2844"/>
      <c r="PQP43" s="2845"/>
      <c r="PQQ43" s="2842"/>
      <c r="PQR43" s="2842"/>
      <c r="PQS43" s="2843"/>
      <c r="PQT43" s="2843"/>
      <c r="PQU43" s="2844"/>
      <c r="PQV43" s="2845"/>
      <c r="PQW43" s="2842"/>
      <c r="PQX43" s="2842"/>
      <c r="PQY43" s="2843"/>
      <c r="PQZ43" s="2843"/>
      <c r="PRA43" s="2844"/>
      <c r="PRB43" s="2845"/>
      <c r="PRC43" s="2842"/>
      <c r="PRD43" s="2842"/>
      <c r="PRE43" s="2843"/>
      <c r="PRF43" s="2843"/>
      <c r="PRG43" s="2844"/>
      <c r="PRH43" s="2845"/>
      <c r="PRI43" s="2842"/>
      <c r="PRJ43" s="2842"/>
      <c r="PRK43" s="2843"/>
      <c r="PRL43" s="2843"/>
      <c r="PRM43" s="2844"/>
      <c r="PRN43" s="2845"/>
      <c r="PRO43" s="2842"/>
      <c r="PRP43" s="2842"/>
      <c r="PRQ43" s="2843"/>
      <c r="PRR43" s="2843"/>
      <c r="PRS43" s="2844"/>
      <c r="PRT43" s="2845"/>
      <c r="PRU43" s="2842"/>
      <c r="PRV43" s="2842"/>
      <c r="PRW43" s="2843"/>
      <c r="PRX43" s="2843"/>
      <c r="PRY43" s="2844"/>
      <c r="PRZ43" s="2845"/>
      <c r="PSA43" s="2842"/>
      <c r="PSB43" s="2842"/>
      <c r="PSC43" s="2843"/>
      <c r="PSD43" s="2843"/>
      <c r="PSE43" s="2844"/>
      <c r="PSF43" s="2845"/>
      <c r="PSG43" s="2842"/>
      <c r="PSH43" s="2842"/>
      <c r="PSI43" s="2843"/>
      <c r="PSJ43" s="2843"/>
      <c r="PSK43" s="2844"/>
      <c r="PSL43" s="2845"/>
      <c r="PSM43" s="2842"/>
      <c r="PSN43" s="2842"/>
      <c r="PSO43" s="2843"/>
      <c r="PSP43" s="2843"/>
      <c r="PSQ43" s="2844"/>
      <c r="PSR43" s="2845"/>
      <c r="PSS43" s="2842"/>
      <c r="PST43" s="2842"/>
      <c r="PSU43" s="2843"/>
      <c r="PSV43" s="2843"/>
      <c r="PSW43" s="2844"/>
      <c r="PSX43" s="2845"/>
      <c r="PSY43" s="2842"/>
      <c r="PSZ43" s="2842"/>
      <c r="PTA43" s="2843"/>
      <c r="PTB43" s="2843"/>
      <c r="PTC43" s="2844"/>
      <c r="PTD43" s="2845"/>
      <c r="PTE43" s="2842"/>
      <c r="PTF43" s="2842"/>
      <c r="PTG43" s="2843"/>
      <c r="PTH43" s="2843"/>
      <c r="PTI43" s="2844"/>
      <c r="PTJ43" s="2845"/>
      <c r="PTK43" s="2842"/>
      <c r="PTL43" s="2842"/>
      <c r="PTM43" s="2843"/>
      <c r="PTN43" s="2843"/>
      <c r="PTO43" s="2844"/>
      <c r="PTP43" s="2845"/>
      <c r="PTQ43" s="2842"/>
      <c r="PTR43" s="2842"/>
      <c r="PTS43" s="2843"/>
      <c r="PTT43" s="2843"/>
      <c r="PTU43" s="2844"/>
      <c r="PTV43" s="2845"/>
      <c r="PTW43" s="2842"/>
      <c r="PTX43" s="2842"/>
      <c r="PTY43" s="2843"/>
      <c r="PTZ43" s="2843"/>
      <c r="PUA43" s="2844"/>
      <c r="PUB43" s="2845"/>
      <c r="PUC43" s="2842"/>
      <c r="PUD43" s="2842"/>
      <c r="PUE43" s="2843"/>
      <c r="PUF43" s="2843"/>
      <c r="PUG43" s="2844"/>
      <c r="PUH43" s="2845"/>
      <c r="PUI43" s="2842"/>
      <c r="PUJ43" s="2842"/>
      <c r="PUK43" s="2843"/>
      <c r="PUL43" s="2843"/>
      <c r="PUM43" s="2844"/>
      <c r="PUN43" s="2845"/>
      <c r="PUO43" s="2842"/>
      <c r="PUP43" s="2842"/>
      <c r="PUQ43" s="2843"/>
      <c r="PUR43" s="2843"/>
      <c r="PUS43" s="2844"/>
      <c r="PUT43" s="2845"/>
      <c r="PUU43" s="2842"/>
      <c r="PUV43" s="2842"/>
      <c r="PUW43" s="2843"/>
      <c r="PUX43" s="2843"/>
      <c r="PUY43" s="2844"/>
      <c r="PUZ43" s="2845"/>
      <c r="PVA43" s="2842"/>
      <c r="PVB43" s="2842"/>
      <c r="PVC43" s="2843"/>
      <c r="PVD43" s="2843"/>
      <c r="PVE43" s="2844"/>
      <c r="PVF43" s="2845"/>
      <c r="PVG43" s="2842"/>
      <c r="PVH43" s="2842"/>
      <c r="PVI43" s="2843"/>
      <c r="PVJ43" s="2843"/>
      <c r="PVK43" s="2844"/>
      <c r="PVL43" s="2845"/>
      <c r="PVM43" s="2842"/>
      <c r="PVN43" s="2842"/>
      <c r="PVO43" s="2843"/>
      <c r="PVP43" s="2843"/>
      <c r="PVQ43" s="2844"/>
      <c r="PVR43" s="2845"/>
      <c r="PVS43" s="2842"/>
      <c r="PVT43" s="2842"/>
      <c r="PVU43" s="2843"/>
      <c r="PVV43" s="2843"/>
      <c r="PVW43" s="2844"/>
      <c r="PVX43" s="2845"/>
      <c r="PVY43" s="2842"/>
      <c r="PVZ43" s="2842"/>
      <c r="PWA43" s="2843"/>
      <c r="PWB43" s="2843"/>
      <c r="PWC43" s="2844"/>
      <c r="PWD43" s="2845"/>
      <c r="PWE43" s="2842"/>
      <c r="PWF43" s="2842"/>
      <c r="PWG43" s="2843"/>
      <c r="PWH43" s="2843"/>
      <c r="PWI43" s="2844"/>
      <c r="PWJ43" s="2845"/>
      <c r="PWK43" s="2842"/>
      <c r="PWL43" s="2842"/>
      <c r="PWM43" s="2843"/>
      <c r="PWN43" s="2843"/>
      <c r="PWO43" s="2844"/>
      <c r="PWP43" s="2845"/>
      <c r="PWQ43" s="2842"/>
      <c r="PWR43" s="2842"/>
      <c r="PWS43" s="2843"/>
      <c r="PWT43" s="2843"/>
      <c r="PWU43" s="2844"/>
      <c r="PWV43" s="2845"/>
      <c r="PWW43" s="2842"/>
      <c r="PWX43" s="2842"/>
      <c r="PWY43" s="2843"/>
      <c r="PWZ43" s="2843"/>
      <c r="PXA43" s="2844"/>
      <c r="PXB43" s="2845"/>
      <c r="PXC43" s="2842"/>
      <c r="PXD43" s="2842"/>
      <c r="PXE43" s="2843"/>
      <c r="PXF43" s="2843"/>
      <c r="PXG43" s="2844"/>
      <c r="PXH43" s="2845"/>
      <c r="PXI43" s="2842"/>
      <c r="PXJ43" s="2842"/>
      <c r="PXK43" s="2843"/>
      <c r="PXL43" s="2843"/>
      <c r="PXM43" s="2844"/>
      <c r="PXN43" s="2845"/>
      <c r="PXO43" s="2842"/>
      <c r="PXP43" s="2842"/>
      <c r="PXQ43" s="2843"/>
      <c r="PXR43" s="2843"/>
      <c r="PXS43" s="2844"/>
      <c r="PXT43" s="2845"/>
      <c r="PXU43" s="2842"/>
      <c r="PXV43" s="2842"/>
      <c r="PXW43" s="2843"/>
      <c r="PXX43" s="2843"/>
      <c r="PXY43" s="2844"/>
      <c r="PXZ43" s="2845"/>
      <c r="PYA43" s="2842"/>
      <c r="PYB43" s="2842"/>
      <c r="PYC43" s="2843"/>
      <c r="PYD43" s="2843"/>
      <c r="PYE43" s="2844"/>
      <c r="PYF43" s="2845"/>
      <c r="PYG43" s="2842"/>
      <c r="PYH43" s="2842"/>
      <c r="PYI43" s="2843"/>
      <c r="PYJ43" s="2843"/>
      <c r="PYK43" s="2844"/>
      <c r="PYL43" s="2845"/>
      <c r="PYM43" s="2842"/>
      <c r="PYN43" s="2842"/>
      <c r="PYO43" s="2843"/>
      <c r="PYP43" s="2843"/>
      <c r="PYQ43" s="2844"/>
      <c r="PYR43" s="2845"/>
      <c r="PYS43" s="2842"/>
      <c r="PYT43" s="2842"/>
      <c r="PYU43" s="2843"/>
      <c r="PYV43" s="2843"/>
      <c r="PYW43" s="2844"/>
      <c r="PYX43" s="2845"/>
      <c r="PYY43" s="2842"/>
      <c r="PYZ43" s="2842"/>
      <c r="PZA43" s="2843"/>
      <c r="PZB43" s="2843"/>
      <c r="PZC43" s="2844"/>
      <c r="PZD43" s="2845"/>
      <c r="PZE43" s="2842"/>
      <c r="PZF43" s="2842"/>
      <c r="PZG43" s="2843"/>
      <c r="PZH43" s="2843"/>
      <c r="PZI43" s="2844"/>
      <c r="PZJ43" s="2845"/>
      <c r="PZK43" s="2842"/>
      <c r="PZL43" s="2842"/>
      <c r="PZM43" s="2843"/>
      <c r="PZN43" s="2843"/>
      <c r="PZO43" s="2844"/>
      <c r="PZP43" s="2845"/>
      <c r="PZQ43" s="2842"/>
      <c r="PZR43" s="2842"/>
      <c r="PZS43" s="2843"/>
      <c r="PZT43" s="2843"/>
      <c r="PZU43" s="2844"/>
      <c r="PZV43" s="2845"/>
      <c r="PZW43" s="2842"/>
      <c r="PZX43" s="2842"/>
      <c r="PZY43" s="2843"/>
      <c r="PZZ43" s="2843"/>
      <c r="QAA43" s="2844"/>
      <c r="QAB43" s="2845"/>
      <c r="QAC43" s="2842"/>
      <c r="QAD43" s="2842"/>
      <c r="QAE43" s="2843"/>
      <c r="QAF43" s="2843"/>
      <c r="QAG43" s="2844"/>
      <c r="QAH43" s="2845"/>
      <c r="QAI43" s="2842"/>
      <c r="QAJ43" s="2842"/>
      <c r="QAK43" s="2843"/>
      <c r="QAL43" s="2843"/>
      <c r="QAM43" s="2844"/>
      <c r="QAN43" s="2845"/>
      <c r="QAO43" s="2842"/>
      <c r="QAP43" s="2842"/>
      <c r="QAQ43" s="2843"/>
      <c r="QAR43" s="2843"/>
      <c r="QAS43" s="2844"/>
      <c r="QAT43" s="2845"/>
      <c r="QAU43" s="2842"/>
      <c r="QAV43" s="2842"/>
      <c r="QAW43" s="2843"/>
      <c r="QAX43" s="2843"/>
      <c r="QAY43" s="2844"/>
      <c r="QAZ43" s="2845"/>
      <c r="QBA43" s="2842"/>
      <c r="QBB43" s="2842"/>
      <c r="QBC43" s="2843"/>
      <c r="QBD43" s="2843"/>
      <c r="QBE43" s="2844"/>
      <c r="QBF43" s="2845"/>
      <c r="QBG43" s="2842"/>
      <c r="QBH43" s="2842"/>
      <c r="QBI43" s="2843"/>
      <c r="QBJ43" s="2843"/>
      <c r="QBK43" s="2844"/>
      <c r="QBL43" s="2845"/>
      <c r="QBM43" s="2842"/>
      <c r="QBN43" s="2842"/>
      <c r="QBO43" s="2843"/>
      <c r="QBP43" s="2843"/>
      <c r="QBQ43" s="2844"/>
      <c r="QBR43" s="2845"/>
      <c r="QBS43" s="2842"/>
      <c r="QBT43" s="2842"/>
      <c r="QBU43" s="2843"/>
      <c r="QBV43" s="2843"/>
      <c r="QBW43" s="2844"/>
      <c r="QBX43" s="2845"/>
      <c r="QBY43" s="2842"/>
      <c r="QBZ43" s="2842"/>
      <c r="QCA43" s="2843"/>
      <c r="QCB43" s="2843"/>
      <c r="QCC43" s="2844"/>
      <c r="QCD43" s="2845"/>
      <c r="QCE43" s="2842"/>
      <c r="QCF43" s="2842"/>
      <c r="QCG43" s="2843"/>
      <c r="QCH43" s="2843"/>
      <c r="QCI43" s="2844"/>
      <c r="QCJ43" s="2845"/>
      <c r="QCK43" s="2842"/>
      <c r="QCL43" s="2842"/>
      <c r="QCM43" s="2843"/>
      <c r="QCN43" s="2843"/>
      <c r="QCO43" s="2844"/>
      <c r="QCP43" s="2845"/>
      <c r="QCQ43" s="2842"/>
      <c r="QCR43" s="2842"/>
      <c r="QCS43" s="2843"/>
      <c r="QCT43" s="2843"/>
      <c r="QCU43" s="2844"/>
      <c r="QCV43" s="2845"/>
      <c r="QCW43" s="2842"/>
      <c r="QCX43" s="2842"/>
      <c r="QCY43" s="2843"/>
      <c r="QCZ43" s="2843"/>
      <c r="QDA43" s="2844"/>
      <c r="QDB43" s="2845"/>
      <c r="QDC43" s="2842"/>
      <c r="QDD43" s="2842"/>
      <c r="QDE43" s="2843"/>
      <c r="QDF43" s="2843"/>
      <c r="QDG43" s="2844"/>
      <c r="QDH43" s="2845"/>
      <c r="QDI43" s="2842"/>
      <c r="QDJ43" s="2842"/>
      <c r="QDK43" s="2843"/>
      <c r="QDL43" s="2843"/>
      <c r="QDM43" s="2844"/>
      <c r="QDN43" s="2845"/>
      <c r="QDO43" s="2842"/>
      <c r="QDP43" s="2842"/>
      <c r="QDQ43" s="2843"/>
      <c r="QDR43" s="2843"/>
      <c r="QDS43" s="2844"/>
      <c r="QDT43" s="2845"/>
      <c r="QDU43" s="2842"/>
      <c r="QDV43" s="2842"/>
      <c r="QDW43" s="2843"/>
      <c r="QDX43" s="2843"/>
      <c r="QDY43" s="2844"/>
      <c r="QDZ43" s="2845"/>
      <c r="QEA43" s="2842"/>
      <c r="QEB43" s="2842"/>
      <c r="QEC43" s="2843"/>
      <c r="QED43" s="2843"/>
      <c r="QEE43" s="2844"/>
      <c r="QEF43" s="2845"/>
      <c r="QEG43" s="2842"/>
      <c r="QEH43" s="2842"/>
      <c r="QEI43" s="2843"/>
      <c r="QEJ43" s="2843"/>
      <c r="QEK43" s="2844"/>
      <c r="QEL43" s="2845"/>
      <c r="QEM43" s="2842"/>
      <c r="QEN43" s="2842"/>
      <c r="QEO43" s="2843"/>
      <c r="QEP43" s="2843"/>
      <c r="QEQ43" s="2844"/>
      <c r="QER43" s="2845"/>
      <c r="QES43" s="2842"/>
      <c r="QET43" s="2842"/>
      <c r="QEU43" s="2843"/>
      <c r="QEV43" s="2843"/>
      <c r="QEW43" s="2844"/>
      <c r="QEX43" s="2845"/>
      <c r="QEY43" s="2842"/>
      <c r="QEZ43" s="2842"/>
      <c r="QFA43" s="2843"/>
      <c r="QFB43" s="2843"/>
      <c r="QFC43" s="2844"/>
      <c r="QFD43" s="2845"/>
      <c r="QFE43" s="2842"/>
      <c r="QFF43" s="2842"/>
      <c r="QFG43" s="2843"/>
      <c r="QFH43" s="2843"/>
      <c r="QFI43" s="2844"/>
      <c r="QFJ43" s="2845"/>
      <c r="QFK43" s="2842"/>
      <c r="QFL43" s="2842"/>
      <c r="QFM43" s="2843"/>
      <c r="QFN43" s="2843"/>
      <c r="QFO43" s="2844"/>
      <c r="QFP43" s="2845"/>
      <c r="QFQ43" s="2842"/>
      <c r="QFR43" s="2842"/>
      <c r="QFS43" s="2843"/>
      <c r="QFT43" s="2843"/>
      <c r="QFU43" s="2844"/>
      <c r="QFV43" s="2845"/>
      <c r="QFW43" s="2842"/>
      <c r="QFX43" s="2842"/>
      <c r="QFY43" s="2843"/>
      <c r="QFZ43" s="2843"/>
      <c r="QGA43" s="2844"/>
      <c r="QGB43" s="2845"/>
      <c r="QGC43" s="2842"/>
      <c r="QGD43" s="2842"/>
      <c r="QGE43" s="2843"/>
      <c r="QGF43" s="2843"/>
      <c r="QGG43" s="2844"/>
      <c r="QGH43" s="2845"/>
      <c r="QGI43" s="2842"/>
      <c r="QGJ43" s="2842"/>
      <c r="QGK43" s="2843"/>
      <c r="QGL43" s="2843"/>
      <c r="QGM43" s="2844"/>
      <c r="QGN43" s="2845"/>
      <c r="QGO43" s="2842"/>
      <c r="QGP43" s="2842"/>
      <c r="QGQ43" s="2843"/>
      <c r="QGR43" s="2843"/>
      <c r="QGS43" s="2844"/>
      <c r="QGT43" s="2845"/>
      <c r="QGU43" s="2842"/>
      <c r="QGV43" s="2842"/>
      <c r="QGW43" s="2843"/>
      <c r="QGX43" s="2843"/>
      <c r="QGY43" s="2844"/>
      <c r="QGZ43" s="2845"/>
      <c r="QHA43" s="2842"/>
      <c r="QHB43" s="2842"/>
      <c r="QHC43" s="2843"/>
      <c r="QHD43" s="2843"/>
      <c r="QHE43" s="2844"/>
      <c r="QHF43" s="2845"/>
      <c r="QHG43" s="2842"/>
      <c r="QHH43" s="2842"/>
      <c r="QHI43" s="2843"/>
      <c r="QHJ43" s="2843"/>
      <c r="QHK43" s="2844"/>
      <c r="QHL43" s="2845"/>
      <c r="QHM43" s="2842"/>
      <c r="QHN43" s="2842"/>
      <c r="QHO43" s="2843"/>
      <c r="QHP43" s="2843"/>
      <c r="QHQ43" s="2844"/>
      <c r="QHR43" s="2845"/>
      <c r="QHS43" s="2842"/>
      <c r="QHT43" s="2842"/>
      <c r="QHU43" s="2843"/>
      <c r="QHV43" s="2843"/>
      <c r="QHW43" s="2844"/>
      <c r="QHX43" s="2845"/>
      <c r="QHY43" s="2842"/>
      <c r="QHZ43" s="2842"/>
      <c r="QIA43" s="2843"/>
      <c r="QIB43" s="2843"/>
      <c r="QIC43" s="2844"/>
      <c r="QID43" s="2845"/>
      <c r="QIE43" s="2842"/>
      <c r="QIF43" s="2842"/>
      <c r="QIG43" s="2843"/>
      <c r="QIH43" s="2843"/>
      <c r="QII43" s="2844"/>
      <c r="QIJ43" s="2845"/>
      <c r="QIK43" s="2842"/>
      <c r="QIL43" s="2842"/>
      <c r="QIM43" s="2843"/>
      <c r="QIN43" s="2843"/>
      <c r="QIO43" s="2844"/>
      <c r="QIP43" s="2845"/>
      <c r="QIQ43" s="2842"/>
      <c r="QIR43" s="2842"/>
      <c r="QIS43" s="2843"/>
      <c r="QIT43" s="2843"/>
      <c r="QIU43" s="2844"/>
      <c r="QIV43" s="2845"/>
      <c r="QIW43" s="2842"/>
      <c r="QIX43" s="2842"/>
      <c r="QIY43" s="2843"/>
      <c r="QIZ43" s="2843"/>
      <c r="QJA43" s="2844"/>
      <c r="QJB43" s="2845"/>
      <c r="QJC43" s="2842"/>
      <c r="QJD43" s="2842"/>
      <c r="QJE43" s="2843"/>
      <c r="QJF43" s="2843"/>
      <c r="QJG43" s="2844"/>
      <c r="QJH43" s="2845"/>
      <c r="QJI43" s="2842"/>
      <c r="QJJ43" s="2842"/>
      <c r="QJK43" s="2843"/>
      <c r="QJL43" s="2843"/>
      <c r="QJM43" s="2844"/>
      <c r="QJN43" s="2845"/>
      <c r="QJO43" s="2842"/>
      <c r="QJP43" s="2842"/>
      <c r="QJQ43" s="2843"/>
      <c r="QJR43" s="2843"/>
      <c r="QJS43" s="2844"/>
      <c r="QJT43" s="2845"/>
      <c r="QJU43" s="2842"/>
      <c r="QJV43" s="2842"/>
      <c r="QJW43" s="2843"/>
      <c r="QJX43" s="2843"/>
      <c r="QJY43" s="2844"/>
      <c r="QJZ43" s="2845"/>
      <c r="QKA43" s="2842"/>
      <c r="QKB43" s="2842"/>
      <c r="QKC43" s="2843"/>
      <c r="QKD43" s="2843"/>
      <c r="QKE43" s="2844"/>
      <c r="QKF43" s="2845"/>
      <c r="QKG43" s="2842"/>
      <c r="QKH43" s="2842"/>
      <c r="QKI43" s="2843"/>
      <c r="QKJ43" s="2843"/>
      <c r="QKK43" s="2844"/>
      <c r="QKL43" s="2845"/>
      <c r="QKM43" s="2842"/>
      <c r="QKN43" s="2842"/>
      <c r="QKO43" s="2843"/>
      <c r="QKP43" s="2843"/>
      <c r="QKQ43" s="2844"/>
      <c r="QKR43" s="2845"/>
      <c r="QKS43" s="2842"/>
      <c r="QKT43" s="2842"/>
      <c r="QKU43" s="2843"/>
      <c r="QKV43" s="2843"/>
      <c r="QKW43" s="2844"/>
      <c r="QKX43" s="2845"/>
      <c r="QKY43" s="2842"/>
      <c r="QKZ43" s="2842"/>
      <c r="QLA43" s="2843"/>
      <c r="QLB43" s="2843"/>
      <c r="QLC43" s="2844"/>
      <c r="QLD43" s="2845"/>
      <c r="QLE43" s="2842"/>
      <c r="QLF43" s="2842"/>
      <c r="QLG43" s="2843"/>
      <c r="QLH43" s="2843"/>
      <c r="QLI43" s="2844"/>
      <c r="QLJ43" s="2845"/>
      <c r="QLK43" s="2842"/>
      <c r="QLL43" s="2842"/>
      <c r="QLM43" s="2843"/>
      <c r="QLN43" s="2843"/>
      <c r="QLO43" s="2844"/>
      <c r="QLP43" s="2845"/>
      <c r="QLQ43" s="2842"/>
      <c r="QLR43" s="2842"/>
      <c r="QLS43" s="2843"/>
      <c r="QLT43" s="2843"/>
      <c r="QLU43" s="2844"/>
      <c r="QLV43" s="2845"/>
      <c r="QLW43" s="2842"/>
      <c r="QLX43" s="2842"/>
      <c r="QLY43" s="2843"/>
      <c r="QLZ43" s="2843"/>
      <c r="QMA43" s="2844"/>
      <c r="QMB43" s="2845"/>
      <c r="QMC43" s="2842"/>
      <c r="QMD43" s="2842"/>
      <c r="QME43" s="2843"/>
      <c r="QMF43" s="2843"/>
      <c r="QMG43" s="2844"/>
      <c r="QMH43" s="2845"/>
      <c r="QMI43" s="2842"/>
      <c r="QMJ43" s="2842"/>
      <c r="QMK43" s="2843"/>
      <c r="QML43" s="2843"/>
      <c r="QMM43" s="2844"/>
      <c r="QMN43" s="2845"/>
      <c r="QMO43" s="2842"/>
      <c r="QMP43" s="2842"/>
      <c r="QMQ43" s="2843"/>
      <c r="QMR43" s="2843"/>
      <c r="QMS43" s="2844"/>
      <c r="QMT43" s="2845"/>
      <c r="QMU43" s="2842"/>
      <c r="QMV43" s="2842"/>
      <c r="QMW43" s="2843"/>
      <c r="QMX43" s="2843"/>
      <c r="QMY43" s="2844"/>
      <c r="QMZ43" s="2845"/>
      <c r="QNA43" s="2842"/>
      <c r="QNB43" s="2842"/>
      <c r="QNC43" s="2843"/>
      <c r="QND43" s="2843"/>
      <c r="QNE43" s="2844"/>
      <c r="QNF43" s="2845"/>
      <c r="QNG43" s="2842"/>
      <c r="QNH43" s="2842"/>
      <c r="QNI43" s="2843"/>
      <c r="QNJ43" s="2843"/>
      <c r="QNK43" s="2844"/>
      <c r="QNL43" s="2845"/>
      <c r="QNM43" s="2842"/>
      <c r="QNN43" s="2842"/>
      <c r="QNO43" s="2843"/>
      <c r="QNP43" s="2843"/>
      <c r="QNQ43" s="2844"/>
      <c r="QNR43" s="2845"/>
      <c r="QNS43" s="2842"/>
      <c r="QNT43" s="2842"/>
      <c r="QNU43" s="2843"/>
      <c r="QNV43" s="2843"/>
      <c r="QNW43" s="2844"/>
      <c r="QNX43" s="2845"/>
      <c r="QNY43" s="2842"/>
      <c r="QNZ43" s="2842"/>
      <c r="QOA43" s="2843"/>
      <c r="QOB43" s="2843"/>
      <c r="QOC43" s="2844"/>
      <c r="QOD43" s="2845"/>
      <c r="QOE43" s="2842"/>
      <c r="QOF43" s="2842"/>
      <c r="QOG43" s="2843"/>
      <c r="QOH43" s="2843"/>
      <c r="QOI43" s="2844"/>
      <c r="QOJ43" s="2845"/>
      <c r="QOK43" s="2842"/>
      <c r="QOL43" s="2842"/>
      <c r="QOM43" s="2843"/>
      <c r="QON43" s="2843"/>
      <c r="QOO43" s="2844"/>
      <c r="QOP43" s="2845"/>
      <c r="QOQ43" s="2842"/>
      <c r="QOR43" s="2842"/>
      <c r="QOS43" s="2843"/>
      <c r="QOT43" s="2843"/>
      <c r="QOU43" s="2844"/>
      <c r="QOV43" s="2845"/>
      <c r="QOW43" s="2842"/>
      <c r="QOX43" s="2842"/>
      <c r="QOY43" s="2843"/>
      <c r="QOZ43" s="2843"/>
      <c r="QPA43" s="2844"/>
      <c r="QPB43" s="2845"/>
      <c r="QPC43" s="2842"/>
      <c r="QPD43" s="2842"/>
      <c r="QPE43" s="2843"/>
      <c r="QPF43" s="2843"/>
      <c r="QPG43" s="2844"/>
      <c r="QPH43" s="2845"/>
      <c r="QPI43" s="2842"/>
      <c r="QPJ43" s="2842"/>
      <c r="QPK43" s="2843"/>
      <c r="QPL43" s="2843"/>
      <c r="QPM43" s="2844"/>
      <c r="QPN43" s="2845"/>
      <c r="QPO43" s="2842"/>
      <c r="QPP43" s="2842"/>
      <c r="QPQ43" s="2843"/>
      <c r="QPR43" s="2843"/>
      <c r="QPS43" s="2844"/>
      <c r="QPT43" s="2845"/>
      <c r="QPU43" s="2842"/>
      <c r="QPV43" s="2842"/>
      <c r="QPW43" s="2843"/>
      <c r="QPX43" s="2843"/>
      <c r="QPY43" s="2844"/>
      <c r="QPZ43" s="2845"/>
      <c r="QQA43" s="2842"/>
      <c r="QQB43" s="2842"/>
      <c r="QQC43" s="2843"/>
      <c r="QQD43" s="2843"/>
      <c r="QQE43" s="2844"/>
      <c r="QQF43" s="2845"/>
      <c r="QQG43" s="2842"/>
      <c r="QQH43" s="2842"/>
      <c r="QQI43" s="2843"/>
      <c r="QQJ43" s="2843"/>
      <c r="QQK43" s="2844"/>
      <c r="QQL43" s="2845"/>
      <c r="QQM43" s="2842"/>
      <c r="QQN43" s="2842"/>
      <c r="QQO43" s="2843"/>
      <c r="QQP43" s="2843"/>
      <c r="QQQ43" s="2844"/>
      <c r="QQR43" s="2845"/>
      <c r="QQS43" s="2842"/>
      <c r="QQT43" s="2842"/>
      <c r="QQU43" s="2843"/>
      <c r="QQV43" s="2843"/>
      <c r="QQW43" s="2844"/>
      <c r="QQX43" s="2845"/>
      <c r="QQY43" s="2842"/>
      <c r="QQZ43" s="2842"/>
      <c r="QRA43" s="2843"/>
      <c r="QRB43" s="2843"/>
      <c r="QRC43" s="2844"/>
      <c r="QRD43" s="2845"/>
      <c r="QRE43" s="2842"/>
      <c r="QRF43" s="2842"/>
      <c r="QRG43" s="2843"/>
      <c r="QRH43" s="2843"/>
      <c r="QRI43" s="2844"/>
      <c r="QRJ43" s="2845"/>
      <c r="QRK43" s="2842"/>
      <c r="QRL43" s="2842"/>
      <c r="QRM43" s="2843"/>
      <c r="QRN43" s="2843"/>
      <c r="QRO43" s="2844"/>
      <c r="QRP43" s="2845"/>
      <c r="QRQ43" s="2842"/>
      <c r="QRR43" s="2842"/>
      <c r="QRS43" s="2843"/>
      <c r="QRT43" s="2843"/>
      <c r="QRU43" s="2844"/>
      <c r="QRV43" s="2845"/>
      <c r="QRW43" s="2842"/>
      <c r="QRX43" s="2842"/>
      <c r="QRY43" s="2843"/>
      <c r="QRZ43" s="2843"/>
      <c r="QSA43" s="2844"/>
      <c r="QSB43" s="2845"/>
      <c r="QSC43" s="2842"/>
      <c r="QSD43" s="2842"/>
      <c r="QSE43" s="2843"/>
      <c r="QSF43" s="2843"/>
      <c r="QSG43" s="2844"/>
      <c r="QSH43" s="2845"/>
      <c r="QSI43" s="2842"/>
      <c r="QSJ43" s="2842"/>
      <c r="QSK43" s="2843"/>
      <c r="QSL43" s="2843"/>
      <c r="QSM43" s="2844"/>
      <c r="QSN43" s="2845"/>
      <c r="QSO43" s="2842"/>
      <c r="QSP43" s="2842"/>
      <c r="QSQ43" s="2843"/>
      <c r="QSR43" s="2843"/>
      <c r="QSS43" s="2844"/>
      <c r="QST43" s="2845"/>
      <c r="QSU43" s="2842"/>
      <c r="QSV43" s="2842"/>
      <c r="QSW43" s="2843"/>
      <c r="QSX43" s="2843"/>
      <c r="QSY43" s="2844"/>
      <c r="QSZ43" s="2845"/>
      <c r="QTA43" s="2842"/>
      <c r="QTB43" s="2842"/>
      <c r="QTC43" s="2843"/>
      <c r="QTD43" s="2843"/>
      <c r="QTE43" s="2844"/>
      <c r="QTF43" s="2845"/>
      <c r="QTG43" s="2842"/>
      <c r="QTH43" s="2842"/>
      <c r="QTI43" s="2843"/>
      <c r="QTJ43" s="2843"/>
      <c r="QTK43" s="2844"/>
      <c r="QTL43" s="2845"/>
      <c r="QTM43" s="2842"/>
      <c r="QTN43" s="2842"/>
      <c r="QTO43" s="2843"/>
      <c r="QTP43" s="2843"/>
      <c r="QTQ43" s="2844"/>
      <c r="QTR43" s="2845"/>
      <c r="QTS43" s="2842"/>
      <c r="QTT43" s="2842"/>
      <c r="QTU43" s="2843"/>
      <c r="QTV43" s="2843"/>
      <c r="QTW43" s="2844"/>
      <c r="QTX43" s="2845"/>
      <c r="QTY43" s="2842"/>
      <c r="QTZ43" s="2842"/>
      <c r="QUA43" s="2843"/>
      <c r="QUB43" s="2843"/>
      <c r="QUC43" s="2844"/>
      <c r="QUD43" s="2845"/>
      <c r="QUE43" s="2842"/>
      <c r="QUF43" s="2842"/>
      <c r="QUG43" s="2843"/>
      <c r="QUH43" s="2843"/>
      <c r="QUI43" s="2844"/>
      <c r="QUJ43" s="2845"/>
      <c r="QUK43" s="2842"/>
      <c r="QUL43" s="2842"/>
      <c r="QUM43" s="2843"/>
      <c r="QUN43" s="2843"/>
      <c r="QUO43" s="2844"/>
      <c r="QUP43" s="2845"/>
      <c r="QUQ43" s="2842"/>
      <c r="QUR43" s="2842"/>
      <c r="QUS43" s="2843"/>
      <c r="QUT43" s="2843"/>
      <c r="QUU43" s="2844"/>
      <c r="QUV43" s="2845"/>
      <c r="QUW43" s="2842"/>
      <c r="QUX43" s="2842"/>
      <c r="QUY43" s="2843"/>
      <c r="QUZ43" s="2843"/>
      <c r="QVA43" s="2844"/>
      <c r="QVB43" s="2845"/>
      <c r="QVC43" s="2842"/>
      <c r="QVD43" s="2842"/>
      <c r="QVE43" s="2843"/>
      <c r="QVF43" s="2843"/>
      <c r="QVG43" s="2844"/>
      <c r="QVH43" s="2845"/>
      <c r="QVI43" s="2842"/>
      <c r="QVJ43" s="2842"/>
      <c r="QVK43" s="2843"/>
      <c r="QVL43" s="2843"/>
      <c r="QVM43" s="2844"/>
      <c r="QVN43" s="2845"/>
      <c r="QVO43" s="2842"/>
      <c r="QVP43" s="2842"/>
      <c r="QVQ43" s="2843"/>
      <c r="QVR43" s="2843"/>
      <c r="QVS43" s="2844"/>
      <c r="QVT43" s="2845"/>
      <c r="QVU43" s="2842"/>
      <c r="QVV43" s="2842"/>
      <c r="QVW43" s="2843"/>
      <c r="QVX43" s="2843"/>
      <c r="QVY43" s="2844"/>
      <c r="QVZ43" s="2845"/>
      <c r="QWA43" s="2842"/>
      <c r="QWB43" s="2842"/>
      <c r="QWC43" s="2843"/>
      <c r="QWD43" s="2843"/>
      <c r="QWE43" s="2844"/>
      <c r="QWF43" s="2845"/>
      <c r="QWG43" s="2842"/>
      <c r="QWH43" s="2842"/>
      <c r="QWI43" s="2843"/>
      <c r="QWJ43" s="2843"/>
      <c r="QWK43" s="2844"/>
      <c r="QWL43" s="2845"/>
      <c r="QWM43" s="2842"/>
      <c r="QWN43" s="2842"/>
      <c r="QWO43" s="2843"/>
      <c r="QWP43" s="2843"/>
      <c r="QWQ43" s="2844"/>
      <c r="QWR43" s="2845"/>
      <c r="QWS43" s="2842"/>
      <c r="QWT43" s="2842"/>
      <c r="QWU43" s="2843"/>
      <c r="QWV43" s="2843"/>
      <c r="QWW43" s="2844"/>
      <c r="QWX43" s="2845"/>
      <c r="QWY43" s="2842"/>
      <c r="QWZ43" s="2842"/>
      <c r="QXA43" s="2843"/>
      <c r="QXB43" s="2843"/>
      <c r="QXC43" s="2844"/>
      <c r="QXD43" s="2845"/>
      <c r="QXE43" s="2842"/>
      <c r="QXF43" s="2842"/>
      <c r="QXG43" s="2843"/>
      <c r="QXH43" s="2843"/>
      <c r="QXI43" s="2844"/>
      <c r="QXJ43" s="2845"/>
      <c r="QXK43" s="2842"/>
      <c r="QXL43" s="2842"/>
      <c r="QXM43" s="2843"/>
      <c r="QXN43" s="2843"/>
      <c r="QXO43" s="2844"/>
      <c r="QXP43" s="2845"/>
      <c r="QXQ43" s="2842"/>
      <c r="QXR43" s="2842"/>
      <c r="QXS43" s="2843"/>
      <c r="QXT43" s="2843"/>
      <c r="QXU43" s="2844"/>
      <c r="QXV43" s="2845"/>
      <c r="QXW43" s="2842"/>
      <c r="QXX43" s="2842"/>
      <c r="QXY43" s="2843"/>
      <c r="QXZ43" s="2843"/>
      <c r="QYA43" s="2844"/>
      <c r="QYB43" s="2845"/>
      <c r="QYC43" s="2842"/>
      <c r="QYD43" s="2842"/>
      <c r="QYE43" s="2843"/>
      <c r="QYF43" s="2843"/>
      <c r="QYG43" s="2844"/>
      <c r="QYH43" s="2845"/>
      <c r="QYI43" s="2842"/>
      <c r="QYJ43" s="2842"/>
      <c r="QYK43" s="2843"/>
      <c r="QYL43" s="2843"/>
      <c r="QYM43" s="2844"/>
      <c r="QYN43" s="2845"/>
      <c r="QYO43" s="2842"/>
      <c r="QYP43" s="2842"/>
      <c r="QYQ43" s="2843"/>
      <c r="QYR43" s="2843"/>
      <c r="QYS43" s="2844"/>
      <c r="QYT43" s="2845"/>
      <c r="QYU43" s="2842"/>
      <c r="QYV43" s="2842"/>
      <c r="QYW43" s="2843"/>
      <c r="QYX43" s="2843"/>
      <c r="QYY43" s="2844"/>
      <c r="QYZ43" s="2845"/>
      <c r="QZA43" s="2842"/>
      <c r="QZB43" s="2842"/>
      <c r="QZC43" s="2843"/>
      <c r="QZD43" s="2843"/>
      <c r="QZE43" s="2844"/>
      <c r="QZF43" s="2845"/>
      <c r="QZG43" s="2842"/>
      <c r="QZH43" s="2842"/>
      <c r="QZI43" s="2843"/>
      <c r="QZJ43" s="2843"/>
      <c r="QZK43" s="2844"/>
      <c r="QZL43" s="2845"/>
      <c r="QZM43" s="2842"/>
      <c r="QZN43" s="2842"/>
      <c r="QZO43" s="2843"/>
      <c r="QZP43" s="2843"/>
      <c r="QZQ43" s="2844"/>
      <c r="QZR43" s="2845"/>
      <c r="QZS43" s="2842"/>
      <c r="QZT43" s="2842"/>
      <c r="QZU43" s="2843"/>
      <c r="QZV43" s="2843"/>
      <c r="QZW43" s="2844"/>
      <c r="QZX43" s="2845"/>
      <c r="QZY43" s="2842"/>
      <c r="QZZ43" s="2842"/>
      <c r="RAA43" s="2843"/>
      <c r="RAB43" s="2843"/>
      <c r="RAC43" s="2844"/>
      <c r="RAD43" s="2845"/>
      <c r="RAE43" s="2842"/>
      <c r="RAF43" s="2842"/>
      <c r="RAG43" s="2843"/>
      <c r="RAH43" s="2843"/>
      <c r="RAI43" s="2844"/>
      <c r="RAJ43" s="2845"/>
      <c r="RAK43" s="2842"/>
      <c r="RAL43" s="2842"/>
      <c r="RAM43" s="2843"/>
      <c r="RAN43" s="2843"/>
      <c r="RAO43" s="2844"/>
      <c r="RAP43" s="2845"/>
      <c r="RAQ43" s="2842"/>
      <c r="RAR43" s="2842"/>
      <c r="RAS43" s="2843"/>
      <c r="RAT43" s="2843"/>
      <c r="RAU43" s="2844"/>
      <c r="RAV43" s="2845"/>
      <c r="RAW43" s="2842"/>
      <c r="RAX43" s="2842"/>
      <c r="RAY43" s="2843"/>
      <c r="RAZ43" s="2843"/>
      <c r="RBA43" s="2844"/>
      <c r="RBB43" s="2845"/>
      <c r="RBC43" s="2842"/>
      <c r="RBD43" s="2842"/>
      <c r="RBE43" s="2843"/>
      <c r="RBF43" s="2843"/>
      <c r="RBG43" s="2844"/>
      <c r="RBH43" s="2845"/>
      <c r="RBI43" s="2842"/>
      <c r="RBJ43" s="2842"/>
      <c r="RBK43" s="2843"/>
      <c r="RBL43" s="2843"/>
      <c r="RBM43" s="2844"/>
      <c r="RBN43" s="2845"/>
      <c r="RBO43" s="2842"/>
      <c r="RBP43" s="2842"/>
      <c r="RBQ43" s="2843"/>
      <c r="RBR43" s="2843"/>
      <c r="RBS43" s="2844"/>
      <c r="RBT43" s="2845"/>
      <c r="RBU43" s="2842"/>
      <c r="RBV43" s="2842"/>
      <c r="RBW43" s="2843"/>
      <c r="RBX43" s="2843"/>
      <c r="RBY43" s="2844"/>
      <c r="RBZ43" s="2845"/>
      <c r="RCA43" s="2842"/>
      <c r="RCB43" s="2842"/>
      <c r="RCC43" s="2843"/>
      <c r="RCD43" s="2843"/>
      <c r="RCE43" s="2844"/>
      <c r="RCF43" s="2845"/>
      <c r="RCG43" s="2842"/>
      <c r="RCH43" s="2842"/>
      <c r="RCI43" s="2843"/>
      <c r="RCJ43" s="2843"/>
      <c r="RCK43" s="2844"/>
      <c r="RCL43" s="2845"/>
      <c r="RCM43" s="2842"/>
      <c r="RCN43" s="2842"/>
      <c r="RCO43" s="2843"/>
      <c r="RCP43" s="2843"/>
      <c r="RCQ43" s="2844"/>
      <c r="RCR43" s="2845"/>
      <c r="RCS43" s="2842"/>
      <c r="RCT43" s="2842"/>
      <c r="RCU43" s="2843"/>
      <c r="RCV43" s="2843"/>
      <c r="RCW43" s="2844"/>
      <c r="RCX43" s="2845"/>
      <c r="RCY43" s="2842"/>
      <c r="RCZ43" s="2842"/>
      <c r="RDA43" s="2843"/>
      <c r="RDB43" s="2843"/>
      <c r="RDC43" s="2844"/>
      <c r="RDD43" s="2845"/>
      <c r="RDE43" s="2842"/>
      <c r="RDF43" s="2842"/>
      <c r="RDG43" s="2843"/>
      <c r="RDH43" s="2843"/>
      <c r="RDI43" s="2844"/>
      <c r="RDJ43" s="2845"/>
      <c r="RDK43" s="2842"/>
      <c r="RDL43" s="2842"/>
      <c r="RDM43" s="2843"/>
      <c r="RDN43" s="2843"/>
      <c r="RDO43" s="2844"/>
      <c r="RDP43" s="2845"/>
      <c r="RDQ43" s="2842"/>
      <c r="RDR43" s="2842"/>
      <c r="RDS43" s="2843"/>
      <c r="RDT43" s="2843"/>
      <c r="RDU43" s="2844"/>
      <c r="RDV43" s="2845"/>
      <c r="RDW43" s="2842"/>
      <c r="RDX43" s="2842"/>
      <c r="RDY43" s="2843"/>
      <c r="RDZ43" s="2843"/>
      <c r="REA43" s="2844"/>
      <c r="REB43" s="2845"/>
      <c r="REC43" s="2842"/>
      <c r="RED43" s="2842"/>
      <c r="REE43" s="2843"/>
      <c r="REF43" s="2843"/>
      <c r="REG43" s="2844"/>
      <c r="REH43" s="2845"/>
      <c r="REI43" s="2842"/>
      <c r="REJ43" s="2842"/>
      <c r="REK43" s="2843"/>
      <c r="REL43" s="2843"/>
      <c r="REM43" s="2844"/>
      <c r="REN43" s="2845"/>
      <c r="REO43" s="2842"/>
      <c r="REP43" s="2842"/>
      <c r="REQ43" s="2843"/>
      <c r="RER43" s="2843"/>
      <c r="RES43" s="2844"/>
      <c r="RET43" s="2845"/>
      <c r="REU43" s="2842"/>
      <c r="REV43" s="2842"/>
      <c r="REW43" s="2843"/>
      <c r="REX43" s="2843"/>
      <c r="REY43" s="2844"/>
      <c r="REZ43" s="2845"/>
      <c r="RFA43" s="2842"/>
      <c r="RFB43" s="2842"/>
      <c r="RFC43" s="2843"/>
      <c r="RFD43" s="2843"/>
      <c r="RFE43" s="2844"/>
      <c r="RFF43" s="2845"/>
      <c r="RFG43" s="2842"/>
      <c r="RFH43" s="2842"/>
      <c r="RFI43" s="2843"/>
      <c r="RFJ43" s="2843"/>
      <c r="RFK43" s="2844"/>
      <c r="RFL43" s="2845"/>
      <c r="RFM43" s="2842"/>
      <c r="RFN43" s="2842"/>
      <c r="RFO43" s="2843"/>
      <c r="RFP43" s="2843"/>
      <c r="RFQ43" s="2844"/>
      <c r="RFR43" s="2845"/>
      <c r="RFS43" s="2842"/>
      <c r="RFT43" s="2842"/>
      <c r="RFU43" s="2843"/>
      <c r="RFV43" s="2843"/>
      <c r="RFW43" s="2844"/>
      <c r="RFX43" s="2845"/>
      <c r="RFY43" s="2842"/>
      <c r="RFZ43" s="2842"/>
      <c r="RGA43" s="2843"/>
      <c r="RGB43" s="2843"/>
      <c r="RGC43" s="2844"/>
      <c r="RGD43" s="2845"/>
      <c r="RGE43" s="2842"/>
      <c r="RGF43" s="2842"/>
      <c r="RGG43" s="2843"/>
      <c r="RGH43" s="2843"/>
      <c r="RGI43" s="2844"/>
      <c r="RGJ43" s="2845"/>
      <c r="RGK43" s="2842"/>
      <c r="RGL43" s="2842"/>
      <c r="RGM43" s="2843"/>
      <c r="RGN43" s="2843"/>
      <c r="RGO43" s="2844"/>
      <c r="RGP43" s="2845"/>
      <c r="RGQ43" s="2842"/>
      <c r="RGR43" s="2842"/>
      <c r="RGS43" s="2843"/>
      <c r="RGT43" s="2843"/>
      <c r="RGU43" s="2844"/>
      <c r="RGV43" s="2845"/>
      <c r="RGW43" s="2842"/>
      <c r="RGX43" s="2842"/>
      <c r="RGY43" s="2843"/>
      <c r="RGZ43" s="2843"/>
      <c r="RHA43" s="2844"/>
      <c r="RHB43" s="2845"/>
      <c r="RHC43" s="2842"/>
      <c r="RHD43" s="2842"/>
      <c r="RHE43" s="2843"/>
      <c r="RHF43" s="2843"/>
      <c r="RHG43" s="2844"/>
      <c r="RHH43" s="2845"/>
      <c r="RHI43" s="2842"/>
      <c r="RHJ43" s="2842"/>
      <c r="RHK43" s="2843"/>
      <c r="RHL43" s="2843"/>
      <c r="RHM43" s="2844"/>
      <c r="RHN43" s="2845"/>
      <c r="RHO43" s="2842"/>
      <c r="RHP43" s="2842"/>
      <c r="RHQ43" s="2843"/>
      <c r="RHR43" s="2843"/>
      <c r="RHS43" s="2844"/>
      <c r="RHT43" s="2845"/>
      <c r="RHU43" s="2842"/>
      <c r="RHV43" s="2842"/>
      <c r="RHW43" s="2843"/>
      <c r="RHX43" s="2843"/>
      <c r="RHY43" s="2844"/>
      <c r="RHZ43" s="2845"/>
      <c r="RIA43" s="2842"/>
      <c r="RIB43" s="2842"/>
      <c r="RIC43" s="2843"/>
      <c r="RID43" s="2843"/>
      <c r="RIE43" s="2844"/>
      <c r="RIF43" s="2845"/>
      <c r="RIG43" s="2842"/>
      <c r="RIH43" s="2842"/>
      <c r="RII43" s="2843"/>
      <c r="RIJ43" s="2843"/>
      <c r="RIK43" s="2844"/>
      <c r="RIL43" s="2845"/>
      <c r="RIM43" s="2842"/>
      <c r="RIN43" s="2842"/>
      <c r="RIO43" s="2843"/>
      <c r="RIP43" s="2843"/>
      <c r="RIQ43" s="2844"/>
      <c r="RIR43" s="2845"/>
      <c r="RIS43" s="2842"/>
      <c r="RIT43" s="2842"/>
      <c r="RIU43" s="2843"/>
      <c r="RIV43" s="2843"/>
      <c r="RIW43" s="2844"/>
      <c r="RIX43" s="2845"/>
      <c r="RIY43" s="2842"/>
      <c r="RIZ43" s="2842"/>
      <c r="RJA43" s="2843"/>
      <c r="RJB43" s="2843"/>
      <c r="RJC43" s="2844"/>
      <c r="RJD43" s="2845"/>
      <c r="RJE43" s="2842"/>
      <c r="RJF43" s="2842"/>
      <c r="RJG43" s="2843"/>
      <c r="RJH43" s="2843"/>
      <c r="RJI43" s="2844"/>
      <c r="RJJ43" s="2845"/>
      <c r="RJK43" s="2842"/>
      <c r="RJL43" s="2842"/>
      <c r="RJM43" s="2843"/>
      <c r="RJN43" s="2843"/>
      <c r="RJO43" s="2844"/>
      <c r="RJP43" s="2845"/>
      <c r="RJQ43" s="2842"/>
      <c r="RJR43" s="2842"/>
      <c r="RJS43" s="2843"/>
      <c r="RJT43" s="2843"/>
      <c r="RJU43" s="2844"/>
      <c r="RJV43" s="2845"/>
      <c r="RJW43" s="2842"/>
      <c r="RJX43" s="2842"/>
      <c r="RJY43" s="2843"/>
      <c r="RJZ43" s="2843"/>
      <c r="RKA43" s="2844"/>
      <c r="RKB43" s="2845"/>
      <c r="RKC43" s="2842"/>
      <c r="RKD43" s="2842"/>
      <c r="RKE43" s="2843"/>
      <c r="RKF43" s="2843"/>
      <c r="RKG43" s="2844"/>
      <c r="RKH43" s="2845"/>
      <c r="RKI43" s="2842"/>
      <c r="RKJ43" s="2842"/>
      <c r="RKK43" s="2843"/>
      <c r="RKL43" s="2843"/>
      <c r="RKM43" s="2844"/>
      <c r="RKN43" s="2845"/>
      <c r="RKO43" s="2842"/>
      <c r="RKP43" s="2842"/>
      <c r="RKQ43" s="2843"/>
      <c r="RKR43" s="2843"/>
      <c r="RKS43" s="2844"/>
      <c r="RKT43" s="2845"/>
      <c r="RKU43" s="2842"/>
      <c r="RKV43" s="2842"/>
      <c r="RKW43" s="2843"/>
      <c r="RKX43" s="2843"/>
      <c r="RKY43" s="2844"/>
      <c r="RKZ43" s="2845"/>
      <c r="RLA43" s="2842"/>
      <c r="RLB43" s="2842"/>
      <c r="RLC43" s="2843"/>
      <c r="RLD43" s="2843"/>
      <c r="RLE43" s="2844"/>
      <c r="RLF43" s="2845"/>
      <c r="RLG43" s="2842"/>
      <c r="RLH43" s="2842"/>
      <c r="RLI43" s="2843"/>
      <c r="RLJ43" s="2843"/>
      <c r="RLK43" s="2844"/>
      <c r="RLL43" s="2845"/>
      <c r="RLM43" s="2842"/>
      <c r="RLN43" s="2842"/>
      <c r="RLO43" s="2843"/>
      <c r="RLP43" s="2843"/>
      <c r="RLQ43" s="2844"/>
      <c r="RLR43" s="2845"/>
      <c r="RLS43" s="2842"/>
      <c r="RLT43" s="2842"/>
      <c r="RLU43" s="2843"/>
      <c r="RLV43" s="2843"/>
      <c r="RLW43" s="2844"/>
      <c r="RLX43" s="2845"/>
      <c r="RLY43" s="2842"/>
      <c r="RLZ43" s="2842"/>
      <c r="RMA43" s="2843"/>
      <c r="RMB43" s="2843"/>
      <c r="RMC43" s="2844"/>
      <c r="RMD43" s="2845"/>
      <c r="RME43" s="2842"/>
      <c r="RMF43" s="2842"/>
      <c r="RMG43" s="2843"/>
      <c r="RMH43" s="2843"/>
      <c r="RMI43" s="2844"/>
      <c r="RMJ43" s="2845"/>
      <c r="RMK43" s="2842"/>
      <c r="RML43" s="2842"/>
      <c r="RMM43" s="2843"/>
      <c r="RMN43" s="2843"/>
      <c r="RMO43" s="2844"/>
      <c r="RMP43" s="2845"/>
      <c r="RMQ43" s="2842"/>
      <c r="RMR43" s="2842"/>
      <c r="RMS43" s="2843"/>
      <c r="RMT43" s="2843"/>
      <c r="RMU43" s="2844"/>
      <c r="RMV43" s="2845"/>
      <c r="RMW43" s="2842"/>
      <c r="RMX43" s="2842"/>
      <c r="RMY43" s="2843"/>
      <c r="RMZ43" s="2843"/>
      <c r="RNA43" s="2844"/>
      <c r="RNB43" s="2845"/>
      <c r="RNC43" s="2842"/>
      <c r="RND43" s="2842"/>
      <c r="RNE43" s="2843"/>
      <c r="RNF43" s="2843"/>
      <c r="RNG43" s="2844"/>
      <c r="RNH43" s="2845"/>
      <c r="RNI43" s="2842"/>
      <c r="RNJ43" s="2842"/>
      <c r="RNK43" s="2843"/>
      <c r="RNL43" s="2843"/>
      <c r="RNM43" s="2844"/>
      <c r="RNN43" s="2845"/>
      <c r="RNO43" s="2842"/>
      <c r="RNP43" s="2842"/>
      <c r="RNQ43" s="2843"/>
      <c r="RNR43" s="2843"/>
      <c r="RNS43" s="2844"/>
      <c r="RNT43" s="2845"/>
      <c r="RNU43" s="2842"/>
      <c r="RNV43" s="2842"/>
      <c r="RNW43" s="2843"/>
      <c r="RNX43" s="2843"/>
      <c r="RNY43" s="2844"/>
      <c r="RNZ43" s="2845"/>
      <c r="ROA43" s="2842"/>
      <c r="ROB43" s="2842"/>
      <c r="ROC43" s="2843"/>
      <c r="ROD43" s="2843"/>
      <c r="ROE43" s="2844"/>
      <c r="ROF43" s="2845"/>
      <c r="ROG43" s="2842"/>
      <c r="ROH43" s="2842"/>
      <c r="ROI43" s="2843"/>
      <c r="ROJ43" s="2843"/>
      <c r="ROK43" s="2844"/>
      <c r="ROL43" s="2845"/>
      <c r="ROM43" s="2842"/>
      <c r="RON43" s="2842"/>
      <c r="ROO43" s="2843"/>
      <c r="ROP43" s="2843"/>
      <c r="ROQ43" s="2844"/>
      <c r="ROR43" s="2845"/>
      <c r="ROS43" s="2842"/>
      <c r="ROT43" s="2842"/>
      <c r="ROU43" s="2843"/>
      <c r="ROV43" s="2843"/>
      <c r="ROW43" s="2844"/>
      <c r="ROX43" s="2845"/>
      <c r="ROY43" s="2842"/>
      <c r="ROZ43" s="2842"/>
      <c r="RPA43" s="2843"/>
      <c r="RPB43" s="2843"/>
      <c r="RPC43" s="2844"/>
      <c r="RPD43" s="2845"/>
      <c r="RPE43" s="2842"/>
      <c r="RPF43" s="2842"/>
      <c r="RPG43" s="2843"/>
      <c r="RPH43" s="2843"/>
      <c r="RPI43" s="2844"/>
      <c r="RPJ43" s="2845"/>
      <c r="RPK43" s="2842"/>
      <c r="RPL43" s="2842"/>
      <c r="RPM43" s="2843"/>
      <c r="RPN43" s="2843"/>
      <c r="RPO43" s="2844"/>
      <c r="RPP43" s="2845"/>
      <c r="RPQ43" s="2842"/>
      <c r="RPR43" s="2842"/>
      <c r="RPS43" s="2843"/>
      <c r="RPT43" s="2843"/>
      <c r="RPU43" s="2844"/>
      <c r="RPV43" s="2845"/>
      <c r="RPW43" s="2842"/>
      <c r="RPX43" s="2842"/>
      <c r="RPY43" s="2843"/>
      <c r="RPZ43" s="2843"/>
      <c r="RQA43" s="2844"/>
      <c r="RQB43" s="2845"/>
      <c r="RQC43" s="2842"/>
      <c r="RQD43" s="2842"/>
      <c r="RQE43" s="2843"/>
      <c r="RQF43" s="2843"/>
      <c r="RQG43" s="2844"/>
      <c r="RQH43" s="2845"/>
      <c r="RQI43" s="2842"/>
      <c r="RQJ43" s="2842"/>
      <c r="RQK43" s="2843"/>
      <c r="RQL43" s="2843"/>
      <c r="RQM43" s="2844"/>
      <c r="RQN43" s="2845"/>
      <c r="RQO43" s="2842"/>
      <c r="RQP43" s="2842"/>
      <c r="RQQ43" s="2843"/>
      <c r="RQR43" s="2843"/>
      <c r="RQS43" s="2844"/>
      <c r="RQT43" s="2845"/>
      <c r="RQU43" s="2842"/>
      <c r="RQV43" s="2842"/>
      <c r="RQW43" s="2843"/>
      <c r="RQX43" s="2843"/>
      <c r="RQY43" s="2844"/>
      <c r="RQZ43" s="2845"/>
      <c r="RRA43" s="2842"/>
      <c r="RRB43" s="2842"/>
      <c r="RRC43" s="2843"/>
      <c r="RRD43" s="2843"/>
      <c r="RRE43" s="2844"/>
      <c r="RRF43" s="2845"/>
      <c r="RRG43" s="2842"/>
      <c r="RRH43" s="2842"/>
      <c r="RRI43" s="2843"/>
      <c r="RRJ43" s="2843"/>
      <c r="RRK43" s="2844"/>
      <c r="RRL43" s="2845"/>
      <c r="RRM43" s="2842"/>
      <c r="RRN43" s="2842"/>
      <c r="RRO43" s="2843"/>
      <c r="RRP43" s="2843"/>
      <c r="RRQ43" s="2844"/>
      <c r="RRR43" s="2845"/>
      <c r="RRS43" s="2842"/>
      <c r="RRT43" s="2842"/>
      <c r="RRU43" s="2843"/>
      <c r="RRV43" s="2843"/>
      <c r="RRW43" s="2844"/>
      <c r="RRX43" s="2845"/>
      <c r="RRY43" s="2842"/>
      <c r="RRZ43" s="2842"/>
      <c r="RSA43" s="2843"/>
      <c r="RSB43" s="2843"/>
      <c r="RSC43" s="2844"/>
      <c r="RSD43" s="2845"/>
      <c r="RSE43" s="2842"/>
      <c r="RSF43" s="2842"/>
      <c r="RSG43" s="2843"/>
      <c r="RSH43" s="2843"/>
      <c r="RSI43" s="2844"/>
      <c r="RSJ43" s="2845"/>
      <c r="RSK43" s="2842"/>
      <c r="RSL43" s="2842"/>
      <c r="RSM43" s="2843"/>
      <c r="RSN43" s="2843"/>
      <c r="RSO43" s="2844"/>
      <c r="RSP43" s="2845"/>
      <c r="RSQ43" s="2842"/>
      <c r="RSR43" s="2842"/>
      <c r="RSS43" s="2843"/>
      <c r="RST43" s="2843"/>
      <c r="RSU43" s="2844"/>
      <c r="RSV43" s="2845"/>
      <c r="RSW43" s="2842"/>
      <c r="RSX43" s="2842"/>
      <c r="RSY43" s="2843"/>
      <c r="RSZ43" s="2843"/>
      <c r="RTA43" s="2844"/>
      <c r="RTB43" s="2845"/>
      <c r="RTC43" s="2842"/>
      <c r="RTD43" s="2842"/>
      <c r="RTE43" s="2843"/>
      <c r="RTF43" s="2843"/>
      <c r="RTG43" s="2844"/>
      <c r="RTH43" s="2845"/>
      <c r="RTI43" s="2842"/>
      <c r="RTJ43" s="2842"/>
      <c r="RTK43" s="2843"/>
      <c r="RTL43" s="2843"/>
      <c r="RTM43" s="2844"/>
      <c r="RTN43" s="2845"/>
      <c r="RTO43" s="2842"/>
      <c r="RTP43" s="2842"/>
      <c r="RTQ43" s="2843"/>
      <c r="RTR43" s="2843"/>
      <c r="RTS43" s="2844"/>
      <c r="RTT43" s="2845"/>
      <c r="RTU43" s="2842"/>
      <c r="RTV43" s="2842"/>
      <c r="RTW43" s="2843"/>
      <c r="RTX43" s="2843"/>
      <c r="RTY43" s="2844"/>
      <c r="RTZ43" s="2845"/>
      <c r="RUA43" s="2842"/>
      <c r="RUB43" s="2842"/>
      <c r="RUC43" s="2843"/>
      <c r="RUD43" s="2843"/>
      <c r="RUE43" s="2844"/>
      <c r="RUF43" s="2845"/>
      <c r="RUG43" s="2842"/>
      <c r="RUH43" s="2842"/>
      <c r="RUI43" s="2843"/>
      <c r="RUJ43" s="2843"/>
      <c r="RUK43" s="2844"/>
      <c r="RUL43" s="2845"/>
      <c r="RUM43" s="2842"/>
      <c r="RUN43" s="2842"/>
      <c r="RUO43" s="2843"/>
      <c r="RUP43" s="2843"/>
      <c r="RUQ43" s="2844"/>
      <c r="RUR43" s="2845"/>
      <c r="RUS43" s="2842"/>
      <c r="RUT43" s="2842"/>
      <c r="RUU43" s="2843"/>
      <c r="RUV43" s="2843"/>
      <c r="RUW43" s="2844"/>
      <c r="RUX43" s="2845"/>
      <c r="RUY43" s="2842"/>
      <c r="RUZ43" s="2842"/>
      <c r="RVA43" s="2843"/>
      <c r="RVB43" s="2843"/>
      <c r="RVC43" s="2844"/>
      <c r="RVD43" s="2845"/>
      <c r="RVE43" s="2842"/>
      <c r="RVF43" s="2842"/>
      <c r="RVG43" s="2843"/>
      <c r="RVH43" s="2843"/>
      <c r="RVI43" s="2844"/>
      <c r="RVJ43" s="2845"/>
      <c r="RVK43" s="2842"/>
      <c r="RVL43" s="2842"/>
      <c r="RVM43" s="2843"/>
      <c r="RVN43" s="2843"/>
      <c r="RVO43" s="2844"/>
      <c r="RVP43" s="2845"/>
      <c r="RVQ43" s="2842"/>
      <c r="RVR43" s="2842"/>
      <c r="RVS43" s="2843"/>
      <c r="RVT43" s="2843"/>
      <c r="RVU43" s="2844"/>
      <c r="RVV43" s="2845"/>
      <c r="RVW43" s="2842"/>
      <c r="RVX43" s="2842"/>
      <c r="RVY43" s="2843"/>
      <c r="RVZ43" s="2843"/>
      <c r="RWA43" s="2844"/>
      <c r="RWB43" s="2845"/>
      <c r="RWC43" s="2842"/>
      <c r="RWD43" s="2842"/>
      <c r="RWE43" s="2843"/>
      <c r="RWF43" s="2843"/>
      <c r="RWG43" s="2844"/>
      <c r="RWH43" s="2845"/>
      <c r="RWI43" s="2842"/>
      <c r="RWJ43" s="2842"/>
      <c r="RWK43" s="2843"/>
      <c r="RWL43" s="2843"/>
      <c r="RWM43" s="2844"/>
      <c r="RWN43" s="2845"/>
      <c r="RWO43" s="2842"/>
      <c r="RWP43" s="2842"/>
      <c r="RWQ43" s="2843"/>
      <c r="RWR43" s="2843"/>
      <c r="RWS43" s="2844"/>
      <c r="RWT43" s="2845"/>
      <c r="RWU43" s="2842"/>
      <c r="RWV43" s="2842"/>
      <c r="RWW43" s="2843"/>
      <c r="RWX43" s="2843"/>
      <c r="RWY43" s="2844"/>
      <c r="RWZ43" s="2845"/>
      <c r="RXA43" s="2842"/>
      <c r="RXB43" s="2842"/>
      <c r="RXC43" s="2843"/>
      <c r="RXD43" s="2843"/>
      <c r="RXE43" s="2844"/>
      <c r="RXF43" s="2845"/>
      <c r="RXG43" s="2842"/>
      <c r="RXH43" s="2842"/>
      <c r="RXI43" s="2843"/>
      <c r="RXJ43" s="2843"/>
      <c r="RXK43" s="2844"/>
      <c r="RXL43" s="2845"/>
      <c r="RXM43" s="2842"/>
      <c r="RXN43" s="2842"/>
      <c r="RXO43" s="2843"/>
      <c r="RXP43" s="2843"/>
      <c r="RXQ43" s="2844"/>
      <c r="RXR43" s="2845"/>
      <c r="RXS43" s="2842"/>
      <c r="RXT43" s="2842"/>
      <c r="RXU43" s="2843"/>
      <c r="RXV43" s="2843"/>
      <c r="RXW43" s="2844"/>
      <c r="RXX43" s="2845"/>
      <c r="RXY43" s="2842"/>
      <c r="RXZ43" s="2842"/>
      <c r="RYA43" s="2843"/>
      <c r="RYB43" s="2843"/>
      <c r="RYC43" s="2844"/>
      <c r="RYD43" s="2845"/>
      <c r="RYE43" s="2842"/>
      <c r="RYF43" s="2842"/>
      <c r="RYG43" s="2843"/>
      <c r="RYH43" s="2843"/>
      <c r="RYI43" s="2844"/>
      <c r="RYJ43" s="2845"/>
      <c r="RYK43" s="2842"/>
      <c r="RYL43" s="2842"/>
      <c r="RYM43" s="2843"/>
      <c r="RYN43" s="2843"/>
      <c r="RYO43" s="2844"/>
      <c r="RYP43" s="2845"/>
      <c r="RYQ43" s="2842"/>
      <c r="RYR43" s="2842"/>
      <c r="RYS43" s="2843"/>
      <c r="RYT43" s="2843"/>
      <c r="RYU43" s="2844"/>
      <c r="RYV43" s="2845"/>
      <c r="RYW43" s="2842"/>
      <c r="RYX43" s="2842"/>
      <c r="RYY43" s="2843"/>
      <c r="RYZ43" s="2843"/>
      <c r="RZA43" s="2844"/>
      <c r="RZB43" s="2845"/>
      <c r="RZC43" s="2842"/>
      <c r="RZD43" s="2842"/>
      <c r="RZE43" s="2843"/>
      <c r="RZF43" s="2843"/>
      <c r="RZG43" s="2844"/>
      <c r="RZH43" s="2845"/>
      <c r="RZI43" s="2842"/>
      <c r="RZJ43" s="2842"/>
      <c r="RZK43" s="2843"/>
      <c r="RZL43" s="2843"/>
      <c r="RZM43" s="2844"/>
      <c r="RZN43" s="2845"/>
      <c r="RZO43" s="2842"/>
      <c r="RZP43" s="2842"/>
      <c r="RZQ43" s="2843"/>
      <c r="RZR43" s="2843"/>
      <c r="RZS43" s="2844"/>
      <c r="RZT43" s="2845"/>
      <c r="RZU43" s="2842"/>
      <c r="RZV43" s="2842"/>
      <c r="RZW43" s="2843"/>
      <c r="RZX43" s="2843"/>
      <c r="RZY43" s="2844"/>
      <c r="RZZ43" s="2845"/>
      <c r="SAA43" s="2842"/>
      <c r="SAB43" s="2842"/>
      <c r="SAC43" s="2843"/>
      <c r="SAD43" s="2843"/>
      <c r="SAE43" s="2844"/>
      <c r="SAF43" s="2845"/>
      <c r="SAG43" s="2842"/>
      <c r="SAH43" s="2842"/>
      <c r="SAI43" s="2843"/>
      <c r="SAJ43" s="2843"/>
      <c r="SAK43" s="2844"/>
      <c r="SAL43" s="2845"/>
      <c r="SAM43" s="2842"/>
      <c r="SAN43" s="2842"/>
      <c r="SAO43" s="2843"/>
      <c r="SAP43" s="2843"/>
      <c r="SAQ43" s="2844"/>
      <c r="SAR43" s="2845"/>
      <c r="SAS43" s="2842"/>
      <c r="SAT43" s="2842"/>
      <c r="SAU43" s="2843"/>
      <c r="SAV43" s="2843"/>
      <c r="SAW43" s="2844"/>
      <c r="SAX43" s="2845"/>
      <c r="SAY43" s="2842"/>
      <c r="SAZ43" s="2842"/>
      <c r="SBA43" s="2843"/>
      <c r="SBB43" s="2843"/>
      <c r="SBC43" s="2844"/>
      <c r="SBD43" s="2845"/>
      <c r="SBE43" s="2842"/>
      <c r="SBF43" s="2842"/>
      <c r="SBG43" s="2843"/>
      <c r="SBH43" s="2843"/>
      <c r="SBI43" s="2844"/>
      <c r="SBJ43" s="2845"/>
      <c r="SBK43" s="2842"/>
      <c r="SBL43" s="2842"/>
      <c r="SBM43" s="2843"/>
      <c r="SBN43" s="2843"/>
      <c r="SBO43" s="2844"/>
      <c r="SBP43" s="2845"/>
      <c r="SBQ43" s="2842"/>
      <c r="SBR43" s="2842"/>
      <c r="SBS43" s="2843"/>
      <c r="SBT43" s="2843"/>
      <c r="SBU43" s="2844"/>
      <c r="SBV43" s="2845"/>
      <c r="SBW43" s="2842"/>
      <c r="SBX43" s="2842"/>
      <c r="SBY43" s="2843"/>
      <c r="SBZ43" s="2843"/>
      <c r="SCA43" s="2844"/>
      <c r="SCB43" s="2845"/>
      <c r="SCC43" s="2842"/>
      <c r="SCD43" s="2842"/>
      <c r="SCE43" s="2843"/>
      <c r="SCF43" s="2843"/>
      <c r="SCG43" s="2844"/>
      <c r="SCH43" s="2845"/>
      <c r="SCI43" s="2842"/>
      <c r="SCJ43" s="2842"/>
      <c r="SCK43" s="2843"/>
      <c r="SCL43" s="2843"/>
      <c r="SCM43" s="2844"/>
      <c r="SCN43" s="2845"/>
      <c r="SCO43" s="2842"/>
      <c r="SCP43" s="2842"/>
      <c r="SCQ43" s="2843"/>
      <c r="SCR43" s="2843"/>
      <c r="SCS43" s="2844"/>
      <c r="SCT43" s="2845"/>
      <c r="SCU43" s="2842"/>
      <c r="SCV43" s="2842"/>
      <c r="SCW43" s="2843"/>
      <c r="SCX43" s="2843"/>
      <c r="SCY43" s="2844"/>
      <c r="SCZ43" s="2845"/>
      <c r="SDA43" s="2842"/>
      <c r="SDB43" s="2842"/>
      <c r="SDC43" s="2843"/>
      <c r="SDD43" s="2843"/>
      <c r="SDE43" s="2844"/>
      <c r="SDF43" s="2845"/>
      <c r="SDG43" s="2842"/>
      <c r="SDH43" s="2842"/>
      <c r="SDI43" s="2843"/>
      <c r="SDJ43" s="2843"/>
      <c r="SDK43" s="2844"/>
      <c r="SDL43" s="2845"/>
      <c r="SDM43" s="2842"/>
      <c r="SDN43" s="2842"/>
      <c r="SDO43" s="2843"/>
      <c r="SDP43" s="2843"/>
      <c r="SDQ43" s="2844"/>
      <c r="SDR43" s="2845"/>
      <c r="SDS43" s="2842"/>
      <c r="SDT43" s="2842"/>
      <c r="SDU43" s="2843"/>
      <c r="SDV43" s="2843"/>
      <c r="SDW43" s="2844"/>
      <c r="SDX43" s="2845"/>
      <c r="SDY43" s="2842"/>
      <c r="SDZ43" s="2842"/>
      <c r="SEA43" s="2843"/>
      <c r="SEB43" s="2843"/>
      <c r="SEC43" s="2844"/>
      <c r="SED43" s="2845"/>
      <c r="SEE43" s="2842"/>
      <c r="SEF43" s="2842"/>
      <c r="SEG43" s="2843"/>
      <c r="SEH43" s="2843"/>
      <c r="SEI43" s="2844"/>
      <c r="SEJ43" s="2845"/>
      <c r="SEK43" s="2842"/>
      <c r="SEL43" s="2842"/>
      <c r="SEM43" s="2843"/>
      <c r="SEN43" s="2843"/>
      <c r="SEO43" s="2844"/>
      <c r="SEP43" s="2845"/>
      <c r="SEQ43" s="2842"/>
      <c r="SER43" s="2842"/>
      <c r="SES43" s="2843"/>
      <c r="SET43" s="2843"/>
      <c r="SEU43" s="2844"/>
      <c r="SEV43" s="2845"/>
      <c r="SEW43" s="2842"/>
      <c r="SEX43" s="2842"/>
      <c r="SEY43" s="2843"/>
      <c r="SEZ43" s="2843"/>
      <c r="SFA43" s="2844"/>
      <c r="SFB43" s="2845"/>
      <c r="SFC43" s="2842"/>
      <c r="SFD43" s="2842"/>
      <c r="SFE43" s="2843"/>
      <c r="SFF43" s="2843"/>
      <c r="SFG43" s="2844"/>
      <c r="SFH43" s="2845"/>
      <c r="SFI43" s="2842"/>
      <c r="SFJ43" s="2842"/>
      <c r="SFK43" s="2843"/>
      <c r="SFL43" s="2843"/>
      <c r="SFM43" s="2844"/>
      <c r="SFN43" s="2845"/>
      <c r="SFO43" s="2842"/>
      <c r="SFP43" s="2842"/>
      <c r="SFQ43" s="2843"/>
      <c r="SFR43" s="2843"/>
      <c r="SFS43" s="2844"/>
      <c r="SFT43" s="2845"/>
      <c r="SFU43" s="2842"/>
      <c r="SFV43" s="2842"/>
      <c r="SFW43" s="2843"/>
      <c r="SFX43" s="2843"/>
      <c r="SFY43" s="2844"/>
      <c r="SFZ43" s="2845"/>
      <c r="SGA43" s="2842"/>
      <c r="SGB43" s="2842"/>
      <c r="SGC43" s="2843"/>
      <c r="SGD43" s="2843"/>
      <c r="SGE43" s="2844"/>
      <c r="SGF43" s="2845"/>
      <c r="SGG43" s="2842"/>
      <c r="SGH43" s="2842"/>
      <c r="SGI43" s="2843"/>
      <c r="SGJ43" s="2843"/>
      <c r="SGK43" s="2844"/>
      <c r="SGL43" s="2845"/>
      <c r="SGM43" s="2842"/>
      <c r="SGN43" s="2842"/>
      <c r="SGO43" s="2843"/>
      <c r="SGP43" s="2843"/>
      <c r="SGQ43" s="2844"/>
      <c r="SGR43" s="2845"/>
      <c r="SGS43" s="2842"/>
      <c r="SGT43" s="2842"/>
      <c r="SGU43" s="2843"/>
      <c r="SGV43" s="2843"/>
      <c r="SGW43" s="2844"/>
      <c r="SGX43" s="2845"/>
      <c r="SGY43" s="2842"/>
      <c r="SGZ43" s="2842"/>
      <c r="SHA43" s="2843"/>
      <c r="SHB43" s="2843"/>
      <c r="SHC43" s="2844"/>
      <c r="SHD43" s="2845"/>
      <c r="SHE43" s="2842"/>
      <c r="SHF43" s="2842"/>
      <c r="SHG43" s="2843"/>
      <c r="SHH43" s="2843"/>
      <c r="SHI43" s="2844"/>
      <c r="SHJ43" s="2845"/>
      <c r="SHK43" s="2842"/>
      <c r="SHL43" s="2842"/>
      <c r="SHM43" s="2843"/>
      <c r="SHN43" s="2843"/>
      <c r="SHO43" s="2844"/>
      <c r="SHP43" s="2845"/>
      <c r="SHQ43" s="2842"/>
      <c r="SHR43" s="2842"/>
      <c r="SHS43" s="2843"/>
      <c r="SHT43" s="2843"/>
      <c r="SHU43" s="2844"/>
      <c r="SHV43" s="2845"/>
      <c r="SHW43" s="2842"/>
      <c r="SHX43" s="2842"/>
      <c r="SHY43" s="2843"/>
      <c r="SHZ43" s="2843"/>
      <c r="SIA43" s="2844"/>
      <c r="SIB43" s="2845"/>
      <c r="SIC43" s="2842"/>
      <c r="SID43" s="2842"/>
      <c r="SIE43" s="2843"/>
      <c r="SIF43" s="2843"/>
      <c r="SIG43" s="2844"/>
      <c r="SIH43" s="2845"/>
      <c r="SII43" s="2842"/>
      <c r="SIJ43" s="2842"/>
      <c r="SIK43" s="2843"/>
      <c r="SIL43" s="2843"/>
      <c r="SIM43" s="2844"/>
      <c r="SIN43" s="2845"/>
      <c r="SIO43" s="2842"/>
      <c r="SIP43" s="2842"/>
      <c r="SIQ43" s="2843"/>
      <c r="SIR43" s="2843"/>
      <c r="SIS43" s="2844"/>
      <c r="SIT43" s="2845"/>
      <c r="SIU43" s="2842"/>
      <c r="SIV43" s="2842"/>
      <c r="SIW43" s="2843"/>
      <c r="SIX43" s="2843"/>
      <c r="SIY43" s="2844"/>
      <c r="SIZ43" s="2845"/>
      <c r="SJA43" s="2842"/>
      <c r="SJB43" s="2842"/>
      <c r="SJC43" s="2843"/>
      <c r="SJD43" s="2843"/>
      <c r="SJE43" s="2844"/>
      <c r="SJF43" s="2845"/>
      <c r="SJG43" s="2842"/>
      <c r="SJH43" s="2842"/>
      <c r="SJI43" s="2843"/>
      <c r="SJJ43" s="2843"/>
      <c r="SJK43" s="2844"/>
      <c r="SJL43" s="2845"/>
      <c r="SJM43" s="2842"/>
      <c r="SJN43" s="2842"/>
      <c r="SJO43" s="2843"/>
      <c r="SJP43" s="2843"/>
      <c r="SJQ43" s="2844"/>
      <c r="SJR43" s="2845"/>
      <c r="SJS43" s="2842"/>
      <c r="SJT43" s="2842"/>
      <c r="SJU43" s="2843"/>
      <c r="SJV43" s="2843"/>
      <c r="SJW43" s="2844"/>
      <c r="SJX43" s="2845"/>
      <c r="SJY43" s="2842"/>
      <c r="SJZ43" s="2842"/>
      <c r="SKA43" s="2843"/>
      <c r="SKB43" s="2843"/>
      <c r="SKC43" s="2844"/>
      <c r="SKD43" s="2845"/>
      <c r="SKE43" s="2842"/>
      <c r="SKF43" s="2842"/>
      <c r="SKG43" s="2843"/>
      <c r="SKH43" s="2843"/>
      <c r="SKI43" s="2844"/>
      <c r="SKJ43" s="2845"/>
      <c r="SKK43" s="2842"/>
      <c r="SKL43" s="2842"/>
      <c r="SKM43" s="2843"/>
      <c r="SKN43" s="2843"/>
      <c r="SKO43" s="2844"/>
      <c r="SKP43" s="2845"/>
      <c r="SKQ43" s="2842"/>
      <c r="SKR43" s="2842"/>
      <c r="SKS43" s="2843"/>
      <c r="SKT43" s="2843"/>
      <c r="SKU43" s="2844"/>
      <c r="SKV43" s="2845"/>
      <c r="SKW43" s="2842"/>
      <c r="SKX43" s="2842"/>
      <c r="SKY43" s="2843"/>
      <c r="SKZ43" s="2843"/>
      <c r="SLA43" s="2844"/>
      <c r="SLB43" s="2845"/>
      <c r="SLC43" s="2842"/>
      <c r="SLD43" s="2842"/>
      <c r="SLE43" s="2843"/>
      <c r="SLF43" s="2843"/>
      <c r="SLG43" s="2844"/>
      <c r="SLH43" s="2845"/>
      <c r="SLI43" s="2842"/>
      <c r="SLJ43" s="2842"/>
      <c r="SLK43" s="2843"/>
      <c r="SLL43" s="2843"/>
      <c r="SLM43" s="2844"/>
      <c r="SLN43" s="2845"/>
      <c r="SLO43" s="2842"/>
      <c r="SLP43" s="2842"/>
      <c r="SLQ43" s="2843"/>
      <c r="SLR43" s="2843"/>
      <c r="SLS43" s="2844"/>
      <c r="SLT43" s="2845"/>
      <c r="SLU43" s="2842"/>
      <c r="SLV43" s="2842"/>
      <c r="SLW43" s="2843"/>
      <c r="SLX43" s="2843"/>
      <c r="SLY43" s="2844"/>
      <c r="SLZ43" s="2845"/>
      <c r="SMA43" s="2842"/>
      <c r="SMB43" s="2842"/>
      <c r="SMC43" s="2843"/>
      <c r="SMD43" s="2843"/>
      <c r="SME43" s="2844"/>
      <c r="SMF43" s="2845"/>
      <c r="SMG43" s="2842"/>
      <c r="SMH43" s="2842"/>
      <c r="SMI43" s="2843"/>
      <c r="SMJ43" s="2843"/>
      <c r="SMK43" s="2844"/>
      <c r="SML43" s="2845"/>
      <c r="SMM43" s="2842"/>
      <c r="SMN43" s="2842"/>
      <c r="SMO43" s="2843"/>
      <c r="SMP43" s="2843"/>
      <c r="SMQ43" s="2844"/>
      <c r="SMR43" s="2845"/>
      <c r="SMS43" s="2842"/>
      <c r="SMT43" s="2842"/>
      <c r="SMU43" s="2843"/>
      <c r="SMV43" s="2843"/>
      <c r="SMW43" s="2844"/>
      <c r="SMX43" s="2845"/>
      <c r="SMY43" s="2842"/>
      <c r="SMZ43" s="2842"/>
      <c r="SNA43" s="2843"/>
      <c r="SNB43" s="2843"/>
      <c r="SNC43" s="2844"/>
      <c r="SND43" s="2845"/>
      <c r="SNE43" s="2842"/>
      <c r="SNF43" s="2842"/>
      <c r="SNG43" s="2843"/>
      <c r="SNH43" s="2843"/>
      <c r="SNI43" s="2844"/>
      <c r="SNJ43" s="2845"/>
      <c r="SNK43" s="2842"/>
      <c r="SNL43" s="2842"/>
      <c r="SNM43" s="2843"/>
      <c r="SNN43" s="2843"/>
      <c r="SNO43" s="2844"/>
      <c r="SNP43" s="2845"/>
      <c r="SNQ43" s="2842"/>
      <c r="SNR43" s="2842"/>
      <c r="SNS43" s="2843"/>
      <c r="SNT43" s="2843"/>
      <c r="SNU43" s="2844"/>
      <c r="SNV43" s="2845"/>
      <c r="SNW43" s="2842"/>
      <c r="SNX43" s="2842"/>
      <c r="SNY43" s="2843"/>
      <c r="SNZ43" s="2843"/>
      <c r="SOA43" s="2844"/>
      <c r="SOB43" s="2845"/>
      <c r="SOC43" s="2842"/>
      <c r="SOD43" s="2842"/>
      <c r="SOE43" s="2843"/>
      <c r="SOF43" s="2843"/>
      <c r="SOG43" s="2844"/>
      <c r="SOH43" s="2845"/>
      <c r="SOI43" s="2842"/>
      <c r="SOJ43" s="2842"/>
      <c r="SOK43" s="2843"/>
      <c r="SOL43" s="2843"/>
      <c r="SOM43" s="2844"/>
      <c r="SON43" s="2845"/>
      <c r="SOO43" s="2842"/>
      <c r="SOP43" s="2842"/>
      <c r="SOQ43" s="2843"/>
      <c r="SOR43" s="2843"/>
      <c r="SOS43" s="2844"/>
      <c r="SOT43" s="2845"/>
      <c r="SOU43" s="2842"/>
      <c r="SOV43" s="2842"/>
      <c r="SOW43" s="2843"/>
      <c r="SOX43" s="2843"/>
      <c r="SOY43" s="2844"/>
      <c r="SOZ43" s="2845"/>
      <c r="SPA43" s="2842"/>
      <c r="SPB43" s="2842"/>
      <c r="SPC43" s="2843"/>
      <c r="SPD43" s="2843"/>
      <c r="SPE43" s="2844"/>
      <c r="SPF43" s="2845"/>
      <c r="SPG43" s="2842"/>
      <c r="SPH43" s="2842"/>
      <c r="SPI43" s="2843"/>
      <c r="SPJ43" s="2843"/>
      <c r="SPK43" s="2844"/>
      <c r="SPL43" s="2845"/>
      <c r="SPM43" s="2842"/>
      <c r="SPN43" s="2842"/>
      <c r="SPO43" s="2843"/>
      <c r="SPP43" s="2843"/>
      <c r="SPQ43" s="2844"/>
      <c r="SPR43" s="2845"/>
      <c r="SPS43" s="2842"/>
      <c r="SPT43" s="2842"/>
      <c r="SPU43" s="2843"/>
      <c r="SPV43" s="2843"/>
      <c r="SPW43" s="2844"/>
      <c r="SPX43" s="2845"/>
      <c r="SPY43" s="2842"/>
      <c r="SPZ43" s="2842"/>
      <c r="SQA43" s="2843"/>
      <c r="SQB43" s="2843"/>
      <c r="SQC43" s="2844"/>
      <c r="SQD43" s="2845"/>
      <c r="SQE43" s="2842"/>
      <c r="SQF43" s="2842"/>
      <c r="SQG43" s="2843"/>
      <c r="SQH43" s="2843"/>
      <c r="SQI43" s="2844"/>
      <c r="SQJ43" s="2845"/>
      <c r="SQK43" s="2842"/>
      <c r="SQL43" s="2842"/>
      <c r="SQM43" s="2843"/>
      <c r="SQN43" s="2843"/>
      <c r="SQO43" s="2844"/>
      <c r="SQP43" s="2845"/>
      <c r="SQQ43" s="2842"/>
      <c r="SQR43" s="2842"/>
      <c r="SQS43" s="2843"/>
      <c r="SQT43" s="2843"/>
      <c r="SQU43" s="2844"/>
      <c r="SQV43" s="2845"/>
      <c r="SQW43" s="2842"/>
      <c r="SQX43" s="2842"/>
      <c r="SQY43" s="2843"/>
      <c r="SQZ43" s="2843"/>
      <c r="SRA43" s="2844"/>
      <c r="SRB43" s="2845"/>
      <c r="SRC43" s="2842"/>
      <c r="SRD43" s="2842"/>
      <c r="SRE43" s="2843"/>
      <c r="SRF43" s="2843"/>
      <c r="SRG43" s="2844"/>
      <c r="SRH43" s="2845"/>
      <c r="SRI43" s="2842"/>
      <c r="SRJ43" s="2842"/>
      <c r="SRK43" s="2843"/>
      <c r="SRL43" s="2843"/>
      <c r="SRM43" s="2844"/>
      <c r="SRN43" s="2845"/>
      <c r="SRO43" s="2842"/>
      <c r="SRP43" s="2842"/>
      <c r="SRQ43" s="2843"/>
      <c r="SRR43" s="2843"/>
      <c r="SRS43" s="2844"/>
      <c r="SRT43" s="2845"/>
      <c r="SRU43" s="2842"/>
      <c r="SRV43" s="2842"/>
      <c r="SRW43" s="2843"/>
      <c r="SRX43" s="2843"/>
      <c r="SRY43" s="2844"/>
      <c r="SRZ43" s="2845"/>
      <c r="SSA43" s="2842"/>
      <c r="SSB43" s="2842"/>
      <c r="SSC43" s="2843"/>
      <c r="SSD43" s="2843"/>
      <c r="SSE43" s="2844"/>
      <c r="SSF43" s="2845"/>
      <c r="SSG43" s="2842"/>
      <c r="SSH43" s="2842"/>
      <c r="SSI43" s="2843"/>
      <c r="SSJ43" s="2843"/>
      <c r="SSK43" s="2844"/>
      <c r="SSL43" s="2845"/>
      <c r="SSM43" s="2842"/>
      <c r="SSN43" s="2842"/>
      <c r="SSO43" s="2843"/>
      <c r="SSP43" s="2843"/>
      <c r="SSQ43" s="2844"/>
      <c r="SSR43" s="2845"/>
      <c r="SSS43" s="2842"/>
      <c r="SST43" s="2842"/>
      <c r="SSU43" s="2843"/>
      <c r="SSV43" s="2843"/>
      <c r="SSW43" s="2844"/>
      <c r="SSX43" s="2845"/>
      <c r="SSY43" s="2842"/>
      <c r="SSZ43" s="2842"/>
      <c r="STA43" s="2843"/>
      <c r="STB43" s="2843"/>
      <c r="STC43" s="2844"/>
      <c r="STD43" s="2845"/>
      <c r="STE43" s="2842"/>
      <c r="STF43" s="2842"/>
      <c r="STG43" s="2843"/>
      <c r="STH43" s="2843"/>
      <c r="STI43" s="2844"/>
      <c r="STJ43" s="2845"/>
      <c r="STK43" s="2842"/>
      <c r="STL43" s="2842"/>
      <c r="STM43" s="2843"/>
      <c r="STN43" s="2843"/>
      <c r="STO43" s="2844"/>
      <c r="STP43" s="2845"/>
      <c r="STQ43" s="2842"/>
      <c r="STR43" s="2842"/>
      <c r="STS43" s="2843"/>
      <c r="STT43" s="2843"/>
      <c r="STU43" s="2844"/>
      <c r="STV43" s="2845"/>
      <c r="STW43" s="2842"/>
      <c r="STX43" s="2842"/>
      <c r="STY43" s="2843"/>
      <c r="STZ43" s="2843"/>
      <c r="SUA43" s="2844"/>
      <c r="SUB43" s="2845"/>
      <c r="SUC43" s="2842"/>
      <c r="SUD43" s="2842"/>
      <c r="SUE43" s="2843"/>
      <c r="SUF43" s="2843"/>
      <c r="SUG43" s="2844"/>
      <c r="SUH43" s="2845"/>
      <c r="SUI43" s="2842"/>
      <c r="SUJ43" s="2842"/>
      <c r="SUK43" s="2843"/>
      <c r="SUL43" s="2843"/>
      <c r="SUM43" s="2844"/>
      <c r="SUN43" s="2845"/>
      <c r="SUO43" s="2842"/>
      <c r="SUP43" s="2842"/>
      <c r="SUQ43" s="2843"/>
      <c r="SUR43" s="2843"/>
      <c r="SUS43" s="2844"/>
      <c r="SUT43" s="2845"/>
      <c r="SUU43" s="2842"/>
      <c r="SUV43" s="2842"/>
      <c r="SUW43" s="2843"/>
      <c r="SUX43" s="2843"/>
      <c r="SUY43" s="2844"/>
      <c r="SUZ43" s="2845"/>
      <c r="SVA43" s="2842"/>
      <c r="SVB43" s="2842"/>
      <c r="SVC43" s="2843"/>
      <c r="SVD43" s="2843"/>
      <c r="SVE43" s="2844"/>
      <c r="SVF43" s="2845"/>
      <c r="SVG43" s="2842"/>
      <c r="SVH43" s="2842"/>
      <c r="SVI43" s="2843"/>
      <c r="SVJ43" s="2843"/>
      <c r="SVK43" s="2844"/>
      <c r="SVL43" s="2845"/>
      <c r="SVM43" s="2842"/>
      <c r="SVN43" s="2842"/>
      <c r="SVO43" s="2843"/>
      <c r="SVP43" s="2843"/>
      <c r="SVQ43" s="2844"/>
      <c r="SVR43" s="2845"/>
      <c r="SVS43" s="2842"/>
      <c r="SVT43" s="2842"/>
      <c r="SVU43" s="2843"/>
      <c r="SVV43" s="2843"/>
      <c r="SVW43" s="2844"/>
      <c r="SVX43" s="2845"/>
      <c r="SVY43" s="2842"/>
      <c r="SVZ43" s="2842"/>
      <c r="SWA43" s="2843"/>
      <c r="SWB43" s="2843"/>
      <c r="SWC43" s="2844"/>
      <c r="SWD43" s="2845"/>
      <c r="SWE43" s="2842"/>
      <c r="SWF43" s="2842"/>
      <c r="SWG43" s="2843"/>
      <c r="SWH43" s="2843"/>
      <c r="SWI43" s="2844"/>
      <c r="SWJ43" s="2845"/>
      <c r="SWK43" s="2842"/>
      <c r="SWL43" s="2842"/>
      <c r="SWM43" s="2843"/>
      <c r="SWN43" s="2843"/>
      <c r="SWO43" s="2844"/>
      <c r="SWP43" s="2845"/>
      <c r="SWQ43" s="2842"/>
      <c r="SWR43" s="2842"/>
      <c r="SWS43" s="2843"/>
      <c r="SWT43" s="2843"/>
      <c r="SWU43" s="2844"/>
      <c r="SWV43" s="2845"/>
      <c r="SWW43" s="2842"/>
      <c r="SWX43" s="2842"/>
      <c r="SWY43" s="2843"/>
      <c r="SWZ43" s="2843"/>
      <c r="SXA43" s="2844"/>
      <c r="SXB43" s="2845"/>
      <c r="SXC43" s="2842"/>
      <c r="SXD43" s="2842"/>
      <c r="SXE43" s="2843"/>
      <c r="SXF43" s="2843"/>
      <c r="SXG43" s="2844"/>
      <c r="SXH43" s="2845"/>
      <c r="SXI43" s="2842"/>
      <c r="SXJ43" s="2842"/>
      <c r="SXK43" s="2843"/>
      <c r="SXL43" s="2843"/>
      <c r="SXM43" s="2844"/>
      <c r="SXN43" s="2845"/>
      <c r="SXO43" s="2842"/>
      <c r="SXP43" s="2842"/>
      <c r="SXQ43" s="2843"/>
      <c r="SXR43" s="2843"/>
      <c r="SXS43" s="2844"/>
      <c r="SXT43" s="2845"/>
      <c r="SXU43" s="2842"/>
      <c r="SXV43" s="2842"/>
      <c r="SXW43" s="2843"/>
      <c r="SXX43" s="2843"/>
      <c r="SXY43" s="2844"/>
      <c r="SXZ43" s="2845"/>
      <c r="SYA43" s="2842"/>
      <c r="SYB43" s="2842"/>
      <c r="SYC43" s="2843"/>
      <c r="SYD43" s="2843"/>
      <c r="SYE43" s="2844"/>
      <c r="SYF43" s="2845"/>
      <c r="SYG43" s="2842"/>
      <c r="SYH43" s="2842"/>
      <c r="SYI43" s="2843"/>
      <c r="SYJ43" s="2843"/>
      <c r="SYK43" s="2844"/>
      <c r="SYL43" s="2845"/>
      <c r="SYM43" s="2842"/>
      <c r="SYN43" s="2842"/>
      <c r="SYO43" s="2843"/>
      <c r="SYP43" s="2843"/>
      <c r="SYQ43" s="2844"/>
      <c r="SYR43" s="2845"/>
      <c r="SYS43" s="2842"/>
      <c r="SYT43" s="2842"/>
      <c r="SYU43" s="2843"/>
      <c r="SYV43" s="2843"/>
      <c r="SYW43" s="2844"/>
      <c r="SYX43" s="2845"/>
      <c r="SYY43" s="2842"/>
      <c r="SYZ43" s="2842"/>
      <c r="SZA43" s="2843"/>
      <c r="SZB43" s="2843"/>
      <c r="SZC43" s="2844"/>
      <c r="SZD43" s="2845"/>
      <c r="SZE43" s="2842"/>
      <c r="SZF43" s="2842"/>
      <c r="SZG43" s="2843"/>
      <c r="SZH43" s="2843"/>
      <c r="SZI43" s="2844"/>
      <c r="SZJ43" s="2845"/>
      <c r="SZK43" s="2842"/>
      <c r="SZL43" s="2842"/>
      <c r="SZM43" s="2843"/>
      <c r="SZN43" s="2843"/>
      <c r="SZO43" s="2844"/>
      <c r="SZP43" s="2845"/>
      <c r="SZQ43" s="2842"/>
      <c r="SZR43" s="2842"/>
      <c r="SZS43" s="2843"/>
      <c r="SZT43" s="2843"/>
      <c r="SZU43" s="2844"/>
      <c r="SZV43" s="2845"/>
      <c r="SZW43" s="2842"/>
      <c r="SZX43" s="2842"/>
      <c r="SZY43" s="2843"/>
      <c r="SZZ43" s="2843"/>
      <c r="TAA43" s="2844"/>
      <c r="TAB43" s="2845"/>
      <c r="TAC43" s="2842"/>
      <c r="TAD43" s="2842"/>
      <c r="TAE43" s="2843"/>
      <c r="TAF43" s="2843"/>
      <c r="TAG43" s="2844"/>
      <c r="TAH43" s="2845"/>
      <c r="TAI43" s="2842"/>
      <c r="TAJ43" s="2842"/>
      <c r="TAK43" s="2843"/>
      <c r="TAL43" s="2843"/>
      <c r="TAM43" s="2844"/>
      <c r="TAN43" s="2845"/>
      <c r="TAO43" s="2842"/>
      <c r="TAP43" s="2842"/>
      <c r="TAQ43" s="2843"/>
      <c r="TAR43" s="2843"/>
      <c r="TAS43" s="2844"/>
      <c r="TAT43" s="2845"/>
      <c r="TAU43" s="2842"/>
      <c r="TAV43" s="2842"/>
      <c r="TAW43" s="2843"/>
      <c r="TAX43" s="2843"/>
      <c r="TAY43" s="2844"/>
      <c r="TAZ43" s="2845"/>
      <c r="TBA43" s="2842"/>
      <c r="TBB43" s="2842"/>
      <c r="TBC43" s="2843"/>
      <c r="TBD43" s="2843"/>
      <c r="TBE43" s="2844"/>
      <c r="TBF43" s="2845"/>
      <c r="TBG43" s="2842"/>
      <c r="TBH43" s="2842"/>
      <c r="TBI43" s="2843"/>
      <c r="TBJ43" s="2843"/>
      <c r="TBK43" s="2844"/>
      <c r="TBL43" s="2845"/>
      <c r="TBM43" s="2842"/>
      <c r="TBN43" s="2842"/>
      <c r="TBO43" s="2843"/>
      <c r="TBP43" s="2843"/>
      <c r="TBQ43" s="2844"/>
      <c r="TBR43" s="2845"/>
      <c r="TBS43" s="2842"/>
      <c r="TBT43" s="2842"/>
      <c r="TBU43" s="2843"/>
      <c r="TBV43" s="2843"/>
      <c r="TBW43" s="2844"/>
      <c r="TBX43" s="2845"/>
      <c r="TBY43" s="2842"/>
      <c r="TBZ43" s="2842"/>
      <c r="TCA43" s="2843"/>
      <c r="TCB43" s="2843"/>
      <c r="TCC43" s="2844"/>
      <c r="TCD43" s="2845"/>
      <c r="TCE43" s="2842"/>
      <c r="TCF43" s="2842"/>
      <c r="TCG43" s="2843"/>
      <c r="TCH43" s="2843"/>
      <c r="TCI43" s="2844"/>
      <c r="TCJ43" s="2845"/>
      <c r="TCK43" s="2842"/>
      <c r="TCL43" s="2842"/>
      <c r="TCM43" s="2843"/>
      <c r="TCN43" s="2843"/>
      <c r="TCO43" s="2844"/>
      <c r="TCP43" s="2845"/>
      <c r="TCQ43" s="2842"/>
      <c r="TCR43" s="2842"/>
      <c r="TCS43" s="2843"/>
      <c r="TCT43" s="2843"/>
      <c r="TCU43" s="2844"/>
      <c r="TCV43" s="2845"/>
      <c r="TCW43" s="2842"/>
      <c r="TCX43" s="2842"/>
      <c r="TCY43" s="2843"/>
      <c r="TCZ43" s="2843"/>
      <c r="TDA43" s="2844"/>
      <c r="TDB43" s="2845"/>
      <c r="TDC43" s="2842"/>
      <c r="TDD43" s="2842"/>
      <c r="TDE43" s="2843"/>
      <c r="TDF43" s="2843"/>
      <c r="TDG43" s="2844"/>
      <c r="TDH43" s="2845"/>
      <c r="TDI43" s="2842"/>
      <c r="TDJ43" s="2842"/>
      <c r="TDK43" s="2843"/>
      <c r="TDL43" s="2843"/>
      <c r="TDM43" s="2844"/>
      <c r="TDN43" s="2845"/>
      <c r="TDO43" s="2842"/>
      <c r="TDP43" s="2842"/>
      <c r="TDQ43" s="2843"/>
      <c r="TDR43" s="2843"/>
      <c r="TDS43" s="2844"/>
      <c r="TDT43" s="2845"/>
      <c r="TDU43" s="2842"/>
      <c r="TDV43" s="2842"/>
      <c r="TDW43" s="2843"/>
      <c r="TDX43" s="2843"/>
      <c r="TDY43" s="2844"/>
      <c r="TDZ43" s="2845"/>
      <c r="TEA43" s="2842"/>
      <c r="TEB43" s="2842"/>
      <c r="TEC43" s="2843"/>
      <c r="TED43" s="2843"/>
      <c r="TEE43" s="2844"/>
      <c r="TEF43" s="2845"/>
      <c r="TEG43" s="2842"/>
      <c r="TEH43" s="2842"/>
      <c r="TEI43" s="2843"/>
      <c r="TEJ43" s="2843"/>
      <c r="TEK43" s="2844"/>
      <c r="TEL43" s="2845"/>
      <c r="TEM43" s="2842"/>
      <c r="TEN43" s="2842"/>
      <c r="TEO43" s="2843"/>
      <c r="TEP43" s="2843"/>
      <c r="TEQ43" s="2844"/>
      <c r="TER43" s="2845"/>
      <c r="TES43" s="2842"/>
      <c r="TET43" s="2842"/>
      <c r="TEU43" s="2843"/>
      <c r="TEV43" s="2843"/>
      <c r="TEW43" s="2844"/>
      <c r="TEX43" s="2845"/>
      <c r="TEY43" s="2842"/>
      <c r="TEZ43" s="2842"/>
      <c r="TFA43" s="2843"/>
      <c r="TFB43" s="2843"/>
      <c r="TFC43" s="2844"/>
      <c r="TFD43" s="2845"/>
      <c r="TFE43" s="2842"/>
      <c r="TFF43" s="2842"/>
      <c r="TFG43" s="2843"/>
      <c r="TFH43" s="2843"/>
      <c r="TFI43" s="2844"/>
      <c r="TFJ43" s="2845"/>
      <c r="TFK43" s="2842"/>
      <c r="TFL43" s="2842"/>
      <c r="TFM43" s="2843"/>
      <c r="TFN43" s="2843"/>
      <c r="TFO43" s="2844"/>
      <c r="TFP43" s="2845"/>
      <c r="TFQ43" s="2842"/>
      <c r="TFR43" s="2842"/>
      <c r="TFS43" s="2843"/>
      <c r="TFT43" s="2843"/>
      <c r="TFU43" s="2844"/>
      <c r="TFV43" s="2845"/>
      <c r="TFW43" s="2842"/>
      <c r="TFX43" s="2842"/>
      <c r="TFY43" s="2843"/>
      <c r="TFZ43" s="2843"/>
      <c r="TGA43" s="2844"/>
      <c r="TGB43" s="2845"/>
      <c r="TGC43" s="2842"/>
      <c r="TGD43" s="2842"/>
      <c r="TGE43" s="2843"/>
      <c r="TGF43" s="2843"/>
      <c r="TGG43" s="2844"/>
      <c r="TGH43" s="2845"/>
      <c r="TGI43" s="2842"/>
      <c r="TGJ43" s="2842"/>
      <c r="TGK43" s="2843"/>
      <c r="TGL43" s="2843"/>
      <c r="TGM43" s="2844"/>
      <c r="TGN43" s="2845"/>
      <c r="TGO43" s="2842"/>
      <c r="TGP43" s="2842"/>
      <c r="TGQ43" s="2843"/>
      <c r="TGR43" s="2843"/>
      <c r="TGS43" s="2844"/>
      <c r="TGT43" s="2845"/>
      <c r="TGU43" s="2842"/>
      <c r="TGV43" s="2842"/>
      <c r="TGW43" s="2843"/>
      <c r="TGX43" s="2843"/>
      <c r="TGY43" s="2844"/>
      <c r="TGZ43" s="2845"/>
      <c r="THA43" s="2842"/>
      <c r="THB43" s="2842"/>
      <c r="THC43" s="2843"/>
      <c r="THD43" s="2843"/>
      <c r="THE43" s="2844"/>
      <c r="THF43" s="2845"/>
      <c r="THG43" s="2842"/>
      <c r="THH43" s="2842"/>
      <c r="THI43" s="2843"/>
      <c r="THJ43" s="2843"/>
      <c r="THK43" s="2844"/>
      <c r="THL43" s="2845"/>
      <c r="THM43" s="2842"/>
      <c r="THN43" s="2842"/>
      <c r="THO43" s="2843"/>
      <c r="THP43" s="2843"/>
      <c r="THQ43" s="2844"/>
      <c r="THR43" s="2845"/>
      <c r="THS43" s="2842"/>
      <c r="THT43" s="2842"/>
      <c r="THU43" s="2843"/>
      <c r="THV43" s="2843"/>
      <c r="THW43" s="2844"/>
      <c r="THX43" s="2845"/>
      <c r="THY43" s="2842"/>
      <c r="THZ43" s="2842"/>
      <c r="TIA43" s="2843"/>
      <c r="TIB43" s="2843"/>
      <c r="TIC43" s="2844"/>
      <c r="TID43" s="2845"/>
      <c r="TIE43" s="2842"/>
      <c r="TIF43" s="2842"/>
      <c r="TIG43" s="2843"/>
      <c r="TIH43" s="2843"/>
      <c r="TII43" s="2844"/>
      <c r="TIJ43" s="2845"/>
      <c r="TIK43" s="2842"/>
      <c r="TIL43" s="2842"/>
      <c r="TIM43" s="2843"/>
      <c r="TIN43" s="2843"/>
      <c r="TIO43" s="2844"/>
      <c r="TIP43" s="2845"/>
      <c r="TIQ43" s="2842"/>
      <c r="TIR43" s="2842"/>
      <c r="TIS43" s="2843"/>
      <c r="TIT43" s="2843"/>
      <c r="TIU43" s="2844"/>
      <c r="TIV43" s="2845"/>
      <c r="TIW43" s="2842"/>
      <c r="TIX43" s="2842"/>
      <c r="TIY43" s="2843"/>
      <c r="TIZ43" s="2843"/>
      <c r="TJA43" s="2844"/>
      <c r="TJB43" s="2845"/>
      <c r="TJC43" s="2842"/>
      <c r="TJD43" s="2842"/>
      <c r="TJE43" s="2843"/>
      <c r="TJF43" s="2843"/>
      <c r="TJG43" s="2844"/>
      <c r="TJH43" s="2845"/>
      <c r="TJI43" s="2842"/>
      <c r="TJJ43" s="2842"/>
      <c r="TJK43" s="2843"/>
      <c r="TJL43" s="2843"/>
      <c r="TJM43" s="2844"/>
      <c r="TJN43" s="2845"/>
      <c r="TJO43" s="2842"/>
      <c r="TJP43" s="2842"/>
      <c r="TJQ43" s="2843"/>
      <c r="TJR43" s="2843"/>
      <c r="TJS43" s="2844"/>
      <c r="TJT43" s="2845"/>
      <c r="TJU43" s="2842"/>
      <c r="TJV43" s="2842"/>
      <c r="TJW43" s="2843"/>
      <c r="TJX43" s="2843"/>
      <c r="TJY43" s="2844"/>
      <c r="TJZ43" s="2845"/>
      <c r="TKA43" s="2842"/>
      <c r="TKB43" s="2842"/>
      <c r="TKC43" s="2843"/>
      <c r="TKD43" s="2843"/>
      <c r="TKE43" s="2844"/>
      <c r="TKF43" s="2845"/>
      <c r="TKG43" s="2842"/>
      <c r="TKH43" s="2842"/>
      <c r="TKI43" s="2843"/>
      <c r="TKJ43" s="2843"/>
      <c r="TKK43" s="2844"/>
      <c r="TKL43" s="2845"/>
      <c r="TKM43" s="2842"/>
      <c r="TKN43" s="2842"/>
      <c r="TKO43" s="2843"/>
      <c r="TKP43" s="2843"/>
      <c r="TKQ43" s="2844"/>
      <c r="TKR43" s="2845"/>
      <c r="TKS43" s="2842"/>
      <c r="TKT43" s="2842"/>
      <c r="TKU43" s="2843"/>
      <c r="TKV43" s="2843"/>
      <c r="TKW43" s="2844"/>
      <c r="TKX43" s="2845"/>
      <c r="TKY43" s="2842"/>
      <c r="TKZ43" s="2842"/>
      <c r="TLA43" s="2843"/>
      <c r="TLB43" s="2843"/>
      <c r="TLC43" s="2844"/>
      <c r="TLD43" s="2845"/>
      <c r="TLE43" s="2842"/>
      <c r="TLF43" s="2842"/>
      <c r="TLG43" s="2843"/>
      <c r="TLH43" s="2843"/>
      <c r="TLI43" s="2844"/>
      <c r="TLJ43" s="2845"/>
      <c r="TLK43" s="2842"/>
      <c r="TLL43" s="2842"/>
      <c r="TLM43" s="2843"/>
      <c r="TLN43" s="2843"/>
      <c r="TLO43" s="2844"/>
      <c r="TLP43" s="2845"/>
      <c r="TLQ43" s="2842"/>
      <c r="TLR43" s="2842"/>
      <c r="TLS43" s="2843"/>
      <c r="TLT43" s="2843"/>
      <c r="TLU43" s="2844"/>
      <c r="TLV43" s="2845"/>
      <c r="TLW43" s="2842"/>
      <c r="TLX43" s="2842"/>
      <c r="TLY43" s="2843"/>
      <c r="TLZ43" s="2843"/>
      <c r="TMA43" s="2844"/>
      <c r="TMB43" s="2845"/>
      <c r="TMC43" s="2842"/>
      <c r="TMD43" s="2842"/>
      <c r="TME43" s="2843"/>
      <c r="TMF43" s="2843"/>
      <c r="TMG43" s="2844"/>
      <c r="TMH43" s="2845"/>
      <c r="TMI43" s="2842"/>
      <c r="TMJ43" s="2842"/>
      <c r="TMK43" s="2843"/>
      <c r="TML43" s="2843"/>
      <c r="TMM43" s="2844"/>
      <c r="TMN43" s="2845"/>
      <c r="TMO43" s="2842"/>
      <c r="TMP43" s="2842"/>
      <c r="TMQ43" s="2843"/>
      <c r="TMR43" s="2843"/>
      <c r="TMS43" s="2844"/>
      <c r="TMT43" s="2845"/>
      <c r="TMU43" s="2842"/>
      <c r="TMV43" s="2842"/>
      <c r="TMW43" s="2843"/>
      <c r="TMX43" s="2843"/>
      <c r="TMY43" s="2844"/>
      <c r="TMZ43" s="2845"/>
      <c r="TNA43" s="2842"/>
      <c r="TNB43" s="2842"/>
      <c r="TNC43" s="2843"/>
      <c r="TND43" s="2843"/>
      <c r="TNE43" s="2844"/>
      <c r="TNF43" s="2845"/>
      <c r="TNG43" s="2842"/>
      <c r="TNH43" s="2842"/>
      <c r="TNI43" s="2843"/>
      <c r="TNJ43" s="2843"/>
      <c r="TNK43" s="2844"/>
      <c r="TNL43" s="2845"/>
      <c r="TNM43" s="2842"/>
      <c r="TNN43" s="2842"/>
      <c r="TNO43" s="2843"/>
      <c r="TNP43" s="2843"/>
      <c r="TNQ43" s="2844"/>
      <c r="TNR43" s="2845"/>
      <c r="TNS43" s="2842"/>
      <c r="TNT43" s="2842"/>
      <c r="TNU43" s="2843"/>
      <c r="TNV43" s="2843"/>
      <c r="TNW43" s="2844"/>
      <c r="TNX43" s="2845"/>
      <c r="TNY43" s="2842"/>
      <c r="TNZ43" s="2842"/>
      <c r="TOA43" s="2843"/>
      <c r="TOB43" s="2843"/>
      <c r="TOC43" s="2844"/>
      <c r="TOD43" s="2845"/>
      <c r="TOE43" s="2842"/>
      <c r="TOF43" s="2842"/>
      <c r="TOG43" s="2843"/>
      <c r="TOH43" s="2843"/>
      <c r="TOI43" s="2844"/>
      <c r="TOJ43" s="2845"/>
      <c r="TOK43" s="2842"/>
      <c r="TOL43" s="2842"/>
      <c r="TOM43" s="2843"/>
      <c r="TON43" s="2843"/>
      <c r="TOO43" s="2844"/>
      <c r="TOP43" s="2845"/>
      <c r="TOQ43" s="2842"/>
      <c r="TOR43" s="2842"/>
      <c r="TOS43" s="2843"/>
      <c r="TOT43" s="2843"/>
      <c r="TOU43" s="2844"/>
      <c r="TOV43" s="2845"/>
      <c r="TOW43" s="2842"/>
      <c r="TOX43" s="2842"/>
      <c r="TOY43" s="2843"/>
      <c r="TOZ43" s="2843"/>
      <c r="TPA43" s="2844"/>
      <c r="TPB43" s="2845"/>
      <c r="TPC43" s="2842"/>
      <c r="TPD43" s="2842"/>
      <c r="TPE43" s="2843"/>
      <c r="TPF43" s="2843"/>
      <c r="TPG43" s="2844"/>
      <c r="TPH43" s="2845"/>
      <c r="TPI43" s="2842"/>
      <c r="TPJ43" s="2842"/>
      <c r="TPK43" s="2843"/>
      <c r="TPL43" s="2843"/>
      <c r="TPM43" s="2844"/>
      <c r="TPN43" s="2845"/>
      <c r="TPO43" s="2842"/>
      <c r="TPP43" s="2842"/>
      <c r="TPQ43" s="2843"/>
      <c r="TPR43" s="2843"/>
      <c r="TPS43" s="2844"/>
      <c r="TPT43" s="2845"/>
      <c r="TPU43" s="2842"/>
      <c r="TPV43" s="2842"/>
      <c r="TPW43" s="2843"/>
      <c r="TPX43" s="2843"/>
      <c r="TPY43" s="2844"/>
      <c r="TPZ43" s="2845"/>
      <c r="TQA43" s="2842"/>
      <c r="TQB43" s="2842"/>
      <c r="TQC43" s="2843"/>
      <c r="TQD43" s="2843"/>
      <c r="TQE43" s="2844"/>
      <c r="TQF43" s="2845"/>
      <c r="TQG43" s="2842"/>
      <c r="TQH43" s="2842"/>
      <c r="TQI43" s="2843"/>
      <c r="TQJ43" s="2843"/>
      <c r="TQK43" s="2844"/>
      <c r="TQL43" s="2845"/>
      <c r="TQM43" s="2842"/>
      <c r="TQN43" s="2842"/>
      <c r="TQO43" s="2843"/>
      <c r="TQP43" s="2843"/>
      <c r="TQQ43" s="2844"/>
      <c r="TQR43" s="2845"/>
      <c r="TQS43" s="2842"/>
      <c r="TQT43" s="2842"/>
      <c r="TQU43" s="2843"/>
      <c r="TQV43" s="2843"/>
      <c r="TQW43" s="2844"/>
      <c r="TQX43" s="2845"/>
      <c r="TQY43" s="2842"/>
      <c r="TQZ43" s="2842"/>
      <c r="TRA43" s="2843"/>
      <c r="TRB43" s="2843"/>
      <c r="TRC43" s="2844"/>
      <c r="TRD43" s="2845"/>
      <c r="TRE43" s="2842"/>
      <c r="TRF43" s="2842"/>
      <c r="TRG43" s="2843"/>
      <c r="TRH43" s="2843"/>
      <c r="TRI43" s="2844"/>
      <c r="TRJ43" s="2845"/>
      <c r="TRK43" s="2842"/>
      <c r="TRL43" s="2842"/>
      <c r="TRM43" s="2843"/>
      <c r="TRN43" s="2843"/>
      <c r="TRO43" s="2844"/>
      <c r="TRP43" s="2845"/>
      <c r="TRQ43" s="2842"/>
      <c r="TRR43" s="2842"/>
      <c r="TRS43" s="2843"/>
      <c r="TRT43" s="2843"/>
      <c r="TRU43" s="2844"/>
      <c r="TRV43" s="2845"/>
      <c r="TRW43" s="2842"/>
      <c r="TRX43" s="2842"/>
      <c r="TRY43" s="2843"/>
      <c r="TRZ43" s="2843"/>
      <c r="TSA43" s="2844"/>
      <c r="TSB43" s="2845"/>
      <c r="TSC43" s="2842"/>
      <c r="TSD43" s="2842"/>
      <c r="TSE43" s="2843"/>
      <c r="TSF43" s="2843"/>
      <c r="TSG43" s="2844"/>
      <c r="TSH43" s="2845"/>
      <c r="TSI43" s="2842"/>
      <c r="TSJ43" s="2842"/>
      <c r="TSK43" s="2843"/>
      <c r="TSL43" s="2843"/>
      <c r="TSM43" s="2844"/>
      <c r="TSN43" s="2845"/>
      <c r="TSO43" s="2842"/>
      <c r="TSP43" s="2842"/>
      <c r="TSQ43" s="2843"/>
      <c r="TSR43" s="2843"/>
      <c r="TSS43" s="2844"/>
      <c r="TST43" s="2845"/>
      <c r="TSU43" s="2842"/>
      <c r="TSV43" s="2842"/>
      <c r="TSW43" s="2843"/>
      <c r="TSX43" s="2843"/>
      <c r="TSY43" s="2844"/>
      <c r="TSZ43" s="2845"/>
      <c r="TTA43" s="2842"/>
      <c r="TTB43" s="2842"/>
      <c r="TTC43" s="2843"/>
      <c r="TTD43" s="2843"/>
      <c r="TTE43" s="2844"/>
      <c r="TTF43" s="2845"/>
      <c r="TTG43" s="2842"/>
      <c r="TTH43" s="2842"/>
      <c r="TTI43" s="2843"/>
      <c r="TTJ43" s="2843"/>
      <c r="TTK43" s="2844"/>
      <c r="TTL43" s="2845"/>
      <c r="TTM43" s="2842"/>
      <c r="TTN43" s="2842"/>
      <c r="TTO43" s="2843"/>
      <c r="TTP43" s="2843"/>
      <c r="TTQ43" s="2844"/>
      <c r="TTR43" s="2845"/>
      <c r="TTS43" s="2842"/>
      <c r="TTT43" s="2842"/>
      <c r="TTU43" s="2843"/>
      <c r="TTV43" s="2843"/>
      <c r="TTW43" s="2844"/>
      <c r="TTX43" s="2845"/>
      <c r="TTY43" s="2842"/>
      <c r="TTZ43" s="2842"/>
      <c r="TUA43" s="2843"/>
      <c r="TUB43" s="2843"/>
      <c r="TUC43" s="2844"/>
      <c r="TUD43" s="2845"/>
      <c r="TUE43" s="2842"/>
      <c r="TUF43" s="2842"/>
      <c r="TUG43" s="2843"/>
      <c r="TUH43" s="2843"/>
      <c r="TUI43" s="2844"/>
      <c r="TUJ43" s="2845"/>
      <c r="TUK43" s="2842"/>
      <c r="TUL43" s="2842"/>
      <c r="TUM43" s="2843"/>
      <c r="TUN43" s="2843"/>
      <c r="TUO43" s="2844"/>
      <c r="TUP43" s="2845"/>
      <c r="TUQ43" s="2842"/>
      <c r="TUR43" s="2842"/>
      <c r="TUS43" s="2843"/>
      <c r="TUT43" s="2843"/>
      <c r="TUU43" s="2844"/>
      <c r="TUV43" s="2845"/>
      <c r="TUW43" s="2842"/>
      <c r="TUX43" s="2842"/>
      <c r="TUY43" s="2843"/>
      <c r="TUZ43" s="2843"/>
      <c r="TVA43" s="2844"/>
      <c r="TVB43" s="2845"/>
      <c r="TVC43" s="2842"/>
      <c r="TVD43" s="2842"/>
      <c r="TVE43" s="2843"/>
      <c r="TVF43" s="2843"/>
      <c r="TVG43" s="2844"/>
      <c r="TVH43" s="2845"/>
      <c r="TVI43" s="2842"/>
      <c r="TVJ43" s="2842"/>
      <c r="TVK43" s="2843"/>
      <c r="TVL43" s="2843"/>
      <c r="TVM43" s="2844"/>
      <c r="TVN43" s="2845"/>
      <c r="TVO43" s="2842"/>
      <c r="TVP43" s="2842"/>
      <c r="TVQ43" s="2843"/>
      <c r="TVR43" s="2843"/>
      <c r="TVS43" s="2844"/>
      <c r="TVT43" s="2845"/>
      <c r="TVU43" s="2842"/>
      <c r="TVV43" s="2842"/>
      <c r="TVW43" s="2843"/>
      <c r="TVX43" s="2843"/>
      <c r="TVY43" s="2844"/>
      <c r="TVZ43" s="2845"/>
      <c r="TWA43" s="2842"/>
      <c r="TWB43" s="2842"/>
      <c r="TWC43" s="2843"/>
      <c r="TWD43" s="2843"/>
      <c r="TWE43" s="2844"/>
      <c r="TWF43" s="2845"/>
      <c r="TWG43" s="2842"/>
      <c r="TWH43" s="2842"/>
      <c r="TWI43" s="2843"/>
      <c r="TWJ43" s="2843"/>
      <c r="TWK43" s="2844"/>
      <c r="TWL43" s="2845"/>
      <c r="TWM43" s="2842"/>
      <c r="TWN43" s="2842"/>
      <c r="TWO43" s="2843"/>
      <c r="TWP43" s="2843"/>
      <c r="TWQ43" s="2844"/>
      <c r="TWR43" s="2845"/>
      <c r="TWS43" s="2842"/>
      <c r="TWT43" s="2842"/>
      <c r="TWU43" s="2843"/>
      <c r="TWV43" s="2843"/>
      <c r="TWW43" s="2844"/>
      <c r="TWX43" s="2845"/>
      <c r="TWY43" s="2842"/>
      <c r="TWZ43" s="2842"/>
      <c r="TXA43" s="2843"/>
      <c r="TXB43" s="2843"/>
      <c r="TXC43" s="2844"/>
      <c r="TXD43" s="2845"/>
      <c r="TXE43" s="2842"/>
      <c r="TXF43" s="2842"/>
      <c r="TXG43" s="2843"/>
      <c r="TXH43" s="2843"/>
      <c r="TXI43" s="2844"/>
      <c r="TXJ43" s="2845"/>
      <c r="TXK43" s="2842"/>
      <c r="TXL43" s="2842"/>
      <c r="TXM43" s="2843"/>
      <c r="TXN43" s="2843"/>
      <c r="TXO43" s="2844"/>
      <c r="TXP43" s="2845"/>
      <c r="TXQ43" s="2842"/>
      <c r="TXR43" s="2842"/>
      <c r="TXS43" s="2843"/>
      <c r="TXT43" s="2843"/>
      <c r="TXU43" s="2844"/>
      <c r="TXV43" s="2845"/>
      <c r="TXW43" s="2842"/>
      <c r="TXX43" s="2842"/>
      <c r="TXY43" s="2843"/>
      <c r="TXZ43" s="2843"/>
      <c r="TYA43" s="2844"/>
      <c r="TYB43" s="2845"/>
      <c r="TYC43" s="2842"/>
      <c r="TYD43" s="2842"/>
      <c r="TYE43" s="2843"/>
      <c r="TYF43" s="2843"/>
      <c r="TYG43" s="2844"/>
      <c r="TYH43" s="2845"/>
      <c r="TYI43" s="2842"/>
      <c r="TYJ43" s="2842"/>
      <c r="TYK43" s="2843"/>
      <c r="TYL43" s="2843"/>
      <c r="TYM43" s="2844"/>
      <c r="TYN43" s="2845"/>
      <c r="TYO43" s="2842"/>
      <c r="TYP43" s="2842"/>
      <c r="TYQ43" s="2843"/>
      <c r="TYR43" s="2843"/>
      <c r="TYS43" s="2844"/>
      <c r="TYT43" s="2845"/>
      <c r="TYU43" s="2842"/>
      <c r="TYV43" s="2842"/>
      <c r="TYW43" s="2843"/>
      <c r="TYX43" s="2843"/>
      <c r="TYY43" s="2844"/>
      <c r="TYZ43" s="2845"/>
      <c r="TZA43" s="2842"/>
      <c r="TZB43" s="2842"/>
      <c r="TZC43" s="2843"/>
      <c r="TZD43" s="2843"/>
      <c r="TZE43" s="2844"/>
      <c r="TZF43" s="2845"/>
      <c r="TZG43" s="2842"/>
      <c r="TZH43" s="2842"/>
      <c r="TZI43" s="2843"/>
      <c r="TZJ43" s="2843"/>
      <c r="TZK43" s="2844"/>
      <c r="TZL43" s="2845"/>
      <c r="TZM43" s="2842"/>
      <c r="TZN43" s="2842"/>
      <c r="TZO43" s="2843"/>
      <c r="TZP43" s="2843"/>
      <c r="TZQ43" s="2844"/>
      <c r="TZR43" s="2845"/>
      <c r="TZS43" s="2842"/>
      <c r="TZT43" s="2842"/>
      <c r="TZU43" s="2843"/>
      <c r="TZV43" s="2843"/>
      <c r="TZW43" s="2844"/>
      <c r="TZX43" s="2845"/>
      <c r="TZY43" s="2842"/>
      <c r="TZZ43" s="2842"/>
      <c r="UAA43" s="2843"/>
      <c r="UAB43" s="2843"/>
      <c r="UAC43" s="2844"/>
      <c r="UAD43" s="2845"/>
      <c r="UAE43" s="2842"/>
      <c r="UAF43" s="2842"/>
      <c r="UAG43" s="2843"/>
      <c r="UAH43" s="2843"/>
      <c r="UAI43" s="2844"/>
      <c r="UAJ43" s="2845"/>
      <c r="UAK43" s="2842"/>
      <c r="UAL43" s="2842"/>
      <c r="UAM43" s="2843"/>
      <c r="UAN43" s="2843"/>
      <c r="UAO43" s="2844"/>
      <c r="UAP43" s="2845"/>
      <c r="UAQ43" s="2842"/>
      <c r="UAR43" s="2842"/>
      <c r="UAS43" s="2843"/>
      <c r="UAT43" s="2843"/>
      <c r="UAU43" s="2844"/>
      <c r="UAV43" s="2845"/>
      <c r="UAW43" s="2842"/>
      <c r="UAX43" s="2842"/>
      <c r="UAY43" s="2843"/>
      <c r="UAZ43" s="2843"/>
      <c r="UBA43" s="2844"/>
      <c r="UBB43" s="2845"/>
      <c r="UBC43" s="2842"/>
      <c r="UBD43" s="2842"/>
      <c r="UBE43" s="2843"/>
      <c r="UBF43" s="2843"/>
      <c r="UBG43" s="2844"/>
      <c r="UBH43" s="2845"/>
      <c r="UBI43" s="2842"/>
      <c r="UBJ43" s="2842"/>
      <c r="UBK43" s="2843"/>
      <c r="UBL43" s="2843"/>
      <c r="UBM43" s="2844"/>
      <c r="UBN43" s="2845"/>
      <c r="UBO43" s="2842"/>
      <c r="UBP43" s="2842"/>
      <c r="UBQ43" s="2843"/>
      <c r="UBR43" s="2843"/>
      <c r="UBS43" s="2844"/>
      <c r="UBT43" s="2845"/>
      <c r="UBU43" s="2842"/>
      <c r="UBV43" s="2842"/>
      <c r="UBW43" s="2843"/>
      <c r="UBX43" s="2843"/>
      <c r="UBY43" s="2844"/>
      <c r="UBZ43" s="2845"/>
      <c r="UCA43" s="2842"/>
      <c r="UCB43" s="2842"/>
      <c r="UCC43" s="2843"/>
      <c r="UCD43" s="2843"/>
      <c r="UCE43" s="2844"/>
      <c r="UCF43" s="2845"/>
      <c r="UCG43" s="2842"/>
      <c r="UCH43" s="2842"/>
      <c r="UCI43" s="2843"/>
      <c r="UCJ43" s="2843"/>
      <c r="UCK43" s="2844"/>
      <c r="UCL43" s="2845"/>
      <c r="UCM43" s="2842"/>
      <c r="UCN43" s="2842"/>
      <c r="UCO43" s="2843"/>
      <c r="UCP43" s="2843"/>
      <c r="UCQ43" s="2844"/>
      <c r="UCR43" s="2845"/>
      <c r="UCS43" s="2842"/>
      <c r="UCT43" s="2842"/>
      <c r="UCU43" s="2843"/>
      <c r="UCV43" s="2843"/>
      <c r="UCW43" s="2844"/>
      <c r="UCX43" s="2845"/>
      <c r="UCY43" s="2842"/>
      <c r="UCZ43" s="2842"/>
      <c r="UDA43" s="2843"/>
      <c r="UDB43" s="2843"/>
      <c r="UDC43" s="2844"/>
      <c r="UDD43" s="2845"/>
      <c r="UDE43" s="2842"/>
      <c r="UDF43" s="2842"/>
      <c r="UDG43" s="2843"/>
      <c r="UDH43" s="2843"/>
      <c r="UDI43" s="2844"/>
      <c r="UDJ43" s="2845"/>
      <c r="UDK43" s="2842"/>
      <c r="UDL43" s="2842"/>
      <c r="UDM43" s="2843"/>
      <c r="UDN43" s="2843"/>
      <c r="UDO43" s="2844"/>
      <c r="UDP43" s="2845"/>
      <c r="UDQ43" s="2842"/>
      <c r="UDR43" s="2842"/>
      <c r="UDS43" s="2843"/>
      <c r="UDT43" s="2843"/>
      <c r="UDU43" s="2844"/>
      <c r="UDV43" s="2845"/>
      <c r="UDW43" s="2842"/>
      <c r="UDX43" s="2842"/>
      <c r="UDY43" s="2843"/>
      <c r="UDZ43" s="2843"/>
      <c r="UEA43" s="2844"/>
      <c r="UEB43" s="2845"/>
      <c r="UEC43" s="2842"/>
      <c r="UED43" s="2842"/>
      <c r="UEE43" s="2843"/>
      <c r="UEF43" s="2843"/>
      <c r="UEG43" s="2844"/>
      <c r="UEH43" s="2845"/>
      <c r="UEI43" s="2842"/>
      <c r="UEJ43" s="2842"/>
      <c r="UEK43" s="2843"/>
      <c r="UEL43" s="2843"/>
      <c r="UEM43" s="2844"/>
      <c r="UEN43" s="2845"/>
      <c r="UEO43" s="2842"/>
      <c r="UEP43" s="2842"/>
      <c r="UEQ43" s="2843"/>
      <c r="UER43" s="2843"/>
      <c r="UES43" s="2844"/>
      <c r="UET43" s="2845"/>
      <c r="UEU43" s="2842"/>
      <c r="UEV43" s="2842"/>
      <c r="UEW43" s="2843"/>
      <c r="UEX43" s="2843"/>
      <c r="UEY43" s="2844"/>
      <c r="UEZ43" s="2845"/>
      <c r="UFA43" s="2842"/>
      <c r="UFB43" s="2842"/>
      <c r="UFC43" s="2843"/>
      <c r="UFD43" s="2843"/>
      <c r="UFE43" s="2844"/>
      <c r="UFF43" s="2845"/>
      <c r="UFG43" s="2842"/>
      <c r="UFH43" s="2842"/>
      <c r="UFI43" s="2843"/>
      <c r="UFJ43" s="2843"/>
      <c r="UFK43" s="2844"/>
      <c r="UFL43" s="2845"/>
      <c r="UFM43" s="2842"/>
      <c r="UFN43" s="2842"/>
      <c r="UFO43" s="2843"/>
      <c r="UFP43" s="2843"/>
      <c r="UFQ43" s="2844"/>
      <c r="UFR43" s="2845"/>
      <c r="UFS43" s="2842"/>
      <c r="UFT43" s="2842"/>
      <c r="UFU43" s="2843"/>
      <c r="UFV43" s="2843"/>
      <c r="UFW43" s="2844"/>
      <c r="UFX43" s="2845"/>
      <c r="UFY43" s="2842"/>
      <c r="UFZ43" s="2842"/>
      <c r="UGA43" s="2843"/>
      <c r="UGB43" s="2843"/>
      <c r="UGC43" s="2844"/>
      <c r="UGD43" s="2845"/>
      <c r="UGE43" s="2842"/>
      <c r="UGF43" s="2842"/>
      <c r="UGG43" s="2843"/>
      <c r="UGH43" s="2843"/>
      <c r="UGI43" s="2844"/>
      <c r="UGJ43" s="2845"/>
      <c r="UGK43" s="2842"/>
      <c r="UGL43" s="2842"/>
      <c r="UGM43" s="2843"/>
      <c r="UGN43" s="2843"/>
      <c r="UGO43" s="2844"/>
      <c r="UGP43" s="2845"/>
      <c r="UGQ43" s="2842"/>
      <c r="UGR43" s="2842"/>
      <c r="UGS43" s="2843"/>
      <c r="UGT43" s="2843"/>
      <c r="UGU43" s="2844"/>
      <c r="UGV43" s="2845"/>
      <c r="UGW43" s="2842"/>
      <c r="UGX43" s="2842"/>
      <c r="UGY43" s="2843"/>
      <c r="UGZ43" s="2843"/>
      <c r="UHA43" s="2844"/>
      <c r="UHB43" s="2845"/>
      <c r="UHC43" s="2842"/>
      <c r="UHD43" s="2842"/>
      <c r="UHE43" s="2843"/>
      <c r="UHF43" s="2843"/>
      <c r="UHG43" s="2844"/>
      <c r="UHH43" s="2845"/>
      <c r="UHI43" s="2842"/>
      <c r="UHJ43" s="2842"/>
      <c r="UHK43" s="2843"/>
      <c r="UHL43" s="2843"/>
      <c r="UHM43" s="2844"/>
      <c r="UHN43" s="2845"/>
      <c r="UHO43" s="2842"/>
      <c r="UHP43" s="2842"/>
      <c r="UHQ43" s="2843"/>
      <c r="UHR43" s="2843"/>
      <c r="UHS43" s="2844"/>
      <c r="UHT43" s="2845"/>
      <c r="UHU43" s="2842"/>
      <c r="UHV43" s="2842"/>
      <c r="UHW43" s="2843"/>
      <c r="UHX43" s="2843"/>
      <c r="UHY43" s="2844"/>
      <c r="UHZ43" s="2845"/>
      <c r="UIA43" s="2842"/>
      <c r="UIB43" s="2842"/>
      <c r="UIC43" s="2843"/>
      <c r="UID43" s="2843"/>
      <c r="UIE43" s="2844"/>
      <c r="UIF43" s="2845"/>
      <c r="UIG43" s="2842"/>
      <c r="UIH43" s="2842"/>
      <c r="UII43" s="2843"/>
      <c r="UIJ43" s="2843"/>
      <c r="UIK43" s="2844"/>
      <c r="UIL43" s="2845"/>
      <c r="UIM43" s="2842"/>
      <c r="UIN43" s="2842"/>
      <c r="UIO43" s="2843"/>
      <c r="UIP43" s="2843"/>
      <c r="UIQ43" s="2844"/>
      <c r="UIR43" s="2845"/>
      <c r="UIS43" s="2842"/>
      <c r="UIT43" s="2842"/>
      <c r="UIU43" s="2843"/>
      <c r="UIV43" s="2843"/>
      <c r="UIW43" s="2844"/>
      <c r="UIX43" s="2845"/>
      <c r="UIY43" s="2842"/>
      <c r="UIZ43" s="2842"/>
      <c r="UJA43" s="2843"/>
      <c r="UJB43" s="2843"/>
      <c r="UJC43" s="2844"/>
      <c r="UJD43" s="2845"/>
      <c r="UJE43" s="2842"/>
      <c r="UJF43" s="2842"/>
      <c r="UJG43" s="2843"/>
      <c r="UJH43" s="2843"/>
      <c r="UJI43" s="2844"/>
      <c r="UJJ43" s="2845"/>
      <c r="UJK43" s="2842"/>
      <c r="UJL43" s="2842"/>
      <c r="UJM43" s="2843"/>
      <c r="UJN43" s="2843"/>
      <c r="UJO43" s="2844"/>
      <c r="UJP43" s="2845"/>
      <c r="UJQ43" s="2842"/>
      <c r="UJR43" s="2842"/>
      <c r="UJS43" s="2843"/>
      <c r="UJT43" s="2843"/>
      <c r="UJU43" s="2844"/>
      <c r="UJV43" s="2845"/>
      <c r="UJW43" s="2842"/>
      <c r="UJX43" s="2842"/>
      <c r="UJY43" s="2843"/>
      <c r="UJZ43" s="2843"/>
      <c r="UKA43" s="2844"/>
      <c r="UKB43" s="2845"/>
      <c r="UKC43" s="2842"/>
      <c r="UKD43" s="2842"/>
      <c r="UKE43" s="2843"/>
      <c r="UKF43" s="2843"/>
      <c r="UKG43" s="2844"/>
      <c r="UKH43" s="2845"/>
      <c r="UKI43" s="2842"/>
      <c r="UKJ43" s="2842"/>
      <c r="UKK43" s="2843"/>
      <c r="UKL43" s="2843"/>
      <c r="UKM43" s="2844"/>
      <c r="UKN43" s="2845"/>
      <c r="UKO43" s="2842"/>
      <c r="UKP43" s="2842"/>
      <c r="UKQ43" s="2843"/>
      <c r="UKR43" s="2843"/>
      <c r="UKS43" s="2844"/>
      <c r="UKT43" s="2845"/>
      <c r="UKU43" s="2842"/>
      <c r="UKV43" s="2842"/>
      <c r="UKW43" s="2843"/>
      <c r="UKX43" s="2843"/>
      <c r="UKY43" s="2844"/>
      <c r="UKZ43" s="2845"/>
      <c r="ULA43" s="2842"/>
      <c r="ULB43" s="2842"/>
      <c r="ULC43" s="2843"/>
      <c r="ULD43" s="2843"/>
      <c r="ULE43" s="2844"/>
      <c r="ULF43" s="2845"/>
      <c r="ULG43" s="2842"/>
      <c r="ULH43" s="2842"/>
      <c r="ULI43" s="2843"/>
      <c r="ULJ43" s="2843"/>
      <c r="ULK43" s="2844"/>
      <c r="ULL43" s="2845"/>
      <c r="ULM43" s="2842"/>
      <c r="ULN43" s="2842"/>
      <c r="ULO43" s="2843"/>
      <c r="ULP43" s="2843"/>
      <c r="ULQ43" s="2844"/>
      <c r="ULR43" s="2845"/>
      <c r="ULS43" s="2842"/>
      <c r="ULT43" s="2842"/>
      <c r="ULU43" s="2843"/>
      <c r="ULV43" s="2843"/>
      <c r="ULW43" s="2844"/>
      <c r="ULX43" s="2845"/>
      <c r="ULY43" s="2842"/>
      <c r="ULZ43" s="2842"/>
      <c r="UMA43" s="2843"/>
      <c r="UMB43" s="2843"/>
      <c r="UMC43" s="2844"/>
      <c r="UMD43" s="2845"/>
      <c r="UME43" s="2842"/>
      <c r="UMF43" s="2842"/>
      <c r="UMG43" s="2843"/>
      <c r="UMH43" s="2843"/>
      <c r="UMI43" s="2844"/>
      <c r="UMJ43" s="2845"/>
      <c r="UMK43" s="2842"/>
      <c r="UML43" s="2842"/>
      <c r="UMM43" s="2843"/>
      <c r="UMN43" s="2843"/>
      <c r="UMO43" s="2844"/>
      <c r="UMP43" s="2845"/>
      <c r="UMQ43" s="2842"/>
      <c r="UMR43" s="2842"/>
      <c r="UMS43" s="2843"/>
      <c r="UMT43" s="2843"/>
      <c r="UMU43" s="2844"/>
      <c r="UMV43" s="2845"/>
      <c r="UMW43" s="2842"/>
      <c r="UMX43" s="2842"/>
      <c r="UMY43" s="2843"/>
      <c r="UMZ43" s="2843"/>
      <c r="UNA43" s="2844"/>
      <c r="UNB43" s="2845"/>
      <c r="UNC43" s="2842"/>
      <c r="UND43" s="2842"/>
      <c r="UNE43" s="2843"/>
      <c r="UNF43" s="2843"/>
      <c r="UNG43" s="2844"/>
      <c r="UNH43" s="2845"/>
      <c r="UNI43" s="2842"/>
      <c r="UNJ43" s="2842"/>
      <c r="UNK43" s="2843"/>
      <c r="UNL43" s="2843"/>
      <c r="UNM43" s="2844"/>
      <c r="UNN43" s="2845"/>
      <c r="UNO43" s="2842"/>
      <c r="UNP43" s="2842"/>
      <c r="UNQ43" s="2843"/>
      <c r="UNR43" s="2843"/>
      <c r="UNS43" s="2844"/>
      <c r="UNT43" s="2845"/>
      <c r="UNU43" s="2842"/>
      <c r="UNV43" s="2842"/>
      <c r="UNW43" s="2843"/>
      <c r="UNX43" s="2843"/>
      <c r="UNY43" s="2844"/>
      <c r="UNZ43" s="2845"/>
      <c r="UOA43" s="2842"/>
      <c r="UOB43" s="2842"/>
      <c r="UOC43" s="2843"/>
      <c r="UOD43" s="2843"/>
      <c r="UOE43" s="2844"/>
      <c r="UOF43" s="2845"/>
      <c r="UOG43" s="2842"/>
      <c r="UOH43" s="2842"/>
      <c r="UOI43" s="2843"/>
      <c r="UOJ43" s="2843"/>
      <c r="UOK43" s="2844"/>
      <c r="UOL43" s="2845"/>
      <c r="UOM43" s="2842"/>
      <c r="UON43" s="2842"/>
      <c r="UOO43" s="2843"/>
      <c r="UOP43" s="2843"/>
      <c r="UOQ43" s="2844"/>
      <c r="UOR43" s="2845"/>
      <c r="UOS43" s="2842"/>
      <c r="UOT43" s="2842"/>
      <c r="UOU43" s="2843"/>
      <c r="UOV43" s="2843"/>
      <c r="UOW43" s="2844"/>
      <c r="UOX43" s="2845"/>
      <c r="UOY43" s="2842"/>
      <c r="UOZ43" s="2842"/>
      <c r="UPA43" s="2843"/>
      <c r="UPB43" s="2843"/>
      <c r="UPC43" s="2844"/>
      <c r="UPD43" s="2845"/>
      <c r="UPE43" s="2842"/>
      <c r="UPF43" s="2842"/>
      <c r="UPG43" s="2843"/>
      <c r="UPH43" s="2843"/>
      <c r="UPI43" s="2844"/>
      <c r="UPJ43" s="2845"/>
      <c r="UPK43" s="2842"/>
      <c r="UPL43" s="2842"/>
      <c r="UPM43" s="2843"/>
      <c r="UPN43" s="2843"/>
      <c r="UPO43" s="2844"/>
      <c r="UPP43" s="2845"/>
      <c r="UPQ43" s="2842"/>
      <c r="UPR43" s="2842"/>
      <c r="UPS43" s="2843"/>
      <c r="UPT43" s="2843"/>
      <c r="UPU43" s="2844"/>
      <c r="UPV43" s="2845"/>
      <c r="UPW43" s="2842"/>
      <c r="UPX43" s="2842"/>
      <c r="UPY43" s="2843"/>
      <c r="UPZ43" s="2843"/>
      <c r="UQA43" s="2844"/>
      <c r="UQB43" s="2845"/>
      <c r="UQC43" s="2842"/>
      <c r="UQD43" s="2842"/>
      <c r="UQE43" s="2843"/>
      <c r="UQF43" s="2843"/>
      <c r="UQG43" s="2844"/>
      <c r="UQH43" s="2845"/>
      <c r="UQI43" s="2842"/>
      <c r="UQJ43" s="2842"/>
      <c r="UQK43" s="2843"/>
      <c r="UQL43" s="2843"/>
      <c r="UQM43" s="2844"/>
      <c r="UQN43" s="2845"/>
      <c r="UQO43" s="2842"/>
      <c r="UQP43" s="2842"/>
      <c r="UQQ43" s="2843"/>
      <c r="UQR43" s="2843"/>
      <c r="UQS43" s="2844"/>
      <c r="UQT43" s="2845"/>
      <c r="UQU43" s="2842"/>
      <c r="UQV43" s="2842"/>
      <c r="UQW43" s="2843"/>
      <c r="UQX43" s="2843"/>
      <c r="UQY43" s="2844"/>
      <c r="UQZ43" s="2845"/>
      <c r="URA43" s="2842"/>
      <c r="URB43" s="2842"/>
      <c r="URC43" s="2843"/>
      <c r="URD43" s="2843"/>
      <c r="URE43" s="2844"/>
      <c r="URF43" s="2845"/>
      <c r="URG43" s="2842"/>
      <c r="URH43" s="2842"/>
      <c r="URI43" s="2843"/>
      <c r="URJ43" s="2843"/>
      <c r="URK43" s="2844"/>
      <c r="URL43" s="2845"/>
      <c r="URM43" s="2842"/>
      <c r="URN43" s="2842"/>
      <c r="URO43" s="2843"/>
      <c r="URP43" s="2843"/>
      <c r="URQ43" s="2844"/>
      <c r="URR43" s="2845"/>
      <c r="URS43" s="2842"/>
      <c r="URT43" s="2842"/>
      <c r="URU43" s="2843"/>
      <c r="URV43" s="2843"/>
      <c r="URW43" s="2844"/>
      <c r="URX43" s="2845"/>
      <c r="URY43" s="2842"/>
      <c r="URZ43" s="2842"/>
      <c r="USA43" s="2843"/>
      <c r="USB43" s="2843"/>
      <c r="USC43" s="2844"/>
      <c r="USD43" s="2845"/>
      <c r="USE43" s="2842"/>
      <c r="USF43" s="2842"/>
      <c r="USG43" s="2843"/>
      <c r="USH43" s="2843"/>
      <c r="USI43" s="2844"/>
      <c r="USJ43" s="2845"/>
      <c r="USK43" s="2842"/>
      <c r="USL43" s="2842"/>
      <c r="USM43" s="2843"/>
      <c r="USN43" s="2843"/>
      <c r="USO43" s="2844"/>
      <c r="USP43" s="2845"/>
      <c r="USQ43" s="2842"/>
      <c r="USR43" s="2842"/>
      <c r="USS43" s="2843"/>
      <c r="UST43" s="2843"/>
      <c r="USU43" s="2844"/>
      <c r="USV43" s="2845"/>
      <c r="USW43" s="2842"/>
      <c r="USX43" s="2842"/>
      <c r="USY43" s="2843"/>
      <c r="USZ43" s="2843"/>
      <c r="UTA43" s="2844"/>
      <c r="UTB43" s="2845"/>
      <c r="UTC43" s="2842"/>
      <c r="UTD43" s="2842"/>
      <c r="UTE43" s="2843"/>
      <c r="UTF43" s="2843"/>
      <c r="UTG43" s="2844"/>
      <c r="UTH43" s="2845"/>
      <c r="UTI43" s="2842"/>
      <c r="UTJ43" s="2842"/>
      <c r="UTK43" s="2843"/>
      <c r="UTL43" s="2843"/>
      <c r="UTM43" s="2844"/>
      <c r="UTN43" s="2845"/>
      <c r="UTO43" s="2842"/>
      <c r="UTP43" s="2842"/>
      <c r="UTQ43" s="2843"/>
      <c r="UTR43" s="2843"/>
      <c r="UTS43" s="2844"/>
      <c r="UTT43" s="2845"/>
      <c r="UTU43" s="2842"/>
      <c r="UTV43" s="2842"/>
      <c r="UTW43" s="2843"/>
      <c r="UTX43" s="2843"/>
      <c r="UTY43" s="2844"/>
      <c r="UTZ43" s="2845"/>
      <c r="UUA43" s="2842"/>
      <c r="UUB43" s="2842"/>
      <c r="UUC43" s="2843"/>
      <c r="UUD43" s="2843"/>
      <c r="UUE43" s="2844"/>
      <c r="UUF43" s="2845"/>
      <c r="UUG43" s="2842"/>
      <c r="UUH43" s="2842"/>
      <c r="UUI43" s="2843"/>
      <c r="UUJ43" s="2843"/>
      <c r="UUK43" s="2844"/>
      <c r="UUL43" s="2845"/>
      <c r="UUM43" s="2842"/>
      <c r="UUN43" s="2842"/>
      <c r="UUO43" s="2843"/>
      <c r="UUP43" s="2843"/>
      <c r="UUQ43" s="2844"/>
      <c r="UUR43" s="2845"/>
      <c r="UUS43" s="2842"/>
      <c r="UUT43" s="2842"/>
      <c r="UUU43" s="2843"/>
      <c r="UUV43" s="2843"/>
      <c r="UUW43" s="2844"/>
      <c r="UUX43" s="2845"/>
      <c r="UUY43" s="2842"/>
      <c r="UUZ43" s="2842"/>
      <c r="UVA43" s="2843"/>
      <c r="UVB43" s="2843"/>
      <c r="UVC43" s="2844"/>
      <c r="UVD43" s="2845"/>
      <c r="UVE43" s="2842"/>
      <c r="UVF43" s="2842"/>
      <c r="UVG43" s="2843"/>
      <c r="UVH43" s="2843"/>
      <c r="UVI43" s="2844"/>
      <c r="UVJ43" s="2845"/>
      <c r="UVK43" s="2842"/>
      <c r="UVL43" s="2842"/>
      <c r="UVM43" s="2843"/>
      <c r="UVN43" s="2843"/>
      <c r="UVO43" s="2844"/>
      <c r="UVP43" s="2845"/>
      <c r="UVQ43" s="2842"/>
      <c r="UVR43" s="2842"/>
      <c r="UVS43" s="2843"/>
      <c r="UVT43" s="2843"/>
      <c r="UVU43" s="2844"/>
      <c r="UVV43" s="2845"/>
      <c r="UVW43" s="2842"/>
      <c r="UVX43" s="2842"/>
      <c r="UVY43" s="2843"/>
      <c r="UVZ43" s="2843"/>
      <c r="UWA43" s="2844"/>
      <c r="UWB43" s="2845"/>
      <c r="UWC43" s="2842"/>
      <c r="UWD43" s="2842"/>
      <c r="UWE43" s="2843"/>
      <c r="UWF43" s="2843"/>
      <c r="UWG43" s="2844"/>
      <c r="UWH43" s="2845"/>
      <c r="UWI43" s="2842"/>
      <c r="UWJ43" s="2842"/>
      <c r="UWK43" s="2843"/>
      <c r="UWL43" s="2843"/>
      <c r="UWM43" s="2844"/>
      <c r="UWN43" s="2845"/>
      <c r="UWO43" s="2842"/>
      <c r="UWP43" s="2842"/>
      <c r="UWQ43" s="2843"/>
      <c r="UWR43" s="2843"/>
      <c r="UWS43" s="2844"/>
      <c r="UWT43" s="2845"/>
      <c r="UWU43" s="2842"/>
      <c r="UWV43" s="2842"/>
      <c r="UWW43" s="2843"/>
      <c r="UWX43" s="2843"/>
      <c r="UWY43" s="2844"/>
      <c r="UWZ43" s="2845"/>
      <c r="UXA43" s="2842"/>
      <c r="UXB43" s="2842"/>
      <c r="UXC43" s="2843"/>
      <c r="UXD43" s="2843"/>
      <c r="UXE43" s="2844"/>
      <c r="UXF43" s="2845"/>
      <c r="UXG43" s="2842"/>
      <c r="UXH43" s="2842"/>
      <c r="UXI43" s="2843"/>
      <c r="UXJ43" s="2843"/>
      <c r="UXK43" s="2844"/>
      <c r="UXL43" s="2845"/>
      <c r="UXM43" s="2842"/>
      <c r="UXN43" s="2842"/>
      <c r="UXO43" s="2843"/>
      <c r="UXP43" s="2843"/>
      <c r="UXQ43" s="2844"/>
      <c r="UXR43" s="2845"/>
      <c r="UXS43" s="2842"/>
      <c r="UXT43" s="2842"/>
      <c r="UXU43" s="2843"/>
      <c r="UXV43" s="2843"/>
      <c r="UXW43" s="2844"/>
      <c r="UXX43" s="2845"/>
      <c r="UXY43" s="2842"/>
      <c r="UXZ43" s="2842"/>
      <c r="UYA43" s="2843"/>
      <c r="UYB43" s="2843"/>
      <c r="UYC43" s="2844"/>
      <c r="UYD43" s="2845"/>
      <c r="UYE43" s="2842"/>
      <c r="UYF43" s="2842"/>
      <c r="UYG43" s="2843"/>
      <c r="UYH43" s="2843"/>
      <c r="UYI43" s="2844"/>
      <c r="UYJ43" s="2845"/>
      <c r="UYK43" s="2842"/>
      <c r="UYL43" s="2842"/>
      <c r="UYM43" s="2843"/>
      <c r="UYN43" s="2843"/>
      <c r="UYO43" s="2844"/>
      <c r="UYP43" s="2845"/>
      <c r="UYQ43" s="2842"/>
      <c r="UYR43" s="2842"/>
      <c r="UYS43" s="2843"/>
      <c r="UYT43" s="2843"/>
      <c r="UYU43" s="2844"/>
      <c r="UYV43" s="2845"/>
      <c r="UYW43" s="2842"/>
      <c r="UYX43" s="2842"/>
      <c r="UYY43" s="2843"/>
      <c r="UYZ43" s="2843"/>
      <c r="UZA43" s="2844"/>
      <c r="UZB43" s="2845"/>
      <c r="UZC43" s="2842"/>
      <c r="UZD43" s="2842"/>
      <c r="UZE43" s="2843"/>
      <c r="UZF43" s="2843"/>
      <c r="UZG43" s="2844"/>
      <c r="UZH43" s="2845"/>
      <c r="UZI43" s="2842"/>
      <c r="UZJ43" s="2842"/>
      <c r="UZK43" s="2843"/>
      <c r="UZL43" s="2843"/>
      <c r="UZM43" s="2844"/>
      <c r="UZN43" s="2845"/>
      <c r="UZO43" s="2842"/>
      <c r="UZP43" s="2842"/>
      <c r="UZQ43" s="2843"/>
      <c r="UZR43" s="2843"/>
      <c r="UZS43" s="2844"/>
      <c r="UZT43" s="2845"/>
      <c r="UZU43" s="2842"/>
      <c r="UZV43" s="2842"/>
      <c r="UZW43" s="2843"/>
      <c r="UZX43" s="2843"/>
      <c r="UZY43" s="2844"/>
      <c r="UZZ43" s="2845"/>
      <c r="VAA43" s="2842"/>
      <c r="VAB43" s="2842"/>
      <c r="VAC43" s="2843"/>
      <c r="VAD43" s="2843"/>
      <c r="VAE43" s="2844"/>
      <c r="VAF43" s="2845"/>
      <c r="VAG43" s="2842"/>
      <c r="VAH43" s="2842"/>
      <c r="VAI43" s="2843"/>
      <c r="VAJ43" s="2843"/>
      <c r="VAK43" s="2844"/>
      <c r="VAL43" s="2845"/>
      <c r="VAM43" s="2842"/>
      <c r="VAN43" s="2842"/>
      <c r="VAO43" s="2843"/>
      <c r="VAP43" s="2843"/>
      <c r="VAQ43" s="2844"/>
      <c r="VAR43" s="2845"/>
      <c r="VAS43" s="2842"/>
      <c r="VAT43" s="2842"/>
      <c r="VAU43" s="2843"/>
      <c r="VAV43" s="2843"/>
      <c r="VAW43" s="2844"/>
      <c r="VAX43" s="2845"/>
      <c r="VAY43" s="2842"/>
      <c r="VAZ43" s="2842"/>
      <c r="VBA43" s="2843"/>
      <c r="VBB43" s="2843"/>
      <c r="VBC43" s="2844"/>
      <c r="VBD43" s="2845"/>
      <c r="VBE43" s="2842"/>
      <c r="VBF43" s="2842"/>
      <c r="VBG43" s="2843"/>
      <c r="VBH43" s="2843"/>
      <c r="VBI43" s="2844"/>
      <c r="VBJ43" s="2845"/>
      <c r="VBK43" s="2842"/>
      <c r="VBL43" s="2842"/>
      <c r="VBM43" s="2843"/>
      <c r="VBN43" s="2843"/>
      <c r="VBO43" s="2844"/>
      <c r="VBP43" s="2845"/>
      <c r="VBQ43" s="2842"/>
      <c r="VBR43" s="2842"/>
      <c r="VBS43" s="2843"/>
      <c r="VBT43" s="2843"/>
      <c r="VBU43" s="2844"/>
      <c r="VBV43" s="2845"/>
      <c r="VBW43" s="2842"/>
      <c r="VBX43" s="2842"/>
      <c r="VBY43" s="2843"/>
      <c r="VBZ43" s="2843"/>
      <c r="VCA43" s="2844"/>
      <c r="VCB43" s="2845"/>
      <c r="VCC43" s="2842"/>
      <c r="VCD43" s="2842"/>
      <c r="VCE43" s="2843"/>
      <c r="VCF43" s="2843"/>
      <c r="VCG43" s="2844"/>
      <c r="VCH43" s="2845"/>
      <c r="VCI43" s="2842"/>
      <c r="VCJ43" s="2842"/>
      <c r="VCK43" s="2843"/>
      <c r="VCL43" s="2843"/>
      <c r="VCM43" s="2844"/>
      <c r="VCN43" s="2845"/>
      <c r="VCO43" s="2842"/>
      <c r="VCP43" s="2842"/>
      <c r="VCQ43" s="2843"/>
      <c r="VCR43" s="2843"/>
      <c r="VCS43" s="2844"/>
      <c r="VCT43" s="2845"/>
      <c r="VCU43" s="2842"/>
      <c r="VCV43" s="2842"/>
      <c r="VCW43" s="2843"/>
      <c r="VCX43" s="2843"/>
      <c r="VCY43" s="2844"/>
      <c r="VCZ43" s="2845"/>
      <c r="VDA43" s="2842"/>
      <c r="VDB43" s="2842"/>
      <c r="VDC43" s="2843"/>
      <c r="VDD43" s="2843"/>
      <c r="VDE43" s="2844"/>
      <c r="VDF43" s="2845"/>
      <c r="VDG43" s="2842"/>
      <c r="VDH43" s="2842"/>
      <c r="VDI43" s="2843"/>
      <c r="VDJ43" s="2843"/>
      <c r="VDK43" s="2844"/>
      <c r="VDL43" s="2845"/>
      <c r="VDM43" s="2842"/>
      <c r="VDN43" s="2842"/>
      <c r="VDO43" s="2843"/>
      <c r="VDP43" s="2843"/>
      <c r="VDQ43" s="2844"/>
      <c r="VDR43" s="2845"/>
      <c r="VDS43" s="2842"/>
      <c r="VDT43" s="2842"/>
      <c r="VDU43" s="2843"/>
      <c r="VDV43" s="2843"/>
      <c r="VDW43" s="2844"/>
      <c r="VDX43" s="2845"/>
      <c r="VDY43" s="2842"/>
      <c r="VDZ43" s="2842"/>
      <c r="VEA43" s="2843"/>
      <c r="VEB43" s="2843"/>
      <c r="VEC43" s="2844"/>
      <c r="VED43" s="2845"/>
      <c r="VEE43" s="2842"/>
      <c r="VEF43" s="2842"/>
      <c r="VEG43" s="2843"/>
      <c r="VEH43" s="2843"/>
      <c r="VEI43" s="2844"/>
      <c r="VEJ43" s="2845"/>
      <c r="VEK43" s="2842"/>
      <c r="VEL43" s="2842"/>
      <c r="VEM43" s="2843"/>
      <c r="VEN43" s="2843"/>
      <c r="VEO43" s="2844"/>
      <c r="VEP43" s="2845"/>
      <c r="VEQ43" s="2842"/>
      <c r="VER43" s="2842"/>
      <c r="VES43" s="2843"/>
      <c r="VET43" s="2843"/>
      <c r="VEU43" s="2844"/>
      <c r="VEV43" s="2845"/>
      <c r="VEW43" s="2842"/>
      <c r="VEX43" s="2842"/>
      <c r="VEY43" s="2843"/>
      <c r="VEZ43" s="2843"/>
      <c r="VFA43" s="2844"/>
      <c r="VFB43" s="2845"/>
      <c r="VFC43" s="2842"/>
      <c r="VFD43" s="2842"/>
      <c r="VFE43" s="2843"/>
      <c r="VFF43" s="2843"/>
      <c r="VFG43" s="2844"/>
      <c r="VFH43" s="2845"/>
      <c r="VFI43" s="2842"/>
      <c r="VFJ43" s="2842"/>
      <c r="VFK43" s="2843"/>
      <c r="VFL43" s="2843"/>
      <c r="VFM43" s="2844"/>
      <c r="VFN43" s="2845"/>
      <c r="VFO43" s="2842"/>
      <c r="VFP43" s="2842"/>
      <c r="VFQ43" s="2843"/>
      <c r="VFR43" s="2843"/>
      <c r="VFS43" s="2844"/>
      <c r="VFT43" s="2845"/>
      <c r="VFU43" s="2842"/>
      <c r="VFV43" s="2842"/>
      <c r="VFW43" s="2843"/>
      <c r="VFX43" s="2843"/>
      <c r="VFY43" s="2844"/>
      <c r="VFZ43" s="2845"/>
      <c r="VGA43" s="2842"/>
      <c r="VGB43" s="2842"/>
      <c r="VGC43" s="2843"/>
      <c r="VGD43" s="2843"/>
      <c r="VGE43" s="2844"/>
      <c r="VGF43" s="2845"/>
      <c r="VGG43" s="2842"/>
      <c r="VGH43" s="2842"/>
      <c r="VGI43" s="2843"/>
      <c r="VGJ43" s="2843"/>
      <c r="VGK43" s="2844"/>
      <c r="VGL43" s="2845"/>
      <c r="VGM43" s="2842"/>
      <c r="VGN43" s="2842"/>
      <c r="VGO43" s="2843"/>
      <c r="VGP43" s="2843"/>
      <c r="VGQ43" s="2844"/>
      <c r="VGR43" s="2845"/>
      <c r="VGS43" s="2842"/>
      <c r="VGT43" s="2842"/>
      <c r="VGU43" s="2843"/>
      <c r="VGV43" s="2843"/>
      <c r="VGW43" s="2844"/>
      <c r="VGX43" s="2845"/>
      <c r="VGY43" s="2842"/>
      <c r="VGZ43" s="2842"/>
      <c r="VHA43" s="2843"/>
      <c r="VHB43" s="2843"/>
      <c r="VHC43" s="2844"/>
      <c r="VHD43" s="2845"/>
      <c r="VHE43" s="2842"/>
      <c r="VHF43" s="2842"/>
      <c r="VHG43" s="2843"/>
      <c r="VHH43" s="2843"/>
      <c r="VHI43" s="2844"/>
      <c r="VHJ43" s="2845"/>
      <c r="VHK43" s="2842"/>
      <c r="VHL43" s="2842"/>
      <c r="VHM43" s="2843"/>
      <c r="VHN43" s="2843"/>
      <c r="VHO43" s="2844"/>
      <c r="VHP43" s="2845"/>
      <c r="VHQ43" s="2842"/>
      <c r="VHR43" s="2842"/>
      <c r="VHS43" s="2843"/>
      <c r="VHT43" s="2843"/>
      <c r="VHU43" s="2844"/>
      <c r="VHV43" s="2845"/>
      <c r="VHW43" s="2842"/>
      <c r="VHX43" s="2842"/>
      <c r="VHY43" s="2843"/>
      <c r="VHZ43" s="2843"/>
      <c r="VIA43" s="2844"/>
      <c r="VIB43" s="2845"/>
      <c r="VIC43" s="2842"/>
      <c r="VID43" s="2842"/>
      <c r="VIE43" s="2843"/>
      <c r="VIF43" s="2843"/>
      <c r="VIG43" s="2844"/>
      <c r="VIH43" s="2845"/>
      <c r="VII43" s="2842"/>
      <c r="VIJ43" s="2842"/>
      <c r="VIK43" s="2843"/>
      <c r="VIL43" s="2843"/>
      <c r="VIM43" s="2844"/>
      <c r="VIN43" s="2845"/>
      <c r="VIO43" s="2842"/>
      <c r="VIP43" s="2842"/>
      <c r="VIQ43" s="2843"/>
      <c r="VIR43" s="2843"/>
      <c r="VIS43" s="2844"/>
      <c r="VIT43" s="2845"/>
      <c r="VIU43" s="2842"/>
      <c r="VIV43" s="2842"/>
      <c r="VIW43" s="2843"/>
      <c r="VIX43" s="2843"/>
      <c r="VIY43" s="2844"/>
      <c r="VIZ43" s="2845"/>
      <c r="VJA43" s="2842"/>
      <c r="VJB43" s="2842"/>
      <c r="VJC43" s="2843"/>
      <c r="VJD43" s="2843"/>
      <c r="VJE43" s="2844"/>
      <c r="VJF43" s="2845"/>
      <c r="VJG43" s="2842"/>
      <c r="VJH43" s="2842"/>
      <c r="VJI43" s="2843"/>
      <c r="VJJ43" s="2843"/>
      <c r="VJK43" s="2844"/>
      <c r="VJL43" s="2845"/>
      <c r="VJM43" s="2842"/>
      <c r="VJN43" s="2842"/>
      <c r="VJO43" s="2843"/>
      <c r="VJP43" s="2843"/>
      <c r="VJQ43" s="2844"/>
      <c r="VJR43" s="2845"/>
      <c r="VJS43" s="2842"/>
      <c r="VJT43" s="2842"/>
      <c r="VJU43" s="2843"/>
      <c r="VJV43" s="2843"/>
      <c r="VJW43" s="2844"/>
      <c r="VJX43" s="2845"/>
      <c r="VJY43" s="2842"/>
      <c r="VJZ43" s="2842"/>
      <c r="VKA43" s="2843"/>
      <c r="VKB43" s="2843"/>
      <c r="VKC43" s="2844"/>
      <c r="VKD43" s="2845"/>
      <c r="VKE43" s="2842"/>
      <c r="VKF43" s="2842"/>
      <c r="VKG43" s="2843"/>
      <c r="VKH43" s="2843"/>
      <c r="VKI43" s="2844"/>
      <c r="VKJ43" s="2845"/>
      <c r="VKK43" s="2842"/>
      <c r="VKL43" s="2842"/>
      <c r="VKM43" s="2843"/>
      <c r="VKN43" s="2843"/>
      <c r="VKO43" s="2844"/>
      <c r="VKP43" s="2845"/>
      <c r="VKQ43" s="2842"/>
      <c r="VKR43" s="2842"/>
      <c r="VKS43" s="2843"/>
      <c r="VKT43" s="2843"/>
      <c r="VKU43" s="2844"/>
      <c r="VKV43" s="2845"/>
      <c r="VKW43" s="2842"/>
      <c r="VKX43" s="2842"/>
      <c r="VKY43" s="2843"/>
      <c r="VKZ43" s="2843"/>
      <c r="VLA43" s="2844"/>
      <c r="VLB43" s="2845"/>
      <c r="VLC43" s="2842"/>
      <c r="VLD43" s="2842"/>
      <c r="VLE43" s="2843"/>
      <c r="VLF43" s="2843"/>
      <c r="VLG43" s="2844"/>
      <c r="VLH43" s="2845"/>
      <c r="VLI43" s="2842"/>
      <c r="VLJ43" s="2842"/>
      <c r="VLK43" s="2843"/>
      <c r="VLL43" s="2843"/>
      <c r="VLM43" s="2844"/>
      <c r="VLN43" s="2845"/>
      <c r="VLO43" s="2842"/>
      <c r="VLP43" s="2842"/>
      <c r="VLQ43" s="2843"/>
      <c r="VLR43" s="2843"/>
      <c r="VLS43" s="2844"/>
      <c r="VLT43" s="2845"/>
      <c r="VLU43" s="2842"/>
      <c r="VLV43" s="2842"/>
      <c r="VLW43" s="2843"/>
      <c r="VLX43" s="2843"/>
      <c r="VLY43" s="2844"/>
      <c r="VLZ43" s="2845"/>
      <c r="VMA43" s="2842"/>
      <c r="VMB43" s="2842"/>
      <c r="VMC43" s="2843"/>
      <c r="VMD43" s="2843"/>
      <c r="VME43" s="2844"/>
      <c r="VMF43" s="2845"/>
      <c r="VMG43" s="2842"/>
      <c r="VMH43" s="2842"/>
      <c r="VMI43" s="2843"/>
      <c r="VMJ43" s="2843"/>
      <c r="VMK43" s="2844"/>
      <c r="VML43" s="2845"/>
      <c r="VMM43" s="2842"/>
      <c r="VMN43" s="2842"/>
      <c r="VMO43" s="2843"/>
      <c r="VMP43" s="2843"/>
      <c r="VMQ43" s="2844"/>
      <c r="VMR43" s="2845"/>
      <c r="VMS43" s="2842"/>
      <c r="VMT43" s="2842"/>
      <c r="VMU43" s="2843"/>
      <c r="VMV43" s="2843"/>
      <c r="VMW43" s="2844"/>
      <c r="VMX43" s="2845"/>
      <c r="VMY43" s="2842"/>
      <c r="VMZ43" s="2842"/>
      <c r="VNA43" s="2843"/>
      <c r="VNB43" s="2843"/>
      <c r="VNC43" s="2844"/>
      <c r="VND43" s="2845"/>
      <c r="VNE43" s="2842"/>
      <c r="VNF43" s="2842"/>
      <c r="VNG43" s="2843"/>
      <c r="VNH43" s="2843"/>
      <c r="VNI43" s="2844"/>
      <c r="VNJ43" s="2845"/>
      <c r="VNK43" s="2842"/>
      <c r="VNL43" s="2842"/>
      <c r="VNM43" s="2843"/>
      <c r="VNN43" s="2843"/>
      <c r="VNO43" s="2844"/>
      <c r="VNP43" s="2845"/>
      <c r="VNQ43" s="2842"/>
      <c r="VNR43" s="2842"/>
      <c r="VNS43" s="2843"/>
      <c r="VNT43" s="2843"/>
      <c r="VNU43" s="2844"/>
      <c r="VNV43" s="2845"/>
      <c r="VNW43" s="2842"/>
      <c r="VNX43" s="2842"/>
      <c r="VNY43" s="2843"/>
      <c r="VNZ43" s="2843"/>
      <c r="VOA43" s="2844"/>
      <c r="VOB43" s="2845"/>
      <c r="VOC43" s="2842"/>
      <c r="VOD43" s="2842"/>
      <c r="VOE43" s="2843"/>
      <c r="VOF43" s="2843"/>
      <c r="VOG43" s="2844"/>
      <c r="VOH43" s="2845"/>
      <c r="VOI43" s="2842"/>
      <c r="VOJ43" s="2842"/>
      <c r="VOK43" s="2843"/>
      <c r="VOL43" s="2843"/>
      <c r="VOM43" s="2844"/>
      <c r="VON43" s="2845"/>
      <c r="VOO43" s="2842"/>
      <c r="VOP43" s="2842"/>
      <c r="VOQ43" s="2843"/>
      <c r="VOR43" s="2843"/>
      <c r="VOS43" s="2844"/>
      <c r="VOT43" s="2845"/>
      <c r="VOU43" s="2842"/>
      <c r="VOV43" s="2842"/>
      <c r="VOW43" s="2843"/>
      <c r="VOX43" s="2843"/>
      <c r="VOY43" s="2844"/>
      <c r="VOZ43" s="2845"/>
      <c r="VPA43" s="2842"/>
      <c r="VPB43" s="2842"/>
      <c r="VPC43" s="2843"/>
      <c r="VPD43" s="2843"/>
      <c r="VPE43" s="2844"/>
      <c r="VPF43" s="2845"/>
      <c r="VPG43" s="2842"/>
      <c r="VPH43" s="2842"/>
      <c r="VPI43" s="2843"/>
      <c r="VPJ43" s="2843"/>
      <c r="VPK43" s="2844"/>
      <c r="VPL43" s="2845"/>
      <c r="VPM43" s="2842"/>
      <c r="VPN43" s="2842"/>
      <c r="VPO43" s="2843"/>
      <c r="VPP43" s="2843"/>
      <c r="VPQ43" s="2844"/>
      <c r="VPR43" s="2845"/>
      <c r="VPS43" s="2842"/>
      <c r="VPT43" s="2842"/>
      <c r="VPU43" s="2843"/>
      <c r="VPV43" s="2843"/>
      <c r="VPW43" s="2844"/>
      <c r="VPX43" s="2845"/>
      <c r="VPY43" s="2842"/>
      <c r="VPZ43" s="2842"/>
      <c r="VQA43" s="2843"/>
      <c r="VQB43" s="2843"/>
      <c r="VQC43" s="2844"/>
      <c r="VQD43" s="2845"/>
      <c r="VQE43" s="2842"/>
      <c r="VQF43" s="2842"/>
      <c r="VQG43" s="2843"/>
      <c r="VQH43" s="2843"/>
      <c r="VQI43" s="2844"/>
      <c r="VQJ43" s="2845"/>
      <c r="VQK43" s="2842"/>
      <c r="VQL43" s="2842"/>
      <c r="VQM43" s="2843"/>
      <c r="VQN43" s="2843"/>
      <c r="VQO43" s="2844"/>
      <c r="VQP43" s="2845"/>
      <c r="VQQ43" s="2842"/>
      <c r="VQR43" s="2842"/>
      <c r="VQS43" s="2843"/>
      <c r="VQT43" s="2843"/>
      <c r="VQU43" s="2844"/>
      <c r="VQV43" s="2845"/>
      <c r="VQW43" s="2842"/>
      <c r="VQX43" s="2842"/>
      <c r="VQY43" s="2843"/>
      <c r="VQZ43" s="2843"/>
      <c r="VRA43" s="2844"/>
      <c r="VRB43" s="2845"/>
      <c r="VRC43" s="2842"/>
      <c r="VRD43" s="2842"/>
      <c r="VRE43" s="2843"/>
      <c r="VRF43" s="2843"/>
      <c r="VRG43" s="2844"/>
      <c r="VRH43" s="2845"/>
      <c r="VRI43" s="2842"/>
      <c r="VRJ43" s="2842"/>
      <c r="VRK43" s="2843"/>
      <c r="VRL43" s="2843"/>
      <c r="VRM43" s="2844"/>
      <c r="VRN43" s="2845"/>
      <c r="VRO43" s="2842"/>
      <c r="VRP43" s="2842"/>
      <c r="VRQ43" s="2843"/>
      <c r="VRR43" s="2843"/>
      <c r="VRS43" s="2844"/>
      <c r="VRT43" s="2845"/>
      <c r="VRU43" s="2842"/>
      <c r="VRV43" s="2842"/>
      <c r="VRW43" s="2843"/>
      <c r="VRX43" s="2843"/>
      <c r="VRY43" s="2844"/>
      <c r="VRZ43" s="2845"/>
      <c r="VSA43" s="2842"/>
      <c r="VSB43" s="2842"/>
      <c r="VSC43" s="2843"/>
      <c r="VSD43" s="2843"/>
      <c r="VSE43" s="2844"/>
      <c r="VSF43" s="2845"/>
      <c r="VSG43" s="2842"/>
      <c r="VSH43" s="2842"/>
      <c r="VSI43" s="2843"/>
      <c r="VSJ43" s="2843"/>
      <c r="VSK43" s="2844"/>
      <c r="VSL43" s="2845"/>
      <c r="VSM43" s="2842"/>
      <c r="VSN43" s="2842"/>
      <c r="VSO43" s="2843"/>
      <c r="VSP43" s="2843"/>
      <c r="VSQ43" s="2844"/>
      <c r="VSR43" s="2845"/>
      <c r="VSS43" s="2842"/>
      <c r="VST43" s="2842"/>
      <c r="VSU43" s="2843"/>
      <c r="VSV43" s="2843"/>
      <c r="VSW43" s="2844"/>
      <c r="VSX43" s="2845"/>
      <c r="VSY43" s="2842"/>
      <c r="VSZ43" s="2842"/>
      <c r="VTA43" s="2843"/>
      <c r="VTB43" s="2843"/>
      <c r="VTC43" s="2844"/>
      <c r="VTD43" s="2845"/>
      <c r="VTE43" s="2842"/>
      <c r="VTF43" s="2842"/>
      <c r="VTG43" s="2843"/>
      <c r="VTH43" s="2843"/>
      <c r="VTI43" s="2844"/>
      <c r="VTJ43" s="2845"/>
      <c r="VTK43" s="2842"/>
      <c r="VTL43" s="2842"/>
      <c r="VTM43" s="2843"/>
      <c r="VTN43" s="2843"/>
      <c r="VTO43" s="2844"/>
      <c r="VTP43" s="2845"/>
      <c r="VTQ43" s="2842"/>
      <c r="VTR43" s="2842"/>
      <c r="VTS43" s="2843"/>
      <c r="VTT43" s="2843"/>
      <c r="VTU43" s="2844"/>
      <c r="VTV43" s="2845"/>
      <c r="VTW43" s="2842"/>
      <c r="VTX43" s="2842"/>
      <c r="VTY43" s="2843"/>
      <c r="VTZ43" s="2843"/>
      <c r="VUA43" s="2844"/>
      <c r="VUB43" s="2845"/>
      <c r="VUC43" s="2842"/>
      <c r="VUD43" s="2842"/>
      <c r="VUE43" s="2843"/>
      <c r="VUF43" s="2843"/>
      <c r="VUG43" s="2844"/>
      <c r="VUH43" s="2845"/>
      <c r="VUI43" s="2842"/>
      <c r="VUJ43" s="2842"/>
      <c r="VUK43" s="2843"/>
      <c r="VUL43" s="2843"/>
      <c r="VUM43" s="2844"/>
      <c r="VUN43" s="2845"/>
      <c r="VUO43" s="2842"/>
      <c r="VUP43" s="2842"/>
      <c r="VUQ43" s="2843"/>
      <c r="VUR43" s="2843"/>
      <c r="VUS43" s="2844"/>
      <c r="VUT43" s="2845"/>
      <c r="VUU43" s="2842"/>
      <c r="VUV43" s="2842"/>
      <c r="VUW43" s="2843"/>
      <c r="VUX43" s="2843"/>
      <c r="VUY43" s="2844"/>
      <c r="VUZ43" s="2845"/>
      <c r="VVA43" s="2842"/>
      <c r="VVB43" s="2842"/>
      <c r="VVC43" s="2843"/>
      <c r="VVD43" s="2843"/>
      <c r="VVE43" s="2844"/>
      <c r="VVF43" s="2845"/>
      <c r="VVG43" s="2842"/>
      <c r="VVH43" s="2842"/>
      <c r="VVI43" s="2843"/>
      <c r="VVJ43" s="2843"/>
      <c r="VVK43" s="2844"/>
      <c r="VVL43" s="2845"/>
      <c r="VVM43" s="2842"/>
      <c r="VVN43" s="2842"/>
      <c r="VVO43" s="2843"/>
      <c r="VVP43" s="2843"/>
      <c r="VVQ43" s="2844"/>
      <c r="VVR43" s="2845"/>
      <c r="VVS43" s="2842"/>
      <c r="VVT43" s="2842"/>
      <c r="VVU43" s="2843"/>
      <c r="VVV43" s="2843"/>
      <c r="VVW43" s="2844"/>
      <c r="VVX43" s="2845"/>
      <c r="VVY43" s="2842"/>
      <c r="VVZ43" s="2842"/>
      <c r="VWA43" s="2843"/>
      <c r="VWB43" s="2843"/>
      <c r="VWC43" s="2844"/>
      <c r="VWD43" s="2845"/>
      <c r="VWE43" s="2842"/>
      <c r="VWF43" s="2842"/>
      <c r="VWG43" s="2843"/>
      <c r="VWH43" s="2843"/>
      <c r="VWI43" s="2844"/>
      <c r="VWJ43" s="2845"/>
      <c r="VWK43" s="2842"/>
      <c r="VWL43" s="2842"/>
      <c r="VWM43" s="2843"/>
      <c r="VWN43" s="2843"/>
      <c r="VWO43" s="2844"/>
      <c r="VWP43" s="2845"/>
      <c r="VWQ43" s="2842"/>
      <c r="VWR43" s="2842"/>
      <c r="VWS43" s="2843"/>
      <c r="VWT43" s="2843"/>
      <c r="VWU43" s="2844"/>
      <c r="VWV43" s="2845"/>
      <c r="VWW43" s="2842"/>
      <c r="VWX43" s="2842"/>
      <c r="VWY43" s="2843"/>
      <c r="VWZ43" s="2843"/>
      <c r="VXA43" s="2844"/>
      <c r="VXB43" s="2845"/>
      <c r="VXC43" s="2842"/>
      <c r="VXD43" s="2842"/>
      <c r="VXE43" s="2843"/>
      <c r="VXF43" s="2843"/>
      <c r="VXG43" s="2844"/>
      <c r="VXH43" s="2845"/>
      <c r="VXI43" s="2842"/>
      <c r="VXJ43" s="2842"/>
      <c r="VXK43" s="2843"/>
      <c r="VXL43" s="2843"/>
      <c r="VXM43" s="2844"/>
      <c r="VXN43" s="2845"/>
      <c r="VXO43" s="2842"/>
      <c r="VXP43" s="2842"/>
      <c r="VXQ43" s="2843"/>
      <c r="VXR43" s="2843"/>
      <c r="VXS43" s="2844"/>
      <c r="VXT43" s="2845"/>
      <c r="VXU43" s="2842"/>
      <c r="VXV43" s="2842"/>
      <c r="VXW43" s="2843"/>
      <c r="VXX43" s="2843"/>
      <c r="VXY43" s="2844"/>
      <c r="VXZ43" s="2845"/>
      <c r="VYA43" s="2842"/>
      <c r="VYB43" s="2842"/>
      <c r="VYC43" s="2843"/>
      <c r="VYD43" s="2843"/>
      <c r="VYE43" s="2844"/>
      <c r="VYF43" s="2845"/>
      <c r="VYG43" s="2842"/>
      <c r="VYH43" s="2842"/>
      <c r="VYI43" s="2843"/>
      <c r="VYJ43" s="2843"/>
      <c r="VYK43" s="2844"/>
      <c r="VYL43" s="2845"/>
      <c r="VYM43" s="2842"/>
      <c r="VYN43" s="2842"/>
      <c r="VYO43" s="2843"/>
      <c r="VYP43" s="2843"/>
      <c r="VYQ43" s="2844"/>
      <c r="VYR43" s="2845"/>
      <c r="VYS43" s="2842"/>
      <c r="VYT43" s="2842"/>
      <c r="VYU43" s="2843"/>
      <c r="VYV43" s="2843"/>
      <c r="VYW43" s="2844"/>
      <c r="VYX43" s="2845"/>
      <c r="VYY43" s="2842"/>
      <c r="VYZ43" s="2842"/>
      <c r="VZA43" s="2843"/>
      <c r="VZB43" s="2843"/>
      <c r="VZC43" s="2844"/>
      <c r="VZD43" s="2845"/>
      <c r="VZE43" s="2842"/>
      <c r="VZF43" s="2842"/>
      <c r="VZG43" s="2843"/>
      <c r="VZH43" s="2843"/>
      <c r="VZI43" s="2844"/>
      <c r="VZJ43" s="2845"/>
      <c r="VZK43" s="2842"/>
      <c r="VZL43" s="2842"/>
      <c r="VZM43" s="2843"/>
      <c r="VZN43" s="2843"/>
      <c r="VZO43" s="2844"/>
      <c r="VZP43" s="2845"/>
      <c r="VZQ43" s="2842"/>
      <c r="VZR43" s="2842"/>
      <c r="VZS43" s="2843"/>
      <c r="VZT43" s="2843"/>
      <c r="VZU43" s="2844"/>
      <c r="VZV43" s="2845"/>
      <c r="VZW43" s="2842"/>
      <c r="VZX43" s="2842"/>
      <c r="VZY43" s="2843"/>
      <c r="VZZ43" s="2843"/>
      <c r="WAA43" s="2844"/>
      <c r="WAB43" s="2845"/>
      <c r="WAC43" s="2842"/>
      <c r="WAD43" s="2842"/>
      <c r="WAE43" s="2843"/>
      <c r="WAF43" s="2843"/>
      <c r="WAG43" s="2844"/>
      <c r="WAH43" s="2845"/>
      <c r="WAI43" s="2842"/>
      <c r="WAJ43" s="2842"/>
      <c r="WAK43" s="2843"/>
      <c r="WAL43" s="2843"/>
      <c r="WAM43" s="2844"/>
      <c r="WAN43" s="2845"/>
      <c r="WAO43" s="2842"/>
      <c r="WAP43" s="2842"/>
      <c r="WAQ43" s="2843"/>
      <c r="WAR43" s="2843"/>
      <c r="WAS43" s="2844"/>
      <c r="WAT43" s="2845"/>
      <c r="WAU43" s="2842"/>
      <c r="WAV43" s="2842"/>
      <c r="WAW43" s="2843"/>
      <c r="WAX43" s="2843"/>
      <c r="WAY43" s="2844"/>
      <c r="WAZ43" s="2845"/>
      <c r="WBA43" s="2842"/>
      <c r="WBB43" s="2842"/>
      <c r="WBC43" s="2843"/>
      <c r="WBD43" s="2843"/>
      <c r="WBE43" s="2844"/>
      <c r="WBF43" s="2845"/>
      <c r="WBG43" s="2842"/>
      <c r="WBH43" s="2842"/>
      <c r="WBI43" s="2843"/>
      <c r="WBJ43" s="2843"/>
      <c r="WBK43" s="2844"/>
      <c r="WBL43" s="2845"/>
      <c r="WBM43" s="2842"/>
      <c r="WBN43" s="2842"/>
      <c r="WBO43" s="2843"/>
      <c r="WBP43" s="2843"/>
      <c r="WBQ43" s="2844"/>
      <c r="WBR43" s="2845"/>
      <c r="WBS43" s="2842"/>
      <c r="WBT43" s="2842"/>
      <c r="WBU43" s="2843"/>
      <c r="WBV43" s="2843"/>
      <c r="WBW43" s="2844"/>
      <c r="WBX43" s="2845"/>
      <c r="WBY43" s="2842"/>
      <c r="WBZ43" s="2842"/>
      <c r="WCA43" s="2843"/>
      <c r="WCB43" s="2843"/>
      <c r="WCC43" s="2844"/>
      <c r="WCD43" s="2845"/>
      <c r="WCE43" s="2842"/>
      <c r="WCF43" s="2842"/>
      <c r="WCG43" s="2843"/>
      <c r="WCH43" s="2843"/>
      <c r="WCI43" s="2844"/>
      <c r="WCJ43" s="2845"/>
      <c r="WCK43" s="2842"/>
      <c r="WCL43" s="2842"/>
      <c r="WCM43" s="2843"/>
      <c r="WCN43" s="2843"/>
      <c r="WCO43" s="2844"/>
      <c r="WCP43" s="2845"/>
      <c r="WCQ43" s="2842"/>
      <c r="WCR43" s="2842"/>
      <c r="WCS43" s="2843"/>
      <c r="WCT43" s="2843"/>
      <c r="WCU43" s="2844"/>
      <c r="WCV43" s="2845"/>
      <c r="WCW43" s="2842"/>
      <c r="WCX43" s="2842"/>
      <c r="WCY43" s="2843"/>
      <c r="WCZ43" s="2843"/>
      <c r="WDA43" s="2844"/>
      <c r="WDB43" s="2845"/>
      <c r="WDC43" s="2842"/>
      <c r="WDD43" s="2842"/>
      <c r="WDE43" s="2843"/>
      <c r="WDF43" s="2843"/>
      <c r="WDG43" s="2844"/>
      <c r="WDH43" s="2845"/>
      <c r="WDI43" s="2842"/>
      <c r="WDJ43" s="2842"/>
      <c r="WDK43" s="2843"/>
      <c r="WDL43" s="2843"/>
      <c r="WDM43" s="2844"/>
      <c r="WDN43" s="2845"/>
      <c r="WDO43" s="2842"/>
      <c r="WDP43" s="2842"/>
      <c r="WDQ43" s="2843"/>
      <c r="WDR43" s="2843"/>
      <c r="WDS43" s="2844"/>
      <c r="WDT43" s="2845"/>
      <c r="WDU43" s="2842"/>
      <c r="WDV43" s="2842"/>
      <c r="WDW43" s="2843"/>
      <c r="WDX43" s="2843"/>
      <c r="WDY43" s="2844"/>
      <c r="WDZ43" s="2845"/>
      <c r="WEA43" s="2842"/>
      <c r="WEB43" s="2842"/>
      <c r="WEC43" s="2843"/>
      <c r="WED43" s="2843"/>
      <c r="WEE43" s="2844"/>
      <c r="WEF43" s="2845"/>
      <c r="WEG43" s="2842"/>
      <c r="WEH43" s="2842"/>
      <c r="WEI43" s="2843"/>
      <c r="WEJ43" s="2843"/>
      <c r="WEK43" s="2844"/>
      <c r="WEL43" s="2845"/>
      <c r="WEM43" s="2842"/>
      <c r="WEN43" s="2842"/>
      <c r="WEO43" s="2843"/>
      <c r="WEP43" s="2843"/>
      <c r="WEQ43" s="2844"/>
      <c r="WER43" s="2845"/>
      <c r="WES43" s="2842"/>
      <c r="WET43" s="2842"/>
      <c r="WEU43" s="2843"/>
      <c r="WEV43" s="2843"/>
      <c r="WEW43" s="2844"/>
      <c r="WEX43" s="2845"/>
      <c r="WEY43" s="2842"/>
      <c r="WEZ43" s="2842"/>
      <c r="WFA43" s="2843"/>
      <c r="WFB43" s="2843"/>
      <c r="WFC43" s="2844"/>
      <c r="WFD43" s="2845"/>
      <c r="WFE43" s="2842"/>
      <c r="WFF43" s="2842"/>
      <c r="WFG43" s="2843"/>
      <c r="WFH43" s="2843"/>
      <c r="WFI43" s="2844"/>
      <c r="WFJ43" s="2845"/>
      <c r="WFK43" s="2842"/>
      <c r="WFL43" s="2842"/>
      <c r="WFM43" s="2843"/>
      <c r="WFN43" s="2843"/>
      <c r="WFO43" s="2844"/>
      <c r="WFP43" s="2845"/>
      <c r="WFQ43" s="2842"/>
      <c r="WFR43" s="2842"/>
      <c r="WFS43" s="2843"/>
      <c r="WFT43" s="2843"/>
      <c r="WFU43" s="2844"/>
      <c r="WFV43" s="2845"/>
      <c r="WFW43" s="2842"/>
      <c r="WFX43" s="2842"/>
      <c r="WFY43" s="2843"/>
      <c r="WFZ43" s="2843"/>
      <c r="WGA43" s="2844"/>
      <c r="WGB43" s="2845"/>
      <c r="WGC43" s="2842"/>
      <c r="WGD43" s="2842"/>
      <c r="WGE43" s="2843"/>
      <c r="WGF43" s="2843"/>
      <c r="WGG43" s="2844"/>
      <c r="WGH43" s="2845"/>
      <c r="WGI43" s="2842"/>
      <c r="WGJ43" s="2842"/>
      <c r="WGK43" s="2843"/>
      <c r="WGL43" s="2843"/>
      <c r="WGM43" s="2844"/>
      <c r="WGN43" s="2845"/>
      <c r="WGO43" s="2842"/>
      <c r="WGP43" s="2842"/>
      <c r="WGQ43" s="2843"/>
      <c r="WGR43" s="2843"/>
      <c r="WGS43" s="2844"/>
      <c r="WGT43" s="2845"/>
      <c r="WGU43" s="2842"/>
      <c r="WGV43" s="2842"/>
      <c r="WGW43" s="2843"/>
      <c r="WGX43" s="2843"/>
      <c r="WGY43" s="2844"/>
      <c r="WGZ43" s="2845"/>
      <c r="WHA43" s="2842"/>
      <c r="WHB43" s="2842"/>
      <c r="WHC43" s="2843"/>
      <c r="WHD43" s="2843"/>
      <c r="WHE43" s="2844"/>
      <c r="WHF43" s="2845"/>
      <c r="WHG43" s="2842"/>
      <c r="WHH43" s="2842"/>
      <c r="WHI43" s="2843"/>
      <c r="WHJ43" s="2843"/>
      <c r="WHK43" s="2844"/>
      <c r="WHL43" s="2845"/>
      <c r="WHM43" s="2842"/>
      <c r="WHN43" s="2842"/>
      <c r="WHO43" s="2843"/>
      <c r="WHP43" s="2843"/>
      <c r="WHQ43" s="2844"/>
      <c r="WHR43" s="2845"/>
      <c r="WHS43" s="2842"/>
      <c r="WHT43" s="2842"/>
      <c r="WHU43" s="2843"/>
      <c r="WHV43" s="2843"/>
      <c r="WHW43" s="2844"/>
      <c r="WHX43" s="2845"/>
      <c r="WHY43" s="2842"/>
      <c r="WHZ43" s="2842"/>
      <c r="WIA43" s="2843"/>
      <c r="WIB43" s="2843"/>
      <c r="WIC43" s="2844"/>
      <c r="WID43" s="2845"/>
      <c r="WIE43" s="2842"/>
      <c r="WIF43" s="2842"/>
      <c r="WIG43" s="2843"/>
      <c r="WIH43" s="2843"/>
      <c r="WII43" s="2844"/>
      <c r="WIJ43" s="2845"/>
      <c r="WIK43" s="2842"/>
      <c r="WIL43" s="2842"/>
      <c r="WIM43" s="2843"/>
      <c r="WIN43" s="2843"/>
      <c r="WIO43" s="2844"/>
      <c r="WIP43" s="2845"/>
      <c r="WIQ43" s="2842"/>
      <c r="WIR43" s="2842"/>
      <c r="WIS43" s="2843"/>
      <c r="WIT43" s="2843"/>
      <c r="WIU43" s="2844"/>
      <c r="WIV43" s="2845"/>
      <c r="WIW43" s="2842"/>
      <c r="WIX43" s="2842"/>
      <c r="WIY43" s="2843"/>
      <c r="WIZ43" s="2843"/>
      <c r="WJA43" s="2844"/>
      <c r="WJB43" s="2845"/>
      <c r="WJC43" s="2842"/>
      <c r="WJD43" s="2842"/>
      <c r="WJE43" s="2843"/>
      <c r="WJF43" s="2843"/>
      <c r="WJG43" s="2844"/>
      <c r="WJH43" s="2845"/>
      <c r="WJI43" s="2842"/>
      <c r="WJJ43" s="2842"/>
      <c r="WJK43" s="2843"/>
      <c r="WJL43" s="2843"/>
      <c r="WJM43" s="2844"/>
      <c r="WJN43" s="2845"/>
      <c r="WJO43" s="2842"/>
      <c r="WJP43" s="2842"/>
      <c r="WJQ43" s="2843"/>
      <c r="WJR43" s="2843"/>
      <c r="WJS43" s="2844"/>
      <c r="WJT43" s="2845"/>
      <c r="WJU43" s="2842"/>
      <c r="WJV43" s="2842"/>
      <c r="WJW43" s="2843"/>
      <c r="WJX43" s="2843"/>
      <c r="WJY43" s="2844"/>
      <c r="WJZ43" s="2845"/>
      <c r="WKA43" s="2842"/>
      <c r="WKB43" s="2842"/>
      <c r="WKC43" s="2843"/>
      <c r="WKD43" s="2843"/>
      <c r="WKE43" s="2844"/>
      <c r="WKF43" s="2845"/>
      <c r="WKG43" s="2842"/>
      <c r="WKH43" s="2842"/>
      <c r="WKI43" s="2843"/>
      <c r="WKJ43" s="2843"/>
      <c r="WKK43" s="2844"/>
      <c r="WKL43" s="2845"/>
      <c r="WKM43" s="2842"/>
      <c r="WKN43" s="2842"/>
      <c r="WKO43" s="2843"/>
      <c r="WKP43" s="2843"/>
      <c r="WKQ43" s="2844"/>
      <c r="WKR43" s="2845"/>
      <c r="WKS43" s="2842"/>
      <c r="WKT43" s="2842"/>
      <c r="WKU43" s="2843"/>
      <c r="WKV43" s="2843"/>
      <c r="WKW43" s="2844"/>
      <c r="WKX43" s="2845"/>
      <c r="WKY43" s="2842"/>
      <c r="WKZ43" s="2842"/>
      <c r="WLA43" s="2843"/>
      <c r="WLB43" s="2843"/>
      <c r="WLC43" s="2844"/>
      <c r="WLD43" s="2845"/>
      <c r="WLE43" s="2842"/>
      <c r="WLF43" s="2842"/>
      <c r="WLG43" s="2843"/>
      <c r="WLH43" s="2843"/>
      <c r="WLI43" s="2844"/>
      <c r="WLJ43" s="2845"/>
      <c r="WLK43" s="2842"/>
      <c r="WLL43" s="2842"/>
      <c r="WLM43" s="2843"/>
      <c r="WLN43" s="2843"/>
      <c r="WLO43" s="2844"/>
      <c r="WLP43" s="2845"/>
      <c r="WLQ43" s="2842"/>
      <c r="WLR43" s="2842"/>
      <c r="WLS43" s="2843"/>
      <c r="WLT43" s="2843"/>
      <c r="WLU43" s="2844"/>
      <c r="WLV43" s="2845"/>
      <c r="WLW43" s="2842"/>
      <c r="WLX43" s="2842"/>
      <c r="WLY43" s="2843"/>
      <c r="WLZ43" s="2843"/>
      <c r="WMA43" s="2844"/>
      <c r="WMB43" s="2845"/>
      <c r="WMC43" s="2842"/>
      <c r="WMD43" s="2842"/>
      <c r="WME43" s="2843"/>
      <c r="WMF43" s="2843"/>
      <c r="WMG43" s="2844"/>
      <c r="WMH43" s="2845"/>
      <c r="WMI43" s="2842"/>
      <c r="WMJ43" s="2842"/>
      <c r="WMK43" s="2843"/>
      <c r="WML43" s="2843"/>
      <c r="WMM43" s="2844"/>
      <c r="WMN43" s="2845"/>
      <c r="WMO43" s="2842"/>
      <c r="WMP43" s="2842"/>
      <c r="WMQ43" s="2843"/>
      <c r="WMR43" s="2843"/>
      <c r="WMS43" s="2844"/>
      <c r="WMT43" s="2845"/>
      <c r="WMU43" s="2842"/>
      <c r="WMV43" s="2842"/>
      <c r="WMW43" s="2843"/>
      <c r="WMX43" s="2843"/>
      <c r="WMY43" s="2844"/>
      <c r="WMZ43" s="2845"/>
      <c r="WNA43" s="2842"/>
      <c r="WNB43" s="2842"/>
      <c r="WNC43" s="2843"/>
      <c r="WND43" s="2843"/>
      <c r="WNE43" s="2844"/>
      <c r="WNF43" s="2845"/>
      <c r="WNG43" s="2842"/>
      <c r="WNH43" s="2842"/>
      <c r="WNI43" s="2843"/>
      <c r="WNJ43" s="2843"/>
      <c r="WNK43" s="2844"/>
      <c r="WNL43" s="2845"/>
      <c r="WNM43" s="2842"/>
      <c r="WNN43" s="2842"/>
      <c r="WNO43" s="2843"/>
      <c r="WNP43" s="2843"/>
      <c r="WNQ43" s="2844"/>
      <c r="WNR43" s="2845"/>
      <c r="WNS43" s="2842"/>
      <c r="WNT43" s="2842"/>
      <c r="WNU43" s="2843"/>
      <c r="WNV43" s="2843"/>
      <c r="WNW43" s="2844"/>
      <c r="WNX43" s="2845"/>
      <c r="WNY43" s="2842"/>
      <c r="WNZ43" s="2842"/>
      <c r="WOA43" s="2843"/>
      <c r="WOB43" s="2843"/>
      <c r="WOC43" s="2844"/>
      <c r="WOD43" s="2845"/>
      <c r="WOE43" s="2842"/>
      <c r="WOF43" s="2842"/>
      <c r="WOG43" s="2843"/>
      <c r="WOH43" s="2843"/>
      <c r="WOI43" s="2844"/>
      <c r="WOJ43" s="2845"/>
      <c r="WOK43" s="2842"/>
      <c r="WOL43" s="2842"/>
      <c r="WOM43" s="2843"/>
      <c r="WON43" s="2843"/>
      <c r="WOO43" s="2844"/>
      <c r="WOP43" s="2845"/>
      <c r="WOQ43" s="2842"/>
      <c r="WOR43" s="2842"/>
      <c r="WOS43" s="2843"/>
      <c r="WOT43" s="2843"/>
      <c r="WOU43" s="2844"/>
      <c r="WOV43" s="2845"/>
      <c r="WOW43" s="2842"/>
      <c r="WOX43" s="2842"/>
      <c r="WOY43" s="2843"/>
      <c r="WOZ43" s="2843"/>
      <c r="WPA43" s="2844"/>
      <c r="WPB43" s="2845"/>
      <c r="WPC43" s="2842"/>
      <c r="WPD43" s="2842"/>
      <c r="WPE43" s="2843"/>
      <c r="WPF43" s="2843"/>
      <c r="WPG43" s="2844"/>
      <c r="WPH43" s="2845"/>
      <c r="WPI43" s="2842"/>
      <c r="WPJ43" s="2842"/>
      <c r="WPK43" s="2843"/>
      <c r="WPL43" s="2843"/>
      <c r="WPM43" s="2844"/>
      <c r="WPN43" s="2845"/>
      <c r="WPO43" s="2842"/>
      <c r="WPP43" s="2842"/>
      <c r="WPQ43" s="2843"/>
      <c r="WPR43" s="2843"/>
      <c r="WPS43" s="2844"/>
      <c r="WPT43" s="2845"/>
      <c r="WPU43" s="2842"/>
      <c r="WPV43" s="2842"/>
      <c r="WPW43" s="2843"/>
      <c r="WPX43" s="2843"/>
      <c r="WPY43" s="2844"/>
      <c r="WPZ43" s="2845"/>
      <c r="WQA43" s="2842"/>
      <c r="WQB43" s="2842"/>
      <c r="WQC43" s="2843"/>
      <c r="WQD43" s="2843"/>
      <c r="WQE43" s="2844"/>
      <c r="WQF43" s="2845"/>
      <c r="WQG43" s="2842"/>
      <c r="WQH43" s="2842"/>
      <c r="WQI43" s="2843"/>
      <c r="WQJ43" s="2843"/>
      <c r="WQK43" s="2844"/>
      <c r="WQL43" s="2845"/>
      <c r="WQM43" s="2842"/>
      <c r="WQN43" s="2842"/>
      <c r="WQO43" s="2843"/>
      <c r="WQP43" s="2843"/>
      <c r="WQQ43" s="2844"/>
      <c r="WQR43" s="2845"/>
      <c r="WQS43" s="2842"/>
      <c r="WQT43" s="2842"/>
      <c r="WQU43" s="2843"/>
      <c r="WQV43" s="2843"/>
      <c r="WQW43" s="2844"/>
      <c r="WQX43" s="2845"/>
      <c r="WQY43" s="2842"/>
      <c r="WQZ43" s="2842"/>
      <c r="WRA43" s="2843"/>
      <c r="WRB43" s="2843"/>
      <c r="WRC43" s="2844"/>
      <c r="WRD43" s="2845"/>
      <c r="WRE43" s="2842"/>
      <c r="WRF43" s="2842"/>
      <c r="WRG43" s="2843"/>
      <c r="WRH43" s="2843"/>
      <c r="WRI43" s="2844"/>
      <c r="WRJ43" s="2845"/>
      <c r="WRK43" s="2842"/>
      <c r="WRL43" s="2842"/>
      <c r="WRM43" s="2843"/>
      <c r="WRN43" s="2843"/>
      <c r="WRO43" s="2844"/>
      <c r="WRP43" s="2845"/>
      <c r="WRQ43" s="2842"/>
      <c r="WRR43" s="2842"/>
      <c r="WRS43" s="2843"/>
      <c r="WRT43" s="2843"/>
      <c r="WRU43" s="2844"/>
      <c r="WRV43" s="2845"/>
      <c r="WRW43" s="2842"/>
      <c r="WRX43" s="2842"/>
      <c r="WRY43" s="2843"/>
      <c r="WRZ43" s="2843"/>
      <c r="WSA43" s="2844"/>
      <c r="WSB43" s="2845"/>
      <c r="WSC43" s="2842"/>
      <c r="WSD43" s="2842"/>
      <c r="WSE43" s="2843"/>
      <c r="WSF43" s="2843"/>
      <c r="WSG43" s="2844"/>
      <c r="WSH43" s="2845"/>
      <c r="WSI43" s="2842"/>
      <c r="WSJ43" s="2842"/>
      <c r="WSK43" s="2843"/>
      <c r="WSL43" s="2843"/>
      <c r="WSM43" s="2844"/>
      <c r="WSN43" s="2845"/>
      <c r="WSO43" s="2842"/>
      <c r="WSP43" s="2842"/>
      <c r="WSQ43" s="2843"/>
      <c r="WSR43" s="2843"/>
      <c r="WSS43" s="2844"/>
      <c r="WST43" s="2845"/>
      <c r="WSU43" s="2842"/>
      <c r="WSV43" s="2842"/>
      <c r="WSW43" s="2843"/>
      <c r="WSX43" s="2843"/>
      <c r="WSY43" s="2844"/>
      <c r="WSZ43" s="2845"/>
      <c r="WTA43" s="2842"/>
      <c r="WTB43" s="2842"/>
      <c r="WTC43" s="2843"/>
      <c r="WTD43" s="2843"/>
      <c r="WTE43" s="2844"/>
      <c r="WTF43" s="2845"/>
      <c r="WTG43" s="2842"/>
      <c r="WTH43" s="2842"/>
      <c r="WTI43" s="2843"/>
      <c r="WTJ43" s="2843"/>
      <c r="WTK43" s="2844"/>
      <c r="WTL43" s="2845"/>
      <c r="WTM43" s="2842"/>
      <c r="WTN43" s="2842"/>
      <c r="WTO43" s="2843"/>
      <c r="WTP43" s="2843"/>
      <c r="WTQ43" s="2844"/>
      <c r="WTR43" s="2845"/>
      <c r="WTS43" s="2842"/>
      <c r="WTT43" s="2842"/>
      <c r="WTU43" s="2843"/>
      <c r="WTV43" s="2843"/>
      <c r="WTW43" s="2844"/>
      <c r="WTX43" s="2845"/>
      <c r="WTY43" s="2842"/>
      <c r="WTZ43" s="2842"/>
      <c r="WUA43" s="2843"/>
      <c r="WUB43" s="2843"/>
      <c r="WUC43" s="2844"/>
      <c r="WUD43" s="2845"/>
      <c r="WUE43" s="2842"/>
      <c r="WUF43" s="2842"/>
      <c r="WUG43" s="2843"/>
      <c r="WUH43" s="2843"/>
      <c r="WUI43" s="2844"/>
      <c r="WUJ43" s="2845"/>
      <c r="WUK43" s="2842"/>
      <c r="WUL43" s="2842"/>
      <c r="WUM43" s="2843"/>
      <c r="WUN43" s="2843"/>
      <c r="WUO43" s="2844"/>
      <c r="WUP43" s="2845"/>
      <c r="WUQ43" s="2842"/>
      <c r="WUR43" s="2842"/>
      <c r="WUS43" s="2843"/>
      <c r="WUT43" s="2843"/>
      <c r="WUU43" s="2844"/>
      <c r="WUV43" s="2845"/>
      <c r="WUW43" s="2842"/>
      <c r="WUX43" s="2842"/>
      <c r="WUY43" s="2843"/>
      <c r="WUZ43" s="2843"/>
      <c r="WVA43" s="2844"/>
      <c r="WVB43" s="2845"/>
      <c r="WVC43" s="2842"/>
      <c r="WVD43" s="2842"/>
      <c r="WVE43" s="2843"/>
      <c r="WVF43" s="2843"/>
      <c r="WVG43" s="2844"/>
      <c r="WVH43" s="2845"/>
      <c r="WVI43" s="2842"/>
      <c r="WVJ43" s="2842"/>
      <c r="WVK43" s="2843"/>
      <c r="WVL43" s="2843"/>
      <c r="WVM43" s="2844"/>
      <c r="WVN43" s="2845"/>
      <c r="WVO43" s="2842"/>
      <c r="WVP43" s="2842"/>
      <c r="WVQ43" s="2843"/>
      <c r="WVR43" s="2843"/>
      <c r="WVS43" s="2844"/>
      <c r="WVT43" s="2845"/>
      <c r="WVU43" s="2842"/>
      <c r="WVV43" s="2842"/>
      <c r="WVW43" s="2843"/>
      <c r="WVX43" s="2843"/>
      <c r="WVY43" s="2844"/>
      <c r="WVZ43" s="2845"/>
      <c r="WWA43" s="2842"/>
      <c r="WWB43" s="2842"/>
      <c r="WWC43" s="2843"/>
      <c r="WWD43" s="2843"/>
      <c r="WWE43" s="2844"/>
      <c r="WWF43" s="2845"/>
      <c r="WWG43" s="2842"/>
      <c r="WWH43" s="2842"/>
      <c r="WWI43" s="2843"/>
      <c r="WWJ43" s="2843"/>
      <c r="WWK43" s="2844"/>
      <c r="WWL43" s="2845"/>
      <c r="WWM43" s="2842"/>
      <c r="WWN43" s="2842"/>
      <c r="WWO43" s="2843"/>
      <c r="WWP43" s="2843"/>
      <c r="WWQ43" s="2844"/>
      <c r="WWR43" s="2845"/>
      <c r="WWS43" s="2842"/>
      <c r="WWT43" s="2842"/>
      <c r="WWU43" s="2843"/>
      <c r="WWV43" s="2843"/>
      <c r="WWW43" s="2844"/>
      <c r="WWX43" s="2845"/>
      <c r="WWY43" s="2842"/>
      <c r="WWZ43" s="2842"/>
      <c r="WXA43" s="2843"/>
      <c r="WXB43" s="2843"/>
      <c r="WXC43" s="2844"/>
      <c r="WXD43" s="2845"/>
      <c r="WXE43" s="2842"/>
      <c r="WXF43" s="2842"/>
      <c r="WXG43" s="2843"/>
      <c r="WXH43" s="2843"/>
      <c r="WXI43" s="2844"/>
      <c r="WXJ43" s="2845"/>
      <c r="WXK43" s="2842"/>
      <c r="WXL43" s="2842"/>
      <c r="WXM43" s="2843"/>
      <c r="WXN43" s="2843"/>
      <c r="WXO43" s="2844"/>
      <c r="WXP43" s="2845"/>
      <c r="WXQ43" s="2842"/>
      <c r="WXR43" s="2842"/>
      <c r="WXS43" s="2843"/>
      <c r="WXT43" s="2843"/>
      <c r="WXU43" s="2844"/>
      <c r="WXV43" s="2845"/>
      <c r="WXW43" s="2842"/>
      <c r="WXX43" s="2842"/>
      <c r="WXY43" s="2843"/>
      <c r="WXZ43" s="2843"/>
      <c r="WYA43" s="2844"/>
      <c r="WYB43" s="2845"/>
      <c r="WYC43" s="2842"/>
      <c r="WYD43" s="2842"/>
      <c r="WYE43" s="2843"/>
      <c r="WYF43" s="2843"/>
      <c r="WYG43" s="2844"/>
      <c r="WYH43" s="2845"/>
      <c r="WYI43" s="2842"/>
      <c r="WYJ43" s="2842"/>
      <c r="WYK43" s="2843"/>
      <c r="WYL43" s="2843"/>
      <c r="WYM43" s="2844"/>
      <c r="WYN43" s="2845"/>
      <c r="WYO43" s="2842"/>
      <c r="WYP43" s="2842"/>
      <c r="WYQ43" s="2843"/>
      <c r="WYR43" s="2843"/>
      <c r="WYS43" s="2844"/>
      <c r="WYT43" s="2845"/>
      <c r="WYU43" s="2842"/>
      <c r="WYV43" s="2842"/>
      <c r="WYW43" s="2843"/>
      <c r="WYX43" s="2843"/>
      <c r="WYY43" s="2844"/>
      <c r="WYZ43" s="2845"/>
      <c r="WZA43" s="2842"/>
      <c r="WZB43" s="2842"/>
      <c r="WZC43" s="2843"/>
      <c r="WZD43" s="2843"/>
      <c r="WZE43" s="2844"/>
      <c r="WZF43" s="2845"/>
      <c r="WZG43" s="2842"/>
      <c r="WZH43" s="2842"/>
      <c r="WZI43" s="2843"/>
      <c r="WZJ43" s="2843"/>
      <c r="WZK43" s="2844"/>
      <c r="WZL43" s="2845"/>
      <c r="WZM43" s="2842"/>
      <c r="WZN43" s="2842"/>
      <c r="WZO43" s="2843"/>
      <c r="WZP43" s="2843"/>
      <c r="WZQ43" s="2844"/>
      <c r="WZR43" s="2845"/>
      <c r="WZS43" s="2842"/>
      <c r="WZT43" s="2842"/>
      <c r="WZU43" s="2843"/>
      <c r="WZV43" s="2843"/>
      <c r="WZW43" s="2844"/>
      <c r="WZX43" s="2845"/>
      <c r="WZY43" s="2842"/>
      <c r="WZZ43" s="2842"/>
      <c r="XAA43" s="2843"/>
      <c r="XAB43" s="2843"/>
      <c r="XAC43" s="2844"/>
      <c r="XAD43" s="2845"/>
      <c r="XAE43" s="2842"/>
      <c r="XAF43" s="2842"/>
      <c r="XAG43" s="2843"/>
      <c r="XAH43" s="2843"/>
      <c r="XAI43" s="2844"/>
      <c r="XAJ43" s="2845"/>
      <c r="XAK43" s="2842"/>
      <c r="XAL43" s="2842"/>
      <c r="XAM43" s="2843"/>
      <c r="XAN43" s="2843"/>
      <c r="XAO43" s="2844"/>
      <c r="XAP43" s="2845"/>
      <c r="XAQ43" s="2842"/>
      <c r="XAR43" s="2842"/>
      <c r="XAS43" s="2843"/>
      <c r="XAT43" s="2843"/>
      <c r="XAU43" s="2844"/>
      <c r="XAV43" s="2845"/>
      <c r="XAW43" s="2842"/>
      <c r="XAX43" s="2842"/>
      <c r="XAY43" s="2843"/>
      <c r="XAZ43" s="2843"/>
      <c r="XBA43" s="2844"/>
      <c r="XBB43" s="2845"/>
      <c r="XBC43" s="2842"/>
      <c r="XBD43" s="2842"/>
      <c r="XBE43" s="2843"/>
      <c r="XBF43" s="2843"/>
      <c r="XBG43" s="2844"/>
      <c r="XBH43" s="2845"/>
      <c r="XBI43" s="2842"/>
      <c r="XBJ43" s="2842"/>
      <c r="XBK43" s="2843"/>
      <c r="XBL43" s="2843"/>
      <c r="XBM43" s="2844"/>
      <c r="XBN43" s="2845"/>
      <c r="XBO43" s="2842"/>
      <c r="XBP43" s="2842"/>
      <c r="XBQ43" s="2843"/>
      <c r="XBR43" s="2843"/>
      <c r="XBS43" s="2844"/>
      <c r="XBT43" s="2845"/>
      <c r="XBU43" s="2842"/>
      <c r="XBV43" s="2842"/>
      <c r="XBW43" s="2843"/>
      <c r="XBX43" s="2843"/>
      <c r="XBY43" s="2844"/>
      <c r="XBZ43" s="2845"/>
      <c r="XCA43" s="2842"/>
      <c r="XCB43" s="2842"/>
      <c r="XCC43" s="2843"/>
      <c r="XCD43" s="2843"/>
      <c r="XCE43" s="2844"/>
      <c r="XCF43" s="2845"/>
      <c r="XCG43" s="2842"/>
      <c r="XCH43" s="2842"/>
      <c r="XCI43" s="2843"/>
      <c r="XCJ43" s="2843"/>
      <c r="XCK43" s="2844"/>
      <c r="XCL43" s="2845"/>
      <c r="XCM43" s="2842"/>
      <c r="XCN43" s="2842"/>
      <c r="XCO43" s="2843"/>
      <c r="XCP43" s="2843"/>
      <c r="XCQ43" s="2844"/>
      <c r="XCR43" s="2845"/>
      <c r="XCS43" s="2842"/>
      <c r="XCT43" s="2842"/>
      <c r="XCU43" s="2843"/>
      <c r="XCV43" s="2843"/>
      <c r="XCW43" s="2844"/>
      <c r="XCX43" s="2845"/>
      <c r="XCY43" s="2842"/>
      <c r="XCZ43" s="2842"/>
      <c r="XDA43" s="2843"/>
      <c r="XDB43" s="2843"/>
      <c r="XDC43" s="2844"/>
      <c r="XDD43" s="2845"/>
      <c r="XDE43" s="2842"/>
      <c r="XDF43" s="2842"/>
      <c r="XDG43" s="2843"/>
      <c r="XDH43" s="2843"/>
      <c r="XDI43" s="2844"/>
      <c r="XDJ43" s="2845"/>
      <c r="XDK43" s="2842"/>
      <c r="XDL43" s="2842"/>
      <c r="XDM43" s="2843"/>
      <c r="XDN43" s="2843"/>
      <c r="XDO43" s="2844"/>
      <c r="XDP43" s="2845"/>
      <c r="XDQ43" s="2842"/>
      <c r="XDR43" s="2842"/>
      <c r="XDS43" s="2843"/>
      <c r="XDT43" s="2843"/>
      <c r="XDU43" s="2844"/>
      <c r="XDV43" s="2845"/>
      <c r="XDW43" s="2842"/>
      <c r="XDX43" s="2842"/>
      <c r="XDY43" s="2843"/>
      <c r="XDZ43" s="2843"/>
      <c r="XEA43" s="2844"/>
      <c r="XEB43" s="2845"/>
      <c r="XEC43" s="2842"/>
      <c r="XED43" s="2842"/>
      <c r="XEE43" s="2843"/>
      <c r="XEF43" s="2843"/>
      <c r="XEG43" s="2844"/>
      <c r="XEH43" s="2845"/>
      <c r="XEI43" s="2842"/>
      <c r="XEJ43" s="2842"/>
      <c r="XEK43" s="2843"/>
      <c r="XEL43" s="2843"/>
      <c r="XEM43" s="2844"/>
      <c r="XEN43" s="2845"/>
      <c r="XEO43" s="2842"/>
      <c r="XEP43" s="2842"/>
      <c r="XEQ43" s="2843"/>
      <c r="XER43" s="2843"/>
      <c r="XES43" s="2844"/>
      <c r="XET43" s="2845"/>
      <c r="XEU43" s="2842"/>
      <c r="XEV43" s="2842"/>
      <c r="XEW43" s="2843"/>
      <c r="XEX43" s="2843"/>
      <c r="XEY43" s="2844"/>
      <c r="XEZ43" s="2845"/>
      <c r="XFA43" s="2842"/>
      <c r="XFB43" s="2842"/>
      <c r="XFC43" s="2843"/>
      <c r="XFD43" s="2843"/>
    </row>
    <row r="44" spans="1:16384" s="2841" customFormat="1" ht="108">
      <c r="A44" s="3124" t="s">
        <v>994</v>
      </c>
      <c r="B44" s="2847" t="s">
        <v>1077</v>
      </c>
      <c r="C44" s="2847" t="s">
        <v>296</v>
      </c>
      <c r="D44" s="2848" t="s">
        <v>1101</v>
      </c>
      <c r="E44" s="2848" t="s">
        <v>1102</v>
      </c>
      <c r="F44" s="2972" t="s">
        <v>1082</v>
      </c>
      <c r="G44" s="2838"/>
      <c r="H44" s="2842"/>
      <c r="I44" s="2843"/>
      <c r="J44" s="2843"/>
      <c r="K44" s="2844"/>
      <c r="L44" s="2845"/>
      <c r="M44" s="2842"/>
      <c r="N44" s="2842"/>
      <c r="O44" s="2843"/>
      <c r="P44" s="2843"/>
      <c r="Q44" s="2844"/>
      <c r="R44" s="2845"/>
      <c r="S44" s="2842"/>
      <c r="T44" s="2842"/>
      <c r="U44" s="2843"/>
      <c r="V44" s="2843"/>
      <c r="W44" s="2844"/>
      <c r="X44" s="2845"/>
      <c r="Y44" s="2842"/>
      <c r="Z44" s="2842"/>
      <c r="AA44" s="2843"/>
      <c r="AB44" s="2843"/>
      <c r="AC44" s="2844"/>
      <c r="AD44" s="2845"/>
      <c r="AE44" s="2842"/>
      <c r="AF44" s="2842"/>
      <c r="AG44" s="2843"/>
      <c r="AH44" s="2843"/>
      <c r="AI44" s="2844"/>
      <c r="AJ44" s="2845"/>
      <c r="AK44" s="2842"/>
      <c r="AL44" s="2842"/>
      <c r="AM44" s="2843"/>
      <c r="AN44" s="2843"/>
      <c r="AO44" s="2844"/>
      <c r="AP44" s="2845"/>
      <c r="AQ44" s="2842"/>
      <c r="AR44" s="2842"/>
      <c r="AS44" s="2843"/>
      <c r="AT44" s="2843"/>
      <c r="AU44" s="2844"/>
      <c r="AV44" s="2845"/>
      <c r="AW44" s="2842"/>
      <c r="AX44" s="2842"/>
      <c r="AY44" s="2843"/>
      <c r="AZ44" s="2843"/>
      <c r="BA44" s="2844"/>
      <c r="BB44" s="2845"/>
      <c r="BC44" s="2842"/>
      <c r="BD44" s="2842"/>
      <c r="BE44" s="2843"/>
      <c r="BF44" s="2843"/>
      <c r="BG44" s="2844"/>
      <c r="BH44" s="2845"/>
      <c r="BI44" s="2842"/>
      <c r="BJ44" s="2842"/>
      <c r="BK44" s="2843"/>
      <c r="BL44" s="2843"/>
      <c r="BM44" s="2844"/>
      <c r="BN44" s="2845"/>
      <c r="BO44" s="2842"/>
      <c r="BP44" s="2842"/>
      <c r="BQ44" s="2843"/>
      <c r="BR44" s="2843"/>
      <c r="BS44" s="2844"/>
      <c r="BT44" s="2845"/>
      <c r="BU44" s="2842"/>
      <c r="BV44" s="2842"/>
      <c r="BW44" s="2843"/>
      <c r="BX44" s="2843"/>
      <c r="BY44" s="2844"/>
      <c r="BZ44" s="2845"/>
      <c r="CA44" s="2842"/>
      <c r="CB44" s="2842"/>
      <c r="CC44" s="2843"/>
      <c r="CD44" s="2843"/>
      <c r="CE44" s="2844"/>
      <c r="CF44" s="2845"/>
      <c r="CG44" s="2842"/>
      <c r="CH44" s="2842"/>
      <c r="CI44" s="2843"/>
      <c r="CJ44" s="2843"/>
      <c r="CK44" s="2844"/>
      <c r="CL44" s="2845"/>
      <c r="CM44" s="2842"/>
      <c r="CN44" s="2842"/>
      <c r="CO44" s="2843"/>
      <c r="CP44" s="2843"/>
      <c r="CQ44" s="2844"/>
      <c r="CR44" s="2845"/>
      <c r="CS44" s="2842"/>
      <c r="CT44" s="2842"/>
      <c r="CU44" s="2843"/>
      <c r="CV44" s="2843"/>
      <c r="CW44" s="2844"/>
      <c r="CX44" s="2845"/>
      <c r="CY44" s="2842"/>
      <c r="CZ44" s="2842"/>
      <c r="DA44" s="2843"/>
      <c r="DB44" s="2843"/>
      <c r="DC44" s="2844"/>
      <c r="DD44" s="2845"/>
      <c r="DE44" s="2842"/>
      <c r="DF44" s="2842"/>
      <c r="DG44" s="2843"/>
      <c r="DH44" s="2843"/>
      <c r="DI44" s="2844"/>
      <c r="DJ44" s="2845"/>
      <c r="DK44" s="2842"/>
      <c r="DL44" s="2842"/>
      <c r="DM44" s="2843"/>
      <c r="DN44" s="2843"/>
      <c r="DO44" s="2844"/>
      <c r="DP44" s="2845"/>
      <c r="DQ44" s="2842"/>
      <c r="DR44" s="2842"/>
      <c r="DS44" s="2843"/>
      <c r="DT44" s="2843"/>
      <c r="DU44" s="2844"/>
      <c r="DV44" s="2845"/>
      <c r="DW44" s="2842"/>
      <c r="DX44" s="2842"/>
      <c r="DY44" s="2843"/>
      <c r="DZ44" s="2843"/>
      <c r="EA44" s="2844"/>
      <c r="EB44" s="2845"/>
      <c r="EC44" s="2842"/>
      <c r="ED44" s="2842"/>
      <c r="EE44" s="2843"/>
      <c r="EF44" s="2843"/>
      <c r="EG44" s="2844"/>
      <c r="EH44" s="2845"/>
      <c r="EI44" s="2842"/>
      <c r="EJ44" s="2842"/>
      <c r="EK44" s="2843"/>
      <c r="EL44" s="2843"/>
      <c r="EM44" s="2844"/>
      <c r="EN44" s="2845"/>
      <c r="EO44" s="2842"/>
      <c r="EP44" s="2842"/>
      <c r="EQ44" s="2843"/>
      <c r="ER44" s="2843"/>
      <c r="ES44" s="2844"/>
      <c r="ET44" s="2845"/>
      <c r="EU44" s="2842"/>
      <c r="EV44" s="2842"/>
      <c r="EW44" s="2843"/>
      <c r="EX44" s="2843"/>
      <c r="EY44" s="2844"/>
      <c r="EZ44" s="2845"/>
      <c r="FA44" s="2842"/>
      <c r="FB44" s="2842"/>
      <c r="FC44" s="2843"/>
      <c r="FD44" s="2843"/>
      <c r="FE44" s="2844"/>
      <c r="FF44" s="2845"/>
      <c r="FG44" s="2842"/>
      <c r="FH44" s="2842"/>
      <c r="FI44" s="2843"/>
      <c r="FJ44" s="2843"/>
      <c r="FK44" s="2844"/>
      <c r="FL44" s="2845"/>
      <c r="FM44" s="2842"/>
      <c r="FN44" s="2842"/>
      <c r="FO44" s="2843"/>
      <c r="FP44" s="2843"/>
      <c r="FQ44" s="2844"/>
      <c r="FR44" s="2845"/>
      <c r="FS44" s="2842"/>
      <c r="FT44" s="2842"/>
      <c r="FU44" s="2843"/>
      <c r="FV44" s="2843"/>
      <c r="FW44" s="2844"/>
      <c r="FX44" s="2845"/>
      <c r="FY44" s="2842"/>
      <c r="FZ44" s="2842"/>
      <c r="GA44" s="2843"/>
      <c r="GB44" s="2843"/>
      <c r="GC44" s="2844"/>
      <c r="GD44" s="2845"/>
      <c r="GE44" s="2842"/>
      <c r="GF44" s="2842"/>
      <c r="GG44" s="2843"/>
      <c r="GH44" s="2843"/>
      <c r="GI44" s="2844"/>
      <c r="GJ44" s="2845"/>
      <c r="GK44" s="2842"/>
      <c r="GL44" s="2842"/>
      <c r="GM44" s="2843"/>
      <c r="GN44" s="2843"/>
      <c r="GO44" s="2844"/>
      <c r="GP44" s="2845"/>
      <c r="GQ44" s="2842"/>
      <c r="GR44" s="2842"/>
      <c r="GS44" s="2843"/>
      <c r="GT44" s="2843"/>
      <c r="GU44" s="2844"/>
      <c r="GV44" s="2845"/>
      <c r="GW44" s="2842"/>
      <c r="GX44" s="2842"/>
      <c r="GY44" s="2843"/>
      <c r="GZ44" s="2843"/>
      <c r="HA44" s="2844"/>
      <c r="HB44" s="2845"/>
      <c r="HC44" s="2842"/>
      <c r="HD44" s="2842"/>
      <c r="HE44" s="2843"/>
      <c r="HF44" s="2843"/>
      <c r="HG44" s="2844"/>
      <c r="HH44" s="2845"/>
      <c r="HI44" s="2842"/>
      <c r="HJ44" s="2842"/>
      <c r="HK44" s="2843"/>
      <c r="HL44" s="2843"/>
      <c r="HM44" s="2844"/>
      <c r="HN44" s="2845"/>
      <c r="HO44" s="2842"/>
      <c r="HP44" s="2842"/>
      <c r="HQ44" s="2843"/>
      <c r="HR44" s="2843"/>
      <c r="HS44" s="2844"/>
      <c r="HT44" s="2845"/>
      <c r="HU44" s="2842"/>
      <c r="HV44" s="2842"/>
      <c r="HW44" s="2843"/>
      <c r="HX44" s="2843"/>
      <c r="HY44" s="2844"/>
      <c r="HZ44" s="2845"/>
      <c r="IA44" s="2842"/>
      <c r="IB44" s="2842"/>
      <c r="IC44" s="2843"/>
      <c r="ID44" s="2843"/>
      <c r="IE44" s="2844"/>
      <c r="IF44" s="2845"/>
      <c r="IG44" s="2842"/>
      <c r="IH44" s="2842"/>
      <c r="II44" s="2843"/>
      <c r="IJ44" s="2843"/>
      <c r="IK44" s="2844"/>
      <c r="IL44" s="2845"/>
      <c r="IM44" s="2842"/>
      <c r="IN44" s="2842"/>
      <c r="IO44" s="2843"/>
      <c r="IP44" s="2843"/>
      <c r="IQ44" s="2844"/>
      <c r="IR44" s="2845"/>
      <c r="IS44" s="2842"/>
      <c r="IT44" s="2842"/>
      <c r="IU44" s="2843"/>
      <c r="IV44" s="2843"/>
      <c r="IW44" s="2844"/>
      <c r="IX44" s="2845"/>
      <c r="IY44" s="2842"/>
      <c r="IZ44" s="2842"/>
      <c r="JA44" s="2843"/>
      <c r="JB44" s="2843"/>
      <c r="JC44" s="2844"/>
      <c r="JD44" s="2845"/>
      <c r="JE44" s="2842"/>
      <c r="JF44" s="2842"/>
      <c r="JG44" s="2843"/>
      <c r="JH44" s="2843"/>
      <c r="JI44" s="2844"/>
      <c r="JJ44" s="2845"/>
      <c r="JK44" s="2842"/>
      <c r="JL44" s="2842"/>
      <c r="JM44" s="2843"/>
      <c r="JN44" s="2843"/>
      <c r="JO44" s="2844"/>
      <c r="JP44" s="2845"/>
      <c r="JQ44" s="2842"/>
      <c r="JR44" s="2842"/>
      <c r="JS44" s="2843"/>
      <c r="JT44" s="2843"/>
      <c r="JU44" s="2844"/>
      <c r="JV44" s="2845"/>
      <c r="JW44" s="2842"/>
      <c r="JX44" s="2842"/>
      <c r="JY44" s="2843"/>
      <c r="JZ44" s="2843"/>
      <c r="KA44" s="2844"/>
      <c r="KB44" s="2845"/>
      <c r="KC44" s="2842"/>
      <c r="KD44" s="2842"/>
      <c r="KE44" s="2843"/>
      <c r="KF44" s="2843"/>
      <c r="KG44" s="2844"/>
      <c r="KH44" s="2845"/>
      <c r="KI44" s="2842"/>
      <c r="KJ44" s="2842"/>
      <c r="KK44" s="2843"/>
      <c r="KL44" s="2843"/>
      <c r="KM44" s="2844"/>
      <c r="KN44" s="2845"/>
      <c r="KO44" s="2842"/>
      <c r="KP44" s="2842"/>
      <c r="KQ44" s="2843"/>
      <c r="KR44" s="2843"/>
      <c r="KS44" s="2844"/>
      <c r="KT44" s="2845"/>
      <c r="KU44" s="2842"/>
      <c r="KV44" s="2842"/>
      <c r="KW44" s="2843"/>
      <c r="KX44" s="2843"/>
      <c r="KY44" s="2844"/>
      <c r="KZ44" s="2845"/>
      <c r="LA44" s="2842"/>
      <c r="LB44" s="2842"/>
      <c r="LC44" s="2843"/>
      <c r="LD44" s="2843"/>
      <c r="LE44" s="2844"/>
      <c r="LF44" s="2845"/>
      <c r="LG44" s="2842"/>
      <c r="LH44" s="2842"/>
      <c r="LI44" s="2843"/>
      <c r="LJ44" s="2843"/>
      <c r="LK44" s="2844"/>
      <c r="LL44" s="2845"/>
      <c r="LM44" s="2842"/>
      <c r="LN44" s="2842"/>
      <c r="LO44" s="2843"/>
      <c r="LP44" s="2843"/>
      <c r="LQ44" s="2844"/>
      <c r="LR44" s="2845"/>
      <c r="LS44" s="2842"/>
      <c r="LT44" s="2842"/>
      <c r="LU44" s="2843"/>
      <c r="LV44" s="2843"/>
      <c r="LW44" s="2844"/>
      <c r="LX44" s="2845"/>
      <c r="LY44" s="2842"/>
      <c r="LZ44" s="2842"/>
      <c r="MA44" s="2843"/>
      <c r="MB44" s="2843"/>
      <c r="MC44" s="2844"/>
      <c r="MD44" s="2845"/>
      <c r="ME44" s="2842"/>
      <c r="MF44" s="2842"/>
      <c r="MG44" s="2843"/>
      <c r="MH44" s="2843"/>
      <c r="MI44" s="2844"/>
      <c r="MJ44" s="2845"/>
      <c r="MK44" s="2842"/>
      <c r="ML44" s="2842"/>
      <c r="MM44" s="2843"/>
      <c r="MN44" s="2843"/>
      <c r="MO44" s="2844"/>
      <c r="MP44" s="2845"/>
      <c r="MQ44" s="2842"/>
      <c r="MR44" s="2842"/>
      <c r="MS44" s="2843"/>
      <c r="MT44" s="2843"/>
      <c r="MU44" s="2844"/>
      <c r="MV44" s="2845"/>
      <c r="MW44" s="2842"/>
      <c r="MX44" s="2842"/>
      <c r="MY44" s="2843"/>
      <c r="MZ44" s="2843"/>
      <c r="NA44" s="2844"/>
      <c r="NB44" s="2845"/>
      <c r="NC44" s="2842"/>
      <c r="ND44" s="2842"/>
      <c r="NE44" s="2843"/>
      <c r="NF44" s="2843"/>
      <c r="NG44" s="2844"/>
      <c r="NH44" s="2845"/>
      <c r="NI44" s="2842"/>
      <c r="NJ44" s="2842"/>
      <c r="NK44" s="2843"/>
      <c r="NL44" s="2843"/>
      <c r="NM44" s="2844"/>
      <c r="NN44" s="2845"/>
      <c r="NO44" s="2842"/>
      <c r="NP44" s="2842"/>
      <c r="NQ44" s="2843"/>
      <c r="NR44" s="2843"/>
      <c r="NS44" s="2844"/>
      <c r="NT44" s="2845"/>
      <c r="NU44" s="2842"/>
      <c r="NV44" s="2842"/>
      <c r="NW44" s="2843"/>
      <c r="NX44" s="2843"/>
      <c r="NY44" s="2844"/>
      <c r="NZ44" s="2845"/>
      <c r="OA44" s="2842"/>
      <c r="OB44" s="2842"/>
      <c r="OC44" s="2843"/>
      <c r="OD44" s="2843"/>
      <c r="OE44" s="2844"/>
      <c r="OF44" s="2845"/>
      <c r="OG44" s="2842"/>
      <c r="OH44" s="2842"/>
      <c r="OI44" s="2843"/>
      <c r="OJ44" s="2843"/>
      <c r="OK44" s="2844"/>
      <c r="OL44" s="2845"/>
      <c r="OM44" s="2842"/>
      <c r="ON44" s="2842"/>
      <c r="OO44" s="2843"/>
      <c r="OP44" s="2843"/>
      <c r="OQ44" s="2844"/>
      <c r="OR44" s="2845"/>
      <c r="OS44" s="2842"/>
      <c r="OT44" s="2842"/>
      <c r="OU44" s="2843"/>
      <c r="OV44" s="2843"/>
      <c r="OW44" s="2844"/>
      <c r="OX44" s="2845"/>
      <c r="OY44" s="2842"/>
      <c r="OZ44" s="2842"/>
      <c r="PA44" s="2843"/>
      <c r="PB44" s="2843"/>
      <c r="PC44" s="2844"/>
      <c r="PD44" s="2845"/>
      <c r="PE44" s="2842"/>
      <c r="PF44" s="2842"/>
      <c r="PG44" s="2843"/>
      <c r="PH44" s="2843"/>
      <c r="PI44" s="2844"/>
      <c r="PJ44" s="2845"/>
      <c r="PK44" s="2842"/>
      <c r="PL44" s="2842"/>
      <c r="PM44" s="2843"/>
      <c r="PN44" s="2843"/>
      <c r="PO44" s="2844"/>
      <c r="PP44" s="2845"/>
      <c r="PQ44" s="2842"/>
      <c r="PR44" s="2842"/>
      <c r="PS44" s="2843"/>
      <c r="PT44" s="2843"/>
      <c r="PU44" s="2844"/>
      <c r="PV44" s="2845"/>
      <c r="PW44" s="2842"/>
      <c r="PX44" s="2842"/>
      <c r="PY44" s="2843"/>
      <c r="PZ44" s="2843"/>
      <c r="QA44" s="2844"/>
      <c r="QB44" s="2845"/>
      <c r="QC44" s="2842"/>
      <c r="QD44" s="2842"/>
      <c r="QE44" s="2843"/>
      <c r="QF44" s="2843"/>
      <c r="QG44" s="2844"/>
      <c r="QH44" s="2845"/>
      <c r="QI44" s="2842"/>
      <c r="QJ44" s="2842"/>
      <c r="QK44" s="2843"/>
      <c r="QL44" s="2843"/>
      <c r="QM44" s="2844"/>
      <c r="QN44" s="2845"/>
      <c r="QO44" s="2842"/>
      <c r="QP44" s="2842"/>
      <c r="QQ44" s="2843"/>
      <c r="QR44" s="2843"/>
      <c r="QS44" s="2844"/>
      <c r="QT44" s="2845"/>
      <c r="QU44" s="2842"/>
      <c r="QV44" s="2842"/>
      <c r="QW44" s="2843"/>
      <c r="QX44" s="2843"/>
      <c r="QY44" s="2844"/>
      <c r="QZ44" s="2845"/>
      <c r="RA44" s="2842"/>
      <c r="RB44" s="2842"/>
      <c r="RC44" s="2843"/>
      <c r="RD44" s="2843"/>
      <c r="RE44" s="2844"/>
      <c r="RF44" s="2845"/>
      <c r="RG44" s="2842"/>
      <c r="RH44" s="2842"/>
      <c r="RI44" s="2843"/>
      <c r="RJ44" s="2843"/>
      <c r="RK44" s="2844"/>
      <c r="RL44" s="2845"/>
      <c r="RM44" s="2842"/>
      <c r="RN44" s="2842"/>
      <c r="RO44" s="2843"/>
      <c r="RP44" s="2843"/>
      <c r="RQ44" s="2844"/>
      <c r="RR44" s="2845"/>
      <c r="RS44" s="2842"/>
      <c r="RT44" s="2842"/>
      <c r="RU44" s="2843"/>
      <c r="RV44" s="2843"/>
      <c r="RW44" s="2844"/>
      <c r="RX44" s="2845"/>
      <c r="RY44" s="2842"/>
      <c r="RZ44" s="2842"/>
      <c r="SA44" s="2843"/>
      <c r="SB44" s="2843"/>
      <c r="SC44" s="2844"/>
      <c r="SD44" s="2845"/>
      <c r="SE44" s="2842"/>
      <c r="SF44" s="2842"/>
      <c r="SG44" s="2843"/>
      <c r="SH44" s="2843"/>
      <c r="SI44" s="2844"/>
      <c r="SJ44" s="2845"/>
      <c r="SK44" s="2842"/>
      <c r="SL44" s="2842"/>
      <c r="SM44" s="2843"/>
      <c r="SN44" s="2843"/>
      <c r="SO44" s="2844"/>
      <c r="SP44" s="2845"/>
      <c r="SQ44" s="2842"/>
      <c r="SR44" s="2842"/>
      <c r="SS44" s="2843"/>
      <c r="ST44" s="2843"/>
      <c r="SU44" s="2844"/>
      <c r="SV44" s="2845"/>
      <c r="SW44" s="2842"/>
      <c r="SX44" s="2842"/>
      <c r="SY44" s="2843"/>
      <c r="SZ44" s="2843"/>
      <c r="TA44" s="2844"/>
      <c r="TB44" s="2845"/>
      <c r="TC44" s="2842"/>
      <c r="TD44" s="2842"/>
      <c r="TE44" s="2843"/>
      <c r="TF44" s="2843"/>
      <c r="TG44" s="2844"/>
      <c r="TH44" s="2845"/>
      <c r="TI44" s="2842"/>
      <c r="TJ44" s="2842"/>
      <c r="TK44" s="2843"/>
      <c r="TL44" s="2843"/>
      <c r="TM44" s="2844"/>
      <c r="TN44" s="2845"/>
      <c r="TO44" s="2842"/>
      <c r="TP44" s="2842"/>
      <c r="TQ44" s="2843"/>
      <c r="TR44" s="2843"/>
      <c r="TS44" s="2844"/>
      <c r="TT44" s="2845"/>
      <c r="TU44" s="2842"/>
      <c r="TV44" s="2842"/>
      <c r="TW44" s="2843"/>
      <c r="TX44" s="2843"/>
      <c r="TY44" s="2844"/>
      <c r="TZ44" s="2845"/>
      <c r="UA44" s="2842"/>
      <c r="UB44" s="2842"/>
      <c r="UC44" s="2843"/>
      <c r="UD44" s="2843"/>
      <c r="UE44" s="2844"/>
      <c r="UF44" s="2845"/>
      <c r="UG44" s="2842"/>
      <c r="UH44" s="2842"/>
      <c r="UI44" s="2843"/>
      <c r="UJ44" s="2843"/>
      <c r="UK44" s="2844"/>
      <c r="UL44" s="2845"/>
      <c r="UM44" s="2842"/>
      <c r="UN44" s="2842"/>
      <c r="UO44" s="2843"/>
      <c r="UP44" s="2843"/>
      <c r="UQ44" s="2844"/>
      <c r="UR44" s="2845"/>
      <c r="US44" s="2842"/>
      <c r="UT44" s="2842"/>
      <c r="UU44" s="2843"/>
      <c r="UV44" s="2843"/>
      <c r="UW44" s="2844"/>
      <c r="UX44" s="2845"/>
      <c r="UY44" s="2842"/>
      <c r="UZ44" s="2842"/>
      <c r="VA44" s="2843"/>
      <c r="VB44" s="2843"/>
      <c r="VC44" s="2844"/>
      <c r="VD44" s="2845"/>
      <c r="VE44" s="2842"/>
      <c r="VF44" s="2842"/>
      <c r="VG44" s="2843"/>
      <c r="VH44" s="2843"/>
      <c r="VI44" s="2844"/>
      <c r="VJ44" s="2845"/>
      <c r="VK44" s="2842"/>
      <c r="VL44" s="2842"/>
      <c r="VM44" s="2843"/>
      <c r="VN44" s="2843"/>
      <c r="VO44" s="2844"/>
      <c r="VP44" s="2845"/>
      <c r="VQ44" s="2842"/>
      <c r="VR44" s="2842"/>
      <c r="VS44" s="2843"/>
      <c r="VT44" s="2843"/>
      <c r="VU44" s="2844"/>
      <c r="VV44" s="2845"/>
      <c r="VW44" s="2842"/>
      <c r="VX44" s="2842"/>
      <c r="VY44" s="2843"/>
      <c r="VZ44" s="2843"/>
      <c r="WA44" s="2844"/>
      <c r="WB44" s="2845"/>
      <c r="WC44" s="2842"/>
      <c r="WD44" s="2842"/>
      <c r="WE44" s="2843"/>
      <c r="WF44" s="2843"/>
      <c r="WG44" s="2844"/>
      <c r="WH44" s="2845"/>
      <c r="WI44" s="2842"/>
      <c r="WJ44" s="2842"/>
      <c r="WK44" s="2843"/>
      <c r="WL44" s="2843"/>
      <c r="WM44" s="2844"/>
      <c r="WN44" s="2845"/>
      <c r="WO44" s="2842"/>
      <c r="WP44" s="2842"/>
      <c r="WQ44" s="2843"/>
      <c r="WR44" s="2843"/>
      <c r="WS44" s="2844"/>
      <c r="WT44" s="2845"/>
      <c r="WU44" s="2842"/>
      <c r="WV44" s="2842"/>
      <c r="WW44" s="2843"/>
      <c r="WX44" s="2843"/>
      <c r="WY44" s="2844"/>
      <c r="WZ44" s="2845"/>
      <c r="XA44" s="2842"/>
      <c r="XB44" s="2842"/>
      <c r="XC44" s="2843"/>
      <c r="XD44" s="2843"/>
      <c r="XE44" s="2844"/>
      <c r="XF44" s="2845"/>
      <c r="XG44" s="2842"/>
      <c r="XH44" s="2842"/>
      <c r="XI44" s="2843"/>
      <c r="XJ44" s="2843"/>
      <c r="XK44" s="2844"/>
      <c r="XL44" s="2845"/>
      <c r="XM44" s="2842"/>
      <c r="XN44" s="2842"/>
      <c r="XO44" s="2843"/>
      <c r="XP44" s="2843"/>
      <c r="XQ44" s="2844"/>
      <c r="XR44" s="2845"/>
      <c r="XS44" s="2842"/>
      <c r="XT44" s="2842"/>
      <c r="XU44" s="2843"/>
      <c r="XV44" s="2843"/>
      <c r="XW44" s="2844"/>
      <c r="XX44" s="2845"/>
      <c r="XY44" s="2842"/>
      <c r="XZ44" s="2842"/>
      <c r="YA44" s="2843"/>
      <c r="YB44" s="2843"/>
      <c r="YC44" s="2844"/>
      <c r="YD44" s="2845"/>
      <c r="YE44" s="2842"/>
      <c r="YF44" s="2842"/>
      <c r="YG44" s="2843"/>
      <c r="YH44" s="2843"/>
      <c r="YI44" s="2844"/>
      <c r="YJ44" s="2845"/>
      <c r="YK44" s="2842"/>
      <c r="YL44" s="2842"/>
      <c r="YM44" s="2843"/>
      <c r="YN44" s="2843"/>
      <c r="YO44" s="2844"/>
      <c r="YP44" s="2845"/>
      <c r="YQ44" s="2842"/>
      <c r="YR44" s="2842"/>
      <c r="YS44" s="2843"/>
      <c r="YT44" s="2843"/>
      <c r="YU44" s="2844"/>
      <c r="YV44" s="2845"/>
      <c r="YW44" s="2842"/>
      <c r="YX44" s="2842"/>
      <c r="YY44" s="2843"/>
      <c r="YZ44" s="2843"/>
      <c r="ZA44" s="2844"/>
      <c r="ZB44" s="2845"/>
      <c r="ZC44" s="2842"/>
      <c r="ZD44" s="2842"/>
      <c r="ZE44" s="2843"/>
      <c r="ZF44" s="2843"/>
      <c r="ZG44" s="2844"/>
      <c r="ZH44" s="2845"/>
      <c r="ZI44" s="2842"/>
      <c r="ZJ44" s="2842"/>
      <c r="ZK44" s="2843"/>
      <c r="ZL44" s="2843"/>
      <c r="ZM44" s="2844"/>
      <c r="ZN44" s="2845"/>
      <c r="ZO44" s="2842"/>
      <c r="ZP44" s="2842"/>
      <c r="ZQ44" s="2843"/>
      <c r="ZR44" s="2843"/>
      <c r="ZS44" s="2844"/>
      <c r="ZT44" s="2845"/>
      <c r="ZU44" s="2842"/>
      <c r="ZV44" s="2842"/>
      <c r="ZW44" s="2843"/>
      <c r="ZX44" s="2843"/>
      <c r="ZY44" s="2844"/>
      <c r="ZZ44" s="2845"/>
      <c r="AAA44" s="2842"/>
      <c r="AAB44" s="2842"/>
      <c r="AAC44" s="2843"/>
      <c r="AAD44" s="2843"/>
      <c r="AAE44" s="2844"/>
      <c r="AAF44" s="2845"/>
      <c r="AAG44" s="2842"/>
      <c r="AAH44" s="2842"/>
      <c r="AAI44" s="2843"/>
      <c r="AAJ44" s="2843"/>
      <c r="AAK44" s="2844"/>
      <c r="AAL44" s="2845"/>
      <c r="AAM44" s="2842"/>
      <c r="AAN44" s="2842"/>
      <c r="AAO44" s="2843"/>
      <c r="AAP44" s="2843"/>
      <c r="AAQ44" s="2844"/>
      <c r="AAR44" s="2845"/>
      <c r="AAS44" s="2842"/>
      <c r="AAT44" s="2842"/>
      <c r="AAU44" s="2843"/>
      <c r="AAV44" s="2843"/>
      <c r="AAW44" s="2844"/>
      <c r="AAX44" s="2845"/>
      <c r="AAY44" s="2842"/>
      <c r="AAZ44" s="2842"/>
      <c r="ABA44" s="2843"/>
      <c r="ABB44" s="2843"/>
      <c r="ABC44" s="2844"/>
      <c r="ABD44" s="2845"/>
      <c r="ABE44" s="2842"/>
      <c r="ABF44" s="2842"/>
      <c r="ABG44" s="2843"/>
      <c r="ABH44" s="2843"/>
      <c r="ABI44" s="2844"/>
      <c r="ABJ44" s="2845"/>
      <c r="ABK44" s="2842"/>
      <c r="ABL44" s="2842"/>
      <c r="ABM44" s="2843"/>
      <c r="ABN44" s="2843"/>
      <c r="ABO44" s="2844"/>
      <c r="ABP44" s="2845"/>
      <c r="ABQ44" s="2842"/>
      <c r="ABR44" s="2842"/>
      <c r="ABS44" s="2843"/>
      <c r="ABT44" s="2843"/>
      <c r="ABU44" s="2844"/>
      <c r="ABV44" s="2845"/>
      <c r="ABW44" s="2842"/>
      <c r="ABX44" s="2842"/>
      <c r="ABY44" s="2843"/>
      <c r="ABZ44" s="2843"/>
      <c r="ACA44" s="2844"/>
      <c r="ACB44" s="2845"/>
      <c r="ACC44" s="2842"/>
      <c r="ACD44" s="2842"/>
      <c r="ACE44" s="2843"/>
      <c r="ACF44" s="2843"/>
      <c r="ACG44" s="2844"/>
      <c r="ACH44" s="2845"/>
      <c r="ACI44" s="2842"/>
      <c r="ACJ44" s="2842"/>
      <c r="ACK44" s="2843"/>
      <c r="ACL44" s="2843"/>
      <c r="ACM44" s="2844"/>
      <c r="ACN44" s="2845"/>
      <c r="ACO44" s="2842"/>
      <c r="ACP44" s="2842"/>
      <c r="ACQ44" s="2843"/>
      <c r="ACR44" s="2843"/>
      <c r="ACS44" s="2844"/>
      <c r="ACT44" s="2845"/>
      <c r="ACU44" s="2842"/>
      <c r="ACV44" s="2842"/>
      <c r="ACW44" s="2843"/>
      <c r="ACX44" s="2843"/>
      <c r="ACY44" s="2844"/>
      <c r="ACZ44" s="2845"/>
      <c r="ADA44" s="2842"/>
      <c r="ADB44" s="2842"/>
      <c r="ADC44" s="2843"/>
      <c r="ADD44" s="2843"/>
      <c r="ADE44" s="2844"/>
      <c r="ADF44" s="2845"/>
      <c r="ADG44" s="2842"/>
      <c r="ADH44" s="2842"/>
      <c r="ADI44" s="2843"/>
      <c r="ADJ44" s="2843"/>
      <c r="ADK44" s="2844"/>
      <c r="ADL44" s="2845"/>
      <c r="ADM44" s="2842"/>
      <c r="ADN44" s="2842"/>
      <c r="ADO44" s="2843"/>
      <c r="ADP44" s="2843"/>
      <c r="ADQ44" s="2844"/>
      <c r="ADR44" s="2845"/>
      <c r="ADS44" s="2842"/>
      <c r="ADT44" s="2842"/>
      <c r="ADU44" s="2843"/>
      <c r="ADV44" s="2843"/>
      <c r="ADW44" s="2844"/>
      <c r="ADX44" s="2845"/>
      <c r="ADY44" s="2842"/>
      <c r="ADZ44" s="2842"/>
      <c r="AEA44" s="2843"/>
      <c r="AEB44" s="2843"/>
      <c r="AEC44" s="2844"/>
      <c r="AED44" s="2845"/>
      <c r="AEE44" s="2842"/>
      <c r="AEF44" s="2842"/>
      <c r="AEG44" s="2843"/>
      <c r="AEH44" s="2843"/>
      <c r="AEI44" s="2844"/>
      <c r="AEJ44" s="2845"/>
      <c r="AEK44" s="2842"/>
      <c r="AEL44" s="2842"/>
      <c r="AEM44" s="2843"/>
      <c r="AEN44" s="2843"/>
      <c r="AEO44" s="2844"/>
      <c r="AEP44" s="2845"/>
      <c r="AEQ44" s="2842"/>
      <c r="AER44" s="2842"/>
      <c r="AES44" s="2843"/>
      <c r="AET44" s="2843"/>
      <c r="AEU44" s="2844"/>
      <c r="AEV44" s="2845"/>
      <c r="AEW44" s="2842"/>
      <c r="AEX44" s="2842"/>
      <c r="AEY44" s="2843"/>
      <c r="AEZ44" s="2843"/>
      <c r="AFA44" s="2844"/>
      <c r="AFB44" s="2845"/>
      <c r="AFC44" s="2842"/>
      <c r="AFD44" s="2842"/>
      <c r="AFE44" s="2843"/>
      <c r="AFF44" s="2843"/>
      <c r="AFG44" s="2844"/>
      <c r="AFH44" s="2845"/>
      <c r="AFI44" s="2842"/>
      <c r="AFJ44" s="2842"/>
      <c r="AFK44" s="2843"/>
      <c r="AFL44" s="2843"/>
      <c r="AFM44" s="2844"/>
      <c r="AFN44" s="2845"/>
      <c r="AFO44" s="2842"/>
      <c r="AFP44" s="2842"/>
      <c r="AFQ44" s="2843"/>
      <c r="AFR44" s="2843"/>
      <c r="AFS44" s="2844"/>
      <c r="AFT44" s="2845"/>
      <c r="AFU44" s="2842"/>
      <c r="AFV44" s="2842"/>
      <c r="AFW44" s="2843"/>
      <c r="AFX44" s="2843"/>
      <c r="AFY44" s="2844"/>
      <c r="AFZ44" s="2845"/>
      <c r="AGA44" s="2842"/>
      <c r="AGB44" s="2842"/>
      <c r="AGC44" s="2843"/>
      <c r="AGD44" s="2843"/>
      <c r="AGE44" s="2844"/>
      <c r="AGF44" s="2845"/>
      <c r="AGG44" s="2842"/>
      <c r="AGH44" s="2842"/>
      <c r="AGI44" s="2843"/>
      <c r="AGJ44" s="2843"/>
      <c r="AGK44" s="2844"/>
      <c r="AGL44" s="2845"/>
      <c r="AGM44" s="2842"/>
      <c r="AGN44" s="2842"/>
      <c r="AGO44" s="2843"/>
      <c r="AGP44" s="2843"/>
      <c r="AGQ44" s="2844"/>
      <c r="AGR44" s="2845"/>
      <c r="AGS44" s="2842"/>
      <c r="AGT44" s="2842"/>
      <c r="AGU44" s="2843"/>
      <c r="AGV44" s="2843"/>
      <c r="AGW44" s="2844"/>
      <c r="AGX44" s="2845"/>
      <c r="AGY44" s="2842"/>
      <c r="AGZ44" s="2842"/>
      <c r="AHA44" s="2843"/>
      <c r="AHB44" s="2843"/>
      <c r="AHC44" s="2844"/>
      <c r="AHD44" s="2845"/>
      <c r="AHE44" s="2842"/>
      <c r="AHF44" s="2842"/>
      <c r="AHG44" s="2843"/>
      <c r="AHH44" s="2843"/>
      <c r="AHI44" s="2844"/>
      <c r="AHJ44" s="2845"/>
      <c r="AHK44" s="2842"/>
      <c r="AHL44" s="2842"/>
      <c r="AHM44" s="2843"/>
      <c r="AHN44" s="2843"/>
      <c r="AHO44" s="2844"/>
      <c r="AHP44" s="2845"/>
      <c r="AHQ44" s="2842"/>
      <c r="AHR44" s="2842"/>
      <c r="AHS44" s="2843"/>
      <c r="AHT44" s="2843"/>
      <c r="AHU44" s="2844"/>
      <c r="AHV44" s="2845"/>
      <c r="AHW44" s="2842"/>
      <c r="AHX44" s="2842"/>
      <c r="AHY44" s="2843"/>
      <c r="AHZ44" s="2843"/>
      <c r="AIA44" s="2844"/>
      <c r="AIB44" s="2845"/>
      <c r="AIC44" s="2842"/>
      <c r="AID44" s="2842"/>
      <c r="AIE44" s="2843"/>
      <c r="AIF44" s="2843"/>
      <c r="AIG44" s="2844"/>
      <c r="AIH44" s="2845"/>
      <c r="AII44" s="2842"/>
      <c r="AIJ44" s="2842"/>
      <c r="AIK44" s="2843"/>
      <c r="AIL44" s="2843"/>
      <c r="AIM44" s="2844"/>
      <c r="AIN44" s="2845"/>
      <c r="AIO44" s="2842"/>
      <c r="AIP44" s="2842"/>
      <c r="AIQ44" s="2843"/>
      <c r="AIR44" s="2843"/>
      <c r="AIS44" s="2844"/>
      <c r="AIT44" s="2845"/>
      <c r="AIU44" s="2842"/>
      <c r="AIV44" s="2842"/>
      <c r="AIW44" s="2843"/>
      <c r="AIX44" s="2843"/>
      <c r="AIY44" s="2844"/>
      <c r="AIZ44" s="2845"/>
      <c r="AJA44" s="2842"/>
      <c r="AJB44" s="2842"/>
      <c r="AJC44" s="2843"/>
      <c r="AJD44" s="2843"/>
      <c r="AJE44" s="2844"/>
      <c r="AJF44" s="2845"/>
      <c r="AJG44" s="2842"/>
      <c r="AJH44" s="2842"/>
      <c r="AJI44" s="2843"/>
      <c r="AJJ44" s="2843"/>
      <c r="AJK44" s="2844"/>
      <c r="AJL44" s="2845"/>
      <c r="AJM44" s="2842"/>
      <c r="AJN44" s="2842"/>
      <c r="AJO44" s="2843"/>
      <c r="AJP44" s="2843"/>
      <c r="AJQ44" s="2844"/>
      <c r="AJR44" s="2845"/>
      <c r="AJS44" s="2842"/>
      <c r="AJT44" s="2842"/>
      <c r="AJU44" s="2843"/>
      <c r="AJV44" s="2843"/>
      <c r="AJW44" s="2844"/>
      <c r="AJX44" s="2845"/>
      <c r="AJY44" s="2842"/>
      <c r="AJZ44" s="2842"/>
      <c r="AKA44" s="2843"/>
      <c r="AKB44" s="2843"/>
      <c r="AKC44" s="2844"/>
      <c r="AKD44" s="2845"/>
      <c r="AKE44" s="2842"/>
      <c r="AKF44" s="2842"/>
      <c r="AKG44" s="2843"/>
      <c r="AKH44" s="2843"/>
      <c r="AKI44" s="2844"/>
      <c r="AKJ44" s="2845"/>
      <c r="AKK44" s="2842"/>
      <c r="AKL44" s="2842"/>
      <c r="AKM44" s="2843"/>
      <c r="AKN44" s="2843"/>
      <c r="AKO44" s="2844"/>
      <c r="AKP44" s="2845"/>
      <c r="AKQ44" s="2842"/>
      <c r="AKR44" s="2842"/>
      <c r="AKS44" s="2843"/>
      <c r="AKT44" s="2843"/>
      <c r="AKU44" s="2844"/>
      <c r="AKV44" s="2845"/>
      <c r="AKW44" s="2842"/>
      <c r="AKX44" s="2842"/>
      <c r="AKY44" s="2843"/>
      <c r="AKZ44" s="2843"/>
      <c r="ALA44" s="2844"/>
      <c r="ALB44" s="2845"/>
      <c r="ALC44" s="2842"/>
      <c r="ALD44" s="2842"/>
      <c r="ALE44" s="2843"/>
      <c r="ALF44" s="2843"/>
      <c r="ALG44" s="2844"/>
      <c r="ALH44" s="2845"/>
      <c r="ALI44" s="2842"/>
      <c r="ALJ44" s="2842"/>
      <c r="ALK44" s="2843"/>
      <c r="ALL44" s="2843"/>
      <c r="ALM44" s="2844"/>
      <c r="ALN44" s="2845"/>
      <c r="ALO44" s="2842"/>
      <c r="ALP44" s="2842"/>
      <c r="ALQ44" s="2843"/>
      <c r="ALR44" s="2843"/>
      <c r="ALS44" s="2844"/>
      <c r="ALT44" s="2845"/>
      <c r="ALU44" s="2842"/>
      <c r="ALV44" s="2842"/>
      <c r="ALW44" s="2843"/>
      <c r="ALX44" s="2843"/>
      <c r="ALY44" s="2844"/>
      <c r="ALZ44" s="2845"/>
      <c r="AMA44" s="2842"/>
      <c r="AMB44" s="2842"/>
      <c r="AMC44" s="2843"/>
      <c r="AMD44" s="2843"/>
      <c r="AME44" s="2844"/>
      <c r="AMF44" s="2845"/>
      <c r="AMG44" s="2842"/>
      <c r="AMH44" s="2842"/>
      <c r="AMI44" s="2843"/>
      <c r="AMJ44" s="2843"/>
      <c r="AMK44" s="2844"/>
      <c r="AML44" s="2845"/>
      <c r="AMM44" s="2842"/>
      <c r="AMN44" s="2842"/>
      <c r="AMO44" s="2843"/>
      <c r="AMP44" s="2843"/>
      <c r="AMQ44" s="2844"/>
      <c r="AMR44" s="2845"/>
      <c r="AMS44" s="2842"/>
      <c r="AMT44" s="2842"/>
      <c r="AMU44" s="2843"/>
      <c r="AMV44" s="2843"/>
      <c r="AMW44" s="2844"/>
      <c r="AMX44" s="2845"/>
      <c r="AMY44" s="2842"/>
      <c r="AMZ44" s="2842"/>
      <c r="ANA44" s="2843"/>
      <c r="ANB44" s="2843"/>
      <c r="ANC44" s="2844"/>
      <c r="AND44" s="2845"/>
      <c r="ANE44" s="2842"/>
      <c r="ANF44" s="2842"/>
      <c r="ANG44" s="2843"/>
      <c r="ANH44" s="2843"/>
      <c r="ANI44" s="2844"/>
      <c r="ANJ44" s="2845"/>
      <c r="ANK44" s="2842"/>
      <c r="ANL44" s="2842"/>
      <c r="ANM44" s="2843"/>
      <c r="ANN44" s="2843"/>
      <c r="ANO44" s="2844"/>
      <c r="ANP44" s="2845"/>
      <c r="ANQ44" s="2842"/>
      <c r="ANR44" s="2842"/>
      <c r="ANS44" s="2843"/>
      <c r="ANT44" s="2843"/>
      <c r="ANU44" s="2844"/>
      <c r="ANV44" s="2845"/>
      <c r="ANW44" s="2842"/>
      <c r="ANX44" s="2842"/>
      <c r="ANY44" s="2843"/>
      <c r="ANZ44" s="2843"/>
      <c r="AOA44" s="2844"/>
      <c r="AOB44" s="2845"/>
      <c r="AOC44" s="2842"/>
      <c r="AOD44" s="2842"/>
      <c r="AOE44" s="2843"/>
      <c r="AOF44" s="2843"/>
      <c r="AOG44" s="2844"/>
      <c r="AOH44" s="2845"/>
      <c r="AOI44" s="2842"/>
      <c r="AOJ44" s="2842"/>
      <c r="AOK44" s="2843"/>
      <c r="AOL44" s="2843"/>
      <c r="AOM44" s="2844"/>
      <c r="AON44" s="2845"/>
      <c r="AOO44" s="2842"/>
      <c r="AOP44" s="2842"/>
      <c r="AOQ44" s="2843"/>
      <c r="AOR44" s="2843"/>
      <c r="AOS44" s="2844"/>
      <c r="AOT44" s="2845"/>
      <c r="AOU44" s="2842"/>
      <c r="AOV44" s="2842"/>
      <c r="AOW44" s="2843"/>
      <c r="AOX44" s="2843"/>
      <c r="AOY44" s="2844"/>
      <c r="AOZ44" s="2845"/>
      <c r="APA44" s="2842"/>
      <c r="APB44" s="2842"/>
      <c r="APC44" s="2843"/>
      <c r="APD44" s="2843"/>
      <c r="APE44" s="2844"/>
      <c r="APF44" s="2845"/>
      <c r="APG44" s="2842"/>
      <c r="APH44" s="2842"/>
      <c r="API44" s="2843"/>
      <c r="APJ44" s="2843"/>
      <c r="APK44" s="2844"/>
      <c r="APL44" s="2845"/>
      <c r="APM44" s="2842"/>
      <c r="APN44" s="2842"/>
      <c r="APO44" s="2843"/>
      <c r="APP44" s="2843"/>
      <c r="APQ44" s="2844"/>
      <c r="APR44" s="2845"/>
      <c r="APS44" s="2842"/>
      <c r="APT44" s="2842"/>
      <c r="APU44" s="2843"/>
      <c r="APV44" s="2843"/>
      <c r="APW44" s="2844"/>
      <c r="APX44" s="2845"/>
      <c r="APY44" s="2842"/>
      <c r="APZ44" s="2842"/>
      <c r="AQA44" s="2843"/>
      <c r="AQB44" s="2843"/>
      <c r="AQC44" s="2844"/>
      <c r="AQD44" s="2845"/>
      <c r="AQE44" s="2842"/>
      <c r="AQF44" s="2842"/>
      <c r="AQG44" s="2843"/>
      <c r="AQH44" s="2843"/>
      <c r="AQI44" s="2844"/>
      <c r="AQJ44" s="2845"/>
      <c r="AQK44" s="2842"/>
      <c r="AQL44" s="2842"/>
      <c r="AQM44" s="2843"/>
      <c r="AQN44" s="2843"/>
      <c r="AQO44" s="2844"/>
      <c r="AQP44" s="2845"/>
      <c r="AQQ44" s="2842"/>
      <c r="AQR44" s="2842"/>
      <c r="AQS44" s="2843"/>
      <c r="AQT44" s="2843"/>
      <c r="AQU44" s="2844"/>
      <c r="AQV44" s="2845"/>
      <c r="AQW44" s="2842"/>
      <c r="AQX44" s="2842"/>
      <c r="AQY44" s="2843"/>
      <c r="AQZ44" s="2843"/>
      <c r="ARA44" s="2844"/>
      <c r="ARB44" s="2845"/>
      <c r="ARC44" s="2842"/>
      <c r="ARD44" s="2842"/>
      <c r="ARE44" s="2843"/>
      <c r="ARF44" s="2843"/>
      <c r="ARG44" s="2844"/>
      <c r="ARH44" s="2845"/>
      <c r="ARI44" s="2842"/>
      <c r="ARJ44" s="2842"/>
      <c r="ARK44" s="2843"/>
      <c r="ARL44" s="2843"/>
      <c r="ARM44" s="2844"/>
      <c r="ARN44" s="2845"/>
      <c r="ARO44" s="2842"/>
      <c r="ARP44" s="2842"/>
      <c r="ARQ44" s="2843"/>
      <c r="ARR44" s="2843"/>
      <c r="ARS44" s="2844"/>
      <c r="ART44" s="2845"/>
      <c r="ARU44" s="2842"/>
      <c r="ARV44" s="2842"/>
      <c r="ARW44" s="2843"/>
      <c r="ARX44" s="2843"/>
      <c r="ARY44" s="2844"/>
      <c r="ARZ44" s="2845"/>
      <c r="ASA44" s="2842"/>
      <c r="ASB44" s="2842"/>
      <c r="ASC44" s="2843"/>
      <c r="ASD44" s="2843"/>
      <c r="ASE44" s="2844"/>
      <c r="ASF44" s="2845"/>
      <c r="ASG44" s="2842"/>
      <c r="ASH44" s="2842"/>
      <c r="ASI44" s="2843"/>
      <c r="ASJ44" s="2843"/>
      <c r="ASK44" s="2844"/>
      <c r="ASL44" s="2845"/>
      <c r="ASM44" s="2842"/>
      <c r="ASN44" s="2842"/>
      <c r="ASO44" s="2843"/>
      <c r="ASP44" s="2843"/>
      <c r="ASQ44" s="2844"/>
      <c r="ASR44" s="2845"/>
      <c r="ASS44" s="2842"/>
      <c r="AST44" s="2842"/>
      <c r="ASU44" s="2843"/>
      <c r="ASV44" s="2843"/>
      <c r="ASW44" s="2844"/>
      <c r="ASX44" s="2845"/>
      <c r="ASY44" s="2842"/>
      <c r="ASZ44" s="2842"/>
      <c r="ATA44" s="2843"/>
      <c r="ATB44" s="2843"/>
      <c r="ATC44" s="2844"/>
      <c r="ATD44" s="2845"/>
      <c r="ATE44" s="2842"/>
      <c r="ATF44" s="2842"/>
      <c r="ATG44" s="2843"/>
      <c r="ATH44" s="2843"/>
      <c r="ATI44" s="2844"/>
      <c r="ATJ44" s="2845"/>
      <c r="ATK44" s="2842"/>
      <c r="ATL44" s="2842"/>
      <c r="ATM44" s="2843"/>
      <c r="ATN44" s="2843"/>
      <c r="ATO44" s="2844"/>
      <c r="ATP44" s="2845"/>
      <c r="ATQ44" s="2842"/>
      <c r="ATR44" s="2842"/>
      <c r="ATS44" s="2843"/>
      <c r="ATT44" s="2843"/>
      <c r="ATU44" s="2844"/>
      <c r="ATV44" s="2845"/>
      <c r="ATW44" s="2842"/>
      <c r="ATX44" s="2842"/>
      <c r="ATY44" s="2843"/>
      <c r="ATZ44" s="2843"/>
      <c r="AUA44" s="2844"/>
      <c r="AUB44" s="2845"/>
      <c r="AUC44" s="2842"/>
      <c r="AUD44" s="2842"/>
      <c r="AUE44" s="2843"/>
      <c r="AUF44" s="2843"/>
      <c r="AUG44" s="2844"/>
      <c r="AUH44" s="2845"/>
      <c r="AUI44" s="2842"/>
      <c r="AUJ44" s="2842"/>
      <c r="AUK44" s="2843"/>
      <c r="AUL44" s="2843"/>
      <c r="AUM44" s="2844"/>
      <c r="AUN44" s="2845"/>
      <c r="AUO44" s="2842"/>
      <c r="AUP44" s="2842"/>
      <c r="AUQ44" s="2843"/>
      <c r="AUR44" s="2843"/>
      <c r="AUS44" s="2844"/>
      <c r="AUT44" s="2845"/>
      <c r="AUU44" s="2842"/>
      <c r="AUV44" s="2842"/>
      <c r="AUW44" s="2843"/>
      <c r="AUX44" s="2843"/>
      <c r="AUY44" s="2844"/>
      <c r="AUZ44" s="2845"/>
      <c r="AVA44" s="2842"/>
      <c r="AVB44" s="2842"/>
      <c r="AVC44" s="2843"/>
      <c r="AVD44" s="2843"/>
      <c r="AVE44" s="2844"/>
      <c r="AVF44" s="2845"/>
      <c r="AVG44" s="2842"/>
      <c r="AVH44" s="2842"/>
      <c r="AVI44" s="2843"/>
      <c r="AVJ44" s="2843"/>
      <c r="AVK44" s="2844"/>
      <c r="AVL44" s="2845"/>
      <c r="AVM44" s="2842"/>
      <c r="AVN44" s="2842"/>
      <c r="AVO44" s="2843"/>
      <c r="AVP44" s="2843"/>
      <c r="AVQ44" s="2844"/>
      <c r="AVR44" s="2845"/>
      <c r="AVS44" s="2842"/>
      <c r="AVT44" s="2842"/>
      <c r="AVU44" s="2843"/>
      <c r="AVV44" s="2843"/>
      <c r="AVW44" s="2844"/>
      <c r="AVX44" s="2845"/>
      <c r="AVY44" s="2842"/>
      <c r="AVZ44" s="2842"/>
      <c r="AWA44" s="2843"/>
      <c r="AWB44" s="2843"/>
      <c r="AWC44" s="2844"/>
      <c r="AWD44" s="2845"/>
      <c r="AWE44" s="2842"/>
      <c r="AWF44" s="2842"/>
      <c r="AWG44" s="2843"/>
      <c r="AWH44" s="2843"/>
      <c r="AWI44" s="2844"/>
      <c r="AWJ44" s="2845"/>
      <c r="AWK44" s="2842"/>
      <c r="AWL44" s="2842"/>
      <c r="AWM44" s="2843"/>
      <c r="AWN44" s="2843"/>
      <c r="AWO44" s="2844"/>
      <c r="AWP44" s="2845"/>
      <c r="AWQ44" s="2842"/>
      <c r="AWR44" s="2842"/>
      <c r="AWS44" s="2843"/>
      <c r="AWT44" s="2843"/>
      <c r="AWU44" s="2844"/>
      <c r="AWV44" s="2845"/>
      <c r="AWW44" s="2842"/>
      <c r="AWX44" s="2842"/>
      <c r="AWY44" s="2843"/>
      <c r="AWZ44" s="2843"/>
      <c r="AXA44" s="2844"/>
      <c r="AXB44" s="2845"/>
      <c r="AXC44" s="2842"/>
      <c r="AXD44" s="2842"/>
      <c r="AXE44" s="2843"/>
      <c r="AXF44" s="2843"/>
      <c r="AXG44" s="2844"/>
      <c r="AXH44" s="2845"/>
      <c r="AXI44" s="2842"/>
      <c r="AXJ44" s="2842"/>
      <c r="AXK44" s="2843"/>
      <c r="AXL44" s="2843"/>
      <c r="AXM44" s="2844"/>
      <c r="AXN44" s="2845"/>
      <c r="AXO44" s="2842"/>
      <c r="AXP44" s="2842"/>
      <c r="AXQ44" s="2843"/>
      <c r="AXR44" s="2843"/>
      <c r="AXS44" s="2844"/>
      <c r="AXT44" s="2845"/>
      <c r="AXU44" s="2842"/>
      <c r="AXV44" s="2842"/>
      <c r="AXW44" s="2843"/>
      <c r="AXX44" s="2843"/>
      <c r="AXY44" s="2844"/>
      <c r="AXZ44" s="2845"/>
      <c r="AYA44" s="2842"/>
      <c r="AYB44" s="2842"/>
      <c r="AYC44" s="2843"/>
      <c r="AYD44" s="2843"/>
      <c r="AYE44" s="2844"/>
      <c r="AYF44" s="2845"/>
      <c r="AYG44" s="2842"/>
      <c r="AYH44" s="2842"/>
      <c r="AYI44" s="2843"/>
      <c r="AYJ44" s="2843"/>
      <c r="AYK44" s="2844"/>
      <c r="AYL44" s="2845"/>
      <c r="AYM44" s="2842"/>
      <c r="AYN44" s="2842"/>
      <c r="AYO44" s="2843"/>
      <c r="AYP44" s="2843"/>
      <c r="AYQ44" s="2844"/>
      <c r="AYR44" s="2845"/>
      <c r="AYS44" s="2842"/>
      <c r="AYT44" s="2842"/>
      <c r="AYU44" s="2843"/>
      <c r="AYV44" s="2843"/>
      <c r="AYW44" s="2844"/>
      <c r="AYX44" s="2845"/>
      <c r="AYY44" s="2842"/>
      <c r="AYZ44" s="2842"/>
      <c r="AZA44" s="2843"/>
      <c r="AZB44" s="2843"/>
      <c r="AZC44" s="2844"/>
      <c r="AZD44" s="2845"/>
      <c r="AZE44" s="2842"/>
      <c r="AZF44" s="2842"/>
      <c r="AZG44" s="2843"/>
      <c r="AZH44" s="2843"/>
      <c r="AZI44" s="2844"/>
      <c r="AZJ44" s="2845"/>
      <c r="AZK44" s="2842"/>
      <c r="AZL44" s="2842"/>
      <c r="AZM44" s="2843"/>
      <c r="AZN44" s="2843"/>
      <c r="AZO44" s="2844"/>
      <c r="AZP44" s="2845"/>
      <c r="AZQ44" s="2842"/>
      <c r="AZR44" s="2842"/>
      <c r="AZS44" s="2843"/>
      <c r="AZT44" s="2843"/>
      <c r="AZU44" s="2844"/>
      <c r="AZV44" s="2845"/>
      <c r="AZW44" s="2842"/>
      <c r="AZX44" s="2842"/>
      <c r="AZY44" s="2843"/>
      <c r="AZZ44" s="2843"/>
      <c r="BAA44" s="2844"/>
      <c r="BAB44" s="2845"/>
      <c r="BAC44" s="2842"/>
      <c r="BAD44" s="2842"/>
      <c r="BAE44" s="2843"/>
      <c r="BAF44" s="2843"/>
      <c r="BAG44" s="2844"/>
      <c r="BAH44" s="2845"/>
      <c r="BAI44" s="2842"/>
      <c r="BAJ44" s="2842"/>
      <c r="BAK44" s="2843"/>
      <c r="BAL44" s="2843"/>
      <c r="BAM44" s="2844"/>
      <c r="BAN44" s="2845"/>
      <c r="BAO44" s="2842"/>
      <c r="BAP44" s="2842"/>
      <c r="BAQ44" s="2843"/>
      <c r="BAR44" s="2843"/>
      <c r="BAS44" s="2844"/>
      <c r="BAT44" s="2845"/>
      <c r="BAU44" s="2842"/>
      <c r="BAV44" s="2842"/>
      <c r="BAW44" s="2843"/>
      <c r="BAX44" s="2843"/>
      <c r="BAY44" s="2844"/>
      <c r="BAZ44" s="2845"/>
      <c r="BBA44" s="2842"/>
      <c r="BBB44" s="2842"/>
      <c r="BBC44" s="2843"/>
      <c r="BBD44" s="2843"/>
      <c r="BBE44" s="2844"/>
      <c r="BBF44" s="2845"/>
      <c r="BBG44" s="2842"/>
      <c r="BBH44" s="2842"/>
      <c r="BBI44" s="2843"/>
      <c r="BBJ44" s="2843"/>
      <c r="BBK44" s="2844"/>
      <c r="BBL44" s="2845"/>
      <c r="BBM44" s="2842"/>
      <c r="BBN44" s="2842"/>
      <c r="BBO44" s="2843"/>
      <c r="BBP44" s="2843"/>
      <c r="BBQ44" s="2844"/>
      <c r="BBR44" s="2845"/>
      <c r="BBS44" s="2842"/>
      <c r="BBT44" s="2842"/>
      <c r="BBU44" s="2843"/>
      <c r="BBV44" s="2843"/>
      <c r="BBW44" s="2844"/>
      <c r="BBX44" s="2845"/>
      <c r="BBY44" s="2842"/>
      <c r="BBZ44" s="2842"/>
      <c r="BCA44" s="2843"/>
      <c r="BCB44" s="2843"/>
      <c r="BCC44" s="2844"/>
      <c r="BCD44" s="2845"/>
      <c r="BCE44" s="2842"/>
      <c r="BCF44" s="2842"/>
      <c r="BCG44" s="2843"/>
      <c r="BCH44" s="2843"/>
      <c r="BCI44" s="2844"/>
      <c r="BCJ44" s="2845"/>
      <c r="BCK44" s="2842"/>
      <c r="BCL44" s="2842"/>
      <c r="BCM44" s="2843"/>
      <c r="BCN44" s="2843"/>
      <c r="BCO44" s="2844"/>
      <c r="BCP44" s="2845"/>
      <c r="BCQ44" s="2842"/>
      <c r="BCR44" s="2842"/>
      <c r="BCS44" s="2843"/>
      <c r="BCT44" s="2843"/>
      <c r="BCU44" s="2844"/>
      <c r="BCV44" s="2845"/>
      <c r="BCW44" s="2842"/>
      <c r="BCX44" s="2842"/>
      <c r="BCY44" s="2843"/>
      <c r="BCZ44" s="2843"/>
      <c r="BDA44" s="2844"/>
      <c r="BDB44" s="2845"/>
      <c r="BDC44" s="2842"/>
      <c r="BDD44" s="2842"/>
      <c r="BDE44" s="2843"/>
      <c r="BDF44" s="2843"/>
      <c r="BDG44" s="2844"/>
      <c r="BDH44" s="2845"/>
      <c r="BDI44" s="2842"/>
      <c r="BDJ44" s="2842"/>
      <c r="BDK44" s="2843"/>
      <c r="BDL44" s="2843"/>
      <c r="BDM44" s="2844"/>
      <c r="BDN44" s="2845"/>
      <c r="BDO44" s="2842"/>
      <c r="BDP44" s="2842"/>
      <c r="BDQ44" s="2843"/>
      <c r="BDR44" s="2843"/>
      <c r="BDS44" s="2844"/>
      <c r="BDT44" s="2845"/>
      <c r="BDU44" s="2842"/>
      <c r="BDV44" s="2842"/>
      <c r="BDW44" s="2843"/>
      <c r="BDX44" s="2843"/>
      <c r="BDY44" s="2844"/>
      <c r="BDZ44" s="2845"/>
      <c r="BEA44" s="2842"/>
      <c r="BEB44" s="2842"/>
      <c r="BEC44" s="2843"/>
      <c r="BED44" s="2843"/>
      <c r="BEE44" s="2844"/>
      <c r="BEF44" s="2845"/>
      <c r="BEG44" s="2842"/>
      <c r="BEH44" s="2842"/>
      <c r="BEI44" s="2843"/>
      <c r="BEJ44" s="2843"/>
      <c r="BEK44" s="2844"/>
      <c r="BEL44" s="2845"/>
      <c r="BEM44" s="2842"/>
      <c r="BEN44" s="2842"/>
      <c r="BEO44" s="2843"/>
      <c r="BEP44" s="2843"/>
      <c r="BEQ44" s="2844"/>
      <c r="BER44" s="2845"/>
      <c r="BES44" s="2842"/>
      <c r="BET44" s="2842"/>
      <c r="BEU44" s="2843"/>
      <c r="BEV44" s="2843"/>
      <c r="BEW44" s="2844"/>
      <c r="BEX44" s="2845"/>
      <c r="BEY44" s="2842"/>
      <c r="BEZ44" s="2842"/>
      <c r="BFA44" s="2843"/>
      <c r="BFB44" s="2843"/>
      <c r="BFC44" s="2844"/>
      <c r="BFD44" s="2845"/>
      <c r="BFE44" s="2842"/>
      <c r="BFF44" s="2842"/>
      <c r="BFG44" s="2843"/>
      <c r="BFH44" s="2843"/>
      <c r="BFI44" s="2844"/>
      <c r="BFJ44" s="2845"/>
      <c r="BFK44" s="2842"/>
      <c r="BFL44" s="2842"/>
      <c r="BFM44" s="2843"/>
      <c r="BFN44" s="2843"/>
      <c r="BFO44" s="2844"/>
      <c r="BFP44" s="2845"/>
      <c r="BFQ44" s="2842"/>
      <c r="BFR44" s="2842"/>
      <c r="BFS44" s="2843"/>
      <c r="BFT44" s="2843"/>
      <c r="BFU44" s="2844"/>
      <c r="BFV44" s="2845"/>
      <c r="BFW44" s="2842"/>
      <c r="BFX44" s="2842"/>
      <c r="BFY44" s="2843"/>
      <c r="BFZ44" s="2843"/>
      <c r="BGA44" s="2844"/>
      <c r="BGB44" s="2845"/>
      <c r="BGC44" s="2842"/>
      <c r="BGD44" s="2842"/>
      <c r="BGE44" s="2843"/>
      <c r="BGF44" s="2843"/>
      <c r="BGG44" s="2844"/>
      <c r="BGH44" s="2845"/>
      <c r="BGI44" s="2842"/>
      <c r="BGJ44" s="2842"/>
      <c r="BGK44" s="2843"/>
      <c r="BGL44" s="2843"/>
      <c r="BGM44" s="2844"/>
      <c r="BGN44" s="2845"/>
      <c r="BGO44" s="2842"/>
      <c r="BGP44" s="2842"/>
      <c r="BGQ44" s="2843"/>
      <c r="BGR44" s="2843"/>
      <c r="BGS44" s="2844"/>
      <c r="BGT44" s="2845"/>
      <c r="BGU44" s="2842"/>
      <c r="BGV44" s="2842"/>
      <c r="BGW44" s="2843"/>
      <c r="BGX44" s="2843"/>
      <c r="BGY44" s="2844"/>
      <c r="BGZ44" s="2845"/>
      <c r="BHA44" s="2842"/>
      <c r="BHB44" s="2842"/>
      <c r="BHC44" s="2843"/>
      <c r="BHD44" s="2843"/>
      <c r="BHE44" s="2844"/>
      <c r="BHF44" s="2845"/>
      <c r="BHG44" s="2842"/>
      <c r="BHH44" s="2842"/>
      <c r="BHI44" s="2843"/>
      <c r="BHJ44" s="2843"/>
      <c r="BHK44" s="2844"/>
      <c r="BHL44" s="2845"/>
      <c r="BHM44" s="2842"/>
      <c r="BHN44" s="2842"/>
      <c r="BHO44" s="2843"/>
      <c r="BHP44" s="2843"/>
      <c r="BHQ44" s="2844"/>
      <c r="BHR44" s="2845"/>
      <c r="BHS44" s="2842"/>
      <c r="BHT44" s="2842"/>
      <c r="BHU44" s="2843"/>
      <c r="BHV44" s="2843"/>
      <c r="BHW44" s="2844"/>
      <c r="BHX44" s="2845"/>
      <c r="BHY44" s="2842"/>
      <c r="BHZ44" s="2842"/>
      <c r="BIA44" s="2843"/>
      <c r="BIB44" s="2843"/>
      <c r="BIC44" s="2844"/>
      <c r="BID44" s="2845"/>
      <c r="BIE44" s="2842"/>
      <c r="BIF44" s="2842"/>
      <c r="BIG44" s="2843"/>
      <c r="BIH44" s="2843"/>
      <c r="BII44" s="2844"/>
      <c r="BIJ44" s="2845"/>
      <c r="BIK44" s="2842"/>
      <c r="BIL44" s="2842"/>
      <c r="BIM44" s="2843"/>
      <c r="BIN44" s="2843"/>
      <c r="BIO44" s="2844"/>
      <c r="BIP44" s="2845"/>
      <c r="BIQ44" s="2842"/>
      <c r="BIR44" s="2842"/>
      <c r="BIS44" s="2843"/>
      <c r="BIT44" s="2843"/>
      <c r="BIU44" s="2844"/>
      <c r="BIV44" s="2845"/>
      <c r="BIW44" s="2842"/>
      <c r="BIX44" s="2842"/>
      <c r="BIY44" s="2843"/>
      <c r="BIZ44" s="2843"/>
      <c r="BJA44" s="2844"/>
      <c r="BJB44" s="2845"/>
      <c r="BJC44" s="2842"/>
      <c r="BJD44" s="2842"/>
      <c r="BJE44" s="2843"/>
      <c r="BJF44" s="2843"/>
      <c r="BJG44" s="2844"/>
      <c r="BJH44" s="2845"/>
      <c r="BJI44" s="2842"/>
      <c r="BJJ44" s="2842"/>
      <c r="BJK44" s="2843"/>
      <c r="BJL44" s="2843"/>
      <c r="BJM44" s="2844"/>
      <c r="BJN44" s="2845"/>
      <c r="BJO44" s="2842"/>
      <c r="BJP44" s="2842"/>
      <c r="BJQ44" s="2843"/>
      <c r="BJR44" s="2843"/>
      <c r="BJS44" s="2844"/>
      <c r="BJT44" s="2845"/>
      <c r="BJU44" s="2842"/>
      <c r="BJV44" s="2842"/>
      <c r="BJW44" s="2843"/>
      <c r="BJX44" s="2843"/>
      <c r="BJY44" s="2844"/>
      <c r="BJZ44" s="2845"/>
      <c r="BKA44" s="2842"/>
      <c r="BKB44" s="2842"/>
      <c r="BKC44" s="2843"/>
      <c r="BKD44" s="2843"/>
      <c r="BKE44" s="2844"/>
      <c r="BKF44" s="2845"/>
      <c r="BKG44" s="2842"/>
      <c r="BKH44" s="2842"/>
      <c r="BKI44" s="2843"/>
      <c r="BKJ44" s="2843"/>
      <c r="BKK44" s="2844"/>
      <c r="BKL44" s="2845"/>
      <c r="BKM44" s="2842"/>
      <c r="BKN44" s="2842"/>
      <c r="BKO44" s="2843"/>
      <c r="BKP44" s="2843"/>
      <c r="BKQ44" s="2844"/>
      <c r="BKR44" s="2845"/>
      <c r="BKS44" s="2842"/>
      <c r="BKT44" s="2842"/>
      <c r="BKU44" s="2843"/>
      <c r="BKV44" s="2843"/>
      <c r="BKW44" s="2844"/>
      <c r="BKX44" s="2845"/>
      <c r="BKY44" s="2842"/>
      <c r="BKZ44" s="2842"/>
      <c r="BLA44" s="2843"/>
      <c r="BLB44" s="2843"/>
      <c r="BLC44" s="2844"/>
      <c r="BLD44" s="2845"/>
      <c r="BLE44" s="2842"/>
      <c r="BLF44" s="2842"/>
      <c r="BLG44" s="2843"/>
      <c r="BLH44" s="2843"/>
      <c r="BLI44" s="2844"/>
      <c r="BLJ44" s="2845"/>
      <c r="BLK44" s="2842"/>
      <c r="BLL44" s="2842"/>
      <c r="BLM44" s="2843"/>
      <c r="BLN44" s="2843"/>
      <c r="BLO44" s="2844"/>
      <c r="BLP44" s="2845"/>
      <c r="BLQ44" s="2842"/>
      <c r="BLR44" s="2842"/>
      <c r="BLS44" s="2843"/>
      <c r="BLT44" s="2843"/>
      <c r="BLU44" s="2844"/>
      <c r="BLV44" s="2845"/>
      <c r="BLW44" s="2842"/>
      <c r="BLX44" s="2842"/>
      <c r="BLY44" s="2843"/>
      <c r="BLZ44" s="2843"/>
      <c r="BMA44" s="2844"/>
      <c r="BMB44" s="2845"/>
      <c r="BMC44" s="2842"/>
      <c r="BMD44" s="2842"/>
      <c r="BME44" s="2843"/>
      <c r="BMF44" s="2843"/>
      <c r="BMG44" s="2844"/>
      <c r="BMH44" s="2845"/>
      <c r="BMI44" s="2842"/>
      <c r="BMJ44" s="2842"/>
      <c r="BMK44" s="2843"/>
      <c r="BML44" s="2843"/>
      <c r="BMM44" s="2844"/>
      <c r="BMN44" s="2845"/>
      <c r="BMO44" s="2842"/>
      <c r="BMP44" s="2842"/>
      <c r="BMQ44" s="2843"/>
      <c r="BMR44" s="2843"/>
      <c r="BMS44" s="2844"/>
      <c r="BMT44" s="2845"/>
      <c r="BMU44" s="2842"/>
      <c r="BMV44" s="2842"/>
      <c r="BMW44" s="2843"/>
      <c r="BMX44" s="2843"/>
      <c r="BMY44" s="2844"/>
      <c r="BMZ44" s="2845"/>
      <c r="BNA44" s="2842"/>
      <c r="BNB44" s="2842"/>
      <c r="BNC44" s="2843"/>
      <c r="BND44" s="2843"/>
      <c r="BNE44" s="2844"/>
      <c r="BNF44" s="2845"/>
      <c r="BNG44" s="2842"/>
      <c r="BNH44" s="2842"/>
      <c r="BNI44" s="2843"/>
      <c r="BNJ44" s="2843"/>
      <c r="BNK44" s="2844"/>
      <c r="BNL44" s="2845"/>
      <c r="BNM44" s="2842"/>
      <c r="BNN44" s="2842"/>
      <c r="BNO44" s="2843"/>
      <c r="BNP44" s="2843"/>
      <c r="BNQ44" s="2844"/>
      <c r="BNR44" s="2845"/>
      <c r="BNS44" s="2842"/>
      <c r="BNT44" s="2842"/>
      <c r="BNU44" s="2843"/>
      <c r="BNV44" s="2843"/>
      <c r="BNW44" s="2844"/>
      <c r="BNX44" s="2845"/>
      <c r="BNY44" s="2842"/>
      <c r="BNZ44" s="2842"/>
      <c r="BOA44" s="2843"/>
      <c r="BOB44" s="2843"/>
      <c r="BOC44" s="2844"/>
      <c r="BOD44" s="2845"/>
      <c r="BOE44" s="2842"/>
      <c r="BOF44" s="2842"/>
      <c r="BOG44" s="2843"/>
      <c r="BOH44" s="2843"/>
      <c r="BOI44" s="2844"/>
      <c r="BOJ44" s="2845"/>
      <c r="BOK44" s="2842"/>
      <c r="BOL44" s="2842"/>
      <c r="BOM44" s="2843"/>
      <c r="BON44" s="2843"/>
      <c r="BOO44" s="2844"/>
      <c r="BOP44" s="2845"/>
      <c r="BOQ44" s="2842"/>
      <c r="BOR44" s="2842"/>
      <c r="BOS44" s="2843"/>
      <c r="BOT44" s="2843"/>
      <c r="BOU44" s="2844"/>
      <c r="BOV44" s="2845"/>
      <c r="BOW44" s="2842"/>
      <c r="BOX44" s="2842"/>
      <c r="BOY44" s="2843"/>
      <c r="BOZ44" s="2843"/>
      <c r="BPA44" s="2844"/>
      <c r="BPB44" s="2845"/>
      <c r="BPC44" s="2842"/>
      <c r="BPD44" s="2842"/>
      <c r="BPE44" s="2843"/>
      <c r="BPF44" s="2843"/>
      <c r="BPG44" s="2844"/>
      <c r="BPH44" s="2845"/>
      <c r="BPI44" s="2842"/>
      <c r="BPJ44" s="2842"/>
      <c r="BPK44" s="2843"/>
      <c r="BPL44" s="2843"/>
      <c r="BPM44" s="2844"/>
      <c r="BPN44" s="2845"/>
      <c r="BPO44" s="2842"/>
      <c r="BPP44" s="2842"/>
      <c r="BPQ44" s="2843"/>
      <c r="BPR44" s="2843"/>
      <c r="BPS44" s="2844"/>
      <c r="BPT44" s="2845"/>
      <c r="BPU44" s="2842"/>
      <c r="BPV44" s="2842"/>
      <c r="BPW44" s="2843"/>
      <c r="BPX44" s="2843"/>
      <c r="BPY44" s="2844"/>
      <c r="BPZ44" s="2845"/>
      <c r="BQA44" s="2842"/>
      <c r="BQB44" s="2842"/>
      <c r="BQC44" s="2843"/>
      <c r="BQD44" s="2843"/>
      <c r="BQE44" s="2844"/>
      <c r="BQF44" s="2845"/>
      <c r="BQG44" s="2842"/>
      <c r="BQH44" s="2842"/>
      <c r="BQI44" s="2843"/>
      <c r="BQJ44" s="2843"/>
      <c r="BQK44" s="2844"/>
      <c r="BQL44" s="2845"/>
      <c r="BQM44" s="2842"/>
      <c r="BQN44" s="2842"/>
      <c r="BQO44" s="2843"/>
      <c r="BQP44" s="2843"/>
      <c r="BQQ44" s="2844"/>
      <c r="BQR44" s="2845"/>
      <c r="BQS44" s="2842"/>
      <c r="BQT44" s="2842"/>
      <c r="BQU44" s="2843"/>
      <c r="BQV44" s="2843"/>
      <c r="BQW44" s="2844"/>
      <c r="BQX44" s="2845"/>
      <c r="BQY44" s="2842"/>
      <c r="BQZ44" s="2842"/>
      <c r="BRA44" s="2843"/>
      <c r="BRB44" s="2843"/>
      <c r="BRC44" s="2844"/>
      <c r="BRD44" s="2845"/>
      <c r="BRE44" s="2842"/>
      <c r="BRF44" s="2842"/>
      <c r="BRG44" s="2843"/>
      <c r="BRH44" s="2843"/>
      <c r="BRI44" s="2844"/>
      <c r="BRJ44" s="2845"/>
      <c r="BRK44" s="2842"/>
      <c r="BRL44" s="2842"/>
      <c r="BRM44" s="2843"/>
      <c r="BRN44" s="2843"/>
      <c r="BRO44" s="2844"/>
      <c r="BRP44" s="2845"/>
      <c r="BRQ44" s="2842"/>
      <c r="BRR44" s="2842"/>
      <c r="BRS44" s="2843"/>
      <c r="BRT44" s="2843"/>
      <c r="BRU44" s="2844"/>
      <c r="BRV44" s="2845"/>
      <c r="BRW44" s="2842"/>
      <c r="BRX44" s="2842"/>
      <c r="BRY44" s="2843"/>
      <c r="BRZ44" s="2843"/>
      <c r="BSA44" s="2844"/>
      <c r="BSB44" s="2845"/>
      <c r="BSC44" s="2842"/>
      <c r="BSD44" s="2842"/>
      <c r="BSE44" s="2843"/>
      <c r="BSF44" s="2843"/>
      <c r="BSG44" s="2844"/>
      <c r="BSH44" s="2845"/>
      <c r="BSI44" s="2842"/>
      <c r="BSJ44" s="2842"/>
      <c r="BSK44" s="2843"/>
      <c r="BSL44" s="2843"/>
      <c r="BSM44" s="2844"/>
      <c r="BSN44" s="2845"/>
      <c r="BSO44" s="2842"/>
      <c r="BSP44" s="2842"/>
      <c r="BSQ44" s="2843"/>
      <c r="BSR44" s="2843"/>
      <c r="BSS44" s="2844"/>
      <c r="BST44" s="2845"/>
      <c r="BSU44" s="2842"/>
      <c r="BSV44" s="2842"/>
      <c r="BSW44" s="2843"/>
      <c r="BSX44" s="2843"/>
      <c r="BSY44" s="2844"/>
      <c r="BSZ44" s="2845"/>
      <c r="BTA44" s="2842"/>
      <c r="BTB44" s="2842"/>
      <c r="BTC44" s="2843"/>
      <c r="BTD44" s="2843"/>
      <c r="BTE44" s="2844"/>
      <c r="BTF44" s="2845"/>
      <c r="BTG44" s="2842"/>
      <c r="BTH44" s="2842"/>
      <c r="BTI44" s="2843"/>
      <c r="BTJ44" s="2843"/>
      <c r="BTK44" s="2844"/>
      <c r="BTL44" s="2845"/>
      <c r="BTM44" s="2842"/>
      <c r="BTN44" s="2842"/>
      <c r="BTO44" s="2843"/>
      <c r="BTP44" s="2843"/>
      <c r="BTQ44" s="2844"/>
      <c r="BTR44" s="2845"/>
      <c r="BTS44" s="2842"/>
      <c r="BTT44" s="2842"/>
      <c r="BTU44" s="2843"/>
      <c r="BTV44" s="2843"/>
      <c r="BTW44" s="2844"/>
      <c r="BTX44" s="2845"/>
      <c r="BTY44" s="2842"/>
      <c r="BTZ44" s="2842"/>
      <c r="BUA44" s="2843"/>
      <c r="BUB44" s="2843"/>
      <c r="BUC44" s="2844"/>
      <c r="BUD44" s="2845"/>
      <c r="BUE44" s="2842"/>
      <c r="BUF44" s="2842"/>
      <c r="BUG44" s="2843"/>
      <c r="BUH44" s="2843"/>
      <c r="BUI44" s="2844"/>
      <c r="BUJ44" s="2845"/>
      <c r="BUK44" s="2842"/>
      <c r="BUL44" s="2842"/>
      <c r="BUM44" s="2843"/>
      <c r="BUN44" s="2843"/>
      <c r="BUO44" s="2844"/>
      <c r="BUP44" s="2845"/>
      <c r="BUQ44" s="2842"/>
      <c r="BUR44" s="2842"/>
      <c r="BUS44" s="2843"/>
      <c r="BUT44" s="2843"/>
      <c r="BUU44" s="2844"/>
      <c r="BUV44" s="2845"/>
      <c r="BUW44" s="2842"/>
      <c r="BUX44" s="2842"/>
      <c r="BUY44" s="2843"/>
      <c r="BUZ44" s="2843"/>
      <c r="BVA44" s="2844"/>
      <c r="BVB44" s="2845"/>
      <c r="BVC44" s="2842"/>
      <c r="BVD44" s="2842"/>
      <c r="BVE44" s="2843"/>
      <c r="BVF44" s="2843"/>
      <c r="BVG44" s="2844"/>
      <c r="BVH44" s="2845"/>
      <c r="BVI44" s="2842"/>
      <c r="BVJ44" s="2842"/>
      <c r="BVK44" s="2843"/>
      <c r="BVL44" s="2843"/>
      <c r="BVM44" s="2844"/>
      <c r="BVN44" s="2845"/>
      <c r="BVO44" s="2842"/>
      <c r="BVP44" s="2842"/>
      <c r="BVQ44" s="2843"/>
      <c r="BVR44" s="2843"/>
      <c r="BVS44" s="2844"/>
      <c r="BVT44" s="2845"/>
      <c r="BVU44" s="2842"/>
      <c r="BVV44" s="2842"/>
      <c r="BVW44" s="2843"/>
      <c r="BVX44" s="2843"/>
      <c r="BVY44" s="2844"/>
      <c r="BVZ44" s="2845"/>
      <c r="BWA44" s="2842"/>
      <c r="BWB44" s="2842"/>
      <c r="BWC44" s="2843"/>
      <c r="BWD44" s="2843"/>
      <c r="BWE44" s="2844"/>
      <c r="BWF44" s="2845"/>
      <c r="BWG44" s="2842"/>
      <c r="BWH44" s="2842"/>
      <c r="BWI44" s="2843"/>
      <c r="BWJ44" s="2843"/>
      <c r="BWK44" s="2844"/>
      <c r="BWL44" s="2845"/>
      <c r="BWM44" s="2842"/>
      <c r="BWN44" s="2842"/>
      <c r="BWO44" s="2843"/>
      <c r="BWP44" s="2843"/>
      <c r="BWQ44" s="2844"/>
      <c r="BWR44" s="2845"/>
      <c r="BWS44" s="2842"/>
      <c r="BWT44" s="2842"/>
      <c r="BWU44" s="2843"/>
      <c r="BWV44" s="2843"/>
      <c r="BWW44" s="2844"/>
      <c r="BWX44" s="2845"/>
      <c r="BWY44" s="2842"/>
      <c r="BWZ44" s="2842"/>
      <c r="BXA44" s="2843"/>
      <c r="BXB44" s="2843"/>
      <c r="BXC44" s="2844"/>
      <c r="BXD44" s="2845"/>
      <c r="BXE44" s="2842"/>
      <c r="BXF44" s="2842"/>
      <c r="BXG44" s="2843"/>
      <c r="BXH44" s="2843"/>
      <c r="BXI44" s="2844"/>
      <c r="BXJ44" s="2845"/>
      <c r="BXK44" s="2842"/>
      <c r="BXL44" s="2842"/>
      <c r="BXM44" s="2843"/>
      <c r="BXN44" s="2843"/>
      <c r="BXO44" s="2844"/>
      <c r="BXP44" s="2845"/>
      <c r="BXQ44" s="2842"/>
      <c r="BXR44" s="2842"/>
      <c r="BXS44" s="2843"/>
      <c r="BXT44" s="2843"/>
      <c r="BXU44" s="2844"/>
      <c r="BXV44" s="2845"/>
      <c r="BXW44" s="2842"/>
      <c r="BXX44" s="2842"/>
      <c r="BXY44" s="2843"/>
      <c r="BXZ44" s="2843"/>
      <c r="BYA44" s="2844"/>
      <c r="BYB44" s="2845"/>
      <c r="BYC44" s="2842"/>
      <c r="BYD44" s="2842"/>
      <c r="BYE44" s="2843"/>
      <c r="BYF44" s="2843"/>
      <c r="BYG44" s="2844"/>
      <c r="BYH44" s="2845"/>
      <c r="BYI44" s="2842"/>
      <c r="BYJ44" s="2842"/>
      <c r="BYK44" s="2843"/>
      <c r="BYL44" s="2843"/>
      <c r="BYM44" s="2844"/>
      <c r="BYN44" s="2845"/>
      <c r="BYO44" s="2842"/>
      <c r="BYP44" s="2842"/>
      <c r="BYQ44" s="2843"/>
      <c r="BYR44" s="2843"/>
      <c r="BYS44" s="2844"/>
      <c r="BYT44" s="2845"/>
      <c r="BYU44" s="2842"/>
      <c r="BYV44" s="2842"/>
      <c r="BYW44" s="2843"/>
      <c r="BYX44" s="2843"/>
      <c r="BYY44" s="2844"/>
      <c r="BYZ44" s="2845"/>
      <c r="BZA44" s="2842"/>
      <c r="BZB44" s="2842"/>
      <c r="BZC44" s="2843"/>
      <c r="BZD44" s="2843"/>
      <c r="BZE44" s="2844"/>
      <c r="BZF44" s="2845"/>
      <c r="BZG44" s="2842"/>
      <c r="BZH44" s="2842"/>
      <c r="BZI44" s="2843"/>
      <c r="BZJ44" s="2843"/>
      <c r="BZK44" s="2844"/>
      <c r="BZL44" s="2845"/>
      <c r="BZM44" s="2842"/>
      <c r="BZN44" s="2842"/>
      <c r="BZO44" s="2843"/>
      <c r="BZP44" s="2843"/>
      <c r="BZQ44" s="2844"/>
      <c r="BZR44" s="2845"/>
      <c r="BZS44" s="2842"/>
      <c r="BZT44" s="2842"/>
      <c r="BZU44" s="2843"/>
      <c r="BZV44" s="2843"/>
      <c r="BZW44" s="2844"/>
      <c r="BZX44" s="2845"/>
      <c r="BZY44" s="2842"/>
      <c r="BZZ44" s="2842"/>
      <c r="CAA44" s="2843"/>
      <c r="CAB44" s="2843"/>
      <c r="CAC44" s="2844"/>
      <c r="CAD44" s="2845"/>
      <c r="CAE44" s="2842"/>
      <c r="CAF44" s="2842"/>
      <c r="CAG44" s="2843"/>
      <c r="CAH44" s="2843"/>
      <c r="CAI44" s="2844"/>
      <c r="CAJ44" s="2845"/>
      <c r="CAK44" s="2842"/>
      <c r="CAL44" s="2842"/>
      <c r="CAM44" s="2843"/>
      <c r="CAN44" s="2843"/>
      <c r="CAO44" s="2844"/>
      <c r="CAP44" s="2845"/>
      <c r="CAQ44" s="2842"/>
      <c r="CAR44" s="2842"/>
      <c r="CAS44" s="2843"/>
      <c r="CAT44" s="2843"/>
      <c r="CAU44" s="2844"/>
      <c r="CAV44" s="2845"/>
      <c r="CAW44" s="2842"/>
      <c r="CAX44" s="2842"/>
      <c r="CAY44" s="2843"/>
      <c r="CAZ44" s="2843"/>
      <c r="CBA44" s="2844"/>
      <c r="CBB44" s="2845"/>
      <c r="CBC44" s="2842"/>
      <c r="CBD44" s="2842"/>
      <c r="CBE44" s="2843"/>
      <c r="CBF44" s="2843"/>
      <c r="CBG44" s="2844"/>
      <c r="CBH44" s="2845"/>
      <c r="CBI44" s="2842"/>
      <c r="CBJ44" s="2842"/>
      <c r="CBK44" s="2843"/>
      <c r="CBL44" s="2843"/>
      <c r="CBM44" s="2844"/>
      <c r="CBN44" s="2845"/>
      <c r="CBO44" s="2842"/>
      <c r="CBP44" s="2842"/>
      <c r="CBQ44" s="2843"/>
      <c r="CBR44" s="2843"/>
      <c r="CBS44" s="2844"/>
      <c r="CBT44" s="2845"/>
      <c r="CBU44" s="2842"/>
      <c r="CBV44" s="2842"/>
      <c r="CBW44" s="2843"/>
      <c r="CBX44" s="2843"/>
      <c r="CBY44" s="2844"/>
      <c r="CBZ44" s="2845"/>
      <c r="CCA44" s="2842"/>
      <c r="CCB44" s="2842"/>
      <c r="CCC44" s="2843"/>
      <c r="CCD44" s="2843"/>
      <c r="CCE44" s="2844"/>
      <c r="CCF44" s="2845"/>
      <c r="CCG44" s="2842"/>
      <c r="CCH44" s="2842"/>
      <c r="CCI44" s="2843"/>
      <c r="CCJ44" s="2843"/>
      <c r="CCK44" s="2844"/>
      <c r="CCL44" s="2845"/>
      <c r="CCM44" s="2842"/>
      <c r="CCN44" s="2842"/>
      <c r="CCO44" s="2843"/>
      <c r="CCP44" s="2843"/>
      <c r="CCQ44" s="2844"/>
      <c r="CCR44" s="2845"/>
      <c r="CCS44" s="2842"/>
      <c r="CCT44" s="2842"/>
      <c r="CCU44" s="2843"/>
      <c r="CCV44" s="2843"/>
      <c r="CCW44" s="2844"/>
      <c r="CCX44" s="2845"/>
      <c r="CCY44" s="2842"/>
      <c r="CCZ44" s="2842"/>
      <c r="CDA44" s="2843"/>
      <c r="CDB44" s="2843"/>
      <c r="CDC44" s="2844"/>
      <c r="CDD44" s="2845"/>
      <c r="CDE44" s="2842"/>
      <c r="CDF44" s="2842"/>
      <c r="CDG44" s="2843"/>
      <c r="CDH44" s="2843"/>
      <c r="CDI44" s="2844"/>
      <c r="CDJ44" s="2845"/>
      <c r="CDK44" s="2842"/>
      <c r="CDL44" s="2842"/>
      <c r="CDM44" s="2843"/>
      <c r="CDN44" s="2843"/>
      <c r="CDO44" s="2844"/>
      <c r="CDP44" s="2845"/>
      <c r="CDQ44" s="2842"/>
      <c r="CDR44" s="2842"/>
      <c r="CDS44" s="2843"/>
      <c r="CDT44" s="2843"/>
      <c r="CDU44" s="2844"/>
      <c r="CDV44" s="2845"/>
      <c r="CDW44" s="2842"/>
      <c r="CDX44" s="2842"/>
      <c r="CDY44" s="2843"/>
      <c r="CDZ44" s="2843"/>
      <c r="CEA44" s="2844"/>
      <c r="CEB44" s="2845"/>
      <c r="CEC44" s="2842"/>
      <c r="CED44" s="2842"/>
      <c r="CEE44" s="2843"/>
      <c r="CEF44" s="2843"/>
      <c r="CEG44" s="2844"/>
      <c r="CEH44" s="2845"/>
      <c r="CEI44" s="2842"/>
      <c r="CEJ44" s="2842"/>
      <c r="CEK44" s="2843"/>
      <c r="CEL44" s="2843"/>
      <c r="CEM44" s="2844"/>
      <c r="CEN44" s="2845"/>
      <c r="CEO44" s="2842"/>
      <c r="CEP44" s="2842"/>
      <c r="CEQ44" s="2843"/>
      <c r="CER44" s="2843"/>
      <c r="CES44" s="2844"/>
      <c r="CET44" s="2845"/>
      <c r="CEU44" s="2842"/>
      <c r="CEV44" s="2842"/>
      <c r="CEW44" s="2843"/>
      <c r="CEX44" s="2843"/>
      <c r="CEY44" s="2844"/>
      <c r="CEZ44" s="2845"/>
      <c r="CFA44" s="2842"/>
      <c r="CFB44" s="2842"/>
      <c r="CFC44" s="2843"/>
      <c r="CFD44" s="2843"/>
      <c r="CFE44" s="2844"/>
      <c r="CFF44" s="2845"/>
      <c r="CFG44" s="2842"/>
      <c r="CFH44" s="2842"/>
      <c r="CFI44" s="2843"/>
      <c r="CFJ44" s="2843"/>
      <c r="CFK44" s="2844"/>
      <c r="CFL44" s="2845"/>
      <c r="CFM44" s="2842"/>
      <c r="CFN44" s="2842"/>
      <c r="CFO44" s="2843"/>
      <c r="CFP44" s="2843"/>
      <c r="CFQ44" s="2844"/>
      <c r="CFR44" s="2845"/>
      <c r="CFS44" s="2842"/>
      <c r="CFT44" s="2842"/>
      <c r="CFU44" s="2843"/>
      <c r="CFV44" s="2843"/>
      <c r="CFW44" s="2844"/>
      <c r="CFX44" s="2845"/>
      <c r="CFY44" s="2842"/>
      <c r="CFZ44" s="2842"/>
      <c r="CGA44" s="2843"/>
      <c r="CGB44" s="2843"/>
      <c r="CGC44" s="2844"/>
      <c r="CGD44" s="2845"/>
      <c r="CGE44" s="2842"/>
      <c r="CGF44" s="2842"/>
      <c r="CGG44" s="2843"/>
      <c r="CGH44" s="2843"/>
      <c r="CGI44" s="2844"/>
      <c r="CGJ44" s="2845"/>
      <c r="CGK44" s="2842"/>
      <c r="CGL44" s="2842"/>
      <c r="CGM44" s="2843"/>
      <c r="CGN44" s="2843"/>
      <c r="CGO44" s="2844"/>
      <c r="CGP44" s="2845"/>
      <c r="CGQ44" s="2842"/>
      <c r="CGR44" s="2842"/>
      <c r="CGS44" s="2843"/>
      <c r="CGT44" s="2843"/>
      <c r="CGU44" s="2844"/>
      <c r="CGV44" s="2845"/>
      <c r="CGW44" s="2842"/>
      <c r="CGX44" s="2842"/>
      <c r="CGY44" s="2843"/>
      <c r="CGZ44" s="2843"/>
      <c r="CHA44" s="2844"/>
      <c r="CHB44" s="2845"/>
      <c r="CHC44" s="2842"/>
      <c r="CHD44" s="2842"/>
      <c r="CHE44" s="2843"/>
      <c r="CHF44" s="2843"/>
      <c r="CHG44" s="2844"/>
      <c r="CHH44" s="2845"/>
      <c r="CHI44" s="2842"/>
      <c r="CHJ44" s="2842"/>
      <c r="CHK44" s="2843"/>
      <c r="CHL44" s="2843"/>
      <c r="CHM44" s="2844"/>
      <c r="CHN44" s="2845"/>
      <c r="CHO44" s="2842"/>
      <c r="CHP44" s="2842"/>
      <c r="CHQ44" s="2843"/>
      <c r="CHR44" s="2843"/>
      <c r="CHS44" s="2844"/>
      <c r="CHT44" s="2845"/>
      <c r="CHU44" s="2842"/>
      <c r="CHV44" s="2842"/>
      <c r="CHW44" s="2843"/>
      <c r="CHX44" s="2843"/>
      <c r="CHY44" s="2844"/>
      <c r="CHZ44" s="2845"/>
      <c r="CIA44" s="2842"/>
      <c r="CIB44" s="2842"/>
      <c r="CIC44" s="2843"/>
      <c r="CID44" s="2843"/>
      <c r="CIE44" s="2844"/>
      <c r="CIF44" s="2845"/>
      <c r="CIG44" s="2842"/>
      <c r="CIH44" s="2842"/>
      <c r="CII44" s="2843"/>
      <c r="CIJ44" s="2843"/>
      <c r="CIK44" s="2844"/>
      <c r="CIL44" s="2845"/>
      <c r="CIM44" s="2842"/>
      <c r="CIN44" s="2842"/>
      <c r="CIO44" s="2843"/>
      <c r="CIP44" s="2843"/>
      <c r="CIQ44" s="2844"/>
      <c r="CIR44" s="2845"/>
      <c r="CIS44" s="2842"/>
      <c r="CIT44" s="2842"/>
      <c r="CIU44" s="2843"/>
      <c r="CIV44" s="2843"/>
      <c r="CIW44" s="2844"/>
      <c r="CIX44" s="2845"/>
      <c r="CIY44" s="2842"/>
      <c r="CIZ44" s="2842"/>
      <c r="CJA44" s="2843"/>
      <c r="CJB44" s="2843"/>
      <c r="CJC44" s="2844"/>
      <c r="CJD44" s="2845"/>
      <c r="CJE44" s="2842"/>
      <c r="CJF44" s="2842"/>
      <c r="CJG44" s="2843"/>
      <c r="CJH44" s="2843"/>
      <c r="CJI44" s="2844"/>
      <c r="CJJ44" s="2845"/>
      <c r="CJK44" s="2842"/>
      <c r="CJL44" s="2842"/>
      <c r="CJM44" s="2843"/>
      <c r="CJN44" s="2843"/>
      <c r="CJO44" s="2844"/>
      <c r="CJP44" s="2845"/>
      <c r="CJQ44" s="2842"/>
      <c r="CJR44" s="2842"/>
      <c r="CJS44" s="2843"/>
      <c r="CJT44" s="2843"/>
      <c r="CJU44" s="2844"/>
      <c r="CJV44" s="2845"/>
      <c r="CJW44" s="2842"/>
      <c r="CJX44" s="2842"/>
      <c r="CJY44" s="2843"/>
      <c r="CJZ44" s="2843"/>
      <c r="CKA44" s="2844"/>
      <c r="CKB44" s="2845"/>
      <c r="CKC44" s="2842"/>
      <c r="CKD44" s="2842"/>
      <c r="CKE44" s="2843"/>
      <c r="CKF44" s="2843"/>
      <c r="CKG44" s="2844"/>
      <c r="CKH44" s="2845"/>
      <c r="CKI44" s="2842"/>
      <c r="CKJ44" s="2842"/>
      <c r="CKK44" s="2843"/>
      <c r="CKL44" s="2843"/>
      <c r="CKM44" s="2844"/>
      <c r="CKN44" s="2845"/>
      <c r="CKO44" s="2842"/>
      <c r="CKP44" s="2842"/>
      <c r="CKQ44" s="2843"/>
      <c r="CKR44" s="2843"/>
      <c r="CKS44" s="2844"/>
      <c r="CKT44" s="2845"/>
      <c r="CKU44" s="2842"/>
      <c r="CKV44" s="2842"/>
      <c r="CKW44" s="2843"/>
      <c r="CKX44" s="2843"/>
      <c r="CKY44" s="2844"/>
      <c r="CKZ44" s="2845"/>
      <c r="CLA44" s="2842"/>
      <c r="CLB44" s="2842"/>
      <c r="CLC44" s="2843"/>
      <c r="CLD44" s="2843"/>
      <c r="CLE44" s="2844"/>
      <c r="CLF44" s="2845"/>
      <c r="CLG44" s="2842"/>
      <c r="CLH44" s="2842"/>
      <c r="CLI44" s="2843"/>
      <c r="CLJ44" s="2843"/>
      <c r="CLK44" s="2844"/>
      <c r="CLL44" s="2845"/>
      <c r="CLM44" s="2842"/>
      <c r="CLN44" s="2842"/>
      <c r="CLO44" s="2843"/>
      <c r="CLP44" s="2843"/>
      <c r="CLQ44" s="2844"/>
      <c r="CLR44" s="2845"/>
      <c r="CLS44" s="2842"/>
      <c r="CLT44" s="2842"/>
      <c r="CLU44" s="2843"/>
      <c r="CLV44" s="2843"/>
      <c r="CLW44" s="2844"/>
      <c r="CLX44" s="2845"/>
      <c r="CLY44" s="2842"/>
      <c r="CLZ44" s="2842"/>
      <c r="CMA44" s="2843"/>
      <c r="CMB44" s="2843"/>
      <c r="CMC44" s="2844"/>
      <c r="CMD44" s="2845"/>
      <c r="CME44" s="2842"/>
      <c r="CMF44" s="2842"/>
      <c r="CMG44" s="2843"/>
      <c r="CMH44" s="2843"/>
      <c r="CMI44" s="2844"/>
      <c r="CMJ44" s="2845"/>
      <c r="CMK44" s="2842"/>
      <c r="CML44" s="2842"/>
      <c r="CMM44" s="2843"/>
      <c r="CMN44" s="2843"/>
      <c r="CMO44" s="2844"/>
      <c r="CMP44" s="2845"/>
      <c r="CMQ44" s="2842"/>
      <c r="CMR44" s="2842"/>
      <c r="CMS44" s="2843"/>
      <c r="CMT44" s="2843"/>
      <c r="CMU44" s="2844"/>
      <c r="CMV44" s="2845"/>
      <c r="CMW44" s="2842"/>
      <c r="CMX44" s="2842"/>
      <c r="CMY44" s="2843"/>
      <c r="CMZ44" s="2843"/>
      <c r="CNA44" s="2844"/>
      <c r="CNB44" s="2845"/>
      <c r="CNC44" s="2842"/>
      <c r="CND44" s="2842"/>
      <c r="CNE44" s="2843"/>
      <c r="CNF44" s="2843"/>
      <c r="CNG44" s="2844"/>
      <c r="CNH44" s="2845"/>
      <c r="CNI44" s="2842"/>
      <c r="CNJ44" s="2842"/>
      <c r="CNK44" s="2843"/>
      <c r="CNL44" s="2843"/>
      <c r="CNM44" s="2844"/>
      <c r="CNN44" s="2845"/>
      <c r="CNO44" s="2842"/>
      <c r="CNP44" s="2842"/>
      <c r="CNQ44" s="2843"/>
      <c r="CNR44" s="2843"/>
      <c r="CNS44" s="2844"/>
      <c r="CNT44" s="2845"/>
      <c r="CNU44" s="2842"/>
      <c r="CNV44" s="2842"/>
      <c r="CNW44" s="2843"/>
      <c r="CNX44" s="2843"/>
      <c r="CNY44" s="2844"/>
      <c r="CNZ44" s="2845"/>
      <c r="COA44" s="2842"/>
      <c r="COB44" s="2842"/>
      <c r="COC44" s="2843"/>
      <c r="COD44" s="2843"/>
      <c r="COE44" s="2844"/>
      <c r="COF44" s="2845"/>
      <c r="COG44" s="2842"/>
      <c r="COH44" s="2842"/>
      <c r="COI44" s="2843"/>
      <c r="COJ44" s="2843"/>
      <c r="COK44" s="2844"/>
      <c r="COL44" s="2845"/>
      <c r="COM44" s="2842"/>
      <c r="CON44" s="2842"/>
      <c r="COO44" s="2843"/>
      <c r="COP44" s="2843"/>
      <c r="COQ44" s="2844"/>
      <c r="COR44" s="2845"/>
      <c r="COS44" s="2842"/>
      <c r="COT44" s="2842"/>
      <c r="COU44" s="2843"/>
      <c r="COV44" s="2843"/>
      <c r="COW44" s="2844"/>
      <c r="COX44" s="2845"/>
      <c r="COY44" s="2842"/>
      <c r="COZ44" s="2842"/>
      <c r="CPA44" s="2843"/>
      <c r="CPB44" s="2843"/>
      <c r="CPC44" s="2844"/>
      <c r="CPD44" s="2845"/>
      <c r="CPE44" s="2842"/>
      <c r="CPF44" s="2842"/>
      <c r="CPG44" s="2843"/>
      <c r="CPH44" s="2843"/>
      <c r="CPI44" s="2844"/>
      <c r="CPJ44" s="2845"/>
      <c r="CPK44" s="2842"/>
      <c r="CPL44" s="2842"/>
      <c r="CPM44" s="2843"/>
      <c r="CPN44" s="2843"/>
      <c r="CPO44" s="2844"/>
      <c r="CPP44" s="2845"/>
      <c r="CPQ44" s="2842"/>
      <c r="CPR44" s="2842"/>
      <c r="CPS44" s="2843"/>
      <c r="CPT44" s="2843"/>
      <c r="CPU44" s="2844"/>
      <c r="CPV44" s="2845"/>
      <c r="CPW44" s="2842"/>
      <c r="CPX44" s="2842"/>
      <c r="CPY44" s="2843"/>
      <c r="CPZ44" s="2843"/>
      <c r="CQA44" s="2844"/>
      <c r="CQB44" s="2845"/>
      <c r="CQC44" s="2842"/>
      <c r="CQD44" s="2842"/>
      <c r="CQE44" s="2843"/>
      <c r="CQF44" s="2843"/>
      <c r="CQG44" s="2844"/>
      <c r="CQH44" s="2845"/>
      <c r="CQI44" s="2842"/>
      <c r="CQJ44" s="2842"/>
      <c r="CQK44" s="2843"/>
      <c r="CQL44" s="2843"/>
      <c r="CQM44" s="2844"/>
      <c r="CQN44" s="2845"/>
      <c r="CQO44" s="2842"/>
      <c r="CQP44" s="2842"/>
      <c r="CQQ44" s="2843"/>
      <c r="CQR44" s="2843"/>
      <c r="CQS44" s="2844"/>
      <c r="CQT44" s="2845"/>
      <c r="CQU44" s="2842"/>
      <c r="CQV44" s="2842"/>
      <c r="CQW44" s="2843"/>
      <c r="CQX44" s="2843"/>
      <c r="CQY44" s="2844"/>
      <c r="CQZ44" s="2845"/>
      <c r="CRA44" s="2842"/>
      <c r="CRB44" s="2842"/>
      <c r="CRC44" s="2843"/>
      <c r="CRD44" s="2843"/>
      <c r="CRE44" s="2844"/>
      <c r="CRF44" s="2845"/>
      <c r="CRG44" s="2842"/>
      <c r="CRH44" s="2842"/>
      <c r="CRI44" s="2843"/>
      <c r="CRJ44" s="2843"/>
      <c r="CRK44" s="2844"/>
      <c r="CRL44" s="2845"/>
      <c r="CRM44" s="2842"/>
      <c r="CRN44" s="2842"/>
      <c r="CRO44" s="2843"/>
      <c r="CRP44" s="2843"/>
      <c r="CRQ44" s="2844"/>
      <c r="CRR44" s="2845"/>
      <c r="CRS44" s="2842"/>
      <c r="CRT44" s="2842"/>
      <c r="CRU44" s="2843"/>
      <c r="CRV44" s="2843"/>
      <c r="CRW44" s="2844"/>
      <c r="CRX44" s="2845"/>
      <c r="CRY44" s="2842"/>
      <c r="CRZ44" s="2842"/>
      <c r="CSA44" s="2843"/>
      <c r="CSB44" s="2843"/>
      <c r="CSC44" s="2844"/>
      <c r="CSD44" s="2845"/>
      <c r="CSE44" s="2842"/>
      <c r="CSF44" s="2842"/>
      <c r="CSG44" s="2843"/>
      <c r="CSH44" s="2843"/>
      <c r="CSI44" s="2844"/>
      <c r="CSJ44" s="2845"/>
      <c r="CSK44" s="2842"/>
      <c r="CSL44" s="2842"/>
      <c r="CSM44" s="2843"/>
      <c r="CSN44" s="2843"/>
      <c r="CSO44" s="2844"/>
      <c r="CSP44" s="2845"/>
      <c r="CSQ44" s="2842"/>
      <c r="CSR44" s="2842"/>
      <c r="CSS44" s="2843"/>
      <c r="CST44" s="2843"/>
      <c r="CSU44" s="2844"/>
      <c r="CSV44" s="2845"/>
      <c r="CSW44" s="2842"/>
      <c r="CSX44" s="2842"/>
      <c r="CSY44" s="2843"/>
      <c r="CSZ44" s="2843"/>
      <c r="CTA44" s="2844"/>
      <c r="CTB44" s="2845"/>
      <c r="CTC44" s="2842"/>
      <c r="CTD44" s="2842"/>
      <c r="CTE44" s="2843"/>
      <c r="CTF44" s="2843"/>
      <c r="CTG44" s="2844"/>
      <c r="CTH44" s="2845"/>
      <c r="CTI44" s="2842"/>
      <c r="CTJ44" s="2842"/>
      <c r="CTK44" s="2843"/>
      <c r="CTL44" s="2843"/>
      <c r="CTM44" s="2844"/>
      <c r="CTN44" s="2845"/>
      <c r="CTO44" s="2842"/>
      <c r="CTP44" s="2842"/>
      <c r="CTQ44" s="2843"/>
      <c r="CTR44" s="2843"/>
      <c r="CTS44" s="2844"/>
      <c r="CTT44" s="2845"/>
      <c r="CTU44" s="2842"/>
      <c r="CTV44" s="2842"/>
      <c r="CTW44" s="2843"/>
      <c r="CTX44" s="2843"/>
      <c r="CTY44" s="2844"/>
      <c r="CTZ44" s="2845"/>
      <c r="CUA44" s="2842"/>
      <c r="CUB44" s="2842"/>
      <c r="CUC44" s="2843"/>
      <c r="CUD44" s="2843"/>
      <c r="CUE44" s="2844"/>
      <c r="CUF44" s="2845"/>
      <c r="CUG44" s="2842"/>
      <c r="CUH44" s="2842"/>
      <c r="CUI44" s="2843"/>
      <c r="CUJ44" s="2843"/>
      <c r="CUK44" s="2844"/>
      <c r="CUL44" s="2845"/>
      <c r="CUM44" s="2842"/>
      <c r="CUN44" s="2842"/>
      <c r="CUO44" s="2843"/>
      <c r="CUP44" s="2843"/>
      <c r="CUQ44" s="2844"/>
      <c r="CUR44" s="2845"/>
      <c r="CUS44" s="2842"/>
      <c r="CUT44" s="2842"/>
      <c r="CUU44" s="2843"/>
      <c r="CUV44" s="2843"/>
      <c r="CUW44" s="2844"/>
      <c r="CUX44" s="2845"/>
      <c r="CUY44" s="2842"/>
      <c r="CUZ44" s="2842"/>
      <c r="CVA44" s="2843"/>
      <c r="CVB44" s="2843"/>
      <c r="CVC44" s="2844"/>
      <c r="CVD44" s="2845"/>
      <c r="CVE44" s="2842"/>
      <c r="CVF44" s="2842"/>
      <c r="CVG44" s="2843"/>
      <c r="CVH44" s="2843"/>
      <c r="CVI44" s="2844"/>
      <c r="CVJ44" s="2845"/>
      <c r="CVK44" s="2842"/>
      <c r="CVL44" s="2842"/>
      <c r="CVM44" s="2843"/>
      <c r="CVN44" s="2843"/>
      <c r="CVO44" s="2844"/>
      <c r="CVP44" s="2845"/>
      <c r="CVQ44" s="2842"/>
      <c r="CVR44" s="2842"/>
      <c r="CVS44" s="2843"/>
      <c r="CVT44" s="2843"/>
      <c r="CVU44" s="2844"/>
      <c r="CVV44" s="2845"/>
      <c r="CVW44" s="2842"/>
      <c r="CVX44" s="2842"/>
      <c r="CVY44" s="2843"/>
      <c r="CVZ44" s="2843"/>
      <c r="CWA44" s="2844"/>
      <c r="CWB44" s="2845"/>
      <c r="CWC44" s="2842"/>
      <c r="CWD44" s="2842"/>
      <c r="CWE44" s="2843"/>
      <c r="CWF44" s="2843"/>
      <c r="CWG44" s="2844"/>
      <c r="CWH44" s="2845"/>
      <c r="CWI44" s="2842"/>
      <c r="CWJ44" s="2842"/>
      <c r="CWK44" s="2843"/>
      <c r="CWL44" s="2843"/>
      <c r="CWM44" s="2844"/>
      <c r="CWN44" s="2845"/>
      <c r="CWO44" s="2842"/>
      <c r="CWP44" s="2842"/>
      <c r="CWQ44" s="2843"/>
      <c r="CWR44" s="2843"/>
      <c r="CWS44" s="2844"/>
      <c r="CWT44" s="2845"/>
      <c r="CWU44" s="2842"/>
      <c r="CWV44" s="2842"/>
      <c r="CWW44" s="2843"/>
      <c r="CWX44" s="2843"/>
      <c r="CWY44" s="2844"/>
      <c r="CWZ44" s="2845"/>
      <c r="CXA44" s="2842"/>
      <c r="CXB44" s="2842"/>
      <c r="CXC44" s="2843"/>
      <c r="CXD44" s="2843"/>
      <c r="CXE44" s="2844"/>
      <c r="CXF44" s="2845"/>
      <c r="CXG44" s="2842"/>
      <c r="CXH44" s="2842"/>
      <c r="CXI44" s="2843"/>
      <c r="CXJ44" s="2843"/>
      <c r="CXK44" s="2844"/>
      <c r="CXL44" s="2845"/>
      <c r="CXM44" s="2842"/>
      <c r="CXN44" s="2842"/>
      <c r="CXO44" s="2843"/>
      <c r="CXP44" s="2843"/>
      <c r="CXQ44" s="2844"/>
      <c r="CXR44" s="2845"/>
      <c r="CXS44" s="2842"/>
      <c r="CXT44" s="2842"/>
      <c r="CXU44" s="2843"/>
      <c r="CXV44" s="2843"/>
      <c r="CXW44" s="2844"/>
      <c r="CXX44" s="2845"/>
      <c r="CXY44" s="2842"/>
      <c r="CXZ44" s="2842"/>
      <c r="CYA44" s="2843"/>
      <c r="CYB44" s="2843"/>
      <c r="CYC44" s="2844"/>
      <c r="CYD44" s="2845"/>
      <c r="CYE44" s="2842"/>
      <c r="CYF44" s="2842"/>
      <c r="CYG44" s="2843"/>
      <c r="CYH44" s="2843"/>
      <c r="CYI44" s="2844"/>
      <c r="CYJ44" s="2845"/>
      <c r="CYK44" s="2842"/>
      <c r="CYL44" s="2842"/>
      <c r="CYM44" s="2843"/>
      <c r="CYN44" s="2843"/>
      <c r="CYO44" s="2844"/>
      <c r="CYP44" s="2845"/>
      <c r="CYQ44" s="2842"/>
      <c r="CYR44" s="2842"/>
      <c r="CYS44" s="2843"/>
      <c r="CYT44" s="2843"/>
      <c r="CYU44" s="2844"/>
      <c r="CYV44" s="2845"/>
      <c r="CYW44" s="2842"/>
      <c r="CYX44" s="2842"/>
      <c r="CYY44" s="2843"/>
      <c r="CYZ44" s="2843"/>
      <c r="CZA44" s="2844"/>
      <c r="CZB44" s="2845"/>
      <c r="CZC44" s="2842"/>
      <c r="CZD44" s="2842"/>
      <c r="CZE44" s="2843"/>
      <c r="CZF44" s="2843"/>
      <c r="CZG44" s="2844"/>
      <c r="CZH44" s="2845"/>
      <c r="CZI44" s="2842"/>
      <c r="CZJ44" s="2842"/>
      <c r="CZK44" s="2843"/>
      <c r="CZL44" s="2843"/>
      <c r="CZM44" s="2844"/>
      <c r="CZN44" s="2845"/>
      <c r="CZO44" s="2842"/>
      <c r="CZP44" s="2842"/>
      <c r="CZQ44" s="2843"/>
      <c r="CZR44" s="2843"/>
      <c r="CZS44" s="2844"/>
      <c r="CZT44" s="2845"/>
      <c r="CZU44" s="2842"/>
      <c r="CZV44" s="2842"/>
      <c r="CZW44" s="2843"/>
      <c r="CZX44" s="2843"/>
      <c r="CZY44" s="2844"/>
      <c r="CZZ44" s="2845"/>
      <c r="DAA44" s="2842"/>
      <c r="DAB44" s="2842"/>
      <c r="DAC44" s="2843"/>
      <c r="DAD44" s="2843"/>
      <c r="DAE44" s="2844"/>
      <c r="DAF44" s="2845"/>
      <c r="DAG44" s="2842"/>
      <c r="DAH44" s="2842"/>
      <c r="DAI44" s="2843"/>
      <c r="DAJ44" s="2843"/>
      <c r="DAK44" s="2844"/>
      <c r="DAL44" s="2845"/>
      <c r="DAM44" s="2842"/>
      <c r="DAN44" s="2842"/>
      <c r="DAO44" s="2843"/>
      <c r="DAP44" s="2843"/>
      <c r="DAQ44" s="2844"/>
      <c r="DAR44" s="2845"/>
      <c r="DAS44" s="2842"/>
      <c r="DAT44" s="2842"/>
      <c r="DAU44" s="2843"/>
      <c r="DAV44" s="2843"/>
      <c r="DAW44" s="2844"/>
      <c r="DAX44" s="2845"/>
      <c r="DAY44" s="2842"/>
      <c r="DAZ44" s="2842"/>
      <c r="DBA44" s="2843"/>
      <c r="DBB44" s="2843"/>
      <c r="DBC44" s="2844"/>
      <c r="DBD44" s="2845"/>
      <c r="DBE44" s="2842"/>
      <c r="DBF44" s="2842"/>
      <c r="DBG44" s="2843"/>
      <c r="DBH44" s="2843"/>
      <c r="DBI44" s="2844"/>
      <c r="DBJ44" s="2845"/>
      <c r="DBK44" s="2842"/>
      <c r="DBL44" s="2842"/>
      <c r="DBM44" s="2843"/>
      <c r="DBN44" s="2843"/>
      <c r="DBO44" s="2844"/>
      <c r="DBP44" s="2845"/>
      <c r="DBQ44" s="2842"/>
      <c r="DBR44" s="2842"/>
      <c r="DBS44" s="2843"/>
      <c r="DBT44" s="2843"/>
      <c r="DBU44" s="2844"/>
      <c r="DBV44" s="2845"/>
      <c r="DBW44" s="2842"/>
      <c r="DBX44" s="2842"/>
      <c r="DBY44" s="2843"/>
      <c r="DBZ44" s="2843"/>
      <c r="DCA44" s="2844"/>
      <c r="DCB44" s="2845"/>
      <c r="DCC44" s="2842"/>
      <c r="DCD44" s="2842"/>
      <c r="DCE44" s="2843"/>
      <c r="DCF44" s="2843"/>
      <c r="DCG44" s="2844"/>
      <c r="DCH44" s="2845"/>
      <c r="DCI44" s="2842"/>
      <c r="DCJ44" s="2842"/>
      <c r="DCK44" s="2843"/>
      <c r="DCL44" s="2843"/>
      <c r="DCM44" s="2844"/>
      <c r="DCN44" s="2845"/>
      <c r="DCO44" s="2842"/>
      <c r="DCP44" s="2842"/>
      <c r="DCQ44" s="2843"/>
      <c r="DCR44" s="2843"/>
      <c r="DCS44" s="2844"/>
      <c r="DCT44" s="2845"/>
      <c r="DCU44" s="2842"/>
      <c r="DCV44" s="2842"/>
      <c r="DCW44" s="2843"/>
      <c r="DCX44" s="2843"/>
      <c r="DCY44" s="2844"/>
      <c r="DCZ44" s="2845"/>
      <c r="DDA44" s="2842"/>
      <c r="DDB44" s="2842"/>
      <c r="DDC44" s="2843"/>
      <c r="DDD44" s="2843"/>
      <c r="DDE44" s="2844"/>
      <c r="DDF44" s="2845"/>
      <c r="DDG44" s="2842"/>
      <c r="DDH44" s="2842"/>
      <c r="DDI44" s="2843"/>
      <c r="DDJ44" s="2843"/>
      <c r="DDK44" s="2844"/>
      <c r="DDL44" s="2845"/>
      <c r="DDM44" s="2842"/>
      <c r="DDN44" s="2842"/>
      <c r="DDO44" s="2843"/>
      <c r="DDP44" s="2843"/>
      <c r="DDQ44" s="2844"/>
      <c r="DDR44" s="2845"/>
      <c r="DDS44" s="2842"/>
      <c r="DDT44" s="2842"/>
      <c r="DDU44" s="2843"/>
      <c r="DDV44" s="2843"/>
      <c r="DDW44" s="2844"/>
      <c r="DDX44" s="2845"/>
      <c r="DDY44" s="2842"/>
      <c r="DDZ44" s="2842"/>
      <c r="DEA44" s="2843"/>
      <c r="DEB44" s="2843"/>
      <c r="DEC44" s="2844"/>
      <c r="DED44" s="2845"/>
      <c r="DEE44" s="2842"/>
      <c r="DEF44" s="2842"/>
      <c r="DEG44" s="2843"/>
      <c r="DEH44" s="2843"/>
      <c r="DEI44" s="2844"/>
      <c r="DEJ44" s="2845"/>
      <c r="DEK44" s="2842"/>
      <c r="DEL44" s="2842"/>
      <c r="DEM44" s="2843"/>
      <c r="DEN44" s="2843"/>
      <c r="DEO44" s="2844"/>
      <c r="DEP44" s="2845"/>
      <c r="DEQ44" s="2842"/>
      <c r="DER44" s="2842"/>
      <c r="DES44" s="2843"/>
      <c r="DET44" s="2843"/>
      <c r="DEU44" s="2844"/>
      <c r="DEV44" s="2845"/>
      <c r="DEW44" s="2842"/>
      <c r="DEX44" s="2842"/>
      <c r="DEY44" s="2843"/>
      <c r="DEZ44" s="2843"/>
      <c r="DFA44" s="2844"/>
      <c r="DFB44" s="2845"/>
      <c r="DFC44" s="2842"/>
      <c r="DFD44" s="2842"/>
      <c r="DFE44" s="2843"/>
      <c r="DFF44" s="2843"/>
      <c r="DFG44" s="2844"/>
      <c r="DFH44" s="2845"/>
      <c r="DFI44" s="2842"/>
      <c r="DFJ44" s="2842"/>
      <c r="DFK44" s="2843"/>
      <c r="DFL44" s="2843"/>
      <c r="DFM44" s="2844"/>
      <c r="DFN44" s="2845"/>
      <c r="DFO44" s="2842"/>
      <c r="DFP44" s="2842"/>
      <c r="DFQ44" s="2843"/>
      <c r="DFR44" s="2843"/>
      <c r="DFS44" s="2844"/>
      <c r="DFT44" s="2845"/>
      <c r="DFU44" s="2842"/>
      <c r="DFV44" s="2842"/>
      <c r="DFW44" s="2843"/>
      <c r="DFX44" s="2843"/>
      <c r="DFY44" s="2844"/>
      <c r="DFZ44" s="2845"/>
      <c r="DGA44" s="2842"/>
      <c r="DGB44" s="2842"/>
      <c r="DGC44" s="2843"/>
      <c r="DGD44" s="2843"/>
      <c r="DGE44" s="2844"/>
      <c r="DGF44" s="2845"/>
      <c r="DGG44" s="2842"/>
      <c r="DGH44" s="2842"/>
      <c r="DGI44" s="2843"/>
      <c r="DGJ44" s="2843"/>
      <c r="DGK44" s="2844"/>
      <c r="DGL44" s="2845"/>
      <c r="DGM44" s="2842"/>
      <c r="DGN44" s="2842"/>
      <c r="DGO44" s="2843"/>
      <c r="DGP44" s="2843"/>
      <c r="DGQ44" s="2844"/>
      <c r="DGR44" s="2845"/>
      <c r="DGS44" s="2842"/>
      <c r="DGT44" s="2842"/>
      <c r="DGU44" s="2843"/>
      <c r="DGV44" s="2843"/>
      <c r="DGW44" s="2844"/>
      <c r="DGX44" s="2845"/>
      <c r="DGY44" s="2842"/>
      <c r="DGZ44" s="2842"/>
      <c r="DHA44" s="2843"/>
      <c r="DHB44" s="2843"/>
      <c r="DHC44" s="2844"/>
      <c r="DHD44" s="2845"/>
      <c r="DHE44" s="2842"/>
      <c r="DHF44" s="2842"/>
      <c r="DHG44" s="2843"/>
      <c r="DHH44" s="2843"/>
      <c r="DHI44" s="2844"/>
      <c r="DHJ44" s="2845"/>
      <c r="DHK44" s="2842"/>
      <c r="DHL44" s="2842"/>
      <c r="DHM44" s="2843"/>
      <c r="DHN44" s="2843"/>
      <c r="DHO44" s="2844"/>
      <c r="DHP44" s="2845"/>
      <c r="DHQ44" s="2842"/>
      <c r="DHR44" s="2842"/>
      <c r="DHS44" s="2843"/>
      <c r="DHT44" s="2843"/>
      <c r="DHU44" s="2844"/>
      <c r="DHV44" s="2845"/>
      <c r="DHW44" s="2842"/>
      <c r="DHX44" s="2842"/>
      <c r="DHY44" s="2843"/>
      <c r="DHZ44" s="2843"/>
      <c r="DIA44" s="2844"/>
      <c r="DIB44" s="2845"/>
      <c r="DIC44" s="2842"/>
      <c r="DID44" s="2842"/>
      <c r="DIE44" s="2843"/>
      <c r="DIF44" s="2843"/>
      <c r="DIG44" s="2844"/>
      <c r="DIH44" s="2845"/>
      <c r="DII44" s="2842"/>
      <c r="DIJ44" s="2842"/>
      <c r="DIK44" s="2843"/>
      <c r="DIL44" s="2843"/>
      <c r="DIM44" s="2844"/>
      <c r="DIN44" s="2845"/>
      <c r="DIO44" s="2842"/>
      <c r="DIP44" s="2842"/>
      <c r="DIQ44" s="2843"/>
      <c r="DIR44" s="2843"/>
      <c r="DIS44" s="2844"/>
      <c r="DIT44" s="2845"/>
      <c r="DIU44" s="2842"/>
      <c r="DIV44" s="2842"/>
      <c r="DIW44" s="2843"/>
      <c r="DIX44" s="2843"/>
      <c r="DIY44" s="2844"/>
      <c r="DIZ44" s="2845"/>
      <c r="DJA44" s="2842"/>
      <c r="DJB44" s="2842"/>
      <c r="DJC44" s="2843"/>
      <c r="DJD44" s="2843"/>
      <c r="DJE44" s="2844"/>
      <c r="DJF44" s="2845"/>
      <c r="DJG44" s="2842"/>
      <c r="DJH44" s="2842"/>
      <c r="DJI44" s="2843"/>
      <c r="DJJ44" s="2843"/>
      <c r="DJK44" s="2844"/>
      <c r="DJL44" s="2845"/>
      <c r="DJM44" s="2842"/>
      <c r="DJN44" s="2842"/>
      <c r="DJO44" s="2843"/>
      <c r="DJP44" s="2843"/>
      <c r="DJQ44" s="2844"/>
      <c r="DJR44" s="2845"/>
      <c r="DJS44" s="2842"/>
      <c r="DJT44" s="2842"/>
      <c r="DJU44" s="2843"/>
      <c r="DJV44" s="2843"/>
      <c r="DJW44" s="2844"/>
      <c r="DJX44" s="2845"/>
      <c r="DJY44" s="2842"/>
      <c r="DJZ44" s="2842"/>
      <c r="DKA44" s="2843"/>
      <c r="DKB44" s="2843"/>
      <c r="DKC44" s="2844"/>
      <c r="DKD44" s="2845"/>
      <c r="DKE44" s="2842"/>
      <c r="DKF44" s="2842"/>
      <c r="DKG44" s="2843"/>
      <c r="DKH44" s="2843"/>
      <c r="DKI44" s="2844"/>
      <c r="DKJ44" s="2845"/>
      <c r="DKK44" s="2842"/>
      <c r="DKL44" s="2842"/>
      <c r="DKM44" s="2843"/>
      <c r="DKN44" s="2843"/>
      <c r="DKO44" s="2844"/>
      <c r="DKP44" s="2845"/>
      <c r="DKQ44" s="2842"/>
      <c r="DKR44" s="2842"/>
      <c r="DKS44" s="2843"/>
      <c r="DKT44" s="2843"/>
      <c r="DKU44" s="2844"/>
      <c r="DKV44" s="2845"/>
      <c r="DKW44" s="2842"/>
      <c r="DKX44" s="2842"/>
      <c r="DKY44" s="2843"/>
      <c r="DKZ44" s="2843"/>
      <c r="DLA44" s="2844"/>
      <c r="DLB44" s="2845"/>
      <c r="DLC44" s="2842"/>
      <c r="DLD44" s="2842"/>
      <c r="DLE44" s="2843"/>
      <c r="DLF44" s="2843"/>
      <c r="DLG44" s="2844"/>
      <c r="DLH44" s="2845"/>
      <c r="DLI44" s="2842"/>
      <c r="DLJ44" s="2842"/>
      <c r="DLK44" s="2843"/>
      <c r="DLL44" s="2843"/>
      <c r="DLM44" s="2844"/>
      <c r="DLN44" s="2845"/>
      <c r="DLO44" s="2842"/>
      <c r="DLP44" s="2842"/>
      <c r="DLQ44" s="2843"/>
      <c r="DLR44" s="2843"/>
      <c r="DLS44" s="2844"/>
      <c r="DLT44" s="2845"/>
      <c r="DLU44" s="2842"/>
      <c r="DLV44" s="2842"/>
      <c r="DLW44" s="2843"/>
      <c r="DLX44" s="2843"/>
      <c r="DLY44" s="2844"/>
      <c r="DLZ44" s="2845"/>
      <c r="DMA44" s="2842"/>
      <c r="DMB44" s="2842"/>
      <c r="DMC44" s="2843"/>
      <c r="DMD44" s="2843"/>
      <c r="DME44" s="2844"/>
      <c r="DMF44" s="2845"/>
      <c r="DMG44" s="2842"/>
      <c r="DMH44" s="2842"/>
      <c r="DMI44" s="2843"/>
      <c r="DMJ44" s="2843"/>
      <c r="DMK44" s="2844"/>
      <c r="DML44" s="2845"/>
      <c r="DMM44" s="2842"/>
      <c r="DMN44" s="2842"/>
      <c r="DMO44" s="2843"/>
      <c r="DMP44" s="2843"/>
      <c r="DMQ44" s="2844"/>
      <c r="DMR44" s="2845"/>
      <c r="DMS44" s="2842"/>
      <c r="DMT44" s="2842"/>
      <c r="DMU44" s="2843"/>
      <c r="DMV44" s="2843"/>
      <c r="DMW44" s="2844"/>
      <c r="DMX44" s="2845"/>
      <c r="DMY44" s="2842"/>
      <c r="DMZ44" s="2842"/>
      <c r="DNA44" s="2843"/>
      <c r="DNB44" s="2843"/>
      <c r="DNC44" s="2844"/>
      <c r="DND44" s="2845"/>
      <c r="DNE44" s="2842"/>
      <c r="DNF44" s="2842"/>
      <c r="DNG44" s="2843"/>
      <c r="DNH44" s="2843"/>
      <c r="DNI44" s="2844"/>
      <c r="DNJ44" s="2845"/>
      <c r="DNK44" s="2842"/>
      <c r="DNL44" s="2842"/>
      <c r="DNM44" s="2843"/>
      <c r="DNN44" s="2843"/>
      <c r="DNO44" s="2844"/>
      <c r="DNP44" s="2845"/>
      <c r="DNQ44" s="2842"/>
      <c r="DNR44" s="2842"/>
      <c r="DNS44" s="2843"/>
      <c r="DNT44" s="2843"/>
      <c r="DNU44" s="2844"/>
      <c r="DNV44" s="2845"/>
      <c r="DNW44" s="2842"/>
      <c r="DNX44" s="2842"/>
      <c r="DNY44" s="2843"/>
      <c r="DNZ44" s="2843"/>
      <c r="DOA44" s="2844"/>
      <c r="DOB44" s="2845"/>
      <c r="DOC44" s="2842"/>
      <c r="DOD44" s="2842"/>
      <c r="DOE44" s="2843"/>
      <c r="DOF44" s="2843"/>
      <c r="DOG44" s="2844"/>
      <c r="DOH44" s="2845"/>
      <c r="DOI44" s="2842"/>
      <c r="DOJ44" s="2842"/>
      <c r="DOK44" s="2843"/>
      <c r="DOL44" s="2843"/>
      <c r="DOM44" s="2844"/>
      <c r="DON44" s="2845"/>
      <c r="DOO44" s="2842"/>
      <c r="DOP44" s="2842"/>
      <c r="DOQ44" s="2843"/>
      <c r="DOR44" s="2843"/>
      <c r="DOS44" s="2844"/>
      <c r="DOT44" s="2845"/>
      <c r="DOU44" s="2842"/>
      <c r="DOV44" s="2842"/>
      <c r="DOW44" s="2843"/>
      <c r="DOX44" s="2843"/>
      <c r="DOY44" s="2844"/>
      <c r="DOZ44" s="2845"/>
      <c r="DPA44" s="2842"/>
      <c r="DPB44" s="2842"/>
      <c r="DPC44" s="2843"/>
      <c r="DPD44" s="2843"/>
      <c r="DPE44" s="2844"/>
      <c r="DPF44" s="2845"/>
      <c r="DPG44" s="2842"/>
      <c r="DPH44" s="2842"/>
      <c r="DPI44" s="2843"/>
      <c r="DPJ44" s="2843"/>
      <c r="DPK44" s="2844"/>
      <c r="DPL44" s="2845"/>
      <c r="DPM44" s="2842"/>
      <c r="DPN44" s="2842"/>
      <c r="DPO44" s="2843"/>
      <c r="DPP44" s="2843"/>
      <c r="DPQ44" s="2844"/>
      <c r="DPR44" s="2845"/>
      <c r="DPS44" s="2842"/>
      <c r="DPT44" s="2842"/>
      <c r="DPU44" s="2843"/>
      <c r="DPV44" s="2843"/>
      <c r="DPW44" s="2844"/>
      <c r="DPX44" s="2845"/>
      <c r="DPY44" s="2842"/>
      <c r="DPZ44" s="2842"/>
      <c r="DQA44" s="2843"/>
      <c r="DQB44" s="2843"/>
      <c r="DQC44" s="2844"/>
      <c r="DQD44" s="2845"/>
      <c r="DQE44" s="2842"/>
      <c r="DQF44" s="2842"/>
      <c r="DQG44" s="2843"/>
      <c r="DQH44" s="2843"/>
      <c r="DQI44" s="2844"/>
      <c r="DQJ44" s="2845"/>
      <c r="DQK44" s="2842"/>
      <c r="DQL44" s="2842"/>
      <c r="DQM44" s="2843"/>
      <c r="DQN44" s="2843"/>
      <c r="DQO44" s="2844"/>
      <c r="DQP44" s="2845"/>
      <c r="DQQ44" s="2842"/>
      <c r="DQR44" s="2842"/>
      <c r="DQS44" s="2843"/>
      <c r="DQT44" s="2843"/>
      <c r="DQU44" s="2844"/>
      <c r="DQV44" s="2845"/>
      <c r="DQW44" s="2842"/>
      <c r="DQX44" s="2842"/>
      <c r="DQY44" s="2843"/>
      <c r="DQZ44" s="2843"/>
      <c r="DRA44" s="2844"/>
      <c r="DRB44" s="2845"/>
      <c r="DRC44" s="2842"/>
      <c r="DRD44" s="2842"/>
      <c r="DRE44" s="2843"/>
      <c r="DRF44" s="2843"/>
      <c r="DRG44" s="2844"/>
      <c r="DRH44" s="2845"/>
      <c r="DRI44" s="2842"/>
      <c r="DRJ44" s="2842"/>
      <c r="DRK44" s="2843"/>
      <c r="DRL44" s="2843"/>
      <c r="DRM44" s="2844"/>
      <c r="DRN44" s="2845"/>
      <c r="DRO44" s="2842"/>
      <c r="DRP44" s="2842"/>
      <c r="DRQ44" s="2843"/>
      <c r="DRR44" s="2843"/>
      <c r="DRS44" s="2844"/>
      <c r="DRT44" s="2845"/>
      <c r="DRU44" s="2842"/>
      <c r="DRV44" s="2842"/>
      <c r="DRW44" s="2843"/>
      <c r="DRX44" s="2843"/>
      <c r="DRY44" s="2844"/>
      <c r="DRZ44" s="2845"/>
      <c r="DSA44" s="2842"/>
      <c r="DSB44" s="2842"/>
      <c r="DSC44" s="2843"/>
      <c r="DSD44" s="2843"/>
      <c r="DSE44" s="2844"/>
      <c r="DSF44" s="2845"/>
      <c r="DSG44" s="2842"/>
      <c r="DSH44" s="2842"/>
      <c r="DSI44" s="2843"/>
      <c r="DSJ44" s="2843"/>
      <c r="DSK44" s="2844"/>
      <c r="DSL44" s="2845"/>
      <c r="DSM44" s="2842"/>
      <c r="DSN44" s="2842"/>
      <c r="DSO44" s="2843"/>
      <c r="DSP44" s="2843"/>
      <c r="DSQ44" s="2844"/>
      <c r="DSR44" s="2845"/>
      <c r="DSS44" s="2842"/>
      <c r="DST44" s="2842"/>
      <c r="DSU44" s="2843"/>
      <c r="DSV44" s="2843"/>
      <c r="DSW44" s="2844"/>
      <c r="DSX44" s="2845"/>
      <c r="DSY44" s="2842"/>
      <c r="DSZ44" s="2842"/>
      <c r="DTA44" s="2843"/>
      <c r="DTB44" s="2843"/>
      <c r="DTC44" s="2844"/>
      <c r="DTD44" s="2845"/>
      <c r="DTE44" s="2842"/>
      <c r="DTF44" s="2842"/>
      <c r="DTG44" s="2843"/>
      <c r="DTH44" s="2843"/>
      <c r="DTI44" s="2844"/>
      <c r="DTJ44" s="2845"/>
      <c r="DTK44" s="2842"/>
      <c r="DTL44" s="2842"/>
      <c r="DTM44" s="2843"/>
      <c r="DTN44" s="2843"/>
      <c r="DTO44" s="2844"/>
      <c r="DTP44" s="2845"/>
      <c r="DTQ44" s="2842"/>
      <c r="DTR44" s="2842"/>
      <c r="DTS44" s="2843"/>
      <c r="DTT44" s="2843"/>
      <c r="DTU44" s="2844"/>
      <c r="DTV44" s="2845"/>
      <c r="DTW44" s="2842"/>
      <c r="DTX44" s="2842"/>
      <c r="DTY44" s="2843"/>
      <c r="DTZ44" s="2843"/>
      <c r="DUA44" s="2844"/>
      <c r="DUB44" s="2845"/>
      <c r="DUC44" s="2842"/>
      <c r="DUD44" s="2842"/>
      <c r="DUE44" s="2843"/>
      <c r="DUF44" s="2843"/>
      <c r="DUG44" s="2844"/>
      <c r="DUH44" s="2845"/>
      <c r="DUI44" s="2842"/>
      <c r="DUJ44" s="2842"/>
      <c r="DUK44" s="2843"/>
      <c r="DUL44" s="2843"/>
      <c r="DUM44" s="2844"/>
      <c r="DUN44" s="2845"/>
      <c r="DUO44" s="2842"/>
      <c r="DUP44" s="2842"/>
      <c r="DUQ44" s="2843"/>
      <c r="DUR44" s="2843"/>
      <c r="DUS44" s="2844"/>
      <c r="DUT44" s="2845"/>
      <c r="DUU44" s="2842"/>
      <c r="DUV44" s="2842"/>
      <c r="DUW44" s="2843"/>
      <c r="DUX44" s="2843"/>
      <c r="DUY44" s="2844"/>
      <c r="DUZ44" s="2845"/>
      <c r="DVA44" s="2842"/>
      <c r="DVB44" s="2842"/>
      <c r="DVC44" s="2843"/>
      <c r="DVD44" s="2843"/>
      <c r="DVE44" s="2844"/>
      <c r="DVF44" s="2845"/>
      <c r="DVG44" s="2842"/>
      <c r="DVH44" s="2842"/>
      <c r="DVI44" s="2843"/>
      <c r="DVJ44" s="2843"/>
      <c r="DVK44" s="2844"/>
      <c r="DVL44" s="2845"/>
      <c r="DVM44" s="2842"/>
      <c r="DVN44" s="2842"/>
      <c r="DVO44" s="2843"/>
      <c r="DVP44" s="2843"/>
      <c r="DVQ44" s="2844"/>
      <c r="DVR44" s="2845"/>
      <c r="DVS44" s="2842"/>
      <c r="DVT44" s="2842"/>
      <c r="DVU44" s="2843"/>
      <c r="DVV44" s="2843"/>
      <c r="DVW44" s="2844"/>
      <c r="DVX44" s="2845"/>
      <c r="DVY44" s="2842"/>
      <c r="DVZ44" s="2842"/>
      <c r="DWA44" s="2843"/>
      <c r="DWB44" s="2843"/>
      <c r="DWC44" s="2844"/>
      <c r="DWD44" s="2845"/>
      <c r="DWE44" s="2842"/>
      <c r="DWF44" s="2842"/>
      <c r="DWG44" s="2843"/>
      <c r="DWH44" s="2843"/>
      <c r="DWI44" s="2844"/>
      <c r="DWJ44" s="2845"/>
      <c r="DWK44" s="2842"/>
      <c r="DWL44" s="2842"/>
      <c r="DWM44" s="2843"/>
      <c r="DWN44" s="2843"/>
      <c r="DWO44" s="2844"/>
      <c r="DWP44" s="2845"/>
      <c r="DWQ44" s="2842"/>
      <c r="DWR44" s="2842"/>
      <c r="DWS44" s="2843"/>
      <c r="DWT44" s="2843"/>
      <c r="DWU44" s="2844"/>
      <c r="DWV44" s="2845"/>
      <c r="DWW44" s="2842"/>
      <c r="DWX44" s="2842"/>
      <c r="DWY44" s="2843"/>
      <c r="DWZ44" s="2843"/>
      <c r="DXA44" s="2844"/>
      <c r="DXB44" s="2845"/>
      <c r="DXC44" s="2842"/>
      <c r="DXD44" s="2842"/>
      <c r="DXE44" s="2843"/>
      <c r="DXF44" s="2843"/>
      <c r="DXG44" s="2844"/>
      <c r="DXH44" s="2845"/>
      <c r="DXI44" s="2842"/>
      <c r="DXJ44" s="2842"/>
      <c r="DXK44" s="2843"/>
      <c r="DXL44" s="2843"/>
      <c r="DXM44" s="2844"/>
      <c r="DXN44" s="2845"/>
      <c r="DXO44" s="2842"/>
      <c r="DXP44" s="2842"/>
      <c r="DXQ44" s="2843"/>
      <c r="DXR44" s="2843"/>
      <c r="DXS44" s="2844"/>
      <c r="DXT44" s="2845"/>
      <c r="DXU44" s="2842"/>
      <c r="DXV44" s="2842"/>
      <c r="DXW44" s="2843"/>
      <c r="DXX44" s="2843"/>
      <c r="DXY44" s="2844"/>
      <c r="DXZ44" s="2845"/>
      <c r="DYA44" s="2842"/>
      <c r="DYB44" s="2842"/>
      <c r="DYC44" s="2843"/>
      <c r="DYD44" s="2843"/>
      <c r="DYE44" s="2844"/>
      <c r="DYF44" s="2845"/>
      <c r="DYG44" s="2842"/>
      <c r="DYH44" s="2842"/>
      <c r="DYI44" s="2843"/>
      <c r="DYJ44" s="2843"/>
      <c r="DYK44" s="2844"/>
      <c r="DYL44" s="2845"/>
      <c r="DYM44" s="2842"/>
      <c r="DYN44" s="2842"/>
      <c r="DYO44" s="2843"/>
      <c r="DYP44" s="2843"/>
      <c r="DYQ44" s="2844"/>
      <c r="DYR44" s="2845"/>
      <c r="DYS44" s="2842"/>
      <c r="DYT44" s="2842"/>
      <c r="DYU44" s="2843"/>
      <c r="DYV44" s="2843"/>
      <c r="DYW44" s="2844"/>
      <c r="DYX44" s="2845"/>
      <c r="DYY44" s="2842"/>
      <c r="DYZ44" s="2842"/>
      <c r="DZA44" s="2843"/>
      <c r="DZB44" s="2843"/>
      <c r="DZC44" s="2844"/>
      <c r="DZD44" s="2845"/>
      <c r="DZE44" s="2842"/>
      <c r="DZF44" s="2842"/>
      <c r="DZG44" s="2843"/>
      <c r="DZH44" s="2843"/>
      <c r="DZI44" s="2844"/>
      <c r="DZJ44" s="2845"/>
      <c r="DZK44" s="2842"/>
      <c r="DZL44" s="2842"/>
      <c r="DZM44" s="2843"/>
      <c r="DZN44" s="2843"/>
      <c r="DZO44" s="2844"/>
      <c r="DZP44" s="2845"/>
      <c r="DZQ44" s="2842"/>
      <c r="DZR44" s="2842"/>
      <c r="DZS44" s="2843"/>
      <c r="DZT44" s="2843"/>
      <c r="DZU44" s="2844"/>
      <c r="DZV44" s="2845"/>
      <c r="DZW44" s="2842"/>
      <c r="DZX44" s="2842"/>
      <c r="DZY44" s="2843"/>
      <c r="DZZ44" s="2843"/>
      <c r="EAA44" s="2844"/>
      <c r="EAB44" s="2845"/>
      <c r="EAC44" s="2842"/>
      <c r="EAD44" s="2842"/>
      <c r="EAE44" s="2843"/>
      <c r="EAF44" s="2843"/>
      <c r="EAG44" s="2844"/>
      <c r="EAH44" s="2845"/>
      <c r="EAI44" s="2842"/>
      <c r="EAJ44" s="2842"/>
      <c r="EAK44" s="2843"/>
      <c r="EAL44" s="2843"/>
      <c r="EAM44" s="2844"/>
      <c r="EAN44" s="2845"/>
      <c r="EAO44" s="2842"/>
      <c r="EAP44" s="2842"/>
      <c r="EAQ44" s="2843"/>
      <c r="EAR44" s="2843"/>
      <c r="EAS44" s="2844"/>
      <c r="EAT44" s="2845"/>
      <c r="EAU44" s="2842"/>
      <c r="EAV44" s="2842"/>
      <c r="EAW44" s="2843"/>
      <c r="EAX44" s="2843"/>
      <c r="EAY44" s="2844"/>
      <c r="EAZ44" s="2845"/>
      <c r="EBA44" s="2842"/>
      <c r="EBB44" s="2842"/>
      <c r="EBC44" s="2843"/>
      <c r="EBD44" s="2843"/>
      <c r="EBE44" s="2844"/>
      <c r="EBF44" s="2845"/>
      <c r="EBG44" s="2842"/>
      <c r="EBH44" s="2842"/>
      <c r="EBI44" s="2843"/>
      <c r="EBJ44" s="2843"/>
      <c r="EBK44" s="2844"/>
      <c r="EBL44" s="2845"/>
      <c r="EBM44" s="2842"/>
      <c r="EBN44" s="2842"/>
      <c r="EBO44" s="2843"/>
      <c r="EBP44" s="2843"/>
      <c r="EBQ44" s="2844"/>
      <c r="EBR44" s="2845"/>
      <c r="EBS44" s="2842"/>
      <c r="EBT44" s="2842"/>
      <c r="EBU44" s="2843"/>
      <c r="EBV44" s="2843"/>
      <c r="EBW44" s="2844"/>
      <c r="EBX44" s="2845"/>
      <c r="EBY44" s="2842"/>
      <c r="EBZ44" s="2842"/>
      <c r="ECA44" s="2843"/>
      <c r="ECB44" s="2843"/>
      <c r="ECC44" s="2844"/>
      <c r="ECD44" s="2845"/>
      <c r="ECE44" s="2842"/>
      <c r="ECF44" s="2842"/>
      <c r="ECG44" s="2843"/>
      <c r="ECH44" s="2843"/>
      <c r="ECI44" s="2844"/>
      <c r="ECJ44" s="2845"/>
      <c r="ECK44" s="2842"/>
      <c r="ECL44" s="2842"/>
      <c r="ECM44" s="2843"/>
      <c r="ECN44" s="2843"/>
      <c r="ECO44" s="2844"/>
      <c r="ECP44" s="2845"/>
      <c r="ECQ44" s="2842"/>
      <c r="ECR44" s="2842"/>
      <c r="ECS44" s="2843"/>
      <c r="ECT44" s="2843"/>
      <c r="ECU44" s="2844"/>
      <c r="ECV44" s="2845"/>
      <c r="ECW44" s="2842"/>
      <c r="ECX44" s="2842"/>
      <c r="ECY44" s="2843"/>
      <c r="ECZ44" s="2843"/>
      <c r="EDA44" s="2844"/>
      <c r="EDB44" s="2845"/>
      <c r="EDC44" s="2842"/>
      <c r="EDD44" s="2842"/>
      <c r="EDE44" s="2843"/>
      <c r="EDF44" s="2843"/>
      <c r="EDG44" s="2844"/>
      <c r="EDH44" s="2845"/>
      <c r="EDI44" s="2842"/>
      <c r="EDJ44" s="2842"/>
      <c r="EDK44" s="2843"/>
      <c r="EDL44" s="2843"/>
      <c r="EDM44" s="2844"/>
      <c r="EDN44" s="2845"/>
      <c r="EDO44" s="2842"/>
      <c r="EDP44" s="2842"/>
      <c r="EDQ44" s="2843"/>
      <c r="EDR44" s="2843"/>
      <c r="EDS44" s="2844"/>
      <c r="EDT44" s="2845"/>
      <c r="EDU44" s="2842"/>
      <c r="EDV44" s="2842"/>
      <c r="EDW44" s="2843"/>
      <c r="EDX44" s="2843"/>
      <c r="EDY44" s="2844"/>
      <c r="EDZ44" s="2845"/>
      <c r="EEA44" s="2842"/>
      <c r="EEB44" s="2842"/>
      <c r="EEC44" s="2843"/>
      <c r="EED44" s="2843"/>
      <c r="EEE44" s="2844"/>
      <c r="EEF44" s="2845"/>
      <c r="EEG44" s="2842"/>
      <c r="EEH44" s="2842"/>
      <c r="EEI44" s="2843"/>
      <c r="EEJ44" s="2843"/>
      <c r="EEK44" s="2844"/>
      <c r="EEL44" s="2845"/>
      <c r="EEM44" s="2842"/>
      <c r="EEN44" s="2842"/>
      <c r="EEO44" s="2843"/>
      <c r="EEP44" s="2843"/>
      <c r="EEQ44" s="2844"/>
      <c r="EER44" s="2845"/>
      <c r="EES44" s="2842"/>
      <c r="EET44" s="2842"/>
      <c r="EEU44" s="2843"/>
      <c r="EEV44" s="2843"/>
      <c r="EEW44" s="2844"/>
      <c r="EEX44" s="2845"/>
      <c r="EEY44" s="2842"/>
      <c r="EEZ44" s="2842"/>
      <c r="EFA44" s="2843"/>
      <c r="EFB44" s="2843"/>
      <c r="EFC44" s="2844"/>
      <c r="EFD44" s="2845"/>
      <c r="EFE44" s="2842"/>
      <c r="EFF44" s="2842"/>
      <c r="EFG44" s="2843"/>
      <c r="EFH44" s="2843"/>
      <c r="EFI44" s="2844"/>
      <c r="EFJ44" s="2845"/>
      <c r="EFK44" s="2842"/>
      <c r="EFL44" s="2842"/>
      <c r="EFM44" s="2843"/>
      <c r="EFN44" s="2843"/>
      <c r="EFO44" s="2844"/>
      <c r="EFP44" s="2845"/>
      <c r="EFQ44" s="2842"/>
      <c r="EFR44" s="2842"/>
      <c r="EFS44" s="2843"/>
      <c r="EFT44" s="2843"/>
      <c r="EFU44" s="2844"/>
      <c r="EFV44" s="2845"/>
      <c r="EFW44" s="2842"/>
      <c r="EFX44" s="2842"/>
      <c r="EFY44" s="2843"/>
      <c r="EFZ44" s="2843"/>
      <c r="EGA44" s="2844"/>
      <c r="EGB44" s="2845"/>
      <c r="EGC44" s="2842"/>
      <c r="EGD44" s="2842"/>
      <c r="EGE44" s="2843"/>
      <c r="EGF44" s="2843"/>
      <c r="EGG44" s="2844"/>
      <c r="EGH44" s="2845"/>
      <c r="EGI44" s="2842"/>
      <c r="EGJ44" s="2842"/>
      <c r="EGK44" s="2843"/>
      <c r="EGL44" s="2843"/>
      <c r="EGM44" s="2844"/>
      <c r="EGN44" s="2845"/>
      <c r="EGO44" s="2842"/>
      <c r="EGP44" s="2842"/>
      <c r="EGQ44" s="2843"/>
      <c r="EGR44" s="2843"/>
      <c r="EGS44" s="2844"/>
      <c r="EGT44" s="2845"/>
      <c r="EGU44" s="2842"/>
      <c r="EGV44" s="2842"/>
      <c r="EGW44" s="2843"/>
      <c r="EGX44" s="2843"/>
      <c r="EGY44" s="2844"/>
      <c r="EGZ44" s="2845"/>
      <c r="EHA44" s="2842"/>
      <c r="EHB44" s="2842"/>
      <c r="EHC44" s="2843"/>
      <c r="EHD44" s="2843"/>
      <c r="EHE44" s="2844"/>
      <c r="EHF44" s="2845"/>
      <c r="EHG44" s="2842"/>
      <c r="EHH44" s="2842"/>
      <c r="EHI44" s="2843"/>
      <c r="EHJ44" s="2843"/>
      <c r="EHK44" s="2844"/>
      <c r="EHL44" s="2845"/>
      <c r="EHM44" s="2842"/>
      <c r="EHN44" s="2842"/>
      <c r="EHO44" s="2843"/>
      <c r="EHP44" s="2843"/>
      <c r="EHQ44" s="2844"/>
      <c r="EHR44" s="2845"/>
      <c r="EHS44" s="2842"/>
      <c r="EHT44" s="2842"/>
      <c r="EHU44" s="2843"/>
      <c r="EHV44" s="2843"/>
      <c r="EHW44" s="2844"/>
      <c r="EHX44" s="2845"/>
      <c r="EHY44" s="2842"/>
      <c r="EHZ44" s="2842"/>
      <c r="EIA44" s="2843"/>
      <c r="EIB44" s="2843"/>
      <c r="EIC44" s="2844"/>
      <c r="EID44" s="2845"/>
      <c r="EIE44" s="2842"/>
      <c r="EIF44" s="2842"/>
      <c r="EIG44" s="2843"/>
      <c r="EIH44" s="2843"/>
      <c r="EII44" s="2844"/>
      <c r="EIJ44" s="2845"/>
      <c r="EIK44" s="2842"/>
      <c r="EIL44" s="2842"/>
      <c r="EIM44" s="2843"/>
      <c r="EIN44" s="2843"/>
      <c r="EIO44" s="2844"/>
      <c r="EIP44" s="2845"/>
      <c r="EIQ44" s="2842"/>
      <c r="EIR44" s="2842"/>
      <c r="EIS44" s="2843"/>
      <c r="EIT44" s="2843"/>
      <c r="EIU44" s="2844"/>
      <c r="EIV44" s="2845"/>
      <c r="EIW44" s="2842"/>
      <c r="EIX44" s="2842"/>
      <c r="EIY44" s="2843"/>
      <c r="EIZ44" s="2843"/>
      <c r="EJA44" s="2844"/>
      <c r="EJB44" s="2845"/>
      <c r="EJC44" s="2842"/>
      <c r="EJD44" s="2842"/>
      <c r="EJE44" s="2843"/>
      <c r="EJF44" s="2843"/>
      <c r="EJG44" s="2844"/>
      <c r="EJH44" s="2845"/>
      <c r="EJI44" s="2842"/>
      <c r="EJJ44" s="2842"/>
      <c r="EJK44" s="2843"/>
      <c r="EJL44" s="2843"/>
      <c r="EJM44" s="2844"/>
      <c r="EJN44" s="2845"/>
      <c r="EJO44" s="2842"/>
      <c r="EJP44" s="2842"/>
      <c r="EJQ44" s="2843"/>
      <c r="EJR44" s="2843"/>
      <c r="EJS44" s="2844"/>
      <c r="EJT44" s="2845"/>
      <c r="EJU44" s="2842"/>
      <c r="EJV44" s="2842"/>
      <c r="EJW44" s="2843"/>
      <c r="EJX44" s="2843"/>
      <c r="EJY44" s="2844"/>
      <c r="EJZ44" s="2845"/>
      <c r="EKA44" s="2842"/>
      <c r="EKB44" s="2842"/>
      <c r="EKC44" s="2843"/>
      <c r="EKD44" s="2843"/>
      <c r="EKE44" s="2844"/>
      <c r="EKF44" s="2845"/>
      <c r="EKG44" s="2842"/>
      <c r="EKH44" s="2842"/>
      <c r="EKI44" s="2843"/>
      <c r="EKJ44" s="2843"/>
      <c r="EKK44" s="2844"/>
      <c r="EKL44" s="2845"/>
      <c r="EKM44" s="2842"/>
      <c r="EKN44" s="2842"/>
      <c r="EKO44" s="2843"/>
      <c r="EKP44" s="2843"/>
      <c r="EKQ44" s="2844"/>
      <c r="EKR44" s="2845"/>
      <c r="EKS44" s="2842"/>
      <c r="EKT44" s="2842"/>
      <c r="EKU44" s="2843"/>
      <c r="EKV44" s="2843"/>
      <c r="EKW44" s="2844"/>
      <c r="EKX44" s="2845"/>
      <c r="EKY44" s="2842"/>
      <c r="EKZ44" s="2842"/>
      <c r="ELA44" s="2843"/>
      <c r="ELB44" s="2843"/>
      <c r="ELC44" s="2844"/>
      <c r="ELD44" s="2845"/>
      <c r="ELE44" s="2842"/>
      <c r="ELF44" s="2842"/>
      <c r="ELG44" s="2843"/>
      <c r="ELH44" s="2843"/>
      <c r="ELI44" s="2844"/>
      <c r="ELJ44" s="2845"/>
      <c r="ELK44" s="2842"/>
      <c r="ELL44" s="2842"/>
      <c r="ELM44" s="2843"/>
      <c r="ELN44" s="2843"/>
      <c r="ELO44" s="2844"/>
      <c r="ELP44" s="2845"/>
      <c r="ELQ44" s="2842"/>
      <c r="ELR44" s="2842"/>
      <c r="ELS44" s="2843"/>
      <c r="ELT44" s="2843"/>
      <c r="ELU44" s="2844"/>
      <c r="ELV44" s="2845"/>
      <c r="ELW44" s="2842"/>
      <c r="ELX44" s="2842"/>
      <c r="ELY44" s="2843"/>
      <c r="ELZ44" s="2843"/>
      <c r="EMA44" s="2844"/>
      <c r="EMB44" s="2845"/>
      <c r="EMC44" s="2842"/>
      <c r="EMD44" s="2842"/>
      <c r="EME44" s="2843"/>
      <c r="EMF44" s="2843"/>
      <c r="EMG44" s="2844"/>
      <c r="EMH44" s="2845"/>
      <c r="EMI44" s="2842"/>
      <c r="EMJ44" s="2842"/>
      <c r="EMK44" s="2843"/>
      <c r="EML44" s="2843"/>
      <c r="EMM44" s="2844"/>
      <c r="EMN44" s="2845"/>
      <c r="EMO44" s="2842"/>
      <c r="EMP44" s="2842"/>
      <c r="EMQ44" s="2843"/>
      <c r="EMR44" s="2843"/>
      <c r="EMS44" s="2844"/>
      <c r="EMT44" s="2845"/>
      <c r="EMU44" s="2842"/>
      <c r="EMV44" s="2842"/>
      <c r="EMW44" s="2843"/>
      <c r="EMX44" s="2843"/>
      <c r="EMY44" s="2844"/>
      <c r="EMZ44" s="2845"/>
      <c r="ENA44" s="2842"/>
      <c r="ENB44" s="2842"/>
      <c r="ENC44" s="2843"/>
      <c r="END44" s="2843"/>
      <c r="ENE44" s="2844"/>
      <c r="ENF44" s="2845"/>
      <c r="ENG44" s="2842"/>
      <c r="ENH44" s="2842"/>
      <c r="ENI44" s="2843"/>
      <c r="ENJ44" s="2843"/>
      <c r="ENK44" s="2844"/>
      <c r="ENL44" s="2845"/>
      <c r="ENM44" s="2842"/>
      <c r="ENN44" s="2842"/>
      <c r="ENO44" s="2843"/>
      <c r="ENP44" s="2843"/>
      <c r="ENQ44" s="2844"/>
      <c r="ENR44" s="2845"/>
      <c r="ENS44" s="2842"/>
      <c r="ENT44" s="2842"/>
      <c r="ENU44" s="2843"/>
      <c r="ENV44" s="2843"/>
      <c r="ENW44" s="2844"/>
      <c r="ENX44" s="2845"/>
      <c r="ENY44" s="2842"/>
      <c r="ENZ44" s="2842"/>
      <c r="EOA44" s="2843"/>
      <c r="EOB44" s="2843"/>
      <c r="EOC44" s="2844"/>
      <c r="EOD44" s="2845"/>
      <c r="EOE44" s="2842"/>
      <c r="EOF44" s="2842"/>
      <c r="EOG44" s="2843"/>
      <c r="EOH44" s="2843"/>
      <c r="EOI44" s="2844"/>
      <c r="EOJ44" s="2845"/>
      <c r="EOK44" s="2842"/>
      <c r="EOL44" s="2842"/>
      <c r="EOM44" s="2843"/>
      <c r="EON44" s="2843"/>
      <c r="EOO44" s="2844"/>
      <c r="EOP44" s="2845"/>
      <c r="EOQ44" s="2842"/>
      <c r="EOR44" s="2842"/>
      <c r="EOS44" s="2843"/>
      <c r="EOT44" s="2843"/>
      <c r="EOU44" s="2844"/>
      <c r="EOV44" s="2845"/>
      <c r="EOW44" s="2842"/>
      <c r="EOX44" s="2842"/>
      <c r="EOY44" s="2843"/>
      <c r="EOZ44" s="2843"/>
      <c r="EPA44" s="2844"/>
      <c r="EPB44" s="2845"/>
      <c r="EPC44" s="2842"/>
      <c r="EPD44" s="2842"/>
      <c r="EPE44" s="2843"/>
      <c r="EPF44" s="2843"/>
      <c r="EPG44" s="2844"/>
      <c r="EPH44" s="2845"/>
      <c r="EPI44" s="2842"/>
      <c r="EPJ44" s="2842"/>
      <c r="EPK44" s="2843"/>
      <c r="EPL44" s="2843"/>
      <c r="EPM44" s="2844"/>
      <c r="EPN44" s="2845"/>
      <c r="EPO44" s="2842"/>
      <c r="EPP44" s="2842"/>
      <c r="EPQ44" s="2843"/>
      <c r="EPR44" s="2843"/>
      <c r="EPS44" s="2844"/>
      <c r="EPT44" s="2845"/>
      <c r="EPU44" s="2842"/>
      <c r="EPV44" s="2842"/>
      <c r="EPW44" s="2843"/>
      <c r="EPX44" s="2843"/>
      <c r="EPY44" s="2844"/>
      <c r="EPZ44" s="2845"/>
      <c r="EQA44" s="2842"/>
      <c r="EQB44" s="2842"/>
      <c r="EQC44" s="2843"/>
      <c r="EQD44" s="2843"/>
      <c r="EQE44" s="2844"/>
      <c r="EQF44" s="2845"/>
      <c r="EQG44" s="2842"/>
      <c r="EQH44" s="2842"/>
      <c r="EQI44" s="2843"/>
      <c r="EQJ44" s="2843"/>
      <c r="EQK44" s="2844"/>
      <c r="EQL44" s="2845"/>
      <c r="EQM44" s="2842"/>
      <c r="EQN44" s="2842"/>
      <c r="EQO44" s="2843"/>
      <c r="EQP44" s="2843"/>
      <c r="EQQ44" s="2844"/>
      <c r="EQR44" s="2845"/>
      <c r="EQS44" s="2842"/>
      <c r="EQT44" s="2842"/>
      <c r="EQU44" s="2843"/>
      <c r="EQV44" s="2843"/>
      <c r="EQW44" s="2844"/>
      <c r="EQX44" s="2845"/>
      <c r="EQY44" s="2842"/>
      <c r="EQZ44" s="2842"/>
      <c r="ERA44" s="2843"/>
      <c r="ERB44" s="2843"/>
      <c r="ERC44" s="2844"/>
      <c r="ERD44" s="2845"/>
      <c r="ERE44" s="2842"/>
      <c r="ERF44" s="2842"/>
      <c r="ERG44" s="2843"/>
      <c r="ERH44" s="2843"/>
      <c r="ERI44" s="2844"/>
      <c r="ERJ44" s="2845"/>
      <c r="ERK44" s="2842"/>
      <c r="ERL44" s="2842"/>
      <c r="ERM44" s="2843"/>
      <c r="ERN44" s="2843"/>
      <c r="ERO44" s="2844"/>
      <c r="ERP44" s="2845"/>
      <c r="ERQ44" s="2842"/>
      <c r="ERR44" s="2842"/>
      <c r="ERS44" s="2843"/>
      <c r="ERT44" s="2843"/>
      <c r="ERU44" s="2844"/>
      <c r="ERV44" s="2845"/>
      <c r="ERW44" s="2842"/>
      <c r="ERX44" s="2842"/>
      <c r="ERY44" s="2843"/>
      <c r="ERZ44" s="2843"/>
      <c r="ESA44" s="2844"/>
      <c r="ESB44" s="2845"/>
      <c r="ESC44" s="2842"/>
      <c r="ESD44" s="2842"/>
      <c r="ESE44" s="2843"/>
      <c r="ESF44" s="2843"/>
      <c r="ESG44" s="2844"/>
      <c r="ESH44" s="2845"/>
      <c r="ESI44" s="2842"/>
      <c r="ESJ44" s="2842"/>
      <c r="ESK44" s="2843"/>
      <c r="ESL44" s="2843"/>
      <c r="ESM44" s="2844"/>
      <c r="ESN44" s="2845"/>
      <c r="ESO44" s="2842"/>
      <c r="ESP44" s="2842"/>
      <c r="ESQ44" s="2843"/>
      <c r="ESR44" s="2843"/>
      <c r="ESS44" s="2844"/>
      <c r="EST44" s="2845"/>
      <c r="ESU44" s="2842"/>
      <c r="ESV44" s="2842"/>
      <c r="ESW44" s="2843"/>
      <c r="ESX44" s="2843"/>
      <c r="ESY44" s="2844"/>
      <c r="ESZ44" s="2845"/>
      <c r="ETA44" s="2842"/>
      <c r="ETB44" s="2842"/>
      <c r="ETC44" s="2843"/>
      <c r="ETD44" s="2843"/>
      <c r="ETE44" s="2844"/>
      <c r="ETF44" s="2845"/>
      <c r="ETG44" s="2842"/>
      <c r="ETH44" s="2842"/>
      <c r="ETI44" s="2843"/>
      <c r="ETJ44" s="2843"/>
      <c r="ETK44" s="2844"/>
      <c r="ETL44" s="2845"/>
      <c r="ETM44" s="2842"/>
      <c r="ETN44" s="2842"/>
      <c r="ETO44" s="2843"/>
      <c r="ETP44" s="2843"/>
      <c r="ETQ44" s="2844"/>
      <c r="ETR44" s="2845"/>
      <c r="ETS44" s="2842"/>
      <c r="ETT44" s="2842"/>
      <c r="ETU44" s="2843"/>
      <c r="ETV44" s="2843"/>
      <c r="ETW44" s="2844"/>
      <c r="ETX44" s="2845"/>
      <c r="ETY44" s="2842"/>
      <c r="ETZ44" s="2842"/>
      <c r="EUA44" s="2843"/>
      <c r="EUB44" s="2843"/>
      <c r="EUC44" s="2844"/>
      <c r="EUD44" s="2845"/>
      <c r="EUE44" s="2842"/>
      <c r="EUF44" s="2842"/>
      <c r="EUG44" s="2843"/>
      <c r="EUH44" s="2843"/>
      <c r="EUI44" s="2844"/>
      <c r="EUJ44" s="2845"/>
      <c r="EUK44" s="2842"/>
      <c r="EUL44" s="2842"/>
      <c r="EUM44" s="2843"/>
      <c r="EUN44" s="2843"/>
      <c r="EUO44" s="2844"/>
      <c r="EUP44" s="2845"/>
      <c r="EUQ44" s="2842"/>
      <c r="EUR44" s="2842"/>
      <c r="EUS44" s="2843"/>
      <c r="EUT44" s="2843"/>
      <c r="EUU44" s="2844"/>
      <c r="EUV44" s="2845"/>
      <c r="EUW44" s="2842"/>
      <c r="EUX44" s="2842"/>
      <c r="EUY44" s="2843"/>
      <c r="EUZ44" s="2843"/>
      <c r="EVA44" s="2844"/>
      <c r="EVB44" s="2845"/>
      <c r="EVC44" s="2842"/>
      <c r="EVD44" s="2842"/>
      <c r="EVE44" s="2843"/>
      <c r="EVF44" s="2843"/>
      <c r="EVG44" s="2844"/>
      <c r="EVH44" s="2845"/>
      <c r="EVI44" s="2842"/>
      <c r="EVJ44" s="2842"/>
      <c r="EVK44" s="2843"/>
      <c r="EVL44" s="2843"/>
      <c r="EVM44" s="2844"/>
      <c r="EVN44" s="2845"/>
      <c r="EVO44" s="2842"/>
      <c r="EVP44" s="2842"/>
      <c r="EVQ44" s="2843"/>
      <c r="EVR44" s="2843"/>
      <c r="EVS44" s="2844"/>
      <c r="EVT44" s="2845"/>
      <c r="EVU44" s="2842"/>
      <c r="EVV44" s="2842"/>
      <c r="EVW44" s="2843"/>
      <c r="EVX44" s="2843"/>
      <c r="EVY44" s="2844"/>
      <c r="EVZ44" s="2845"/>
      <c r="EWA44" s="2842"/>
      <c r="EWB44" s="2842"/>
      <c r="EWC44" s="2843"/>
      <c r="EWD44" s="2843"/>
      <c r="EWE44" s="2844"/>
      <c r="EWF44" s="2845"/>
      <c r="EWG44" s="2842"/>
      <c r="EWH44" s="2842"/>
      <c r="EWI44" s="2843"/>
      <c r="EWJ44" s="2843"/>
      <c r="EWK44" s="2844"/>
      <c r="EWL44" s="2845"/>
      <c r="EWM44" s="2842"/>
      <c r="EWN44" s="2842"/>
      <c r="EWO44" s="2843"/>
      <c r="EWP44" s="2843"/>
      <c r="EWQ44" s="2844"/>
      <c r="EWR44" s="2845"/>
      <c r="EWS44" s="2842"/>
      <c r="EWT44" s="2842"/>
      <c r="EWU44" s="2843"/>
      <c r="EWV44" s="2843"/>
      <c r="EWW44" s="2844"/>
      <c r="EWX44" s="2845"/>
      <c r="EWY44" s="2842"/>
      <c r="EWZ44" s="2842"/>
      <c r="EXA44" s="2843"/>
      <c r="EXB44" s="2843"/>
      <c r="EXC44" s="2844"/>
      <c r="EXD44" s="2845"/>
      <c r="EXE44" s="2842"/>
      <c r="EXF44" s="2842"/>
      <c r="EXG44" s="2843"/>
      <c r="EXH44" s="2843"/>
      <c r="EXI44" s="2844"/>
      <c r="EXJ44" s="2845"/>
      <c r="EXK44" s="2842"/>
      <c r="EXL44" s="2842"/>
      <c r="EXM44" s="2843"/>
      <c r="EXN44" s="2843"/>
      <c r="EXO44" s="2844"/>
      <c r="EXP44" s="2845"/>
      <c r="EXQ44" s="2842"/>
      <c r="EXR44" s="2842"/>
      <c r="EXS44" s="2843"/>
      <c r="EXT44" s="2843"/>
      <c r="EXU44" s="2844"/>
      <c r="EXV44" s="2845"/>
      <c r="EXW44" s="2842"/>
      <c r="EXX44" s="2842"/>
      <c r="EXY44" s="2843"/>
      <c r="EXZ44" s="2843"/>
      <c r="EYA44" s="2844"/>
      <c r="EYB44" s="2845"/>
      <c r="EYC44" s="2842"/>
      <c r="EYD44" s="2842"/>
      <c r="EYE44" s="2843"/>
      <c r="EYF44" s="2843"/>
      <c r="EYG44" s="2844"/>
      <c r="EYH44" s="2845"/>
      <c r="EYI44" s="2842"/>
      <c r="EYJ44" s="2842"/>
      <c r="EYK44" s="2843"/>
      <c r="EYL44" s="2843"/>
      <c r="EYM44" s="2844"/>
      <c r="EYN44" s="2845"/>
      <c r="EYO44" s="2842"/>
      <c r="EYP44" s="2842"/>
      <c r="EYQ44" s="2843"/>
      <c r="EYR44" s="2843"/>
      <c r="EYS44" s="2844"/>
      <c r="EYT44" s="2845"/>
      <c r="EYU44" s="2842"/>
      <c r="EYV44" s="2842"/>
      <c r="EYW44" s="2843"/>
      <c r="EYX44" s="2843"/>
      <c r="EYY44" s="2844"/>
      <c r="EYZ44" s="2845"/>
      <c r="EZA44" s="2842"/>
      <c r="EZB44" s="2842"/>
      <c r="EZC44" s="2843"/>
      <c r="EZD44" s="2843"/>
      <c r="EZE44" s="2844"/>
      <c r="EZF44" s="2845"/>
      <c r="EZG44" s="2842"/>
      <c r="EZH44" s="2842"/>
      <c r="EZI44" s="2843"/>
      <c r="EZJ44" s="2843"/>
      <c r="EZK44" s="2844"/>
      <c r="EZL44" s="2845"/>
      <c r="EZM44" s="2842"/>
      <c r="EZN44" s="2842"/>
      <c r="EZO44" s="2843"/>
      <c r="EZP44" s="2843"/>
      <c r="EZQ44" s="2844"/>
      <c r="EZR44" s="2845"/>
      <c r="EZS44" s="2842"/>
      <c r="EZT44" s="2842"/>
      <c r="EZU44" s="2843"/>
      <c r="EZV44" s="2843"/>
      <c r="EZW44" s="2844"/>
      <c r="EZX44" s="2845"/>
      <c r="EZY44" s="2842"/>
      <c r="EZZ44" s="2842"/>
      <c r="FAA44" s="2843"/>
      <c r="FAB44" s="2843"/>
      <c r="FAC44" s="2844"/>
      <c r="FAD44" s="2845"/>
      <c r="FAE44" s="2842"/>
      <c r="FAF44" s="2842"/>
      <c r="FAG44" s="2843"/>
      <c r="FAH44" s="2843"/>
      <c r="FAI44" s="2844"/>
      <c r="FAJ44" s="2845"/>
      <c r="FAK44" s="2842"/>
      <c r="FAL44" s="2842"/>
      <c r="FAM44" s="2843"/>
      <c r="FAN44" s="2843"/>
      <c r="FAO44" s="2844"/>
      <c r="FAP44" s="2845"/>
      <c r="FAQ44" s="2842"/>
      <c r="FAR44" s="2842"/>
      <c r="FAS44" s="2843"/>
      <c r="FAT44" s="2843"/>
      <c r="FAU44" s="2844"/>
      <c r="FAV44" s="2845"/>
      <c r="FAW44" s="2842"/>
      <c r="FAX44" s="2842"/>
      <c r="FAY44" s="2843"/>
      <c r="FAZ44" s="2843"/>
      <c r="FBA44" s="2844"/>
      <c r="FBB44" s="2845"/>
      <c r="FBC44" s="2842"/>
      <c r="FBD44" s="2842"/>
      <c r="FBE44" s="2843"/>
      <c r="FBF44" s="2843"/>
      <c r="FBG44" s="2844"/>
      <c r="FBH44" s="2845"/>
      <c r="FBI44" s="2842"/>
      <c r="FBJ44" s="2842"/>
      <c r="FBK44" s="2843"/>
      <c r="FBL44" s="2843"/>
      <c r="FBM44" s="2844"/>
      <c r="FBN44" s="2845"/>
      <c r="FBO44" s="2842"/>
      <c r="FBP44" s="2842"/>
      <c r="FBQ44" s="2843"/>
      <c r="FBR44" s="2843"/>
      <c r="FBS44" s="2844"/>
      <c r="FBT44" s="2845"/>
      <c r="FBU44" s="2842"/>
      <c r="FBV44" s="2842"/>
      <c r="FBW44" s="2843"/>
      <c r="FBX44" s="2843"/>
      <c r="FBY44" s="2844"/>
      <c r="FBZ44" s="2845"/>
      <c r="FCA44" s="2842"/>
      <c r="FCB44" s="2842"/>
      <c r="FCC44" s="2843"/>
      <c r="FCD44" s="2843"/>
      <c r="FCE44" s="2844"/>
      <c r="FCF44" s="2845"/>
      <c r="FCG44" s="2842"/>
      <c r="FCH44" s="2842"/>
      <c r="FCI44" s="2843"/>
      <c r="FCJ44" s="2843"/>
      <c r="FCK44" s="2844"/>
      <c r="FCL44" s="2845"/>
      <c r="FCM44" s="2842"/>
      <c r="FCN44" s="2842"/>
      <c r="FCO44" s="2843"/>
      <c r="FCP44" s="2843"/>
      <c r="FCQ44" s="2844"/>
      <c r="FCR44" s="2845"/>
      <c r="FCS44" s="2842"/>
      <c r="FCT44" s="2842"/>
      <c r="FCU44" s="2843"/>
      <c r="FCV44" s="2843"/>
      <c r="FCW44" s="2844"/>
      <c r="FCX44" s="2845"/>
      <c r="FCY44" s="2842"/>
      <c r="FCZ44" s="2842"/>
      <c r="FDA44" s="2843"/>
      <c r="FDB44" s="2843"/>
      <c r="FDC44" s="2844"/>
      <c r="FDD44" s="2845"/>
      <c r="FDE44" s="2842"/>
      <c r="FDF44" s="2842"/>
      <c r="FDG44" s="2843"/>
      <c r="FDH44" s="2843"/>
      <c r="FDI44" s="2844"/>
      <c r="FDJ44" s="2845"/>
      <c r="FDK44" s="2842"/>
      <c r="FDL44" s="2842"/>
      <c r="FDM44" s="2843"/>
      <c r="FDN44" s="2843"/>
      <c r="FDO44" s="2844"/>
      <c r="FDP44" s="2845"/>
      <c r="FDQ44" s="2842"/>
      <c r="FDR44" s="2842"/>
      <c r="FDS44" s="2843"/>
      <c r="FDT44" s="2843"/>
      <c r="FDU44" s="2844"/>
      <c r="FDV44" s="2845"/>
      <c r="FDW44" s="2842"/>
      <c r="FDX44" s="2842"/>
      <c r="FDY44" s="2843"/>
      <c r="FDZ44" s="2843"/>
      <c r="FEA44" s="2844"/>
      <c r="FEB44" s="2845"/>
      <c r="FEC44" s="2842"/>
      <c r="FED44" s="2842"/>
      <c r="FEE44" s="2843"/>
      <c r="FEF44" s="2843"/>
      <c r="FEG44" s="2844"/>
      <c r="FEH44" s="2845"/>
      <c r="FEI44" s="2842"/>
      <c r="FEJ44" s="2842"/>
      <c r="FEK44" s="2843"/>
      <c r="FEL44" s="2843"/>
      <c r="FEM44" s="2844"/>
      <c r="FEN44" s="2845"/>
      <c r="FEO44" s="2842"/>
      <c r="FEP44" s="2842"/>
      <c r="FEQ44" s="2843"/>
      <c r="FER44" s="2843"/>
      <c r="FES44" s="2844"/>
      <c r="FET44" s="2845"/>
      <c r="FEU44" s="2842"/>
      <c r="FEV44" s="2842"/>
      <c r="FEW44" s="2843"/>
      <c r="FEX44" s="2843"/>
      <c r="FEY44" s="2844"/>
      <c r="FEZ44" s="2845"/>
      <c r="FFA44" s="2842"/>
      <c r="FFB44" s="2842"/>
      <c r="FFC44" s="2843"/>
      <c r="FFD44" s="2843"/>
      <c r="FFE44" s="2844"/>
      <c r="FFF44" s="2845"/>
      <c r="FFG44" s="2842"/>
      <c r="FFH44" s="2842"/>
      <c r="FFI44" s="2843"/>
      <c r="FFJ44" s="2843"/>
      <c r="FFK44" s="2844"/>
      <c r="FFL44" s="2845"/>
      <c r="FFM44" s="2842"/>
      <c r="FFN44" s="2842"/>
      <c r="FFO44" s="2843"/>
      <c r="FFP44" s="2843"/>
      <c r="FFQ44" s="2844"/>
      <c r="FFR44" s="2845"/>
      <c r="FFS44" s="2842"/>
      <c r="FFT44" s="2842"/>
      <c r="FFU44" s="2843"/>
      <c r="FFV44" s="2843"/>
      <c r="FFW44" s="2844"/>
      <c r="FFX44" s="2845"/>
      <c r="FFY44" s="2842"/>
      <c r="FFZ44" s="2842"/>
      <c r="FGA44" s="2843"/>
      <c r="FGB44" s="2843"/>
      <c r="FGC44" s="2844"/>
      <c r="FGD44" s="2845"/>
      <c r="FGE44" s="2842"/>
      <c r="FGF44" s="2842"/>
      <c r="FGG44" s="2843"/>
      <c r="FGH44" s="2843"/>
      <c r="FGI44" s="2844"/>
      <c r="FGJ44" s="2845"/>
      <c r="FGK44" s="2842"/>
      <c r="FGL44" s="2842"/>
      <c r="FGM44" s="2843"/>
      <c r="FGN44" s="2843"/>
      <c r="FGO44" s="2844"/>
      <c r="FGP44" s="2845"/>
      <c r="FGQ44" s="2842"/>
      <c r="FGR44" s="2842"/>
      <c r="FGS44" s="2843"/>
      <c r="FGT44" s="2843"/>
      <c r="FGU44" s="2844"/>
      <c r="FGV44" s="2845"/>
      <c r="FGW44" s="2842"/>
      <c r="FGX44" s="2842"/>
      <c r="FGY44" s="2843"/>
      <c r="FGZ44" s="2843"/>
      <c r="FHA44" s="2844"/>
      <c r="FHB44" s="2845"/>
      <c r="FHC44" s="2842"/>
      <c r="FHD44" s="2842"/>
      <c r="FHE44" s="2843"/>
      <c r="FHF44" s="2843"/>
      <c r="FHG44" s="2844"/>
      <c r="FHH44" s="2845"/>
      <c r="FHI44" s="2842"/>
      <c r="FHJ44" s="2842"/>
      <c r="FHK44" s="2843"/>
      <c r="FHL44" s="2843"/>
      <c r="FHM44" s="2844"/>
      <c r="FHN44" s="2845"/>
      <c r="FHO44" s="2842"/>
      <c r="FHP44" s="2842"/>
      <c r="FHQ44" s="2843"/>
      <c r="FHR44" s="2843"/>
      <c r="FHS44" s="2844"/>
      <c r="FHT44" s="2845"/>
      <c r="FHU44" s="2842"/>
      <c r="FHV44" s="2842"/>
      <c r="FHW44" s="2843"/>
      <c r="FHX44" s="2843"/>
      <c r="FHY44" s="2844"/>
      <c r="FHZ44" s="2845"/>
      <c r="FIA44" s="2842"/>
      <c r="FIB44" s="2842"/>
      <c r="FIC44" s="2843"/>
      <c r="FID44" s="2843"/>
      <c r="FIE44" s="2844"/>
      <c r="FIF44" s="2845"/>
      <c r="FIG44" s="2842"/>
      <c r="FIH44" s="2842"/>
      <c r="FII44" s="2843"/>
      <c r="FIJ44" s="2843"/>
      <c r="FIK44" s="2844"/>
      <c r="FIL44" s="2845"/>
      <c r="FIM44" s="2842"/>
      <c r="FIN44" s="2842"/>
      <c r="FIO44" s="2843"/>
      <c r="FIP44" s="2843"/>
      <c r="FIQ44" s="2844"/>
      <c r="FIR44" s="2845"/>
      <c r="FIS44" s="2842"/>
      <c r="FIT44" s="2842"/>
      <c r="FIU44" s="2843"/>
      <c r="FIV44" s="2843"/>
      <c r="FIW44" s="2844"/>
      <c r="FIX44" s="2845"/>
      <c r="FIY44" s="2842"/>
      <c r="FIZ44" s="2842"/>
      <c r="FJA44" s="2843"/>
      <c r="FJB44" s="2843"/>
      <c r="FJC44" s="2844"/>
      <c r="FJD44" s="2845"/>
      <c r="FJE44" s="2842"/>
      <c r="FJF44" s="2842"/>
      <c r="FJG44" s="2843"/>
      <c r="FJH44" s="2843"/>
      <c r="FJI44" s="2844"/>
      <c r="FJJ44" s="2845"/>
      <c r="FJK44" s="2842"/>
      <c r="FJL44" s="2842"/>
      <c r="FJM44" s="2843"/>
      <c r="FJN44" s="2843"/>
      <c r="FJO44" s="2844"/>
      <c r="FJP44" s="2845"/>
      <c r="FJQ44" s="2842"/>
      <c r="FJR44" s="2842"/>
      <c r="FJS44" s="2843"/>
      <c r="FJT44" s="2843"/>
      <c r="FJU44" s="2844"/>
      <c r="FJV44" s="2845"/>
      <c r="FJW44" s="2842"/>
      <c r="FJX44" s="2842"/>
      <c r="FJY44" s="2843"/>
      <c r="FJZ44" s="2843"/>
      <c r="FKA44" s="2844"/>
      <c r="FKB44" s="2845"/>
      <c r="FKC44" s="2842"/>
      <c r="FKD44" s="2842"/>
      <c r="FKE44" s="2843"/>
      <c r="FKF44" s="2843"/>
      <c r="FKG44" s="2844"/>
      <c r="FKH44" s="2845"/>
      <c r="FKI44" s="2842"/>
      <c r="FKJ44" s="2842"/>
      <c r="FKK44" s="2843"/>
      <c r="FKL44" s="2843"/>
      <c r="FKM44" s="2844"/>
      <c r="FKN44" s="2845"/>
      <c r="FKO44" s="2842"/>
      <c r="FKP44" s="2842"/>
      <c r="FKQ44" s="2843"/>
      <c r="FKR44" s="2843"/>
      <c r="FKS44" s="2844"/>
      <c r="FKT44" s="2845"/>
      <c r="FKU44" s="2842"/>
      <c r="FKV44" s="2842"/>
      <c r="FKW44" s="2843"/>
      <c r="FKX44" s="2843"/>
      <c r="FKY44" s="2844"/>
      <c r="FKZ44" s="2845"/>
      <c r="FLA44" s="2842"/>
      <c r="FLB44" s="2842"/>
      <c r="FLC44" s="2843"/>
      <c r="FLD44" s="2843"/>
      <c r="FLE44" s="2844"/>
      <c r="FLF44" s="2845"/>
      <c r="FLG44" s="2842"/>
      <c r="FLH44" s="2842"/>
      <c r="FLI44" s="2843"/>
      <c r="FLJ44" s="2843"/>
      <c r="FLK44" s="2844"/>
      <c r="FLL44" s="2845"/>
      <c r="FLM44" s="2842"/>
      <c r="FLN44" s="2842"/>
      <c r="FLO44" s="2843"/>
      <c r="FLP44" s="2843"/>
      <c r="FLQ44" s="2844"/>
      <c r="FLR44" s="2845"/>
      <c r="FLS44" s="2842"/>
      <c r="FLT44" s="2842"/>
      <c r="FLU44" s="2843"/>
      <c r="FLV44" s="2843"/>
      <c r="FLW44" s="2844"/>
      <c r="FLX44" s="2845"/>
      <c r="FLY44" s="2842"/>
      <c r="FLZ44" s="2842"/>
      <c r="FMA44" s="2843"/>
      <c r="FMB44" s="2843"/>
      <c r="FMC44" s="2844"/>
      <c r="FMD44" s="2845"/>
      <c r="FME44" s="2842"/>
      <c r="FMF44" s="2842"/>
      <c r="FMG44" s="2843"/>
      <c r="FMH44" s="2843"/>
      <c r="FMI44" s="2844"/>
      <c r="FMJ44" s="2845"/>
      <c r="FMK44" s="2842"/>
      <c r="FML44" s="2842"/>
      <c r="FMM44" s="2843"/>
      <c r="FMN44" s="2843"/>
      <c r="FMO44" s="2844"/>
      <c r="FMP44" s="2845"/>
      <c r="FMQ44" s="2842"/>
      <c r="FMR44" s="2842"/>
      <c r="FMS44" s="2843"/>
      <c r="FMT44" s="2843"/>
      <c r="FMU44" s="2844"/>
      <c r="FMV44" s="2845"/>
      <c r="FMW44" s="2842"/>
      <c r="FMX44" s="2842"/>
      <c r="FMY44" s="2843"/>
      <c r="FMZ44" s="2843"/>
      <c r="FNA44" s="2844"/>
      <c r="FNB44" s="2845"/>
      <c r="FNC44" s="2842"/>
      <c r="FND44" s="2842"/>
      <c r="FNE44" s="2843"/>
      <c r="FNF44" s="2843"/>
      <c r="FNG44" s="2844"/>
      <c r="FNH44" s="2845"/>
      <c r="FNI44" s="2842"/>
      <c r="FNJ44" s="2842"/>
      <c r="FNK44" s="2843"/>
      <c r="FNL44" s="2843"/>
      <c r="FNM44" s="2844"/>
      <c r="FNN44" s="2845"/>
      <c r="FNO44" s="2842"/>
      <c r="FNP44" s="2842"/>
      <c r="FNQ44" s="2843"/>
      <c r="FNR44" s="2843"/>
      <c r="FNS44" s="2844"/>
      <c r="FNT44" s="2845"/>
      <c r="FNU44" s="2842"/>
      <c r="FNV44" s="2842"/>
      <c r="FNW44" s="2843"/>
      <c r="FNX44" s="2843"/>
      <c r="FNY44" s="2844"/>
      <c r="FNZ44" s="2845"/>
      <c r="FOA44" s="2842"/>
      <c r="FOB44" s="2842"/>
      <c r="FOC44" s="2843"/>
      <c r="FOD44" s="2843"/>
      <c r="FOE44" s="2844"/>
      <c r="FOF44" s="2845"/>
      <c r="FOG44" s="2842"/>
      <c r="FOH44" s="2842"/>
      <c r="FOI44" s="2843"/>
      <c r="FOJ44" s="2843"/>
      <c r="FOK44" s="2844"/>
      <c r="FOL44" s="2845"/>
      <c r="FOM44" s="2842"/>
      <c r="FON44" s="2842"/>
      <c r="FOO44" s="2843"/>
      <c r="FOP44" s="2843"/>
      <c r="FOQ44" s="2844"/>
      <c r="FOR44" s="2845"/>
      <c r="FOS44" s="2842"/>
      <c r="FOT44" s="2842"/>
      <c r="FOU44" s="2843"/>
      <c r="FOV44" s="2843"/>
      <c r="FOW44" s="2844"/>
      <c r="FOX44" s="2845"/>
      <c r="FOY44" s="2842"/>
      <c r="FOZ44" s="2842"/>
      <c r="FPA44" s="2843"/>
      <c r="FPB44" s="2843"/>
      <c r="FPC44" s="2844"/>
      <c r="FPD44" s="2845"/>
      <c r="FPE44" s="2842"/>
      <c r="FPF44" s="2842"/>
      <c r="FPG44" s="2843"/>
      <c r="FPH44" s="2843"/>
      <c r="FPI44" s="2844"/>
      <c r="FPJ44" s="2845"/>
      <c r="FPK44" s="2842"/>
      <c r="FPL44" s="2842"/>
      <c r="FPM44" s="2843"/>
      <c r="FPN44" s="2843"/>
      <c r="FPO44" s="2844"/>
      <c r="FPP44" s="2845"/>
      <c r="FPQ44" s="2842"/>
      <c r="FPR44" s="2842"/>
      <c r="FPS44" s="2843"/>
      <c r="FPT44" s="2843"/>
      <c r="FPU44" s="2844"/>
      <c r="FPV44" s="2845"/>
      <c r="FPW44" s="2842"/>
      <c r="FPX44" s="2842"/>
      <c r="FPY44" s="2843"/>
      <c r="FPZ44" s="2843"/>
      <c r="FQA44" s="2844"/>
      <c r="FQB44" s="2845"/>
      <c r="FQC44" s="2842"/>
      <c r="FQD44" s="2842"/>
      <c r="FQE44" s="2843"/>
      <c r="FQF44" s="2843"/>
      <c r="FQG44" s="2844"/>
      <c r="FQH44" s="2845"/>
      <c r="FQI44" s="2842"/>
      <c r="FQJ44" s="2842"/>
      <c r="FQK44" s="2843"/>
      <c r="FQL44" s="2843"/>
      <c r="FQM44" s="2844"/>
      <c r="FQN44" s="2845"/>
      <c r="FQO44" s="2842"/>
      <c r="FQP44" s="2842"/>
      <c r="FQQ44" s="2843"/>
      <c r="FQR44" s="2843"/>
      <c r="FQS44" s="2844"/>
      <c r="FQT44" s="2845"/>
      <c r="FQU44" s="2842"/>
      <c r="FQV44" s="2842"/>
      <c r="FQW44" s="2843"/>
      <c r="FQX44" s="2843"/>
      <c r="FQY44" s="2844"/>
      <c r="FQZ44" s="2845"/>
      <c r="FRA44" s="2842"/>
      <c r="FRB44" s="2842"/>
      <c r="FRC44" s="2843"/>
      <c r="FRD44" s="2843"/>
      <c r="FRE44" s="2844"/>
      <c r="FRF44" s="2845"/>
      <c r="FRG44" s="2842"/>
      <c r="FRH44" s="2842"/>
      <c r="FRI44" s="2843"/>
      <c r="FRJ44" s="2843"/>
      <c r="FRK44" s="2844"/>
      <c r="FRL44" s="2845"/>
      <c r="FRM44" s="2842"/>
      <c r="FRN44" s="2842"/>
      <c r="FRO44" s="2843"/>
      <c r="FRP44" s="2843"/>
      <c r="FRQ44" s="2844"/>
      <c r="FRR44" s="2845"/>
      <c r="FRS44" s="2842"/>
      <c r="FRT44" s="2842"/>
      <c r="FRU44" s="2843"/>
      <c r="FRV44" s="2843"/>
      <c r="FRW44" s="2844"/>
      <c r="FRX44" s="2845"/>
      <c r="FRY44" s="2842"/>
      <c r="FRZ44" s="2842"/>
      <c r="FSA44" s="2843"/>
      <c r="FSB44" s="2843"/>
      <c r="FSC44" s="2844"/>
      <c r="FSD44" s="2845"/>
      <c r="FSE44" s="2842"/>
      <c r="FSF44" s="2842"/>
      <c r="FSG44" s="2843"/>
      <c r="FSH44" s="2843"/>
      <c r="FSI44" s="2844"/>
      <c r="FSJ44" s="2845"/>
      <c r="FSK44" s="2842"/>
      <c r="FSL44" s="2842"/>
      <c r="FSM44" s="2843"/>
      <c r="FSN44" s="2843"/>
      <c r="FSO44" s="2844"/>
      <c r="FSP44" s="2845"/>
      <c r="FSQ44" s="2842"/>
      <c r="FSR44" s="2842"/>
      <c r="FSS44" s="2843"/>
      <c r="FST44" s="2843"/>
      <c r="FSU44" s="2844"/>
      <c r="FSV44" s="2845"/>
      <c r="FSW44" s="2842"/>
      <c r="FSX44" s="2842"/>
      <c r="FSY44" s="2843"/>
      <c r="FSZ44" s="2843"/>
      <c r="FTA44" s="2844"/>
      <c r="FTB44" s="2845"/>
      <c r="FTC44" s="2842"/>
      <c r="FTD44" s="2842"/>
      <c r="FTE44" s="2843"/>
      <c r="FTF44" s="2843"/>
      <c r="FTG44" s="2844"/>
      <c r="FTH44" s="2845"/>
      <c r="FTI44" s="2842"/>
      <c r="FTJ44" s="2842"/>
      <c r="FTK44" s="2843"/>
      <c r="FTL44" s="2843"/>
      <c r="FTM44" s="2844"/>
      <c r="FTN44" s="2845"/>
      <c r="FTO44" s="2842"/>
      <c r="FTP44" s="2842"/>
      <c r="FTQ44" s="2843"/>
      <c r="FTR44" s="2843"/>
      <c r="FTS44" s="2844"/>
      <c r="FTT44" s="2845"/>
      <c r="FTU44" s="2842"/>
      <c r="FTV44" s="2842"/>
      <c r="FTW44" s="2843"/>
      <c r="FTX44" s="2843"/>
      <c r="FTY44" s="2844"/>
      <c r="FTZ44" s="2845"/>
      <c r="FUA44" s="2842"/>
      <c r="FUB44" s="2842"/>
      <c r="FUC44" s="2843"/>
      <c r="FUD44" s="2843"/>
      <c r="FUE44" s="2844"/>
      <c r="FUF44" s="2845"/>
      <c r="FUG44" s="2842"/>
      <c r="FUH44" s="2842"/>
      <c r="FUI44" s="2843"/>
      <c r="FUJ44" s="2843"/>
      <c r="FUK44" s="2844"/>
      <c r="FUL44" s="2845"/>
      <c r="FUM44" s="2842"/>
      <c r="FUN44" s="2842"/>
      <c r="FUO44" s="2843"/>
      <c r="FUP44" s="2843"/>
      <c r="FUQ44" s="2844"/>
      <c r="FUR44" s="2845"/>
      <c r="FUS44" s="2842"/>
      <c r="FUT44" s="2842"/>
      <c r="FUU44" s="2843"/>
      <c r="FUV44" s="2843"/>
      <c r="FUW44" s="2844"/>
      <c r="FUX44" s="2845"/>
      <c r="FUY44" s="2842"/>
      <c r="FUZ44" s="2842"/>
      <c r="FVA44" s="2843"/>
      <c r="FVB44" s="2843"/>
      <c r="FVC44" s="2844"/>
      <c r="FVD44" s="2845"/>
      <c r="FVE44" s="2842"/>
      <c r="FVF44" s="2842"/>
      <c r="FVG44" s="2843"/>
      <c r="FVH44" s="2843"/>
      <c r="FVI44" s="2844"/>
      <c r="FVJ44" s="2845"/>
      <c r="FVK44" s="2842"/>
      <c r="FVL44" s="2842"/>
      <c r="FVM44" s="2843"/>
      <c r="FVN44" s="2843"/>
      <c r="FVO44" s="2844"/>
      <c r="FVP44" s="2845"/>
      <c r="FVQ44" s="2842"/>
      <c r="FVR44" s="2842"/>
      <c r="FVS44" s="2843"/>
      <c r="FVT44" s="2843"/>
      <c r="FVU44" s="2844"/>
      <c r="FVV44" s="2845"/>
      <c r="FVW44" s="2842"/>
      <c r="FVX44" s="2842"/>
      <c r="FVY44" s="2843"/>
      <c r="FVZ44" s="2843"/>
      <c r="FWA44" s="2844"/>
      <c r="FWB44" s="2845"/>
      <c r="FWC44" s="2842"/>
      <c r="FWD44" s="2842"/>
      <c r="FWE44" s="2843"/>
      <c r="FWF44" s="2843"/>
      <c r="FWG44" s="2844"/>
      <c r="FWH44" s="2845"/>
      <c r="FWI44" s="2842"/>
      <c r="FWJ44" s="2842"/>
      <c r="FWK44" s="2843"/>
      <c r="FWL44" s="2843"/>
      <c r="FWM44" s="2844"/>
      <c r="FWN44" s="2845"/>
      <c r="FWO44" s="2842"/>
      <c r="FWP44" s="2842"/>
      <c r="FWQ44" s="2843"/>
      <c r="FWR44" s="2843"/>
      <c r="FWS44" s="2844"/>
      <c r="FWT44" s="2845"/>
      <c r="FWU44" s="2842"/>
      <c r="FWV44" s="2842"/>
      <c r="FWW44" s="2843"/>
      <c r="FWX44" s="2843"/>
      <c r="FWY44" s="2844"/>
      <c r="FWZ44" s="2845"/>
      <c r="FXA44" s="2842"/>
      <c r="FXB44" s="2842"/>
      <c r="FXC44" s="2843"/>
      <c r="FXD44" s="2843"/>
      <c r="FXE44" s="2844"/>
      <c r="FXF44" s="2845"/>
      <c r="FXG44" s="2842"/>
      <c r="FXH44" s="2842"/>
      <c r="FXI44" s="2843"/>
      <c r="FXJ44" s="2843"/>
      <c r="FXK44" s="2844"/>
      <c r="FXL44" s="2845"/>
      <c r="FXM44" s="2842"/>
      <c r="FXN44" s="2842"/>
      <c r="FXO44" s="2843"/>
      <c r="FXP44" s="2843"/>
      <c r="FXQ44" s="2844"/>
      <c r="FXR44" s="2845"/>
      <c r="FXS44" s="2842"/>
      <c r="FXT44" s="2842"/>
      <c r="FXU44" s="2843"/>
      <c r="FXV44" s="2843"/>
      <c r="FXW44" s="2844"/>
      <c r="FXX44" s="2845"/>
      <c r="FXY44" s="2842"/>
      <c r="FXZ44" s="2842"/>
      <c r="FYA44" s="2843"/>
      <c r="FYB44" s="2843"/>
      <c r="FYC44" s="2844"/>
      <c r="FYD44" s="2845"/>
      <c r="FYE44" s="2842"/>
      <c r="FYF44" s="2842"/>
      <c r="FYG44" s="2843"/>
      <c r="FYH44" s="2843"/>
      <c r="FYI44" s="2844"/>
      <c r="FYJ44" s="2845"/>
      <c r="FYK44" s="2842"/>
      <c r="FYL44" s="2842"/>
      <c r="FYM44" s="2843"/>
      <c r="FYN44" s="2843"/>
      <c r="FYO44" s="2844"/>
      <c r="FYP44" s="2845"/>
      <c r="FYQ44" s="2842"/>
      <c r="FYR44" s="2842"/>
      <c r="FYS44" s="2843"/>
      <c r="FYT44" s="2843"/>
      <c r="FYU44" s="2844"/>
      <c r="FYV44" s="2845"/>
      <c r="FYW44" s="2842"/>
      <c r="FYX44" s="2842"/>
      <c r="FYY44" s="2843"/>
      <c r="FYZ44" s="2843"/>
      <c r="FZA44" s="2844"/>
      <c r="FZB44" s="2845"/>
      <c r="FZC44" s="2842"/>
      <c r="FZD44" s="2842"/>
      <c r="FZE44" s="2843"/>
      <c r="FZF44" s="2843"/>
      <c r="FZG44" s="2844"/>
      <c r="FZH44" s="2845"/>
      <c r="FZI44" s="2842"/>
      <c r="FZJ44" s="2842"/>
      <c r="FZK44" s="2843"/>
      <c r="FZL44" s="2843"/>
      <c r="FZM44" s="2844"/>
      <c r="FZN44" s="2845"/>
      <c r="FZO44" s="2842"/>
      <c r="FZP44" s="2842"/>
      <c r="FZQ44" s="2843"/>
      <c r="FZR44" s="2843"/>
      <c r="FZS44" s="2844"/>
      <c r="FZT44" s="2845"/>
      <c r="FZU44" s="2842"/>
      <c r="FZV44" s="2842"/>
      <c r="FZW44" s="2843"/>
      <c r="FZX44" s="2843"/>
      <c r="FZY44" s="2844"/>
      <c r="FZZ44" s="2845"/>
      <c r="GAA44" s="2842"/>
      <c r="GAB44" s="2842"/>
      <c r="GAC44" s="2843"/>
      <c r="GAD44" s="2843"/>
      <c r="GAE44" s="2844"/>
      <c r="GAF44" s="2845"/>
      <c r="GAG44" s="2842"/>
      <c r="GAH44" s="2842"/>
      <c r="GAI44" s="2843"/>
      <c r="GAJ44" s="2843"/>
      <c r="GAK44" s="2844"/>
      <c r="GAL44" s="2845"/>
      <c r="GAM44" s="2842"/>
      <c r="GAN44" s="2842"/>
      <c r="GAO44" s="2843"/>
      <c r="GAP44" s="2843"/>
      <c r="GAQ44" s="2844"/>
      <c r="GAR44" s="2845"/>
      <c r="GAS44" s="2842"/>
      <c r="GAT44" s="2842"/>
      <c r="GAU44" s="2843"/>
      <c r="GAV44" s="2843"/>
      <c r="GAW44" s="2844"/>
      <c r="GAX44" s="2845"/>
      <c r="GAY44" s="2842"/>
      <c r="GAZ44" s="2842"/>
      <c r="GBA44" s="2843"/>
      <c r="GBB44" s="2843"/>
      <c r="GBC44" s="2844"/>
      <c r="GBD44" s="2845"/>
      <c r="GBE44" s="2842"/>
      <c r="GBF44" s="2842"/>
      <c r="GBG44" s="2843"/>
      <c r="GBH44" s="2843"/>
      <c r="GBI44" s="2844"/>
      <c r="GBJ44" s="2845"/>
      <c r="GBK44" s="2842"/>
      <c r="GBL44" s="2842"/>
      <c r="GBM44" s="2843"/>
      <c r="GBN44" s="2843"/>
      <c r="GBO44" s="2844"/>
      <c r="GBP44" s="2845"/>
      <c r="GBQ44" s="2842"/>
      <c r="GBR44" s="2842"/>
      <c r="GBS44" s="2843"/>
      <c r="GBT44" s="2843"/>
      <c r="GBU44" s="2844"/>
      <c r="GBV44" s="2845"/>
      <c r="GBW44" s="2842"/>
      <c r="GBX44" s="2842"/>
      <c r="GBY44" s="2843"/>
      <c r="GBZ44" s="2843"/>
      <c r="GCA44" s="2844"/>
      <c r="GCB44" s="2845"/>
      <c r="GCC44" s="2842"/>
      <c r="GCD44" s="2842"/>
      <c r="GCE44" s="2843"/>
      <c r="GCF44" s="2843"/>
      <c r="GCG44" s="2844"/>
      <c r="GCH44" s="2845"/>
      <c r="GCI44" s="2842"/>
      <c r="GCJ44" s="2842"/>
      <c r="GCK44" s="2843"/>
      <c r="GCL44" s="2843"/>
      <c r="GCM44" s="2844"/>
      <c r="GCN44" s="2845"/>
      <c r="GCO44" s="2842"/>
      <c r="GCP44" s="2842"/>
      <c r="GCQ44" s="2843"/>
      <c r="GCR44" s="2843"/>
      <c r="GCS44" s="2844"/>
      <c r="GCT44" s="2845"/>
      <c r="GCU44" s="2842"/>
      <c r="GCV44" s="2842"/>
      <c r="GCW44" s="2843"/>
      <c r="GCX44" s="2843"/>
      <c r="GCY44" s="2844"/>
      <c r="GCZ44" s="2845"/>
      <c r="GDA44" s="2842"/>
      <c r="GDB44" s="2842"/>
      <c r="GDC44" s="2843"/>
      <c r="GDD44" s="2843"/>
      <c r="GDE44" s="2844"/>
      <c r="GDF44" s="2845"/>
      <c r="GDG44" s="2842"/>
      <c r="GDH44" s="2842"/>
      <c r="GDI44" s="2843"/>
      <c r="GDJ44" s="2843"/>
      <c r="GDK44" s="2844"/>
      <c r="GDL44" s="2845"/>
      <c r="GDM44" s="2842"/>
      <c r="GDN44" s="2842"/>
      <c r="GDO44" s="2843"/>
      <c r="GDP44" s="2843"/>
      <c r="GDQ44" s="2844"/>
      <c r="GDR44" s="2845"/>
      <c r="GDS44" s="2842"/>
      <c r="GDT44" s="2842"/>
      <c r="GDU44" s="2843"/>
      <c r="GDV44" s="2843"/>
      <c r="GDW44" s="2844"/>
      <c r="GDX44" s="2845"/>
      <c r="GDY44" s="2842"/>
      <c r="GDZ44" s="2842"/>
      <c r="GEA44" s="2843"/>
      <c r="GEB44" s="2843"/>
      <c r="GEC44" s="2844"/>
      <c r="GED44" s="2845"/>
      <c r="GEE44" s="2842"/>
      <c r="GEF44" s="2842"/>
      <c r="GEG44" s="2843"/>
      <c r="GEH44" s="2843"/>
      <c r="GEI44" s="2844"/>
      <c r="GEJ44" s="2845"/>
      <c r="GEK44" s="2842"/>
      <c r="GEL44" s="2842"/>
      <c r="GEM44" s="2843"/>
      <c r="GEN44" s="2843"/>
      <c r="GEO44" s="2844"/>
      <c r="GEP44" s="2845"/>
      <c r="GEQ44" s="2842"/>
      <c r="GER44" s="2842"/>
      <c r="GES44" s="2843"/>
      <c r="GET44" s="2843"/>
      <c r="GEU44" s="2844"/>
      <c r="GEV44" s="2845"/>
      <c r="GEW44" s="2842"/>
      <c r="GEX44" s="2842"/>
      <c r="GEY44" s="2843"/>
      <c r="GEZ44" s="2843"/>
      <c r="GFA44" s="2844"/>
      <c r="GFB44" s="2845"/>
      <c r="GFC44" s="2842"/>
      <c r="GFD44" s="2842"/>
      <c r="GFE44" s="2843"/>
      <c r="GFF44" s="2843"/>
      <c r="GFG44" s="2844"/>
      <c r="GFH44" s="2845"/>
      <c r="GFI44" s="2842"/>
      <c r="GFJ44" s="2842"/>
      <c r="GFK44" s="2843"/>
      <c r="GFL44" s="2843"/>
      <c r="GFM44" s="2844"/>
      <c r="GFN44" s="2845"/>
      <c r="GFO44" s="2842"/>
      <c r="GFP44" s="2842"/>
      <c r="GFQ44" s="2843"/>
      <c r="GFR44" s="2843"/>
      <c r="GFS44" s="2844"/>
      <c r="GFT44" s="2845"/>
      <c r="GFU44" s="2842"/>
      <c r="GFV44" s="2842"/>
      <c r="GFW44" s="2843"/>
      <c r="GFX44" s="2843"/>
      <c r="GFY44" s="2844"/>
      <c r="GFZ44" s="2845"/>
      <c r="GGA44" s="2842"/>
      <c r="GGB44" s="2842"/>
      <c r="GGC44" s="2843"/>
      <c r="GGD44" s="2843"/>
      <c r="GGE44" s="2844"/>
      <c r="GGF44" s="2845"/>
      <c r="GGG44" s="2842"/>
      <c r="GGH44" s="2842"/>
      <c r="GGI44" s="2843"/>
      <c r="GGJ44" s="2843"/>
      <c r="GGK44" s="2844"/>
      <c r="GGL44" s="2845"/>
      <c r="GGM44" s="2842"/>
      <c r="GGN44" s="2842"/>
      <c r="GGO44" s="2843"/>
      <c r="GGP44" s="2843"/>
      <c r="GGQ44" s="2844"/>
      <c r="GGR44" s="2845"/>
      <c r="GGS44" s="2842"/>
      <c r="GGT44" s="2842"/>
      <c r="GGU44" s="2843"/>
      <c r="GGV44" s="2843"/>
      <c r="GGW44" s="2844"/>
      <c r="GGX44" s="2845"/>
      <c r="GGY44" s="2842"/>
      <c r="GGZ44" s="2842"/>
      <c r="GHA44" s="2843"/>
      <c r="GHB44" s="2843"/>
      <c r="GHC44" s="2844"/>
      <c r="GHD44" s="2845"/>
      <c r="GHE44" s="2842"/>
      <c r="GHF44" s="2842"/>
      <c r="GHG44" s="2843"/>
      <c r="GHH44" s="2843"/>
      <c r="GHI44" s="2844"/>
      <c r="GHJ44" s="2845"/>
      <c r="GHK44" s="2842"/>
      <c r="GHL44" s="2842"/>
      <c r="GHM44" s="2843"/>
      <c r="GHN44" s="2843"/>
      <c r="GHO44" s="2844"/>
      <c r="GHP44" s="2845"/>
      <c r="GHQ44" s="2842"/>
      <c r="GHR44" s="2842"/>
      <c r="GHS44" s="2843"/>
      <c r="GHT44" s="2843"/>
      <c r="GHU44" s="2844"/>
      <c r="GHV44" s="2845"/>
      <c r="GHW44" s="2842"/>
      <c r="GHX44" s="2842"/>
      <c r="GHY44" s="2843"/>
      <c r="GHZ44" s="2843"/>
      <c r="GIA44" s="2844"/>
      <c r="GIB44" s="2845"/>
      <c r="GIC44" s="2842"/>
      <c r="GID44" s="2842"/>
      <c r="GIE44" s="2843"/>
      <c r="GIF44" s="2843"/>
      <c r="GIG44" s="2844"/>
      <c r="GIH44" s="2845"/>
      <c r="GII44" s="2842"/>
      <c r="GIJ44" s="2842"/>
      <c r="GIK44" s="2843"/>
      <c r="GIL44" s="2843"/>
      <c r="GIM44" s="2844"/>
      <c r="GIN44" s="2845"/>
      <c r="GIO44" s="2842"/>
      <c r="GIP44" s="2842"/>
      <c r="GIQ44" s="2843"/>
      <c r="GIR44" s="2843"/>
      <c r="GIS44" s="2844"/>
      <c r="GIT44" s="2845"/>
      <c r="GIU44" s="2842"/>
      <c r="GIV44" s="2842"/>
      <c r="GIW44" s="2843"/>
      <c r="GIX44" s="2843"/>
      <c r="GIY44" s="2844"/>
      <c r="GIZ44" s="2845"/>
      <c r="GJA44" s="2842"/>
      <c r="GJB44" s="2842"/>
      <c r="GJC44" s="2843"/>
      <c r="GJD44" s="2843"/>
      <c r="GJE44" s="2844"/>
      <c r="GJF44" s="2845"/>
      <c r="GJG44" s="2842"/>
      <c r="GJH44" s="2842"/>
      <c r="GJI44" s="2843"/>
      <c r="GJJ44" s="2843"/>
      <c r="GJK44" s="2844"/>
      <c r="GJL44" s="2845"/>
      <c r="GJM44" s="2842"/>
      <c r="GJN44" s="2842"/>
      <c r="GJO44" s="2843"/>
      <c r="GJP44" s="2843"/>
      <c r="GJQ44" s="2844"/>
      <c r="GJR44" s="2845"/>
      <c r="GJS44" s="2842"/>
      <c r="GJT44" s="2842"/>
      <c r="GJU44" s="2843"/>
      <c r="GJV44" s="2843"/>
      <c r="GJW44" s="2844"/>
      <c r="GJX44" s="2845"/>
      <c r="GJY44" s="2842"/>
      <c r="GJZ44" s="2842"/>
      <c r="GKA44" s="2843"/>
      <c r="GKB44" s="2843"/>
      <c r="GKC44" s="2844"/>
      <c r="GKD44" s="2845"/>
      <c r="GKE44" s="2842"/>
      <c r="GKF44" s="2842"/>
      <c r="GKG44" s="2843"/>
      <c r="GKH44" s="2843"/>
      <c r="GKI44" s="2844"/>
      <c r="GKJ44" s="2845"/>
      <c r="GKK44" s="2842"/>
      <c r="GKL44" s="2842"/>
      <c r="GKM44" s="2843"/>
      <c r="GKN44" s="2843"/>
      <c r="GKO44" s="2844"/>
      <c r="GKP44" s="2845"/>
      <c r="GKQ44" s="2842"/>
      <c r="GKR44" s="2842"/>
      <c r="GKS44" s="2843"/>
      <c r="GKT44" s="2843"/>
      <c r="GKU44" s="2844"/>
      <c r="GKV44" s="2845"/>
      <c r="GKW44" s="2842"/>
      <c r="GKX44" s="2842"/>
      <c r="GKY44" s="2843"/>
      <c r="GKZ44" s="2843"/>
      <c r="GLA44" s="2844"/>
      <c r="GLB44" s="2845"/>
      <c r="GLC44" s="2842"/>
      <c r="GLD44" s="2842"/>
      <c r="GLE44" s="2843"/>
      <c r="GLF44" s="2843"/>
      <c r="GLG44" s="2844"/>
      <c r="GLH44" s="2845"/>
      <c r="GLI44" s="2842"/>
      <c r="GLJ44" s="2842"/>
      <c r="GLK44" s="2843"/>
      <c r="GLL44" s="2843"/>
      <c r="GLM44" s="2844"/>
      <c r="GLN44" s="2845"/>
      <c r="GLO44" s="2842"/>
      <c r="GLP44" s="2842"/>
      <c r="GLQ44" s="2843"/>
      <c r="GLR44" s="2843"/>
      <c r="GLS44" s="2844"/>
      <c r="GLT44" s="2845"/>
      <c r="GLU44" s="2842"/>
      <c r="GLV44" s="2842"/>
      <c r="GLW44" s="2843"/>
      <c r="GLX44" s="2843"/>
      <c r="GLY44" s="2844"/>
      <c r="GLZ44" s="2845"/>
      <c r="GMA44" s="2842"/>
      <c r="GMB44" s="2842"/>
      <c r="GMC44" s="2843"/>
      <c r="GMD44" s="2843"/>
      <c r="GME44" s="2844"/>
      <c r="GMF44" s="2845"/>
      <c r="GMG44" s="2842"/>
      <c r="GMH44" s="2842"/>
      <c r="GMI44" s="2843"/>
      <c r="GMJ44" s="2843"/>
      <c r="GMK44" s="2844"/>
      <c r="GML44" s="2845"/>
      <c r="GMM44" s="2842"/>
      <c r="GMN44" s="2842"/>
      <c r="GMO44" s="2843"/>
      <c r="GMP44" s="2843"/>
      <c r="GMQ44" s="2844"/>
      <c r="GMR44" s="2845"/>
      <c r="GMS44" s="2842"/>
      <c r="GMT44" s="2842"/>
      <c r="GMU44" s="2843"/>
      <c r="GMV44" s="2843"/>
      <c r="GMW44" s="2844"/>
      <c r="GMX44" s="2845"/>
      <c r="GMY44" s="2842"/>
      <c r="GMZ44" s="2842"/>
      <c r="GNA44" s="2843"/>
      <c r="GNB44" s="2843"/>
      <c r="GNC44" s="2844"/>
      <c r="GND44" s="2845"/>
      <c r="GNE44" s="2842"/>
      <c r="GNF44" s="2842"/>
      <c r="GNG44" s="2843"/>
      <c r="GNH44" s="2843"/>
      <c r="GNI44" s="2844"/>
      <c r="GNJ44" s="2845"/>
      <c r="GNK44" s="2842"/>
      <c r="GNL44" s="2842"/>
      <c r="GNM44" s="2843"/>
      <c r="GNN44" s="2843"/>
      <c r="GNO44" s="2844"/>
      <c r="GNP44" s="2845"/>
      <c r="GNQ44" s="2842"/>
      <c r="GNR44" s="2842"/>
      <c r="GNS44" s="2843"/>
      <c r="GNT44" s="2843"/>
      <c r="GNU44" s="2844"/>
      <c r="GNV44" s="2845"/>
      <c r="GNW44" s="2842"/>
      <c r="GNX44" s="2842"/>
      <c r="GNY44" s="2843"/>
      <c r="GNZ44" s="2843"/>
      <c r="GOA44" s="2844"/>
      <c r="GOB44" s="2845"/>
      <c r="GOC44" s="2842"/>
      <c r="GOD44" s="2842"/>
      <c r="GOE44" s="2843"/>
      <c r="GOF44" s="2843"/>
      <c r="GOG44" s="2844"/>
      <c r="GOH44" s="2845"/>
      <c r="GOI44" s="2842"/>
      <c r="GOJ44" s="2842"/>
      <c r="GOK44" s="2843"/>
      <c r="GOL44" s="2843"/>
      <c r="GOM44" s="2844"/>
      <c r="GON44" s="2845"/>
      <c r="GOO44" s="2842"/>
      <c r="GOP44" s="2842"/>
      <c r="GOQ44" s="2843"/>
      <c r="GOR44" s="2843"/>
      <c r="GOS44" s="2844"/>
      <c r="GOT44" s="2845"/>
      <c r="GOU44" s="2842"/>
      <c r="GOV44" s="2842"/>
      <c r="GOW44" s="2843"/>
      <c r="GOX44" s="2843"/>
      <c r="GOY44" s="2844"/>
      <c r="GOZ44" s="2845"/>
      <c r="GPA44" s="2842"/>
      <c r="GPB44" s="2842"/>
      <c r="GPC44" s="2843"/>
      <c r="GPD44" s="2843"/>
      <c r="GPE44" s="2844"/>
      <c r="GPF44" s="2845"/>
      <c r="GPG44" s="2842"/>
      <c r="GPH44" s="2842"/>
      <c r="GPI44" s="2843"/>
      <c r="GPJ44" s="2843"/>
      <c r="GPK44" s="2844"/>
      <c r="GPL44" s="2845"/>
      <c r="GPM44" s="2842"/>
      <c r="GPN44" s="2842"/>
      <c r="GPO44" s="2843"/>
      <c r="GPP44" s="2843"/>
      <c r="GPQ44" s="2844"/>
      <c r="GPR44" s="2845"/>
      <c r="GPS44" s="2842"/>
      <c r="GPT44" s="2842"/>
      <c r="GPU44" s="2843"/>
      <c r="GPV44" s="2843"/>
      <c r="GPW44" s="2844"/>
      <c r="GPX44" s="2845"/>
      <c r="GPY44" s="2842"/>
      <c r="GPZ44" s="2842"/>
      <c r="GQA44" s="2843"/>
      <c r="GQB44" s="2843"/>
      <c r="GQC44" s="2844"/>
      <c r="GQD44" s="2845"/>
      <c r="GQE44" s="2842"/>
      <c r="GQF44" s="2842"/>
      <c r="GQG44" s="2843"/>
      <c r="GQH44" s="2843"/>
      <c r="GQI44" s="2844"/>
      <c r="GQJ44" s="2845"/>
      <c r="GQK44" s="2842"/>
      <c r="GQL44" s="2842"/>
      <c r="GQM44" s="2843"/>
      <c r="GQN44" s="2843"/>
      <c r="GQO44" s="2844"/>
      <c r="GQP44" s="2845"/>
      <c r="GQQ44" s="2842"/>
      <c r="GQR44" s="2842"/>
      <c r="GQS44" s="2843"/>
      <c r="GQT44" s="2843"/>
      <c r="GQU44" s="2844"/>
      <c r="GQV44" s="2845"/>
      <c r="GQW44" s="2842"/>
      <c r="GQX44" s="2842"/>
      <c r="GQY44" s="2843"/>
      <c r="GQZ44" s="2843"/>
      <c r="GRA44" s="2844"/>
      <c r="GRB44" s="2845"/>
      <c r="GRC44" s="2842"/>
      <c r="GRD44" s="2842"/>
      <c r="GRE44" s="2843"/>
      <c r="GRF44" s="2843"/>
      <c r="GRG44" s="2844"/>
      <c r="GRH44" s="2845"/>
      <c r="GRI44" s="2842"/>
      <c r="GRJ44" s="2842"/>
      <c r="GRK44" s="2843"/>
      <c r="GRL44" s="2843"/>
      <c r="GRM44" s="2844"/>
      <c r="GRN44" s="2845"/>
      <c r="GRO44" s="2842"/>
      <c r="GRP44" s="2842"/>
      <c r="GRQ44" s="2843"/>
      <c r="GRR44" s="2843"/>
      <c r="GRS44" s="2844"/>
      <c r="GRT44" s="2845"/>
      <c r="GRU44" s="2842"/>
      <c r="GRV44" s="2842"/>
      <c r="GRW44" s="2843"/>
      <c r="GRX44" s="2843"/>
      <c r="GRY44" s="2844"/>
      <c r="GRZ44" s="2845"/>
      <c r="GSA44" s="2842"/>
      <c r="GSB44" s="2842"/>
      <c r="GSC44" s="2843"/>
      <c r="GSD44" s="2843"/>
      <c r="GSE44" s="2844"/>
      <c r="GSF44" s="2845"/>
      <c r="GSG44" s="2842"/>
      <c r="GSH44" s="2842"/>
      <c r="GSI44" s="2843"/>
      <c r="GSJ44" s="2843"/>
      <c r="GSK44" s="2844"/>
      <c r="GSL44" s="2845"/>
      <c r="GSM44" s="2842"/>
      <c r="GSN44" s="2842"/>
      <c r="GSO44" s="2843"/>
      <c r="GSP44" s="2843"/>
      <c r="GSQ44" s="2844"/>
      <c r="GSR44" s="2845"/>
      <c r="GSS44" s="2842"/>
      <c r="GST44" s="2842"/>
      <c r="GSU44" s="2843"/>
      <c r="GSV44" s="2843"/>
      <c r="GSW44" s="2844"/>
      <c r="GSX44" s="2845"/>
      <c r="GSY44" s="2842"/>
      <c r="GSZ44" s="2842"/>
      <c r="GTA44" s="2843"/>
      <c r="GTB44" s="2843"/>
      <c r="GTC44" s="2844"/>
      <c r="GTD44" s="2845"/>
      <c r="GTE44" s="2842"/>
      <c r="GTF44" s="2842"/>
      <c r="GTG44" s="2843"/>
      <c r="GTH44" s="2843"/>
      <c r="GTI44" s="2844"/>
      <c r="GTJ44" s="2845"/>
      <c r="GTK44" s="2842"/>
      <c r="GTL44" s="2842"/>
      <c r="GTM44" s="2843"/>
      <c r="GTN44" s="2843"/>
      <c r="GTO44" s="2844"/>
      <c r="GTP44" s="2845"/>
      <c r="GTQ44" s="2842"/>
      <c r="GTR44" s="2842"/>
      <c r="GTS44" s="2843"/>
      <c r="GTT44" s="2843"/>
      <c r="GTU44" s="2844"/>
      <c r="GTV44" s="2845"/>
      <c r="GTW44" s="2842"/>
      <c r="GTX44" s="2842"/>
      <c r="GTY44" s="2843"/>
      <c r="GTZ44" s="2843"/>
      <c r="GUA44" s="2844"/>
      <c r="GUB44" s="2845"/>
      <c r="GUC44" s="2842"/>
      <c r="GUD44" s="2842"/>
      <c r="GUE44" s="2843"/>
      <c r="GUF44" s="2843"/>
      <c r="GUG44" s="2844"/>
      <c r="GUH44" s="2845"/>
      <c r="GUI44" s="2842"/>
      <c r="GUJ44" s="2842"/>
      <c r="GUK44" s="2843"/>
      <c r="GUL44" s="2843"/>
      <c r="GUM44" s="2844"/>
      <c r="GUN44" s="2845"/>
      <c r="GUO44" s="2842"/>
      <c r="GUP44" s="2842"/>
      <c r="GUQ44" s="2843"/>
      <c r="GUR44" s="2843"/>
      <c r="GUS44" s="2844"/>
      <c r="GUT44" s="2845"/>
      <c r="GUU44" s="2842"/>
      <c r="GUV44" s="2842"/>
      <c r="GUW44" s="2843"/>
      <c r="GUX44" s="2843"/>
      <c r="GUY44" s="2844"/>
      <c r="GUZ44" s="2845"/>
      <c r="GVA44" s="2842"/>
      <c r="GVB44" s="2842"/>
      <c r="GVC44" s="2843"/>
      <c r="GVD44" s="2843"/>
      <c r="GVE44" s="2844"/>
      <c r="GVF44" s="2845"/>
      <c r="GVG44" s="2842"/>
      <c r="GVH44" s="2842"/>
      <c r="GVI44" s="2843"/>
      <c r="GVJ44" s="2843"/>
      <c r="GVK44" s="2844"/>
      <c r="GVL44" s="2845"/>
      <c r="GVM44" s="2842"/>
      <c r="GVN44" s="2842"/>
      <c r="GVO44" s="2843"/>
      <c r="GVP44" s="2843"/>
      <c r="GVQ44" s="2844"/>
      <c r="GVR44" s="2845"/>
      <c r="GVS44" s="2842"/>
      <c r="GVT44" s="2842"/>
      <c r="GVU44" s="2843"/>
      <c r="GVV44" s="2843"/>
      <c r="GVW44" s="2844"/>
      <c r="GVX44" s="2845"/>
      <c r="GVY44" s="2842"/>
      <c r="GVZ44" s="2842"/>
      <c r="GWA44" s="2843"/>
      <c r="GWB44" s="2843"/>
      <c r="GWC44" s="2844"/>
      <c r="GWD44" s="2845"/>
      <c r="GWE44" s="2842"/>
      <c r="GWF44" s="2842"/>
      <c r="GWG44" s="2843"/>
      <c r="GWH44" s="2843"/>
      <c r="GWI44" s="2844"/>
      <c r="GWJ44" s="2845"/>
      <c r="GWK44" s="2842"/>
      <c r="GWL44" s="2842"/>
      <c r="GWM44" s="2843"/>
      <c r="GWN44" s="2843"/>
      <c r="GWO44" s="2844"/>
      <c r="GWP44" s="2845"/>
      <c r="GWQ44" s="2842"/>
      <c r="GWR44" s="2842"/>
      <c r="GWS44" s="2843"/>
      <c r="GWT44" s="2843"/>
      <c r="GWU44" s="2844"/>
      <c r="GWV44" s="2845"/>
      <c r="GWW44" s="2842"/>
      <c r="GWX44" s="2842"/>
      <c r="GWY44" s="2843"/>
      <c r="GWZ44" s="2843"/>
      <c r="GXA44" s="2844"/>
      <c r="GXB44" s="2845"/>
      <c r="GXC44" s="2842"/>
      <c r="GXD44" s="2842"/>
      <c r="GXE44" s="2843"/>
      <c r="GXF44" s="2843"/>
      <c r="GXG44" s="2844"/>
      <c r="GXH44" s="2845"/>
      <c r="GXI44" s="2842"/>
      <c r="GXJ44" s="2842"/>
      <c r="GXK44" s="2843"/>
      <c r="GXL44" s="2843"/>
      <c r="GXM44" s="2844"/>
      <c r="GXN44" s="2845"/>
      <c r="GXO44" s="2842"/>
      <c r="GXP44" s="2842"/>
      <c r="GXQ44" s="2843"/>
      <c r="GXR44" s="2843"/>
      <c r="GXS44" s="2844"/>
      <c r="GXT44" s="2845"/>
      <c r="GXU44" s="2842"/>
      <c r="GXV44" s="2842"/>
      <c r="GXW44" s="2843"/>
      <c r="GXX44" s="2843"/>
      <c r="GXY44" s="2844"/>
      <c r="GXZ44" s="2845"/>
      <c r="GYA44" s="2842"/>
      <c r="GYB44" s="2842"/>
      <c r="GYC44" s="2843"/>
      <c r="GYD44" s="2843"/>
      <c r="GYE44" s="2844"/>
      <c r="GYF44" s="2845"/>
      <c r="GYG44" s="2842"/>
      <c r="GYH44" s="2842"/>
      <c r="GYI44" s="2843"/>
      <c r="GYJ44" s="2843"/>
      <c r="GYK44" s="2844"/>
      <c r="GYL44" s="2845"/>
      <c r="GYM44" s="2842"/>
      <c r="GYN44" s="2842"/>
      <c r="GYO44" s="2843"/>
      <c r="GYP44" s="2843"/>
      <c r="GYQ44" s="2844"/>
      <c r="GYR44" s="2845"/>
      <c r="GYS44" s="2842"/>
      <c r="GYT44" s="2842"/>
      <c r="GYU44" s="2843"/>
      <c r="GYV44" s="2843"/>
      <c r="GYW44" s="2844"/>
      <c r="GYX44" s="2845"/>
      <c r="GYY44" s="2842"/>
      <c r="GYZ44" s="2842"/>
      <c r="GZA44" s="2843"/>
      <c r="GZB44" s="2843"/>
      <c r="GZC44" s="2844"/>
      <c r="GZD44" s="2845"/>
      <c r="GZE44" s="2842"/>
      <c r="GZF44" s="2842"/>
      <c r="GZG44" s="2843"/>
      <c r="GZH44" s="2843"/>
      <c r="GZI44" s="2844"/>
      <c r="GZJ44" s="2845"/>
      <c r="GZK44" s="2842"/>
      <c r="GZL44" s="2842"/>
      <c r="GZM44" s="2843"/>
      <c r="GZN44" s="2843"/>
      <c r="GZO44" s="2844"/>
      <c r="GZP44" s="2845"/>
      <c r="GZQ44" s="2842"/>
      <c r="GZR44" s="2842"/>
      <c r="GZS44" s="2843"/>
      <c r="GZT44" s="2843"/>
      <c r="GZU44" s="2844"/>
      <c r="GZV44" s="2845"/>
      <c r="GZW44" s="2842"/>
      <c r="GZX44" s="2842"/>
      <c r="GZY44" s="2843"/>
      <c r="GZZ44" s="2843"/>
      <c r="HAA44" s="2844"/>
      <c r="HAB44" s="2845"/>
      <c r="HAC44" s="2842"/>
      <c r="HAD44" s="2842"/>
      <c r="HAE44" s="2843"/>
      <c r="HAF44" s="2843"/>
      <c r="HAG44" s="2844"/>
      <c r="HAH44" s="2845"/>
      <c r="HAI44" s="2842"/>
      <c r="HAJ44" s="2842"/>
      <c r="HAK44" s="2843"/>
      <c r="HAL44" s="2843"/>
      <c r="HAM44" s="2844"/>
      <c r="HAN44" s="2845"/>
      <c r="HAO44" s="2842"/>
      <c r="HAP44" s="2842"/>
      <c r="HAQ44" s="2843"/>
      <c r="HAR44" s="2843"/>
      <c r="HAS44" s="2844"/>
      <c r="HAT44" s="2845"/>
      <c r="HAU44" s="2842"/>
      <c r="HAV44" s="2842"/>
      <c r="HAW44" s="2843"/>
      <c r="HAX44" s="2843"/>
      <c r="HAY44" s="2844"/>
      <c r="HAZ44" s="2845"/>
      <c r="HBA44" s="2842"/>
      <c r="HBB44" s="2842"/>
      <c r="HBC44" s="2843"/>
      <c r="HBD44" s="2843"/>
      <c r="HBE44" s="2844"/>
      <c r="HBF44" s="2845"/>
      <c r="HBG44" s="2842"/>
      <c r="HBH44" s="2842"/>
      <c r="HBI44" s="2843"/>
      <c r="HBJ44" s="2843"/>
      <c r="HBK44" s="2844"/>
      <c r="HBL44" s="2845"/>
      <c r="HBM44" s="2842"/>
      <c r="HBN44" s="2842"/>
      <c r="HBO44" s="2843"/>
      <c r="HBP44" s="2843"/>
      <c r="HBQ44" s="2844"/>
      <c r="HBR44" s="2845"/>
      <c r="HBS44" s="2842"/>
      <c r="HBT44" s="2842"/>
      <c r="HBU44" s="2843"/>
      <c r="HBV44" s="2843"/>
      <c r="HBW44" s="2844"/>
      <c r="HBX44" s="2845"/>
      <c r="HBY44" s="2842"/>
      <c r="HBZ44" s="2842"/>
      <c r="HCA44" s="2843"/>
      <c r="HCB44" s="2843"/>
      <c r="HCC44" s="2844"/>
      <c r="HCD44" s="2845"/>
      <c r="HCE44" s="2842"/>
      <c r="HCF44" s="2842"/>
      <c r="HCG44" s="2843"/>
      <c r="HCH44" s="2843"/>
      <c r="HCI44" s="2844"/>
      <c r="HCJ44" s="2845"/>
      <c r="HCK44" s="2842"/>
      <c r="HCL44" s="2842"/>
      <c r="HCM44" s="2843"/>
      <c r="HCN44" s="2843"/>
      <c r="HCO44" s="2844"/>
      <c r="HCP44" s="2845"/>
      <c r="HCQ44" s="2842"/>
      <c r="HCR44" s="2842"/>
      <c r="HCS44" s="2843"/>
      <c r="HCT44" s="2843"/>
      <c r="HCU44" s="2844"/>
      <c r="HCV44" s="2845"/>
      <c r="HCW44" s="2842"/>
      <c r="HCX44" s="2842"/>
      <c r="HCY44" s="2843"/>
      <c r="HCZ44" s="2843"/>
      <c r="HDA44" s="2844"/>
      <c r="HDB44" s="2845"/>
      <c r="HDC44" s="2842"/>
      <c r="HDD44" s="2842"/>
      <c r="HDE44" s="2843"/>
      <c r="HDF44" s="2843"/>
      <c r="HDG44" s="2844"/>
      <c r="HDH44" s="2845"/>
      <c r="HDI44" s="2842"/>
      <c r="HDJ44" s="2842"/>
      <c r="HDK44" s="2843"/>
      <c r="HDL44" s="2843"/>
      <c r="HDM44" s="2844"/>
      <c r="HDN44" s="2845"/>
      <c r="HDO44" s="2842"/>
      <c r="HDP44" s="2842"/>
      <c r="HDQ44" s="2843"/>
      <c r="HDR44" s="2843"/>
      <c r="HDS44" s="2844"/>
      <c r="HDT44" s="2845"/>
      <c r="HDU44" s="2842"/>
      <c r="HDV44" s="2842"/>
      <c r="HDW44" s="2843"/>
      <c r="HDX44" s="2843"/>
      <c r="HDY44" s="2844"/>
      <c r="HDZ44" s="2845"/>
      <c r="HEA44" s="2842"/>
      <c r="HEB44" s="2842"/>
      <c r="HEC44" s="2843"/>
      <c r="HED44" s="2843"/>
      <c r="HEE44" s="2844"/>
      <c r="HEF44" s="2845"/>
      <c r="HEG44" s="2842"/>
      <c r="HEH44" s="2842"/>
      <c r="HEI44" s="2843"/>
      <c r="HEJ44" s="2843"/>
      <c r="HEK44" s="2844"/>
      <c r="HEL44" s="2845"/>
      <c r="HEM44" s="2842"/>
      <c r="HEN44" s="2842"/>
      <c r="HEO44" s="2843"/>
      <c r="HEP44" s="2843"/>
      <c r="HEQ44" s="2844"/>
      <c r="HER44" s="2845"/>
      <c r="HES44" s="2842"/>
      <c r="HET44" s="2842"/>
      <c r="HEU44" s="2843"/>
      <c r="HEV44" s="2843"/>
      <c r="HEW44" s="2844"/>
      <c r="HEX44" s="2845"/>
      <c r="HEY44" s="2842"/>
      <c r="HEZ44" s="2842"/>
      <c r="HFA44" s="2843"/>
      <c r="HFB44" s="2843"/>
      <c r="HFC44" s="2844"/>
      <c r="HFD44" s="2845"/>
      <c r="HFE44" s="2842"/>
      <c r="HFF44" s="2842"/>
      <c r="HFG44" s="2843"/>
      <c r="HFH44" s="2843"/>
      <c r="HFI44" s="2844"/>
      <c r="HFJ44" s="2845"/>
      <c r="HFK44" s="2842"/>
      <c r="HFL44" s="2842"/>
      <c r="HFM44" s="2843"/>
      <c r="HFN44" s="2843"/>
      <c r="HFO44" s="2844"/>
      <c r="HFP44" s="2845"/>
      <c r="HFQ44" s="2842"/>
      <c r="HFR44" s="2842"/>
      <c r="HFS44" s="2843"/>
      <c r="HFT44" s="2843"/>
      <c r="HFU44" s="2844"/>
      <c r="HFV44" s="2845"/>
      <c r="HFW44" s="2842"/>
      <c r="HFX44" s="2842"/>
      <c r="HFY44" s="2843"/>
      <c r="HFZ44" s="2843"/>
      <c r="HGA44" s="2844"/>
      <c r="HGB44" s="2845"/>
      <c r="HGC44" s="2842"/>
      <c r="HGD44" s="2842"/>
      <c r="HGE44" s="2843"/>
      <c r="HGF44" s="2843"/>
      <c r="HGG44" s="2844"/>
      <c r="HGH44" s="2845"/>
      <c r="HGI44" s="2842"/>
      <c r="HGJ44" s="2842"/>
      <c r="HGK44" s="2843"/>
      <c r="HGL44" s="2843"/>
      <c r="HGM44" s="2844"/>
      <c r="HGN44" s="2845"/>
      <c r="HGO44" s="2842"/>
      <c r="HGP44" s="2842"/>
      <c r="HGQ44" s="2843"/>
      <c r="HGR44" s="2843"/>
      <c r="HGS44" s="2844"/>
      <c r="HGT44" s="2845"/>
      <c r="HGU44" s="2842"/>
      <c r="HGV44" s="2842"/>
      <c r="HGW44" s="2843"/>
      <c r="HGX44" s="2843"/>
      <c r="HGY44" s="2844"/>
      <c r="HGZ44" s="2845"/>
      <c r="HHA44" s="2842"/>
      <c r="HHB44" s="2842"/>
      <c r="HHC44" s="2843"/>
      <c r="HHD44" s="2843"/>
      <c r="HHE44" s="2844"/>
      <c r="HHF44" s="2845"/>
      <c r="HHG44" s="2842"/>
      <c r="HHH44" s="2842"/>
      <c r="HHI44" s="2843"/>
      <c r="HHJ44" s="2843"/>
      <c r="HHK44" s="2844"/>
      <c r="HHL44" s="2845"/>
      <c r="HHM44" s="2842"/>
      <c r="HHN44" s="2842"/>
      <c r="HHO44" s="2843"/>
      <c r="HHP44" s="2843"/>
      <c r="HHQ44" s="2844"/>
      <c r="HHR44" s="2845"/>
      <c r="HHS44" s="2842"/>
      <c r="HHT44" s="2842"/>
      <c r="HHU44" s="2843"/>
      <c r="HHV44" s="2843"/>
      <c r="HHW44" s="2844"/>
      <c r="HHX44" s="2845"/>
      <c r="HHY44" s="2842"/>
      <c r="HHZ44" s="2842"/>
      <c r="HIA44" s="2843"/>
      <c r="HIB44" s="2843"/>
      <c r="HIC44" s="2844"/>
      <c r="HID44" s="2845"/>
      <c r="HIE44" s="2842"/>
      <c r="HIF44" s="2842"/>
      <c r="HIG44" s="2843"/>
      <c r="HIH44" s="2843"/>
      <c r="HII44" s="2844"/>
      <c r="HIJ44" s="2845"/>
      <c r="HIK44" s="2842"/>
      <c r="HIL44" s="2842"/>
      <c r="HIM44" s="2843"/>
      <c r="HIN44" s="2843"/>
      <c r="HIO44" s="2844"/>
      <c r="HIP44" s="2845"/>
      <c r="HIQ44" s="2842"/>
      <c r="HIR44" s="2842"/>
      <c r="HIS44" s="2843"/>
      <c r="HIT44" s="2843"/>
      <c r="HIU44" s="2844"/>
      <c r="HIV44" s="2845"/>
      <c r="HIW44" s="2842"/>
      <c r="HIX44" s="2842"/>
      <c r="HIY44" s="2843"/>
      <c r="HIZ44" s="2843"/>
      <c r="HJA44" s="2844"/>
      <c r="HJB44" s="2845"/>
      <c r="HJC44" s="2842"/>
      <c r="HJD44" s="2842"/>
      <c r="HJE44" s="2843"/>
      <c r="HJF44" s="2843"/>
      <c r="HJG44" s="2844"/>
      <c r="HJH44" s="2845"/>
      <c r="HJI44" s="2842"/>
      <c r="HJJ44" s="2842"/>
      <c r="HJK44" s="2843"/>
      <c r="HJL44" s="2843"/>
      <c r="HJM44" s="2844"/>
      <c r="HJN44" s="2845"/>
      <c r="HJO44" s="2842"/>
      <c r="HJP44" s="2842"/>
      <c r="HJQ44" s="2843"/>
      <c r="HJR44" s="2843"/>
      <c r="HJS44" s="2844"/>
      <c r="HJT44" s="2845"/>
      <c r="HJU44" s="2842"/>
      <c r="HJV44" s="2842"/>
      <c r="HJW44" s="2843"/>
      <c r="HJX44" s="2843"/>
      <c r="HJY44" s="2844"/>
      <c r="HJZ44" s="2845"/>
      <c r="HKA44" s="2842"/>
      <c r="HKB44" s="2842"/>
      <c r="HKC44" s="2843"/>
      <c r="HKD44" s="2843"/>
      <c r="HKE44" s="2844"/>
      <c r="HKF44" s="2845"/>
      <c r="HKG44" s="2842"/>
      <c r="HKH44" s="2842"/>
      <c r="HKI44" s="2843"/>
      <c r="HKJ44" s="2843"/>
      <c r="HKK44" s="2844"/>
      <c r="HKL44" s="2845"/>
      <c r="HKM44" s="2842"/>
      <c r="HKN44" s="2842"/>
      <c r="HKO44" s="2843"/>
      <c r="HKP44" s="2843"/>
      <c r="HKQ44" s="2844"/>
      <c r="HKR44" s="2845"/>
      <c r="HKS44" s="2842"/>
      <c r="HKT44" s="2842"/>
      <c r="HKU44" s="2843"/>
      <c r="HKV44" s="2843"/>
      <c r="HKW44" s="2844"/>
      <c r="HKX44" s="2845"/>
      <c r="HKY44" s="2842"/>
      <c r="HKZ44" s="2842"/>
      <c r="HLA44" s="2843"/>
      <c r="HLB44" s="2843"/>
      <c r="HLC44" s="2844"/>
      <c r="HLD44" s="2845"/>
      <c r="HLE44" s="2842"/>
      <c r="HLF44" s="2842"/>
      <c r="HLG44" s="2843"/>
      <c r="HLH44" s="2843"/>
      <c r="HLI44" s="2844"/>
      <c r="HLJ44" s="2845"/>
      <c r="HLK44" s="2842"/>
      <c r="HLL44" s="2842"/>
      <c r="HLM44" s="2843"/>
      <c r="HLN44" s="2843"/>
      <c r="HLO44" s="2844"/>
      <c r="HLP44" s="2845"/>
      <c r="HLQ44" s="2842"/>
      <c r="HLR44" s="2842"/>
      <c r="HLS44" s="2843"/>
      <c r="HLT44" s="2843"/>
      <c r="HLU44" s="2844"/>
      <c r="HLV44" s="2845"/>
      <c r="HLW44" s="2842"/>
      <c r="HLX44" s="2842"/>
      <c r="HLY44" s="2843"/>
      <c r="HLZ44" s="2843"/>
      <c r="HMA44" s="2844"/>
      <c r="HMB44" s="2845"/>
      <c r="HMC44" s="2842"/>
      <c r="HMD44" s="2842"/>
      <c r="HME44" s="2843"/>
      <c r="HMF44" s="2843"/>
      <c r="HMG44" s="2844"/>
      <c r="HMH44" s="2845"/>
      <c r="HMI44" s="2842"/>
      <c r="HMJ44" s="2842"/>
      <c r="HMK44" s="2843"/>
      <c r="HML44" s="2843"/>
      <c r="HMM44" s="2844"/>
      <c r="HMN44" s="2845"/>
      <c r="HMO44" s="2842"/>
      <c r="HMP44" s="2842"/>
      <c r="HMQ44" s="2843"/>
      <c r="HMR44" s="2843"/>
      <c r="HMS44" s="2844"/>
      <c r="HMT44" s="2845"/>
      <c r="HMU44" s="2842"/>
      <c r="HMV44" s="2842"/>
      <c r="HMW44" s="2843"/>
      <c r="HMX44" s="2843"/>
      <c r="HMY44" s="2844"/>
      <c r="HMZ44" s="2845"/>
      <c r="HNA44" s="2842"/>
      <c r="HNB44" s="2842"/>
      <c r="HNC44" s="2843"/>
      <c r="HND44" s="2843"/>
      <c r="HNE44" s="2844"/>
      <c r="HNF44" s="2845"/>
      <c r="HNG44" s="2842"/>
      <c r="HNH44" s="2842"/>
      <c r="HNI44" s="2843"/>
      <c r="HNJ44" s="2843"/>
      <c r="HNK44" s="2844"/>
      <c r="HNL44" s="2845"/>
      <c r="HNM44" s="2842"/>
      <c r="HNN44" s="2842"/>
      <c r="HNO44" s="2843"/>
      <c r="HNP44" s="2843"/>
      <c r="HNQ44" s="2844"/>
      <c r="HNR44" s="2845"/>
      <c r="HNS44" s="2842"/>
      <c r="HNT44" s="2842"/>
      <c r="HNU44" s="2843"/>
      <c r="HNV44" s="2843"/>
      <c r="HNW44" s="2844"/>
      <c r="HNX44" s="2845"/>
      <c r="HNY44" s="2842"/>
      <c r="HNZ44" s="2842"/>
      <c r="HOA44" s="2843"/>
      <c r="HOB44" s="2843"/>
      <c r="HOC44" s="2844"/>
      <c r="HOD44" s="2845"/>
      <c r="HOE44" s="2842"/>
      <c r="HOF44" s="2842"/>
      <c r="HOG44" s="2843"/>
      <c r="HOH44" s="2843"/>
      <c r="HOI44" s="2844"/>
      <c r="HOJ44" s="2845"/>
      <c r="HOK44" s="2842"/>
      <c r="HOL44" s="2842"/>
      <c r="HOM44" s="2843"/>
      <c r="HON44" s="2843"/>
      <c r="HOO44" s="2844"/>
      <c r="HOP44" s="2845"/>
      <c r="HOQ44" s="2842"/>
      <c r="HOR44" s="2842"/>
      <c r="HOS44" s="2843"/>
      <c r="HOT44" s="2843"/>
      <c r="HOU44" s="2844"/>
      <c r="HOV44" s="2845"/>
      <c r="HOW44" s="2842"/>
      <c r="HOX44" s="2842"/>
      <c r="HOY44" s="2843"/>
      <c r="HOZ44" s="2843"/>
      <c r="HPA44" s="2844"/>
      <c r="HPB44" s="2845"/>
      <c r="HPC44" s="2842"/>
      <c r="HPD44" s="2842"/>
      <c r="HPE44" s="2843"/>
      <c r="HPF44" s="2843"/>
      <c r="HPG44" s="2844"/>
      <c r="HPH44" s="2845"/>
      <c r="HPI44" s="2842"/>
      <c r="HPJ44" s="2842"/>
      <c r="HPK44" s="2843"/>
      <c r="HPL44" s="2843"/>
      <c r="HPM44" s="2844"/>
      <c r="HPN44" s="2845"/>
      <c r="HPO44" s="2842"/>
      <c r="HPP44" s="2842"/>
      <c r="HPQ44" s="2843"/>
      <c r="HPR44" s="2843"/>
      <c r="HPS44" s="2844"/>
      <c r="HPT44" s="2845"/>
      <c r="HPU44" s="2842"/>
      <c r="HPV44" s="2842"/>
      <c r="HPW44" s="2843"/>
      <c r="HPX44" s="2843"/>
      <c r="HPY44" s="2844"/>
      <c r="HPZ44" s="2845"/>
      <c r="HQA44" s="2842"/>
      <c r="HQB44" s="2842"/>
      <c r="HQC44" s="2843"/>
      <c r="HQD44" s="2843"/>
      <c r="HQE44" s="2844"/>
      <c r="HQF44" s="2845"/>
      <c r="HQG44" s="2842"/>
      <c r="HQH44" s="2842"/>
      <c r="HQI44" s="2843"/>
      <c r="HQJ44" s="2843"/>
      <c r="HQK44" s="2844"/>
      <c r="HQL44" s="2845"/>
      <c r="HQM44" s="2842"/>
      <c r="HQN44" s="2842"/>
      <c r="HQO44" s="2843"/>
      <c r="HQP44" s="2843"/>
      <c r="HQQ44" s="2844"/>
      <c r="HQR44" s="2845"/>
      <c r="HQS44" s="2842"/>
      <c r="HQT44" s="2842"/>
      <c r="HQU44" s="2843"/>
      <c r="HQV44" s="2843"/>
      <c r="HQW44" s="2844"/>
      <c r="HQX44" s="2845"/>
      <c r="HQY44" s="2842"/>
      <c r="HQZ44" s="2842"/>
      <c r="HRA44" s="2843"/>
      <c r="HRB44" s="2843"/>
      <c r="HRC44" s="2844"/>
      <c r="HRD44" s="2845"/>
      <c r="HRE44" s="2842"/>
      <c r="HRF44" s="2842"/>
      <c r="HRG44" s="2843"/>
      <c r="HRH44" s="2843"/>
      <c r="HRI44" s="2844"/>
      <c r="HRJ44" s="2845"/>
      <c r="HRK44" s="2842"/>
      <c r="HRL44" s="2842"/>
      <c r="HRM44" s="2843"/>
      <c r="HRN44" s="2843"/>
      <c r="HRO44" s="2844"/>
      <c r="HRP44" s="2845"/>
      <c r="HRQ44" s="2842"/>
      <c r="HRR44" s="2842"/>
      <c r="HRS44" s="2843"/>
      <c r="HRT44" s="2843"/>
      <c r="HRU44" s="2844"/>
      <c r="HRV44" s="2845"/>
      <c r="HRW44" s="2842"/>
      <c r="HRX44" s="2842"/>
      <c r="HRY44" s="2843"/>
      <c r="HRZ44" s="2843"/>
      <c r="HSA44" s="2844"/>
      <c r="HSB44" s="2845"/>
      <c r="HSC44" s="2842"/>
      <c r="HSD44" s="2842"/>
      <c r="HSE44" s="2843"/>
      <c r="HSF44" s="2843"/>
      <c r="HSG44" s="2844"/>
      <c r="HSH44" s="2845"/>
      <c r="HSI44" s="2842"/>
      <c r="HSJ44" s="2842"/>
      <c r="HSK44" s="2843"/>
      <c r="HSL44" s="2843"/>
      <c r="HSM44" s="2844"/>
      <c r="HSN44" s="2845"/>
      <c r="HSO44" s="2842"/>
      <c r="HSP44" s="2842"/>
      <c r="HSQ44" s="2843"/>
      <c r="HSR44" s="2843"/>
      <c r="HSS44" s="2844"/>
      <c r="HST44" s="2845"/>
      <c r="HSU44" s="2842"/>
      <c r="HSV44" s="2842"/>
      <c r="HSW44" s="2843"/>
      <c r="HSX44" s="2843"/>
      <c r="HSY44" s="2844"/>
      <c r="HSZ44" s="2845"/>
      <c r="HTA44" s="2842"/>
      <c r="HTB44" s="2842"/>
      <c r="HTC44" s="2843"/>
      <c r="HTD44" s="2843"/>
      <c r="HTE44" s="2844"/>
      <c r="HTF44" s="2845"/>
      <c r="HTG44" s="2842"/>
      <c r="HTH44" s="2842"/>
      <c r="HTI44" s="2843"/>
      <c r="HTJ44" s="2843"/>
      <c r="HTK44" s="2844"/>
      <c r="HTL44" s="2845"/>
      <c r="HTM44" s="2842"/>
      <c r="HTN44" s="2842"/>
      <c r="HTO44" s="2843"/>
      <c r="HTP44" s="2843"/>
      <c r="HTQ44" s="2844"/>
      <c r="HTR44" s="2845"/>
      <c r="HTS44" s="2842"/>
      <c r="HTT44" s="2842"/>
      <c r="HTU44" s="2843"/>
      <c r="HTV44" s="2843"/>
      <c r="HTW44" s="2844"/>
      <c r="HTX44" s="2845"/>
      <c r="HTY44" s="2842"/>
      <c r="HTZ44" s="2842"/>
      <c r="HUA44" s="2843"/>
      <c r="HUB44" s="2843"/>
      <c r="HUC44" s="2844"/>
      <c r="HUD44" s="2845"/>
      <c r="HUE44" s="2842"/>
      <c r="HUF44" s="2842"/>
      <c r="HUG44" s="2843"/>
      <c r="HUH44" s="2843"/>
      <c r="HUI44" s="2844"/>
      <c r="HUJ44" s="2845"/>
      <c r="HUK44" s="2842"/>
      <c r="HUL44" s="2842"/>
      <c r="HUM44" s="2843"/>
      <c r="HUN44" s="2843"/>
      <c r="HUO44" s="2844"/>
      <c r="HUP44" s="2845"/>
      <c r="HUQ44" s="2842"/>
      <c r="HUR44" s="2842"/>
      <c r="HUS44" s="2843"/>
      <c r="HUT44" s="2843"/>
      <c r="HUU44" s="2844"/>
      <c r="HUV44" s="2845"/>
      <c r="HUW44" s="2842"/>
      <c r="HUX44" s="2842"/>
      <c r="HUY44" s="2843"/>
      <c r="HUZ44" s="2843"/>
      <c r="HVA44" s="2844"/>
      <c r="HVB44" s="2845"/>
      <c r="HVC44" s="2842"/>
      <c r="HVD44" s="2842"/>
      <c r="HVE44" s="2843"/>
      <c r="HVF44" s="2843"/>
      <c r="HVG44" s="2844"/>
      <c r="HVH44" s="2845"/>
      <c r="HVI44" s="2842"/>
      <c r="HVJ44" s="2842"/>
      <c r="HVK44" s="2843"/>
      <c r="HVL44" s="2843"/>
      <c r="HVM44" s="2844"/>
      <c r="HVN44" s="2845"/>
      <c r="HVO44" s="2842"/>
      <c r="HVP44" s="2842"/>
      <c r="HVQ44" s="2843"/>
      <c r="HVR44" s="2843"/>
      <c r="HVS44" s="2844"/>
      <c r="HVT44" s="2845"/>
      <c r="HVU44" s="2842"/>
      <c r="HVV44" s="2842"/>
      <c r="HVW44" s="2843"/>
      <c r="HVX44" s="2843"/>
      <c r="HVY44" s="2844"/>
      <c r="HVZ44" s="2845"/>
      <c r="HWA44" s="2842"/>
      <c r="HWB44" s="2842"/>
      <c r="HWC44" s="2843"/>
      <c r="HWD44" s="2843"/>
      <c r="HWE44" s="2844"/>
      <c r="HWF44" s="2845"/>
      <c r="HWG44" s="2842"/>
      <c r="HWH44" s="2842"/>
      <c r="HWI44" s="2843"/>
      <c r="HWJ44" s="2843"/>
      <c r="HWK44" s="2844"/>
      <c r="HWL44" s="2845"/>
      <c r="HWM44" s="2842"/>
      <c r="HWN44" s="2842"/>
      <c r="HWO44" s="2843"/>
      <c r="HWP44" s="2843"/>
      <c r="HWQ44" s="2844"/>
      <c r="HWR44" s="2845"/>
      <c r="HWS44" s="2842"/>
      <c r="HWT44" s="2842"/>
      <c r="HWU44" s="2843"/>
      <c r="HWV44" s="2843"/>
      <c r="HWW44" s="2844"/>
      <c r="HWX44" s="2845"/>
      <c r="HWY44" s="2842"/>
      <c r="HWZ44" s="2842"/>
      <c r="HXA44" s="2843"/>
      <c r="HXB44" s="2843"/>
      <c r="HXC44" s="2844"/>
      <c r="HXD44" s="2845"/>
      <c r="HXE44" s="2842"/>
      <c r="HXF44" s="2842"/>
      <c r="HXG44" s="2843"/>
      <c r="HXH44" s="2843"/>
      <c r="HXI44" s="2844"/>
      <c r="HXJ44" s="2845"/>
      <c r="HXK44" s="2842"/>
      <c r="HXL44" s="2842"/>
      <c r="HXM44" s="2843"/>
      <c r="HXN44" s="2843"/>
      <c r="HXO44" s="2844"/>
      <c r="HXP44" s="2845"/>
      <c r="HXQ44" s="2842"/>
      <c r="HXR44" s="2842"/>
      <c r="HXS44" s="2843"/>
      <c r="HXT44" s="2843"/>
      <c r="HXU44" s="2844"/>
      <c r="HXV44" s="2845"/>
      <c r="HXW44" s="2842"/>
      <c r="HXX44" s="2842"/>
      <c r="HXY44" s="2843"/>
      <c r="HXZ44" s="2843"/>
      <c r="HYA44" s="2844"/>
      <c r="HYB44" s="2845"/>
      <c r="HYC44" s="2842"/>
      <c r="HYD44" s="2842"/>
      <c r="HYE44" s="2843"/>
      <c r="HYF44" s="2843"/>
      <c r="HYG44" s="2844"/>
      <c r="HYH44" s="2845"/>
      <c r="HYI44" s="2842"/>
      <c r="HYJ44" s="2842"/>
      <c r="HYK44" s="2843"/>
      <c r="HYL44" s="2843"/>
      <c r="HYM44" s="2844"/>
      <c r="HYN44" s="2845"/>
      <c r="HYO44" s="2842"/>
      <c r="HYP44" s="2842"/>
      <c r="HYQ44" s="2843"/>
      <c r="HYR44" s="2843"/>
      <c r="HYS44" s="2844"/>
      <c r="HYT44" s="2845"/>
      <c r="HYU44" s="2842"/>
      <c r="HYV44" s="2842"/>
      <c r="HYW44" s="2843"/>
      <c r="HYX44" s="2843"/>
      <c r="HYY44" s="2844"/>
      <c r="HYZ44" s="2845"/>
      <c r="HZA44" s="2842"/>
      <c r="HZB44" s="2842"/>
      <c r="HZC44" s="2843"/>
      <c r="HZD44" s="2843"/>
      <c r="HZE44" s="2844"/>
      <c r="HZF44" s="2845"/>
      <c r="HZG44" s="2842"/>
      <c r="HZH44" s="2842"/>
      <c r="HZI44" s="2843"/>
      <c r="HZJ44" s="2843"/>
      <c r="HZK44" s="2844"/>
      <c r="HZL44" s="2845"/>
      <c r="HZM44" s="2842"/>
      <c r="HZN44" s="2842"/>
      <c r="HZO44" s="2843"/>
      <c r="HZP44" s="2843"/>
      <c r="HZQ44" s="2844"/>
      <c r="HZR44" s="2845"/>
      <c r="HZS44" s="2842"/>
      <c r="HZT44" s="2842"/>
      <c r="HZU44" s="2843"/>
      <c r="HZV44" s="2843"/>
      <c r="HZW44" s="2844"/>
      <c r="HZX44" s="2845"/>
      <c r="HZY44" s="2842"/>
      <c r="HZZ44" s="2842"/>
      <c r="IAA44" s="2843"/>
      <c r="IAB44" s="2843"/>
      <c r="IAC44" s="2844"/>
      <c r="IAD44" s="2845"/>
      <c r="IAE44" s="2842"/>
      <c r="IAF44" s="2842"/>
      <c r="IAG44" s="2843"/>
      <c r="IAH44" s="2843"/>
      <c r="IAI44" s="2844"/>
      <c r="IAJ44" s="2845"/>
      <c r="IAK44" s="2842"/>
      <c r="IAL44" s="2842"/>
      <c r="IAM44" s="2843"/>
      <c r="IAN44" s="2843"/>
      <c r="IAO44" s="2844"/>
      <c r="IAP44" s="2845"/>
      <c r="IAQ44" s="2842"/>
      <c r="IAR44" s="2842"/>
      <c r="IAS44" s="2843"/>
      <c r="IAT44" s="2843"/>
      <c r="IAU44" s="2844"/>
      <c r="IAV44" s="2845"/>
      <c r="IAW44" s="2842"/>
      <c r="IAX44" s="2842"/>
      <c r="IAY44" s="2843"/>
      <c r="IAZ44" s="2843"/>
      <c r="IBA44" s="2844"/>
      <c r="IBB44" s="2845"/>
      <c r="IBC44" s="2842"/>
      <c r="IBD44" s="2842"/>
      <c r="IBE44" s="2843"/>
      <c r="IBF44" s="2843"/>
      <c r="IBG44" s="2844"/>
      <c r="IBH44" s="2845"/>
      <c r="IBI44" s="2842"/>
      <c r="IBJ44" s="2842"/>
      <c r="IBK44" s="2843"/>
      <c r="IBL44" s="2843"/>
      <c r="IBM44" s="2844"/>
      <c r="IBN44" s="2845"/>
      <c r="IBO44" s="2842"/>
      <c r="IBP44" s="2842"/>
      <c r="IBQ44" s="2843"/>
      <c r="IBR44" s="2843"/>
      <c r="IBS44" s="2844"/>
      <c r="IBT44" s="2845"/>
      <c r="IBU44" s="2842"/>
      <c r="IBV44" s="2842"/>
      <c r="IBW44" s="2843"/>
      <c r="IBX44" s="2843"/>
      <c r="IBY44" s="2844"/>
      <c r="IBZ44" s="2845"/>
      <c r="ICA44" s="2842"/>
      <c r="ICB44" s="2842"/>
      <c r="ICC44" s="2843"/>
      <c r="ICD44" s="2843"/>
      <c r="ICE44" s="2844"/>
      <c r="ICF44" s="2845"/>
      <c r="ICG44" s="2842"/>
      <c r="ICH44" s="2842"/>
      <c r="ICI44" s="2843"/>
      <c r="ICJ44" s="2843"/>
      <c r="ICK44" s="2844"/>
      <c r="ICL44" s="2845"/>
      <c r="ICM44" s="2842"/>
      <c r="ICN44" s="2842"/>
      <c r="ICO44" s="2843"/>
      <c r="ICP44" s="2843"/>
      <c r="ICQ44" s="2844"/>
      <c r="ICR44" s="2845"/>
      <c r="ICS44" s="2842"/>
      <c r="ICT44" s="2842"/>
      <c r="ICU44" s="2843"/>
      <c r="ICV44" s="2843"/>
      <c r="ICW44" s="2844"/>
      <c r="ICX44" s="2845"/>
      <c r="ICY44" s="2842"/>
      <c r="ICZ44" s="2842"/>
      <c r="IDA44" s="2843"/>
      <c r="IDB44" s="2843"/>
      <c r="IDC44" s="2844"/>
      <c r="IDD44" s="2845"/>
      <c r="IDE44" s="2842"/>
      <c r="IDF44" s="2842"/>
      <c r="IDG44" s="2843"/>
      <c r="IDH44" s="2843"/>
      <c r="IDI44" s="2844"/>
      <c r="IDJ44" s="2845"/>
      <c r="IDK44" s="2842"/>
      <c r="IDL44" s="2842"/>
      <c r="IDM44" s="2843"/>
      <c r="IDN44" s="2843"/>
      <c r="IDO44" s="2844"/>
      <c r="IDP44" s="2845"/>
      <c r="IDQ44" s="2842"/>
      <c r="IDR44" s="2842"/>
      <c r="IDS44" s="2843"/>
      <c r="IDT44" s="2843"/>
      <c r="IDU44" s="2844"/>
      <c r="IDV44" s="2845"/>
      <c r="IDW44" s="2842"/>
      <c r="IDX44" s="2842"/>
      <c r="IDY44" s="2843"/>
      <c r="IDZ44" s="2843"/>
      <c r="IEA44" s="2844"/>
      <c r="IEB44" s="2845"/>
      <c r="IEC44" s="2842"/>
      <c r="IED44" s="2842"/>
      <c r="IEE44" s="2843"/>
      <c r="IEF44" s="2843"/>
      <c r="IEG44" s="2844"/>
      <c r="IEH44" s="2845"/>
      <c r="IEI44" s="2842"/>
      <c r="IEJ44" s="2842"/>
      <c r="IEK44" s="2843"/>
      <c r="IEL44" s="2843"/>
      <c r="IEM44" s="2844"/>
      <c r="IEN44" s="2845"/>
      <c r="IEO44" s="2842"/>
      <c r="IEP44" s="2842"/>
      <c r="IEQ44" s="2843"/>
      <c r="IER44" s="2843"/>
      <c r="IES44" s="2844"/>
      <c r="IET44" s="2845"/>
      <c r="IEU44" s="2842"/>
      <c r="IEV44" s="2842"/>
      <c r="IEW44" s="2843"/>
      <c r="IEX44" s="2843"/>
      <c r="IEY44" s="2844"/>
      <c r="IEZ44" s="2845"/>
      <c r="IFA44" s="2842"/>
      <c r="IFB44" s="2842"/>
      <c r="IFC44" s="2843"/>
      <c r="IFD44" s="2843"/>
      <c r="IFE44" s="2844"/>
      <c r="IFF44" s="2845"/>
      <c r="IFG44" s="2842"/>
      <c r="IFH44" s="2842"/>
      <c r="IFI44" s="2843"/>
      <c r="IFJ44" s="2843"/>
      <c r="IFK44" s="2844"/>
      <c r="IFL44" s="2845"/>
      <c r="IFM44" s="2842"/>
      <c r="IFN44" s="2842"/>
      <c r="IFO44" s="2843"/>
      <c r="IFP44" s="2843"/>
      <c r="IFQ44" s="2844"/>
      <c r="IFR44" s="2845"/>
      <c r="IFS44" s="2842"/>
      <c r="IFT44" s="2842"/>
      <c r="IFU44" s="2843"/>
      <c r="IFV44" s="2843"/>
      <c r="IFW44" s="2844"/>
      <c r="IFX44" s="2845"/>
      <c r="IFY44" s="2842"/>
      <c r="IFZ44" s="2842"/>
      <c r="IGA44" s="2843"/>
      <c r="IGB44" s="2843"/>
      <c r="IGC44" s="2844"/>
      <c r="IGD44" s="2845"/>
      <c r="IGE44" s="2842"/>
      <c r="IGF44" s="2842"/>
      <c r="IGG44" s="2843"/>
      <c r="IGH44" s="2843"/>
      <c r="IGI44" s="2844"/>
      <c r="IGJ44" s="2845"/>
      <c r="IGK44" s="2842"/>
      <c r="IGL44" s="2842"/>
      <c r="IGM44" s="2843"/>
      <c r="IGN44" s="2843"/>
      <c r="IGO44" s="2844"/>
      <c r="IGP44" s="2845"/>
      <c r="IGQ44" s="2842"/>
      <c r="IGR44" s="2842"/>
      <c r="IGS44" s="2843"/>
      <c r="IGT44" s="2843"/>
      <c r="IGU44" s="2844"/>
      <c r="IGV44" s="2845"/>
      <c r="IGW44" s="2842"/>
      <c r="IGX44" s="2842"/>
      <c r="IGY44" s="2843"/>
      <c r="IGZ44" s="2843"/>
      <c r="IHA44" s="2844"/>
      <c r="IHB44" s="2845"/>
      <c r="IHC44" s="2842"/>
      <c r="IHD44" s="2842"/>
      <c r="IHE44" s="2843"/>
      <c r="IHF44" s="2843"/>
      <c r="IHG44" s="2844"/>
      <c r="IHH44" s="2845"/>
      <c r="IHI44" s="2842"/>
      <c r="IHJ44" s="2842"/>
      <c r="IHK44" s="2843"/>
      <c r="IHL44" s="2843"/>
      <c r="IHM44" s="2844"/>
      <c r="IHN44" s="2845"/>
      <c r="IHO44" s="2842"/>
      <c r="IHP44" s="2842"/>
      <c r="IHQ44" s="2843"/>
      <c r="IHR44" s="2843"/>
      <c r="IHS44" s="2844"/>
      <c r="IHT44" s="2845"/>
      <c r="IHU44" s="2842"/>
      <c r="IHV44" s="2842"/>
      <c r="IHW44" s="2843"/>
      <c r="IHX44" s="2843"/>
      <c r="IHY44" s="2844"/>
      <c r="IHZ44" s="2845"/>
      <c r="IIA44" s="2842"/>
      <c r="IIB44" s="2842"/>
      <c r="IIC44" s="2843"/>
      <c r="IID44" s="2843"/>
      <c r="IIE44" s="2844"/>
      <c r="IIF44" s="2845"/>
      <c r="IIG44" s="2842"/>
      <c r="IIH44" s="2842"/>
      <c r="III44" s="2843"/>
      <c r="IIJ44" s="2843"/>
      <c r="IIK44" s="2844"/>
      <c r="IIL44" s="2845"/>
      <c r="IIM44" s="2842"/>
      <c r="IIN44" s="2842"/>
      <c r="IIO44" s="2843"/>
      <c r="IIP44" s="2843"/>
      <c r="IIQ44" s="2844"/>
      <c r="IIR44" s="2845"/>
      <c r="IIS44" s="2842"/>
      <c r="IIT44" s="2842"/>
      <c r="IIU44" s="2843"/>
      <c r="IIV44" s="2843"/>
      <c r="IIW44" s="2844"/>
      <c r="IIX44" s="2845"/>
      <c r="IIY44" s="2842"/>
      <c r="IIZ44" s="2842"/>
      <c r="IJA44" s="2843"/>
      <c r="IJB44" s="2843"/>
      <c r="IJC44" s="2844"/>
      <c r="IJD44" s="2845"/>
      <c r="IJE44" s="2842"/>
      <c r="IJF44" s="2842"/>
      <c r="IJG44" s="2843"/>
      <c r="IJH44" s="2843"/>
      <c r="IJI44" s="2844"/>
      <c r="IJJ44" s="2845"/>
      <c r="IJK44" s="2842"/>
      <c r="IJL44" s="2842"/>
      <c r="IJM44" s="2843"/>
      <c r="IJN44" s="2843"/>
      <c r="IJO44" s="2844"/>
      <c r="IJP44" s="2845"/>
      <c r="IJQ44" s="2842"/>
      <c r="IJR44" s="2842"/>
      <c r="IJS44" s="2843"/>
      <c r="IJT44" s="2843"/>
      <c r="IJU44" s="2844"/>
      <c r="IJV44" s="2845"/>
      <c r="IJW44" s="2842"/>
      <c r="IJX44" s="2842"/>
      <c r="IJY44" s="2843"/>
      <c r="IJZ44" s="2843"/>
      <c r="IKA44" s="2844"/>
      <c r="IKB44" s="2845"/>
      <c r="IKC44" s="2842"/>
      <c r="IKD44" s="2842"/>
      <c r="IKE44" s="2843"/>
      <c r="IKF44" s="2843"/>
      <c r="IKG44" s="2844"/>
      <c r="IKH44" s="2845"/>
      <c r="IKI44" s="2842"/>
      <c r="IKJ44" s="2842"/>
      <c r="IKK44" s="2843"/>
      <c r="IKL44" s="2843"/>
      <c r="IKM44" s="2844"/>
      <c r="IKN44" s="2845"/>
      <c r="IKO44" s="2842"/>
      <c r="IKP44" s="2842"/>
      <c r="IKQ44" s="2843"/>
      <c r="IKR44" s="2843"/>
      <c r="IKS44" s="2844"/>
      <c r="IKT44" s="2845"/>
      <c r="IKU44" s="2842"/>
      <c r="IKV44" s="2842"/>
      <c r="IKW44" s="2843"/>
      <c r="IKX44" s="2843"/>
      <c r="IKY44" s="2844"/>
      <c r="IKZ44" s="2845"/>
      <c r="ILA44" s="2842"/>
      <c r="ILB44" s="2842"/>
      <c r="ILC44" s="2843"/>
      <c r="ILD44" s="2843"/>
      <c r="ILE44" s="2844"/>
      <c r="ILF44" s="2845"/>
      <c r="ILG44" s="2842"/>
      <c r="ILH44" s="2842"/>
      <c r="ILI44" s="2843"/>
      <c r="ILJ44" s="2843"/>
      <c r="ILK44" s="2844"/>
      <c r="ILL44" s="2845"/>
      <c r="ILM44" s="2842"/>
      <c r="ILN44" s="2842"/>
      <c r="ILO44" s="2843"/>
      <c r="ILP44" s="2843"/>
      <c r="ILQ44" s="2844"/>
      <c r="ILR44" s="2845"/>
      <c r="ILS44" s="2842"/>
      <c r="ILT44" s="2842"/>
      <c r="ILU44" s="2843"/>
      <c r="ILV44" s="2843"/>
      <c r="ILW44" s="2844"/>
      <c r="ILX44" s="2845"/>
      <c r="ILY44" s="2842"/>
      <c r="ILZ44" s="2842"/>
      <c r="IMA44" s="2843"/>
      <c r="IMB44" s="2843"/>
      <c r="IMC44" s="2844"/>
      <c r="IMD44" s="2845"/>
      <c r="IME44" s="2842"/>
      <c r="IMF44" s="2842"/>
      <c r="IMG44" s="2843"/>
      <c r="IMH44" s="2843"/>
      <c r="IMI44" s="2844"/>
      <c r="IMJ44" s="2845"/>
      <c r="IMK44" s="2842"/>
      <c r="IML44" s="2842"/>
      <c r="IMM44" s="2843"/>
      <c r="IMN44" s="2843"/>
      <c r="IMO44" s="2844"/>
      <c r="IMP44" s="2845"/>
      <c r="IMQ44" s="2842"/>
      <c r="IMR44" s="2842"/>
      <c r="IMS44" s="2843"/>
      <c r="IMT44" s="2843"/>
      <c r="IMU44" s="2844"/>
      <c r="IMV44" s="2845"/>
      <c r="IMW44" s="2842"/>
      <c r="IMX44" s="2842"/>
      <c r="IMY44" s="2843"/>
      <c r="IMZ44" s="2843"/>
      <c r="INA44" s="2844"/>
      <c r="INB44" s="2845"/>
      <c r="INC44" s="2842"/>
      <c r="IND44" s="2842"/>
      <c r="INE44" s="2843"/>
      <c r="INF44" s="2843"/>
      <c r="ING44" s="2844"/>
      <c r="INH44" s="2845"/>
      <c r="INI44" s="2842"/>
      <c r="INJ44" s="2842"/>
      <c r="INK44" s="2843"/>
      <c r="INL44" s="2843"/>
      <c r="INM44" s="2844"/>
      <c r="INN44" s="2845"/>
      <c r="INO44" s="2842"/>
      <c r="INP44" s="2842"/>
      <c r="INQ44" s="2843"/>
      <c r="INR44" s="2843"/>
      <c r="INS44" s="2844"/>
      <c r="INT44" s="2845"/>
      <c r="INU44" s="2842"/>
      <c r="INV44" s="2842"/>
      <c r="INW44" s="2843"/>
      <c r="INX44" s="2843"/>
      <c r="INY44" s="2844"/>
      <c r="INZ44" s="2845"/>
      <c r="IOA44" s="2842"/>
      <c r="IOB44" s="2842"/>
      <c r="IOC44" s="2843"/>
      <c r="IOD44" s="2843"/>
      <c r="IOE44" s="2844"/>
      <c r="IOF44" s="2845"/>
      <c r="IOG44" s="2842"/>
      <c r="IOH44" s="2842"/>
      <c r="IOI44" s="2843"/>
      <c r="IOJ44" s="2843"/>
      <c r="IOK44" s="2844"/>
      <c r="IOL44" s="2845"/>
      <c r="IOM44" s="2842"/>
      <c r="ION44" s="2842"/>
      <c r="IOO44" s="2843"/>
      <c r="IOP44" s="2843"/>
      <c r="IOQ44" s="2844"/>
      <c r="IOR44" s="2845"/>
      <c r="IOS44" s="2842"/>
      <c r="IOT44" s="2842"/>
      <c r="IOU44" s="2843"/>
      <c r="IOV44" s="2843"/>
      <c r="IOW44" s="2844"/>
      <c r="IOX44" s="2845"/>
      <c r="IOY44" s="2842"/>
      <c r="IOZ44" s="2842"/>
      <c r="IPA44" s="2843"/>
      <c r="IPB44" s="2843"/>
      <c r="IPC44" s="2844"/>
      <c r="IPD44" s="2845"/>
      <c r="IPE44" s="2842"/>
      <c r="IPF44" s="2842"/>
      <c r="IPG44" s="2843"/>
      <c r="IPH44" s="2843"/>
      <c r="IPI44" s="2844"/>
      <c r="IPJ44" s="2845"/>
      <c r="IPK44" s="2842"/>
      <c r="IPL44" s="2842"/>
      <c r="IPM44" s="2843"/>
      <c r="IPN44" s="2843"/>
      <c r="IPO44" s="2844"/>
      <c r="IPP44" s="2845"/>
      <c r="IPQ44" s="2842"/>
      <c r="IPR44" s="2842"/>
      <c r="IPS44" s="2843"/>
      <c r="IPT44" s="2843"/>
      <c r="IPU44" s="2844"/>
      <c r="IPV44" s="2845"/>
      <c r="IPW44" s="2842"/>
      <c r="IPX44" s="2842"/>
      <c r="IPY44" s="2843"/>
      <c r="IPZ44" s="2843"/>
      <c r="IQA44" s="2844"/>
      <c r="IQB44" s="2845"/>
      <c r="IQC44" s="2842"/>
      <c r="IQD44" s="2842"/>
      <c r="IQE44" s="2843"/>
      <c r="IQF44" s="2843"/>
      <c r="IQG44" s="2844"/>
      <c r="IQH44" s="2845"/>
      <c r="IQI44" s="2842"/>
      <c r="IQJ44" s="2842"/>
      <c r="IQK44" s="2843"/>
      <c r="IQL44" s="2843"/>
      <c r="IQM44" s="2844"/>
      <c r="IQN44" s="2845"/>
      <c r="IQO44" s="2842"/>
      <c r="IQP44" s="2842"/>
      <c r="IQQ44" s="2843"/>
      <c r="IQR44" s="2843"/>
      <c r="IQS44" s="2844"/>
      <c r="IQT44" s="2845"/>
      <c r="IQU44" s="2842"/>
      <c r="IQV44" s="2842"/>
      <c r="IQW44" s="2843"/>
      <c r="IQX44" s="2843"/>
      <c r="IQY44" s="2844"/>
      <c r="IQZ44" s="2845"/>
      <c r="IRA44" s="2842"/>
      <c r="IRB44" s="2842"/>
      <c r="IRC44" s="2843"/>
      <c r="IRD44" s="2843"/>
      <c r="IRE44" s="2844"/>
      <c r="IRF44" s="2845"/>
      <c r="IRG44" s="2842"/>
      <c r="IRH44" s="2842"/>
      <c r="IRI44" s="2843"/>
      <c r="IRJ44" s="2843"/>
      <c r="IRK44" s="2844"/>
      <c r="IRL44" s="2845"/>
      <c r="IRM44" s="2842"/>
      <c r="IRN44" s="2842"/>
      <c r="IRO44" s="2843"/>
      <c r="IRP44" s="2843"/>
      <c r="IRQ44" s="2844"/>
      <c r="IRR44" s="2845"/>
      <c r="IRS44" s="2842"/>
      <c r="IRT44" s="2842"/>
      <c r="IRU44" s="2843"/>
      <c r="IRV44" s="2843"/>
      <c r="IRW44" s="2844"/>
      <c r="IRX44" s="2845"/>
      <c r="IRY44" s="2842"/>
      <c r="IRZ44" s="2842"/>
      <c r="ISA44" s="2843"/>
      <c r="ISB44" s="2843"/>
      <c r="ISC44" s="2844"/>
      <c r="ISD44" s="2845"/>
      <c r="ISE44" s="2842"/>
      <c r="ISF44" s="2842"/>
      <c r="ISG44" s="2843"/>
      <c r="ISH44" s="2843"/>
      <c r="ISI44" s="2844"/>
      <c r="ISJ44" s="2845"/>
      <c r="ISK44" s="2842"/>
      <c r="ISL44" s="2842"/>
      <c r="ISM44" s="2843"/>
      <c r="ISN44" s="2843"/>
      <c r="ISO44" s="2844"/>
      <c r="ISP44" s="2845"/>
      <c r="ISQ44" s="2842"/>
      <c r="ISR44" s="2842"/>
      <c r="ISS44" s="2843"/>
      <c r="IST44" s="2843"/>
      <c r="ISU44" s="2844"/>
      <c r="ISV44" s="2845"/>
      <c r="ISW44" s="2842"/>
      <c r="ISX44" s="2842"/>
      <c r="ISY44" s="2843"/>
      <c r="ISZ44" s="2843"/>
      <c r="ITA44" s="2844"/>
      <c r="ITB44" s="2845"/>
      <c r="ITC44" s="2842"/>
      <c r="ITD44" s="2842"/>
      <c r="ITE44" s="2843"/>
      <c r="ITF44" s="2843"/>
      <c r="ITG44" s="2844"/>
      <c r="ITH44" s="2845"/>
      <c r="ITI44" s="2842"/>
      <c r="ITJ44" s="2842"/>
      <c r="ITK44" s="2843"/>
      <c r="ITL44" s="2843"/>
      <c r="ITM44" s="2844"/>
      <c r="ITN44" s="2845"/>
      <c r="ITO44" s="2842"/>
      <c r="ITP44" s="2842"/>
      <c r="ITQ44" s="2843"/>
      <c r="ITR44" s="2843"/>
      <c r="ITS44" s="2844"/>
      <c r="ITT44" s="2845"/>
      <c r="ITU44" s="2842"/>
      <c r="ITV44" s="2842"/>
      <c r="ITW44" s="2843"/>
      <c r="ITX44" s="2843"/>
      <c r="ITY44" s="2844"/>
      <c r="ITZ44" s="2845"/>
      <c r="IUA44" s="2842"/>
      <c r="IUB44" s="2842"/>
      <c r="IUC44" s="2843"/>
      <c r="IUD44" s="2843"/>
      <c r="IUE44" s="2844"/>
      <c r="IUF44" s="2845"/>
      <c r="IUG44" s="2842"/>
      <c r="IUH44" s="2842"/>
      <c r="IUI44" s="2843"/>
      <c r="IUJ44" s="2843"/>
      <c r="IUK44" s="2844"/>
      <c r="IUL44" s="2845"/>
      <c r="IUM44" s="2842"/>
      <c r="IUN44" s="2842"/>
      <c r="IUO44" s="2843"/>
      <c r="IUP44" s="2843"/>
      <c r="IUQ44" s="2844"/>
      <c r="IUR44" s="2845"/>
      <c r="IUS44" s="2842"/>
      <c r="IUT44" s="2842"/>
      <c r="IUU44" s="2843"/>
      <c r="IUV44" s="2843"/>
      <c r="IUW44" s="2844"/>
      <c r="IUX44" s="2845"/>
      <c r="IUY44" s="2842"/>
      <c r="IUZ44" s="2842"/>
      <c r="IVA44" s="2843"/>
      <c r="IVB44" s="2843"/>
      <c r="IVC44" s="2844"/>
      <c r="IVD44" s="2845"/>
      <c r="IVE44" s="2842"/>
      <c r="IVF44" s="2842"/>
      <c r="IVG44" s="2843"/>
      <c r="IVH44" s="2843"/>
      <c r="IVI44" s="2844"/>
      <c r="IVJ44" s="2845"/>
      <c r="IVK44" s="2842"/>
      <c r="IVL44" s="2842"/>
      <c r="IVM44" s="2843"/>
      <c r="IVN44" s="2843"/>
      <c r="IVO44" s="2844"/>
      <c r="IVP44" s="2845"/>
      <c r="IVQ44" s="2842"/>
      <c r="IVR44" s="2842"/>
      <c r="IVS44" s="2843"/>
      <c r="IVT44" s="2843"/>
      <c r="IVU44" s="2844"/>
      <c r="IVV44" s="2845"/>
      <c r="IVW44" s="2842"/>
      <c r="IVX44" s="2842"/>
      <c r="IVY44" s="2843"/>
      <c r="IVZ44" s="2843"/>
      <c r="IWA44" s="2844"/>
      <c r="IWB44" s="2845"/>
      <c r="IWC44" s="2842"/>
      <c r="IWD44" s="2842"/>
      <c r="IWE44" s="2843"/>
      <c r="IWF44" s="2843"/>
      <c r="IWG44" s="2844"/>
      <c r="IWH44" s="2845"/>
      <c r="IWI44" s="2842"/>
      <c r="IWJ44" s="2842"/>
      <c r="IWK44" s="2843"/>
      <c r="IWL44" s="2843"/>
      <c r="IWM44" s="2844"/>
      <c r="IWN44" s="2845"/>
      <c r="IWO44" s="2842"/>
      <c r="IWP44" s="2842"/>
      <c r="IWQ44" s="2843"/>
      <c r="IWR44" s="2843"/>
      <c r="IWS44" s="2844"/>
      <c r="IWT44" s="2845"/>
      <c r="IWU44" s="2842"/>
      <c r="IWV44" s="2842"/>
      <c r="IWW44" s="2843"/>
      <c r="IWX44" s="2843"/>
      <c r="IWY44" s="2844"/>
      <c r="IWZ44" s="2845"/>
      <c r="IXA44" s="2842"/>
      <c r="IXB44" s="2842"/>
      <c r="IXC44" s="2843"/>
      <c r="IXD44" s="2843"/>
      <c r="IXE44" s="2844"/>
      <c r="IXF44" s="2845"/>
      <c r="IXG44" s="2842"/>
      <c r="IXH44" s="2842"/>
      <c r="IXI44" s="2843"/>
      <c r="IXJ44" s="2843"/>
      <c r="IXK44" s="2844"/>
      <c r="IXL44" s="2845"/>
      <c r="IXM44" s="2842"/>
      <c r="IXN44" s="2842"/>
      <c r="IXO44" s="2843"/>
      <c r="IXP44" s="2843"/>
      <c r="IXQ44" s="2844"/>
      <c r="IXR44" s="2845"/>
      <c r="IXS44" s="2842"/>
      <c r="IXT44" s="2842"/>
      <c r="IXU44" s="2843"/>
      <c r="IXV44" s="2843"/>
      <c r="IXW44" s="2844"/>
      <c r="IXX44" s="2845"/>
      <c r="IXY44" s="2842"/>
      <c r="IXZ44" s="2842"/>
      <c r="IYA44" s="2843"/>
      <c r="IYB44" s="2843"/>
      <c r="IYC44" s="2844"/>
      <c r="IYD44" s="2845"/>
      <c r="IYE44" s="2842"/>
      <c r="IYF44" s="2842"/>
      <c r="IYG44" s="2843"/>
      <c r="IYH44" s="2843"/>
      <c r="IYI44" s="2844"/>
      <c r="IYJ44" s="2845"/>
      <c r="IYK44" s="2842"/>
      <c r="IYL44" s="2842"/>
      <c r="IYM44" s="2843"/>
      <c r="IYN44" s="2843"/>
      <c r="IYO44" s="2844"/>
      <c r="IYP44" s="2845"/>
      <c r="IYQ44" s="2842"/>
      <c r="IYR44" s="2842"/>
      <c r="IYS44" s="2843"/>
      <c r="IYT44" s="2843"/>
      <c r="IYU44" s="2844"/>
      <c r="IYV44" s="2845"/>
      <c r="IYW44" s="2842"/>
      <c r="IYX44" s="2842"/>
      <c r="IYY44" s="2843"/>
      <c r="IYZ44" s="2843"/>
      <c r="IZA44" s="2844"/>
      <c r="IZB44" s="2845"/>
      <c r="IZC44" s="2842"/>
      <c r="IZD44" s="2842"/>
      <c r="IZE44" s="2843"/>
      <c r="IZF44" s="2843"/>
      <c r="IZG44" s="2844"/>
      <c r="IZH44" s="2845"/>
      <c r="IZI44" s="2842"/>
      <c r="IZJ44" s="2842"/>
      <c r="IZK44" s="2843"/>
      <c r="IZL44" s="2843"/>
      <c r="IZM44" s="2844"/>
      <c r="IZN44" s="2845"/>
      <c r="IZO44" s="2842"/>
      <c r="IZP44" s="2842"/>
      <c r="IZQ44" s="2843"/>
      <c r="IZR44" s="2843"/>
      <c r="IZS44" s="2844"/>
      <c r="IZT44" s="2845"/>
      <c r="IZU44" s="2842"/>
      <c r="IZV44" s="2842"/>
      <c r="IZW44" s="2843"/>
      <c r="IZX44" s="2843"/>
      <c r="IZY44" s="2844"/>
      <c r="IZZ44" s="2845"/>
      <c r="JAA44" s="2842"/>
      <c r="JAB44" s="2842"/>
      <c r="JAC44" s="2843"/>
      <c r="JAD44" s="2843"/>
      <c r="JAE44" s="2844"/>
      <c r="JAF44" s="2845"/>
      <c r="JAG44" s="2842"/>
      <c r="JAH44" s="2842"/>
      <c r="JAI44" s="2843"/>
      <c r="JAJ44" s="2843"/>
      <c r="JAK44" s="2844"/>
      <c r="JAL44" s="2845"/>
      <c r="JAM44" s="2842"/>
      <c r="JAN44" s="2842"/>
      <c r="JAO44" s="2843"/>
      <c r="JAP44" s="2843"/>
      <c r="JAQ44" s="2844"/>
      <c r="JAR44" s="2845"/>
      <c r="JAS44" s="2842"/>
      <c r="JAT44" s="2842"/>
      <c r="JAU44" s="2843"/>
      <c r="JAV44" s="2843"/>
      <c r="JAW44" s="2844"/>
      <c r="JAX44" s="2845"/>
      <c r="JAY44" s="2842"/>
      <c r="JAZ44" s="2842"/>
      <c r="JBA44" s="2843"/>
      <c r="JBB44" s="2843"/>
      <c r="JBC44" s="2844"/>
      <c r="JBD44" s="2845"/>
      <c r="JBE44" s="2842"/>
      <c r="JBF44" s="2842"/>
      <c r="JBG44" s="2843"/>
      <c r="JBH44" s="2843"/>
      <c r="JBI44" s="2844"/>
      <c r="JBJ44" s="2845"/>
      <c r="JBK44" s="2842"/>
      <c r="JBL44" s="2842"/>
      <c r="JBM44" s="2843"/>
      <c r="JBN44" s="2843"/>
      <c r="JBO44" s="2844"/>
      <c r="JBP44" s="2845"/>
      <c r="JBQ44" s="2842"/>
      <c r="JBR44" s="2842"/>
      <c r="JBS44" s="2843"/>
      <c r="JBT44" s="2843"/>
      <c r="JBU44" s="2844"/>
      <c r="JBV44" s="2845"/>
      <c r="JBW44" s="2842"/>
      <c r="JBX44" s="2842"/>
      <c r="JBY44" s="2843"/>
      <c r="JBZ44" s="2843"/>
      <c r="JCA44" s="2844"/>
      <c r="JCB44" s="2845"/>
      <c r="JCC44" s="2842"/>
      <c r="JCD44" s="2842"/>
      <c r="JCE44" s="2843"/>
      <c r="JCF44" s="2843"/>
      <c r="JCG44" s="2844"/>
      <c r="JCH44" s="2845"/>
      <c r="JCI44" s="2842"/>
      <c r="JCJ44" s="2842"/>
      <c r="JCK44" s="2843"/>
      <c r="JCL44" s="2843"/>
      <c r="JCM44" s="2844"/>
      <c r="JCN44" s="2845"/>
      <c r="JCO44" s="2842"/>
      <c r="JCP44" s="2842"/>
      <c r="JCQ44" s="2843"/>
      <c r="JCR44" s="2843"/>
      <c r="JCS44" s="2844"/>
      <c r="JCT44" s="2845"/>
      <c r="JCU44" s="2842"/>
      <c r="JCV44" s="2842"/>
      <c r="JCW44" s="2843"/>
      <c r="JCX44" s="2843"/>
      <c r="JCY44" s="2844"/>
      <c r="JCZ44" s="2845"/>
      <c r="JDA44" s="2842"/>
      <c r="JDB44" s="2842"/>
      <c r="JDC44" s="2843"/>
      <c r="JDD44" s="2843"/>
      <c r="JDE44" s="2844"/>
      <c r="JDF44" s="2845"/>
      <c r="JDG44" s="2842"/>
      <c r="JDH44" s="2842"/>
      <c r="JDI44" s="2843"/>
      <c r="JDJ44" s="2843"/>
      <c r="JDK44" s="2844"/>
      <c r="JDL44" s="2845"/>
      <c r="JDM44" s="2842"/>
      <c r="JDN44" s="2842"/>
      <c r="JDO44" s="2843"/>
      <c r="JDP44" s="2843"/>
      <c r="JDQ44" s="2844"/>
      <c r="JDR44" s="2845"/>
      <c r="JDS44" s="2842"/>
      <c r="JDT44" s="2842"/>
      <c r="JDU44" s="2843"/>
      <c r="JDV44" s="2843"/>
      <c r="JDW44" s="2844"/>
      <c r="JDX44" s="2845"/>
      <c r="JDY44" s="2842"/>
      <c r="JDZ44" s="2842"/>
      <c r="JEA44" s="2843"/>
      <c r="JEB44" s="2843"/>
      <c r="JEC44" s="2844"/>
      <c r="JED44" s="2845"/>
      <c r="JEE44" s="2842"/>
      <c r="JEF44" s="2842"/>
      <c r="JEG44" s="2843"/>
      <c r="JEH44" s="2843"/>
      <c r="JEI44" s="2844"/>
      <c r="JEJ44" s="2845"/>
      <c r="JEK44" s="2842"/>
      <c r="JEL44" s="2842"/>
      <c r="JEM44" s="2843"/>
      <c r="JEN44" s="2843"/>
      <c r="JEO44" s="2844"/>
      <c r="JEP44" s="2845"/>
      <c r="JEQ44" s="2842"/>
      <c r="JER44" s="2842"/>
      <c r="JES44" s="2843"/>
      <c r="JET44" s="2843"/>
      <c r="JEU44" s="2844"/>
      <c r="JEV44" s="2845"/>
      <c r="JEW44" s="2842"/>
      <c r="JEX44" s="2842"/>
      <c r="JEY44" s="2843"/>
      <c r="JEZ44" s="2843"/>
      <c r="JFA44" s="2844"/>
      <c r="JFB44" s="2845"/>
      <c r="JFC44" s="2842"/>
      <c r="JFD44" s="2842"/>
      <c r="JFE44" s="2843"/>
      <c r="JFF44" s="2843"/>
      <c r="JFG44" s="2844"/>
      <c r="JFH44" s="2845"/>
      <c r="JFI44" s="2842"/>
      <c r="JFJ44" s="2842"/>
      <c r="JFK44" s="2843"/>
      <c r="JFL44" s="2843"/>
      <c r="JFM44" s="2844"/>
      <c r="JFN44" s="2845"/>
      <c r="JFO44" s="2842"/>
      <c r="JFP44" s="2842"/>
      <c r="JFQ44" s="2843"/>
      <c r="JFR44" s="2843"/>
      <c r="JFS44" s="2844"/>
      <c r="JFT44" s="2845"/>
      <c r="JFU44" s="2842"/>
      <c r="JFV44" s="2842"/>
      <c r="JFW44" s="2843"/>
      <c r="JFX44" s="2843"/>
      <c r="JFY44" s="2844"/>
      <c r="JFZ44" s="2845"/>
      <c r="JGA44" s="2842"/>
      <c r="JGB44" s="2842"/>
      <c r="JGC44" s="2843"/>
      <c r="JGD44" s="2843"/>
      <c r="JGE44" s="2844"/>
      <c r="JGF44" s="2845"/>
      <c r="JGG44" s="2842"/>
      <c r="JGH44" s="2842"/>
      <c r="JGI44" s="2843"/>
      <c r="JGJ44" s="2843"/>
      <c r="JGK44" s="2844"/>
      <c r="JGL44" s="2845"/>
      <c r="JGM44" s="2842"/>
      <c r="JGN44" s="2842"/>
      <c r="JGO44" s="2843"/>
      <c r="JGP44" s="2843"/>
      <c r="JGQ44" s="2844"/>
      <c r="JGR44" s="2845"/>
      <c r="JGS44" s="2842"/>
      <c r="JGT44" s="2842"/>
      <c r="JGU44" s="2843"/>
      <c r="JGV44" s="2843"/>
      <c r="JGW44" s="2844"/>
      <c r="JGX44" s="2845"/>
      <c r="JGY44" s="2842"/>
      <c r="JGZ44" s="2842"/>
      <c r="JHA44" s="2843"/>
      <c r="JHB44" s="2843"/>
      <c r="JHC44" s="2844"/>
      <c r="JHD44" s="2845"/>
      <c r="JHE44" s="2842"/>
      <c r="JHF44" s="2842"/>
      <c r="JHG44" s="2843"/>
      <c r="JHH44" s="2843"/>
      <c r="JHI44" s="2844"/>
      <c r="JHJ44" s="2845"/>
      <c r="JHK44" s="2842"/>
      <c r="JHL44" s="2842"/>
      <c r="JHM44" s="2843"/>
      <c r="JHN44" s="2843"/>
      <c r="JHO44" s="2844"/>
      <c r="JHP44" s="2845"/>
      <c r="JHQ44" s="2842"/>
      <c r="JHR44" s="2842"/>
      <c r="JHS44" s="2843"/>
      <c r="JHT44" s="2843"/>
      <c r="JHU44" s="2844"/>
      <c r="JHV44" s="2845"/>
      <c r="JHW44" s="2842"/>
      <c r="JHX44" s="2842"/>
      <c r="JHY44" s="2843"/>
      <c r="JHZ44" s="2843"/>
      <c r="JIA44" s="2844"/>
      <c r="JIB44" s="2845"/>
      <c r="JIC44" s="2842"/>
      <c r="JID44" s="2842"/>
      <c r="JIE44" s="2843"/>
      <c r="JIF44" s="2843"/>
      <c r="JIG44" s="2844"/>
      <c r="JIH44" s="2845"/>
      <c r="JII44" s="2842"/>
      <c r="JIJ44" s="2842"/>
      <c r="JIK44" s="2843"/>
      <c r="JIL44" s="2843"/>
      <c r="JIM44" s="2844"/>
      <c r="JIN44" s="2845"/>
      <c r="JIO44" s="2842"/>
      <c r="JIP44" s="2842"/>
      <c r="JIQ44" s="2843"/>
      <c r="JIR44" s="2843"/>
      <c r="JIS44" s="2844"/>
      <c r="JIT44" s="2845"/>
      <c r="JIU44" s="2842"/>
      <c r="JIV44" s="2842"/>
      <c r="JIW44" s="2843"/>
      <c r="JIX44" s="2843"/>
      <c r="JIY44" s="2844"/>
      <c r="JIZ44" s="2845"/>
      <c r="JJA44" s="2842"/>
      <c r="JJB44" s="2842"/>
      <c r="JJC44" s="2843"/>
      <c r="JJD44" s="2843"/>
      <c r="JJE44" s="2844"/>
      <c r="JJF44" s="2845"/>
      <c r="JJG44" s="2842"/>
      <c r="JJH44" s="2842"/>
      <c r="JJI44" s="2843"/>
      <c r="JJJ44" s="2843"/>
      <c r="JJK44" s="2844"/>
      <c r="JJL44" s="2845"/>
      <c r="JJM44" s="2842"/>
      <c r="JJN44" s="2842"/>
      <c r="JJO44" s="2843"/>
      <c r="JJP44" s="2843"/>
      <c r="JJQ44" s="2844"/>
      <c r="JJR44" s="2845"/>
      <c r="JJS44" s="2842"/>
      <c r="JJT44" s="2842"/>
      <c r="JJU44" s="2843"/>
      <c r="JJV44" s="2843"/>
      <c r="JJW44" s="2844"/>
      <c r="JJX44" s="2845"/>
      <c r="JJY44" s="2842"/>
      <c r="JJZ44" s="2842"/>
      <c r="JKA44" s="2843"/>
      <c r="JKB44" s="2843"/>
      <c r="JKC44" s="2844"/>
      <c r="JKD44" s="2845"/>
      <c r="JKE44" s="2842"/>
      <c r="JKF44" s="2842"/>
      <c r="JKG44" s="2843"/>
      <c r="JKH44" s="2843"/>
      <c r="JKI44" s="2844"/>
      <c r="JKJ44" s="2845"/>
      <c r="JKK44" s="2842"/>
      <c r="JKL44" s="2842"/>
      <c r="JKM44" s="2843"/>
      <c r="JKN44" s="2843"/>
      <c r="JKO44" s="2844"/>
      <c r="JKP44" s="2845"/>
      <c r="JKQ44" s="2842"/>
      <c r="JKR44" s="2842"/>
      <c r="JKS44" s="2843"/>
      <c r="JKT44" s="2843"/>
      <c r="JKU44" s="2844"/>
      <c r="JKV44" s="2845"/>
      <c r="JKW44" s="2842"/>
      <c r="JKX44" s="2842"/>
      <c r="JKY44" s="2843"/>
      <c r="JKZ44" s="2843"/>
      <c r="JLA44" s="2844"/>
      <c r="JLB44" s="2845"/>
      <c r="JLC44" s="2842"/>
      <c r="JLD44" s="2842"/>
      <c r="JLE44" s="2843"/>
      <c r="JLF44" s="2843"/>
      <c r="JLG44" s="2844"/>
      <c r="JLH44" s="2845"/>
      <c r="JLI44" s="2842"/>
      <c r="JLJ44" s="2842"/>
      <c r="JLK44" s="2843"/>
      <c r="JLL44" s="2843"/>
      <c r="JLM44" s="2844"/>
      <c r="JLN44" s="2845"/>
      <c r="JLO44" s="2842"/>
      <c r="JLP44" s="2842"/>
      <c r="JLQ44" s="2843"/>
      <c r="JLR44" s="2843"/>
      <c r="JLS44" s="2844"/>
      <c r="JLT44" s="2845"/>
      <c r="JLU44" s="2842"/>
      <c r="JLV44" s="2842"/>
      <c r="JLW44" s="2843"/>
      <c r="JLX44" s="2843"/>
      <c r="JLY44" s="2844"/>
      <c r="JLZ44" s="2845"/>
      <c r="JMA44" s="2842"/>
      <c r="JMB44" s="2842"/>
      <c r="JMC44" s="2843"/>
      <c r="JMD44" s="2843"/>
      <c r="JME44" s="2844"/>
      <c r="JMF44" s="2845"/>
      <c r="JMG44" s="2842"/>
      <c r="JMH44" s="2842"/>
      <c r="JMI44" s="2843"/>
      <c r="JMJ44" s="2843"/>
      <c r="JMK44" s="2844"/>
      <c r="JML44" s="2845"/>
      <c r="JMM44" s="2842"/>
      <c r="JMN44" s="2842"/>
      <c r="JMO44" s="2843"/>
      <c r="JMP44" s="2843"/>
      <c r="JMQ44" s="2844"/>
      <c r="JMR44" s="2845"/>
      <c r="JMS44" s="2842"/>
      <c r="JMT44" s="2842"/>
      <c r="JMU44" s="2843"/>
      <c r="JMV44" s="2843"/>
      <c r="JMW44" s="2844"/>
      <c r="JMX44" s="2845"/>
      <c r="JMY44" s="2842"/>
      <c r="JMZ44" s="2842"/>
      <c r="JNA44" s="2843"/>
      <c r="JNB44" s="2843"/>
      <c r="JNC44" s="2844"/>
      <c r="JND44" s="2845"/>
      <c r="JNE44" s="2842"/>
      <c r="JNF44" s="2842"/>
      <c r="JNG44" s="2843"/>
      <c r="JNH44" s="2843"/>
      <c r="JNI44" s="2844"/>
      <c r="JNJ44" s="2845"/>
      <c r="JNK44" s="2842"/>
      <c r="JNL44" s="2842"/>
      <c r="JNM44" s="2843"/>
      <c r="JNN44" s="2843"/>
      <c r="JNO44" s="2844"/>
      <c r="JNP44" s="2845"/>
      <c r="JNQ44" s="2842"/>
      <c r="JNR44" s="2842"/>
      <c r="JNS44" s="2843"/>
      <c r="JNT44" s="2843"/>
      <c r="JNU44" s="2844"/>
      <c r="JNV44" s="2845"/>
      <c r="JNW44" s="2842"/>
      <c r="JNX44" s="2842"/>
      <c r="JNY44" s="2843"/>
      <c r="JNZ44" s="2843"/>
      <c r="JOA44" s="2844"/>
      <c r="JOB44" s="2845"/>
      <c r="JOC44" s="2842"/>
      <c r="JOD44" s="2842"/>
      <c r="JOE44" s="2843"/>
      <c r="JOF44" s="2843"/>
      <c r="JOG44" s="2844"/>
      <c r="JOH44" s="2845"/>
      <c r="JOI44" s="2842"/>
      <c r="JOJ44" s="2842"/>
      <c r="JOK44" s="2843"/>
      <c r="JOL44" s="2843"/>
      <c r="JOM44" s="2844"/>
      <c r="JON44" s="2845"/>
      <c r="JOO44" s="2842"/>
      <c r="JOP44" s="2842"/>
      <c r="JOQ44" s="2843"/>
      <c r="JOR44" s="2843"/>
      <c r="JOS44" s="2844"/>
      <c r="JOT44" s="2845"/>
      <c r="JOU44" s="2842"/>
      <c r="JOV44" s="2842"/>
      <c r="JOW44" s="2843"/>
      <c r="JOX44" s="2843"/>
      <c r="JOY44" s="2844"/>
      <c r="JOZ44" s="2845"/>
      <c r="JPA44" s="2842"/>
      <c r="JPB44" s="2842"/>
      <c r="JPC44" s="2843"/>
      <c r="JPD44" s="2843"/>
      <c r="JPE44" s="2844"/>
      <c r="JPF44" s="2845"/>
      <c r="JPG44" s="2842"/>
      <c r="JPH44" s="2842"/>
      <c r="JPI44" s="2843"/>
      <c r="JPJ44" s="2843"/>
      <c r="JPK44" s="2844"/>
      <c r="JPL44" s="2845"/>
      <c r="JPM44" s="2842"/>
      <c r="JPN44" s="2842"/>
      <c r="JPO44" s="2843"/>
      <c r="JPP44" s="2843"/>
      <c r="JPQ44" s="2844"/>
      <c r="JPR44" s="2845"/>
      <c r="JPS44" s="2842"/>
      <c r="JPT44" s="2842"/>
      <c r="JPU44" s="2843"/>
      <c r="JPV44" s="2843"/>
      <c r="JPW44" s="2844"/>
      <c r="JPX44" s="2845"/>
      <c r="JPY44" s="2842"/>
      <c r="JPZ44" s="2842"/>
      <c r="JQA44" s="2843"/>
      <c r="JQB44" s="2843"/>
      <c r="JQC44" s="2844"/>
      <c r="JQD44" s="2845"/>
      <c r="JQE44" s="2842"/>
      <c r="JQF44" s="2842"/>
      <c r="JQG44" s="2843"/>
      <c r="JQH44" s="2843"/>
      <c r="JQI44" s="2844"/>
      <c r="JQJ44" s="2845"/>
      <c r="JQK44" s="2842"/>
      <c r="JQL44" s="2842"/>
      <c r="JQM44" s="2843"/>
      <c r="JQN44" s="2843"/>
      <c r="JQO44" s="2844"/>
      <c r="JQP44" s="2845"/>
      <c r="JQQ44" s="2842"/>
      <c r="JQR44" s="2842"/>
      <c r="JQS44" s="2843"/>
      <c r="JQT44" s="2843"/>
      <c r="JQU44" s="2844"/>
      <c r="JQV44" s="2845"/>
      <c r="JQW44" s="2842"/>
      <c r="JQX44" s="2842"/>
      <c r="JQY44" s="2843"/>
      <c r="JQZ44" s="2843"/>
      <c r="JRA44" s="2844"/>
      <c r="JRB44" s="2845"/>
      <c r="JRC44" s="2842"/>
      <c r="JRD44" s="2842"/>
      <c r="JRE44" s="2843"/>
      <c r="JRF44" s="2843"/>
      <c r="JRG44" s="2844"/>
      <c r="JRH44" s="2845"/>
      <c r="JRI44" s="2842"/>
      <c r="JRJ44" s="2842"/>
      <c r="JRK44" s="2843"/>
      <c r="JRL44" s="2843"/>
      <c r="JRM44" s="2844"/>
      <c r="JRN44" s="2845"/>
      <c r="JRO44" s="2842"/>
      <c r="JRP44" s="2842"/>
      <c r="JRQ44" s="2843"/>
      <c r="JRR44" s="2843"/>
      <c r="JRS44" s="2844"/>
      <c r="JRT44" s="2845"/>
      <c r="JRU44" s="2842"/>
      <c r="JRV44" s="2842"/>
      <c r="JRW44" s="2843"/>
      <c r="JRX44" s="2843"/>
      <c r="JRY44" s="2844"/>
      <c r="JRZ44" s="2845"/>
      <c r="JSA44" s="2842"/>
      <c r="JSB44" s="2842"/>
      <c r="JSC44" s="2843"/>
      <c r="JSD44" s="2843"/>
      <c r="JSE44" s="2844"/>
      <c r="JSF44" s="2845"/>
      <c r="JSG44" s="2842"/>
      <c r="JSH44" s="2842"/>
      <c r="JSI44" s="2843"/>
      <c r="JSJ44" s="2843"/>
      <c r="JSK44" s="2844"/>
      <c r="JSL44" s="2845"/>
      <c r="JSM44" s="2842"/>
      <c r="JSN44" s="2842"/>
      <c r="JSO44" s="2843"/>
      <c r="JSP44" s="2843"/>
      <c r="JSQ44" s="2844"/>
      <c r="JSR44" s="2845"/>
      <c r="JSS44" s="2842"/>
      <c r="JST44" s="2842"/>
      <c r="JSU44" s="2843"/>
      <c r="JSV44" s="2843"/>
      <c r="JSW44" s="2844"/>
      <c r="JSX44" s="2845"/>
      <c r="JSY44" s="2842"/>
      <c r="JSZ44" s="2842"/>
      <c r="JTA44" s="2843"/>
      <c r="JTB44" s="2843"/>
      <c r="JTC44" s="2844"/>
      <c r="JTD44" s="2845"/>
      <c r="JTE44" s="2842"/>
      <c r="JTF44" s="2842"/>
      <c r="JTG44" s="2843"/>
      <c r="JTH44" s="2843"/>
      <c r="JTI44" s="2844"/>
      <c r="JTJ44" s="2845"/>
      <c r="JTK44" s="2842"/>
      <c r="JTL44" s="2842"/>
      <c r="JTM44" s="2843"/>
      <c r="JTN44" s="2843"/>
      <c r="JTO44" s="2844"/>
      <c r="JTP44" s="2845"/>
      <c r="JTQ44" s="2842"/>
      <c r="JTR44" s="2842"/>
      <c r="JTS44" s="2843"/>
      <c r="JTT44" s="2843"/>
      <c r="JTU44" s="2844"/>
      <c r="JTV44" s="2845"/>
      <c r="JTW44" s="2842"/>
      <c r="JTX44" s="2842"/>
      <c r="JTY44" s="2843"/>
      <c r="JTZ44" s="2843"/>
      <c r="JUA44" s="2844"/>
      <c r="JUB44" s="2845"/>
      <c r="JUC44" s="2842"/>
      <c r="JUD44" s="2842"/>
      <c r="JUE44" s="2843"/>
      <c r="JUF44" s="2843"/>
      <c r="JUG44" s="2844"/>
      <c r="JUH44" s="2845"/>
      <c r="JUI44" s="2842"/>
      <c r="JUJ44" s="2842"/>
      <c r="JUK44" s="2843"/>
      <c r="JUL44" s="2843"/>
      <c r="JUM44" s="2844"/>
      <c r="JUN44" s="2845"/>
      <c r="JUO44" s="2842"/>
      <c r="JUP44" s="2842"/>
      <c r="JUQ44" s="2843"/>
      <c r="JUR44" s="2843"/>
      <c r="JUS44" s="2844"/>
      <c r="JUT44" s="2845"/>
      <c r="JUU44" s="2842"/>
      <c r="JUV44" s="2842"/>
      <c r="JUW44" s="2843"/>
      <c r="JUX44" s="2843"/>
      <c r="JUY44" s="2844"/>
      <c r="JUZ44" s="2845"/>
      <c r="JVA44" s="2842"/>
      <c r="JVB44" s="2842"/>
      <c r="JVC44" s="2843"/>
      <c r="JVD44" s="2843"/>
      <c r="JVE44" s="2844"/>
      <c r="JVF44" s="2845"/>
      <c r="JVG44" s="2842"/>
      <c r="JVH44" s="2842"/>
      <c r="JVI44" s="2843"/>
      <c r="JVJ44" s="2843"/>
      <c r="JVK44" s="2844"/>
      <c r="JVL44" s="2845"/>
      <c r="JVM44" s="2842"/>
      <c r="JVN44" s="2842"/>
      <c r="JVO44" s="2843"/>
      <c r="JVP44" s="2843"/>
      <c r="JVQ44" s="2844"/>
      <c r="JVR44" s="2845"/>
      <c r="JVS44" s="2842"/>
      <c r="JVT44" s="2842"/>
      <c r="JVU44" s="2843"/>
      <c r="JVV44" s="2843"/>
      <c r="JVW44" s="2844"/>
      <c r="JVX44" s="2845"/>
      <c r="JVY44" s="2842"/>
      <c r="JVZ44" s="2842"/>
      <c r="JWA44" s="2843"/>
      <c r="JWB44" s="2843"/>
      <c r="JWC44" s="2844"/>
      <c r="JWD44" s="2845"/>
      <c r="JWE44" s="2842"/>
      <c r="JWF44" s="2842"/>
      <c r="JWG44" s="2843"/>
      <c r="JWH44" s="2843"/>
      <c r="JWI44" s="2844"/>
      <c r="JWJ44" s="2845"/>
      <c r="JWK44" s="2842"/>
      <c r="JWL44" s="2842"/>
      <c r="JWM44" s="2843"/>
      <c r="JWN44" s="2843"/>
      <c r="JWO44" s="2844"/>
      <c r="JWP44" s="2845"/>
      <c r="JWQ44" s="2842"/>
      <c r="JWR44" s="2842"/>
      <c r="JWS44" s="2843"/>
      <c r="JWT44" s="2843"/>
      <c r="JWU44" s="2844"/>
      <c r="JWV44" s="2845"/>
      <c r="JWW44" s="2842"/>
      <c r="JWX44" s="2842"/>
      <c r="JWY44" s="2843"/>
      <c r="JWZ44" s="2843"/>
      <c r="JXA44" s="2844"/>
      <c r="JXB44" s="2845"/>
      <c r="JXC44" s="2842"/>
      <c r="JXD44" s="2842"/>
      <c r="JXE44" s="2843"/>
      <c r="JXF44" s="2843"/>
      <c r="JXG44" s="2844"/>
      <c r="JXH44" s="2845"/>
      <c r="JXI44" s="2842"/>
      <c r="JXJ44" s="2842"/>
      <c r="JXK44" s="2843"/>
      <c r="JXL44" s="2843"/>
      <c r="JXM44" s="2844"/>
      <c r="JXN44" s="2845"/>
      <c r="JXO44" s="2842"/>
      <c r="JXP44" s="2842"/>
      <c r="JXQ44" s="2843"/>
      <c r="JXR44" s="2843"/>
      <c r="JXS44" s="2844"/>
      <c r="JXT44" s="2845"/>
      <c r="JXU44" s="2842"/>
      <c r="JXV44" s="2842"/>
      <c r="JXW44" s="2843"/>
      <c r="JXX44" s="2843"/>
      <c r="JXY44" s="2844"/>
      <c r="JXZ44" s="2845"/>
      <c r="JYA44" s="2842"/>
      <c r="JYB44" s="2842"/>
      <c r="JYC44" s="2843"/>
      <c r="JYD44" s="2843"/>
      <c r="JYE44" s="2844"/>
      <c r="JYF44" s="2845"/>
      <c r="JYG44" s="2842"/>
      <c r="JYH44" s="2842"/>
      <c r="JYI44" s="2843"/>
      <c r="JYJ44" s="2843"/>
      <c r="JYK44" s="2844"/>
      <c r="JYL44" s="2845"/>
      <c r="JYM44" s="2842"/>
      <c r="JYN44" s="2842"/>
      <c r="JYO44" s="2843"/>
      <c r="JYP44" s="2843"/>
      <c r="JYQ44" s="2844"/>
      <c r="JYR44" s="2845"/>
      <c r="JYS44" s="2842"/>
      <c r="JYT44" s="2842"/>
      <c r="JYU44" s="2843"/>
      <c r="JYV44" s="2843"/>
      <c r="JYW44" s="2844"/>
      <c r="JYX44" s="2845"/>
      <c r="JYY44" s="2842"/>
      <c r="JYZ44" s="2842"/>
      <c r="JZA44" s="2843"/>
      <c r="JZB44" s="2843"/>
      <c r="JZC44" s="2844"/>
      <c r="JZD44" s="2845"/>
      <c r="JZE44" s="2842"/>
      <c r="JZF44" s="2842"/>
      <c r="JZG44" s="2843"/>
      <c r="JZH44" s="2843"/>
      <c r="JZI44" s="2844"/>
      <c r="JZJ44" s="2845"/>
      <c r="JZK44" s="2842"/>
      <c r="JZL44" s="2842"/>
      <c r="JZM44" s="2843"/>
      <c r="JZN44" s="2843"/>
      <c r="JZO44" s="2844"/>
      <c r="JZP44" s="2845"/>
      <c r="JZQ44" s="2842"/>
      <c r="JZR44" s="2842"/>
      <c r="JZS44" s="2843"/>
      <c r="JZT44" s="2843"/>
      <c r="JZU44" s="2844"/>
      <c r="JZV44" s="2845"/>
      <c r="JZW44" s="2842"/>
      <c r="JZX44" s="2842"/>
      <c r="JZY44" s="2843"/>
      <c r="JZZ44" s="2843"/>
      <c r="KAA44" s="2844"/>
      <c r="KAB44" s="2845"/>
      <c r="KAC44" s="2842"/>
      <c r="KAD44" s="2842"/>
      <c r="KAE44" s="2843"/>
      <c r="KAF44" s="2843"/>
      <c r="KAG44" s="2844"/>
      <c r="KAH44" s="2845"/>
      <c r="KAI44" s="2842"/>
      <c r="KAJ44" s="2842"/>
      <c r="KAK44" s="2843"/>
      <c r="KAL44" s="2843"/>
      <c r="KAM44" s="2844"/>
      <c r="KAN44" s="2845"/>
      <c r="KAO44" s="2842"/>
      <c r="KAP44" s="2842"/>
      <c r="KAQ44" s="2843"/>
      <c r="KAR44" s="2843"/>
      <c r="KAS44" s="2844"/>
      <c r="KAT44" s="2845"/>
      <c r="KAU44" s="2842"/>
      <c r="KAV44" s="2842"/>
      <c r="KAW44" s="2843"/>
      <c r="KAX44" s="2843"/>
      <c r="KAY44" s="2844"/>
      <c r="KAZ44" s="2845"/>
      <c r="KBA44" s="2842"/>
      <c r="KBB44" s="2842"/>
      <c r="KBC44" s="2843"/>
      <c r="KBD44" s="2843"/>
      <c r="KBE44" s="2844"/>
      <c r="KBF44" s="2845"/>
      <c r="KBG44" s="2842"/>
      <c r="KBH44" s="2842"/>
      <c r="KBI44" s="2843"/>
      <c r="KBJ44" s="2843"/>
      <c r="KBK44" s="2844"/>
      <c r="KBL44" s="2845"/>
      <c r="KBM44" s="2842"/>
      <c r="KBN44" s="2842"/>
      <c r="KBO44" s="2843"/>
      <c r="KBP44" s="2843"/>
      <c r="KBQ44" s="2844"/>
      <c r="KBR44" s="2845"/>
      <c r="KBS44" s="2842"/>
      <c r="KBT44" s="2842"/>
      <c r="KBU44" s="2843"/>
      <c r="KBV44" s="2843"/>
      <c r="KBW44" s="2844"/>
      <c r="KBX44" s="2845"/>
      <c r="KBY44" s="2842"/>
      <c r="KBZ44" s="2842"/>
      <c r="KCA44" s="2843"/>
      <c r="KCB44" s="2843"/>
      <c r="KCC44" s="2844"/>
      <c r="KCD44" s="2845"/>
      <c r="KCE44" s="2842"/>
      <c r="KCF44" s="2842"/>
      <c r="KCG44" s="2843"/>
      <c r="KCH44" s="2843"/>
      <c r="KCI44" s="2844"/>
      <c r="KCJ44" s="2845"/>
      <c r="KCK44" s="2842"/>
      <c r="KCL44" s="2842"/>
      <c r="KCM44" s="2843"/>
      <c r="KCN44" s="2843"/>
      <c r="KCO44" s="2844"/>
      <c r="KCP44" s="2845"/>
      <c r="KCQ44" s="2842"/>
      <c r="KCR44" s="2842"/>
      <c r="KCS44" s="2843"/>
      <c r="KCT44" s="2843"/>
      <c r="KCU44" s="2844"/>
      <c r="KCV44" s="2845"/>
      <c r="KCW44" s="2842"/>
      <c r="KCX44" s="2842"/>
      <c r="KCY44" s="2843"/>
      <c r="KCZ44" s="2843"/>
      <c r="KDA44" s="2844"/>
      <c r="KDB44" s="2845"/>
      <c r="KDC44" s="2842"/>
      <c r="KDD44" s="2842"/>
      <c r="KDE44" s="2843"/>
      <c r="KDF44" s="2843"/>
      <c r="KDG44" s="2844"/>
      <c r="KDH44" s="2845"/>
      <c r="KDI44" s="2842"/>
      <c r="KDJ44" s="2842"/>
      <c r="KDK44" s="2843"/>
      <c r="KDL44" s="2843"/>
      <c r="KDM44" s="2844"/>
      <c r="KDN44" s="2845"/>
      <c r="KDO44" s="2842"/>
      <c r="KDP44" s="2842"/>
      <c r="KDQ44" s="2843"/>
      <c r="KDR44" s="2843"/>
      <c r="KDS44" s="2844"/>
      <c r="KDT44" s="2845"/>
      <c r="KDU44" s="2842"/>
      <c r="KDV44" s="2842"/>
      <c r="KDW44" s="2843"/>
      <c r="KDX44" s="2843"/>
      <c r="KDY44" s="2844"/>
      <c r="KDZ44" s="2845"/>
      <c r="KEA44" s="2842"/>
      <c r="KEB44" s="2842"/>
      <c r="KEC44" s="2843"/>
      <c r="KED44" s="2843"/>
      <c r="KEE44" s="2844"/>
      <c r="KEF44" s="2845"/>
      <c r="KEG44" s="2842"/>
      <c r="KEH44" s="2842"/>
      <c r="KEI44" s="2843"/>
      <c r="KEJ44" s="2843"/>
      <c r="KEK44" s="2844"/>
      <c r="KEL44" s="2845"/>
      <c r="KEM44" s="2842"/>
      <c r="KEN44" s="2842"/>
      <c r="KEO44" s="2843"/>
      <c r="KEP44" s="2843"/>
      <c r="KEQ44" s="2844"/>
      <c r="KER44" s="2845"/>
      <c r="KES44" s="2842"/>
      <c r="KET44" s="2842"/>
      <c r="KEU44" s="2843"/>
      <c r="KEV44" s="2843"/>
      <c r="KEW44" s="2844"/>
      <c r="KEX44" s="2845"/>
      <c r="KEY44" s="2842"/>
      <c r="KEZ44" s="2842"/>
      <c r="KFA44" s="2843"/>
      <c r="KFB44" s="2843"/>
      <c r="KFC44" s="2844"/>
      <c r="KFD44" s="2845"/>
      <c r="KFE44" s="2842"/>
      <c r="KFF44" s="2842"/>
      <c r="KFG44" s="2843"/>
      <c r="KFH44" s="2843"/>
      <c r="KFI44" s="2844"/>
      <c r="KFJ44" s="2845"/>
      <c r="KFK44" s="2842"/>
      <c r="KFL44" s="2842"/>
      <c r="KFM44" s="2843"/>
      <c r="KFN44" s="2843"/>
      <c r="KFO44" s="2844"/>
      <c r="KFP44" s="2845"/>
      <c r="KFQ44" s="2842"/>
      <c r="KFR44" s="2842"/>
      <c r="KFS44" s="2843"/>
      <c r="KFT44" s="2843"/>
      <c r="KFU44" s="2844"/>
      <c r="KFV44" s="2845"/>
      <c r="KFW44" s="2842"/>
      <c r="KFX44" s="2842"/>
      <c r="KFY44" s="2843"/>
      <c r="KFZ44" s="2843"/>
      <c r="KGA44" s="2844"/>
      <c r="KGB44" s="2845"/>
      <c r="KGC44" s="2842"/>
      <c r="KGD44" s="2842"/>
      <c r="KGE44" s="2843"/>
      <c r="KGF44" s="2843"/>
      <c r="KGG44" s="2844"/>
      <c r="KGH44" s="2845"/>
      <c r="KGI44" s="2842"/>
      <c r="KGJ44" s="2842"/>
      <c r="KGK44" s="2843"/>
      <c r="KGL44" s="2843"/>
      <c r="KGM44" s="2844"/>
      <c r="KGN44" s="2845"/>
      <c r="KGO44" s="2842"/>
      <c r="KGP44" s="2842"/>
      <c r="KGQ44" s="2843"/>
      <c r="KGR44" s="2843"/>
      <c r="KGS44" s="2844"/>
      <c r="KGT44" s="2845"/>
      <c r="KGU44" s="2842"/>
      <c r="KGV44" s="2842"/>
      <c r="KGW44" s="2843"/>
      <c r="KGX44" s="2843"/>
      <c r="KGY44" s="2844"/>
      <c r="KGZ44" s="2845"/>
      <c r="KHA44" s="2842"/>
      <c r="KHB44" s="2842"/>
      <c r="KHC44" s="2843"/>
      <c r="KHD44" s="2843"/>
      <c r="KHE44" s="2844"/>
      <c r="KHF44" s="2845"/>
      <c r="KHG44" s="2842"/>
      <c r="KHH44" s="2842"/>
      <c r="KHI44" s="2843"/>
      <c r="KHJ44" s="2843"/>
      <c r="KHK44" s="2844"/>
      <c r="KHL44" s="2845"/>
      <c r="KHM44" s="2842"/>
      <c r="KHN44" s="2842"/>
      <c r="KHO44" s="2843"/>
      <c r="KHP44" s="2843"/>
      <c r="KHQ44" s="2844"/>
      <c r="KHR44" s="2845"/>
      <c r="KHS44" s="2842"/>
      <c r="KHT44" s="2842"/>
      <c r="KHU44" s="2843"/>
      <c r="KHV44" s="2843"/>
      <c r="KHW44" s="2844"/>
      <c r="KHX44" s="2845"/>
      <c r="KHY44" s="2842"/>
      <c r="KHZ44" s="2842"/>
      <c r="KIA44" s="2843"/>
      <c r="KIB44" s="2843"/>
      <c r="KIC44" s="2844"/>
      <c r="KID44" s="2845"/>
      <c r="KIE44" s="2842"/>
      <c r="KIF44" s="2842"/>
      <c r="KIG44" s="2843"/>
      <c r="KIH44" s="2843"/>
      <c r="KII44" s="2844"/>
      <c r="KIJ44" s="2845"/>
      <c r="KIK44" s="2842"/>
      <c r="KIL44" s="2842"/>
      <c r="KIM44" s="2843"/>
      <c r="KIN44" s="2843"/>
      <c r="KIO44" s="2844"/>
      <c r="KIP44" s="2845"/>
      <c r="KIQ44" s="2842"/>
      <c r="KIR44" s="2842"/>
      <c r="KIS44" s="2843"/>
      <c r="KIT44" s="2843"/>
      <c r="KIU44" s="2844"/>
      <c r="KIV44" s="2845"/>
      <c r="KIW44" s="2842"/>
      <c r="KIX44" s="2842"/>
      <c r="KIY44" s="2843"/>
      <c r="KIZ44" s="2843"/>
      <c r="KJA44" s="2844"/>
      <c r="KJB44" s="2845"/>
      <c r="KJC44" s="2842"/>
      <c r="KJD44" s="2842"/>
      <c r="KJE44" s="2843"/>
      <c r="KJF44" s="2843"/>
      <c r="KJG44" s="2844"/>
      <c r="KJH44" s="2845"/>
      <c r="KJI44" s="2842"/>
      <c r="KJJ44" s="2842"/>
      <c r="KJK44" s="2843"/>
      <c r="KJL44" s="2843"/>
      <c r="KJM44" s="2844"/>
      <c r="KJN44" s="2845"/>
      <c r="KJO44" s="2842"/>
      <c r="KJP44" s="2842"/>
      <c r="KJQ44" s="2843"/>
      <c r="KJR44" s="2843"/>
      <c r="KJS44" s="2844"/>
      <c r="KJT44" s="2845"/>
      <c r="KJU44" s="2842"/>
      <c r="KJV44" s="2842"/>
      <c r="KJW44" s="2843"/>
      <c r="KJX44" s="2843"/>
      <c r="KJY44" s="2844"/>
      <c r="KJZ44" s="2845"/>
      <c r="KKA44" s="2842"/>
      <c r="KKB44" s="2842"/>
      <c r="KKC44" s="2843"/>
      <c r="KKD44" s="2843"/>
      <c r="KKE44" s="2844"/>
      <c r="KKF44" s="2845"/>
      <c r="KKG44" s="2842"/>
      <c r="KKH44" s="2842"/>
      <c r="KKI44" s="2843"/>
      <c r="KKJ44" s="2843"/>
      <c r="KKK44" s="2844"/>
      <c r="KKL44" s="2845"/>
      <c r="KKM44" s="2842"/>
      <c r="KKN44" s="2842"/>
      <c r="KKO44" s="2843"/>
      <c r="KKP44" s="2843"/>
      <c r="KKQ44" s="2844"/>
      <c r="KKR44" s="2845"/>
      <c r="KKS44" s="2842"/>
      <c r="KKT44" s="2842"/>
      <c r="KKU44" s="2843"/>
      <c r="KKV44" s="2843"/>
      <c r="KKW44" s="2844"/>
      <c r="KKX44" s="2845"/>
      <c r="KKY44" s="2842"/>
      <c r="KKZ44" s="2842"/>
      <c r="KLA44" s="2843"/>
      <c r="KLB44" s="2843"/>
      <c r="KLC44" s="2844"/>
      <c r="KLD44" s="2845"/>
      <c r="KLE44" s="2842"/>
      <c r="KLF44" s="2842"/>
      <c r="KLG44" s="2843"/>
      <c r="KLH44" s="2843"/>
      <c r="KLI44" s="2844"/>
      <c r="KLJ44" s="2845"/>
      <c r="KLK44" s="2842"/>
      <c r="KLL44" s="2842"/>
      <c r="KLM44" s="2843"/>
      <c r="KLN44" s="2843"/>
      <c r="KLO44" s="2844"/>
      <c r="KLP44" s="2845"/>
      <c r="KLQ44" s="2842"/>
      <c r="KLR44" s="2842"/>
      <c r="KLS44" s="2843"/>
      <c r="KLT44" s="2843"/>
      <c r="KLU44" s="2844"/>
      <c r="KLV44" s="2845"/>
      <c r="KLW44" s="2842"/>
      <c r="KLX44" s="2842"/>
      <c r="KLY44" s="2843"/>
      <c r="KLZ44" s="2843"/>
      <c r="KMA44" s="2844"/>
      <c r="KMB44" s="2845"/>
      <c r="KMC44" s="2842"/>
      <c r="KMD44" s="2842"/>
      <c r="KME44" s="2843"/>
      <c r="KMF44" s="2843"/>
      <c r="KMG44" s="2844"/>
      <c r="KMH44" s="2845"/>
      <c r="KMI44" s="2842"/>
      <c r="KMJ44" s="2842"/>
      <c r="KMK44" s="2843"/>
      <c r="KML44" s="2843"/>
      <c r="KMM44" s="2844"/>
      <c r="KMN44" s="2845"/>
      <c r="KMO44" s="2842"/>
      <c r="KMP44" s="2842"/>
      <c r="KMQ44" s="2843"/>
      <c r="KMR44" s="2843"/>
      <c r="KMS44" s="2844"/>
      <c r="KMT44" s="2845"/>
      <c r="KMU44" s="2842"/>
      <c r="KMV44" s="2842"/>
      <c r="KMW44" s="2843"/>
      <c r="KMX44" s="2843"/>
      <c r="KMY44" s="2844"/>
      <c r="KMZ44" s="2845"/>
      <c r="KNA44" s="2842"/>
      <c r="KNB44" s="2842"/>
      <c r="KNC44" s="2843"/>
      <c r="KND44" s="2843"/>
      <c r="KNE44" s="2844"/>
      <c r="KNF44" s="2845"/>
      <c r="KNG44" s="2842"/>
      <c r="KNH44" s="2842"/>
      <c r="KNI44" s="2843"/>
      <c r="KNJ44" s="2843"/>
      <c r="KNK44" s="2844"/>
      <c r="KNL44" s="2845"/>
      <c r="KNM44" s="2842"/>
      <c r="KNN44" s="2842"/>
      <c r="KNO44" s="2843"/>
      <c r="KNP44" s="2843"/>
      <c r="KNQ44" s="2844"/>
      <c r="KNR44" s="2845"/>
      <c r="KNS44" s="2842"/>
      <c r="KNT44" s="2842"/>
      <c r="KNU44" s="2843"/>
      <c r="KNV44" s="2843"/>
      <c r="KNW44" s="2844"/>
      <c r="KNX44" s="2845"/>
      <c r="KNY44" s="2842"/>
      <c r="KNZ44" s="2842"/>
      <c r="KOA44" s="2843"/>
      <c r="KOB44" s="2843"/>
      <c r="KOC44" s="2844"/>
      <c r="KOD44" s="2845"/>
      <c r="KOE44" s="2842"/>
      <c r="KOF44" s="2842"/>
      <c r="KOG44" s="2843"/>
      <c r="KOH44" s="2843"/>
      <c r="KOI44" s="2844"/>
      <c r="KOJ44" s="2845"/>
      <c r="KOK44" s="2842"/>
      <c r="KOL44" s="2842"/>
      <c r="KOM44" s="2843"/>
      <c r="KON44" s="2843"/>
      <c r="KOO44" s="2844"/>
      <c r="KOP44" s="2845"/>
      <c r="KOQ44" s="2842"/>
      <c r="KOR44" s="2842"/>
      <c r="KOS44" s="2843"/>
      <c r="KOT44" s="2843"/>
      <c r="KOU44" s="2844"/>
      <c r="KOV44" s="2845"/>
      <c r="KOW44" s="2842"/>
      <c r="KOX44" s="2842"/>
      <c r="KOY44" s="2843"/>
      <c r="KOZ44" s="2843"/>
      <c r="KPA44" s="2844"/>
      <c r="KPB44" s="2845"/>
      <c r="KPC44" s="2842"/>
      <c r="KPD44" s="2842"/>
      <c r="KPE44" s="2843"/>
      <c r="KPF44" s="2843"/>
      <c r="KPG44" s="2844"/>
      <c r="KPH44" s="2845"/>
      <c r="KPI44" s="2842"/>
      <c r="KPJ44" s="2842"/>
      <c r="KPK44" s="2843"/>
      <c r="KPL44" s="2843"/>
      <c r="KPM44" s="2844"/>
      <c r="KPN44" s="2845"/>
      <c r="KPO44" s="2842"/>
      <c r="KPP44" s="2842"/>
      <c r="KPQ44" s="2843"/>
      <c r="KPR44" s="2843"/>
      <c r="KPS44" s="2844"/>
      <c r="KPT44" s="2845"/>
      <c r="KPU44" s="2842"/>
      <c r="KPV44" s="2842"/>
      <c r="KPW44" s="2843"/>
      <c r="KPX44" s="2843"/>
      <c r="KPY44" s="2844"/>
      <c r="KPZ44" s="2845"/>
      <c r="KQA44" s="2842"/>
      <c r="KQB44" s="2842"/>
      <c r="KQC44" s="2843"/>
      <c r="KQD44" s="2843"/>
      <c r="KQE44" s="2844"/>
      <c r="KQF44" s="2845"/>
      <c r="KQG44" s="2842"/>
      <c r="KQH44" s="2842"/>
      <c r="KQI44" s="2843"/>
      <c r="KQJ44" s="2843"/>
      <c r="KQK44" s="2844"/>
      <c r="KQL44" s="2845"/>
      <c r="KQM44" s="2842"/>
      <c r="KQN44" s="2842"/>
      <c r="KQO44" s="2843"/>
      <c r="KQP44" s="2843"/>
      <c r="KQQ44" s="2844"/>
      <c r="KQR44" s="2845"/>
      <c r="KQS44" s="2842"/>
      <c r="KQT44" s="2842"/>
      <c r="KQU44" s="2843"/>
      <c r="KQV44" s="2843"/>
      <c r="KQW44" s="2844"/>
      <c r="KQX44" s="2845"/>
      <c r="KQY44" s="2842"/>
      <c r="KQZ44" s="2842"/>
      <c r="KRA44" s="2843"/>
      <c r="KRB44" s="2843"/>
      <c r="KRC44" s="2844"/>
      <c r="KRD44" s="2845"/>
      <c r="KRE44" s="2842"/>
      <c r="KRF44" s="2842"/>
      <c r="KRG44" s="2843"/>
      <c r="KRH44" s="2843"/>
      <c r="KRI44" s="2844"/>
      <c r="KRJ44" s="2845"/>
      <c r="KRK44" s="2842"/>
      <c r="KRL44" s="2842"/>
      <c r="KRM44" s="2843"/>
      <c r="KRN44" s="2843"/>
      <c r="KRO44" s="2844"/>
      <c r="KRP44" s="2845"/>
      <c r="KRQ44" s="2842"/>
      <c r="KRR44" s="2842"/>
      <c r="KRS44" s="2843"/>
      <c r="KRT44" s="2843"/>
      <c r="KRU44" s="2844"/>
      <c r="KRV44" s="2845"/>
      <c r="KRW44" s="2842"/>
      <c r="KRX44" s="2842"/>
      <c r="KRY44" s="2843"/>
      <c r="KRZ44" s="2843"/>
      <c r="KSA44" s="2844"/>
      <c r="KSB44" s="2845"/>
      <c r="KSC44" s="2842"/>
      <c r="KSD44" s="2842"/>
      <c r="KSE44" s="2843"/>
      <c r="KSF44" s="2843"/>
      <c r="KSG44" s="2844"/>
      <c r="KSH44" s="2845"/>
      <c r="KSI44" s="2842"/>
      <c r="KSJ44" s="2842"/>
      <c r="KSK44" s="2843"/>
      <c r="KSL44" s="2843"/>
      <c r="KSM44" s="2844"/>
      <c r="KSN44" s="2845"/>
      <c r="KSO44" s="2842"/>
      <c r="KSP44" s="2842"/>
      <c r="KSQ44" s="2843"/>
      <c r="KSR44" s="2843"/>
      <c r="KSS44" s="2844"/>
      <c r="KST44" s="2845"/>
      <c r="KSU44" s="2842"/>
      <c r="KSV44" s="2842"/>
      <c r="KSW44" s="2843"/>
      <c r="KSX44" s="2843"/>
      <c r="KSY44" s="2844"/>
      <c r="KSZ44" s="2845"/>
      <c r="KTA44" s="2842"/>
      <c r="KTB44" s="2842"/>
      <c r="KTC44" s="2843"/>
      <c r="KTD44" s="2843"/>
      <c r="KTE44" s="2844"/>
      <c r="KTF44" s="2845"/>
      <c r="KTG44" s="2842"/>
      <c r="KTH44" s="2842"/>
      <c r="KTI44" s="2843"/>
      <c r="KTJ44" s="2843"/>
      <c r="KTK44" s="2844"/>
      <c r="KTL44" s="2845"/>
      <c r="KTM44" s="2842"/>
      <c r="KTN44" s="2842"/>
      <c r="KTO44" s="2843"/>
      <c r="KTP44" s="2843"/>
      <c r="KTQ44" s="2844"/>
      <c r="KTR44" s="2845"/>
      <c r="KTS44" s="2842"/>
      <c r="KTT44" s="2842"/>
      <c r="KTU44" s="2843"/>
      <c r="KTV44" s="2843"/>
      <c r="KTW44" s="2844"/>
      <c r="KTX44" s="2845"/>
      <c r="KTY44" s="2842"/>
      <c r="KTZ44" s="2842"/>
      <c r="KUA44" s="2843"/>
      <c r="KUB44" s="2843"/>
      <c r="KUC44" s="2844"/>
      <c r="KUD44" s="2845"/>
      <c r="KUE44" s="2842"/>
      <c r="KUF44" s="2842"/>
      <c r="KUG44" s="2843"/>
      <c r="KUH44" s="2843"/>
      <c r="KUI44" s="2844"/>
      <c r="KUJ44" s="2845"/>
      <c r="KUK44" s="2842"/>
      <c r="KUL44" s="2842"/>
      <c r="KUM44" s="2843"/>
      <c r="KUN44" s="2843"/>
      <c r="KUO44" s="2844"/>
      <c r="KUP44" s="2845"/>
      <c r="KUQ44" s="2842"/>
      <c r="KUR44" s="2842"/>
      <c r="KUS44" s="2843"/>
      <c r="KUT44" s="2843"/>
      <c r="KUU44" s="2844"/>
      <c r="KUV44" s="2845"/>
      <c r="KUW44" s="2842"/>
      <c r="KUX44" s="2842"/>
      <c r="KUY44" s="2843"/>
      <c r="KUZ44" s="2843"/>
      <c r="KVA44" s="2844"/>
      <c r="KVB44" s="2845"/>
      <c r="KVC44" s="2842"/>
      <c r="KVD44" s="2842"/>
      <c r="KVE44" s="2843"/>
      <c r="KVF44" s="2843"/>
      <c r="KVG44" s="2844"/>
      <c r="KVH44" s="2845"/>
      <c r="KVI44" s="2842"/>
      <c r="KVJ44" s="2842"/>
      <c r="KVK44" s="2843"/>
      <c r="KVL44" s="2843"/>
      <c r="KVM44" s="2844"/>
      <c r="KVN44" s="2845"/>
      <c r="KVO44" s="2842"/>
      <c r="KVP44" s="2842"/>
      <c r="KVQ44" s="2843"/>
      <c r="KVR44" s="2843"/>
      <c r="KVS44" s="2844"/>
      <c r="KVT44" s="2845"/>
      <c r="KVU44" s="2842"/>
      <c r="KVV44" s="2842"/>
      <c r="KVW44" s="2843"/>
      <c r="KVX44" s="2843"/>
      <c r="KVY44" s="2844"/>
      <c r="KVZ44" s="2845"/>
      <c r="KWA44" s="2842"/>
      <c r="KWB44" s="2842"/>
      <c r="KWC44" s="2843"/>
      <c r="KWD44" s="2843"/>
      <c r="KWE44" s="2844"/>
      <c r="KWF44" s="2845"/>
      <c r="KWG44" s="2842"/>
      <c r="KWH44" s="2842"/>
      <c r="KWI44" s="2843"/>
      <c r="KWJ44" s="2843"/>
      <c r="KWK44" s="2844"/>
      <c r="KWL44" s="2845"/>
      <c r="KWM44" s="2842"/>
      <c r="KWN44" s="2842"/>
      <c r="KWO44" s="2843"/>
      <c r="KWP44" s="2843"/>
      <c r="KWQ44" s="2844"/>
      <c r="KWR44" s="2845"/>
      <c r="KWS44" s="2842"/>
      <c r="KWT44" s="2842"/>
      <c r="KWU44" s="2843"/>
      <c r="KWV44" s="2843"/>
      <c r="KWW44" s="2844"/>
      <c r="KWX44" s="2845"/>
      <c r="KWY44" s="2842"/>
      <c r="KWZ44" s="2842"/>
      <c r="KXA44" s="2843"/>
      <c r="KXB44" s="2843"/>
      <c r="KXC44" s="2844"/>
      <c r="KXD44" s="2845"/>
      <c r="KXE44" s="2842"/>
      <c r="KXF44" s="2842"/>
      <c r="KXG44" s="2843"/>
      <c r="KXH44" s="2843"/>
      <c r="KXI44" s="2844"/>
      <c r="KXJ44" s="2845"/>
      <c r="KXK44" s="2842"/>
      <c r="KXL44" s="2842"/>
      <c r="KXM44" s="2843"/>
      <c r="KXN44" s="2843"/>
      <c r="KXO44" s="2844"/>
      <c r="KXP44" s="2845"/>
      <c r="KXQ44" s="2842"/>
      <c r="KXR44" s="2842"/>
      <c r="KXS44" s="2843"/>
      <c r="KXT44" s="2843"/>
      <c r="KXU44" s="2844"/>
      <c r="KXV44" s="2845"/>
      <c r="KXW44" s="2842"/>
      <c r="KXX44" s="2842"/>
      <c r="KXY44" s="2843"/>
      <c r="KXZ44" s="2843"/>
      <c r="KYA44" s="2844"/>
      <c r="KYB44" s="2845"/>
      <c r="KYC44" s="2842"/>
      <c r="KYD44" s="2842"/>
      <c r="KYE44" s="2843"/>
      <c r="KYF44" s="2843"/>
      <c r="KYG44" s="2844"/>
      <c r="KYH44" s="2845"/>
      <c r="KYI44" s="2842"/>
      <c r="KYJ44" s="2842"/>
      <c r="KYK44" s="2843"/>
      <c r="KYL44" s="2843"/>
      <c r="KYM44" s="2844"/>
      <c r="KYN44" s="2845"/>
      <c r="KYO44" s="2842"/>
      <c r="KYP44" s="2842"/>
      <c r="KYQ44" s="2843"/>
      <c r="KYR44" s="2843"/>
      <c r="KYS44" s="2844"/>
      <c r="KYT44" s="2845"/>
      <c r="KYU44" s="2842"/>
      <c r="KYV44" s="2842"/>
      <c r="KYW44" s="2843"/>
      <c r="KYX44" s="2843"/>
      <c r="KYY44" s="2844"/>
      <c r="KYZ44" s="2845"/>
      <c r="KZA44" s="2842"/>
      <c r="KZB44" s="2842"/>
      <c r="KZC44" s="2843"/>
      <c r="KZD44" s="2843"/>
      <c r="KZE44" s="2844"/>
      <c r="KZF44" s="2845"/>
      <c r="KZG44" s="2842"/>
      <c r="KZH44" s="2842"/>
      <c r="KZI44" s="2843"/>
      <c r="KZJ44" s="2843"/>
      <c r="KZK44" s="2844"/>
      <c r="KZL44" s="2845"/>
      <c r="KZM44" s="2842"/>
      <c r="KZN44" s="2842"/>
      <c r="KZO44" s="2843"/>
      <c r="KZP44" s="2843"/>
      <c r="KZQ44" s="2844"/>
      <c r="KZR44" s="2845"/>
      <c r="KZS44" s="2842"/>
      <c r="KZT44" s="2842"/>
      <c r="KZU44" s="2843"/>
      <c r="KZV44" s="2843"/>
      <c r="KZW44" s="2844"/>
      <c r="KZX44" s="2845"/>
      <c r="KZY44" s="2842"/>
      <c r="KZZ44" s="2842"/>
      <c r="LAA44" s="2843"/>
      <c r="LAB44" s="2843"/>
      <c r="LAC44" s="2844"/>
      <c r="LAD44" s="2845"/>
      <c r="LAE44" s="2842"/>
      <c r="LAF44" s="2842"/>
      <c r="LAG44" s="2843"/>
      <c r="LAH44" s="2843"/>
      <c r="LAI44" s="2844"/>
      <c r="LAJ44" s="2845"/>
      <c r="LAK44" s="2842"/>
      <c r="LAL44" s="2842"/>
      <c r="LAM44" s="2843"/>
      <c r="LAN44" s="2843"/>
      <c r="LAO44" s="2844"/>
      <c r="LAP44" s="2845"/>
      <c r="LAQ44" s="2842"/>
      <c r="LAR44" s="2842"/>
      <c r="LAS44" s="2843"/>
      <c r="LAT44" s="2843"/>
      <c r="LAU44" s="2844"/>
      <c r="LAV44" s="2845"/>
      <c r="LAW44" s="2842"/>
      <c r="LAX44" s="2842"/>
      <c r="LAY44" s="2843"/>
      <c r="LAZ44" s="2843"/>
      <c r="LBA44" s="2844"/>
      <c r="LBB44" s="2845"/>
      <c r="LBC44" s="2842"/>
      <c r="LBD44" s="2842"/>
      <c r="LBE44" s="2843"/>
      <c r="LBF44" s="2843"/>
      <c r="LBG44" s="2844"/>
      <c r="LBH44" s="2845"/>
      <c r="LBI44" s="2842"/>
      <c r="LBJ44" s="2842"/>
      <c r="LBK44" s="2843"/>
      <c r="LBL44" s="2843"/>
      <c r="LBM44" s="2844"/>
      <c r="LBN44" s="2845"/>
      <c r="LBO44" s="2842"/>
      <c r="LBP44" s="2842"/>
      <c r="LBQ44" s="2843"/>
      <c r="LBR44" s="2843"/>
      <c r="LBS44" s="2844"/>
      <c r="LBT44" s="2845"/>
      <c r="LBU44" s="2842"/>
      <c r="LBV44" s="2842"/>
      <c r="LBW44" s="2843"/>
      <c r="LBX44" s="2843"/>
      <c r="LBY44" s="2844"/>
      <c r="LBZ44" s="2845"/>
      <c r="LCA44" s="2842"/>
      <c r="LCB44" s="2842"/>
      <c r="LCC44" s="2843"/>
      <c r="LCD44" s="2843"/>
      <c r="LCE44" s="2844"/>
      <c r="LCF44" s="2845"/>
      <c r="LCG44" s="2842"/>
      <c r="LCH44" s="2842"/>
      <c r="LCI44" s="2843"/>
      <c r="LCJ44" s="2843"/>
      <c r="LCK44" s="2844"/>
      <c r="LCL44" s="2845"/>
      <c r="LCM44" s="2842"/>
      <c r="LCN44" s="2842"/>
      <c r="LCO44" s="2843"/>
      <c r="LCP44" s="2843"/>
      <c r="LCQ44" s="2844"/>
      <c r="LCR44" s="2845"/>
      <c r="LCS44" s="2842"/>
      <c r="LCT44" s="2842"/>
      <c r="LCU44" s="2843"/>
      <c r="LCV44" s="2843"/>
      <c r="LCW44" s="2844"/>
      <c r="LCX44" s="2845"/>
      <c r="LCY44" s="2842"/>
      <c r="LCZ44" s="2842"/>
      <c r="LDA44" s="2843"/>
      <c r="LDB44" s="2843"/>
      <c r="LDC44" s="2844"/>
      <c r="LDD44" s="2845"/>
      <c r="LDE44" s="2842"/>
      <c r="LDF44" s="2842"/>
      <c r="LDG44" s="2843"/>
      <c r="LDH44" s="2843"/>
      <c r="LDI44" s="2844"/>
      <c r="LDJ44" s="2845"/>
      <c r="LDK44" s="2842"/>
      <c r="LDL44" s="2842"/>
      <c r="LDM44" s="2843"/>
      <c r="LDN44" s="2843"/>
      <c r="LDO44" s="2844"/>
      <c r="LDP44" s="2845"/>
      <c r="LDQ44" s="2842"/>
      <c r="LDR44" s="2842"/>
      <c r="LDS44" s="2843"/>
      <c r="LDT44" s="2843"/>
      <c r="LDU44" s="2844"/>
      <c r="LDV44" s="2845"/>
      <c r="LDW44" s="2842"/>
      <c r="LDX44" s="2842"/>
      <c r="LDY44" s="2843"/>
      <c r="LDZ44" s="2843"/>
      <c r="LEA44" s="2844"/>
      <c r="LEB44" s="2845"/>
      <c r="LEC44" s="2842"/>
      <c r="LED44" s="2842"/>
      <c r="LEE44" s="2843"/>
      <c r="LEF44" s="2843"/>
      <c r="LEG44" s="2844"/>
      <c r="LEH44" s="2845"/>
      <c r="LEI44" s="2842"/>
      <c r="LEJ44" s="2842"/>
      <c r="LEK44" s="2843"/>
      <c r="LEL44" s="2843"/>
      <c r="LEM44" s="2844"/>
      <c r="LEN44" s="2845"/>
      <c r="LEO44" s="2842"/>
      <c r="LEP44" s="2842"/>
      <c r="LEQ44" s="2843"/>
      <c r="LER44" s="2843"/>
      <c r="LES44" s="2844"/>
      <c r="LET44" s="2845"/>
      <c r="LEU44" s="2842"/>
      <c r="LEV44" s="2842"/>
      <c r="LEW44" s="2843"/>
      <c r="LEX44" s="2843"/>
      <c r="LEY44" s="2844"/>
      <c r="LEZ44" s="2845"/>
      <c r="LFA44" s="2842"/>
      <c r="LFB44" s="2842"/>
      <c r="LFC44" s="2843"/>
      <c r="LFD44" s="2843"/>
      <c r="LFE44" s="2844"/>
      <c r="LFF44" s="2845"/>
      <c r="LFG44" s="2842"/>
      <c r="LFH44" s="2842"/>
      <c r="LFI44" s="2843"/>
      <c r="LFJ44" s="2843"/>
      <c r="LFK44" s="2844"/>
      <c r="LFL44" s="2845"/>
      <c r="LFM44" s="2842"/>
      <c r="LFN44" s="2842"/>
      <c r="LFO44" s="2843"/>
      <c r="LFP44" s="2843"/>
      <c r="LFQ44" s="2844"/>
      <c r="LFR44" s="2845"/>
      <c r="LFS44" s="2842"/>
      <c r="LFT44" s="2842"/>
      <c r="LFU44" s="2843"/>
      <c r="LFV44" s="2843"/>
      <c r="LFW44" s="2844"/>
      <c r="LFX44" s="2845"/>
      <c r="LFY44" s="2842"/>
      <c r="LFZ44" s="2842"/>
      <c r="LGA44" s="2843"/>
      <c r="LGB44" s="2843"/>
      <c r="LGC44" s="2844"/>
      <c r="LGD44" s="2845"/>
      <c r="LGE44" s="2842"/>
      <c r="LGF44" s="2842"/>
      <c r="LGG44" s="2843"/>
      <c r="LGH44" s="2843"/>
      <c r="LGI44" s="2844"/>
      <c r="LGJ44" s="2845"/>
      <c r="LGK44" s="2842"/>
      <c r="LGL44" s="2842"/>
      <c r="LGM44" s="2843"/>
      <c r="LGN44" s="2843"/>
      <c r="LGO44" s="2844"/>
      <c r="LGP44" s="2845"/>
      <c r="LGQ44" s="2842"/>
      <c r="LGR44" s="2842"/>
      <c r="LGS44" s="2843"/>
      <c r="LGT44" s="2843"/>
      <c r="LGU44" s="2844"/>
      <c r="LGV44" s="2845"/>
      <c r="LGW44" s="2842"/>
      <c r="LGX44" s="2842"/>
      <c r="LGY44" s="2843"/>
      <c r="LGZ44" s="2843"/>
      <c r="LHA44" s="2844"/>
      <c r="LHB44" s="2845"/>
      <c r="LHC44" s="2842"/>
      <c r="LHD44" s="2842"/>
      <c r="LHE44" s="2843"/>
      <c r="LHF44" s="2843"/>
      <c r="LHG44" s="2844"/>
      <c r="LHH44" s="2845"/>
      <c r="LHI44" s="2842"/>
      <c r="LHJ44" s="2842"/>
      <c r="LHK44" s="2843"/>
      <c r="LHL44" s="2843"/>
      <c r="LHM44" s="2844"/>
      <c r="LHN44" s="2845"/>
      <c r="LHO44" s="2842"/>
      <c r="LHP44" s="2842"/>
      <c r="LHQ44" s="2843"/>
      <c r="LHR44" s="2843"/>
      <c r="LHS44" s="2844"/>
      <c r="LHT44" s="2845"/>
      <c r="LHU44" s="2842"/>
      <c r="LHV44" s="2842"/>
      <c r="LHW44" s="2843"/>
      <c r="LHX44" s="2843"/>
      <c r="LHY44" s="2844"/>
      <c r="LHZ44" s="2845"/>
      <c r="LIA44" s="2842"/>
      <c r="LIB44" s="2842"/>
      <c r="LIC44" s="2843"/>
      <c r="LID44" s="2843"/>
      <c r="LIE44" s="2844"/>
      <c r="LIF44" s="2845"/>
      <c r="LIG44" s="2842"/>
      <c r="LIH44" s="2842"/>
      <c r="LII44" s="2843"/>
      <c r="LIJ44" s="2843"/>
      <c r="LIK44" s="2844"/>
      <c r="LIL44" s="2845"/>
      <c r="LIM44" s="2842"/>
      <c r="LIN44" s="2842"/>
      <c r="LIO44" s="2843"/>
      <c r="LIP44" s="2843"/>
      <c r="LIQ44" s="2844"/>
      <c r="LIR44" s="2845"/>
      <c r="LIS44" s="2842"/>
      <c r="LIT44" s="2842"/>
      <c r="LIU44" s="2843"/>
      <c r="LIV44" s="2843"/>
      <c r="LIW44" s="2844"/>
      <c r="LIX44" s="2845"/>
      <c r="LIY44" s="2842"/>
      <c r="LIZ44" s="2842"/>
      <c r="LJA44" s="2843"/>
      <c r="LJB44" s="2843"/>
      <c r="LJC44" s="2844"/>
      <c r="LJD44" s="2845"/>
      <c r="LJE44" s="2842"/>
      <c r="LJF44" s="2842"/>
      <c r="LJG44" s="2843"/>
      <c r="LJH44" s="2843"/>
      <c r="LJI44" s="2844"/>
      <c r="LJJ44" s="2845"/>
      <c r="LJK44" s="2842"/>
      <c r="LJL44" s="2842"/>
      <c r="LJM44" s="2843"/>
      <c r="LJN44" s="2843"/>
      <c r="LJO44" s="2844"/>
      <c r="LJP44" s="2845"/>
      <c r="LJQ44" s="2842"/>
      <c r="LJR44" s="2842"/>
      <c r="LJS44" s="2843"/>
      <c r="LJT44" s="2843"/>
      <c r="LJU44" s="2844"/>
      <c r="LJV44" s="2845"/>
      <c r="LJW44" s="2842"/>
      <c r="LJX44" s="2842"/>
      <c r="LJY44" s="2843"/>
      <c r="LJZ44" s="2843"/>
      <c r="LKA44" s="2844"/>
      <c r="LKB44" s="2845"/>
      <c r="LKC44" s="2842"/>
      <c r="LKD44" s="2842"/>
      <c r="LKE44" s="2843"/>
      <c r="LKF44" s="2843"/>
      <c r="LKG44" s="2844"/>
      <c r="LKH44" s="2845"/>
      <c r="LKI44" s="2842"/>
      <c r="LKJ44" s="2842"/>
      <c r="LKK44" s="2843"/>
      <c r="LKL44" s="2843"/>
      <c r="LKM44" s="2844"/>
      <c r="LKN44" s="2845"/>
      <c r="LKO44" s="2842"/>
      <c r="LKP44" s="2842"/>
      <c r="LKQ44" s="2843"/>
      <c r="LKR44" s="2843"/>
      <c r="LKS44" s="2844"/>
      <c r="LKT44" s="2845"/>
      <c r="LKU44" s="2842"/>
      <c r="LKV44" s="2842"/>
      <c r="LKW44" s="2843"/>
      <c r="LKX44" s="2843"/>
      <c r="LKY44" s="2844"/>
      <c r="LKZ44" s="2845"/>
      <c r="LLA44" s="2842"/>
      <c r="LLB44" s="2842"/>
      <c r="LLC44" s="2843"/>
      <c r="LLD44" s="2843"/>
      <c r="LLE44" s="2844"/>
      <c r="LLF44" s="2845"/>
      <c r="LLG44" s="2842"/>
      <c r="LLH44" s="2842"/>
      <c r="LLI44" s="2843"/>
      <c r="LLJ44" s="2843"/>
      <c r="LLK44" s="2844"/>
      <c r="LLL44" s="2845"/>
      <c r="LLM44" s="2842"/>
      <c r="LLN44" s="2842"/>
      <c r="LLO44" s="2843"/>
      <c r="LLP44" s="2843"/>
      <c r="LLQ44" s="2844"/>
      <c r="LLR44" s="2845"/>
      <c r="LLS44" s="2842"/>
      <c r="LLT44" s="2842"/>
      <c r="LLU44" s="2843"/>
      <c r="LLV44" s="2843"/>
      <c r="LLW44" s="2844"/>
      <c r="LLX44" s="2845"/>
      <c r="LLY44" s="2842"/>
      <c r="LLZ44" s="2842"/>
      <c r="LMA44" s="2843"/>
      <c r="LMB44" s="2843"/>
      <c r="LMC44" s="2844"/>
      <c r="LMD44" s="2845"/>
      <c r="LME44" s="2842"/>
      <c r="LMF44" s="2842"/>
      <c r="LMG44" s="2843"/>
      <c r="LMH44" s="2843"/>
      <c r="LMI44" s="2844"/>
      <c r="LMJ44" s="2845"/>
      <c r="LMK44" s="2842"/>
      <c r="LML44" s="2842"/>
      <c r="LMM44" s="2843"/>
      <c r="LMN44" s="2843"/>
      <c r="LMO44" s="2844"/>
      <c r="LMP44" s="2845"/>
      <c r="LMQ44" s="2842"/>
      <c r="LMR44" s="2842"/>
      <c r="LMS44" s="2843"/>
      <c r="LMT44" s="2843"/>
      <c r="LMU44" s="2844"/>
      <c r="LMV44" s="2845"/>
      <c r="LMW44" s="2842"/>
      <c r="LMX44" s="2842"/>
      <c r="LMY44" s="2843"/>
      <c r="LMZ44" s="2843"/>
      <c r="LNA44" s="2844"/>
      <c r="LNB44" s="2845"/>
      <c r="LNC44" s="2842"/>
      <c r="LND44" s="2842"/>
      <c r="LNE44" s="2843"/>
      <c r="LNF44" s="2843"/>
      <c r="LNG44" s="2844"/>
      <c r="LNH44" s="2845"/>
      <c r="LNI44" s="2842"/>
      <c r="LNJ44" s="2842"/>
      <c r="LNK44" s="2843"/>
      <c r="LNL44" s="2843"/>
      <c r="LNM44" s="2844"/>
      <c r="LNN44" s="2845"/>
      <c r="LNO44" s="2842"/>
      <c r="LNP44" s="2842"/>
      <c r="LNQ44" s="2843"/>
      <c r="LNR44" s="2843"/>
      <c r="LNS44" s="2844"/>
      <c r="LNT44" s="2845"/>
      <c r="LNU44" s="2842"/>
      <c r="LNV44" s="2842"/>
      <c r="LNW44" s="2843"/>
      <c r="LNX44" s="2843"/>
      <c r="LNY44" s="2844"/>
      <c r="LNZ44" s="2845"/>
      <c r="LOA44" s="2842"/>
      <c r="LOB44" s="2842"/>
      <c r="LOC44" s="2843"/>
      <c r="LOD44" s="2843"/>
      <c r="LOE44" s="2844"/>
      <c r="LOF44" s="2845"/>
      <c r="LOG44" s="2842"/>
      <c r="LOH44" s="2842"/>
      <c r="LOI44" s="2843"/>
      <c r="LOJ44" s="2843"/>
      <c r="LOK44" s="2844"/>
      <c r="LOL44" s="2845"/>
      <c r="LOM44" s="2842"/>
      <c r="LON44" s="2842"/>
      <c r="LOO44" s="2843"/>
      <c r="LOP44" s="2843"/>
      <c r="LOQ44" s="2844"/>
      <c r="LOR44" s="2845"/>
      <c r="LOS44" s="2842"/>
      <c r="LOT44" s="2842"/>
      <c r="LOU44" s="2843"/>
      <c r="LOV44" s="2843"/>
      <c r="LOW44" s="2844"/>
      <c r="LOX44" s="2845"/>
      <c r="LOY44" s="2842"/>
      <c r="LOZ44" s="2842"/>
      <c r="LPA44" s="2843"/>
      <c r="LPB44" s="2843"/>
      <c r="LPC44" s="2844"/>
      <c r="LPD44" s="2845"/>
      <c r="LPE44" s="2842"/>
      <c r="LPF44" s="2842"/>
      <c r="LPG44" s="2843"/>
      <c r="LPH44" s="2843"/>
      <c r="LPI44" s="2844"/>
      <c r="LPJ44" s="2845"/>
      <c r="LPK44" s="2842"/>
      <c r="LPL44" s="2842"/>
      <c r="LPM44" s="2843"/>
      <c r="LPN44" s="2843"/>
      <c r="LPO44" s="2844"/>
      <c r="LPP44" s="2845"/>
      <c r="LPQ44" s="2842"/>
      <c r="LPR44" s="2842"/>
      <c r="LPS44" s="2843"/>
      <c r="LPT44" s="2843"/>
      <c r="LPU44" s="2844"/>
      <c r="LPV44" s="2845"/>
      <c r="LPW44" s="2842"/>
      <c r="LPX44" s="2842"/>
      <c r="LPY44" s="2843"/>
      <c r="LPZ44" s="2843"/>
      <c r="LQA44" s="2844"/>
      <c r="LQB44" s="2845"/>
      <c r="LQC44" s="2842"/>
      <c r="LQD44" s="2842"/>
      <c r="LQE44" s="2843"/>
      <c r="LQF44" s="2843"/>
      <c r="LQG44" s="2844"/>
      <c r="LQH44" s="2845"/>
      <c r="LQI44" s="2842"/>
      <c r="LQJ44" s="2842"/>
      <c r="LQK44" s="2843"/>
      <c r="LQL44" s="2843"/>
      <c r="LQM44" s="2844"/>
      <c r="LQN44" s="2845"/>
      <c r="LQO44" s="2842"/>
      <c r="LQP44" s="2842"/>
      <c r="LQQ44" s="2843"/>
      <c r="LQR44" s="2843"/>
      <c r="LQS44" s="2844"/>
      <c r="LQT44" s="2845"/>
      <c r="LQU44" s="2842"/>
      <c r="LQV44" s="2842"/>
      <c r="LQW44" s="2843"/>
      <c r="LQX44" s="2843"/>
      <c r="LQY44" s="2844"/>
      <c r="LQZ44" s="2845"/>
      <c r="LRA44" s="2842"/>
      <c r="LRB44" s="2842"/>
      <c r="LRC44" s="2843"/>
      <c r="LRD44" s="2843"/>
      <c r="LRE44" s="2844"/>
      <c r="LRF44" s="2845"/>
      <c r="LRG44" s="2842"/>
      <c r="LRH44" s="2842"/>
      <c r="LRI44" s="2843"/>
      <c r="LRJ44" s="2843"/>
      <c r="LRK44" s="2844"/>
      <c r="LRL44" s="2845"/>
      <c r="LRM44" s="2842"/>
      <c r="LRN44" s="2842"/>
      <c r="LRO44" s="2843"/>
      <c r="LRP44" s="2843"/>
      <c r="LRQ44" s="2844"/>
      <c r="LRR44" s="2845"/>
      <c r="LRS44" s="2842"/>
      <c r="LRT44" s="2842"/>
      <c r="LRU44" s="2843"/>
      <c r="LRV44" s="2843"/>
      <c r="LRW44" s="2844"/>
      <c r="LRX44" s="2845"/>
      <c r="LRY44" s="2842"/>
      <c r="LRZ44" s="2842"/>
      <c r="LSA44" s="2843"/>
      <c r="LSB44" s="2843"/>
      <c r="LSC44" s="2844"/>
      <c r="LSD44" s="2845"/>
      <c r="LSE44" s="2842"/>
      <c r="LSF44" s="2842"/>
      <c r="LSG44" s="2843"/>
      <c r="LSH44" s="2843"/>
      <c r="LSI44" s="2844"/>
      <c r="LSJ44" s="2845"/>
      <c r="LSK44" s="2842"/>
      <c r="LSL44" s="2842"/>
      <c r="LSM44" s="2843"/>
      <c r="LSN44" s="2843"/>
      <c r="LSO44" s="2844"/>
      <c r="LSP44" s="2845"/>
      <c r="LSQ44" s="2842"/>
      <c r="LSR44" s="2842"/>
      <c r="LSS44" s="2843"/>
      <c r="LST44" s="2843"/>
      <c r="LSU44" s="2844"/>
      <c r="LSV44" s="2845"/>
      <c r="LSW44" s="2842"/>
      <c r="LSX44" s="2842"/>
      <c r="LSY44" s="2843"/>
      <c r="LSZ44" s="2843"/>
      <c r="LTA44" s="2844"/>
      <c r="LTB44" s="2845"/>
      <c r="LTC44" s="2842"/>
      <c r="LTD44" s="2842"/>
      <c r="LTE44" s="2843"/>
      <c r="LTF44" s="2843"/>
      <c r="LTG44" s="2844"/>
      <c r="LTH44" s="2845"/>
      <c r="LTI44" s="2842"/>
      <c r="LTJ44" s="2842"/>
      <c r="LTK44" s="2843"/>
      <c r="LTL44" s="2843"/>
      <c r="LTM44" s="2844"/>
      <c r="LTN44" s="2845"/>
      <c r="LTO44" s="2842"/>
      <c r="LTP44" s="2842"/>
      <c r="LTQ44" s="2843"/>
      <c r="LTR44" s="2843"/>
      <c r="LTS44" s="2844"/>
      <c r="LTT44" s="2845"/>
      <c r="LTU44" s="2842"/>
      <c r="LTV44" s="2842"/>
      <c r="LTW44" s="2843"/>
      <c r="LTX44" s="2843"/>
      <c r="LTY44" s="2844"/>
      <c r="LTZ44" s="2845"/>
      <c r="LUA44" s="2842"/>
      <c r="LUB44" s="2842"/>
      <c r="LUC44" s="2843"/>
      <c r="LUD44" s="2843"/>
      <c r="LUE44" s="2844"/>
      <c r="LUF44" s="2845"/>
      <c r="LUG44" s="2842"/>
      <c r="LUH44" s="2842"/>
      <c r="LUI44" s="2843"/>
      <c r="LUJ44" s="2843"/>
      <c r="LUK44" s="2844"/>
      <c r="LUL44" s="2845"/>
      <c r="LUM44" s="2842"/>
      <c r="LUN44" s="2842"/>
      <c r="LUO44" s="2843"/>
      <c r="LUP44" s="2843"/>
      <c r="LUQ44" s="2844"/>
      <c r="LUR44" s="2845"/>
      <c r="LUS44" s="2842"/>
      <c r="LUT44" s="2842"/>
      <c r="LUU44" s="2843"/>
      <c r="LUV44" s="2843"/>
      <c r="LUW44" s="2844"/>
      <c r="LUX44" s="2845"/>
      <c r="LUY44" s="2842"/>
      <c r="LUZ44" s="2842"/>
      <c r="LVA44" s="2843"/>
      <c r="LVB44" s="2843"/>
      <c r="LVC44" s="2844"/>
      <c r="LVD44" s="2845"/>
      <c r="LVE44" s="2842"/>
      <c r="LVF44" s="2842"/>
      <c r="LVG44" s="2843"/>
      <c r="LVH44" s="2843"/>
      <c r="LVI44" s="2844"/>
      <c r="LVJ44" s="2845"/>
      <c r="LVK44" s="2842"/>
      <c r="LVL44" s="2842"/>
      <c r="LVM44" s="2843"/>
      <c r="LVN44" s="2843"/>
      <c r="LVO44" s="2844"/>
      <c r="LVP44" s="2845"/>
      <c r="LVQ44" s="2842"/>
      <c r="LVR44" s="2842"/>
      <c r="LVS44" s="2843"/>
      <c r="LVT44" s="2843"/>
      <c r="LVU44" s="2844"/>
      <c r="LVV44" s="2845"/>
      <c r="LVW44" s="2842"/>
      <c r="LVX44" s="2842"/>
      <c r="LVY44" s="2843"/>
      <c r="LVZ44" s="2843"/>
      <c r="LWA44" s="2844"/>
      <c r="LWB44" s="2845"/>
      <c r="LWC44" s="2842"/>
      <c r="LWD44" s="2842"/>
      <c r="LWE44" s="2843"/>
      <c r="LWF44" s="2843"/>
      <c r="LWG44" s="2844"/>
      <c r="LWH44" s="2845"/>
      <c r="LWI44" s="2842"/>
      <c r="LWJ44" s="2842"/>
      <c r="LWK44" s="2843"/>
      <c r="LWL44" s="2843"/>
      <c r="LWM44" s="2844"/>
      <c r="LWN44" s="2845"/>
      <c r="LWO44" s="2842"/>
      <c r="LWP44" s="2842"/>
      <c r="LWQ44" s="2843"/>
      <c r="LWR44" s="2843"/>
      <c r="LWS44" s="2844"/>
      <c r="LWT44" s="2845"/>
      <c r="LWU44" s="2842"/>
      <c r="LWV44" s="2842"/>
      <c r="LWW44" s="2843"/>
      <c r="LWX44" s="2843"/>
      <c r="LWY44" s="2844"/>
      <c r="LWZ44" s="2845"/>
      <c r="LXA44" s="2842"/>
      <c r="LXB44" s="2842"/>
      <c r="LXC44" s="2843"/>
      <c r="LXD44" s="2843"/>
      <c r="LXE44" s="2844"/>
      <c r="LXF44" s="2845"/>
      <c r="LXG44" s="2842"/>
      <c r="LXH44" s="2842"/>
      <c r="LXI44" s="2843"/>
      <c r="LXJ44" s="2843"/>
      <c r="LXK44" s="2844"/>
      <c r="LXL44" s="2845"/>
      <c r="LXM44" s="2842"/>
      <c r="LXN44" s="2842"/>
      <c r="LXO44" s="2843"/>
      <c r="LXP44" s="2843"/>
      <c r="LXQ44" s="2844"/>
      <c r="LXR44" s="2845"/>
      <c r="LXS44" s="2842"/>
      <c r="LXT44" s="2842"/>
      <c r="LXU44" s="2843"/>
      <c r="LXV44" s="2843"/>
      <c r="LXW44" s="2844"/>
      <c r="LXX44" s="2845"/>
      <c r="LXY44" s="2842"/>
      <c r="LXZ44" s="2842"/>
      <c r="LYA44" s="2843"/>
      <c r="LYB44" s="2843"/>
      <c r="LYC44" s="2844"/>
      <c r="LYD44" s="2845"/>
      <c r="LYE44" s="2842"/>
      <c r="LYF44" s="2842"/>
      <c r="LYG44" s="2843"/>
      <c r="LYH44" s="2843"/>
      <c r="LYI44" s="2844"/>
      <c r="LYJ44" s="2845"/>
      <c r="LYK44" s="2842"/>
      <c r="LYL44" s="2842"/>
      <c r="LYM44" s="2843"/>
      <c r="LYN44" s="2843"/>
      <c r="LYO44" s="2844"/>
      <c r="LYP44" s="2845"/>
      <c r="LYQ44" s="2842"/>
      <c r="LYR44" s="2842"/>
      <c r="LYS44" s="2843"/>
      <c r="LYT44" s="2843"/>
      <c r="LYU44" s="2844"/>
      <c r="LYV44" s="2845"/>
      <c r="LYW44" s="2842"/>
      <c r="LYX44" s="2842"/>
      <c r="LYY44" s="2843"/>
      <c r="LYZ44" s="2843"/>
      <c r="LZA44" s="2844"/>
      <c r="LZB44" s="2845"/>
      <c r="LZC44" s="2842"/>
      <c r="LZD44" s="2842"/>
      <c r="LZE44" s="2843"/>
      <c r="LZF44" s="2843"/>
      <c r="LZG44" s="2844"/>
      <c r="LZH44" s="2845"/>
      <c r="LZI44" s="2842"/>
      <c r="LZJ44" s="2842"/>
      <c r="LZK44" s="2843"/>
      <c r="LZL44" s="2843"/>
      <c r="LZM44" s="2844"/>
      <c r="LZN44" s="2845"/>
      <c r="LZO44" s="2842"/>
      <c r="LZP44" s="2842"/>
      <c r="LZQ44" s="2843"/>
      <c r="LZR44" s="2843"/>
      <c r="LZS44" s="2844"/>
      <c r="LZT44" s="2845"/>
      <c r="LZU44" s="2842"/>
      <c r="LZV44" s="2842"/>
      <c r="LZW44" s="2843"/>
      <c r="LZX44" s="2843"/>
      <c r="LZY44" s="2844"/>
      <c r="LZZ44" s="2845"/>
      <c r="MAA44" s="2842"/>
      <c r="MAB44" s="2842"/>
      <c r="MAC44" s="2843"/>
      <c r="MAD44" s="2843"/>
      <c r="MAE44" s="2844"/>
      <c r="MAF44" s="2845"/>
      <c r="MAG44" s="2842"/>
      <c r="MAH44" s="2842"/>
      <c r="MAI44" s="2843"/>
      <c r="MAJ44" s="2843"/>
      <c r="MAK44" s="2844"/>
      <c r="MAL44" s="2845"/>
      <c r="MAM44" s="2842"/>
      <c r="MAN44" s="2842"/>
      <c r="MAO44" s="2843"/>
      <c r="MAP44" s="2843"/>
      <c r="MAQ44" s="2844"/>
      <c r="MAR44" s="2845"/>
      <c r="MAS44" s="2842"/>
      <c r="MAT44" s="2842"/>
      <c r="MAU44" s="2843"/>
      <c r="MAV44" s="2843"/>
      <c r="MAW44" s="2844"/>
      <c r="MAX44" s="2845"/>
      <c r="MAY44" s="2842"/>
      <c r="MAZ44" s="2842"/>
      <c r="MBA44" s="2843"/>
      <c r="MBB44" s="2843"/>
      <c r="MBC44" s="2844"/>
      <c r="MBD44" s="2845"/>
      <c r="MBE44" s="2842"/>
      <c r="MBF44" s="2842"/>
      <c r="MBG44" s="2843"/>
      <c r="MBH44" s="2843"/>
      <c r="MBI44" s="2844"/>
      <c r="MBJ44" s="2845"/>
      <c r="MBK44" s="2842"/>
      <c r="MBL44" s="2842"/>
      <c r="MBM44" s="2843"/>
      <c r="MBN44" s="2843"/>
      <c r="MBO44" s="2844"/>
      <c r="MBP44" s="2845"/>
      <c r="MBQ44" s="2842"/>
      <c r="MBR44" s="2842"/>
      <c r="MBS44" s="2843"/>
      <c r="MBT44" s="2843"/>
      <c r="MBU44" s="2844"/>
      <c r="MBV44" s="2845"/>
      <c r="MBW44" s="2842"/>
      <c r="MBX44" s="2842"/>
      <c r="MBY44" s="2843"/>
      <c r="MBZ44" s="2843"/>
      <c r="MCA44" s="2844"/>
      <c r="MCB44" s="2845"/>
      <c r="MCC44" s="2842"/>
      <c r="MCD44" s="2842"/>
      <c r="MCE44" s="2843"/>
      <c r="MCF44" s="2843"/>
      <c r="MCG44" s="2844"/>
      <c r="MCH44" s="2845"/>
      <c r="MCI44" s="2842"/>
      <c r="MCJ44" s="2842"/>
      <c r="MCK44" s="2843"/>
      <c r="MCL44" s="2843"/>
      <c r="MCM44" s="2844"/>
      <c r="MCN44" s="2845"/>
      <c r="MCO44" s="2842"/>
      <c r="MCP44" s="2842"/>
      <c r="MCQ44" s="2843"/>
      <c r="MCR44" s="2843"/>
      <c r="MCS44" s="2844"/>
      <c r="MCT44" s="2845"/>
      <c r="MCU44" s="2842"/>
      <c r="MCV44" s="2842"/>
      <c r="MCW44" s="2843"/>
      <c r="MCX44" s="2843"/>
      <c r="MCY44" s="2844"/>
      <c r="MCZ44" s="2845"/>
      <c r="MDA44" s="2842"/>
      <c r="MDB44" s="2842"/>
      <c r="MDC44" s="2843"/>
      <c r="MDD44" s="2843"/>
      <c r="MDE44" s="2844"/>
      <c r="MDF44" s="2845"/>
      <c r="MDG44" s="2842"/>
      <c r="MDH44" s="2842"/>
      <c r="MDI44" s="2843"/>
      <c r="MDJ44" s="2843"/>
      <c r="MDK44" s="2844"/>
      <c r="MDL44" s="2845"/>
      <c r="MDM44" s="2842"/>
      <c r="MDN44" s="2842"/>
      <c r="MDO44" s="2843"/>
      <c r="MDP44" s="2843"/>
      <c r="MDQ44" s="2844"/>
      <c r="MDR44" s="2845"/>
      <c r="MDS44" s="2842"/>
      <c r="MDT44" s="2842"/>
      <c r="MDU44" s="2843"/>
      <c r="MDV44" s="2843"/>
      <c r="MDW44" s="2844"/>
      <c r="MDX44" s="2845"/>
      <c r="MDY44" s="2842"/>
      <c r="MDZ44" s="2842"/>
      <c r="MEA44" s="2843"/>
      <c r="MEB44" s="2843"/>
      <c r="MEC44" s="2844"/>
      <c r="MED44" s="2845"/>
      <c r="MEE44" s="2842"/>
      <c r="MEF44" s="2842"/>
      <c r="MEG44" s="2843"/>
      <c r="MEH44" s="2843"/>
      <c r="MEI44" s="2844"/>
      <c r="MEJ44" s="2845"/>
      <c r="MEK44" s="2842"/>
      <c r="MEL44" s="2842"/>
      <c r="MEM44" s="2843"/>
      <c r="MEN44" s="2843"/>
      <c r="MEO44" s="2844"/>
      <c r="MEP44" s="2845"/>
      <c r="MEQ44" s="2842"/>
      <c r="MER44" s="2842"/>
      <c r="MES44" s="2843"/>
      <c r="MET44" s="2843"/>
      <c r="MEU44" s="2844"/>
      <c r="MEV44" s="2845"/>
      <c r="MEW44" s="2842"/>
      <c r="MEX44" s="2842"/>
      <c r="MEY44" s="2843"/>
      <c r="MEZ44" s="2843"/>
      <c r="MFA44" s="2844"/>
      <c r="MFB44" s="2845"/>
      <c r="MFC44" s="2842"/>
      <c r="MFD44" s="2842"/>
      <c r="MFE44" s="2843"/>
      <c r="MFF44" s="2843"/>
      <c r="MFG44" s="2844"/>
      <c r="MFH44" s="2845"/>
      <c r="MFI44" s="2842"/>
      <c r="MFJ44" s="2842"/>
      <c r="MFK44" s="2843"/>
      <c r="MFL44" s="2843"/>
      <c r="MFM44" s="2844"/>
      <c r="MFN44" s="2845"/>
      <c r="MFO44" s="2842"/>
      <c r="MFP44" s="2842"/>
      <c r="MFQ44" s="2843"/>
      <c r="MFR44" s="2843"/>
      <c r="MFS44" s="2844"/>
      <c r="MFT44" s="2845"/>
      <c r="MFU44" s="2842"/>
      <c r="MFV44" s="2842"/>
      <c r="MFW44" s="2843"/>
      <c r="MFX44" s="2843"/>
      <c r="MFY44" s="2844"/>
      <c r="MFZ44" s="2845"/>
      <c r="MGA44" s="2842"/>
      <c r="MGB44" s="2842"/>
      <c r="MGC44" s="2843"/>
      <c r="MGD44" s="2843"/>
      <c r="MGE44" s="2844"/>
      <c r="MGF44" s="2845"/>
      <c r="MGG44" s="2842"/>
      <c r="MGH44" s="2842"/>
      <c r="MGI44" s="2843"/>
      <c r="MGJ44" s="2843"/>
      <c r="MGK44" s="2844"/>
      <c r="MGL44" s="2845"/>
      <c r="MGM44" s="2842"/>
      <c r="MGN44" s="2842"/>
      <c r="MGO44" s="2843"/>
      <c r="MGP44" s="2843"/>
      <c r="MGQ44" s="2844"/>
      <c r="MGR44" s="2845"/>
      <c r="MGS44" s="2842"/>
      <c r="MGT44" s="2842"/>
      <c r="MGU44" s="2843"/>
      <c r="MGV44" s="2843"/>
      <c r="MGW44" s="2844"/>
      <c r="MGX44" s="2845"/>
      <c r="MGY44" s="2842"/>
      <c r="MGZ44" s="2842"/>
      <c r="MHA44" s="2843"/>
      <c r="MHB44" s="2843"/>
      <c r="MHC44" s="2844"/>
      <c r="MHD44" s="2845"/>
      <c r="MHE44" s="2842"/>
      <c r="MHF44" s="2842"/>
      <c r="MHG44" s="2843"/>
      <c r="MHH44" s="2843"/>
      <c r="MHI44" s="2844"/>
      <c r="MHJ44" s="2845"/>
      <c r="MHK44" s="2842"/>
      <c r="MHL44" s="2842"/>
      <c r="MHM44" s="2843"/>
      <c r="MHN44" s="2843"/>
      <c r="MHO44" s="2844"/>
      <c r="MHP44" s="2845"/>
      <c r="MHQ44" s="2842"/>
      <c r="MHR44" s="2842"/>
      <c r="MHS44" s="2843"/>
      <c r="MHT44" s="2843"/>
      <c r="MHU44" s="2844"/>
      <c r="MHV44" s="2845"/>
      <c r="MHW44" s="2842"/>
      <c r="MHX44" s="2842"/>
      <c r="MHY44" s="2843"/>
      <c r="MHZ44" s="2843"/>
      <c r="MIA44" s="2844"/>
      <c r="MIB44" s="2845"/>
      <c r="MIC44" s="2842"/>
      <c r="MID44" s="2842"/>
      <c r="MIE44" s="2843"/>
      <c r="MIF44" s="2843"/>
      <c r="MIG44" s="2844"/>
      <c r="MIH44" s="2845"/>
      <c r="MII44" s="2842"/>
      <c r="MIJ44" s="2842"/>
      <c r="MIK44" s="2843"/>
      <c r="MIL44" s="2843"/>
      <c r="MIM44" s="2844"/>
      <c r="MIN44" s="2845"/>
      <c r="MIO44" s="2842"/>
      <c r="MIP44" s="2842"/>
      <c r="MIQ44" s="2843"/>
      <c r="MIR44" s="2843"/>
      <c r="MIS44" s="2844"/>
      <c r="MIT44" s="2845"/>
      <c r="MIU44" s="2842"/>
      <c r="MIV44" s="2842"/>
      <c r="MIW44" s="2843"/>
      <c r="MIX44" s="2843"/>
      <c r="MIY44" s="2844"/>
      <c r="MIZ44" s="2845"/>
      <c r="MJA44" s="2842"/>
      <c r="MJB44" s="2842"/>
      <c r="MJC44" s="2843"/>
      <c r="MJD44" s="2843"/>
      <c r="MJE44" s="2844"/>
      <c r="MJF44" s="2845"/>
      <c r="MJG44" s="2842"/>
      <c r="MJH44" s="2842"/>
      <c r="MJI44" s="2843"/>
      <c r="MJJ44" s="2843"/>
      <c r="MJK44" s="2844"/>
      <c r="MJL44" s="2845"/>
      <c r="MJM44" s="2842"/>
      <c r="MJN44" s="2842"/>
      <c r="MJO44" s="2843"/>
      <c r="MJP44" s="2843"/>
      <c r="MJQ44" s="2844"/>
      <c r="MJR44" s="2845"/>
      <c r="MJS44" s="2842"/>
      <c r="MJT44" s="2842"/>
      <c r="MJU44" s="2843"/>
      <c r="MJV44" s="2843"/>
      <c r="MJW44" s="2844"/>
      <c r="MJX44" s="2845"/>
      <c r="MJY44" s="2842"/>
      <c r="MJZ44" s="2842"/>
      <c r="MKA44" s="2843"/>
      <c r="MKB44" s="2843"/>
      <c r="MKC44" s="2844"/>
      <c r="MKD44" s="2845"/>
      <c r="MKE44" s="2842"/>
      <c r="MKF44" s="2842"/>
      <c r="MKG44" s="2843"/>
      <c r="MKH44" s="2843"/>
      <c r="MKI44" s="2844"/>
      <c r="MKJ44" s="2845"/>
      <c r="MKK44" s="2842"/>
      <c r="MKL44" s="2842"/>
      <c r="MKM44" s="2843"/>
      <c r="MKN44" s="2843"/>
      <c r="MKO44" s="2844"/>
      <c r="MKP44" s="2845"/>
      <c r="MKQ44" s="2842"/>
      <c r="MKR44" s="2842"/>
      <c r="MKS44" s="2843"/>
      <c r="MKT44" s="2843"/>
      <c r="MKU44" s="2844"/>
      <c r="MKV44" s="2845"/>
      <c r="MKW44" s="2842"/>
      <c r="MKX44" s="2842"/>
      <c r="MKY44" s="2843"/>
      <c r="MKZ44" s="2843"/>
      <c r="MLA44" s="2844"/>
      <c r="MLB44" s="2845"/>
      <c r="MLC44" s="2842"/>
      <c r="MLD44" s="2842"/>
      <c r="MLE44" s="2843"/>
      <c r="MLF44" s="2843"/>
      <c r="MLG44" s="2844"/>
      <c r="MLH44" s="2845"/>
      <c r="MLI44" s="2842"/>
      <c r="MLJ44" s="2842"/>
      <c r="MLK44" s="2843"/>
      <c r="MLL44" s="2843"/>
      <c r="MLM44" s="2844"/>
      <c r="MLN44" s="2845"/>
      <c r="MLO44" s="2842"/>
      <c r="MLP44" s="2842"/>
      <c r="MLQ44" s="2843"/>
      <c r="MLR44" s="2843"/>
      <c r="MLS44" s="2844"/>
      <c r="MLT44" s="2845"/>
      <c r="MLU44" s="2842"/>
      <c r="MLV44" s="2842"/>
      <c r="MLW44" s="2843"/>
      <c r="MLX44" s="2843"/>
      <c r="MLY44" s="2844"/>
      <c r="MLZ44" s="2845"/>
      <c r="MMA44" s="2842"/>
      <c r="MMB44" s="2842"/>
      <c r="MMC44" s="2843"/>
      <c r="MMD44" s="2843"/>
      <c r="MME44" s="2844"/>
      <c r="MMF44" s="2845"/>
      <c r="MMG44" s="2842"/>
      <c r="MMH44" s="2842"/>
      <c r="MMI44" s="2843"/>
      <c r="MMJ44" s="2843"/>
      <c r="MMK44" s="2844"/>
      <c r="MML44" s="2845"/>
      <c r="MMM44" s="2842"/>
      <c r="MMN44" s="2842"/>
      <c r="MMO44" s="2843"/>
      <c r="MMP44" s="2843"/>
      <c r="MMQ44" s="2844"/>
      <c r="MMR44" s="2845"/>
      <c r="MMS44" s="2842"/>
      <c r="MMT44" s="2842"/>
      <c r="MMU44" s="2843"/>
      <c r="MMV44" s="2843"/>
      <c r="MMW44" s="2844"/>
      <c r="MMX44" s="2845"/>
      <c r="MMY44" s="2842"/>
      <c r="MMZ44" s="2842"/>
      <c r="MNA44" s="2843"/>
      <c r="MNB44" s="2843"/>
      <c r="MNC44" s="2844"/>
      <c r="MND44" s="2845"/>
      <c r="MNE44" s="2842"/>
      <c r="MNF44" s="2842"/>
      <c r="MNG44" s="2843"/>
      <c r="MNH44" s="2843"/>
      <c r="MNI44" s="2844"/>
      <c r="MNJ44" s="2845"/>
      <c r="MNK44" s="2842"/>
      <c r="MNL44" s="2842"/>
      <c r="MNM44" s="2843"/>
      <c r="MNN44" s="2843"/>
      <c r="MNO44" s="2844"/>
      <c r="MNP44" s="2845"/>
      <c r="MNQ44" s="2842"/>
      <c r="MNR44" s="2842"/>
      <c r="MNS44" s="2843"/>
      <c r="MNT44" s="2843"/>
      <c r="MNU44" s="2844"/>
      <c r="MNV44" s="2845"/>
      <c r="MNW44" s="2842"/>
      <c r="MNX44" s="2842"/>
      <c r="MNY44" s="2843"/>
      <c r="MNZ44" s="2843"/>
      <c r="MOA44" s="2844"/>
      <c r="MOB44" s="2845"/>
      <c r="MOC44" s="2842"/>
      <c r="MOD44" s="2842"/>
      <c r="MOE44" s="2843"/>
      <c r="MOF44" s="2843"/>
      <c r="MOG44" s="2844"/>
      <c r="MOH44" s="2845"/>
      <c r="MOI44" s="2842"/>
      <c r="MOJ44" s="2842"/>
      <c r="MOK44" s="2843"/>
      <c r="MOL44" s="2843"/>
      <c r="MOM44" s="2844"/>
      <c r="MON44" s="2845"/>
      <c r="MOO44" s="2842"/>
      <c r="MOP44" s="2842"/>
      <c r="MOQ44" s="2843"/>
      <c r="MOR44" s="2843"/>
      <c r="MOS44" s="2844"/>
      <c r="MOT44" s="2845"/>
      <c r="MOU44" s="2842"/>
      <c r="MOV44" s="2842"/>
      <c r="MOW44" s="2843"/>
      <c r="MOX44" s="2843"/>
      <c r="MOY44" s="2844"/>
      <c r="MOZ44" s="2845"/>
      <c r="MPA44" s="2842"/>
      <c r="MPB44" s="2842"/>
      <c r="MPC44" s="2843"/>
      <c r="MPD44" s="2843"/>
      <c r="MPE44" s="2844"/>
      <c r="MPF44" s="2845"/>
      <c r="MPG44" s="2842"/>
      <c r="MPH44" s="2842"/>
      <c r="MPI44" s="2843"/>
      <c r="MPJ44" s="2843"/>
      <c r="MPK44" s="2844"/>
      <c r="MPL44" s="2845"/>
      <c r="MPM44" s="2842"/>
      <c r="MPN44" s="2842"/>
      <c r="MPO44" s="2843"/>
      <c r="MPP44" s="2843"/>
      <c r="MPQ44" s="2844"/>
      <c r="MPR44" s="2845"/>
      <c r="MPS44" s="2842"/>
      <c r="MPT44" s="2842"/>
      <c r="MPU44" s="2843"/>
      <c r="MPV44" s="2843"/>
      <c r="MPW44" s="2844"/>
      <c r="MPX44" s="2845"/>
      <c r="MPY44" s="2842"/>
      <c r="MPZ44" s="2842"/>
      <c r="MQA44" s="2843"/>
      <c r="MQB44" s="2843"/>
      <c r="MQC44" s="2844"/>
      <c r="MQD44" s="2845"/>
      <c r="MQE44" s="2842"/>
      <c r="MQF44" s="2842"/>
      <c r="MQG44" s="2843"/>
      <c r="MQH44" s="2843"/>
      <c r="MQI44" s="2844"/>
      <c r="MQJ44" s="2845"/>
      <c r="MQK44" s="2842"/>
      <c r="MQL44" s="2842"/>
      <c r="MQM44" s="2843"/>
      <c r="MQN44" s="2843"/>
      <c r="MQO44" s="2844"/>
      <c r="MQP44" s="2845"/>
      <c r="MQQ44" s="2842"/>
      <c r="MQR44" s="2842"/>
      <c r="MQS44" s="2843"/>
      <c r="MQT44" s="2843"/>
      <c r="MQU44" s="2844"/>
      <c r="MQV44" s="2845"/>
      <c r="MQW44" s="2842"/>
      <c r="MQX44" s="2842"/>
      <c r="MQY44" s="2843"/>
      <c r="MQZ44" s="2843"/>
      <c r="MRA44" s="2844"/>
      <c r="MRB44" s="2845"/>
      <c r="MRC44" s="2842"/>
      <c r="MRD44" s="2842"/>
      <c r="MRE44" s="2843"/>
      <c r="MRF44" s="2843"/>
      <c r="MRG44" s="2844"/>
      <c r="MRH44" s="2845"/>
      <c r="MRI44" s="2842"/>
      <c r="MRJ44" s="2842"/>
      <c r="MRK44" s="2843"/>
      <c r="MRL44" s="2843"/>
      <c r="MRM44" s="2844"/>
      <c r="MRN44" s="2845"/>
      <c r="MRO44" s="2842"/>
      <c r="MRP44" s="2842"/>
      <c r="MRQ44" s="2843"/>
      <c r="MRR44" s="2843"/>
      <c r="MRS44" s="2844"/>
      <c r="MRT44" s="2845"/>
      <c r="MRU44" s="2842"/>
      <c r="MRV44" s="2842"/>
      <c r="MRW44" s="2843"/>
      <c r="MRX44" s="2843"/>
      <c r="MRY44" s="2844"/>
      <c r="MRZ44" s="2845"/>
      <c r="MSA44" s="2842"/>
      <c r="MSB44" s="2842"/>
      <c r="MSC44" s="2843"/>
      <c r="MSD44" s="2843"/>
      <c r="MSE44" s="2844"/>
      <c r="MSF44" s="2845"/>
      <c r="MSG44" s="2842"/>
      <c r="MSH44" s="2842"/>
      <c r="MSI44" s="2843"/>
      <c r="MSJ44" s="2843"/>
      <c r="MSK44" s="2844"/>
      <c r="MSL44" s="2845"/>
      <c r="MSM44" s="2842"/>
      <c r="MSN44" s="2842"/>
      <c r="MSO44" s="2843"/>
      <c r="MSP44" s="2843"/>
      <c r="MSQ44" s="2844"/>
      <c r="MSR44" s="2845"/>
      <c r="MSS44" s="2842"/>
      <c r="MST44" s="2842"/>
      <c r="MSU44" s="2843"/>
      <c r="MSV44" s="2843"/>
      <c r="MSW44" s="2844"/>
      <c r="MSX44" s="2845"/>
      <c r="MSY44" s="2842"/>
      <c r="MSZ44" s="2842"/>
      <c r="MTA44" s="2843"/>
      <c r="MTB44" s="2843"/>
      <c r="MTC44" s="2844"/>
      <c r="MTD44" s="2845"/>
      <c r="MTE44" s="2842"/>
      <c r="MTF44" s="2842"/>
      <c r="MTG44" s="2843"/>
      <c r="MTH44" s="2843"/>
      <c r="MTI44" s="2844"/>
      <c r="MTJ44" s="2845"/>
      <c r="MTK44" s="2842"/>
      <c r="MTL44" s="2842"/>
      <c r="MTM44" s="2843"/>
      <c r="MTN44" s="2843"/>
      <c r="MTO44" s="2844"/>
      <c r="MTP44" s="2845"/>
      <c r="MTQ44" s="2842"/>
      <c r="MTR44" s="2842"/>
      <c r="MTS44" s="2843"/>
      <c r="MTT44" s="2843"/>
      <c r="MTU44" s="2844"/>
      <c r="MTV44" s="2845"/>
      <c r="MTW44" s="2842"/>
      <c r="MTX44" s="2842"/>
      <c r="MTY44" s="2843"/>
      <c r="MTZ44" s="2843"/>
      <c r="MUA44" s="2844"/>
      <c r="MUB44" s="2845"/>
      <c r="MUC44" s="2842"/>
      <c r="MUD44" s="2842"/>
      <c r="MUE44" s="2843"/>
      <c r="MUF44" s="2843"/>
      <c r="MUG44" s="2844"/>
      <c r="MUH44" s="2845"/>
      <c r="MUI44" s="2842"/>
      <c r="MUJ44" s="2842"/>
      <c r="MUK44" s="2843"/>
      <c r="MUL44" s="2843"/>
      <c r="MUM44" s="2844"/>
      <c r="MUN44" s="2845"/>
      <c r="MUO44" s="2842"/>
      <c r="MUP44" s="2842"/>
      <c r="MUQ44" s="2843"/>
      <c r="MUR44" s="2843"/>
      <c r="MUS44" s="2844"/>
      <c r="MUT44" s="2845"/>
      <c r="MUU44" s="2842"/>
      <c r="MUV44" s="2842"/>
      <c r="MUW44" s="2843"/>
      <c r="MUX44" s="2843"/>
      <c r="MUY44" s="2844"/>
      <c r="MUZ44" s="2845"/>
      <c r="MVA44" s="2842"/>
      <c r="MVB44" s="2842"/>
      <c r="MVC44" s="2843"/>
      <c r="MVD44" s="2843"/>
      <c r="MVE44" s="2844"/>
      <c r="MVF44" s="2845"/>
      <c r="MVG44" s="2842"/>
      <c r="MVH44" s="2842"/>
      <c r="MVI44" s="2843"/>
      <c r="MVJ44" s="2843"/>
      <c r="MVK44" s="2844"/>
      <c r="MVL44" s="2845"/>
      <c r="MVM44" s="2842"/>
      <c r="MVN44" s="2842"/>
      <c r="MVO44" s="2843"/>
      <c r="MVP44" s="2843"/>
      <c r="MVQ44" s="2844"/>
      <c r="MVR44" s="2845"/>
      <c r="MVS44" s="2842"/>
      <c r="MVT44" s="2842"/>
      <c r="MVU44" s="2843"/>
      <c r="MVV44" s="2843"/>
      <c r="MVW44" s="2844"/>
      <c r="MVX44" s="2845"/>
      <c r="MVY44" s="2842"/>
      <c r="MVZ44" s="2842"/>
      <c r="MWA44" s="2843"/>
      <c r="MWB44" s="2843"/>
      <c r="MWC44" s="2844"/>
      <c r="MWD44" s="2845"/>
      <c r="MWE44" s="2842"/>
      <c r="MWF44" s="2842"/>
      <c r="MWG44" s="2843"/>
      <c r="MWH44" s="2843"/>
      <c r="MWI44" s="2844"/>
      <c r="MWJ44" s="2845"/>
      <c r="MWK44" s="2842"/>
      <c r="MWL44" s="2842"/>
      <c r="MWM44" s="2843"/>
      <c r="MWN44" s="2843"/>
      <c r="MWO44" s="2844"/>
      <c r="MWP44" s="2845"/>
      <c r="MWQ44" s="2842"/>
      <c r="MWR44" s="2842"/>
      <c r="MWS44" s="2843"/>
      <c r="MWT44" s="2843"/>
      <c r="MWU44" s="2844"/>
      <c r="MWV44" s="2845"/>
      <c r="MWW44" s="2842"/>
      <c r="MWX44" s="2842"/>
      <c r="MWY44" s="2843"/>
      <c r="MWZ44" s="2843"/>
      <c r="MXA44" s="2844"/>
      <c r="MXB44" s="2845"/>
      <c r="MXC44" s="2842"/>
      <c r="MXD44" s="2842"/>
      <c r="MXE44" s="2843"/>
      <c r="MXF44" s="2843"/>
      <c r="MXG44" s="2844"/>
      <c r="MXH44" s="2845"/>
      <c r="MXI44" s="2842"/>
      <c r="MXJ44" s="2842"/>
      <c r="MXK44" s="2843"/>
      <c r="MXL44" s="2843"/>
      <c r="MXM44" s="2844"/>
      <c r="MXN44" s="2845"/>
      <c r="MXO44" s="2842"/>
      <c r="MXP44" s="2842"/>
      <c r="MXQ44" s="2843"/>
      <c r="MXR44" s="2843"/>
      <c r="MXS44" s="2844"/>
      <c r="MXT44" s="2845"/>
      <c r="MXU44" s="2842"/>
      <c r="MXV44" s="2842"/>
      <c r="MXW44" s="2843"/>
      <c r="MXX44" s="2843"/>
      <c r="MXY44" s="2844"/>
      <c r="MXZ44" s="2845"/>
      <c r="MYA44" s="2842"/>
      <c r="MYB44" s="2842"/>
      <c r="MYC44" s="2843"/>
      <c r="MYD44" s="2843"/>
      <c r="MYE44" s="2844"/>
      <c r="MYF44" s="2845"/>
      <c r="MYG44" s="2842"/>
      <c r="MYH44" s="2842"/>
      <c r="MYI44" s="2843"/>
      <c r="MYJ44" s="2843"/>
      <c r="MYK44" s="2844"/>
      <c r="MYL44" s="2845"/>
      <c r="MYM44" s="2842"/>
      <c r="MYN44" s="2842"/>
      <c r="MYO44" s="2843"/>
      <c r="MYP44" s="2843"/>
      <c r="MYQ44" s="2844"/>
      <c r="MYR44" s="2845"/>
      <c r="MYS44" s="2842"/>
      <c r="MYT44" s="2842"/>
      <c r="MYU44" s="2843"/>
      <c r="MYV44" s="2843"/>
      <c r="MYW44" s="2844"/>
      <c r="MYX44" s="2845"/>
      <c r="MYY44" s="2842"/>
      <c r="MYZ44" s="2842"/>
      <c r="MZA44" s="2843"/>
      <c r="MZB44" s="2843"/>
      <c r="MZC44" s="2844"/>
      <c r="MZD44" s="2845"/>
      <c r="MZE44" s="2842"/>
      <c r="MZF44" s="2842"/>
      <c r="MZG44" s="2843"/>
      <c r="MZH44" s="2843"/>
      <c r="MZI44" s="2844"/>
      <c r="MZJ44" s="2845"/>
      <c r="MZK44" s="2842"/>
      <c r="MZL44" s="2842"/>
      <c r="MZM44" s="2843"/>
      <c r="MZN44" s="2843"/>
      <c r="MZO44" s="2844"/>
      <c r="MZP44" s="2845"/>
      <c r="MZQ44" s="2842"/>
      <c r="MZR44" s="2842"/>
      <c r="MZS44" s="2843"/>
      <c r="MZT44" s="2843"/>
      <c r="MZU44" s="2844"/>
      <c r="MZV44" s="2845"/>
      <c r="MZW44" s="2842"/>
      <c r="MZX44" s="2842"/>
      <c r="MZY44" s="2843"/>
      <c r="MZZ44" s="2843"/>
      <c r="NAA44" s="2844"/>
      <c r="NAB44" s="2845"/>
      <c r="NAC44" s="2842"/>
      <c r="NAD44" s="2842"/>
      <c r="NAE44" s="2843"/>
      <c r="NAF44" s="2843"/>
      <c r="NAG44" s="2844"/>
      <c r="NAH44" s="2845"/>
      <c r="NAI44" s="2842"/>
      <c r="NAJ44" s="2842"/>
      <c r="NAK44" s="2843"/>
      <c r="NAL44" s="2843"/>
      <c r="NAM44" s="2844"/>
      <c r="NAN44" s="2845"/>
      <c r="NAO44" s="2842"/>
      <c r="NAP44" s="2842"/>
      <c r="NAQ44" s="2843"/>
      <c r="NAR44" s="2843"/>
      <c r="NAS44" s="2844"/>
      <c r="NAT44" s="2845"/>
      <c r="NAU44" s="2842"/>
      <c r="NAV44" s="2842"/>
      <c r="NAW44" s="2843"/>
      <c r="NAX44" s="2843"/>
      <c r="NAY44" s="2844"/>
      <c r="NAZ44" s="2845"/>
      <c r="NBA44" s="2842"/>
      <c r="NBB44" s="2842"/>
      <c r="NBC44" s="2843"/>
      <c r="NBD44" s="2843"/>
      <c r="NBE44" s="2844"/>
      <c r="NBF44" s="2845"/>
      <c r="NBG44" s="2842"/>
      <c r="NBH44" s="2842"/>
      <c r="NBI44" s="2843"/>
      <c r="NBJ44" s="2843"/>
      <c r="NBK44" s="2844"/>
      <c r="NBL44" s="2845"/>
      <c r="NBM44" s="2842"/>
      <c r="NBN44" s="2842"/>
      <c r="NBO44" s="2843"/>
      <c r="NBP44" s="2843"/>
      <c r="NBQ44" s="2844"/>
      <c r="NBR44" s="2845"/>
      <c r="NBS44" s="2842"/>
      <c r="NBT44" s="2842"/>
      <c r="NBU44" s="2843"/>
      <c r="NBV44" s="2843"/>
      <c r="NBW44" s="2844"/>
      <c r="NBX44" s="2845"/>
      <c r="NBY44" s="2842"/>
      <c r="NBZ44" s="2842"/>
      <c r="NCA44" s="2843"/>
      <c r="NCB44" s="2843"/>
      <c r="NCC44" s="2844"/>
      <c r="NCD44" s="2845"/>
      <c r="NCE44" s="2842"/>
      <c r="NCF44" s="2842"/>
      <c r="NCG44" s="2843"/>
      <c r="NCH44" s="2843"/>
      <c r="NCI44" s="2844"/>
      <c r="NCJ44" s="2845"/>
      <c r="NCK44" s="2842"/>
      <c r="NCL44" s="2842"/>
      <c r="NCM44" s="2843"/>
      <c r="NCN44" s="2843"/>
      <c r="NCO44" s="2844"/>
      <c r="NCP44" s="2845"/>
      <c r="NCQ44" s="2842"/>
      <c r="NCR44" s="2842"/>
      <c r="NCS44" s="2843"/>
      <c r="NCT44" s="2843"/>
      <c r="NCU44" s="2844"/>
      <c r="NCV44" s="2845"/>
      <c r="NCW44" s="2842"/>
      <c r="NCX44" s="2842"/>
      <c r="NCY44" s="2843"/>
      <c r="NCZ44" s="2843"/>
      <c r="NDA44" s="2844"/>
      <c r="NDB44" s="2845"/>
      <c r="NDC44" s="2842"/>
      <c r="NDD44" s="2842"/>
      <c r="NDE44" s="2843"/>
      <c r="NDF44" s="2843"/>
      <c r="NDG44" s="2844"/>
      <c r="NDH44" s="2845"/>
      <c r="NDI44" s="2842"/>
      <c r="NDJ44" s="2842"/>
      <c r="NDK44" s="2843"/>
      <c r="NDL44" s="2843"/>
      <c r="NDM44" s="2844"/>
      <c r="NDN44" s="2845"/>
      <c r="NDO44" s="2842"/>
      <c r="NDP44" s="2842"/>
      <c r="NDQ44" s="2843"/>
      <c r="NDR44" s="2843"/>
      <c r="NDS44" s="2844"/>
      <c r="NDT44" s="2845"/>
      <c r="NDU44" s="2842"/>
      <c r="NDV44" s="2842"/>
      <c r="NDW44" s="2843"/>
      <c r="NDX44" s="2843"/>
      <c r="NDY44" s="2844"/>
      <c r="NDZ44" s="2845"/>
      <c r="NEA44" s="2842"/>
      <c r="NEB44" s="2842"/>
      <c r="NEC44" s="2843"/>
      <c r="NED44" s="2843"/>
      <c r="NEE44" s="2844"/>
      <c r="NEF44" s="2845"/>
      <c r="NEG44" s="2842"/>
      <c r="NEH44" s="2842"/>
      <c r="NEI44" s="2843"/>
      <c r="NEJ44" s="2843"/>
      <c r="NEK44" s="2844"/>
      <c r="NEL44" s="2845"/>
      <c r="NEM44" s="2842"/>
      <c r="NEN44" s="2842"/>
      <c r="NEO44" s="2843"/>
      <c r="NEP44" s="2843"/>
      <c r="NEQ44" s="2844"/>
      <c r="NER44" s="2845"/>
      <c r="NES44" s="2842"/>
      <c r="NET44" s="2842"/>
      <c r="NEU44" s="2843"/>
      <c r="NEV44" s="2843"/>
      <c r="NEW44" s="2844"/>
      <c r="NEX44" s="2845"/>
      <c r="NEY44" s="2842"/>
      <c r="NEZ44" s="2842"/>
      <c r="NFA44" s="2843"/>
      <c r="NFB44" s="2843"/>
      <c r="NFC44" s="2844"/>
      <c r="NFD44" s="2845"/>
      <c r="NFE44" s="2842"/>
      <c r="NFF44" s="2842"/>
      <c r="NFG44" s="2843"/>
      <c r="NFH44" s="2843"/>
      <c r="NFI44" s="2844"/>
      <c r="NFJ44" s="2845"/>
      <c r="NFK44" s="2842"/>
      <c r="NFL44" s="2842"/>
      <c r="NFM44" s="2843"/>
      <c r="NFN44" s="2843"/>
      <c r="NFO44" s="2844"/>
      <c r="NFP44" s="2845"/>
      <c r="NFQ44" s="2842"/>
      <c r="NFR44" s="2842"/>
      <c r="NFS44" s="2843"/>
      <c r="NFT44" s="2843"/>
      <c r="NFU44" s="2844"/>
      <c r="NFV44" s="2845"/>
      <c r="NFW44" s="2842"/>
      <c r="NFX44" s="2842"/>
      <c r="NFY44" s="2843"/>
      <c r="NFZ44" s="2843"/>
      <c r="NGA44" s="2844"/>
      <c r="NGB44" s="2845"/>
      <c r="NGC44" s="2842"/>
      <c r="NGD44" s="2842"/>
      <c r="NGE44" s="2843"/>
      <c r="NGF44" s="2843"/>
      <c r="NGG44" s="2844"/>
      <c r="NGH44" s="2845"/>
      <c r="NGI44" s="2842"/>
      <c r="NGJ44" s="2842"/>
      <c r="NGK44" s="2843"/>
      <c r="NGL44" s="2843"/>
      <c r="NGM44" s="2844"/>
      <c r="NGN44" s="2845"/>
      <c r="NGO44" s="2842"/>
      <c r="NGP44" s="2842"/>
      <c r="NGQ44" s="2843"/>
      <c r="NGR44" s="2843"/>
      <c r="NGS44" s="2844"/>
      <c r="NGT44" s="2845"/>
      <c r="NGU44" s="2842"/>
      <c r="NGV44" s="2842"/>
      <c r="NGW44" s="2843"/>
      <c r="NGX44" s="2843"/>
      <c r="NGY44" s="2844"/>
      <c r="NGZ44" s="2845"/>
      <c r="NHA44" s="2842"/>
      <c r="NHB44" s="2842"/>
      <c r="NHC44" s="2843"/>
      <c r="NHD44" s="2843"/>
      <c r="NHE44" s="2844"/>
      <c r="NHF44" s="2845"/>
      <c r="NHG44" s="2842"/>
      <c r="NHH44" s="2842"/>
      <c r="NHI44" s="2843"/>
      <c r="NHJ44" s="2843"/>
      <c r="NHK44" s="2844"/>
      <c r="NHL44" s="2845"/>
      <c r="NHM44" s="2842"/>
      <c r="NHN44" s="2842"/>
      <c r="NHO44" s="2843"/>
      <c r="NHP44" s="2843"/>
      <c r="NHQ44" s="2844"/>
      <c r="NHR44" s="2845"/>
      <c r="NHS44" s="2842"/>
      <c r="NHT44" s="2842"/>
      <c r="NHU44" s="2843"/>
      <c r="NHV44" s="2843"/>
      <c r="NHW44" s="2844"/>
      <c r="NHX44" s="2845"/>
      <c r="NHY44" s="2842"/>
      <c r="NHZ44" s="2842"/>
      <c r="NIA44" s="2843"/>
      <c r="NIB44" s="2843"/>
      <c r="NIC44" s="2844"/>
      <c r="NID44" s="2845"/>
      <c r="NIE44" s="2842"/>
      <c r="NIF44" s="2842"/>
      <c r="NIG44" s="2843"/>
      <c r="NIH44" s="2843"/>
      <c r="NII44" s="2844"/>
      <c r="NIJ44" s="2845"/>
      <c r="NIK44" s="2842"/>
      <c r="NIL44" s="2842"/>
      <c r="NIM44" s="2843"/>
      <c r="NIN44" s="2843"/>
      <c r="NIO44" s="2844"/>
      <c r="NIP44" s="2845"/>
      <c r="NIQ44" s="2842"/>
      <c r="NIR44" s="2842"/>
      <c r="NIS44" s="2843"/>
      <c r="NIT44" s="2843"/>
      <c r="NIU44" s="2844"/>
      <c r="NIV44" s="2845"/>
      <c r="NIW44" s="2842"/>
      <c r="NIX44" s="2842"/>
      <c r="NIY44" s="2843"/>
      <c r="NIZ44" s="2843"/>
      <c r="NJA44" s="2844"/>
      <c r="NJB44" s="2845"/>
      <c r="NJC44" s="2842"/>
      <c r="NJD44" s="2842"/>
      <c r="NJE44" s="2843"/>
      <c r="NJF44" s="2843"/>
      <c r="NJG44" s="2844"/>
      <c r="NJH44" s="2845"/>
      <c r="NJI44" s="2842"/>
      <c r="NJJ44" s="2842"/>
      <c r="NJK44" s="2843"/>
      <c r="NJL44" s="2843"/>
      <c r="NJM44" s="2844"/>
      <c r="NJN44" s="2845"/>
      <c r="NJO44" s="2842"/>
      <c r="NJP44" s="2842"/>
      <c r="NJQ44" s="2843"/>
      <c r="NJR44" s="2843"/>
      <c r="NJS44" s="2844"/>
      <c r="NJT44" s="2845"/>
      <c r="NJU44" s="2842"/>
      <c r="NJV44" s="2842"/>
      <c r="NJW44" s="2843"/>
      <c r="NJX44" s="2843"/>
      <c r="NJY44" s="2844"/>
      <c r="NJZ44" s="2845"/>
      <c r="NKA44" s="2842"/>
      <c r="NKB44" s="2842"/>
      <c r="NKC44" s="2843"/>
      <c r="NKD44" s="2843"/>
      <c r="NKE44" s="2844"/>
      <c r="NKF44" s="2845"/>
      <c r="NKG44" s="2842"/>
      <c r="NKH44" s="2842"/>
      <c r="NKI44" s="2843"/>
      <c r="NKJ44" s="2843"/>
      <c r="NKK44" s="2844"/>
      <c r="NKL44" s="2845"/>
      <c r="NKM44" s="2842"/>
      <c r="NKN44" s="2842"/>
      <c r="NKO44" s="2843"/>
      <c r="NKP44" s="2843"/>
      <c r="NKQ44" s="2844"/>
      <c r="NKR44" s="2845"/>
      <c r="NKS44" s="2842"/>
      <c r="NKT44" s="2842"/>
      <c r="NKU44" s="2843"/>
      <c r="NKV44" s="2843"/>
      <c r="NKW44" s="2844"/>
      <c r="NKX44" s="2845"/>
      <c r="NKY44" s="2842"/>
      <c r="NKZ44" s="2842"/>
      <c r="NLA44" s="2843"/>
      <c r="NLB44" s="2843"/>
      <c r="NLC44" s="2844"/>
      <c r="NLD44" s="2845"/>
      <c r="NLE44" s="2842"/>
      <c r="NLF44" s="2842"/>
      <c r="NLG44" s="2843"/>
      <c r="NLH44" s="2843"/>
      <c r="NLI44" s="2844"/>
      <c r="NLJ44" s="2845"/>
      <c r="NLK44" s="2842"/>
      <c r="NLL44" s="2842"/>
      <c r="NLM44" s="2843"/>
      <c r="NLN44" s="2843"/>
      <c r="NLO44" s="2844"/>
      <c r="NLP44" s="2845"/>
      <c r="NLQ44" s="2842"/>
      <c r="NLR44" s="2842"/>
      <c r="NLS44" s="2843"/>
      <c r="NLT44" s="2843"/>
      <c r="NLU44" s="2844"/>
      <c r="NLV44" s="2845"/>
      <c r="NLW44" s="2842"/>
      <c r="NLX44" s="2842"/>
      <c r="NLY44" s="2843"/>
      <c r="NLZ44" s="2843"/>
      <c r="NMA44" s="2844"/>
      <c r="NMB44" s="2845"/>
      <c r="NMC44" s="2842"/>
      <c r="NMD44" s="2842"/>
      <c r="NME44" s="2843"/>
      <c r="NMF44" s="2843"/>
      <c r="NMG44" s="2844"/>
      <c r="NMH44" s="2845"/>
      <c r="NMI44" s="2842"/>
      <c r="NMJ44" s="2842"/>
      <c r="NMK44" s="2843"/>
      <c r="NML44" s="2843"/>
      <c r="NMM44" s="2844"/>
      <c r="NMN44" s="2845"/>
      <c r="NMO44" s="2842"/>
      <c r="NMP44" s="2842"/>
      <c r="NMQ44" s="2843"/>
      <c r="NMR44" s="2843"/>
      <c r="NMS44" s="2844"/>
      <c r="NMT44" s="2845"/>
      <c r="NMU44" s="2842"/>
      <c r="NMV44" s="2842"/>
      <c r="NMW44" s="2843"/>
      <c r="NMX44" s="2843"/>
      <c r="NMY44" s="2844"/>
      <c r="NMZ44" s="2845"/>
      <c r="NNA44" s="2842"/>
      <c r="NNB44" s="2842"/>
      <c r="NNC44" s="2843"/>
      <c r="NND44" s="2843"/>
      <c r="NNE44" s="2844"/>
      <c r="NNF44" s="2845"/>
      <c r="NNG44" s="2842"/>
      <c r="NNH44" s="2842"/>
      <c r="NNI44" s="2843"/>
      <c r="NNJ44" s="2843"/>
      <c r="NNK44" s="2844"/>
      <c r="NNL44" s="2845"/>
      <c r="NNM44" s="2842"/>
      <c r="NNN44" s="2842"/>
      <c r="NNO44" s="2843"/>
      <c r="NNP44" s="2843"/>
      <c r="NNQ44" s="2844"/>
      <c r="NNR44" s="2845"/>
      <c r="NNS44" s="2842"/>
      <c r="NNT44" s="2842"/>
      <c r="NNU44" s="2843"/>
      <c r="NNV44" s="2843"/>
      <c r="NNW44" s="2844"/>
      <c r="NNX44" s="2845"/>
      <c r="NNY44" s="2842"/>
      <c r="NNZ44" s="2842"/>
      <c r="NOA44" s="2843"/>
      <c r="NOB44" s="2843"/>
      <c r="NOC44" s="2844"/>
      <c r="NOD44" s="2845"/>
      <c r="NOE44" s="2842"/>
      <c r="NOF44" s="2842"/>
      <c r="NOG44" s="2843"/>
      <c r="NOH44" s="2843"/>
      <c r="NOI44" s="2844"/>
      <c r="NOJ44" s="2845"/>
      <c r="NOK44" s="2842"/>
      <c r="NOL44" s="2842"/>
      <c r="NOM44" s="2843"/>
      <c r="NON44" s="2843"/>
      <c r="NOO44" s="2844"/>
      <c r="NOP44" s="2845"/>
      <c r="NOQ44" s="2842"/>
      <c r="NOR44" s="2842"/>
      <c r="NOS44" s="2843"/>
      <c r="NOT44" s="2843"/>
      <c r="NOU44" s="2844"/>
      <c r="NOV44" s="2845"/>
      <c r="NOW44" s="2842"/>
      <c r="NOX44" s="2842"/>
      <c r="NOY44" s="2843"/>
      <c r="NOZ44" s="2843"/>
      <c r="NPA44" s="2844"/>
      <c r="NPB44" s="2845"/>
      <c r="NPC44" s="2842"/>
      <c r="NPD44" s="2842"/>
      <c r="NPE44" s="2843"/>
      <c r="NPF44" s="2843"/>
      <c r="NPG44" s="2844"/>
      <c r="NPH44" s="2845"/>
      <c r="NPI44" s="2842"/>
      <c r="NPJ44" s="2842"/>
      <c r="NPK44" s="2843"/>
      <c r="NPL44" s="2843"/>
      <c r="NPM44" s="2844"/>
      <c r="NPN44" s="2845"/>
      <c r="NPO44" s="2842"/>
      <c r="NPP44" s="2842"/>
      <c r="NPQ44" s="2843"/>
      <c r="NPR44" s="2843"/>
      <c r="NPS44" s="2844"/>
      <c r="NPT44" s="2845"/>
      <c r="NPU44" s="2842"/>
      <c r="NPV44" s="2842"/>
      <c r="NPW44" s="2843"/>
      <c r="NPX44" s="2843"/>
      <c r="NPY44" s="2844"/>
      <c r="NPZ44" s="2845"/>
      <c r="NQA44" s="2842"/>
      <c r="NQB44" s="2842"/>
      <c r="NQC44" s="2843"/>
      <c r="NQD44" s="2843"/>
      <c r="NQE44" s="2844"/>
      <c r="NQF44" s="2845"/>
      <c r="NQG44" s="2842"/>
      <c r="NQH44" s="2842"/>
      <c r="NQI44" s="2843"/>
      <c r="NQJ44" s="2843"/>
      <c r="NQK44" s="2844"/>
      <c r="NQL44" s="2845"/>
      <c r="NQM44" s="2842"/>
      <c r="NQN44" s="2842"/>
      <c r="NQO44" s="2843"/>
      <c r="NQP44" s="2843"/>
      <c r="NQQ44" s="2844"/>
      <c r="NQR44" s="2845"/>
      <c r="NQS44" s="2842"/>
      <c r="NQT44" s="2842"/>
      <c r="NQU44" s="2843"/>
      <c r="NQV44" s="2843"/>
      <c r="NQW44" s="2844"/>
      <c r="NQX44" s="2845"/>
      <c r="NQY44" s="2842"/>
      <c r="NQZ44" s="2842"/>
      <c r="NRA44" s="2843"/>
      <c r="NRB44" s="2843"/>
      <c r="NRC44" s="2844"/>
      <c r="NRD44" s="2845"/>
      <c r="NRE44" s="2842"/>
      <c r="NRF44" s="2842"/>
      <c r="NRG44" s="2843"/>
      <c r="NRH44" s="2843"/>
      <c r="NRI44" s="2844"/>
      <c r="NRJ44" s="2845"/>
      <c r="NRK44" s="2842"/>
      <c r="NRL44" s="2842"/>
      <c r="NRM44" s="2843"/>
      <c r="NRN44" s="2843"/>
      <c r="NRO44" s="2844"/>
      <c r="NRP44" s="2845"/>
      <c r="NRQ44" s="2842"/>
      <c r="NRR44" s="2842"/>
      <c r="NRS44" s="2843"/>
      <c r="NRT44" s="2843"/>
      <c r="NRU44" s="2844"/>
      <c r="NRV44" s="2845"/>
      <c r="NRW44" s="2842"/>
      <c r="NRX44" s="2842"/>
      <c r="NRY44" s="2843"/>
      <c r="NRZ44" s="2843"/>
      <c r="NSA44" s="2844"/>
      <c r="NSB44" s="2845"/>
      <c r="NSC44" s="2842"/>
      <c r="NSD44" s="2842"/>
      <c r="NSE44" s="2843"/>
      <c r="NSF44" s="2843"/>
      <c r="NSG44" s="2844"/>
      <c r="NSH44" s="2845"/>
      <c r="NSI44" s="2842"/>
      <c r="NSJ44" s="2842"/>
      <c r="NSK44" s="2843"/>
      <c r="NSL44" s="2843"/>
      <c r="NSM44" s="2844"/>
      <c r="NSN44" s="2845"/>
      <c r="NSO44" s="2842"/>
      <c r="NSP44" s="2842"/>
      <c r="NSQ44" s="2843"/>
      <c r="NSR44" s="2843"/>
      <c r="NSS44" s="2844"/>
      <c r="NST44" s="2845"/>
      <c r="NSU44" s="2842"/>
      <c r="NSV44" s="2842"/>
      <c r="NSW44" s="2843"/>
      <c r="NSX44" s="2843"/>
      <c r="NSY44" s="2844"/>
      <c r="NSZ44" s="2845"/>
      <c r="NTA44" s="2842"/>
      <c r="NTB44" s="2842"/>
      <c r="NTC44" s="2843"/>
      <c r="NTD44" s="2843"/>
      <c r="NTE44" s="2844"/>
      <c r="NTF44" s="2845"/>
      <c r="NTG44" s="2842"/>
      <c r="NTH44" s="2842"/>
      <c r="NTI44" s="2843"/>
      <c r="NTJ44" s="2843"/>
      <c r="NTK44" s="2844"/>
      <c r="NTL44" s="2845"/>
      <c r="NTM44" s="2842"/>
      <c r="NTN44" s="2842"/>
      <c r="NTO44" s="2843"/>
      <c r="NTP44" s="2843"/>
      <c r="NTQ44" s="2844"/>
      <c r="NTR44" s="2845"/>
      <c r="NTS44" s="2842"/>
      <c r="NTT44" s="2842"/>
      <c r="NTU44" s="2843"/>
      <c r="NTV44" s="2843"/>
      <c r="NTW44" s="2844"/>
      <c r="NTX44" s="2845"/>
      <c r="NTY44" s="2842"/>
      <c r="NTZ44" s="2842"/>
      <c r="NUA44" s="2843"/>
      <c r="NUB44" s="2843"/>
      <c r="NUC44" s="2844"/>
      <c r="NUD44" s="2845"/>
      <c r="NUE44" s="2842"/>
      <c r="NUF44" s="2842"/>
      <c r="NUG44" s="2843"/>
      <c r="NUH44" s="2843"/>
      <c r="NUI44" s="2844"/>
      <c r="NUJ44" s="2845"/>
      <c r="NUK44" s="2842"/>
      <c r="NUL44" s="2842"/>
      <c r="NUM44" s="2843"/>
      <c r="NUN44" s="2843"/>
      <c r="NUO44" s="2844"/>
      <c r="NUP44" s="2845"/>
      <c r="NUQ44" s="2842"/>
      <c r="NUR44" s="2842"/>
      <c r="NUS44" s="2843"/>
      <c r="NUT44" s="2843"/>
      <c r="NUU44" s="2844"/>
      <c r="NUV44" s="2845"/>
      <c r="NUW44" s="2842"/>
      <c r="NUX44" s="2842"/>
      <c r="NUY44" s="2843"/>
      <c r="NUZ44" s="2843"/>
      <c r="NVA44" s="2844"/>
      <c r="NVB44" s="2845"/>
      <c r="NVC44" s="2842"/>
      <c r="NVD44" s="2842"/>
      <c r="NVE44" s="2843"/>
      <c r="NVF44" s="2843"/>
      <c r="NVG44" s="2844"/>
      <c r="NVH44" s="2845"/>
      <c r="NVI44" s="2842"/>
      <c r="NVJ44" s="2842"/>
      <c r="NVK44" s="2843"/>
      <c r="NVL44" s="2843"/>
      <c r="NVM44" s="2844"/>
      <c r="NVN44" s="2845"/>
      <c r="NVO44" s="2842"/>
      <c r="NVP44" s="2842"/>
      <c r="NVQ44" s="2843"/>
      <c r="NVR44" s="2843"/>
      <c r="NVS44" s="2844"/>
      <c r="NVT44" s="2845"/>
      <c r="NVU44" s="2842"/>
      <c r="NVV44" s="2842"/>
      <c r="NVW44" s="2843"/>
      <c r="NVX44" s="2843"/>
      <c r="NVY44" s="2844"/>
      <c r="NVZ44" s="2845"/>
      <c r="NWA44" s="2842"/>
      <c r="NWB44" s="2842"/>
      <c r="NWC44" s="2843"/>
      <c r="NWD44" s="2843"/>
      <c r="NWE44" s="2844"/>
      <c r="NWF44" s="2845"/>
      <c r="NWG44" s="2842"/>
      <c r="NWH44" s="2842"/>
      <c r="NWI44" s="2843"/>
      <c r="NWJ44" s="2843"/>
      <c r="NWK44" s="2844"/>
      <c r="NWL44" s="2845"/>
      <c r="NWM44" s="2842"/>
      <c r="NWN44" s="2842"/>
      <c r="NWO44" s="2843"/>
      <c r="NWP44" s="2843"/>
      <c r="NWQ44" s="2844"/>
      <c r="NWR44" s="2845"/>
      <c r="NWS44" s="2842"/>
      <c r="NWT44" s="2842"/>
      <c r="NWU44" s="2843"/>
      <c r="NWV44" s="2843"/>
      <c r="NWW44" s="2844"/>
      <c r="NWX44" s="2845"/>
      <c r="NWY44" s="2842"/>
      <c r="NWZ44" s="2842"/>
      <c r="NXA44" s="2843"/>
      <c r="NXB44" s="2843"/>
      <c r="NXC44" s="2844"/>
      <c r="NXD44" s="2845"/>
      <c r="NXE44" s="2842"/>
      <c r="NXF44" s="2842"/>
      <c r="NXG44" s="2843"/>
      <c r="NXH44" s="2843"/>
      <c r="NXI44" s="2844"/>
      <c r="NXJ44" s="2845"/>
      <c r="NXK44" s="2842"/>
      <c r="NXL44" s="2842"/>
      <c r="NXM44" s="2843"/>
      <c r="NXN44" s="2843"/>
      <c r="NXO44" s="2844"/>
      <c r="NXP44" s="2845"/>
      <c r="NXQ44" s="2842"/>
      <c r="NXR44" s="2842"/>
      <c r="NXS44" s="2843"/>
      <c r="NXT44" s="2843"/>
      <c r="NXU44" s="2844"/>
      <c r="NXV44" s="2845"/>
      <c r="NXW44" s="2842"/>
      <c r="NXX44" s="2842"/>
      <c r="NXY44" s="2843"/>
      <c r="NXZ44" s="2843"/>
      <c r="NYA44" s="2844"/>
      <c r="NYB44" s="2845"/>
      <c r="NYC44" s="2842"/>
      <c r="NYD44" s="2842"/>
      <c r="NYE44" s="2843"/>
      <c r="NYF44" s="2843"/>
      <c r="NYG44" s="2844"/>
      <c r="NYH44" s="2845"/>
      <c r="NYI44" s="2842"/>
      <c r="NYJ44" s="2842"/>
      <c r="NYK44" s="2843"/>
      <c r="NYL44" s="2843"/>
      <c r="NYM44" s="2844"/>
      <c r="NYN44" s="2845"/>
      <c r="NYO44" s="2842"/>
      <c r="NYP44" s="2842"/>
      <c r="NYQ44" s="2843"/>
      <c r="NYR44" s="2843"/>
      <c r="NYS44" s="2844"/>
      <c r="NYT44" s="2845"/>
      <c r="NYU44" s="2842"/>
      <c r="NYV44" s="2842"/>
      <c r="NYW44" s="2843"/>
      <c r="NYX44" s="2843"/>
      <c r="NYY44" s="2844"/>
      <c r="NYZ44" s="2845"/>
      <c r="NZA44" s="2842"/>
      <c r="NZB44" s="2842"/>
      <c r="NZC44" s="2843"/>
      <c r="NZD44" s="2843"/>
      <c r="NZE44" s="2844"/>
      <c r="NZF44" s="2845"/>
      <c r="NZG44" s="2842"/>
      <c r="NZH44" s="2842"/>
      <c r="NZI44" s="2843"/>
      <c r="NZJ44" s="2843"/>
      <c r="NZK44" s="2844"/>
      <c r="NZL44" s="2845"/>
      <c r="NZM44" s="2842"/>
      <c r="NZN44" s="2842"/>
      <c r="NZO44" s="2843"/>
      <c r="NZP44" s="2843"/>
      <c r="NZQ44" s="2844"/>
      <c r="NZR44" s="2845"/>
      <c r="NZS44" s="2842"/>
      <c r="NZT44" s="2842"/>
      <c r="NZU44" s="2843"/>
      <c r="NZV44" s="2843"/>
      <c r="NZW44" s="2844"/>
      <c r="NZX44" s="2845"/>
      <c r="NZY44" s="2842"/>
      <c r="NZZ44" s="2842"/>
      <c r="OAA44" s="2843"/>
      <c r="OAB44" s="2843"/>
      <c r="OAC44" s="2844"/>
      <c r="OAD44" s="2845"/>
      <c r="OAE44" s="2842"/>
      <c r="OAF44" s="2842"/>
      <c r="OAG44" s="2843"/>
      <c r="OAH44" s="2843"/>
      <c r="OAI44" s="2844"/>
      <c r="OAJ44" s="2845"/>
      <c r="OAK44" s="2842"/>
      <c r="OAL44" s="2842"/>
      <c r="OAM44" s="2843"/>
      <c r="OAN44" s="2843"/>
      <c r="OAO44" s="2844"/>
      <c r="OAP44" s="2845"/>
      <c r="OAQ44" s="2842"/>
      <c r="OAR44" s="2842"/>
      <c r="OAS44" s="2843"/>
      <c r="OAT44" s="2843"/>
      <c r="OAU44" s="2844"/>
      <c r="OAV44" s="2845"/>
      <c r="OAW44" s="2842"/>
      <c r="OAX44" s="2842"/>
      <c r="OAY44" s="2843"/>
      <c r="OAZ44" s="2843"/>
      <c r="OBA44" s="2844"/>
      <c r="OBB44" s="2845"/>
      <c r="OBC44" s="2842"/>
      <c r="OBD44" s="2842"/>
      <c r="OBE44" s="2843"/>
      <c r="OBF44" s="2843"/>
      <c r="OBG44" s="2844"/>
      <c r="OBH44" s="2845"/>
      <c r="OBI44" s="2842"/>
      <c r="OBJ44" s="2842"/>
      <c r="OBK44" s="2843"/>
      <c r="OBL44" s="2843"/>
      <c r="OBM44" s="2844"/>
      <c r="OBN44" s="2845"/>
      <c r="OBO44" s="2842"/>
      <c r="OBP44" s="2842"/>
      <c r="OBQ44" s="2843"/>
      <c r="OBR44" s="2843"/>
      <c r="OBS44" s="2844"/>
      <c r="OBT44" s="2845"/>
      <c r="OBU44" s="2842"/>
      <c r="OBV44" s="2842"/>
      <c r="OBW44" s="2843"/>
      <c r="OBX44" s="2843"/>
      <c r="OBY44" s="2844"/>
      <c r="OBZ44" s="2845"/>
      <c r="OCA44" s="2842"/>
      <c r="OCB44" s="2842"/>
      <c r="OCC44" s="2843"/>
      <c r="OCD44" s="2843"/>
      <c r="OCE44" s="2844"/>
      <c r="OCF44" s="2845"/>
      <c r="OCG44" s="2842"/>
      <c r="OCH44" s="2842"/>
      <c r="OCI44" s="2843"/>
      <c r="OCJ44" s="2843"/>
      <c r="OCK44" s="2844"/>
      <c r="OCL44" s="2845"/>
      <c r="OCM44" s="2842"/>
      <c r="OCN44" s="2842"/>
      <c r="OCO44" s="2843"/>
      <c r="OCP44" s="2843"/>
      <c r="OCQ44" s="2844"/>
      <c r="OCR44" s="2845"/>
      <c r="OCS44" s="2842"/>
      <c r="OCT44" s="2842"/>
      <c r="OCU44" s="2843"/>
      <c r="OCV44" s="2843"/>
      <c r="OCW44" s="2844"/>
      <c r="OCX44" s="2845"/>
      <c r="OCY44" s="2842"/>
      <c r="OCZ44" s="2842"/>
      <c r="ODA44" s="2843"/>
      <c r="ODB44" s="2843"/>
      <c r="ODC44" s="2844"/>
      <c r="ODD44" s="2845"/>
      <c r="ODE44" s="2842"/>
      <c r="ODF44" s="2842"/>
      <c r="ODG44" s="2843"/>
      <c r="ODH44" s="2843"/>
      <c r="ODI44" s="2844"/>
      <c r="ODJ44" s="2845"/>
      <c r="ODK44" s="2842"/>
      <c r="ODL44" s="2842"/>
      <c r="ODM44" s="2843"/>
      <c r="ODN44" s="2843"/>
      <c r="ODO44" s="2844"/>
      <c r="ODP44" s="2845"/>
      <c r="ODQ44" s="2842"/>
      <c r="ODR44" s="2842"/>
      <c r="ODS44" s="2843"/>
      <c r="ODT44" s="2843"/>
      <c r="ODU44" s="2844"/>
      <c r="ODV44" s="2845"/>
      <c r="ODW44" s="2842"/>
      <c r="ODX44" s="2842"/>
      <c r="ODY44" s="2843"/>
      <c r="ODZ44" s="2843"/>
      <c r="OEA44" s="2844"/>
      <c r="OEB44" s="2845"/>
      <c r="OEC44" s="2842"/>
      <c r="OED44" s="2842"/>
      <c r="OEE44" s="2843"/>
      <c r="OEF44" s="2843"/>
      <c r="OEG44" s="2844"/>
      <c r="OEH44" s="2845"/>
      <c r="OEI44" s="2842"/>
      <c r="OEJ44" s="2842"/>
      <c r="OEK44" s="2843"/>
      <c r="OEL44" s="2843"/>
      <c r="OEM44" s="2844"/>
      <c r="OEN44" s="2845"/>
      <c r="OEO44" s="2842"/>
      <c r="OEP44" s="2842"/>
      <c r="OEQ44" s="2843"/>
      <c r="OER44" s="2843"/>
      <c r="OES44" s="2844"/>
      <c r="OET44" s="2845"/>
      <c r="OEU44" s="2842"/>
      <c r="OEV44" s="2842"/>
      <c r="OEW44" s="2843"/>
      <c r="OEX44" s="2843"/>
      <c r="OEY44" s="2844"/>
      <c r="OEZ44" s="2845"/>
      <c r="OFA44" s="2842"/>
      <c r="OFB44" s="2842"/>
      <c r="OFC44" s="2843"/>
      <c r="OFD44" s="2843"/>
      <c r="OFE44" s="2844"/>
      <c r="OFF44" s="2845"/>
      <c r="OFG44" s="2842"/>
      <c r="OFH44" s="2842"/>
      <c r="OFI44" s="2843"/>
      <c r="OFJ44" s="2843"/>
      <c r="OFK44" s="2844"/>
      <c r="OFL44" s="2845"/>
      <c r="OFM44" s="2842"/>
      <c r="OFN44" s="2842"/>
      <c r="OFO44" s="2843"/>
      <c r="OFP44" s="2843"/>
      <c r="OFQ44" s="2844"/>
      <c r="OFR44" s="2845"/>
      <c r="OFS44" s="2842"/>
      <c r="OFT44" s="2842"/>
      <c r="OFU44" s="2843"/>
      <c r="OFV44" s="2843"/>
      <c r="OFW44" s="2844"/>
      <c r="OFX44" s="2845"/>
      <c r="OFY44" s="2842"/>
      <c r="OFZ44" s="2842"/>
      <c r="OGA44" s="2843"/>
      <c r="OGB44" s="2843"/>
      <c r="OGC44" s="2844"/>
      <c r="OGD44" s="2845"/>
      <c r="OGE44" s="2842"/>
      <c r="OGF44" s="2842"/>
      <c r="OGG44" s="2843"/>
      <c r="OGH44" s="2843"/>
      <c r="OGI44" s="2844"/>
      <c r="OGJ44" s="2845"/>
      <c r="OGK44" s="2842"/>
      <c r="OGL44" s="2842"/>
      <c r="OGM44" s="2843"/>
      <c r="OGN44" s="2843"/>
      <c r="OGO44" s="2844"/>
      <c r="OGP44" s="2845"/>
      <c r="OGQ44" s="2842"/>
      <c r="OGR44" s="2842"/>
      <c r="OGS44" s="2843"/>
      <c r="OGT44" s="2843"/>
      <c r="OGU44" s="2844"/>
      <c r="OGV44" s="2845"/>
      <c r="OGW44" s="2842"/>
      <c r="OGX44" s="2842"/>
      <c r="OGY44" s="2843"/>
      <c r="OGZ44" s="2843"/>
      <c r="OHA44" s="2844"/>
      <c r="OHB44" s="2845"/>
      <c r="OHC44" s="2842"/>
      <c r="OHD44" s="2842"/>
      <c r="OHE44" s="2843"/>
      <c r="OHF44" s="2843"/>
      <c r="OHG44" s="2844"/>
      <c r="OHH44" s="2845"/>
      <c r="OHI44" s="2842"/>
      <c r="OHJ44" s="2842"/>
      <c r="OHK44" s="2843"/>
      <c r="OHL44" s="2843"/>
      <c r="OHM44" s="2844"/>
      <c r="OHN44" s="2845"/>
      <c r="OHO44" s="2842"/>
      <c r="OHP44" s="2842"/>
      <c r="OHQ44" s="2843"/>
      <c r="OHR44" s="2843"/>
      <c r="OHS44" s="2844"/>
      <c r="OHT44" s="2845"/>
      <c r="OHU44" s="2842"/>
      <c r="OHV44" s="2842"/>
      <c r="OHW44" s="2843"/>
      <c r="OHX44" s="2843"/>
      <c r="OHY44" s="2844"/>
      <c r="OHZ44" s="2845"/>
      <c r="OIA44" s="2842"/>
      <c r="OIB44" s="2842"/>
      <c r="OIC44" s="2843"/>
      <c r="OID44" s="2843"/>
      <c r="OIE44" s="2844"/>
      <c r="OIF44" s="2845"/>
      <c r="OIG44" s="2842"/>
      <c r="OIH44" s="2842"/>
      <c r="OII44" s="2843"/>
      <c r="OIJ44" s="2843"/>
      <c r="OIK44" s="2844"/>
      <c r="OIL44" s="2845"/>
      <c r="OIM44" s="2842"/>
      <c r="OIN44" s="2842"/>
      <c r="OIO44" s="2843"/>
      <c r="OIP44" s="2843"/>
      <c r="OIQ44" s="2844"/>
      <c r="OIR44" s="2845"/>
      <c r="OIS44" s="2842"/>
      <c r="OIT44" s="2842"/>
      <c r="OIU44" s="2843"/>
      <c r="OIV44" s="2843"/>
      <c r="OIW44" s="2844"/>
      <c r="OIX44" s="2845"/>
      <c r="OIY44" s="2842"/>
      <c r="OIZ44" s="2842"/>
      <c r="OJA44" s="2843"/>
      <c r="OJB44" s="2843"/>
      <c r="OJC44" s="2844"/>
      <c r="OJD44" s="2845"/>
      <c r="OJE44" s="2842"/>
      <c r="OJF44" s="2842"/>
      <c r="OJG44" s="2843"/>
      <c r="OJH44" s="2843"/>
      <c r="OJI44" s="2844"/>
      <c r="OJJ44" s="2845"/>
      <c r="OJK44" s="2842"/>
      <c r="OJL44" s="2842"/>
      <c r="OJM44" s="2843"/>
      <c r="OJN44" s="2843"/>
      <c r="OJO44" s="2844"/>
      <c r="OJP44" s="2845"/>
      <c r="OJQ44" s="2842"/>
      <c r="OJR44" s="2842"/>
      <c r="OJS44" s="2843"/>
      <c r="OJT44" s="2843"/>
      <c r="OJU44" s="2844"/>
      <c r="OJV44" s="2845"/>
      <c r="OJW44" s="2842"/>
      <c r="OJX44" s="2842"/>
      <c r="OJY44" s="2843"/>
      <c r="OJZ44" s="2843"/>
      <c r="OKA44" s="2844"/>
      <c r="OKB44" s="2845"/>
      <c r="OKC44" s="2842"/>
      <c r="OKD44" s="2842"/>
      <c r="OKE44" s="2843"/>
      <c r="OKF44" s="2843"/>
      <c r="OKG44" s="2844"/>
      <c r="OKH44" s="2845"/>
      <c r="OKI44" s="2842"/>
      <c r="OKJ44" s="2842"/>
      <c r="OKK44" s="2843"/>
      <c r="OKL44" s="2843"/>
      <c r="OKM44" s="2844"/>
      <c r="OKN44" s="2845"/>
      <c r="OKO44" s="2842"/>
      <c r="OKP44" s="2842"/>
      <c r="OKQ44" s="2843"/>
      <c r="OKR44" s="2843"/>
      <c r="OKS44" s="2844"/>
      <c r="OKT44" s="2845"/>
      <c r="OKU44" s="2842"/>
      <c r="OKV44" s="2842"/>
      <c r="OKW44" s="2843"/>
      <c r="OKX44" s="2843"/>
      <c r="OKY44" s="2844"/>
      <c r="OKZ44" s="2845"/>
      <c r="OLA44" s="2842"/>
      <c r="OLB44" s="2842"/>
      <c r="OLC44" s="2843"/>
      <c r="OLD44" s="2843"/>
      <c r="OLE44" s="2844"/>
      <c r="OLF44" s="2845"/>
      <c r="OLG44" s="2842"/>
      <c r="OLH44" s="2842"/>
      <c r="OLI44" s="2843"/>
      <c r="OLJ44" s="2843"/>
      <c r="OLK44" s="2844"/>
      <c r="OLL44" s="2845"/>
      <c r="OLM44" s="2842"/>
      <c r="OLN44" s="2842"/>
      <c r="OLO44" s="2843"/>
      <c r="OLP44" s="2843"/>
      <c r="OLQ44" s="2844"/>
      <c r="OLR44" s="2845"/>
      <c r="OLS44" s="2842"/>
      <c r="OLT44" s="2842"/>
      <c r="OLU44" s="2843"/>
      <c r="OLV44" s="2843"/>
      <c r="OLW44" s="2844"/>
      <c r="OLX44" s="2845"/>
      <c r="OLY44" s="2842"/>
      <c r="OLZ44" s="2842"/>
      <c r="OMA44" s="2843"/>
      <c r="OMB44" s="2843"/>
      <c r="OMC44" s="2844"/>
      <c r="OMD44" s="2845"/>
      <c r="OME44" s="2842"/>
      <c r="OMF44" s="2842"/>
      <c r="OMG44" s="2843"/>
      <c r="OMH44" s="2843"/>
      <c r="OMI44" s="2844"/>
      <c r="OMJ44" s="2845"/>
      <c r="OMK44" s="2842"/>
      <c r="OML44" s="2842"/>
      <c r="OMM44" s="2843"/>
      <c r="OMN44" s="2843"/>
      <c r="OMO44" s="2844"/>
      <c r="OMP44" s="2845"/>
      <c r="OMQ44" s="2842"/>
      <c r="OMR44" s="2842"/>
      <c r="OMS44" s="2843"/>
      <c r="OMT44" s="2843"/>
      <c r="OMU44" s="2844"/>
      <c r="OMV44" s="2845"/>
      <c r="OMW44" s="2842"/>
      <c r="OMX44" s="2842"/>
      <c r="OMY44" s="2843"/>
      <c r="OMZ44" s="2843"/>
      <c r="ONA44" s="2844"/>
      <c r="ONB44" s="2845"/>
      <c r="ONC44" s="2842"/>
      <c r="OND44" s="2842"/>
      <c r="ONE44" s="2843"/>
      <c r="ONF44" s="2843"/>
      <c r="ONG44" s="2844"/>
      <c r="ONH44" s="2845"/>
      <c r="ONI44" s="2842"/>
      <c r="ONJ44" s="2842"/>
      <c r="ONK44" s="2843"/>
      <c r="ONL44" s="2843"/>
      <c r="ONM44" s="2844"/>
      <c r="ONN44" s="2845"/>
      <c r="ONO44" s="2842"/>
      <c r="ONP44" s="2842"/>
      <c r="ONQ44" s="2843"/>
      <c r="ONR44" s="2843"/>
      <c r="ONS44" s="2844"/>
      <c r="ONT44" s="2845"/>
      <c r="ONU44" s="2842"/>
      <c r="ONV44" s="2842"/>
      <c r="ONW44" s="2843"/>
      <c r="ONX44" s="2843"/>
      <c r="ONY44" s="2844"/>
      <c r="ONZ44" s="2845"/>
      <c r="OOA44" s="2842"/>
      <c r="OOB44" s="2842"/>
      <c r="OOC44" s="2843"/>
      <c r="OOD44" s="2843"/>
      <c r="OOE44" s="2844"/>
      <c r="OOF44" s="2845"/>
      <c r="OOG44" s="2842"/>
      <c r="OOH44" s="2842"/>
      <c r="OOI44" s="2843"/>
      <c r="OOJ44" s="2843"/>
      <c r="OOK44" s="2844"/>
      <c r="OOL44" s="2845"/>
      <c r="OOM44" s="2842"/>
      <c r="OON44" s="2842"/>
      <c r="OOO44" s="2843"/>
      <c r="OOP44" s="2843"/>
      <c r="OOQ44" s="2844"/>
      <c r="OOR44" s="2845"/>
      <c r="OOS44" s="2842"/>
      <c r="OOT44" s="2842"/>
      <c r="OOU44" s="2843"/>
      <c r="OOV44" s="2843"/>
      <c r="OOW44" s="2844"/>
      <c r="OOX44" s="2845"/>
      <c r="OOY44" s="2842"/>
      <c r="OOZ44" s="2842"/>
      <c r="OPA44" s="2843"/>
      <c r="OPB44" s="2843"/>
      <c r="OPC44" s="2844"/>
      <c r="OPD44" s="2845"/>
      <c r="OPE44" s="2842"/>
      <c r="OPF44" s="2842"/>
      <c r="OPG44" s="2843"/>
      <c r="OPH44" s="2843"/>
      <c r="OPI44" s="2844"/>
      <c r="OPJ44" s="2845"/>
      <c r="OPK44" s="2842"/>
      <c r="OPL44" s="2842"/>
      <c r="OPM44" s="2843"/>
      <c r="OPN44" s="2843"/>
      <c r="OPO44" s="2844"/>
      <c r="OPP44" s="2845"/>
      <c r="OPQ44" s="2842"/>
      <c r="OPR44" s="2842"/>
      <c r="OPS44" s="2843"/>
      <c r="OPT44" s="2843"/>
      <c r="OPU44" s="2844"/>
      <c r="OPV44" s="2845"/>
      <c r="OPW44" s="2842"/>
      <c r="OPX44" s="2842"/>
      <c r="OPY44" s="2843"/>
      <c r="OPZ44" s="2843"/>
      <c r="OQA44" s="2844"/>
      <c r="OQB44" s="2845"/>
      <c r="OQC44" s="2842"/>
      <c r="OQD44" s="2842"/>
      <c r="OQE44" s="2843"/>
      <c r="OQF44" s="2843"/>
      <c r="OQG44" s="2844"/>
      <c r="OQH44" s="2845"/>
      <c r="OQI44" s="2842"/>
      <c r="OQJ44" s="2842"/>
      <c r="OQK44" s="2843"/>
      <c r="OQL44" s="2843"/>
      <c r="OQM44" s="2844"/>
      <c r="OQN44" s="2845"/>
      <c r="OQO44" s="2842"/>
      <c r="OQP44" s="2842"/>
      <c r="OQQ44" s="2843"/>
      <c r="OQR44" s="2843"/>
      <c r="OQS44" s="2844"/>
      <c r="OQT44" s="2845"/>
      <c r="OQU44" s="2842"/>
      <c r="OQV44" s="2842"/>
      <c r="OQW44" s="2843"/>
      <c r="OQX44" s="2843"/>
      <c r="OQY44" s="2844"/>
      <c r="OQZ44" s="2845"/>
      <c r="ORA44" s="2842"/>
      <c r="ORB44" s="2842"/>
      <c r="ORC44" s="2843"/>
      <c r="ORD44" s="2843"/>
      <c r="ORE44" s="2844"/>
      <c r="ORF44" s="2845"/>
      <c r="ORG44" s="2842"/>
      <c r="ORH44" s="2842"/>
      <c r="ORI44" s="2843"/>
      <c r="ORJ44" s="2843"/>
      <c r="ORK44" s="2844"/>
      <c r="ORL44" s="2845"/>
      <c r="ORM44" s="2842"/>
      <c r="ORN44" s="2842"/>
      <c r="ORO44" s="2843"/>
      <c r="ORP44" s="2843"/>
      <c r="ORQ44" s="2844"/>
      <c r="ORR44" s="2845"/>
      <c r="ORS44" s="2842"/>
      <c r="ORT44" s="2842"/>
      <c r="ORU44" s="2843"/>
      <c r="ORV44" s="2843"/>
      <c r="ORW44" s="2844"/>
      <c r="ORX44" s="2845"/>
      <c r="ORY44" s="2842"/>
      <c r="ORZ44" s="2842"/>
      <c r="OSA44" s="2843"/>
      <c r="OSB44" s="2843"/>
      <c r="OSC44" s="2844"/>
      <c r="OSD44" s="2845"/>
      <c r="OSE44" s="2842"/>
      <c r="OSF44" s="2842"/>
      <c r="OSG44" s="2843"/>
      <c r="OSH44" s="2843"/>
      <c r="OSI44" s="2844"/>
      <c r="OSJ44" s="2845"/>
      <c r="OSK44" s="2842"/>
      <c r="OSL44" s="2842"/>
      <c r="OSM44" s="2843"/>
      <c r="OSN44" s="2843"/>
      <c r="OSO44" s="2844"/>
      <c r="OSP44" s="2845"/>
      <c r="OSQ44" s="2842"/>
      <c r="OSR44" s="2842"/>
      <c r="OSS44" s="2843"/>
      <c r="OST44" s="2843"/>
      <c r="OSU44" s="2844"/>
      <c r="OSV44" s="2845"/>
      <c r="OSW44" s="2842"/>
      <c r="OSX44" s="2842"/>
      <c r="OSY44" s="2843"/>
      <c r="OSZ44" s="2843"/>
      <c r="OTA44" s="2844"/>
      <c r="OTB44" s="2845"/>
      <c r="OTC44" s="2842"/>
      <c r="OTD44" s="2842"/>
      <c r="OTE44" s="2843"/>
      <c r="OTF44" s="2843"/>
      <c r="OTG44" s="2844"/>
      <c r="OTH44" s="2845"/>
      <c r="OTI44" s="2842"/>
      <c r="OTJ44" s="2842"/>
      <c r="OTK44" s="2843"/>
      <c r="OTL44" s="2843"/>
      <c r="OTM44" s="2844"/>
      <c r="OTN44" s="2845"/>
      <c r="OTO44" s="2842"/>
      <c r="OTP44" s="2842"/>
      <c r="OTQ44" s="2843"/>
      <c r="OTR44" s="2843"/>
      <c r="OTS44" s="2844"/>
      <c r="OTT44" s="2845"/>
      <c r="OTU44" s="2842"/>
      <c r="OTV44" s="2842"/>
      <c r="OTW44" s="2843"/>
      <c r="OTX44" s="2843"/>
      <c r="OTY44" s="2844"/>
      <c r="OTZ44" s="2845"/>
      <c r="OUA44" s="2842"/>
      <c r="OUB44" s="2842"/>
      <c r="OUC44" s="2843"/>
      <c r="OUD44" s="2843"/>
      <c r="OUE44" s="2844"/>
      <c r="OUF44" s="2845"/>
      <c r="OUG44" s="2842"/>
      <c r="OUH44" s="2842"/>
      <c r="OUI44" s="2843"/>
      <c r="OUJ44" s="2843"/>
      <c r="OUK44" s="2844"/>
      <c r="OUL44" s="2845"/>
      <c r="OUM44" s="2842"/>
      <c r="OUN44" s="2842"/>
      <c r="OUO44" s="2843"/>
      <c r="OUP44" s="2843"/>
      <c r="OUQ44" s="2844"/>
      <c r="OUR44" s="2845"/>
      <c r="OUS44" s="2842"/>
      <c r="OUT44" s="2842"/>
      <c r="OUU44" s="2843"/>
      <c r="OUV44" s="2843"/>
      <c r="OUW44" s="2844"/>
      <c r="OUX44" s="2845"/>
      <c r="OUY44" s="2842"/>
      <c r="OUZ44" s="2842"/>
      <c r="OVA44" s="2843"/>
      <c r="OVB44" s="2843"/>
      <c r="OVC44" s="2844"/>
      <c r="OVD44" s="2845"/>
      <c r="OVE44" s="2842"/>
      <c r="OVF44" s="2842"/>
      <c r="OVG44" s="2843"/>
      <c r="OVH44" s="2843"/>
      <c r="OVI44" s="2844"/>
      <c r="OVJ44" s="2845"/>
      <c r="OVK44" s="2842"/>
      <c r="OVL44" s="2842"/>
      <c r="OVM44" s="2843"/>
      <c r="OVN44" s="2843"/>
      <c r="OVO44" s="2844"/>
      <c r="OVP44" s="2845"/>
      <c r="OVQ44" s="2842"/>
      <c r="OVR44" s="2842"/>
      <c r="OVS44" s="2843"/>
      <c r="OVT44" s="2843"/>
      <c r="OVU44" s="2844"/>
      <c r="OVV44" s="2845"/>
      <c r="OVW44" s="2842"/>
      <c r="OVX44" s="2842"/>
      <c r="OVY44" s="2843"/>
      <c r="OVZ44" s="2843"/>
      <c r="OWA44" s="2844"/>
      <c r="OWB44" s="2845"/>
      <c r="OWC44" s="2842"/>
      <c r="OWD44" s="2842"/>
      <c r="OWE44" s="2843"/>
      <c r="OWF44" s="2843"/>
      <c r="OWG44" s="2844"/>
      <c r="OWH44" s="2845"/>
      <c r="OWI44" s="2842"/>
      <c r="OWJ44" s="2842"/>
      <c r="OWK44" s="2843"/>
      <c r="OWL44" s="2843"/>
      <c r="OWM44" s="2844"/>
      <c r="OWN44" s="2845"/>
      <c r="OWO44" s="2842"/>
      <c r="OWP44" s="2842"/>
      <c r="OWQ44" s="2843"/>
      <c r="OWR44" s="2843"/>
      <c r="OWS44" s="2844"/>
      <c r="OWT44" s="2845"/>
      <c r="OWU44" s="2842"/>
      <c r="OWV44" s="2842"/>
      <c r="OWW44" s="2843"/>
      <c r="OWX44" s="2843"/>
      <c r="OWY44" s="2844"/>
      <c r="OWZ44" s="2845"/>
      <c r="OXA44" s="2842"/>
      <c r="OXB44" s="2842"/>
      <c r="OXC44" s="2843"/>
      <c r="OXD44" s="2843"/>
      <c r="OXE44" s="2844"/>
      <c r="OXF44" s="2845"/>
      <c r="OXG44" s="2842"/>
      <c r="OXH44" s="2842"/>
      <c r="OXI44" s="2843"/>
      <c r="OXJ44" s="2843"/>
      <c r="OXK44" s="2844"/>
      <c r="OXL44" s="2845"/>
      <c r="OXM44" s="2842"/>
      <c r="OXN44" s="2842"/>
      <c r="OXO44" s="2843"/>
      <c r="OXP44" s="2843"/>
      <c r="OXQ44" s="2844"/>
      <c r="OXR44" s="2845"/>
      <c r="OXS44" s="2842"/>
      <c r="OXT44" s="2842"/>
      <c r="OXU44" s="2843"/>
      <c r="OXV44" s="2843"/>
      <c r="OXW44" s="2844"/>
      <c r="OXX44" s="2845"/>
      <c r="OXY44" s="2842"/>
      <c r="OXZ44" s="2842"/>
      <c r="OYA44" s="2843"/>
      <c r="OYB44" s="2843"/>
      <c r="OYC44" s="2844"/>
      <c r="OYD44" s="2845"/>
      <c r="OYE44" s="2842"/>
      <c r="OYF44" s="2842"/>
      <c r="OYG44" s="2843"/>
      <c r="OYH44" s="2843"/>
      <c r="OYI44" s="2844"/>
      <c r="OYJ44" s="2845"/>
      <c r="OYK44" s="2842"/>
      <c r="OYL44" s="2842"/>
      <c r="OYM44" s="2843"/>
      <c r="OYN44" s="2843"/>
      <c r="OYO44" s="2844"/>
      <c r="OYP44" s="2845"/>
      <c r="OYQ44" s="2842"/>
      <c r="OYR44" s="2842"/>
      <c r="OYS44" s="2843"/>
      <c r="OYT44" s="2843"/>
      <c r="OYU44" s="2844"/>
      <c r="OYV44" s="2845"/>
      <c r="OYW44" s="2842"/>
      <c r="OYX44" s="2842"/>
      <c r="OYY44" s="2843"/>
      <c r="OYZ44" s="2843"/>
      <c r="OZA44" s="2844"/>
      <c r="OZB44" s="2845"/>
      <c r="OZC44" s="2842"/>
      <c r="OZD44" s="2842"/>
      <c r="OZE44" s="2843"/>
      <c r="OZF44" s="2843"/>
      <c r="OZG44" s="2844"/>
      <c r="OZH44" s="2845"/>
      <c r="OZI44" s="2842"/>
      <c r="OZJ44" s="2842"/>
      <c r="OZK44" s="2843"/>
      <c r="OZL44" s="2843"/>
      <c r="OZM44" s="2844"/>
      <c r="OZN44" s="2845"/>
      <c r="OZO44" s="2842"/>
      <c r="OZP44" s="2842"/>
      <c r="OZQ44" s="2843"/>
      <c r="OZR44" s="2843"/>
      <c r="OZS44" s="2844"/>
      <c r="OZT44" s="2845"/>
      <c r="OZU44" s="2842"/>
      <c r="OZV44" s="2842"/>
      <c r="OZW44" s="2843"/>
      <c r="OZX44" s="2843"/>
      <c r="OZY44" s="2844"/>
      <c r="OZZ44" s="2845"/>
      <c r="PAA44" s="2842"/>
      <c r="PAB44" s="2842"/>
      <c r="PAC44" s="2843"/>
      <c r="PAD44" s="2843"/>
      <c r="PAE44" s="2844"/>
      <c r="PAF44" s="2845"/>
      <c r="PAG44" s="2842"/>
      <c r="PAH44" s="2842"/>
      <c r="PAI44" s="2843"/>
      <c r="PAJ44" s="2843"/>
      <c r="PAK44" s="2844"/>
      <c r="PAL44" s="2845"/>
      <c r="PAM44" s="2842"/>
      <c r="PAN44" s="2842"/>
      <c r="PAO44" s="2843"/>
      <c r="PAP44" s="2843"/>
      <c r="PAQ44" s="2844"/>
      <c r="PAR44" s="2845"/>
      <c r="PAS44" s="2842"/>
      <c r="PAT44" s="2842"/>
      <c r="PAU44" s="2843"/>
      <c r="PAV44" s="2843"/>
      <c r="PAW44" s="2844"/>
      <c r="PAX44" s="2845"/>
      <c r="PAY44" s="2842"/>
      <c r="PAZ44" s="2842"/>
      <c r="PBA44" s="2843"/>
      <c r="PBB44" s="2843"/>
      <c r="PBC44" s="2844"/>
      <c r="PBD44" s="2845"/>
      <c r="PBE44" s="2842"/>
      <c r="PBF44" s="2842"/>
      <c r="PBG44" s="2843"/>
      <c r="PBH44" s="2843"/>
      <c r="PBI44" s="2844"/>
      <c r="PBJ44" s="2845"/>
      <c r="PBK44" s="2842"/>
      <c r="PBL44" s="2842"/>
      <c r="PBM44" s="2843"/>
      <c r="PBN44" s="2843"/>
      <c r="PBO44" s="2844"/>
      <c r="PBP44" s="2845"/>
      <c r="PBQ44" s="2842"/>
      <c r="PBR44" s="2842"/>
      <c r="PBS44" s="2843"/>
      <c r="PBT44" s="2843"/>
      <c r="PBU44" s="2844"/>
      <c r="PBV44" s="2845"/>
      <c r="PBW44" s="2842"/>
      <c r="PBX44" s="2842"/>
      <c r="PBY44" s="2843"/>
      <c r="PBZ44" s="2843"/>
      <c r="PCA44" s="2844"/>
      <c r="PCB44" s="2845"/>
      <c r="PCC44" s="2842"/>
      <c r="PCD44" s="2842"/>
      <c r="PCE44" s="2843"/>
      <c r="PCF44" s="2843"/>
      <c r="PCG44" s="2844"/>
      <c r="PCH44" s="2845"/>
      <c r="PCI44" s="2842"/>
      <c r="PCJ44" s="2842"/>
      <c r="PCK44" s="2843"/>
      <c r="PCL44" s="2843"/>
      <c r="PCM44" s="2844"/>
      <c r="PCN44" s="2845"/>
      <c r="PCO44" s="2842"/>
      <c r="PCP44" s="2842"/>
      <c r="PCQ44" s="2843"/>
      <c r="PCR44" s="2843"/>
      <c r="PCS44" s="2844"/>
      <c r="PCT44" s="2845"/>
      <c r="PCU44" s="2842"/>
      <c r="PCV44" s="2842"/>
      <c r="PCW44" s="2843"/>
      <c r="PCX44" s="2843"/>
      <c r="PCY44" s="2844"/>
      <c r="PCZ44" s="2845"/>
      <c r="PDA44" s="2842"/>
      <c r="PDB44" s="2842"/>
      <c r="PDC44" s="2843"/>
      <c r="PDD44" s="2843"/>
      <c r="PDE44" s="2844"/>
      <c r="PDF44" s="2845"/>
      <c r="PDG44" s="2842"/>
      <c r="PDH44" s="2842"/>
      <c r="PDI44" s="2843"/>
      <c r="PDJ44" s="2843"/>
      <c r="PDK44" s="2844"/>
      <c r="PDL44" s="2845"/>
      <c r="PDM44" s="2842"/>
      <c r="PDN44" s="2842"/>
      <c r="PDO44" s="2843"/>
      <c r="PDP44" s="2843"/>
      <c r="PDQ44" s="2844"/>
      <c r="PDR44" s="2845"/>
      <c r="PDS44" s="2842"/>
      <c r="PDT44" s="2842"/>
      <c r="PDU44" s="2843"/>
      <c r="PDV44" s="2843"/>
      <c r="PDW44" s="2844"/>
      <c r="PDX44" s="2845"/>
      <c r="PDY44" s="2842"/>
      <c r="PDZ44" s="2842"/>
      <c r="PEA44" s="2843"/>
      <c r="PEB44" s="2843"/>
      <c r="PEC44" s="2844"/>
      <c r="PED44" s="2845"/>
      <c r="PEE44" s="2842"/>
      <c r="PEF44" s="2842"/>
      <c r="PEG44" s="2843"/>
      <c r="PEH44" s="2843"/>
      <c r="PEI44" s="2844"/>
      <c r="PEJ44" s="2845"/>
      <c r="PEK44" s="2842"/>
      <c r="PEL44" s="2842"/>
      <c r="PEM44" s="2843"/>
      <c r="PEN44" s="2843"/>
      <c r="PEO44" s="2844"/>
      <c r="PEP44" s="2845"/>
      <c r="PEQ44" s="2842"/>
      <c r="PER44" s="2842"/>
      <c r="PES44" s="2843"/>
      <c r="PET44" s="2843"/>
      <c r="PEU44" s="2844"/>
      <c r="PEV44" s="2845"/>
      <c r="PEW44" s="2842"/>
      <c r="PEX44" s="2842"/>
      <c r="PEY44" s="2843"/>
      <c r="PEZ44" s="2843"/>
      <c r="PFA44" s="2844"/>
      <c r="PFB44" s="2845"/>
      <c r="PFC44" s="2842"/>
      <c r="PFD44" s="2842"/>
      <c r="PFE44" s="2843"/>
      <c r="PFF44" s="2843"/>
      <c r="PFG44" s="2844"/>
      <c r="PFH44" s="2845"/>
      <c r="PFI44" s="2842"/>
      <c r="PFJ44" s="2842"/>
      <c r="PFK44" s="2843"/>
      <c r="PFL44" s="2843"/>
      <c r="PFM44" s="2844"/>
      <c r="PFN44" s="2845"/>
      <c r="PFO44" s="2842"/>
      <c r="PFP44" s="2842"/>
      <c r="PFQ44" s="2843"/>
      <c r="PFR44" s="2843"/>
      <c r="PFS44" s="2844"/>
      <c r="PFT44" s="2845"/>
      <c r="PFU44" s="2842"/>
      <c r="PFV44" s="2842"/>
      <c r="PFW44" s="2843"/>
      <c r="PFX44" s="2843"/>
      <c r="PFY44" s="2844"/>
      <c r="PFZ44" s="2845"/>
      <c r="PGA44" s="2842"/>
      <c r="PGB44" s="2842"/>
      <c r="PGC44" s="2843"/>
      <c r="PGD44" s="2843"/>
      <c r="PGE44" s="2844"/>
      <c r="PGF44" s="2845"/>
      <c r="PGG44" s="2842"/>
      <c r="PGH44" s="2842"/>
      <c r="PGI44" s="2843"/>
      <c r="PGJ44" s="2843"/>
      <c r="PGK44" s="2844"/>
      <c r="PGL44" s="2845"/>
      <c r="PGM44" s="2842"/>
      <c r="PGN44" s="2842"/>
      <c r="PGO44" s="2843"/>
      <c r="PGP44" s="2843"/>
      <c r="PGQ44" s="2844"/>
      <c r="PGR44" s="2845"/>
      <c r="PGS44" s="2842"/>
      <c r="PGT44" s="2842"/>
      <c r="PGU44" s="2843"/>
      <c r="PGV44" s="2843"/>
      <c r="PGW44" s="2844"/>
      <c r="PGX44" s="2845"/>
      <c r="PGY44" s="2842"/>
      <c r="PGZ44" s="2842"/>
      <c r="PHA44" s="2843"/>
      <c r="PHB44" s="2843"/>
      <c r="PHC44" s="2844"/>
      <c r="PHD44" s="2845"/>
      <c r="PHE44" s="2842"/>
      <c r="PHF44" s="2842"/>
      <c r="PHG44" s="2843"/>
      <c r="PHH44" s="2843"/>
      <c r="PHI44" s="2844"/>
      <c r="PHJ44" s="2845"/>
      <c r="PHK44" s="2842"/>
      <c r="PHL44" s="2842"/>
      <c r="PHM44" s="2843"/>
      <c r="PHN44" s="2843"/>
      <c r="PHO44" s="2844"/>
      <c r="PHP44" s="2845"/>
      <c r="PHQ44" s="2842"/>
      <c r="PHR44" s="2842"/>
      <c r="PHS44" s="2843"/>
      <c r="PHT44" s="2843"/>
      <c r="PHU44" s="2844"/>
      <c r="PHV44" s="2845"/>
      <c r="PHW44" s="2842"/>
      <c r="PHX44" s="2842"/>
      <c r="PHY44" s="2843"/>
      <c r="PHZ44" s="2843"/>
      <c r="PIA44" s="2844"/>
      <c r="PIB44" s="2845"/>
      <c r="PIC44" s="2842"/>
      <c r="PID44" s="2842"/>
      <c r="PIE44" s="2843"/>
      <c r="PIF44" s="2843"/>
      <c r="PIG44" s="2844"/>
      <c r="PIH44" s="2845"/>
      <c r="PII44" s="2842"/>
      <c r="PIJ44" s="2842"/>
      <c r="PIK44" s="2843"/>
      <c r="PIL44" s="2843"/>
      <c r="PIM44" s="2844"/>
      <c r="PIN44" s="2845"/>
      <c r="PIO44" s="2842"/>
      <c r="PIP44" s="2842"/>
      <c r="PIQ44" s="2843"/>
      <c r="PIR44" s="2843"/>
      <c r="PIS44" s="2844"/>
      <c r="PIT44" s="2845"/>
      <c r="PIU44" s="2842"/>
      <c r="PIV44" s="2842"/>
      <c r="PIW44" s="2843"/>
      <c r="PIX44" s="2843"/>
      <c r="PIY44" s="2844"/>
      <c r="PIZ44" s="2845"/>
      <c r="PJA44" s="2842"/>
      <c r="PJB44" s="2842"/>
      <c r="PJC44" s="2843"/>
      <c r="PJD44" s="2843"/>
      <c r="PJE44" s="2844"/>
      <c r="PJF44" s="2845"/>
      <c r="PJG44" s="2842"/>
      <c r="PJH44" s="2842"/>
      <c r="PJI44" s="2843"/>
      <c r="PJJ44" s="2843"/>
      <c r="PJK44" s="2844"/>
      <c r="PJL44" s="2845"/>
      <c r="PJM44" s="2842"/>
      <c r="PJN44" s="2842"/>
      <c r="PJO44" s="2843"/>
      <c r="PJP44" s="2843"/>
      <c r="PJQ44" s="2844"/>
      <c r="PJR44" s="2845"/>
      <c r="PJS44" s="2842"/>
      <c r="PJT44" s="2842"/>
      <c r="PJU44" s="2843"/>
      <c r="PJV44" s="2843"/>
      <c r="PJW44" s="2844"/>
      <c r="PJX44" s="2845"/>
      <c r="PJY44" s="2842"/>
      <c r="PJZ44" s="2842"/>
      <c r="PKA44" s="2843"/>
      <c r="PKB44" s="2843"/>
      <c r="PKC44" s="2844"/>
      <c r="PKD44" s="2845"/>
      <c r="PKE44" s="2842"/>
      <c r="PKF44" s="2842"/>
      <c r="PKG44" s="2843"/>
      <c r="PKH44" s="2843"/>
      <c r="PKI44" s="2844"/>
      <c r="PKJ44" s="2845"/>
      <c r="PKK44" s="2842"/>
      <c r="PKL44" s="2842"/>
      <c r="PKM44" s="2843"/>
      <c r="PKN44" s="2843"/>
      <c r="PKO44" s="2844"/>
      <c r="PKP44" s="2845"/>
      <c r="PKQ44" s="2842"/>
      <c r="PKR44" s="2842"/>
      <c r="PKS44" s="2843"/>
      <c r="PKT44" s="2843"/>
      <c r="PKU44" s="2844"/>
      <c r="PKV44" s="2845"/>
      <c r="PKW44" s="2842"/>
      <c r="PKX44" s="2842"/>
      <c r="PKY44" s="2843"/>
      <c r="PKZ44" s="2843"/>
      <c r="PLA44" s="2844"/>
      <c r="PLB44" s="2845"/>
      <c r="PLC44" s="2842"/>
      <c r="PLD44" s="2842"/>
      <c r="PLE44" s="2843"/>
      <c r="PLF44" s="2843"/>
      <c r="PLG44" s="2844"/>
      <c r="PLH44" s="2845"/>
      <c r="PLI44" s="2842"/>
      <c r="PLJ44" s="2842"/>
      <c r="PLK44" s="2843"/>
      <c r="PLL44" s="2843"/>
      <c r="PLM44" s="2844"/>
      <c r="PLN44" s="2845"/>
      <c r="PLO44" s="2842"/>
      <c r="PLP44" s="2842"/>
      <c r="PLQ44" s="2843"/>
      <c r="PLR44" s="2843"/>
      <c r="PLS44" s="2844"/>
      <c r="PLT44" s="2845"/>
      <c r="PLU44" s="2842"/>
      <c r="PLV44" s="2842"/>
      <c r="PLW44" s="2843"/>
      <c r="PLX44" s="2843"/>
      <c r="PLY44" s="2844"/>
      <c r="PLZ44" s="2845"/>
      <c r="PMA44" s="2842"/>
      <c r="PMB44" s="2842"/>
      <c r="PMC44" s="2843"/>
      <c r="PMD44" s="2843"/>
      <c r="PME44" s="2844"/>
      <c r="PMF44" s="2845"/>
      <c r="PMG44" s="2842"/>
      <c r="PMH44" s="2842"/>
      <c r="PMI44" s="2843"/>
      <c r="PMJ44" s="2843"/>
      <c r="PMK44" s="2844"/>
      <c r="PML44" s="2845"/>
      <c r="PMM44" s="2842"/>
      <c r="PMN44" s="2842"/>
      <c r="PMO44" s="2843"/>
      <c r="PMP44" s="2843"/>
      <c r="PMQ44" s="2844"/>
      <c r="PMR44" s="2845"/>
      <c r="PMS44" s="2842"/>
      <c r="PMT44" s="2842"/>
      <c r="PMU44" s="2843"/>
      <c r="PMV44" s="2843"/>
      <c r="PMW44" s="2844"/>
      <c r="PMX44" s="2845"/>
      <c r="PMY44" s="2842"/>
      <c r="PMZ44" s="2842"/>
      <c r="PNA44" s="2843"/>
      <c r="PNB44" s="2843"/>
      <c r="PNC44" s="2844"/>
      <c r="PND44" s="2845"/>
      <c r="PNE44" s="2842"/>
      <c r="PNF44" s="2842"/>
      <c r="PNG44" s="2843"/>
      <c r="PNH44" s="2843"/>
      <c r="PNI44" s="2844"/>
      <c r="PNJ44" s="2845"/>
      <c r="PNK44" s="2842"/>
      <c r="PNL44" s="2842"/>
      <c r="PNM44" s="2843"/>
      <c r="PNN44" s="2843"/>
      <c r="PNO44" s="2844"/>
      <c r="PNP44" s="2845"/>
      <c r="PNQ44" s="2842"/>
      <c r="PNR44" s="2842"/>
      <c r="PNS44" s="2843"/>
      <c r="PNT44" s="2843"/>
      <c r="PNU44" s="2844"/>
      <c r="PNV44" s="2845"/>
      <c r="PNW44" s="2842"/>
      <c r="PNX44" s="2842"/>
      <c r="PNY44" s="2843"/>
      <c r="PNZ44" s="2843"/>
      <c r="POA44" s="2844"/>
      <c r="POB44" s="2845"/>
      <c r="POC44" s="2842"/>
      <c r="POD44" s="2842"/>
      <c r="POE44" s="2843"/>
      <c r="POF44" s="2843"/>
      <c r="POG44" s="2844"/>
      <c r="POH44" s="2845"/>
      <c r="POI44" s="2842"/>
      <c r="POJ44" s="2842"/>
      <c r="POK44" s="2843"/>
      <c r="POL44" s="2843"/>
      <c r="POM44" s="2844"/>
      <c r="PON44" s="2845"/>
      <c r="POO44" s="2842"/>
      <c r="POP44" s="2842"/>
      <c r="POQ44" s="2843"/>
      <c r="POR44" s="2843"/>
      <c r="POS44" s="2844"/>
      <c r="POT44" s="2845"/>
      <c r="POU44" s="2842"/>
      <c r="POV44" s="2842"/>
      <c r="POW44" s="2843"/>
      <c r="POX44" s="2843"/>
      <c r="POY44" s="2844"/>
      <c r="POZ44" s="2845"/>
      <c r="PPA44" s="2842"/>
      <c r="PPB44" s="2842"/>
      <c r="PPC44" s="2843"/>
      <c r="PPD44" s="2843"/>
      <c r="PPE44" s="2844"/>
      <c r="PPF44" s="2845"/>
      <c r="PPG44" s="2842"/>
      <c r="PPH44" s="2842"/>
      <c r="PPI44" s="2843"/>
      <c r="PPJ44" s="2843"/>
      <c r="PPK44" s="2844"/>
      <c r="PPL44" s="2845"/>
      <c r="PPM44" s="2842"/>
      <c r="PPN44" s="2842"/>
      <c r="PPO44" s="2843"/>
      <c r="PPP44" s="2843"/>
      <c r="PPQ44" s="2844"/>
      <c r="PPR44" s="2845"/>
      <c r="PPS44" s="2842"/>
      <c r="PPT44" s="2842"/>
      <c r="PPU44" s="2843"/>
      <c r="PPV44" s="2843"/>
      <c r="PPW44" s="2844"/>
      <c r="PPX44" s="2845"/>
      <c r="PPY44" s="2842"/>
      <c r="PPZ44" s="2842"/>
      <c r="PQA44" s="2843"/>
      <c r="PQB44" s="2843"/>
      <c r="PQC44" s="2844"/>
      <c r="PQD44" s="2845"/>
      <c r="PQE44" s="2842"/>
      <c r="PQF44" s="2842"/>
      <c r="PQG44" s="2843"/>
      <c r="PQH44" s="2843"/>
      <c r="PQI44" s="2844"/>
      <c r="PQJ44" s="2845"/>
      <c r="PQK44" s="2842"/>
      <c r="PQL44" s="2842"/>
      <c r="PQM44" s="2843"/>
      <c r="PQN44" s="2843"/>
      <c r="PQO44" s="2844"/>
      <c r="PQP44" s="2845"/>
      <c r="PQQ44" s="2842"/>
      <c r="PQR44" s="2842"/>
      <c r="PQS44" s="2843"/>
      <c r="PQT44" s="2843"/>
      <c r="PQU44" s="2844"/>
      <c r="PQV44" s="2845"/>
      <c r="PQW44" s="2842"/>
      <c r="PQX44" s="2842"/>
      <c r="PQY44" s="2843"/>
      <c r="PQZ44" s="2843"/>
      <c r="PRA44" s="2844"/>
      <c r="PRB44" s="2845"/>
      <c r="PRC44" s="2842"/>
      <c r="PRD44" s="2842"/>
      <c r="PRE44" s="2843"/>
      <c r="PRF44" s="2843"/>
      <c r="PRG44" s="2844"/>
      <c r="PRH44" s="2845"/>
      <c r="PRI44" s="2842"/>
      <c r="PRJ44" s="2842"/>
      <c r="PRK44" s="2843"/>
      <c r="PRL44" s="2843"/>
      <c r="PRM44" s="2844"/>
      <c r="PRN44" s="2845"/>
      <c r="PRO44" s="2842"/>
      <c r="PRP44" s="2842"/>
      <c r="PRQ44" s="2843"/>
      <c r="PRR44" s="2843"/>
      <c r="PRS44" s="2844"/>
      <c r="PRT44" s="2845"/>
      <c r="PRU44" s="2842"/>
      <c r="PRV44" s="2842"/>
      <c r="PRW44" s="2843"/>
      <c r="PRX44" s="2843"/>
      <c r="PRY44" s="2844"/>
      <c r="PRZ44" s="2845"/>
      <c r="PSA44" s="2842"/>
      <c r="PSB44" s="2842"/>
      <c r="PSC44" s="2843"/>
      <c r="PSD44" s="2843"/>
      <c r="PSE44" s="2844"/>
      <c r="PSF44" s="2845"/>
      <c r="PSG44" s="2842"/>
      <c r="PSH44" s="2842"/>
      <c r="PSI44" s="2843"/>
      <c r="PSJ44" s="2843"/>
      <c r="PSK44" s="2844"/>
      <c r="PSL44" s="2845"/>
      <c r="PSM44" s="2842"/>
      <c r="PSN44" s="2842"/>
      <c r="PSO44" s="2843"/>
      <c r="PSP44" s="2843"/>
      <c r="PSQ44" s="2844"/>
      <c r="PSR44" s="2845"/>
      <c r="PSS44" s="2842"/>
      <c r="PST44" s="2842"/>
      <c r="PSU44" s="2843"/>
      <c r="PSV44" s="2843"/>
      <c r="PSW44" s="2844"/>
      <c r="PSX44" s="2845"/>
      <c r="PSY44" s="2842"/>
      <c r="PSZ44" s="2842"/>
      <c r="PTA44" s="2843"/>
      <c r="PTB44" s="2843"/>
      <c r="PTC44" s="2844"/>
      <c r="PTD44" s="2845"/>
      <c r="PTE44" s="2842"/>
      <c r="PTF44" s="2842"/>
      <c r="PTG44" s="2843"/>
      <c r="PTH44" s="2843"/>
      <c r="PTI44" s="2844"/>
      <c r="PTJ44" s="2845"/>
      <c r="PTK44" s="2842"/>
      <c r="PTL44" s="2842"/>
      <c r="PTM44" s="2843"/>
      <c r="PTN44" s="2843"/>
      <c r="PTO44" s="2844"/>
      <c r="PTP44" s="2845"/>
      <c r="PTQ44" s="2842"/>
      <c r="PTR44" s="2842"/>
      <c r="PTS44" s="2843"/>
      <c r="PTT44" s="2843"/>
      <c r="PTU44" s="2844"/>
      <c r="PTV44" s="2845"/>
      <c r="PTW44" s="2842"/>
      <c r="PTX44" s="2842"/>
      <c r="PTY44" s="2843"/>
      <c r="PTZ44" s="2843"/>
      <c r="PUA44" s="2844"/>
      <c r="PUB44" s="2845"/>
      <c r="PUC44" s="2842"/>
      <c r="PUD44" s="2842"/>
      <c r="PUE44" s="2843"/>
      <c r="PUF44" s="2843"/>
      <c r="PUG44" s="2844"/>
      <c r="PUH44" s="2845"/>
      <c r="PUI44" s="2842"/>
      <c r="PUJ44" s="2842"/>
      <c r="PUK44" s="2843"/>
      <c r="PUL44" s="2843"/>
      <c r="PUM44" s="2844"/>
      <c r="PUN44" s="2845"/>
      <c r="PUO44" s="2842"/>
      <c r="PUP44" s="2842"/>
      <c r="PUQ44" s="2843"/>
      <c r="PUR44" s="2843"/>
      <c r="PUS44" s="2844"/>
      <c r="PUT44" s="2845"/>
      <c r="PUU44" s="2842"/>
      <c r="PUV44" s="2842"/>
      <c r="PUW44" s="2843"/>
      <c r="PUX44" s="2843"/>
      <c r="PUY44" s="2844"/>
      <c r="PUZ44" s="2845"/>
      <c r="PVA44" s="2842"/>
      <c r="PVB44" s="2842"/>
      <c r="PVC44" s="2843"/>
      <c r="PVD44" s="2843"/>
      <c r="PVE44" s="2844"/>
      <c r="PVF44" s="2845"/>
      <c r="PVG44" s="2842"/>
      <c r="PVH44" s="2842"/>
      <c r="PVI44" s="2843"/>
      <c r="PVJ44" s="2843"/>
      <c r="PVK44" s="2844"/>
      <c r="PVL44" s="2845"/>
      <c r="PVM44" s="2842"/>
      <c r="PVN44" s="2842"/>
      <c r="PVO44" s="2843"/>
      <c r="PVP44" s="2843"/>
      <c r="PVQ44" s="2844"/>
      <c r="PVR44" s="2845"/>
      <c r="PVS44" s="2842"/>
      <c r="PVT44" s="2842"/>
      <c r="PVU44" s="2843"/>
      <c r="PVV44" s="2843"/>
      <c r="PVW44" s="2844"/>
      <c r="PVX44" s="2845"/>
      <c r="PVY44" s="2842"/>
      <c r="PVZ44" s="2842"/>
      <c r="PWA44" s="2843"/>
      <c r="PWB44" s="2843"/>
      <c r="PWC44" s="2844"/>
      <c r="PWD44" s="2845"/>
      <c r="PWE44" s="2842"/>
      <c r="PWF44" s="2842"/>
      <c r="PWG44" s="2843"/>
      <c r="PWH44" s="2843"/>
      <c r="PWI44" s="2844"/>
      <c r="PWJ44" s="2845"/>
      <c r="PWK44" s="2842"/>
      <c r="PWL44" s="2842"/>
      <c r="PWM44" s="2843"/>
      <c r="PWN44" s="2843"/>
      <c r="PWO44" s="2844"/>
      <c r="PWP44" s="2845"/>
      <c r="PWQ44" s="2842"/>
      <c r="PWR44" s="2842"/>
      <c r="PWS44" s="2843"/>
      <c r="PWT44" s="2843"/>
      <c r="PWU44" s="2844"/>
      <c r="PWV44" s="2845"/>
      <c r="PWW44" s="2842"/>
      <c r="PWX44" s="2842"/>
      <c r="PWY44" s="2843"/>
      <c r="PWZ44" s="2843"/>
      <c r="PXA44" s="2844"/>
      <c r="PXB44" s="2845"/>
      <c r="PXC44" s="2842"/>
      <c r="PXD44" s="2842"/>
      <c r="PXE44" s="2843"/>
      <c r="PXF44" s="2843"/>
      <c r="PXG44" s="2844"/>
      <c r="PXH44" s="2845"/>
      <c r="PXI44" s="2842"/>
      <c r="PXJ44" s="2842"/>
      <c r="PXK44" s="2843"/>
      <c r="PXL44" s="2843"/>
      <c r="PXM44" s="2844"/>
      <c r="PXN44" s="2845"/>
      <c r="PXO44" s="2842"/>
      <c r="PXP44" s="2842"/>
      <c r="PXQ44" s="2843"/>
      <c r="PXR44" s="2843"/>
      <c r="PXS44" s="2844"/>
      <c r="PXT44" s="2845"/>
      <c r="PXU44" s="2842"/>
      <c r="PXV44" s="2842"/>
      <c r="PXW44" s="2843"/>
      <c r="PXX44" s="2843"/>
      <c r="PXY44" s="2844"/>
      <c r="PXZ44" s="2845"/>
      <c r="PYA44" s="2842"/>
      <c r="PYB44" s="2842"/>
      <c r="PYC44" s="2843"/>
      <c r="PYD44" s="2843"/>
      <c r="PYE44" s="2844"/>
      <c r="PYF44" s="2845"/>
      <c r="PYG44" s="2842"/>
      <c r="PYH44" s="2842"/>
      <c r="PYI44" s="2843"/>
      <c r="PYJ44" s="2843"/>
      <c r="PYK44" s="2844"/>
      <c r="PYL44" s="2845"/>
      <c r="PYM44" s="2842"/>
      <c r="PYN44" s="2842"/>
      <c r="PYO44" s="2843"/>
      <c r="PYP44" s="2843"/>
      <c r="PYQ44" s="2844"/>
      <c r="PYR44" s="2845"/>
      <c r="PYS44" s="2842"/>
      <c r="PYT44" s="2842"/>
      <c r="PYU44" s="2843"/>
      <c r="PYV44" s="2843"/>
      <c r="PYW44" s="2844"/>
      <c r="PYX44" s="2845"/>
      <c r="PYY44" s="2842"/>
      <c r="PYZ44" s="2842"/>
      <c r="PZA44" s="2843"/>
      <c r="PZB44" s="2843"/>
      <c r="PZC44" s="2844"/>
      <c r="PZD44" s="2845"/>
      <c r="PZE44" s="2842"/>
      <c r="PZF44" s="2842"/>
      <c r="PZG44" s="2843"/>
      <c r="PZH44" s="2843"/>
      <c r="PZI44" s="2844"/>
      <c r="PZJ44" s="2845"/>
      <c r="PZK44" s="2842"/>
      <c r="PZL44" s="2842"/>
      <c r="PZM44" s="2843"/>
      <c r="PZN44" s="2843"/>
      <c r="PZO44" s="2844"/>
      <c r="PZP44" s="2845"/>
      <c r="PZQ44" s="2842"/>
      <c r="PZR44" s="2842"/>
      <c r="PZS44" s="2843"/>
      <c r="PZT44" s="2843"/>
      <c r="PZU44" s="2844"/>
      <c r="PZV44" s="2845"/>
      <c r="PZW44" s="2842"/>
      <c r="PZX44" s="2842"/>
      <c r="PZY44" s="2843"/>
      <c r="PZZ44" s="2843"/>
      <c r="QAA44" s="2844"/>
      <c r="QAB44" s="2845"/>
      <c r="QAC44" s="2842"/>
      <c r="QAD44" s="2842"/>
      <c r="QAE44" s="2843"/>
      <c r="QAF44" s="2843"/>
      <c r="QAG44" s="2844"/>
      <c r="QAH44" s="2845"/>
      <c r="QAI44" s="2842"/>
      <c r="QAJ44" s="2842"/>
      <c r="QAK44" s="2843"/>
      <c r="QAL44" s="2843"/>
      <c r="QAM44" s="2844"/>
      <c r="QAN44" s="2845"/>
      <c r="QAO44" s="2842"/>
      <c r="QAP44" s="2842"/>
      <c r="QAQ44" s="2843"/>
      <c r="QAR44" s="2843"/>
      <c r="QAS44" s="2844"/>
      <c r="QAT44" s="2845"/>
      <c r="QAU44" s="2842"/>
      <c r="QAV44" s="2842"/>
      <c r="QAW44" s="2843"/>
      <c r="QAX44" s="2843"/>
      <c r="QAY44" s="2844"/>
      <c r="QAZ44" s="2845"/>
      <c r="QBA44" s="2842"/>
      <c r="QBB44" s="2842"/>
      <c r="QBC44" s="2843"/>
      <c r="QBD44" s="2843"/>
      <c r="QBE44" s="2844"/>
      <c r="QBF44" s="2845"/>
      <c r="QBG44" s="2842"/>
      <c r="QBH44" s="2842"/>
      <c r="QBI44" s="2843"/>
      <c r="QBJ44" s="2843"/>
      <c r="QBK44" s="2844"/>
      <c r="QBL44" s="2845"/>
      <c r="QBM44" s="2842"/>
      <c r="QBN44" s="2842"/>
      <c r="QBO44" s="2843"/>
      <c r="QBP44" s="2843"/>
      <c r="QBQ44" s="2844"/>
      <c r="QBR44" s="2845"/>
      <c r="QBS44" s="2842"/>
      <c r="QBT44" s="2842"/>
      <c r="QBU44" s="2843"/>
      <c r="QBV44" s="2843"/>
      <c r="QBW44" s="2844"/>
      <c r="QBX44" s="2845"/>
      <c r="QBY44" s="2842"/>
      <c r="QBZ44" s="2842"/>
      <c r="QCA44" s="2843"/>
      <c r="QCB44" s="2843"/>
      <c r="QCC44" s="2844"/>
      <c r="QCD44" s="2845"/>
      <c r="QCE44" s="2842"/>
      <c r="QCF44" s="2842"/>
      <c r="QCG44" s="2843"/>
      <c r="QCH44" s="2843"/>
      <c r="QCI44" s="2844"/>
      <c r="QCJ44" s="2845"/>
      <c r="QCK44" s="2842"/>
      <c r="QCL44" s="2842"/>
      <c r="QCM44" s="2843"/>
      <c r="QCN44" s="2843"/>
      <c r="QCO44" s="2844"/>
      <c r="QCP44" s="2845"/>
      <c r="QCQ44" s="2842"/>
      <c r="QCR44" s="2842"/>
      <c r="QCS44" s="2843"/>
      <c r="QCT44" s="2843"/>
      <c r="QCU44" s="2844"/>
      <c r="QCV44" s="2845"/>
      <c r="QCW44" s="2842"/>
      <c r="QCX44" s="2842"/>
      <c r="QCY44" s="2843"/>
      <c r="QCZ44" s="2843"/>
      <c r="QDA44" s="2844"/>
      <c r="QDB44" s="2845"/>
      <c r="QDC44" s="2842"/>
      <c r="QDD44" s="2842"/>
      <c r="QDE44" s="2843"/>
      <c r="QDF44" s="2843"/>
      <c r="QDG44" s="2844"/>
      <c r="QDH44" s="2845"/>
      <c r="QDI44" s="2842"/>
      <c r="QDJ44" s="2842"/>
      <c r="QDK44" s="2843"/>
      <c r="QDL44" s="2843"/>
      <c r="QDM44" s="2844"/>
      <c r="QDN44" s="2845"/>
      <c r="QDO44" s="2842"/>
      <c r="QDP44" s="2842"/>
      <c r="QDQ44" s="2843"/>
      <c r="QDR44" s="2843"/>
      <c r="QDS44" s="2844"/>
      <c r="QDT44" s="2845"/>
      <c r="QDU44" s="2842"/>
      <c r="QDV44" s="2842"/>
      <c r="QDW44" s="2843"/>
      <c r="QDX44" s="2843"/>
      <c r="QDY44" s="2844"/>
      <c r="QDZ44" s="2845"/>
      <c r="QEA44" s="2842"/>
      <c r="QEB44" s="2842"/>
      <c r="QEC44" s="2843"/>
      <c r="QED44" s="2843"/>
      <c r="QEE44" s="2844"/>
      <c r="QEF44" s="2845"/>
      <c r="QEG44" s="2842"/>
      <c r="QEH44" s="2842"/>
      <c r="QEI44" s="2843"/>
      <c r="QEJ44" s="2843"/>
      <c r="QEK44" s="2844"/>
      <c r="QEL44" s="2845"/>
      <c r="QEM44" s="2842"/>
      <c r="QEN44" s="2842"/>
      <c r="QEO44" s="2843"/>
      <c r="QEP44" s="2843"/>
      <c r="QEQ44" s="2844"/>
      <c r="QER44" s="2845"/>
      <c r="QES44" s="2842"/>
      <c r="QET44" s="2842"/>
      <c r="QEU44" s="2843"/>
      <c r="QEV44" s="2843"/>
      <c r="QEW44" s="2844"/>
      <c r="QEX44" s="2845"/>
      <c r="QEY44" s="2842"/>
      <c r="QEZ44" s="2842"/>
      <c r="QFA44" s="2843"/>
      <c r="QFB44" s="2843"/>
      <c r="QFC44" s="2844"/>
      <c r="QFD44" s="2845"/>
      <c r="QFE44" s="2842"/>
      <c r="QFF44" s="2842"/>
      <c r="QFG44" s="2843"/>
      <c r="QFH44" s="2843"/>
      <c r="QFI44" s="2844"/>
      <c r="QFJ44" s="2845"/>
      <c r="QFK44" s="2842"/>
      <c r="QFL44" s="2842"/>
      <c r="QFM44" s="2843"/>
      <c r="QFN44" s="2843"/>
      <c r="QFO44" s="2844"/>
      <c r="QFP44" s="2845"/>
      <c r="QFQ44" s="2842"/>
      <c r="QFR44" s="2842"/>
      <c r="QFS44" s="2843"/>
      <c r="QFT44" s="2843"/>
      <c r="QFU44" s="2844"/>
      <c r="QFV44" s="2845"/>
      <c r="QFW44" s="2842"/>
      <c r="QFX44" s="2842"/>
      <c r="QFY44" s="2843"/>
      <c r="QFZ44" s="2843"/>
      <c r="QGA44" s="2844"/>
      <c r="QGB44" s="2845"/>
      <c r="QGC44" s="2842"/>
      <c r="QGD44" s="2842"/>
      <c r="QGE44" s="2843"/>
      <c r="QGF44" s="2843"/>
      <c r="QGG44" s="2844"/>
      <c r="QGH44" s="2845"/>
      <c r="QGI44" s="2842"/>
      <c r="QGJ44" s="2842"/>
      <c r="QGK44" s="2843"/>
      <c r="QGL44" s="2843"/>
      <c r="QGM44" s="2844"/>
      <c r="QGN44" s="2845"/>
      <c r="QGO44" s="2842"/>
      <c r="QGP44" s="2842"/>
      <c r="QGQ44" s="2843"/>
      <c r="QGR44" s="2843"/>
      <c r="QGS44" s="2844"/>
      <c r="QGT44" s="2845"/>
      <c r="QGU44" s="2842"/>
      <c r="QGV44" s="2842"/>
      <c r="QGW44" s="2843"/>
      <c r="QGX44" s="2843"/>
      <c r="QGY44" s="2844"/>
      <c r="QGZ44" s="2845"/>
      <c r="QHA44" s="2842"/>
      <c r="QHB44" s="2842"/>
      <c r="QHC44" s="2843"/>
      <c r="QHD44" s="2843"/>
      <c r="QHE44" s="2844"/>
      <c r="QHF44" s="2845"/>
      <c r="QHG44" s="2842"/>
      <c r="QHH44" s="2842"/>
      <c r="QHI44" s="2843"/>
      <c r="QHJ44" s="2843"/>
      <c r="QHK44" s="2844"/>
      <c r="QHL44" s="2845"/>
      <c r="QHM44" s="2842"/>
      <c r="QHN44" s="2842"/>
      <c r="QHO44" s="2843"/>
      <c r="QHP44" s="2843"/>
      <c r="QHQ44" s="2844"/>
      <c r="QHR44" s="2845"/>
      <c r="QHS44" s="2842"/>
      <c r="QHT44" s="2842"/>
      <c r="QHU44" s="2843"/>
      <c r="QHV44" s="2843"/>
      <c r="QHW44" s="2844"/>
      <c r="QHX44" s="2845"/>
      <c r="QHY44" s="2842"/>
      <c r="QHZ44" s="2842"/>
      <c r="QIA44" s="2843"/>
      <c r="QIB44" s="2843"/>
      <c r="QIC44" s="2844"/>
      <c r="QID44" s="2845"/>
      <c r="QIE44" s="2842"/>
      <c r="QIF44" s="2842"/>
      <c r="QIG44" s="2843"/>
      <c r="QIH44" s="2843"/>
      <c r="QII44" s="2844"/>
      <c r="QIJ44" s="2845"/>
      <c r="QIK44" s="2842"/>
      <c r="QIL44" s="2842"/>
      <c r="QIM44" s="2843"/>
      <c r="QIN44" s="2843"/>
      <c r="QIO44" s="2844"/>
      <c r="QIP44" s="2845"/>
      <c r="QIQ44" s="2842"/>
      <c r="QIR44" s="2842"/>
      <c r="QIS44" s="2843"/>
      <c r="QIT44" s="2843"/>
      <c r="QIU44" s="2844"/>
      <c r="QIV44" s="2845"/>
      <c r="QIW44" s="2842"/>
      <c r="QIX44" s="2842"/>
      <c r="QIY44" s="2843"/>
      <c r="QIZ44" s="2843"/>
      <c r="QJA44" s="2844"/>
      <c r="QJB44" s="2845"/>
      <c r="QJC44" s="2842"/>
      <c r="QJD44" s="2842"/>
      <c r="QJE44" s="2843"/>
      <c r="QJF44" s="2843"/>
      <c r="QJG44" s="2844"/>
      <c r="QJH44" s="2845"/>
      <c r="QJI44" s="2842"/>
      <c r="QJJ44" s="2842"/>
      <c r="QJK44" s="2843"/>
      <c r="QJL44" s="2843"/>
      <c r="QJM44" s="2844"/>
      <c r="QJN44" s="2845"/>
      <c r="QJO44" s="2842"/>
      <c r="QJP44" s="2842"/>
      <c r="QJQ44" s="2843"/>
      <c r="QJR44" s="2843"/>
      <c r="QJS44" s="2844"/>
      <c r="QJT44" s="2845"/>
      <c r="QJU44" s="2842"/>
      <c r="QJV44" s="2842"/>
      <c r="QJW44" s="2843"/>
      <c r="QJX44" s="2843"/>
      <c r="QJY44" s="2844"/>
      <c r="QJZ44" s="2845"/>
      <c r="QKA44" s="2842"/>
      <c r="QKB44" s="2842"/>
      <c r="QKC44" s="2843"/>
      <c r="QKD44" s="2843"/>
      <c r="QKE44" s="2844"/>
      <c r="QKF44" s="2845"/>
      <c r="QKG44" s="2842"/>
      <c r="QKH44" s="2842"/>
      <c r="QKI44" s="2843"/>
      <c r="QKJ44" s="2843"/>
      <c r="QKK44" s="2844"/>
      <c r="QKL44" s="2845"/>
      <c r="QKM44" s="2842"/>
      <c r="QKN44" s="2842"/>
      <c r="QKO44" s="2843"/>
      <c r="QKP44" s="2843"/>
      <c r="QKQ44" s="2844"/>
      <c r="QKR44" s="2845"/>
      <c r="QKS44" s="2842"/>
      <c r="QKT44" s="2842"/>
      <c r="QKU44" s="2843"/>
      <c r="QKV44" s="2843"/>
      <c r="QKW44" s="2844"/>
      <c r="QKX44" s="2845"/>
      <c r="QKY44" s="2842"/>
      <c r="QKZ44" s="2842"/>
      <c r="QLA44" s="2843"/>
      <c r="QLB44" s="2843"/>
      <c r="QLC44" s="2844"/>
      <c r="QLD44" s="2845"/>
      <c r="QLE44" s="2842"/>
      <c r="QLF44" s="2842"/>
      <c r="QLG44" s="2843"/>
      <c r="QLH44" s="2843"/>
      <c r="QLI44" s="2844"/>
      <c r="QLJ44" s="2845"/>
      <c r="QLK44" s="2842"/>
      <c r="QLL44" s="2842"/>
      <c r="QLM44" s="2843"/>
      <c r="QLN44" s="2843"/>
      <c r="QLO44" s="2844"/>
      <c r="QLP44" s="2845"/>
      <c r="QLQ44" s="2842"/>
      <c r="QLR44" s="2842"/>
      <c r="QLS44" s="2843"/>
      <c r="QLT44" s="2843"/>
      <c r="QLU44" s="2844"/>
      <c r="QLV44" s="2845"/>
      <c r="QLW44" s="2842"/>
      <c r="QLX44" s="2842"/>
      <c r="QLY44" s="2843"/>
      <c r="QLZ44" s="2843"/>
      <c r="QMA44" s="2844"/>
      <c r="QMB44" s="2845"/>
      <c r="QMC44" s="2842"/>
      <c r="QMD44" s="2842"/>
      <c r="QME44" s="2843"/>
      <c r="QMF44" s="2843"/>
      <c r="QMG44" s="2844"/>
      <c r="QMH44" s="2845"/>
      <c r="QMI44" s="2842"/>
      <c r="QMJ44" s="2842"/>
      <c r="QMK44" s="2843"/>
      <c r="QML44" s="2843"/>
      <c r="QMM44" s="2844"/>
      <c r="QMN44" s="2845"/>
      <c r="QMO44" s="2842"/>
      <c r="QMP44" s="2842"/>
      <c r="QMQ44" s="2843"/>
      <c r="QMR44" s="2843"/>
      <c r="QMS44" s="2844"/>
      <c r="QMT44" s="2845"/>
      <c r="QMU44" s="2842"/>
      <c r="QMV44" s="2842"/>
      <c r="QMW44" s="2843"/>
      <c r="QMX44" s="2843"/>
      <c r="QMY44" s="2844"/>
      <c r="QMZ44" s="2845"/>
      <c r="QNA44" s="2842"/>
      <c r="QNB44" s="2842"/>
      <c r="QNC44" s="2843"/>
      <c r="QND44" s="2843"/>
      <c r="QNE44" s="2844"/>
      <c r="QNF44" s="2845"/>
      <c r="QNG44" s="2842"/>
      <c r="QNH44" s="2842"/>
      <c r="QNI44" s="2843"/>
      <c r="QNJ44" s="2843"/>
      <c r="QNK44" s="2844"/>
      <c r="QNL44" s="2845"/>
      <c r="QNM44" s="2842"/>
      <c r="QNN44" s="2842"/>
      <c r="QNO44" s="2843"/>
      <c r="QNP44" s="2843"/>
      <c r="QNQ44" s="2844"/>
      <c r="QNR44" s="2845"/>
      <c r="QNS44" s="2842"/>
      <c r="QNT44" s="2842"/>
      <c r="QNU44" s="2843"/>
      <c r="QNV44" s="2843"/>
      <c r="QNW44" s="2844"/>
      <c r="QNX44" s="2845"/>
      <c r="QNY44" s="2842"/>
      <c r="QNZ44" s="2842"/>
      <c r="QOA44" s="2843"/>
      <c r="QOB44" s="2843"/>
      <c r="QOC44" s="2844"/>
      <c r="QOD44" s="2845"/>
      <c r="QOE44" s="2842"/>
      <c r="QOF44" s="2842"/>
      <c r="QOG44" s="2843"/>
      <c r="QOH44" s="2843"/>
      <c r="QOI44" s="2844"/>
      <c r="QOJ44" s="2845"/>
      <c r="QOK44" s="2842"/>
      <c r="QOL44" s="2842"/>
      <c r="QOM44" s="2843"/>
      <c r="QON44" s="2843"/>
      <c r="QOO44" s="2844"/>
      <c r="QOP44" s="2845"/>
      <c r="QOQ44" s="2842"/>
      <c r="QOR44" s="2842"/>
      <c r="QOS44" s="2843"/>
      <c r="QOT44" s="2843"/>
      <c r="QOU44" s="2844"/>
      <c r="QOV44" s="2845"/>
      <c r="QOW44" s="2842"/>
      <c r="QOX44" s="2842"/>
      <c r="QOY44" s="2843"/>
      <c r="QOZ44" s="2843"/>
      <c r="QPA44" s="2844"/>
      <c r="QPB44" s="2845"/>
      <c r="QPC44" s="2842"/>
      <c r="QPD44" s="2842"/>
      <c r="QPE44" s="2843"/>
      <c r="QPF44" s="2843"/>
      <c r="QPG44" s="2844"/>
      <c r="QPH44" s="2845"/>
      <c r="QPI44" s="2842"/>
      <c r="QPJ44" s="2842"/>
      <c r="QPK44" s="2843"/>
      <c r="QPL44" s="2843"/>
      <c r="QPM44" s="2844"/>
      <c r="QPN44" s="2845"/>
      <c r="QPO44" s="2842"/>
      <c r="QPP44" s="2842"/>
      <c r="QPQ44" s="2843"/>
      <c r="QPR44" s="2843"/>
      <c r="QPS44" s="2844"/>
      <c r="QPT44" s="2845"/>
      <c r="QPU44" s="2842"/>
      <c r="QPV44" s="2842"/>
      <c r="QPW44" s="2843"/>
      <c r="QPX44" s="2843"/>
      <c r="QPY44" s="2844"/>
      <c r="QPZ44" s="2845"/>
      <c r="QQA44" s="2842"/>
      <c r="QQB44" s="2842"/>
      <c r="QQC44" s="2843"/>
      <c r="QQD44" s="2843"/>
      <c r="QQE44" s="2844"/>
      <c r="QQF44" s="2845"/>
      <c r="QQG44" s="2842"/>
      <c r="QQH44" s="2842"/>
      <c r="QQI44" s="2843"/>
      <c r="QQJ44" s="2843"/>
      <c r="QQK44" s="2844"/>
      <c r="QQL44" s="2845"/>
      <c r="QQM44" s="2842"/>
      <c r="QQN44" s="2842"/>
      <c r="QQO44" s="2843"/>
      <c r="QQP44" s="2843"/>
      <c r="QQQ44" s="2844"/>
      <c r="QQR44" s="2845"/>
      <c r="QQS44" s="2842"/>
      <c r="QQT44" s="2842"/>
      <c r="QQU44" s="2843"/>
      <c r="QQV44" s="2843"/>
      <c r="QQW44" s="2844"/>
      <c r="QQX44" s="2845"/>
      <c r="QQY44" s="2842"/>
      <c r="QQZ44" s="2842"/>
      <c r="QRA44" s="2843"/>
      <c r="QRB44" s="2843"/>
      <c r="QRC44" s="2844"/>
      <c r="QRD44" s="2845"/>
      <c r="QRE44" s="2842"/>
      <c r="QRF44" s="2842"/>
      <c r="QRG44" s="2843"/>
      <c r="QRH44" s="2843"/>
      <c r="QRI44" s="2844"/>
      <c r="QRJ44" s="2845"/>
      <c r="QRK44" s="2842"/>
      <c r="QRL44" s="2842"/>
      <c r="QRM44" s="2843"/>
      <c r="QRN44" s="2843"/>
      <c r="QRO44" s="2844"/>
      <c r="QRP44" s="2845"/>
      <c r="QRQ44" s="2842"/>
      <c r="QRR44" s="2842"/>
      <c r="QRS44" s="2843"/>
      <c r="QRT44" s="2843"/>
      <c r="QRU44" s="2844"/>
      <c r="QRV44" s="2845"/>
      <c r="QRW44" s="2842"/>
      <c r="QRX44" s="2842"/>
      <c r="QRY44" s="2843"/>
      <c r="QRZ44" s="2843"/>
      <c r="QSA44" s="2844"/>
      <c r="QSB44" s="2845"/>
      <c r="QSC44" s="2842"/>
      <c r="QSD44" s="2842"/>
      <c r="QSE44" s="2843"/>
      <c r="QSF44" s="2843"/>
      <c r="QSG44" s="2844"/>
      <c r="QSH44" s="2845"/>
      <c r="QSI44" s="2842"/>
      <c r="QSJ44" s="2842"/>
      <c r="QSK44" s="2843"/>
      <c r="QSL44" s="2843"/>
      <c r="QSM44" s="2844"/>
      <c r="QSN44" s="2845"/>
      <c r="QSO44" s="2842"/>
      <c r="QSP44" s="2842"/>
      <c r="QSQ44" s="2843"/>
      <c r="QSR44" s="2843"/>
      <c r="QSS44" s="2844"/>
      <c r="QST44" s="2845"/>
      <c r="QSU44" s="2842"/>
      <c r="QSV44" s="2842"/>
      <c r="QSW44" s="2843"/>
      <c r="QSX44" s="2843"/>
      <c r="QSY44" s="2844"/>
      <c r="QSZ44" s="2845"/>
      <c r="QTA44" s="2842"/>
      <c r="QTB44" s="2842"/>
      <c r="QTC44" s="2843"/>
      <c r="QTD44" s="2843"/>
      <c r="QTE44" s="2844"/>
      <c r="QTF44" s="2845"/>
      <c r="QTG44" s="2842"/>
      <c r="QTH44" s="2842"/>
      <c r="QTI44" s="2843"/>
      <c r="QTJ44" s="2843"/>
      <c r="QTK44" s="2844"/>
      <c r="QTL44" s="2845"/>
      <c r="QTM44" s="2842"/>
      <c r="QTN44" s="2842"/>
      <c r="QTO44" s="2843"/>
      <c r="QTP44" s="2843"/>
      <c r="QTQ44" s="2844"/>
      <c r="QTR44" s="2845"/>
      <c r="QTS44" s="2842"/>
      <c r="QTT44" s="2842"/>
      <c r="QTU44" s="2843"/>
      <c r="QTV44" s="2843"/>
      <c r="QTW44" s="2844"/>
      <c r="QTX44" s="2845"/>
      <c r="QTY44" s="2842"/>
      <c r="QTZ44" s="2842"/>
      <c r="QUA44" s="2843"/>
      <c r="QUB44" s="2843"/>
      <c r="QUC44" s="2844"/>
      <c r="QUD44" s="2845"/>
      <c r="QUE44" s="2842"/>
      <c r="QUF44" s="2842"/>
      <c r="QUG44" s="2843"/>
      <c r="QUH44" s="2843"/>
      <c r="QUI44" s="2844"/>
      <c r="QUJ44" s="2845"/>
      <c r="QUK44" s="2842"/>
      <c r="QUL44" s="2842"/>
      <c r="QUM44" s="2843"/>
      <c r="QUN44" s="2843"/>
      <c r="QUO44" s="2844"/>
      <c r="QUP44" s="2845"/>
      <c r="QUQ44" s="2842"/>
      <c r="QUR44" s="2842"/>
      <c r="QUS44" s="2843"/>
      <c r="QUT44" s="2843"/>
      <c r="QUU44" s="2844"/>
      <c r="QUV44" s="2845"/>
      <c r="QUW44" s="2842"/>
      <c r="QUX44" s="2842"/>
      <c r="QUY44" s="2843"/>
      <c r="QUZ44" s="2843"/>
      <c r="QVA44" s="2844"/>
      <c r="QVB44" s="2845"/>
      <c r="QVC44" s="2842"/>
      <c r="QVD44" s="2842"/>
      <c r="QVE44" s="2843"/>
      <c r="QVF44" s="2843"/>
      <c r="QVG44" s="2844"/>
      <c r="QVH44" s="2845"/>
      <c r="QVI44" s="2842"/>
      <c r="QVJ44" s="2842"/>
      <c r="QVK44" s="2843"/>
      <c r="QVL44" s="2843"/>
      <c r="QVM44" s="2844"/>
      <c r="QVN44" s="2845"/>
      <c r="QVO44" s="2842"/>
      <c r="QVP44" s="2842"/>
      <c r="QVQ44" s="2843"/>
      <c r="QVR44" s="2843"/>
      <c r="QVS44" s="2844"/>
      <c r="QVT44" s="2845"/>
      <c r="QVU44" s="2842"/>
      <c r="QVV44" s="2842"/>
      <c r="QVW44" s="2843"/>
      <c r="QVX44" s="2843"/>
      <c r="QVY44" s="2844"/>
      <c r="QVZ44" s="2845"/>
      <c r="QWA44" s="2842"/>
      <c r="QWB44" s="2842"/>
      <c r="QWC44" s="2843"/>
      <c r="QWD44" s="2843"/>
      <c r="QWE44" s="2844"/>
      <c r="QWF44" s="2845"/>
      <c r="QWG44" s="2842"/>
      <c r="QWH44" s="2842"/>
      <c r="QWI44" s="2843"/>
      <c r="QWJ44" s="2843"/>
      <c r="QWK44" s="2844"/>
      <c r="QWL44" s="2845"/>
      <c r="QWM44" s="2842"/>
      <c r="QWN44" s="2842"/>
      <c r="QWO44" s="2843"/>
      <c r="QWP44" s="2843"/>
      <c r="QWQ44" s="2844"/>
      <c r="QWR44" s="2845"/>
      <c r="QWS44" s="2842"/>
      <c r="QWT44" s="2842"/>
      <c r="QWU44" s="2843"/>
      <c r="QWV44" s="2843"/>
      <c r="QWW44" s="2844"/>
      <c r="QWX44" s="2845"/>
      <c r="QWY44" s="2842"/>
      <c r="QWZ44" s="2842"/>
      <c r="QXA44" s="2843"/>
      <c r="QXB44" s="2843"/>
      <c r="QXC44" s="2844"/>
      <c r="QXD44" s="2845"/>
      <c r="QXE44" s="2842"/>
      <c r="QXF44" s="2842"/>
      <c r="QXG44" s="2843"/>
      <c r="QXH44" s="2843"/>
      <c r="QXI44" s="2844"/>
      <c r="QXJ44" s="2845"/>
      <c r="QXK44" s="2842"/>
      <c r="QXL44" s="2842"/>
      <c r="QXM44" s="2843"/>
      <c r="QXN44" s="2843"/>
      <c r="QXO44" s="2844"/>
      <c r="QXP44" s="2845"/>
      <c r="QXQ44" s="2842"/>
      <c r="QXR44" s="2842"/>
      <c r="QXS44" s="2843"/>
      <c r="QXT44" s="2843"/>
      <c r="QXU44" s="2844"/>
      <c r="QXV44" s="2845"/>
      <c r="QXW44" s="2842"/>
      <c r="QXX44" s="2842"/>
      <c r="QXY44" s="2843"/>
      <c r="QXZ44" s="2843"/>
      <c r="QYA44" s="2844"/>
      <c r="QYB44" s="2845"/>
      <c r="QYC44" s="2842"/>
      <c r="QYD44" s="2842"/>
      <c r="QYE44" s="2843"/>
      <c r="QYF44" s="2843"/>
      <c r="QYG44" s="2844"/>
      <c r="QYH44" s="2845"/>
      <c r="QYI44" s="2842"/>
      <c r="QYJ44" s="2842"/>
      <c r="QYK44" s="2843"/>
      <c r="QYL44" s="2843"/>
      <c r="QYM44" s="2844"/>
      <c r="QYN44" s="2845"/>
      <c r="QYO44" s="2842"/>
      <c r="QYP44" s="2842"/>
      <c r="QYQ44" s="2843"/>
      <c r="QYR44" s="2843"/>
      <c r="QYS44" s="2844"/>
      <c r="QYT44" s="2845"/>
      <c r="QYU44" s="2842"/>
      <c r="QYV44" s="2842"/>
      <c r="QYW44" s="2843"/>
      <c r="QYX44" s="2843"/>
      <c r="QYY44" s="2844"/>
      <c r="QYZ44" s="2845"/>
      <c r="QZA44" s="2842"/>
      <c r="QZB44" s="2842"/>
      <c r="QZC44" s="2843"/>
      <c r="QZD44" s="2843"/>
      <c r="QZE44" s="2844"/>
      <c r="QZF44" s="2845"/>
      <c r="QZG44" s="2842"/>
      <c r="QZH44" s="2842"/>
      <c r="QZI44" s="2843"/>
      <c r="QZJ44" s="2843"/>
      <c r="QZK44" s="2844"/>
      <c r="QZL44" s="2845"/>
      <c r="QZM44" s="2842"/>
      <c r="QZN44" s="2842"/>
      <c r="QZO44" s="2843"/>
      <c r="QZP44" s="2843"/>
      <c r="QZQ44" s="2844"/>
      <c r="QZR44" s="2845"/>
      <c r="QZS44" s="2842"/>
      <c r="QZT44" s="2842"/>
      <c r="QZU44" s="2843"/>
      <c r="QZV44" s="2843"/>
      <c r="QZW44" s="2844"/>
      <c r="QZX44" s="2845"/>
      <c r="QZY44" s="2842"/>
      <c r="QZZ44" s="2842"/>
      <c r="RAA44" s="2843"/>
      <c r="RAB44" s="2843"/>
      <c r="RAC44" s="2844"/>
      <c r="RAD44" s="2845"/>
      <c r="RAE44" s="2842"/>
      <c r="RAF44" s="2842"/>
      <c r="RAG44" s="2843"/>
      <c r="RAH44" s="2843"/>
      <c r="RAI44" s="2844"/>
      <c r="RAJ44" s="2845"/>
      <c r="RAK44" s="2842"/>
      <c r="RAL44" s="2842"/>
      <c r="RAM44" s="2843"/>
      <c r="RAN44" s="2843"/>
      <c r="RAO44" s="2844"/>
      <c r="RAP44" s="2845"/>
      <c r="RAQ44" s="2842"/>
      <c r="RAR44" s="2842"/>
      <c r="RAS44" s="2843"/>
      <c r="RAT44" s="2843"/>
      <c r="RAU44" s="2844"/>
      <c r="RAV44" s="2845"/>
      <c r="RAW44" s="2842"/>
      <c r="RAX44" s="2842"/>
      <c r="RAY44" s="2843"/>
      <c r="RAZ44" s="2843"/>
      <c r="RBA44" s="2844"/>
      <c r="RBB44" s="2845"/>
      <c r="RBC44" s="2842"/>
      <c r="RBD44" s="2842"/>
      <c r="RBE44" s="2843"/>
      <c r="RBF44" s="2843"/>
      <c r="RBG44" s="2844"/>
      <c r="RBH44" s="2845"/>
      <c r="RBI44" s="2842"/>
      <c r="RBJ44" s="2842"/>
      <c r="RBK44" s="2843"/>
      <c r="RBL44" s="2843"/>
      <c r="RBM44" s="2844"/>
      <c r="RBN44" s="2845"/>
      <c r="RBO44" s="2842"/>
      <c r="RBP44" s="2842"/>
      <c r="RBQ44" s="2843"/>
      <c r="RBR44" s="2843"/>
      <c r="RBS44" s="2844"/>
      <c r="RBT44" s="2845"/>
      <c r="RBU44" s="2842"/>
      <c r="RBV44" s="2842"/>
      <c r="RBW44" s="2843"/>
      <c r="RBX44" s="2843"/>
      <c r="RBY44" s="2844"/>
      <c r="RBZ44" s="2845"/>
      <c r="RCA44" s="2842"/>
      <c r="RCB44" s="2842"/>
      <c r="RCC44" s="2843"/>
      <c r="RCD44" s="2843"/>
      <c r="RCE44" s="2844"/>
      <c r="RCF44" s="2845"/>
      <c r="RCG44" s="2842"/>
      <c r="RCH44" s="2842"/>
      <c r="RCI44" s="2843"/>
      <c r="RCJ44" s="2843"/>
      <c r="RCK44" s="2844"/>
      <c r="RCL44" s="2845"/>
      <c r="RCM44" s="2842"/>
      <c r="RCN44" s="2842"/>
      <c r="RCO44" s="2843"/>
      <c r="RCP44" s="2843"/>
      <c r="RCQ44" s="2844"/>
      <c r="RCR44" s="2845"/>
      <c r="RCS44" s="2842"/>
      <c r="RCT44" s="2842"/>
      <c r="RCU44" s="2843"/>
      <c r="RCV44" s="2843"/>
      <c r="RCW44" s="2844"/>
      <c r="RCX44" s="2845"/>
      <c r="RCY44" s="2842"/>
      <c r="RCZ44" s="2842"/>
      <c r="RDA44" s="2843"/>
      <c r="RDB44" s="2843"/>
      <c r="RDC44" s="2844"/>
      <c r="RDD44" s="2845"/>
      <c r="RDE44" s="2842"/>
      <c r="RDF44" s="2842"/>
      <c r="RDG44" s="2843"/>
      <c r="RDH44" s="2843"/>
      <c r="RDI44" s="2844"/>
      <c r="RDJ44" s="2845"/>
      <c r="RDK44" s="2842"/>
      <c r="RDL44" s="2842"/>
      <c r="RDM44" s="2843"/>
      <c r="RDN44" s="2843"/>
      <c r="RDO44" s="2844"/>
      <c r="RDP44" s="2845"/>
      <c r="RDQ44" s="2842"/>
      <c r="RDR44" s="2842"/>
      <c r="RDS44" s="2843"/>
      <c r="RDT44" s="2843"/>
      <c r="RDU44" s="2844"/>
      <c r="RDV44" s="2845"/>
      <c r="RDW44" s="2842"/>
      <c r="RDX44" s="2842"/>
      <c r="RDY44" s="2843"/>
      <c r="RDZ44" s="2843"/>
      <c r="REA44" s="2844"/>
      <c r="REB44" s="2845"/>
      <c r="REC44" s="2842"/>
      <c r="RED44" s="2842"/>
      <c r="REE44" s="2843"/>
      <c r="REF44" s="2843"/>
      <c r="REG44" s="2844"/>
      <c r="REH44" s="2845"/>
      <c r="REI44" s="2842"/>
      <c r="REJ44" s="2842"/>
      <c r="REK44" s="2843"/>
      <c r="REL44" s="2843"/>
      <c r="REM44" s="2844"/>
      <c r="REN44" s="2845"/>
      <c r="REO44" s="2842"/>
      <c r="REP44" s="2842"/>
      <c r="REQ44" s="2843"/>
      <c r="RER44" s="2843"/>
      <c r="RES44" s="2844"/>
      <c r="RET44" s="2845"/>
      <c r="REU44" s="2842"/>
      <c r="REV44" s="2842"/>
      <c r="REW44" s="2843"/>
      <c r="REX44" s="2843"/>
      <c r="REY44" s="2844"/>
      <c r="REZ44" s="2845"/>
      <c r="RFA44" s="2842"/>
      <c r="RFB44" s="2842"/>
      <c r="RFC44" s="2843"/>
      <c r="RFD44" s="2843"/>
      <c r="RFE44" s="2844"/>
      <c r="RFF44" s="2845"/>
      <c r="RFG44" s="2842"/>
      <c r="RFH44" s="2842"/>
      <c r="RFI44" s="2843"/>
      <c r="RFJ44" s="2843"/>
      <c r="RFK44" s="2844"/>
      <c r="RFL44" s="2845"/>
      <c r="RFM44" s="2842"/>
      <c r="RFN44" s="2842"/>
      <c r="RFO44" s="2843"/>
      <c r="RFP44" s="2843"/>
      <c r="RFQ44" s="2844"/>
      <c r="RFR44" s="2845"/>
      <c r="RFS44" s="2842"/>
      <c r="RFT44" s="2842"/>
      <c r="RFU44" s="2843"/>
      <c r="RFV44" s="2843"/>
      <c r="RFW44" s="2844"/>
      <c r="RFX44" s="2845"/>
      <c r="RFY44" s="2842"/>
      <c r="RFZ44" s="2842"/>
      <c r="RGA44" s="2843"/>
      <c r="RGB44" s="2843"/>
      <c r="RGC44" s="2844"/>
      <c r="RGD44" s="2845"/>
      <c r="RGE44" s="2842"/>
      <c r="RGF44" s="2842"/>
      <c r="RGG44" s="2843"/>
      <c r="RGH44" s="2843"/>
      <c r="RGI44" s="2844"/>
      <c r="RGJ44" s="2845"/>
      <c r="RGK44" s="2842"/>
      <c r="RGL44" s="2842"/>
      <c r="RGM44" s="2843"/>
      <c r="RGN44" s="2843"/>
      <c r="RGO44" s="2844"/>
      <c r="RGP44" s="2845"/>
      <c r="RGQ44" s="2842"/>
      <c r="RGR44" s="2842"/>
      <c r="RGS44" s="2843"/>
      <c r="RGT44" s="2843"/>
      <c r="RGU44" s="2844"/>
      <c r="RGV44" s="2845"/>
      <c r="RGW44" s="2842"/>
      <c r="RGX44" s="2842"/>
      <c r="RGY44" s="2843"/>
      <c r="RGZ44" s="2843"/>
      <c r="RHA44" s="2844"/>
      <c r="RHB44" s="2845"/>
      <c r="RHC44" s="2842"/>
      <c r="RHD44" s="2842"/>
      <c r="RHE44" s="2843"/>
      <c r="RHF44" s="2843"/>
      <c r="RHG44" s="2844"/>
      <c r="RHH44" s="2845"/>
      <c r="RHI44" s="2842"/>
      <c r="RHJ44" s="2842"/>
      <c r="RHK44" s="2843"/>
      <c r="RHL44" s="2843"/>
      <c r="RHM44" s="2844"/>
      <c r="RHN44" s="2845"/>
      <c r="RHO44" s="2842"/>
      <c r="RHP44" s="2842"/>
      <c r="RHQ44" s="2843"/>
      <c r="RHR44" s="2843"/>
      <c r="RHS44" s="2844"/>
      <c r="RHT44" s="2845"/>
      <c r="RHU44" s="2842"/>
      <c r="RHV44" s="2842"/>
      <c r="RHW44" s="2843"/>
      <c r="RHX44" s="2843"/>
      <c r="RHY44" s="2844"/>
      <c r="RHZ44" s="2845"/>
      <c r="RIA44" s="2842"/>
      <c r="RIB44" s="2842"/>
      <c r="RIC44" s="2843"/>
      <c r="RID44" s="2843"/>
      <c r="RIE44" s="2844"/>
      <c r="RIF44" s="2845"/>
      <c r="RIG44" s="2842"/>
      <c r="RIH44" s="2842"/>
      <c r="RII44" s="2843"/>
      <c r="RIJ44" s="2843"/>
      <c r="RIK44" s="2844"/>
      <c r="RIL44" s="2845"/>
      <c r="RIM44" s="2842"/>
      <c r="RIN44" s="2842"/>
      <c r="RIO44" s="2843"/>
      <c r="RIP44" s="2843"/>
      <c r="RIQ44" s="2844"/>
      <c r="RIR44" s="2845"/>
      <c r="RIS44" s="2842"/>
      <c r="RIT44" s="2842"/>
      <c r="RIU44" s="2843"/>
      <c r="RIV44" s="2843"/>
      <c r="RIW44" s="2844"/>
      <c r="RIX44" s="2845"/>
      <c r="RIY44" s="2842"/>
      <c r="RIZ44" s="2842"/>
      <c r="RJA44" s="2843"/>
      <c r="RJB44" s="2843"/>
      <c r="RJC44" s="2844"/>
      <c r="RJD44" s="2845"/>
      <c r="RJE44" s="2842"/>
      <c r="RJF44" s="2842"/>
      <c r="RJG44" s="2843"/>
      <c r="RJH44" s="2843"/>
      <c r="RJI44" s="2844"/>
      <c r="RJJ44" s="2845"/>
      <c r="RJK44" s="2842"/>
      <c r="RJL44" s="2842"/>
      <c r="RJM44" s="2843"/>
      <c r="RJN44" s="2843"/>
      <c r="RJO44" s="2844"/>
      <c r="RJP44" s="2845"/>
      <c r="RJQ44" s="2842"/>
      <c r="RJR44" s="2842"/>
      <c r="RJS44" s="2843"/>
      <c r="RJT44" s="2843"/>
      <c r="RJU44" s="2844"/>
      <c r="RJV44" s="2845"/>
      <c r="RJW44" s="2842"/>
      <c r="RJX44" s="2842"/>
      <c r="RJY44" s="2843"/>
      <c r="RJZ44" s="2843"/>
      <c r="RKA44" s="2844"/>
      <c r="RKB44" s="2845"/>
      <c r="RKC44" s="2842"/>
      <c r="RKD44" s="2842"/>
      <c r="RKE44" s="2843"/>
      <c r="RKF44" s="2843"/>
      <c r="RKG44" s="2844"/>
      <c r="RKH44" s="2845"/>
      <c r="RKI44" s="2842"/>
      <c r="RKJ44" s="2842"/>
      <c r="RKK44" s="2843"/>
      <c r="RKL44" s="2843"/>
      <c r="RKM44" s="2844"/>
      <c r="RKN44" s="2845"/>
      <c r="RKO44" s="2842"/>
      <c r="RKP44" s="2842"/>
      <c r="RKQ44" s="2843"/>
      <c r="RKR44" s="2843"/>
      <c r="RKS44" s="2844"/>
      <c r="RKT44" s="2845"/>
      <c r="RKU44" s="2842"/>
      <c r="RKV44" s="2842"/>
      <c r="RKW44" s="2843"/>
      <c r="RKX44" s="2843"/>
      <c r="RKY44" s="2844"/>
      <c r="RKZ44" s="2845"/>
      <c r="RLA44" s="2842"/>
      <c r="RLB44" s="2842"/>
      <c r="RLC44" s="2843"/>
      <c r="RLD44" s="2843"/>
      <c r="RLE44" s="2844"/>
      <c r="RLF44" s="2845"/>
      <c r="RLG44" s="2842"/>
      <c r="RLH44" s="2842"/>
      <c r="RLI44" s="2843"/>
      <c r="RLJ44" s="2843"/>
      <c r="RLK44" s="2844"/>
      <c r="RLL44" s="2845"/>
      <c r="RLM44" s="2842"/>
      <c r="RLN44" s="2842"/>
      <c r="RLO44" s="2843"/>
      <c r="RLP44" s="2843"/>
      <c r="RLQ44" s="2844"/>
      <c r="RLR44" s="2845"/>
      <c r="RLS44" s="2842"/>
      <c r="RLT44" s="2842"/>
      <c r="RLU44" s="2843"/>
      <c r="RLV44" s="2843"/>
      <c r="RLW44" s="2844"/>
      <c r="RLX44" s="2845"/>
      <c r="RLY44" s="2842"/>
      <c r="RLZ44" s="2842"/>
      <c r="RMA44" s="2843"/>
      <c r="RMB44" s="2843"/>
      <c r="RMC44" s="2844"/>
      <c r="RMD44" s="2845"/>
      <c r="RME44" s="2842"/>
      <c r="RMF44" s="2842"/>
      <c r="RMG44" s="2843"/>
      <c r="RMH44" s="2843"/>
      <c r="RMI44" s="2844"/>
      <c r="RMJ44" s="2845"/>
      <c r="RMK44" s="2842"/>
      <c r="RML44" s="2842"/>
      <c r="RMM44" s="2843"/>
      <c r="RMN44" s="2843"/>
      <c r="RMO44" s="2844"/>
      <c r="RMP44" s="2845"/>
      <c r="RMQ44" s="2842"/>
      <c r="RMR44" s="2842"/>
      <c r="RMS44" s="2843"/>
      <c r="RMT44" s="2843"/>
      <c r="RMU44" s="2844"/>
      <c r="RMV44" s="2845"/>
      <c r="RMW44" s="2842"/>
      <c r="RMX44" s="2842"/>
      <c r="RMY44" s="2843"/>
      <c r="RMZ44" s="2843"/>
      <c r="RNA44" s="2844"/>
      <c r="RNB44" s="2845"/>
      <c r="RNC44" s="2842"/>
      <c r="RND44" s="2842"/>
      <c r="RNE44" s="2843"/>
      <c r="RNF44" s="2843"/>
      <c r="RNG44" s="2844"/>
      <c r="RNH44" s="2845"/>
      <c r="RNI44" s="2842"/>
      <c r="RNJ44" s="2842"/>
      <c r="RNK44" s="2843"/>
      <c r="RNL44" s="2843"/>
      <c r="RNM44" s="2844"/>
      <c r="RNN44" s="2845"/>
      <c r="RNO44" s="2842"/>
      <c r="RNP44" s="2842"/>
      <c r="RNQ44" s="2843"/>
      <c r="RNR44" s="2843"/>
      <c r="RNS44" s="2844"/>
      <c r="RNT44" s="2845"/>
      <c r="RNU44" s="2842"/>
      <c r="RNV44" s="2842"/>
      <c r="RNW44" s="2843"/>
      <c r="RNX44" s="2843"/>
      <c r="RNY44" s="2844"/>
      <c r="RNZ44" s="2845"/>
      <c r="ROA44" s="2842"/>
      <c r="ROB44" s="2842"/>
      <c r="ROC44" s="2843"/>
      <c r="ROD44" s="2843"/>
      <c r="ROE44" s="2844"/>
      <c r="ROF44" s="2845"/>
      <c r="ROG44" s="2842"/>
      <c r="ROH44" s="2842"/>
      <c r="ROI44" s="2843"/>
      <c r="ROJ44" s="2843"/>
      <c r="ROK44" s="2844"/>
      <c r="ROL44" s="2845"/>
      <c r="ROM44" s="2842"/>
      <c r="RON44" s="2842"/>
      <c r="ROO44" s="2843"/>
      <c r="ROP44" s="2843"/>
      <c r="ROQ44" s="2844"/>
      <c r="ROR44" s="2845"/>
      <c r="ROS44" s="2842"/>
      <c r="ROT44" s="2842"/>
      <c r="ROU44" s="2843"/>
      <c r="ROV44" s="2843"/>
      <c r="ROW44" s="2844"/>
      <c r="ROX44" s="2845"/>
      <c r="ROY44" s="2842"/>
      <c r="ROZ44" s="2842"/>
      <c r="RPA44" s="2843"/>
      <c r="RPB44" s="2843"/>
      <c r="RPC44" s="2844"/>
      <c r="RPD44" s="2845"/>
      <c r="RPE44" s="2842"/>
      <c r="RPF44" s="2842"/>
      <c r="RPG44" s="2843"/>
      <c r="RPH44" s="2843"/>
      <c r="RPI44" s="2844"/>
      <c r="RPJ44" s="2845"/>
      <c r="RPK44" s="2842"/>
      <c r="RPL44" s="2842"/>
      <c r="RPM44" s="2843"/>
      <c r="RPN44" s="2843"/>
      <c r="RPO44" s="2844"/>
      <c r="RPP44" s="2845"/>
      <c r="RPQ44" s="2842"/>
      <c r="RPR44" s="2842"/>
      <c r="RPS44" s="2843"/>
      <c r="RPT44" s="2843"/>
      <c r="RPU44" s="2844"/>
      <c r="RPV44" s="2845"/>
      <c r="RPW44" s="2842"/>
      <c r="RPX44" s="2842"/>
      <c r="RPY44" s="2843"/>
      <c r="RPZ44" s="2843"/>
      <c r="RQA44" s="2844"/>
      <c r="RQB44" s="2845"/>
      <c r="RQC44" s="2842"/>
      <c r="RQD44" s="2842"/>
      <c r="RQE44" s="2843"/>
      <c r="RQF44" s="2843"/>
      <c r="RQG44" s="2844"/>
      <c r="RQH44" s="2845"/>
      <c r="RQI44" s="2842"/>
      <c r="RQJ44" s="2842"/>
      <c r="RQK44" s="2843"/>
      <c r="RQL44" s="2843"/>
      <c r="RQM44" s="2844"/>
      <c r="RQN44" s="2845"/>
      <c r="RQO44" s="2842"/>
      <c r="RQP44" s="2842"/>
      <c r="RQQ44" s="2843"/>
      <c r="RQR44" s="2843"/>
      <c r="RQS44" s="2844"/>
      <c r="RQT44" s="2845"/>
      <c r="RQU44" s="2842"/>
      <c r="RQV44" s="2842"/>
      <c r="RQW44" s="2843"/>
      <c r="RQX44" s="2843"/>
      <c r="RQY44" s="2844"/>
      <c r="RQZ44" s="2845"/>
      <c r="RRA44" s="2842"/>
      <c r="RRB44" s="2842"/>
      <c r="RRC44" s="2843"/>
      <c r="RRD44" s="2843"/>
      <c r="RRE44" s="2844"/>
      <c r="RRF44" s="2845"/>
      <c r="RRG44" s="2842"/>
      <c r="RRH44" s="2842"/>
      <c r="RRI44" s="2843"/>
      <c r="RRJ44" s="2843"/>
      <c r="RRK44" s="2844"/>
      <c r="RRL44" s="2845"/>
      <c r="RRM44" s="2842"/>
      <c r="RRN44" s="2842"/>
      <c r="RRO44" s="2843"/>
      <c r="RRP44" s="2843"/>
      <c r="RRQ44" s="2844"/>
      <c r="RRR44" s="2845"/>
      <c r="RRS44" s="2842"/>
      <c r="RRT44" s="2842"/>
      <c r="RRU44" s="2843"/>
      <c r="RRV44" s="2843"/>
      <c r="RRW44" s="2844"/>
      <c r="RRX44" s="2845"/>
      <c r="RRY44" s="2842"/>
      <c r="RRZ44" s="2842"/>
      <c r="RSA44" s="2843"/>
      <c r="RSB44" s="2843"/>
      <c r="RSC44" s="2844"/>
      <c r="RSD44" s="2845"/>
      <c r="RSE44" s="2842"/>
      <c r="RSF44" s="2842"/>
      <c r="RSG44" s="2843"/>
      <c r="RSH44" s="2843"/>
      <c r="RSI44" s="2844"/>
      <c r="RSJ44" s="2845"/>
      <c r="RSK44" s="2842"/>
      <c r="RSL44" s="2842"/>
      <c r="RSM44" s="2843"/>
      <c r="RSN44" s="2843"/>
      <c r="RSO44" s="2844"/>
      <c r="RSP44" s="2845"/>
      <c r="RSQ44" s="2842"/>
      <c r="RSR44" s="2842"/>
      <c r="RSS44" s="2843"/>
      <c r="RST44" s="2843"/>
      <c r="RSU44" s="2844"/>
      <c r="RSV44" s="2845"/>
      <c r="RSW44" s="2842"/>
      <c r="RSX44" s="2842"/>
      <c r="RSY44" s="2843"/>
      <c r="RSZ44" s="2843"/>
      <c r="RTA44" s="2844"/>
      <c r="RTB44" s="2845"/>
      <c r="RTC44" s="2842"/>
      <c r="RTD44" s="2842"/>
      <c r="RTE44" s="2843"/>
      <c r="RTF44" s="2843"/>
      <c r="RTG44" s="2844"/>
      <c r="RTH44" s="2845"/>
      <c r="RTI44" s="2842"/>
      <c r="RTJ44" s="2842"/>
      <c r="RTK44" s="2843"/>
      <c r="RTL44" s="2843"/>
      <c r="RTM44" s="2844"/>
      <c r="RTN44" s="2845"/>
      <c r="RTO44" s="2842"/>
      <c r="RTP44" s="2842"/>
      <c r="RTQ44" s="2843"/>
      <c r="RTR44" s="2843"/>
      <c r="RTS44" s="2844"/>
      <c r="RTT44" s="2845"/>
      <c r="RTU44" s="2842"/>
      <c r="RTV44" s="2842"/>
      <c r="RTW44" s="2843"/>
      <c r="RTX44" s="2843"/>
      <c r="RTY44" s="2844"/>
      <c r="RTZ44" s="2845"/>
      <c r="RUA44" s="2842"/>
      <c r="RUB44" s="2842"/>
      <c r="RUC44" s="2843"/>
      <c r="RUD44" s="2843"/>
      <c r="RUE44" s="2844"/>
      <c r="RUF44" s="2845"/>
      <c r="RUG44" s="2842"/>
      <c r="RUH44" s="2842"/>
      <c r="RUI44" s="2843"/>
      <c r="RUJ44" s="2843"/>
      <c r="RUK44" s="2844"/>
      <c r="RUL44" s="2845"/>
      <c r="RUM44" s="2842"/>
      <c r="RUN44" s="2842"/>
      <c r="RUO44" s="2843"/>
      <c r="RUP44" s="2843"/>
      <c r="RUQ44" s="2844"/>
      <c r="RUR44" s="2845"/>
      <c r="RUS44" s="2842"/>
      <c r="RUT44" s="2842"/>
      <c r="RUU44" s="2843"/>
      <c r="RUV44" s="2843"/>
      <c r="RUW44" s="2844"/>
      <c r="RUX44" s="2845"/>
      <c r="RUY44" s="2842"/>
      <c r="RUZ44" s="2842"/>
      <c r="RVA44" s="2843"/>
      <c r="RVB44" s="2843"/>
      <c r="RVC44" s="2844"/>
      <c r="RVD44" s="2845"/>
      <c r="RVE44" s="2842"/>
      <c r="RVF44" s="2842"/>
      <c r="RVG44" s="2843"/>
      <c r="RVH44" s="2843"/>
      <c r="RVI44" s="2844"/>
      <c r="RVJ44" s="2845"/>
      <c r="RVK44" s="2842"/>
      <c r="RVL44" s="2842"/>
      <c r="RVM44" s="2843"/>
      <c r="RVN44" s="2843"/>
      <c r="RVO44" s="2844"/>
      <c r="RVP44" s="2845"/>
      <c r="RVQ44" s="2842"/>
      <c r="RVR44" s="2842"/>
      <c r="RVS44" s="2843"/>
      <c r="RVT44" s="2843"/>
      <c r="RVU44" s="2844"/>
      <c r="RVV44" s="2845"/>
      <c r="RVW44" s="2842"/>
      <c r="RVX44" s="2842"/>
      <c r="RVY44" s="2843"/>
      <c r="RVZ44" s="2843"/>
      <c r="RWA44" s="2844"/>
      <c r="RWB44" s="2845"/>
      <c r="RWC44" s="2842"/>
      <c r="RWD44" s="2842"/>
      <c r="RWE44" s="2843"/>
      <c r="RWF44" s="2843"/>
      <c r="RWG44" s="2844"/>
      <c r="RWH44" s="2845"/>
      <c r="RWI44" s="2842"/>
      <c r="RWJ44" s="2842"/>
      <c r="RWK44" s="2843"/>
      <c r="RWL44" s="2843"/>
      <c r="RWM44" s="2844"/>
      <c r="RWN44" s="2845"/>
      <c r="RWO44" s="2842"/>
      <c r="RWP44" s="2842"/>
      <c r="RWQ44" s="2843"/>
      <c r="RWR44" s="2843"/>
      <c r="RWS44" s="2844"/>
      <c r="RWT44" s="2845"/>
      <c r="RWU44" s="2842"/>
      <c r="RWV44" s="2842"/>
      <c r="RWW44" s="2843"/>
      <c r="RWX44" s="2843"/>
      <c r="RWY44" s="2844"/>
      <c r="RWZ44" s="2845"/>
      <c r="RXA44" s="2842"/>
      <c r="RXB44" s="2842"/>
      <c r="RXC44" s="2843"/>
      <c r="RXD44" s="2843"/>
      <c r="RXE44" s="2844"/>
      <c r="RXF44" s="2845"/>
      <c r="RXG44" s="2842"/>
      <c r="RXH44" s="2842"/>
      <c r="RXI44" s="2843"/>
      <c r="RXJ44" s="2843"/>
      <c r="RXK44" s="2844"/>
      <c r="RXL44" s="2845"/>
      <c r="RXM44" s="2842"/>
      <c r="RXN44" s="2842"/>
      <c r="RXO44" s="2843"/>
      <c r="RXP44" s="2843"/>
      <c r="RXQ44" s="2844"/>
      <c r="RXR44" s="2845"/>
      <c r="RXS44" s="2842"/>
      <c r="RXT44" s="2842"/>
      <c r="RXU44" s="2843"/>
      <c r="RXV44" s="2843"/>
      <c r="RXW44" s="2844"/>
      <c r="RXX44" s="2845"/>
      <c r="RXY44" s="2842"/>
      <c r="RXZ44" s="2842"/>
      <c r="RYA44" s="2843"/>
      <c r="RYB44" s="2843"/>
      <c r="RYC44" s="2844"/>
      <c r="RYD44" s="2845"/>
      <c r="RYE44" s="2842"/>
      <c r="RYF44" s="2842"/>
      <c r="RYG44" s="2843"/>
      <c r="RYH44" s="2843"/>
      <c r="RYI44" s="2844"/>
      <c r="RYJ44" s="2845"/>
      <c r="RYK44" s="2842"/>
      <c r="RYL44" s="2842"/>
      <c r="RYM44" s="2843"/>
      <c r="RYN44" s="2843"/>
      <c r="RYO44" s="2844"/>
      <c r="RYP44" s="2845"/>
      <c r="RYQ44" s="2842"/>
      <c r="RYR44" s="2842"/>
      <c r="RYS44" s="2843"/>
      <c r="RYT44" s="2843"/>
      <c r="RYU44" s="2844"/>
      <c r="RYV44" s="2845"/>
      <c r="RYW44" s="2842"/>
      <c r="RYX44" s="2842"/>
      <c r="RYY44" s="2843"/>
      <c r="RYZ44" s="2843"/>
      <c r="RZA44" s="2844"/>
      <c r="RZB44" s="2845"/>
      <c r="RZC44" s="2842"/>
      <c r="RZD44" s="2842"/>
      <c r="RZE44" s="2843"/>
      <c r="RZF44" s="2843"/>
      <c r="RZG44" s="2844"/>
      <c r="RZH44" s="2845"/>
      <c r="RZI44" s="2842"/>
      <c r="RZJ44" s="2842"/>
      <c r="RZK44" s="2843"/>
      <c r="RZL44" s="2843"/>
      <c r="RZM44" s="2844"/>
      <c r="RZN44" s="2845"/>
      <c r="RZO44" s="2842"/>
      <c r="RZP44" s="2842"/>
      <c r="RZQ44" s="2843"/>
      <c r="RZR44" s="2843"/>
      <c r="RZS44" s="2844"/>
      <c r="RZT44" s="2845"/>
      <c r="RZU44" s="2842"/>
      <c r="RZV44" s="2842"/>
      <c r="RZW44" s="2843"/>
      <c r="RZX44" s="2843"/>
      <c r="RZY44" s="2844"/>
      <c r="RZZ44" s="2845"/>
      <c r="SAA44" s="2842"/>
      <c r="SAB44" s="2842"/>
      <c r="SAC44" s="2843"/>
      <c r="SAD44" s="2843"/>
      <c r="SAE44" s="2844"/>
      <c r="SAF44" s="2845"/>
      <c r="SAG44" s="2842"/>
      <c r="SAH44" s="2842"/>
      <c r="SAI44" s="2843"/>
      <c r="SAJ44" s="2843"/>
      <c r="SAK44" s="2844"/>
      <c r="SAL44" s="2845"/>
      <c r="SAM44" s="2842"/>
      <c r="SAN44" s="2842"/>
      <c r="SAO44" s="2843"/>
      <c r="SAP44" s="2843"/>
      <c r="SAQ44" s="2844"/>
      <c r="SAR44" s="2845"/>
      <c r="SAS44" s="2842"/>
      <c r="SAT44" s="2842"/>
      <c r="SAU44" s="2843"/>
      <c r="SAV44" s="2843"/>
      <c r="SAW44" s="2844"/>
      <c r="SAX44" s="2845"/>
      <c r="SAY44" s="2842"/>
      <c r="SAZ44" s="2842"/>
      <c r="SBA44" s="2843"/>
      <c r="SBB44" s="2843"/>
      <c r="SBC44" s="2844"/>
      <c r="SBD44" s="2845"/>
      <c r="SBE44" s="2842"/>
      <c r="SBF44" s="2842"/>
      <c r="SBG44" s="2843"/>
      <c r="SBH44" s="2843"/>
      <c r="SBI44" s="2844"/>
      <c r="SBJ44" s="2845"/>
      <c r="SBK44" s="2842"/>
      <c r="SBL44" s="2842"/>
      <c r="SBM44" s="2843"/>
      <c r="SBN44" s="2843"/>
      <c r="SBO44" s="2844"/>
      <c r="SBP44" s="2845"/>
      <c r="SBQ44" s="2842"/>
      <c r="SBR44" s="2842"/>
      <c r="SBS44" s="2843"/>
      <c r="SBT44" s="2843"/>
      <c r="SBU44" s="2844"/>
      <c r="SBV44" s="2845"/>
      <c r="SBW44" s="2842"/>
      <c r="SBX44" s="2842"/>
      <c r="SBY44" s="2843"/>
      <c r="SBZ44" s="2843"/>
      <c r="SCA44" s="2844"/>
      <c r="SCB44" s="2845"/>
      <c r="SCC44" s="2842"/>
      <c r="SCD44" s="2842"/>
      <c r="SCE44" s="2843"/>
      <c r="SCF44" s="2843"/>
      <c r="SCG44" s="2844"/>
      <c r="SCH44" s="2845"/>
      <c r="SCI44" s="2842"/>
      <c r="SCJ44" s="2842"/>
      <c r="SCK44" s="2843"/>
      <c r="SCL44" s="2843"/>
      <c r="SCM44" s="2844"/>
      <c r="SCN44" s="2845"/>
      <c r="SCO44" s="2842"/>
      <c r="SCP44" s="2842"/>
      <c r="SCQ44" s="2843"/>
      <c r="SCR44" s="2843"/>
      <c r="SCS44" s="2844"/>
      <c r="SCT44" s="2845"/>
      <c r="SCU44" s="2842"/>
      <c r="SCV44" s="2842"/>
      <c r="SCW44" s="2843"/>
      <c r="SCX44" s="2843"/>
      <c r="SCY44" s="2844"/>
      <c r="SCZ44" s="2845"/>
      <c r="SDA44" s="2842"/>
      <c r="SDB44" s="2842"/>
      <c r="SDC44" s="2843"/>
      <c r="SDD44" s="2843"/>
      <c r="SDE44" s="2844"/>
      <c r="SDF44" s="2845"/>
      <c r="SDG44" s="2842"/>
      <c r="SDH44" s="2842"/>
      <c r="SDI44" s="2843"/>
      <c r="SDJ44" s="2843"/>
      <c r="SDK44" s="2844"/>
      <c r="SDL44" s="2845"/>
      <c r="SDM44" s="2842"/>
      <c r="SDN44" s="2842"/>
      <c r="SDO44" s="2843"/>
      <c r="SDP44" s="2843"/>
      <c r="SDQ44" s="2844"/>
      <c r="SDR44" s="2845"/>
      <c r="SDS44" s="2842"/>
      <c r="SDT44" s="2842"/>
      <c r="SDU44" s="2843"/>
      <c r="SDV44" s="2843"/>
      <c r="SDW44" s="2844"/>
      <c r="SDX44" s="2845"/>
      <c r="SDY44" s="2842"/>
      <c r="SDZ44" s="2842"/>
      <c r="SEA44" s="2843"/>
      <c r="SEB44" s="2843"/>
      <c r="SEC44" s="2844"/>
      <c r="SED44" s="2845"/>
      <c r="SEE44" s="2842"/>
      <c r="SEF44" s="2842"/>
      <c r="SEG44" s="2843"/>
      <c r="SEH44" s="2843"/>
      <c r="SEI44" s="2844"/>
      <c r="SEJ44" s="2845"/>
      <c r="SEK44" s="2842"/>
      <c r="SEL44" s="2842"/>
      <c r="SEM44" s="2843"/>
      <c r="SEN44" s="2843"/>
      <c r="SEO44" s="2844"/>
      <c r="SEP44" s="2845"/>
      <c r="SEQ44" s="2842"/>
      <c r="SER44" s="2842"/>
      <c r="SES44" s="2843"/>
      <c r="SET44" s="2843"/>
      <c r="SEU44" s="2844"/>
      <c r="SEV44" s="2845"/>
      <c r="SEW44" s="2842"/>
      <c r="SEX44" s="2842"/>
      <c r="SEY44" s="2843"/>
      <c r="SEZ44" s="2843"/>
      <c r="SFA44" s="2844"/>
      <c r="SFB44" s="2845"/>
      <c r="SFC44" s="2842"/>
      <c r="SFD44" s="2842"/>
      <c r="SFE44" s="2843"/>
      <c r="SFF44" s="2843"/>
      <c r="SFG44" s="2844"/>
      <c r="SFH44" s="2845"/>
      <c r="SFI44" s="2842"/>
      <c r="SFJ44" s="2842"/>
      <c r="SFK44" s="2843"/>
      <c r="SFL44" s="2843"/>
      <c r="SFM44" s="2844"/>
      <c r="SFN44" s="2845"/>
      <c r="SFO44" s="2842"/>
      <c r="SFP44" s="2842"/>
      <c r="SFQ44" s="2843"/>
      <c r="SFR44" s="2843"/>
      <c r="SFS44" s="2844"/>
      <c r="SFT44" s="2845"/>
      <c r="SFU44" s="2842"/>
      <c r="SFV44" s="2842"/>
      <c r="SFW44" s="2843"/>
      <c r="SFX44" s="2843"/>
      <c r="SFY44" s="2844"/>
      <c r="SFZ44" s="2845"/>
      <c r="SGA44" s="2842"/>
      <c r="SGB44" s="2842"/>
      <c r="SGC44" s="2843"/>
      <c r="SGD44" s="2843"/>
      <c r="SGE44" s="2844"/>
      <c r="SGF44" s="2845"/>
      <c r="SGG44" s="2842"/>
      <c r="SGH44" s="2842"/>
      <c r="SGI44" s="2843"/>
      <c r="SGJ44" s="2843"/>
      <c r="SGK44" s="2844"/>
      <c r="SGL44" s="2845"/>
      <c r="SGM44" s="2842"/>
      <c r="SGN44" s="2842"/>
      <c r="SGO44" s="2843"/>
      <c r="SGP44" s="2843"/>
      <c r="SGQ44" s="2844"/>
      <c r="SGR44" s="2845"/>
      <c r="SGS44" s="2842"/>
      <c r="SGT44" s="2842"/>
      <c r="SGU44" s="2843"/>
      <c r="SGV44" s="2843"/>
      <c r="SGW44" s="2844"/>
      <c r="SGX44" s="2845"/>
      <c r="SGY44" s="2842"/>
      <c r="SGZ44" s="2842"/>
      <c r="SHA44" s="2843"/>
      <c r="SHB44" s="2843"/>
      <c r="SHC44" s="2844"/>
      <c r="SHD44" s="2845"/>
      <c r="SHE44" s="2842"/>
      <c r="SHF44" s="2842"/>
      <c r="SHG44" s="2843"/>
      <c r="SHH44" s="2843"/>
      <c r="SHI44" s="2844"/>
      <c r="SHJ44" s="2845"/>
      <c r="SHK44" s="2842"/>
      <c r="SHL44" s="2842"/>
      <c r="SHM44" s="2843"/>
      <c r="SHN44" s="2843"/>
      <c r="SHO44" s="2844"/>
      <c r="SHP44" s="2845"/>
      <c r="SHQ44" s="2842"/>
      <c r="SHR44" s="2842"/>
      <c r="SHS44" s="2843"/>
      <c r="SHT44" s="2843"/>
      <c r="SHU44" s="2844"/>
      <c r="SHV44" s="2845"/>
      <c r="SHW44" s="2842"/>
      <c r="SHX44" s="2842"/>
      <c r="SHY44" s="2843"/>
      <c r="SHZ44" s="2843"/>
      <c r="SIA44" s="2844"/>
      <c r="SIB44" s="2845"/>
      <c r="SIC44" s="2842"/>
      <c r="SID44" s="2842"/>
      <c r="SIE44" s="2843"/>
      <c r="SIF44" s="2843"/>
      <c r="SIG44" s="2844"/>
      <c r="SIH44" s="2845"/>
      <c r="SII44" s="2842"/>
      <c r="SIJ44" s="2842"/>
      <c r="SIK44" s="2843"/>
      <c r="SIL44" s="2843"/>
      <c r="SIM44" s="2844"/>
      <c r="SIN44" s="2845"/>
      <c r="SIO44" s="2842"/>
      <c r="SIP44" s="2842"/>
      <c r="SIQ44" s="2843"/>
      <c r="SIR44" s="2843"/>
      <c r="SIS44" s="2844"/>
      <c r="SIT44" s="2845"/>
      <c r="SIU44" s="2842"/>
      <c r="SIV44" s="2842"/>
      <c r="SIW44" s="2843"/>
      <c r="SIX44" s="2843"/>
      <c r="SIY44" s="2844"/>
      <c r="SIZ44" s="2845"/>
      <c r="SJA44" s="2842"/>
      <c r="SJB44" s="2842"/>
      <c r="SJC44" s="2843"/>
      <c r="SJD44" s="2843"/>
      <c r="SJE44" s="2844"/>
      <c r="SJF44" s="2845"/>
      <c r="SJG44" s="2842"/>
      <c r="SJH44" s="2842"/>
      <c r="SJI44" s="2843"/>
      <c r="SJJ44" s="2843"/>
      <c r="SJK44" s="2844"/>
      <c r="SJL44" s="2845"/>
      <c r="SJM44" s="2842"/>
      <c r="SJN44" s="2842"/>
      <c r="SJO44" s="2843"/>
      <c r="SJP44" s="2843"/>
      <c r="SJQ44" s="2844"/>
      <c r="SJR44" s="2845"/>
      <c r="SJS44" s="2842"/>
      <c r="SJT44" s="2842"/>
      <c r="SJU44" s="2843"/>
      <c r="SJV44" s="2843"/>
      <c r="SJW44" s="2844"/>
      <c r="SJX44" s="2845"/>
      <c r="SJY44" s="2842"/>
      <c r="SJZ44" s="2842"/>
      <c r="SKA44" s="2843"/>
      <c r="SKB44" s="2843"/>
      <c r="SKC44" s="2844"/>
      <c r="SKD44" s="2845"/>
      <c r="SKE44" s="2842"/>
      <c r="SKF44" s="2842"/>
      <c r="SKG44" s="2843"/>
      <c r="SKH44" s="2843"/>
      <c r="SKI44" s="2844"/>
      <c r="SKJ44" s="2845"/>
      <c r="SKK44" s="2842"/>
      <c r="SKL44" s="2842"/>
      <c r="SKM44" s="2843"/>
      <c r="SKN44" s="2843"/>
      <c r="SKO44" s="2844"/>
      <c r="SKP44" s="2845"/>
      <c r="SKQ44" s="2842"/>
      <c r="SKR44" s="2842"/>
      <c r="SKS44" s="2843"/>
      <c r="SKT44" s="2843"/>
      <c r="SKU44" s="2844"/>
      <c r="SKV44" s="2845"/>
      <c r="SKW44" s="2842"/>
      <c r="SKX44" s="2842"/>
      <c r="SKY44" s="2843"/>
      <c r="SKZ44" s="2843"/>
      <c r="SLA44" s="2844"/>
      <c r="SLB44" s="2845"/>
      <c r="SLC44" s="2842"/>
      <c r="SLD44" s="2842"/>
      <c r="SLE44" s="2843"/>
      <c r="SLF44" s="2843"/>
      <c r="SLG44" s="2844"/>
      <c r="SLH44" s="2845"/>
      <c r="SLI44" s="2842"/>
      <c r="SLJ44" s="2842"/>
      <c r="SLK44" s="2843"/>
      <c r="SLL44" s="2843"/>
      <c r="SLM44" s="2844"/>
      <c r="SLN44" s="2845"/>
      <c r="SLO44" s="2842"/>
      <c r="SLP44" s="2842"/>
      <c r="SLQ44" s="2843"/>
      <c r="SLR44" s="2843"/>
      <c r="SLS44" s="2844"/>
      <c r="SLT44" s="2845"/>
      <c r="SLU44" s="2842"/>
      <c r="SLV44" s="2842"/>
      <c r="SLW44" s="2843"/>
      <c r="SLX44" s="2843"/>
      <c r="SLY44" s="2844"/>
      <c r="SLZ44" s="2845"/>
      <c r="SMA44" s="2842"/>
      <c r="SMB44" s="2842"/>
      <c r="SMC44" s="2843"/>
      <c r="SMD44" s="2843"/>
      <c r="SME44" s="2844"/>
      <c r="SMF44" s="2845"/>
      <c r="SMG44" s="2842"/>
      <c r="SMH44" s="2842"/>
      <c r="SMI44" s="2843"/>
      <c r="SMJ44" s="2843"/>
      <c r="SMK44" s="2844"/>
      <c r="SML44" s="2845"/>
      <c r="SMM44" s="2842"/>
      <c r="SMN44" s="2842"/>
      <c r="SMO44" s="2843"/>
      <c r="SMP44" s="2843"/>
      <c r="SMQ44" s="2844"/>
      <c r="SMR44" s="2845"/>
      <c r="SMS44" s="2842"/>
      <c r="SMT44" s="2842"/>
      <c r="SMU44" s="2843"/>
      <c r="SMV44" s="2843"/>
      <c r="SMW44" s="2844"/>
      <c r="SMX44" s="2845"/>
      <c r="SMY44" s="2842"/>
      <c r="SMZ44" s="2842"/>
      <c r="SNA44" s="2843"/>
      <c r="SNB44" s="2843"/>
      <c r="SNC44" s="2844"/>
      <c r="SND44" s="2845"/>
      <c r="SNE44" s="2842"/>
      <c r="SNF44" s="2842"/>
      <c r="SNG44" s="2843"/>
      <c r="SNH44" s="2843"/>
      <c r="SNI44" s="2844"/>
      <c r="SNJ44" s="2845"/>
      <c r="SNK44" s="2842"/>
      <c r="SNL44" s="2842"/>
      <c r="SNM44" s="2843"/>
      <c r="SNN44" s="2843"/>
      <c r="SNO44" s="2844"/>
      <c r="SNP44" s="2845"/>
      <c r="SNQ44" s="2842"/>
      <c r="SNR44" s="2842"/>
      <c r="SNS44" s="2843"/>
      <c r="SNT44" s="2843"/>
      <c r="SNU44" s="2844"/>
      <c r="SNV44" s="2845"/>
      <c r="SNW44" s="2842"/>
      <c r="SNX44" s="2842"/>
      <c r="SNY44" s="2843"/>
      <c r="SNZ44" s="2843"/>
      <c r="SOA44" s="2844"/>
      <c r="SOB44" s="2845"/>
      <c r="SOC44" s="2842"/>
      <c r="SOD44" s="2842"/>
      <c r="SOE44" s="2843"/>
      <c r="SOF44" s="2843"/>
      <c r="SOG44" s="2844"/>
      <c r="SOH44" s="2845"/>
      <c r="SOI44" s="2842"/>
      <c r="SOJ44" s="2842"/>
      <c r="SOK44" s="2843"/>
      <c r="SOL44" s="2843"/>
      <c r="SOM44" s="2844"/>
      <c r="SON44" s="2845"/>
      <c r="SOO44" s="2842"/>
      <c r="SOP44" s="2842"/>
      <c r="SOQ44" s="2843"/>
      <c r="SOR44" s="2843"/>
      <c r="SOS44" s="2844"/>
      <c r="SOT44" s="2845"/>
      <c r="SOU44" s="2842"/>
      <c r="SOV44" s="2842"/>
      <c r="SOW44" s="2843"/>
      <c r="SOX44" s="2843"/>
      <c r="SOY44" s="2844"/>
      <c r="SOZ44" s="2845"/>
      <c r="SPA44" s="2842"/>
      <c r="SPB44" s="2842"/>
      <c r="SPC44" s="2843"/>
      <c r="SPD44" s="2843"/>
      <c r="SPE44" s="2844"/>
      <c r="SPF44" s="2845"/>
      <c r="SPG44" s="2842"/>
      <c r="SPH44" s="2842"/>
      <c r="SPI44" s="2843"/>
      <c r="SPJ44" s="2843"/>
      <c r="SPK44" s="2844"/>
      <c r="SPL44" s="2845"/>
      <c r="SPM44" s="2842"/>
      <c r="SPN44" s="2842"/>
      <c r="SPO44" s="2843"/>
      <c r="SPP44" s="2843"/>
      <c r="SPQ44" s="2844"/>
      <c r="SPR44" s="2845"/>
      <c r="SPS44" s="2842"/>
      <c r="SPT44" s="2842"/>
      <c r="SPU44" s="2843"/>
      <c r="SPV44" s="2843"/>
      <c r="SPW44" s="2844"/>
      <c r="SPX44" s="2845"/>
      <c r="SPY44" s="2842"/>
      <c r="SPZ44" s="2842"/>
      <c r="SQA44" s="2843"/>
      <c r="SQB44" s="2843"/>
      <c r="SQC44" s="2844"/>
      <c r="SQD44" s="2845"/>
      <c r="SQE44" s="2842"/>
      <c r="SQF44" s="2842"/>
      <c r="SQG44" s="2843"/>
      <c r="SQH44" s="2843"/>
      <c r="SQI44" s="2844"/>
      <c r="SQJ44" s="2845"/>
      <c r="SQK44" s="2842"/>
      <c r="SQL44" s="2842"/>
      <c r="SQM44" s="2843"/>
      <c r="SQN44" s="2843"/>
      <c r="SQO44" s="2844"/>
      <c r="SQP44" s="2845"/>
      <c r="SQQ44" s="2842"/>
      <c r="SQR44" s="2842"/>
      <c r="SQS44" s="2843"/>
      <c r="SQT44" s="2843"/>
      <c r="SQU44" s="2844"/>
      <c r="SQV44" s="2845"/>
      <c r="SQW44" s="2842"/>
      <c r="SQX44" s="2842"/>
      <c r="SQY44" s="2843"/>
      <c r="SQZ44" s="2843"/>
      <c r="SRA44" s="2844"/>
      <c r="SRB44" s="2845"/>
      <c r="SRC44" s="2842"/>
      <c r="SRD44" s="2842"/>
      <c r="SRE44" s="2843"/>
      <c r="SRF44" s="2843"/>
      <c r="SRG44" s="2844"/>
      <c r="SRH44" s="2845"/>
      <c r="SRI44" s="2842"/>
      <c r="SRJ44" s="2842"/>
      <c r="SRK44" s="2843"/>
      <c r="SRL44" s="2843"/>
      <c r="SRM44" s="2844"/>
      <c r="SRN44" s="2845"/>
      <c r="SRO44" s="2842"/>
      <c r="SRP44" s="2842"/>
      <c r="SRQ44" s="2843"/>
      <c r="SRR44" s="2843"/>
      <c r="SRS44" s="2844"/>
      <c r="SRT44" s="2845"/>
      <c r="SRU44" s="2842"/>
      <c r="SRV44" s="2842"/>
      <c r="SRW44" s="2843"/>
      <c r="SRX44" s="2843"/>
      <c r="SRY44" s="2844"/>
      <c r="SRZ44" s="2845"/>
      <c r="SSA44" s="2842"/>
      <c r="SSB44" s="2842"/>
      <c r="SSC44" s="2843"/>
      <c r="SSD44" s="2843"/>
      <c r="SSE44" s="2844"/>
      <c r="SSF44" s="2845"/>
      <c r="SSG44" s="2842"/>
      <c r="SSH44" s="2842"/>
      <c r="SSI44" s="2843"/>
      <c r="SSJ44" s="2843"/>
      <c r="SSK44" s="2844"/>
      <c r="SSL44" s="2845"/>
      <c r="SSM44" s="2842"/>
      <c r="SSN44" s="2842"/>
      <c r="SSO44" s="2843"/>
      <c r="SSP44" s="2843"/>
      <c r="SSQ44" s="2844"/>
      <c r="SSR44" s="2845"/>
      <c r="SSS44" s="2842"/>
      <c r="SST44" s="2842"/>
      <c r="SSU44" s="2843"/>
      <c r="SSV44" s="2843"/>
      <c r="SSW44" s="2844"/>
      <c r="SSX44" s="2845"/>
      <c r="SSY44" s="2842"/>
      <c r="SSZ44" s="2842"/>
      <c r="STA44" s="2843"/>
      <c r="STB44" s="2843"/>
      <c r="STC44" s="2844"/>
      <c r="STD44" s="2845"/>
      <c r="STE44" s="2842"/>
      <c r="STF44" s="2842"/>
      <c r="STG44" s="2843"/>
      <c r="STH44" s="2843"/>
      <c r="STI44" s="2844"/>
      <c r="STJ44" s="2845"/>
      <c r="STK44" s="2842"/>
      <c r="STL44" s="2842"/>
      <c r="STM44" s="2843"/>
      <c r="STN44" s="2843"/>
      <c r="STO44" s="2844"/>
      <c r="STP44" s="2845"/>
      <c r="STQ44" s="2842"/>
      <c r="STR44" s="2842"/>
      <c r="STS44" s="2843"/>
      <c r="STT44" s="2843"/>
      <c r="STU44" s="2844"/>
      <c r="STV44" s="2845"/>
      <c r="STW44" s="2842"/>
      <c r="STX44" s="2842"/>
      <c r="STY44" s="2843"/>
      <c r="STZ44" s="2843"/>
      <c r="SUA44" s="2844"/>
      <c r="SUB44" s="2845"/>
      <c r="SUC44" s="2842"/>
      <c r="SUD44" s="2842"/>
      <c r="SUE44" s="2843"/>
      <c r="SUF44" s="2843"/>
      <c r="SUG44" s="2844"/>
      <c r="SUH44" s="2845"/>
      <c r="SUI44" s="2842"/>
      <c r="SUJ44" s="2842"/>
      <c r="SUK44" s="2843"/>
      <c r="SUL44" s="2843"/>
      <c r="SUM44" s="2844"/>
      <c r="SUN44" s="2845"/>
      <c r="SUO44" s="2842"/>
      <c r="SUP44" s="2842"/>
      <c r="SUQ44" s="2843"/>
      <c r="SUR44" s="2843"/>
      <c r="SUS44" s="2844"/>
      <c r="SUT44" s="2845"/>
      <c r="SUU44" s="2842"/>
      <c r="SUV44" s="2842"/>
      <c r="SUW44" s="2843"/>
      <c r="SUX44" s="2843"/>
      <c r="SUY44" s="2844"/>
      <c r="SUZ44" s="2845"/>
      <c r="SVA44" s="2842"/>
      <c r="SVB44" s="2842"/>
      <c r="SVC44" s="2843"/>
      <c r="SVD44" s="2843"/>
      <c r="SVE44" s="2844"/>
      <c r="SVF44" s="2845"/>
      <c r="SVG44" s="2842"/>
      <c r="SVH44" s="2842"/>
      <c r="SVI44" s="2843"/>
      <c r="SVJ44" s="2843"/>
      <c r="SVK44" s="2844"/>
      <c r="SVL44" s="2845"/>
      <c r="SVM44" s="2842"/>
      <c r="SVN44" s="2842"/>
      <c r="SVO44" s="2843"/>
      <c r="SVP44" s="2843"/>
      <c r="SVQ44" s="2844"/>
      <c r="SVR44" s="2845"/>
      <c r="SVS44" s="2842"/>
      <c r="SVT44" s="2842"/>
      <c r="SVU44" s="2843"/>
      <c r="SVV44" s="2843"/>
      <c r="SVW44" s="2844"/>
      <c r="SVX44" s="2845"/>
      <c r="SVY44" s="2842"/>
      <c r="SVZ44" s="2842"/>
      <c r="SWA44" s="2843"/>
      <c r="SWB44" s="2843"/>
      <c r="SWC44" s="2844"/>
      <c r="SWD44" s="2845"/>
      <c r="SWE44" s="2842"/>
      <c r="SWF44" s="2842"/>
      <c r="SWG44" s="2843"/>
      <c r="SWH44" s="2843"/>
      <c r="SWI44" s="2844"/>
      <c r="SWJ44" s="2845"/>
      <c r="SWK44" s="2842"/>
      <c r="SWL44" s="2842"/>
      <c r="SWM44" s="2843"/>
      <c r="SWN44" s="2843"/>
      <c r="SWO44" s="2844"/>
      <c r="SWP44" s="2845"/>
      <c r="SWQ44" s="2842"/>
      <c r="SWR44" s="2842"/>
      <c r="SWS44" s="2843"/>
      <c r="SWT44" s="2843"/>
      <c r="SWU44" s="2844"/>
      <c r="SWV44" s="2845"/>
      <c r="SWW44" s="2842"/>
      <c r="SWX44" s="2842"/>
      <c r="SWY44" s="2843"/>
      <c r="SWZ44" s="2843"/>
      <c r="SXA44" s="2844"/>
      <c r="SXB44" s="2845"/>
      <c r="SXC44" s="2842"/>
      <c r="SXD44" s="2842"/>
      <c r="SXE44" s="2843"/>
      <c r="SXF44" s="2843"/>
      <c r="SXG44" s="2844"/>
      <c r="SXH44" s="2845"/>
      <c r="SXI44" s="2842"/>
      <c r="SXJ44" s="2842"/>
      <c r="SXK44" s="2843"/>
      <c r="SXL44" s="2843"/>
      <c r="SXM44" s="2844"/>
      <c r="SXN44" s="2845"/>
      <c r="SXO44" s="2842"/>
      <c r="SXP44" s="2842"/>
      <c r="SXQ44" s="2843"/>
      <c r="SXR44" s="2843"/>
      <c r="SXS44" s="2844"/>
      <c r="SXT44" s="2845"/>
      <c r="SXU44" s="2842"/>
      <c r="SXV44" s="2842"/>
      <c r="SXW44" s="2843"/>
      <c r="SXX44" s="2843"/>
      <c r="SXY44" s="2844"/>
      <c r="SXZ44" s="2845"/>
      <c r="SYA44" s="2842"/>
      <c r="SYB44" s="2842"/>
      <c r="SYC44" s="2843"/>
      <c r="SYD44" s="2843"/>
      <c r="SYE44" s="2844"/>
      <c r="SYF44" s="2845"/>
      <c r="SYG44" s="2842"/>
      <c r="SYH44" s="2842"/>
      <c r="SYI44" s="2843"/>
      <c r="SYJ44" s="2843"/>
      <c r="SYK44" s="2844"/>
      <c r="SYL44" s="2845"/>
      <c r="SYM44" s="2842"/>
      <c r="SYN44" s="2842"/>
      <c r="SYO44" s="2843"/>
      <c r="SYP44" s="2843"/>
      <c r="SYQ44" s="2844"/>
      <c r="SYR44" s="2845"/>
      <c r="SYS44" s="2842"/>
      <c r="SYT44" s="2842"/>
      <c r="SYU44" s="2843"/>
      <c r="SYV44" s="2843"/>
      <c r="SYW44" s="2844"/>
      <c r="SYX44" s="2845"/>
      <c r="SYY44" s="2842"/>
      <c r="SYZ44" s="2842"/>
      <c r="SZA44" s="2843"/>
      <c r="SZB44" s="2843"/>
      <c r="SZC44" s="2844"/>
      <c r="SZD44" s="2845"/>
      <c r="SZE44" s="2842"/>
      <c r="SZF44" s="2842"/>
      <c r="SZG44" s="2843"/>
      <c r="SZH44" s="2843"/>
      <c r="SZI44" s="2844"/>
      <c r="SZJ44" s="2845"/>
      <c r="SZK44" s="2842"/>
      <c r="SZL44" s="2842"/>
      <c r="SZM44" s="2843"/>
      <c r="SZN44" s="2843"/>
      <c r="SZO44" s="2844"/>
      <c r="SZP44" s="2845"/>
      <c r="SZQ44" s="2842"/>
      <c r="SZR44" s="2842"/>
      <c r="SZS44" s="2843"/>
      <c r="SZT44" s="2843"/>
      <c r="SZU44" s="2844"/>
      <c r="SZV44" s="2845"/>
      <c r="SZW44" s="2842"/>
      <c r="SZX44" s="2842"/>
      <c r="SZY44" s="2843"/>
      <c r="SZZ44" s="2843"/>
      <c r="TAA44" s="2844"/>
      <c r="TAB44" s="2845"/>
      <c r="TAC44" s="2842"/>
      <c r="TAD44" s="2842"/>
      <c r="TAE44" s="2843"/>
      <c r="TAF44" s="2843"/>
      <c r="TAG44" s="2844"/>
      <c r="TAH44" s="2845"/>
      <c r="TAI44" s="2842"/>
      <c r="TAJ44" s="2842"/>
      <c r="TAK44" s="2843"/>
      <c r="TAL44" s="2843"/>
      <c r="TAM44" s="2844"/>
      <c r="TAN44" s="2845"/>
      <c r="TAO44" s="2842"/>
      <c r="TAP44" s="2842"/>
      <c r="TAQ44" s="2843"/>
      <c r="TAR44" s="2843"/>
      <c r="TAS44" s="2844"/>
      <c r="TAT44" s="2845"/>
      <c r="TAU44" s="2842"/>
      <c r="TAV44" s="2842"/>
      <c r="TAW44" s="2843"/>
      <c r="TAX44" s="2843"/>
      <c r="TAY44" s="2844"/>
      <c r="TAZ44" s="2845"/>
      <c r="TBA44" s="2842"/>
      <c r="TBB44" s="2842"/>
      <c r="TBC44" s="2843"/>
      <c r="TBD44" s="2843"/>
      <c r="TBE44" s="2844"/>
      <c r="TBF44" s="2845"/>
      <c r="TBG44" s="2842"/>
      <c r="TBH44" s="2842"/>
      <c r="TBI44" s="2843"/>
      <c r="TBJ44" s="2843"/>
      <c r="TBK44" s="2844"/>
      <c r="TBL44" s="2845"/>
      <c r="TBM44" s="2842"/>
      <c r="TBN44" s="2842"/>
      <c r="TBO44" s="2843"/>
      <c r="TBP44" s="2843"/>
      <c r="TBQ44" s="2844"/>
      <c r="TBR44" s="2845"/>
      <c r="TBS44" s="2842"/>
      <c r="TBT44" s="2842"/>
      <c r="TBU44" s="2843"/>
      <c r="TBV44" s="2843"/>
      <c r="TBW44" s="2844"/>
      <c r="TBX44" s="2845"/>
      <c r="TBY44" s="2842"/>
      <c r="TBZ44" s="2842"/>
      <c r="TCA44" s="2843"/>
      <c r="TCB44" s="2843"/>
      <c r="TCC44" s="2844"/>
      <c r="TCD44" s="2845"/>
      <c r="TCE44" s="2842"/>
      <c r="TCF44" s="2842"/>
      <c r="TCG44" s="2843"/>
      <c r="TCH44" s="2843"/>
      <c r="TCI44" s="2844"/>
      <c r="TCJ44" s="2845"/>
      <c r="TCK44" s="2842"/>
      <c r="TCL44" s="2842"/>
      <c r="TCM44" s="2843"/>
      <c r="TCN44" s="2843"/>
      <c r="TCO44" s="2844"/>
      <c r="TCP44" s="2845"/>
      <c r="TCQ44" s="2842"/>
      <c r="TCR44" s="2842"/>
      <c r="TCS44" s="2843"/>
      <c r="TCT44" s="2843"/>
      <c r="TCU44" s="2844"/>
      <c r="TCV44" s="2845"/>
      <c r="TCW44" s="2842"/>
      <c r="TCX44" s="2842"/>
      <c r="TCY44" s="2843"/>
      <c r="TCZ44" s="2843"/>
      <c r="TDA44" s="2844"/>
      <c r="TDB44" s="2845"/>
      <c r="TDC44" s="2842"/>
      <c r="TDD44" s="2842"/>
      <c r="TDE44" s="2843"/>
      <c r="TDF44" s="2843"/>
      <c r="TDG44" s="2844"/>
      <c r="TDH44" s="2845"/>
      <c r="TDI44" s="2842"/>
      <c r="TDJ44" s="2842"/>
      <c r="TDK44" s="2843"/>
      <c r="TDL44" s="2843"/>
      <c r="TDM44" s="2844"/>
      <c r="TDN44" s="2845"/>
      <c r="TDO44" s="2842"/>
      <c r="TDP44" s="2842"/>
      <c r="TDQ44" s="2843"/>
      <c r="TDR44" s="2843"/>
      <c r="TDS44" s="2844"/>
      <c r="TDT44" s="2845"/>
      <c r="TDU44" s="2842"/>
      <c r="TDV44" s="2842"/>
      <c r="TDW44" s="2843"/>
      <c r="TDX44" s="2843"/>
      <c r="TDY44" s="2844"/>
      <c r="TDZ44" s="2845"/>
      <c r="TEA44" s="2842"/>
      <c r="TEB44" s="2842"/>
      <c r="TEC44" s="2843"/>
      <c r="TED44" s="2843"/>
      <c r="TEE44" s="2844"/>
      <c r="TEF44" s="2845"/>
      <c r="TEG44" s="2842"/>
      <c r="TEH44" s="2842"/>
      <c r="TEI44" s="2843"/>
      <c r="TEJ44" s="2843"/>
      <c r="TEK44" s="2844"/>
      <c r="TEL44" s="2845"/>
      <c r="TEM44" s="2842"/>
      <c r="TEN44" s="2842"/>
      <c r="TEO44" s="2843"/>
      <c r="TEP44" s="2843"/>
      <c r="TEQ44" s="2844"/>
      <c r="TER44" s="2845"/>
      <c r="TES44" s="2842"/>
      <c r="TET44" s="2842"/>
      <c r="TEU44" s="2843"/>
      <c r="TEV44" s="2843"/>
      <c r="TEW44" s="2844"/>
      <c r="TEX44" s="2845"/>
      <c r="TEY44" s="2842"/>
      <c r="TEZ44" s="2842"/>
      <c r="TFA44" s="2843"/>
      <c r="TFB44" s="2843"/>
      <c r="TFC44" s="2844"/>
      <c r="TFD44" s="2845"/>
      <c r="TFE44" s="2842"/>
      <c r="TFF44" s="2842"/>
      <c r="TFG44" s="2843"/>
      <c r="TFH44" s="2843"/>
      <c r="TFI44" s="2844"/>
      <c r="TFJ44" s="2845"/>
      <c r="TFK44" s="2842"/>
      <c r="TFL44" s="2842"/>
      <c r="TFM44" s="2843"/>
      <c r="TFN44" s="2843"/>
      <c r="TFO44" s="2844"/>
      <c r="TFP44" s="2845"/>
      <c r="TFQ44" s="2842"/>
      <c r="TFR44" s="2842"/>
      <c r="TFS44" s="2843"/>
      <c r="TFT44" s="2843"/>
      <c r="TFU44" s="2844"/>
      <c r="TFV44" s="2845"/>
      <c r="TFW44" s="2842"/>
      <c r="TFX44" s="2842"/>
      <c r="TFY44" s="2843"/>
      <c r="TFZ44" s="2843"/>
      <c r="TGA44" s="2844"/>
      <c r="TGB44" s="2845"/>
      <c r="TGC44" s="2842"/>
      <c r="TGD44" s="2842"/>
      <c r="TGE44" s="2843"/>
      <c r="TGF44" s="2843"/>
      <c r="TGG44" s="2844"/>
      <c r="TGH44" s="2845"/>
      <c r="TGI44" s="2842"/>
      <c r="TGJ44" s="2842"/>
      <c r="TGK44" s="2843"/>
      <c r="TGL44" s="2843"/>
      <c r="TGM44" s="2844"/>
      <c r="TGN44" s="2845"/>
      <c r="TGO44" s="2842"/>
      <c r="TGP44" s="2842"/>
      <c r="TGQ44" s="2843"/>
      <c r="TGR44" s="2843"/>
      <c r="TGS44" s="2844"/>
      <c r="TGT44" s="2845"/>
      <c r="TGU44" s="2842"/>
      <c r="TGV44" s="2842"/>
      <c r="TGW44" s="2843"/>
      <c r="TGX44" s="2843"/>
      <c r="TGY44" s="2844"/>
      <c r="TGZ44" s="2845"/>
      <c r="THA44" s="2842"/>
      <c r="THB44" s="2842"/>
      <c r="THC44" s="2843"/>
      <c r="THD44" s="2843"/>
      <c r="THE44" s="2844"/>
      <c r="THF44" s="2845"/>
      <c r="THG44" s="2842"/>
      <c r="THH44" s="2842"/>
      <c r="THI44" s="2843"/>
      <c r="THJ44" s="2843"/>
      <c r="THK44" s="2844"/>
      <c r="THL44" s="2845"/>
      <c r="THM44" s="2842"/>
      <c r="THN44" s="2842"/>
      <c r="THO44" s="2843"/>
      <c r="THP44" s="2843"/>
      <c r="THQ44" s="2844"/>
      <c r="THR44" s="2845"/>
      <c r="THS44" s="2842"/>
      <c r="THT44" s="2842"/>
      <c r="THU44" s="2843"/>
      <c r="THV44" s="2843"/>
      <c r="THW44" s="2844"/>
      <c r="THX44" s="2845"/>
      <c r="THY44" s="2842"/>
      <c r="THZ44" s="2842"/>
      <c r="TIA44" s="2843"/>
      <c r="TIB44" s="2843"/>
      <c r="TIC44" s="2844"/>
      <c r="TID44" s="2845"/>
      <c r="TIE44" s="2842"/>
      <c r="TIF44" s="2842"/>
      <c r="TIG44" s="2843"/>
      <c r="TIH44" s="2843"/>
      <c r="TII44" s="2844"/>
      <c r="TIJ44" s="2845"/>
      <c r="TIK44" s="2842"/>
      <c r="TIL44" s="2842"/>
      <c r="TIM44" s="2843"/>
      <c r="TIN44" s="2843"/>
      <c r="TIO44" s="2844"/>
      <c r="TIP44" s="2845"/>
      <c r="TIQ44" s="2842"/>
      <c r="TIR44" s="2842"/>
      <c r="TIS44" s="2843"/>
      <c r="TIT44" s="2843"/>
      <c r="TIU44" s="2844"/>
      <c r="TIV44" s="2845"/>
      <c r="TIW44" s="2842"/>
      <c r="TIX44" s="2842"/>
      <c r="TIY44" s="2843"/>
      <c r="TIZ44" s="2843"/>
      <c r="TJA44" s="2844"/>
      <c r="TJB44" s="2845"/>
      <c r="TJC44" s="2842"/>
      <c r="TJD44" s="2842"/>
      <c r="TJE44" s="2843"/>
      <c r="TJF44" s="2843"/>
      <c r="TJG44" s="2844"/>
      <c r="TJH44" s="2845"/>
      <c r="TJI44" s="2842"/>
      <c r="TJJ44" s="2842"/>
      <c r="TJK44" s="2843"/>
      <c r="TJL44" s="2843"/>
      <c r="TJM44" s="2844"/>
      <c r="TJN44" s="2845"/>
      <c r="TJO44" s="2842"/>
      <c r="TJP44" s="2842"/>
      <c r="TJQ44" s="2843"/>
      <c r="TJR44" s="2843"/>
      <c r="TJS44" s="2844"/>
      <c r="TJT44" s="2845"/>
      <c r="TJU44" s="2842"/>
      <c r="TJV44" s="2842"/>
      <c r="TJW44" s="2843"/>
      <c r="TJX44" s="2843"/>
      <c r="TJY44" s="2844"/>
      <c r="TJZ44" s="2845"/>
      <c r="TKA44" s="2842"/>
      <c r="TKB44" s="2842"/>
      <c r="TKC44" s="2843"/>
      <c r="TKD44" s="2843"/>
      <c r="TKE44" s="2844"/>
      <c r="TKF44" s="2845"/>
      <c r="TKG44" s="2842"/>
      <c r="TKH44" s="2842"/>
      <c r="TKI44" s="2843"/>
      <c r="TKJ44" s="2843"/>
      <c r="TKK44" s="2844"/>
      <c r="TKL44" s="2845"/>
      <c r="TKM44" s="2842"/>
      <c r="TKN44" s="2842"/>
      <c r="TKO44" s="2843"/>
      <c r="TKP44" s="2843"/>
      <c r="TKQ44" s="2844"/>
      <c r="TKR44" s="2845"/>
      <c r="TKS44" s="2842"/>
      <c r="TKT44" s="2842"/>
      <c r="TKU44" s="2843"/>
      <c r="TKV44" s="2843"/>
      <c r="TKW44" s="2844"/>
      <c r="TKX44" s="2845"/>
      <c r="TKY44" s="2842"/>
      <c r="TKZ44" s="2842"/>
      <c r="TLA44" s="2843"/>
      <c r="TLB44" s="2843"/>
      <c r="TLC44" s="2844"/>
      <c r="TLD44" s="2845"/>
      <c r="TLE44" s="2842"/>
      <c r="TLF44" s="2842"/>
      <c r="TLG44" s="2843"/>
      <c r="TLH44" s="2843"/>
      <c r="TLI44" s="2844"/>
      <c r="TLJ44" s="2845"/>
      <c r="TLK44" s="2842"/>
      <c r="TLL44" s="2842"/>
      <c r="TLM44" s="2843"/>
      <c r="TLN44" s="2843"/>
      <c r="TLO44" s="2844"/>
      <c r="TLP44" s="2845"/>
      <c r="TLQ44" s="2842"/>
      <c r="TLR44" s="2842"/>
      <c r="TLS44" s="2843"/>
      <c r="TLT44" s="2843"/>
      <c r="TLU44" s="2844"/>
      <c r="TLV44" s="2845"/>
      <c r="TLW44" s="2842"/>
      <c r="TLX44" s="2842"/>
      <c r="TLY44" s="2843"/>
      <c r="TLZ44" s="2843"/>
      <c r="TMA44" s="2844"/>
      <c r="TMB44" s="2845"/>
      <c r="TMC44" s="2842"/>
      <c r="TMD44" s="2842"/>
      <c r="TME44" s="2843"/>
      <c r="TMF44" s="2843"/>
      <c r="TMG44" s="2844"/>
      <c r="TMH44" s="2845"/>
      <c r="TMI44" s="2842"/>
      <c r="TMJ44" s="2842"/>
      <c r="TMK44" s="2843"/>
      <c r="TML44" s="2843"/>
      <c r="TMM44" s="2844"/>
      <c r="TMN44" s="2845"/>
      <c r="TMO44" s="2842"/>
      <c r="TMP44" s="2842"/>
      <c r="TMQ44" s="2843"/>
      <c r="TMR44" s="2843"/>
      <c r="TMS44" s="2844"/>
      <c r="TMT44" s="2845"/>
      <c r="TMU44" s="2842"/>
      <c r="TMV44" s="2842"/>
      <c r="TMW44" s="2843"/>
      <c r="TMX44" s="2843"/>
      <c r="TMY44" s="2844"/>
      <c r="TMZ44" s="2845"/>
      <c r="TNA44" s="2842"/>
      <c r="TNB44" s="2842"/>
      <c r="TNC44" s="2843"/>
      <c r="TND44" s="2843"/>
      <c r="TNE44" s="2844"/>
      <c r="TNF44" s="2845"/>
      <c r="TNG44" s="2842"/>
      <c r="TNH44" s="2842"/>
      <c r="TNI44" s="2843"/>
      <c r="TNJ44" s="2843"/>
      <c r="TNK44" s="2844"/>
      <c r="TNL44" s="2845"/>
      <c r="TNM44" s="2842"/>
      <c r="TNN44" s="2842"/>
      <c r="TNO44" s="2843"/>
      <c r="TNP44" s="2843"/>
      <c r="TNQ44" s="2844"/>
      <c r="TNR44" s="2845"/>
      <c r="TNS44" s="2842"/>
      <c r="TNT44" s="2842"/>
      <c r="TNU44" s="2843"/>
      <c r="TNV44" s="2843"/>
      <c r="TNW44" s="2844"/>
      <c r="TNX44" s="2845"/>
      <c r="TNY44" s="2842"/>
      <c r="TNZ44" s="2842"/>
      <c r="TOA44" s="2843"/>
      <c r="TOB44" s="2843"/>
      <c r="TOC44" s="2844"/>
      <c r="TOD44" s="2845"/>
      <c r="TOE44" s="2842"/>
      <c r="TOF44" s="2842"/>
      <c r="TOG44" s="2843"/>
      <c r="TOH44" s="2843"/>
      <c r="TOI44" s="2844"/>
      <c r="TOJ44" s="2845"/>
      <c r="TOK44" s="2842"/>
      <c r="TOL44" s="2842"/>
      <c r="TOM44" s="2843"/>
      <c r="TON44" s="2843"/>
      <c r="TOO44" s="2844"/>
      <c r="TOP44" s="2845"/>
      <c r="TOQ44" s="2842"/>
      <c r="TOR44" s="2842"/>
      <c r="TOS44" s="2843"/>
      <c r="TOT44" s="2843"/>
      <c r="TOU44" s="2844"/>
      <c r="TOV44" s="2845"/>
      <c r="TOW44" s="2842"/>
      <c r="TOX44" s="2842"/>
      <c r="TOY44" s="2843"/>
      <c r="TOZ44" s="2843"/>
      <c r="TPA44" s="2844"/>
      <c r="TPB44" s="2845"/>
      <c r="TPC44" s="2842"/>
      <c r="TPD44" s="2842"/>
      <c r="TPE44" s="2843"/>
      <c r="TPF44" s="2843"/>
      <c r="TPG44" s="2844"/>
      <c r="TPH44" s="2845"/>
      <c r="TPI44" s="2842"/>
      <c r="TPJ44" s="2842"/>
      <c r="TPK44" s="2843"/>
      <c r="TPL44" s="2843"/>
      <c r="TPM44" s="2844"/>
      <c r="TPN44" s="2845"/>
      <c r="TPO44" s="2842"/>
      <c r="TPP44" s="2842"/>
      <c r="TPQ44" s="2843"/>
      <c r="TPR44" s="2843"/>
      <c r="TPS44" s="2844"/>
      <c r="TPT44" s="2845"/>
      <c r="TPU44" s="2842"/>
      <c r="TPV44" s="2842"/>
      <c r="TPW44" s="2843"/>
      <c r="TPX44" s="2843"/>
      <c r="TPY44" s="2844"/>
      <c r="TPZ44" s="2845"/>
      <c r="TQA44" s="2842"/>
      <c r="TQB44" s="2842"/>
      <c r="TQC44" s="2843"/>
      <c r="TQD44" s="2843"/>
      <c r="TQE44" s="2844"/>
      <c r="TQF44" s="2845"/>
      <c r="TQG44" s="2842"/>
      <c r="TQH44" s="2842"/>
      <c r="TQI44" s="2843"/>
      <c r="TQJ44" s="2843"/>
      <c r="TQK44" s="2844"/>
      <c r="TQL44" s="2845"/>
      <c r="TQM44" s="2842"/>
      <c r="TQN44" s="2842"/>
      <c r="TQO44" s="2843"/>
      <c r="TQP44" s="2843"/>
      <c r="TQQ44" s="2844"/>
      <c r="TQR44" s="2845"/>
      <c r="TQS44" s="2842"/>
      <c r="TQT44" s="2842"/>
      <c r="TQU44" s="2843"/>
      <c r="TQV44" s="2843"/>
      <c r="TQW44" s="2844"/>
      <c r="TQX44" s="2845"/>
      <c r="TQY44" s="2842"/>
      <c r="TQZ44" s="2842"/>
      <c r="TRA44" s="2843"/>
      <c r="TRB44" s="2843"/>
      <c r="TRC44" s="2844"/>
      <c r="TRD44" s="2845"/>
      <c r="TRE44" s="2842"/>
      <c r="TRF44" s="2842"/>
      <c r="TRG44" s="2843"/>
      <c r="TRH44" s="2843"/>
      <c r="TRI44" s="2844"/>
      <c r="TRJ44" s="2845"/>
      <c r="TRK44" s="2842"/>
      <c r="TRL44" s="2842"/>
      <c r="TRM44" s="2843"/>
      <c r="TRN44" s="2843"/>
      <c r="TRO44" s="2844"/>
      <c r="TRP44" s="2845"/>
      <c r="TRQ44" s="2842"/>
      <c r="TRR44" s="2842"/>
      <c r="TRS44" s="2843"/>
      <c r="TRT44" s="2843"/>
      <c r="TRU44" s="2844"/>
      <c r="TRV44" s="2845"/>
      <c r="TRW44" s="2842"/>
      <c r="TRX44" s="2842"/>
      <c r="TRY44" s="2843"/>
      <c r="TRZ44" s="2843"/>
      <c r="TSA44" s="2844"/>
      <c r="TSB44" s="2845"/>
      <c r="TSC44" s="2842"/>
      <c r="TSD44" s="2842"/>
      <c r="TSE44" s="2843"/>
      <c r="TSF44" s="2843"/>
      <c r="TSG44" s="2844"/>
      <c r="TSH44" s="2845"/>
      <c r="TSI44" s="2842"/>
      <c r="TSJ44" s="2842"/>
      <c r="TSK44" s="2843"/>
      <c r="TSL44" s="2843"/>
      <c r="TSM44" s="2844"/>
      <c r="TSN44" s="2845"/>
      <c r="TSO44" s="2842"/>
      <c r="TSP44" s="2842"/>
      <c r="TSQ44" s="2843"/>
      <c r="TSR44" s="2843"/>
      <c r="TSS44" s="2844"/>
      <c r="TST44" s="2845"/>
      <c r="TSU44" s="2842"/>
      <c r="TSV44" s="2842"/>
      <c r="TSW44" s="2843"/>
      <c r="TSX44" s="2843"/>
      <c r="TSY44" s="2844"/>
      <c r="TSZ44" s="2845"/>
      <c r="TTA44" s="2842"/>
      <c r="TTB44" s="2842"/>
      <c r="TTC44" s="2843"/>
      <c r="TTD44" s="2843"/>
      <c r="TTE44" s="2844"/>
      <c r="TTF44" s="2845"/>
      <c r="TTG44" s="2842"/>
      <c r="TTH44" s="2842"/>
      <c r="TTI44" s="2843"/>
      <c r="TTJ44" s="2843"/>
      <c r="TTK44" s="2844"/>
      <c r="TTL44" s="2845"/>
      <c r="TTM44" s="2842"/>
      <c r="TTN44" s="2842"/>
      <c r="TTO44" s="2843"/>
      <c r="TTP44" s="2843"/>
      <c r="TTQ44" s="2844"/>
      <c r="TTR44" s="2845"/>
      <c r="TTS44" s="2842"/>
      <c r="TTT44" s="2842"/>
      <c r="TTU44" s="2843"/>
      <c r="TTV44" s="2843"/>
      <c r="TTW44" s="2844"/>
      <c r="TTX44" s="2845"/>
      <c r="TTY44" s="2842"/>
      <c r="TTZ44" s="2842"/>
      <c r="TUA44" s="2843"/>
      <c r="TUB44" s="2843"/>
      <c r="TUC44" s="2844"/>
      <c r="TUD44" s="2845"/>
      <c r="TUE44" s="2842"/>
      <c r="TUF44" s="2842"/>
      <c r="TUG44" s="2843"/>
      <c r="TUH44" s="2843"/>
      <c r="TUI44" s="2844"/>
      <c r="TUJ44" s="2845"/>
      <c r="TUK44" s="2842"/>
      <c r="TUL44" s="2842"/>
      <c r="TUM44" s="2843"/>
      <c r="TUN44" s="2843"/>
      <c r="TUO44" s="2844"/>
      <c r="TUP44" s="2845"/>
      <c r="TUQ44" s="2842"/>
      <c r="TUR44" s="2842"/>
      <c r="TUS44" s="2843"/>
      <c r="TUT44" s="2843"/>
      <c r="TUU44" s="2844"/>
      <c r="TUV44" s="2845"/>
      <c r="TUW44" s="2842"/>
      <c r="TUX44" s="2842"/>
      <c r="TUY44" s="2843"/>
      <c r="TUZ44" s="2843"/>
      <c r="TVA44" s="2844"/>
      <c r="TVB44" s="2845"/>
      <c r="TVC44" s="2842"/>
      <c r="TVD44" s="2842"/>
      <c r="TVE44" s="2843"/>
      <c r="TVF44" s="2843"/>
      <c r="TVG44" s="2844"/>
      <c r="TVH44" s="2845"/>
      <c r="TVI44" s="2842"/>
      <c r="TVJ44" s="2842"/>
      <c r="TVK44" s="2843"/>
      <c r="TVL44" s="2843"/>
      <c r="TVM44" s="2844"/>
      <c r="TVN44" s="2845"/>
      <c r="TVO44" s="2842"/>
      <c r="TVP44" s="2842"/>
      <c r="TVQ44" s="2843"/>
      <c r="TVR44" s="2843"/>
      <c r="TVS44" s="2844"/>
      <c r="TVT44" s="2845"/>
      <c r="TVU44" s="2842"/>
      <c r="TVV44" s="2842"/>
      <c r="TVW44" s="2843"/>
      <c r="TVX44" s="2843"/>
      <c r="TVY44" s="2844"/>
      <c r="TVZ44" s="2845"/>
      <c r="TWA44" s="2842"/>
      <c r="TWB44" s="2842"/>
      <c r="TWC44" s="2843"/>
      <c r="TWD44" s="2843"/>
      <c r="TWE44" s="2844"/>
      <c r="TWF44" s="2845"/>
      <c r="TWG44" s="2842"/>
      <c r="TWH44" s="2842"/>
      <c r="TWI44" s="2843"/>
      <c r="TWJ44" s="2843"/>
      <c r="TWK44" s="2844"/>
      <c r="TWL44" s="2845"/>
      <c r="TWM44" s="2842"/>
      <c r="TWN44" s="2842"/>
      <c r="TWO44" s="2843"/>
      <c r="TWP44" s="2843"/>
      <c r="TWQ44" s="2844"/>
      <c r="TWR44" s="2845"/>
      <c r="TWS44" s="2842"/>
      <c r="TWT44" s="2842"/>
      <c r="TWU44" s="2843"/>
      <c r="TWV44" s="2843"/>
      <c r="TWW44" s="2844"/>
      <c r="TWX44" s="2845"/>
      <c r="TWY44" s="2842"/>
      <c r="TWZ44" s="2842"/>
      <c r="TXA44" s="2843"/>
      <c r="TXB44" s="2843"/>
      <c r="TXC44" s="2844"/>
      <c r="TXD44" s="2845"/>
      <c r="TXE44" s="2842"/>
      <c r="TXF44" s="2842"/>
      <c r="TXG44" s="2843"/>
      <c r="TXH44" s="2843"/>
      <c r="TXI44" s="2844"/>
      <c r="TXJ44" s="2845"/>
      <c r="TXK44" s="2842"/>
      <c r="TXL44" s="2842"/>
      <c r="TXM44" s="2843"/>
      <c r="TXN44" s="2843"/>
      <c r="TXO44" s="2844"/>
      <c r="TXP44" s="2845"/>
      <c r="TXQ44" s="2842"/>
      <c r="TXR44" s="2842"/>
      <c r="TXS44" s="2843"/>
      <c r="TXT44" s="2843"/>
      <c r="TXU44" s="2844"/>
      <c r="TXV44" s="2845"/>
      <c r="TXW44" s="2842"/>
      <c r="TXX44" s="2842"/>
      <c r="TXY44" s="2843"/>
      <c r="TXZ44" s="2843"/>
      <c r="TYA44" s="2844"/>
      <c r="TYB44" s="2845"/>
      <c r="TYC44" s="2842"/>
      <c r="TYD44" s="2842"/>
      <c r="TYE44" s="2843"/>
      <c r="TYF44" s="2843"/>
      <c r="TYG44" s="2844"/>
      <c r="TYH44" s="2845"/>
      <c r="TYI44" s="2842"/>
      <c r="TYJ44" s="2842"/>
      <c r="TYK44" s="2843"/>
      <c r="TYL44" s="2843"/>
      <c r="TYM44" s="2844"/>
      <c r="TYN44" s="2845"/>
      <c r="TYO44" s="2842"/>
      <c r="TYP44" s="2842"/>
      <c r="TYQ44" s="2843"/>
      <c r="TYR44" s="2843"/>
      <c r="TYS44" s="2844"/>
      <c r="TYT44" s="2845"/>
      <c r="TYU44" s="2842"/>
      <c r="TYV44" s="2842"/>
      <c r="TYW44" s="2843"/>
      <c r="TYX44" s="2843"/>
      <c r="TYY44" s="2844"/>
      <c r="TYZ44" s="2845"/>
      <c r="TZA44" s="2842"/>
      <c r="TZB44" s="2842"/>
      <c r="TZC44" s="2843"/>
      <c r="TZD44" s="2843"/>
      <c r="TZE44" s="2844"/>
      <c r="TZF44" s="2845"/>
      <c r="TZG44" s="2842"/>
      <c r="TZH44" s="2842"/>
      <c r="TZI44" s="2843"/>
      <c r="TZJ44" s="2843"/>
      <c r="TZK44" s="2844"/>
      <c r="TZL44" s="2845"/>
      <c r="TZM44" s="2842"/>
      <c r="TZN44" s="2842"/>
      <c r="TZO44" s="2843"/>
      <c r="TZP44" s="2843"/>
      <c r="TZQ44" s="2844"/>
      <c r="TZR44" s="2845"/>
      <c r="TZS44" s="2842"/>
      <c r="TZT44" s="2842"/>
      <c r="TZU44" s="2843"/>
      <c r="TZV44" s="2843"/>
      <c r="TZW44" s="2844"/>
      <c r="TZX44" s="2845"/>
      <c r="TZY44" s="2842"/>
      <c r="TZZ44" s="2842"/>
      <c r="UAA44" s="2843"/>
      <c r="UAB44" s="2843"/>
      <c r="UAC44" s="2844"/>
      <c r="UAD44" s="2845"/>
      <c r="UAE44" s="2842"/>
      <c r="UAF44" s="2842"/>
      <c r="UAG44" s="2843"/>
      <c r="UAH44" s="2843"/>
      <c r="UAI44" s="2844"/>
      <c r="UAJ44" s="2845"/>
      <c r="UAK44" s="2842"/>
      <c r="UAL44" s="2842"/>
      <c r="UAM44" s="2843"/>
      <c r="UAN44" s="2843"/>
      <c r="UAO44" s="2844"/>
      <c r="UAP44" s="2845"/>
      <c r="UAQ44" s="2842"/>
      <c r="UAR44" s="2842"/>
      <c r="UAS44" s="2843"/>
      <c r="UAT44" s="2843"/>
      <c r="UAU44" s="2844"/>
      <c r="UAV44" s="2845"/>
      <c r="UAW44" s="2842"/>
      <c r="UAX44" s="2842"/>
      <c r="UAY44" s="2843"/>
      <c r="UAZ44" s="2843"/>
      <c r="UBA44" s="2844"/>
      <c r="UBB44" s="2845"/>
      <c r="UBC44" s="2842"/>
      <c r="UBD44" s="2842"/>
      <c r="UBE44" s="2843"/>
      <c r="UBF44" s="2843"/>
      <c r="UBG44" s="2844"/>
      <c r="UBH44" s="2845"/>
      <c r="UBI44" s="2842"/>
      <c r="UBJ44" s="2842"/>
      <c r="UBK44" s="2843"/>
      <c r="UBL44" s="2843"/>
      <c r="UBM44" s="2844"/>
      <c r="UBN44" s="2845"/>
      <c r="UBO44" s="2842"/>
      <c r="UBP44" s="2842"/>
      <c r="UBQ44" s="2843"/>
      <c r="UBR44" s="2843"/>
      <c r="UBS44" s="2844"/>
      <c r="UBT44" s="2845"/>
      <c r="UBU44" s="2842"/>
      <c r="UBV44" s="2842"/>
      <c r="UBW44" s="2843"/>
      <c r="UBX44" s="2843"/>
      <c r="UBY44" s="2844"/>
      <c r="UBZ44" s="2845"/>
      <c r="UCA44" s="2842"/>
      <c r="UCB44" s="2842"/>
      <c r="UCC44" s="2843"/>
      <c r="UCD44" s="2843"/>
      <c r="UCE44" s="2844"/>
      <c r="UCF44" s="2845"/>
      <c r="UCG44" s="2842"/>
      <c r="UCH44" s="2842"/>
      <c r="UCI44" s="2843"/>
      <c r="UCJ44" s="2843"/>
      <c r="UCK44" s="2844"/>
      <c r="UCL44" s="2845"/>
      <c r="UCM44" s="2842"/>
      <c r="UCN44" s="2842"/>
      <c r="UCO44" s="2843"/>
      <c r="UCP44" s="2843"/>
      <c r="UCQ44" s="2844"/>
      <c r="UCR44" s="2845"/>
      <c r="UCS44" s="2842"/>
      <c r="UCT44" s="2842"/>
      <c r="UCU44" s="2843"/>
      <c r="UCV44" s="2843"/>
      <c r="UCW44" s="2844"/>
      <c r="UCX44" s="2845"/>
      <c r="UCY44" s="2842"/>
      <c r="UCZ44" s="2842"/>
      <c r="UDA44" s="2843"/>
      <c r="UDB44" s="2843"/>
      <c r="UDC44" s="2844"/>
      <c r="UDD44" s="2845"/>
      <c r="UDE44" s="2842"/>
      <c r="UDF44" s="2842"/>
      <c r="UDG44" s="2843"/>
      <c r="UDH44" s="2843"/>
      <c r="UDI44" s="2844"/>
      <c r="UDJ44" s="2845"/>
      <c r="UDK44" s="2842"/>
      <c r="UDL44" s="2842"/>
      <c r="UDM44" s="2843"/>
      <c r="UDN44" s="2843"/>
      <c r="UDO44" s="2844"/>
      <c r="UDP44" s="2845"/>
      <c r="UDQ44" s="2842"/>
      <c r="UDR44" s="2842"/>
      <c r="UDS44" s="2843"/>
      <c r="UDT44" s="2843"/>
      <c r="UDU44" s="2844"/>
      <c r="UDV44" s="2845"/>
      <c r="UDW44" s="2842"/>
      <c r="UDX44" s="2842"/>
      <c r="UDY44" s="2843"/>
      <c r="UDZ44" s="2843"/>
      <c r="UEA44" s="2844"/>
      <c r="UEB44" s="2845"/>
      <c r="UEC44" s="2842"/>
      <c r="UED44" s="2842"/>
      <c r="UEE44" s="2843"/>
      <c r="UEF44" s="2843"/>
      <c r="UEG44" s="2844"/>
      <c r="UEH44" s="2845"/>
      <c r="UEI44" s="2842"/>
      <c r="UEJ44" s="2842"/>
      <c r="UEK44" s="2843"/>
      <c r="UEL44" s="2843"/>
      <c r="UEM44" s="2844"/>
      <c r="UEN44" s="2845"/>
      <c r="UEO44" s="2842"/>
      <c r="UEP44" s="2842"/>
      <c r="UEQ44" s="2843"/>
      <c r="UER44" s="2843"/>
      <c r="UES44" s="2844"/>
      <c r="UET44" s="2845"/>
      <c r="UEU44" s="2842"/>
      <c r="UEV44" s="2842"/>
      <c r="UEW44" s="2843"/>
      <c r="UEX44" s="2843"/>
      <c r="UEY44" s="2844"/>
      <c r="UEZ44" s="2845"/>
      <c r="UFA44" s="2842"/>
      <c r="UFB44" s="2842"/>
      <c r="UFC44" s="2843"/>
      <c r="UFD44" s="2843"/>
      <c r="UFE44" s="2844"/>
      <c r="UFF44" s="2845"/>
      <c r="UFG44" s="2842"/>
      <c r="UFH44" s="2842"/>
      <c r="UFI44" s="2843"/>
      <c r="UFJ44" s="2843"/>
      <c r="UFK44" s="2844"/>
      <c r="UFL44" s="2845"/>
      <c r="UFM44" s="2842"/>
      <c r="UFN44" s="2842"/>
      <c r="UFO44" s="2843"/>
      <c r="UFP44" s="2843"/>
      <c r="UFQ44" s="2844"/>
      <c r="UFR44" s="2845"/>
      <c r="UFS44" s="2842"/>
      <c r="UFT44" s="2842"/>
      <c r="UFU44" s="2843"/>
      <c r="UFV44" s="2843"/>
      <c r="UFW44" s="2844"/>
      <c r="UFX44" s="2845"/>
      <c r="UFY44" s="2842"/>
      <c r="UFZ44" s="2842"/>
      <c r="UGA44" s="2843"/>
      <c r="UGB44" s="2843"/>
      <c r="UGC44" s="2844"/>
      <c r="UGD44" s="2845"/>
      <c r="UGE44" s="2842"/>
      <c r="UGF44" s="2842"/>
      <c r="UGG44" s="2843"/>
      <c r="UGH44" s="2843"/>
      <c r="UGI44" s="2844"/>
      <c r="UGJ44" s="2845"/>
      <c r="UGK44" s="2842"/>
      <c r="UGL44" s="2842"/>
      <c r="UGM44" s="2843"/>
      <c r="UGN44" s="2843"/>
      <c r="UGO44" s="2844"/>
      <c r="UGP44" s="2845"/>
      <c r="UGQ44" s="2842"/>
      <c r="UGR44" s="2842"/>
      <c r="UGS44" s="2843"/>
      <c r="UGT44" s="2843"/>
      <c r="UGU44" s="2844"/>
      <c r="UGV44" s="2845"/>
      <c r="UGW44" s="2842"/>
      <c r="UGX44" s="2842"/>
      <c r="UGY44" s="2843"/>
      <c r="UGZ44" s="2843"/>
      <c r="UHA44" s="2844"/>
      <c r="UHB44" s="2845"/>
      <c r="UHC44" s="2842"/>
      <c r="UHD44" s="2842"/>
      <c r="UHE44" s="2843"/>
      <c r="UHF44" s="2843"/>
      <c r="UHG44" s="2844"/>
      <c r="UHH44" s="2845"/>
      <c r="UHI44" s="2842"/>
      <c r="UHJ44" s="2842"/>
      <c r="UHK44" s="2843"/>
      <c r="UHL44" s="2843"/>
      <c r="UHM44" s="2844"/>
      <c r="UHN44" s="2845"/>
      <c r="UHO44" s="2842"/>
      <c r="UHP44" s="2842"/>
      <c r="UHQ44" s="2843"/>
      <c r="UHR44" s="2843"/>
      <c r="UHS44" s="2844"/>
      <c r="UHT44" s="2845"/>
      <c r="UHU44" s="2842"/>
      <c r="UHV44" s="2842"/>
      <c r="UHW44" s="2843"/>
      <c r="UHX44" s="2843"/>
      <c r="UHY44" s="2844"/>
      <c r="UHZ44" s="2845"/>
      <c r="UIA44" s="2842"/>
      <c r="UIB44" s="2842"/>
      <c r="UIC44" s="2843"/>
      <c r="UID44" s="2843"/>
      <c r="UIE44" s="2844"/>
      <c r="UIF44" s="2845"/>
      <c r="UIG44" s="2842"/>
      <c r="UIH44" s="2842"/>
      <c r="UII44" s="2843"/>
      <c r="UIJ44" s="2843"/>
      <c r="UIK44" s="2844"/>
      <c r="UIL44" s="2845"/>
      <c r="UIM44" s="2842"/>
      <c r="UIN44" s="2842"/>
      <c r="UIO44" s="2843"/>
      <c r="UIP44" s="2843"/>
      <c r="UIQ44" s="2844"/>
      <c r="UIR44" s="2845"/>
      <c r="UIS44" s="2842"/>
      <c r="UIT44" s="2842"/>
      <c r="UIU44" s="2843"/>
      <c r="UIV44" s="2843"/>
      <c r="UIW44" s="2844"/>
      <c r="UIX44" s="2845"/>
      <c r="UIY44" s="2842"/>
      <c r="UIZ44" s="2842"/>
      <c r="UJA44" s="2843"/>
      <c r="UJB44" s="2843"/>
      <c r="UJC44" s="2844"/>
      <c r="UJD44" s="2845"/>
      <c r="UJE44" s="2842"/>
      <c r="UJF44" s="2842"/>
      <c r="UJG44" s="2843"/>
      <c r="UJH44" s="2843"/>
      <c r="UJI44" s="2844"/>
      <c r="UJJ44" s="2845"/>
      <c r="UJK44" s="2842"/>
      <c r="UJL44" s="2842"/>
      <c r="UJM44" s="2843"/>
      <c r="UJN44" s="2843"/>
      <c r="UJO44" s="2844"/>
      <c r="UJP44" s="2845"/>
      <c r="UJQ44" s="2842"/>
      <c r="UJR44" s="2842"/>
      <c r="UJS44" s="2843"/>
      <c r="UJT44" s="2843"/>
      <c r="UJU44" s="2844"/>
      <c r="UJV44" s="2845"/>
      <c r="UJW44" s="2842"/>
      <c r="UJX44" s="2842"/>
      <c r="UJY44" s="2843"/>
      <c r="UJZ44" s="2843"/>
      <c r="UKA44" s="2844"/>
      <c r="UKB44" s="2845"/>
      <c r="UKC44" s="2842"/>
      <c r="UKD44" s="2842"/>
      <c r="UKE44" s="2843"/>
      <c r="UKF44" s="2843"/>
      <c r="UKG44" s="2844"/>
      <c r="UKH44" s="2845"/>
      <c r="UKI44" s="2842"/>
      <c r="UKJ44" s="2842"/>
      <c r="UKK44" s="2843"/>
      <c r="UKL44" s="2843"/>
      <c r="UKM44" s="2844"/>
      <c r="UKN44" s="2845"/>
      <c r="UKO44" s="2842"/>
      <c r="UKP44" s="2842"/>
      <c r="UKQ44" s="2843"/>
      <c r="UKR44" s="2843"/>
      <c r="UKS44" s="2844"/>
      <c r="UKT44" s="2845"/>
      <c r="UKU44" s="2842"/>
      <c r="UKV44" s="2842"/>
      <c r="UKW44" s="2843"/>
      <c r="UKX44" s="2843"/>
      <c r="UKY44" s="2844"/>
      <c r="UKZ44" s="2845"/>
      <c r="ULA44" s="2842"/>
      <c r="ULB44" s="2842"/>
      <c r="ULC44" s="2843"/>
      <c r="ULD44" s="2843"/>
      <c r="ULE44" s="2844"/>
      <c r="ULF44" s="2845"/>
      <c r="ULG44" s="2842"/>
      <c r="ULH44" s="2842"/>
      <c r="ULI44" s="2843"/>
      <c r="ULJ44" s="2843"/>
      <c r="ULK44" s="2844"/>
      <c r="ULL44" s="2845"/>
      <c r="ULM44" s="2842"/>
      <c r="ULN44" s="2842"/>
      <c r="ULO44" s="2843"/>
      <c r="ULP44" s="2843"/>
      <c r="ULQ44" s="2844"/>
      <c r="ULR44" s="2845"/>
      <c r="ULS44" s="2842"/>
      <c r="ULT44" s="2842"/>
      <c r="ULU44" s="2843"/>
      <c r="ULV44" s="2843"/>
      <c r="ULW44" s="2844"/>
      <c r="ULX44" s="2845"/>
      <c r="ULY44" s="2842"/>
      <c r="ULZ44" s="2842"/>
      <c r="UMA44" s="2843"/>
      <c r="UMB44" s="2843"/>
      <c r="UMC44" s="2844"/>
      <c r="UMD44" s="2845"/>
      <c r="UME44" s="2842"/>
      <c r="UMF44" s="2842"/>
      <c r="UMG44" s="2843"/>
      <c r="UMH44" s="2843"/>
      <c r="UMI44" s="2844"/>
      <c r="UMJ44" s="2845"/>
      <c r="UMK44" s="2842"/>
      <c r="UML44" s="2842"/>
      <c r="UMM44" s="2843"/>
      <c r="UMN44" s="2843"/>
      <c r="UMO44" s="2844"/>
      <c r="UMP44" s="2845"/>
      <c r="UMQ44" s="2842"/>
      <c r="UMR44" s="2842"/>
      <c r="UMS44" s="2843"/>
      <c r="UMT44" s="2843"/>
      <c r="UMU44" s="2844"/>
      <c r="UMV44" s="2845"/>
      <c r="UMW44" s="2842"/>
      <c r="UMX44" s="2842"/>
      <c r="UMY44" s="2843"/>
      <c r="UMZ44" s="2843"/>
      <c r="UNA44" s="2844"/>
      <c r="UNB44" s="2845"/>
      <c r="UNC44" s="2842"/>
      <c r="UND44" s="2842"/>
      <c r="UNE44" s="2843"/>
      <c r="UNF44" s="2843"/>
      <c r="UNG44" s="2844"/>
      <c r="UNH44" s="2845"/>
      <c r="UNI44" s="2842"/>
      <c r="UNJ44" s="2842"/>
      <c r="UNK44" s="2843"/>
      <c r="UNL44" s="2843"/>
      <c r="UNM44" s="2844"/>
      <c r="UNN44" s="2845"/>
      <c r="UNO44" s="2842"/>
      <c r="UNP44" s="2842"/>
      <c r="UNQ44" s="2843"/>
      <c r="UNR44" s="2843"/>
      <c r="UNS44" s="2844"/>
      <c r="UNT44" s="2845"/>
      <c r="UNU44" s="2842"/>
      <c r="UNV44" s="2842"/>
      <c r="UNW44" s="2843"/>
      <c r="UNX44" s="2843"/>
      <c r="UNY44" s="2844"/>
      <c r="UNZ44" s="2845"/>
      <c r="UOA44" s="2842"/>
      <c r="UOB44" s="2842"/>
      <c r="UOC44" s="2843"/>
      <c r="UOD44" s="2843"/>
      <c r="UOE44" s="2844"/>
      <c r="UOF44" s="2845"/>
      <c r="UOG44" s="2842"/>
      <c r="UOH44" s="2842"/>
      <c r="UOI44" s="2843"/>
      <c r="UOJ44" s="2843"/>
      <c r="UOK44" s="2844"/>
      <c r="UOL44" s="2845"/>
      <c r="UOM44" s="2842"/>
      <c r="UON44" s="2842"/>
      <c r="UOO44" s="2843"/>
      <c r="UOP44" s="2843"/>
      <c r="UOQ44" s="2844"/>
      <c r="UOR44" s="2845"/>
      <c r="UOS44" s="2842"/>
      <c r="UOT44" s="2842"/>
      <c r="UOU44" s="2843"/>
      <c r="UOV44" s="2843"/>
      <c r="UOW44" s="2844"/>
      <c r="UOX44" s="2845"/>
      <c r="UOY44" s="2842"/>
      <c r="UOZ44" s="2842"/>
      <c r="UPA44" s="2843"/>
      <c r="UPB44" s="2843"/>
      <c r="UPC44" s="2844"/>
      <c r="UPD44" s="2845"/>
      <c r="UPE44" s="2842"/>
      <c r="UPF44" s="2842"/>
      <c r="UPG44" s="2843"/>
      <c r="UPH44" s="2843"/>
      <c r="UPI44" s="2844"/>
      <c r="UPJ44" s="2845"/>
      <c r="UPK44" s="2842"/>
      <c r="UPL44" s="2842"/>
      <c r="UPM44" s="2843"/>
      <c r="UPN44" s="2843"/>
      <c r="UPO44" s="2844"/>
      <c r="UPP44" s="2845"/>
      <c r="UPQ44" s="2842"/>
      <c r="UPR44" s="2842"/>
      <c r="UPS44" s="2843"/>
      <c r="UPT44" s="2843"/>
      <c r="UPU44" s="2844"/>
      <c r="UPV44" s="2845"/>
      <c r="UPW44" s="2842"/>
      <c r="UPX44" s="2842"/>
      <c r="UPY44" s="2843"/>
      <c r="UPZ44" s="2843"/>
      <c r="UQA44" s="2844"/>
      <c r="UQB44" s="2845"/>
      <c r="UQC44" s="2842"/>
      <c r="UQD44" s="2842"/>
      <c r="UQE44" s="2843"/>
      <c r="UQF44" s="2843"/>
      <c r="UQG44" s="2844"/>
      <c r="UQH44" s="2845"/>
      <c r="UQI44" s="2842"/>
      <c r="UQJ44" s="2842"/>
      <c r="UQK44" s="2843"/>
      <c r="UQL44" s="2843"/>
      <c r="UQM44" s="2844"/>
      <c r="UQN44" s="2845"/>
      <c r="UQO44" s="2842"/>
      <c r="UQP44" s="2842"/>
      <c r="UQQ44" s="2843"/>
      <c r="UQR44" s="2843"/>
      <c r="UQS44" s="2844"/>
      <c r="UQT44" s="2845"/>
      <c r="UQU44" s="2842"/>
      <c r="UQV44" s="2842"/>
      <c r="UQW44" s="2843"/>
      <c r="UQX44" s="2843"/>
      <c r="UQY44" s="2844"/>
      <c r="UQZ44" s="2845"/>
      <c r="URA44" s="2842"/>
      <c r="URB44" s="2842"/>
      <c r="URC44" s="2843"/>
      <c r="URD44" s="2843"/>
      <c r="URE44" s="2844"/>
      <c r="URF44" s="2845"/>
      <c r="URG44" s="2842"/>
      <c r="URH44" s="2842"/>
      <c r="URI44" s="2843"/>
      <c r="URJ44" s="2843"/>
      <c r="URK44" s="2844"/>
      <c r="URL44" s="2845"/>
      <c r="URM44" s="2842"/>
      <c r="URN44" s="2842"/>
      <c r="URO44" s="2843"/>
      <c r="URP44" s="2843"/>
      <c r="URQ44" s="2844"/>
      <c r="URR44" s="2845"/>
      <c r="URS44" s="2842"/>
      <c r="URT44" s="2842"/>
      <c r="URU44" s="2843"/>
      <c r="URV44" s="2843"/>
      <c r="URW44" s="2844"/>
      <c r="URX44" s="2845"/>
      <c r="URY44" s="2842"/>
      <c r="URZ44" s="2842"/>
      <c r="USA44" s="2843"/>
      <c r="USB44" s="2843"/>
      <c r="USC44" s="2844"/>
      <c r="USD44" s="2845"/>
      <c r="USE44" s="2842"/>
      <c r="USF44" s="2842"/>
      <c r="USG44" s="2843"/>
      <c r="USH44" s="2843"/>
      <c r="USI44" s="2844"/>
      <c r="USJ44" s="2845"/>
      <c r="USK44" s="2842"/>
      <c r="USL44" s="2842"/>
      <c r="USM44" s="2843"/>
      <c r="USN44" s="2843"/>
      <c r="USO44" s="2844"/>
      <c r="USP44" s="2845"/>
      <c r="USQ44" s="2842"/>
      <c r="USR44" s="2842"/>
      <c r="USS44" s="2843"/>
      <c r="UST44" s="2843"/>
      <c r="USU44" s="2844"/>
      <c r="USV44" s="2845"/>
      <c r="USW44" s="2842"/>
      <c r="USX44" s="2842"/>
      <c r="USY44" s="2843"/>
      <c r="USZ44" s="2843"/>
      <c r="UTA44" s="2844"/>
      <c r="UTB44" s="2845"/>
      <c r="UTC44" s="2842"/>
      <c r="UTD44" s="2842"/>
      <c r="UTE44" s="2843"/>
      <c r="UTF44" s="2843"/>
      <c r="UTG44" s="2844"/>
      <c r="UTH44" s="2845"/>
      <c r="UTI44" s="2842"/>
      <c r="UTJ44" s="2842"/>
      <c r="UTK44" s="2843"/>
      <c r="UTL44" s="2843"/>
      <c r="UTM44" s="2844"/>
      <c r="UTN44" s="2845"/>
      <c r="UTO44" s="2842"/>
      <c r="UTP44" s="2842"/>
      <c r="UTQ44" s="2843"/>
      <c r="UTR44" s="2843"/>
      <c r="UTS44" s="2844"/>
      <c r="UTT44" s="2845"/>
      <c r="UTU44" s="2842"/>
      <c r="UTV44" s="2842"/>
      <c r="UTW44" s="2843"/>
      <c r="UTX44" s="2843"/>
      <c r="UTY44" s="2844"/>
      <c r="UTZ44" s="2845"/>
      <c r="UUA44" s="2842"/>
      <c r="UUB44" s="2842"/>
      <c r="UUC44" s="2843"/>
      <c r="UUD44" s="2843"/>
      <c r="UUE44" s="2844"/>
      <c r="UUF44" s="2845"/>
      <c r="UUG44" s="2842"/>
      <c r="UUH44" s="2842"/>
      <c r="UUI44" s="2843"/>
      <c r="UUJ44" s="2843"/>
      <c r="UUK44" s="2844"/>
      <c r="UUL44" s="2845"/>
      <c r="UUM44" s="2842"/>
      <c r="UUN44" s="2842"/>
      <c r="UUO44" s="2843"/>
      <c r="UUP44" s="2843"/>
      <c r="UUQ44" s="2844"/>
      <c r="UUR44" s="2845"/>
      <c r="UUS44" s="2842"/>
      <c r="UUT44" s="2842"/>
      <c r="UUU44" s="2843"/>
      <c r="UUV44" s="2843"/>
      <c r="UUW44" s="2844"/>
      <c r="UUX44" s="2845"/>
      <c r="UUY44" s="2842"/>
      <c r="UUZ44" s="2842"/>
      <c r="UVA44" s="2843"/>
      <c r="UVB44" s="2843"/>
      <c r="UVC44" s="2844"/>
      <c r="UVD44" s="2845"/>
      <c r="UVE44" s="2842"/>
      <c r="UVF44" s="2842"/>
      <c r="UVG44" s="2843"/>
      <c r="UVH44" s="2843"/>
      <c r="UVI44" s="2844"/>
      <c r="UVJ44" s="2845"/>
      <c r="UVK44" s="2842"/>
      <c r="UVL44" s="2842"/>
      <c r="UVM44" s="2843"/>
      <c r="UVN44" s="2843"/>
      <c r="UVO44" s="2844"/>
      <c r="UVP44" s="2845"/>
      <c r="UVQ44" s="2842"/>
      <c r="UVR44" s="2842"/>
      <c r="UVS44" s="2843"/>
      <c r="UVT44" s="2843"/>
      <c r="UVU44" s="2844"/>
      <c r="UVV44" s="2845"/>
      <c r="UVW44" s="2842"/>
      <c r="UVX44" s="2842"/>
      <c r="UVY44" s="2843"/>
      <c r="UVZ44" s="2843"/>
      <c r="UWA44" s="2844"/>
      <c r="UWB44" s="2845"/>
      <c r="UWC44" s="2842"/>
      <c r="UWD44" s="2842"/>
      <c r="UWE44" s="2843"/>
      <c r="UWF44" s="2843"/>
      <c r="UWG44" s="2844"/>
      <c r="UWH44" s="2845"/>
      <c r="UWI44" s="2842"/>
      <c r="UWJ44" s="2842"/>
      <c r="UWK44" s="2843"/>
      <c r="UWL44" s="2843"/>
      <c r="UWM44" s="2844"/>
      <c r="UWN44" s="2845"/>
      <c r="UWO44" s="2842"/>
      <c r="UWP44" s="2842"/>
      <c r="UWQ44" s="2843"/>
      <c r="UWR44" s="2843"/>
      <c r="UWS44" s="2844"/>
      <c r="UWT44" s="2845"/>
      <c r="UWU44" s="2842"/>
      <c r="UWV44" s="2842"/>
      <c r="UWW44" s="2843"/>
      <c r="UWX44" s="2843"/>
      <c r="UWY44" s="2844"/>
      <c r="UWZ44" s="2845"/>
      <c r="UXA44" s="2842"/>
      <c r="UXB44" s="2842"/>
      <c r="UXC44" s="2843"/>
      <c r="UXD44" s="2843"/>
      <c r="UXE44" s="2844"/>
      <c r="UXF44" s="2845"/>
      <c r="UXG44" s="2842"/>
      <c r="UXH44" s="2842"/>
      <c r="UXI44" s="2843"/>
      <c r="UXJ44" s="2843"/>
      <c r="UXK44" s="2844"/>
      <c r="UXL44" s="2845"/>
      <c r="UXM44" s="2842"/>
      <c r="UXN44" s="2842"/>
      <c r="UXO44" s="2843"/>
      <c r="UXP44" s="2843"/>
      <c r="UXQ44" s="2844"/>
      <c r="UXR44" s="2845"/>
      <c r="UXS44" s="2842"/>
      <c r="UXT44" s="2842"/>
      <c r="UXU44" s="2843"/>
      <c r="UXV44" s="2843"/>
      <c r="UXW44" s="2844"/>
      <c r="UXX44" s="2845"/>
      <c r="UXY44" s="2842"/>
      <c r="UXZ44" s="2842"/>
      <c r="UYA44" s="2843"/>
      <c r="UYB44" s="2843"/>
      <c r="UYC44" s="2844"/>
      <c r="UYD44" s="2845"/>
      <c r="UYE44" s="2842"/>
      <c r="UYF44" s="2842"/>
      <c r="UYG44" s="2843"/>
      <c r="UYH44" s="2843"/>
      <c r="UYI44" s="2844"/>
      <c r="UYJ44" s="2845"/>
      <c r="UYK44" s="2842"/>
      <c r="UYL44" s="2842"/>
      <c r="UYM44" s="2843"/>
      <c r="UYN44" s="2843"/>
      <c r="UYO44" s="2844"/>
      <c r="UYP44" s="2845"/>
      <c r="UYQ44" s="2842"/>
      <c r="UYR44" s="2842"/>
      <c r="UYS44" s="2843"/>
      <c r="UYT44" s="2843"/>
      <c r="UYU44" s="2844"/>
      <c r="UYV44" s="2845"/>
      <c r="UYW44" s="2842"/>
      <c r="UYX44" s="2842"/>
      <c r="UYY44" s="2843"/>
      <c r="UYZ44" s="2843"/>
      <c r="UZA44" s="2844"/>
      <c r="UZB44" s="2845"/>
      <c r="UZC44" s="2842"/>
      <c r="UZD44" s="2842"/>
      <c r="UZE44" s="2843"/>
      <c r="UZF44" s="2843"/>
      <c r="UZG44" s="2844"/>
      <c r="UZH44" s="2845"/>
      <c r="UZI44" s="2842"/>
      <c r="UZJ44" s="2842"/>
      <c r="UZK44" s="2843"/>
      <c r="UZL44" s="2843"/>
      <c r="UZM44" s="2844"/>
      <c r="UZN44" s="2845"/>
      <c r="UZO44" s="2842"/>
      <c r="UZP44" s="2842"/>
      <c r="UZQ44" s="2843"/>
      <c r="UZR44" s="2843"/>
      <c r="UZS44" s="2844"/>
      <c r="UZT44" s="2845"/>
      <c r="UZU44" s="2842"/>
      <c r="UZV44" s="2842"/>
      <c r="UZW44" s="2843"/>
      <c r="UZX44" s="2843"/>
      <c r="UZY44" s="2844"/>
      <c r="UZZ44" s="2845"/>
      <c r="VAA44" s="2842"/>
      <c r="VAB44" s="2842"/>
      <c r="VAC44" s="2843"/>
      <c r="VAD44" s="2843"/>
      <c r="VAE44" s="2844"/>
      <c r="VAF44" s="2845"/>
      <c r="VAG44" s="2842"/>
      <c r="VAH44" s="2842"/>
      <c r="VAI44" s="2843"/>
      <c r="VAJ44" s="2843"/>
      <c r="VAK44" s="2844"/>
      <c r="VAL44" s="2845"/>
      <c r="VAM44" s="2842"/>
      <c r="VAN44" s="2842"/>
      <c r="VAO44" s="2843"/>
      <c r="VAP44" s="2843"/>
      <c r="VAQ44" s="2844"/>
      <c r="VAR44" s="2845"/>
      <c r="VAS44" s="2842"/>
      <c r="VAT44" s="2842"/>
      <c r="VAU44" s="2843"/>
      <c r="VAV44" s="2843"/>
      <c r="VAW44" s="2844"/>
      <c r="VAX44" s="2845"/>
      <c r="VAY44" s="2842"/>
      <c r="VAZ44" s="2842"/>
      <c r="VBA44" s="2843"/>
      <c r="VBB44" s="2843"/>
      <c r="VBC44" s="2844"/>
      <c r="VBD44" s="2845"/>
      <c r="VBE44" s="2842"/>
      <c r="VBF44" s="2842"/>
      <c r="VBG44" s="2843"/>
      <c r="VBH44" s="2843"/>
      <c r="VBI44" s="2844"/>
      <c r="VBJ44" s="2845"/>
      <c r="VBK44" s="2842"/>
      <c r="VBL44" s="2842"/>
      <c r="VBM44" s="2843"/>
      <c r="VBN44" s="2843"/>
      <c r="VBO44" s="2844"/>
      <c r="VBP44" s="2845"/>
      <c r="VBQ44" s="2842"/>
      <c r="VBR44" s="2842"/>
      <c r="VBS44" s="2843"/>
      <c r="VBT44" s="2843"/>
      <c r="VBU44" s="2844"/>
      <c r="VBV44" s="2845"/>
      <c r="VBW44" s="2842"/>
      <c r="VBX44" s="2842"/>
      <c r="VBY44" s="2843"/>
      <c r="VBZ44" s="2843"/>
      <c r="VCA44" s="2844"/>
      <c r="VCB44" s="2845"/>
      <c r="VCC44" s="2842"/>
      <c r="VCD44" s="2842"/>
      <c r="VCE44" s="2843"/>
      <c r="VCF44" s="2843"/>
      <c r="VCG44" s="2844"/>
      <c r="VCH44" s="2845"/>
      <c r="VCI44" s="2842"/>
      <c r="VCJ44" s="2842"/>
      <c r="VCK44" s="2843"/>
      <c r="VCL44" s="2843"/>
      <c r="VCM44" s="2844"/>
      <c r="VCN44" s="2845"/>
      <c r="VCO44" s="2842"/>
      <c r="VCP44" s="2842"/>
      <c r="VCQ44" s="2843"/>
      <c r="VCR44" s="2843"/>
      <c r="VCS44" s="2844"/>
      <c r="VCT44" s="2845"/>
      <c r="VCU44" s="2842"/>
      <c r="VCV44" s="2842"/>
      <c r="VCW44" s="2843"/>
      <c r="VCX44" s="2843"/>
      <c r="VCY44" s="2844"/>
      <c r="VCZ44" s="2845"/>
      <c r="VDA44" s="2842"/>
      <c r="VDB44" s="2842"/>
      <c r="VDC44" s="2843"/>
      <c r="VDD44" s="2843"/>
      <c r="VDE44" s="2844"/>
      <c r="VDF44" s="2845"/>
      <c r="VDG44" s="2842"/>
      <c r="VDH44" s="2842"/>
      <c r="VDI44" s="2843"/>
      <c r="VDJ44" s="2843"/>
      <c r="VDK44" s="2844"/>
      <c r="VDL44" s="2845"/>
      <c r="VDM44" s="2842"/>
      <c r="VDN44" s="2842"/>
      <c r="VDO44" s="2843"/>
      <c r="VDP44" s="2843"/>
      <c r="VDQ44" s="2844"/>
      <c r="VDR44" s="2845"/>
      <c r="VDS44" s="2842"/>
      <c r="VDT44" s="2842"/>
      <c r="VDU44" s="2843"/>
      <c r="VDV44" s="2843"/>
      <c r="VDW44" s="2844"/>
      <c r="VDX44" s="2845"/>
      <c r="VDY44" s="2842"/>
      <c r="VDZ44" s="2842"/>
      <c r="VEA44" s="2843"/>
      <c r="VEB44" s="2843"/>
      <c r="VEC44" s="2844"/>
      <c r="VED44" s="2845"/>
      <c r="VEE44" s="2842"/>
      <c r="VEF44" s="2842"/>
      <c r="VEG44" s="2843"/>
      <c r="VEH44" s="2843"/>
      <c r="VEI44" s="2844"/>
      <c r="VEJ44" s="2845"/>
      <c r="VEK44" s="2842"/>
      <c r="VEL44" s="2842"/>
      <c r="VEM44" s="2843"/>
      <c r="VEN44" s="2843"/>
      <c r="VEO44" s="2844"/>
      <c r="VEP44" s="2845"/>
      <c r="VEQ44" s="2842"/>
      <c r="VER44" s="2842"/>
      <c r="VES44" s="2843"/>
      <c r="VET44" s="2843"/>
      <c r="VEU44" s="2844"/>
      <c r="VEV44" s="2845"/>
      <c r="VEW44" s="2842"/>
      <c r="VEX44" s="2842"/>
      <c r="VEY44" s="2843"/>
      <c r="VEZ44" s="2843"/>
      <c r="VFA44" s="2844"/>
      <c r="VFB44" s="2845"/>
      <c r="VFC44" s="2842"/>
      <c r="VFD44" s="2842"/>
      <c r="VFE44" s="2843"/>
      <c r="VFF44" s="2843"/>
      <c r="VFG44" s="2844"/>
      <c r="VFH44" s="2845"/>
      <c r="VFI44" s="2842"/>
      <c r="VFJ44" s="2842"/>
      <c r="VFK44" s="2843"/>
      <c r="VFL44" s="2843"/>
      <c r="VFM44" s="2844"/>
      <c r="VFN44" s="2845"/>
      <c r="VFO44" s="2842"/>
      <c r="VFP44" s="2842"/>
      <c r="VFQ44" s="2843"/>
      <c r="VFR44" s="2843"/>
      <c r="VFS44" s="2844"/>
      <c r="VFT44" s="2845"/>
      <c r="VFU44" s="2842"/>
      <c r="VFV44" s="2842"/>
      <c r="VFW44" s="2843"/>
      <c r="VFX44" s="2843"/>
      <c r="VFY44" s="2844"/>
      <c r="VFZ44" s="2845"/>
      <c r="VGA44" s="2842"/>
      <c r="VGB44" s="2842"/>
      <c r="VGC44" s="2843"/>
      <c r="VGD44" s="2843"/>
      <c r="VGE44" s="2844"/>
      <c r="VGF44" s="2845"/>
      <c r="VGG44" s="2842"/>
      <c r="VGH44" s="2842"/>
      <c r="VGI44" s="2843"/>
      <c r="VGJ44" s="2843"/>
      <c r="VGK44" s="2844"/>
      <c r="VGL44" s="2845"/>
      <c r="VGM44" s="2842"/>
      <c r="VGN44" s="2842"/>
      <c r="VGO44" s="2843"/>
      <c r="VGP44" s="2843"/>
      <c r="VGQ44" s="2844"/>
      <c r="VGR44" s="2845"/>
      <c r="VGS44" s="2842"/>
      <c r="VGT44" s="2842"/>
      <c r="VGU44" s="2843"/>
      <c r="VGV44" s="2843"/>
      <c r="VGW44" s="2844"/>
      <c r="VGX44" s="2845"/>
      <c r="VGY44" s="2842"/>
      <c r="VGZ44" s="2842"/>
      <c r="VHA44" s="2843"/>
      <c r="VHB44" s="2843"/>
      <c r="VHC44" s="2844"/>
      <c r="VHD44" s="2845"/>
      <c r="VHE44" s="2842"/>
      <c r="VHF44" s="2842"/>
      <c r="VHG44" s="2843"/>
      <c r="VHH44" s="2843"/>
      <c r="VHI44" s="2844"/>
      <c r="VHJ44" s="2845"/>
      <c r="VHK44" s="2842"/>
      <c r="VHL44" s="2842"/>
      <c r="VHM44" s="2843"/>
      <c r="VHN44" s="2843"/>
      <c r="VHO44" s="2844"/>
      <c r="VHP44" s="2845"/>
      <c r="VHQ44" s="2842"/>
      <c r="VHR44" s="2842"/>
      <c r="VHS44" s="2843"/>
      <c r="VHT44" s="2843"/>
      <c r="VHU44" s="2844"/>
      <c r="VHV44" s="2845"/>
      <c r="VHW44" s="2842"/>
      <c r="VHX44" s="2842"/>
      <c r="VHY44" s="2843"/>
      <c r="VHZ44" s="2843"/>
      <c r="VIA44" s="2844"/>
      <c r="VIB44" s="2845"/>
      <c r="VIC44" s="2842"/>
      <c r="VID44" s="2842"/>
      <c r="VIE44" s="2843"/>
      <c r="VIF44" s="2843"/>
      <c r="VIG44" s="2844"/>
      <c r="VIH44" s="2845"/>
      <c r="VII44" s="2842"/>
      <c r="VIJ44" s="2842"/>
      <c r="VIK44" s="2843"/>
      <c r="VIL44" s="2843"/>
      <c r="VIM44" s="2844"/>
      <c r="VIN44" s="2845"/>
      <c r="VIO44" s="2842"/>
      <c r="VIP44" s="2842"/>
      <c r="VIQ44" s="2843"/>
      <c r="VIR44" s="2843"/>
      <c r="VIS44" s="2844"/>
      <c r="VIT44" s="2845"/>
      <c r="VIU44" s="2842"/>
      <c r="VIV44" s="2842"/>
      <c r="VIW44" s="2843"/>
      <c r="VIX44" s="2843"/>
      <c r="VIY44" s="2844"/>
      <c r="VIZ44" s="2845"/>
      <c r="VJA44" s="2842"/>
      <c r="VJB44" s="2842"/>
      <c r="VJC44" s="2843"/>
      <c r="VJD44" s="2843"/>
      <c r="VJE44" s="2844"/>
      <c r="VJF44" s="2845"/>
      <c r="VJG44" s="2842"/>
      <c r="VJH44" s="2842"/>
      <c r="VJI44" s="2843"/>
      <c r="VJJ44" s="2843"/>
      <c r="VJK44" s="2844"/>
      <c r="VJL44" s="2845"/>
      <c r="VJM44" s="2842"/>
      <c r="VJN44" s="2842"/>
      <c r="VJO44" s="2843"/>
      <c r="VJP44" s="2843"/>
      <c r="VJQ44" s="2844"/>
      <c r="VJR44" s="2845"/>
      <c r="VJS44" s="2842"/>
      <c r="VJT44" s="2842"/>
      <c r="VJU44" s="2843"/>
      <c r="VJV44" s="2843"/>
      <c r="VJW44" s="2844"/>
      <c r="VJX44" s="2845"/>
      <c r="VJY44" s="2842"/>
      <c r="VJZ44" s="2842"/>
      <c r="VKA44" s="2843"/>
      <c r="VKB44" s="2843"/>
      <c r="VKC44" s="2844"/>
      <c r="VKD44" s="2845"/>
      <c r="VKE44" s="2842"/>
      <c r="VKF44" s="2842"/>
      <c r="VKG44" s="2843"/>
      <c r="VKH44" s="2843"/>
      <c r="VKI44" s="2844"/>
      <c r="VKJ44" s="2845"/>
      <c r="VKK44" s="2842"/>
      <c r="VKL44" s="2842"/>
      <c r="VKM44" s="2843"/>
      <c r="VKN44" s="2843"/>
      <c r="VKO44" s="2844"/>
      <c r="VKP44" s="2845"/>
      <c r="VKQ44" s="2842"/>
      <c r="VKR44" s="2842"/>
      <c r="VKS44" s="2843"/>
      <c r="VKT44" s="2843"/>
      <c r="VKU44" s="2844"/>
      <c r="VKV44" s="2845"/>
      <c r="VKW44" s="2842"/>
      <c r="VKX44" s="2842"/>
      <c r="VKY44" s="2843"/>
      <c r="VKZ44" s="2843"/>
      <c r="VLA44" s="2844"/>
      <c r="VLB44" s="2845"/>
      <c r="VLC44" s="2842"/>
      <c r="VLD44" s="2842"/>
      <c r="VLE44" s="2843"/>
      <c r="VLF44" s="2843"/>
      <c r="VLG44" s="2844"/>
      <c r="VLH44" s="2845"/>
      <c r="VLI44" s="2842"/>
      <c r="VLJ44" s="2842"/>
      <c r="VLK44" s="2843"/>
      <c r="VLL44" s="2843"/>
      <c r="VLM44" s="2844"/>
      <c r="VLN44" s="2845"/>
      <c r="VLO44" s="2842"/>
      <c r="VLP44" s="2842"/>
      <c r="VLQ44" s="2843"/>
      <c r="VLR44" s="2843"/>
      <c r="VLS44" s="2844"/>
      <c r="VLT44" s="2845"/>
      <c r="VLU44" s="2842"/>
      <c r="VLV44" s="2842"/>
      <c r="VLW44" s="2843"/>
      <c r="VLX44" s="2843"/>
      <c r="VLY44" s="2844"/>
      <c r="VLZ44" s="2845"/>
      <c r="VMA44" s="2842"/>
      <c r="VMB44" s="2842"/>
      <c r="VMC44" s="2843"/>
      <c r="VMD44" s="2843"/>
      <c r="VME44" s="2844"/>
      <c r="VMF44" s="2845"/>
      <c r="VMG44" s="2842"/>
      <c r="VMH44" s="2842"/>
      <c r="VMI44" s="2843"/>
      <c r="VMJ44" s="2843"/>
      <c r="VMK44" s="2844"/>
      <c r="VML44" s="2845"/>
      <c r="VMM44" s="2842"/>
      <c r="VMN44" s="2842"/>
      <c r="VMO44" s="2843"/>
      <c r="VMP44" s="2843"/>
      <c r="VMQ44" s="2844"/>
      <c r="VMR44" s="2845"/>
      <c r="VMS44" s="2842"/>
      <c r="VMT44" s="2842"/>
      <c r="VMU44" s="2843"/>
      <c r="VMV44" s="2843"/>
      <c r="VMW44" s="2844"/>
      <c r="VMX44" s="2845"/>
      <c r="VMY44" s="2842"/>
      <c r="VMZ44" s="2842"/>
      <c r="VNA44" s="2843"/>
      <c r="VNB44" s="2843"/>
      <c r="VNC44" s="2844"/>
      <c r="VND44" s="2845"/>
      <c r="VNE44" s="2842"/>
      <c r="VNF44" s="2842"/>
      <c r="VNG44" s="2843"/>
      <c r="VNH44" s="2843"/>
      <c r="VNI44" s="2844"/>
      <c r="VNJ44" s="2845"/>
      <c r="VNK44" s="2842"/>
      <c r="VNL44" s="2842"/>
      <c r="VNM44" s="2843"/>
      <c r="VNN44" s="2843"/>
      <c r="VNO44" s="2844"/>
      <c r="VNP44" s="2845"/>
      <c r="VNQ44" s="2842"/>
      <c r="VNR44" s="2842"/>
      <c r="VNS44" s="2843"/>
      <c r="VNT44" s="2843"/>
      <c r="VNU44" s="2844"/>
      <c r="VNV44" s="2845"/>
      <c r="VNW44" s="2842"/>
      <c r="VNX44" s="2842"/>
      <c r="VNY44" s="2843"/>
      <c r="VNZ44" s="2843"/>
      <c r="VOA44" s="2844"/>
      <c r="VOB44" s="2845"/>
      <c r="VOC44" s="2842"/>
      <c r="VOD44" s="2842"/>
      <c r="VOE44" s="2843"/>
      <c r="VOF44" s="2843"/>
      <c r="VOG44" s="2844"/>
      <c r="VOH44" s="2845"/>
      <c r="VOI44" s="2842"/>
      <c r="VOJ44" s="2842"/>
      <c r="VOK44" s="2843"/>
      <c r="VOL44" s="2843"/>
      <c r="VOM44" s="2844"/>
      <c r="VON44" s="2845"/>
      <c r="VOO44" s="2842"/>
      <c r="VOP44" s="2842"/>
      <c r="VOQ44" s="2843"/>
      <c r="VOR44" s="2843"/>
      <c r="VOS44" s="2844"/>
      <c r="VOT44" s="2845"/>
      <c r="VOU44" s="2842"/>
      <c r="VOV44" s="2842"/>
      <c r="VOW44" s="2843"/>
      <c r="VOX44" s="2843"/>
      <c r="VOY44" s="2844"/>
      <c r="VOZ44" s="2845"/>
      <c r="VPA44" s="2842"/>
      <c r="VPB44" s="2842"/>
      <c r="VPC44" s="2843"/>
      <c r="VPD44" s="2843"/>
      <c r="VPE44" s="2844"/>
      <c r="VPF44" s="2845"/>
      <c r="VPG44" s="2842"/>
      <c r="VPH44" s="2842"/>
      <c r="VPI44" s="2843"/>
      <c r="VPJ44" s="2843"/>
      <c r="VPK44" s="2844"/>
      <c r="VPL44" s="2845"/>
      <c r="VPM44" s="2842"/>
      <c r="VPN44" s="2842"/>
      <c r="VPO44" s="2843"/>
      <c r="VPP44" s="2843"/>
      <c r="VPQ44" s="2844"/>
      <c r="VPR44" s="2845"/>
      <c r="VPS44" s="2842"/>
      <c r="VPT44" s="2842"/>
      <c r="VPU44" s="2843"/>
      <c r="VPV44" s="2843"/>
      <c r="VPW44" s="2844"/>
      <c r="VPX44" s="2845"/>
      <c r="VPY44" s="2842"/>
      <c r="VPZ44" s="2842"/>
      <c r="VQA44" s="2843"/>
      <c r="VQB44" s="2843"/>
      <c r="VQC44" s="2844"/>
      <c r="VQD44" s="2845"/>
      <c r="VQE44" s="2842"/>
      <c r="VQF44" s="2842"/>
      <c r="VQG44" s="2843"/>
      <c r="VQH44" s="2843"/>
      <c r="VQI44" s="2844"/>
      <c r="VQJ44" s="2845"/>
      <c r="VQK44" s="2842"/>
      <c r="VQL44" s="2842"/>
      <c r="VQM44" s="2843"/>
      <c r="VQN44" s="2843"/>
      <c r="VQO44" s="2844"/>
      <c r="VQP44" s="2845"/>
      <c r="VQQ44" s="2842"/>
      <c r="VQR44" s="2842"/>
      <c r="VQS44" s="2843"/>
      <c r="VQT44" s="2843"/>
      <c r="VQU44" s="2844"/>
      <c r="VQV44" s="2845"/>
      <c r="VQW44" s="2842"/>
      <c r="VQX44" s="2842"/>
      <c r="VQY44" s="2843"/>
      <c r="VQZ44" s="2843"/>
      <c r="VRA44" s="2844"/>
      <c r="VRB44" s="2845"/>
      <c r="VRC44" s="2842"/>
      <c r="VRD44" s="2842"/>
      <c r="VRE44" s="2843"/>
      <c r="VRF44" s="2843"/>
      <c r="VRG44" s="2844"/>
      <c r="VRH44" s="2845"/>
      <c r="VRI44" s="2842"/>
      <c r="VRJ44" s="2842"/>
      <c r="VRK44" s="2843"/>
      <c r="VRL44" s="2843"/>
      <c r="VRM44" s="2844"/>
      <c r="VRN44" s="2845"/>
      <c r="VRO44" s="2842"/>
      <c r="VRP44" s="2842"/>
      <c r="VRQ44" s="2843"/>
      <c r="VRR44" s="2843"/>
      <c r="VRS44" s="2844"/>
      <c r="VRT44" s="2845"/>
      <c r="VRU44" s="2842"/>
      <c r="VRV44" s="2842"/>
      <c r="VRW44" s="2843"/>
      <c r="VRX44" s="2843"/>
      <c r="VRY44" s="2844"/>
      <c r="VRZ44" s="2845"/>
      <c r="VSA44" s="2842"/>
      <c r="VSB44" s="2842"/>
      <c r="VSC44" s="2843"/>
      <c r="VSD44" s="2843"/>
      <c r="VSE44" s="2844"/>
      <c r="VSF44" s="2845"/>
      <c r="VSG44" s="2842"/>
      <c r="VSH44" s="2842"/>
      <c r="VSI44" s="2843"/>
      <c r="VSJ44" s="2843"/>
      <c r="VSK44" s="2844"/>
      <c r="VSL44" s="2845"/>
      <c r="VSM44" s="2842"/>
      <c r="VSN44" s="2842"/>
      <c r="VSO44" s="2843"/>
      <c r="VSP44" s="2843"/>
      <c r="VSQ44" s="2844"/>
      <c r="VSR44" s="2845"/>
      <c r="VSS44" s="2842"/>
      <c r="VST44" s="2842"/>
      <c r="VSU44" s="2843"/>
      <c r="VSV44" s="2843"/>
      <c r="VSW44" s="2844"/>
      <c r="VSX44" s="2845"/>
      <c r="VSY44" s="2842"/>
      <c r="VSZ44" s="2842"/>
      <c r="VTA44" s="2843"/>
      <c r="VTB44" s="2843"/>
      <c r="VTC44" s="2844"/>
      <c r="VTD44" s="2845"/>
      <c r="VTE44" s="2842"/>
      <c r="VTF44" s="2842"/>
      <c r="VTG44" s="2843"/>
      <c r="VTH44" s="2843"/>
      <c r="VTI44" s="2844"/>
      <c r="VTJ44" s="2845"/>
      <c r="VTK44" s="2842"/>
      <c r="VTL44" s="2842"/>
      <c r="VTM44" s="2843"/>
      <c r="VTN44" s="2843"/>
      <c r="VTO44" s="2844"/>
      <c r="VTP44" s="2845"/>
      <c r="VTQ44" s="2842"/>
      <c r="VTR44" s="2842"/>
      <c r="VTS44" s="2843"/>
      <c r="VTT44" s="2843"/>
      <c r="VTU44" s="2844"/>
      <c r="VTV44" s="2845"/>
      <c r="VTW44" s="2842"/>
      <c r="VTX44" s="2842"/>
      <c r="VTY44" s="2843"/>
      <c r="VTZ44" s="2843"/>
      <c r="VUA44" s="2844"/>
      <c r="VUB44" s="2845"/>
      <c r="VUC44" s="2842"/>
      <c r="VUD44" s="2842"/>
      <c r="VUE44" s="2843"/>
      <c r="VUF44" s="2843"/>
      <c r="VUG44" s="2844"/>
      <c r="VUH44" s="2845"/>
      <c r="VUI44" s="2842"/>
      <c r="VUJ44" s="2842"/>
      <c r="VUK44" s="2843"/>
      <c r="VUL44" s="2843"/>
      <c r="VUM44" s="2844"/>
      <c r="VUN44" s="2845"/>
      <c r="VUO44" s="2842"/>
      <c r="VUP44" s="2842"/>
      <c r="VUQ44" s="2843"/>
      <c r="VUR44" s="2843"/>
      <c r="VUS44" s="2844"/>
      <c r="VUT44" s="2845"/>
      <c r="VUU44" s="2842"/>
      <c r="VUV44" s="2842"/>
      <c r="VUW44" s="2843"/>
      <c r="VUX44" s="2843"/>
      <c r="VUY44" s="2844"/>
      <c r="VUZ44" s="2845"/>
      <c r="VVA44" s="2842"/>
      <c r="VVB44" s="2842"/>
      <c r="VVC44" s="2843"/>
      <c r="VVD44" s="2843"/>
      <c r="VVE44" s="2844"/>
      <c r="VVF44" s="2845"/>
      <c r="VVG44" s="2842"/>
      <c r="VVH44" s="2842"/>
      <c r="VVI44" s="2843"/>
      <c r="VVJ44" s="2843"/>
      <c r="VVK44" s="2844"/>
      <c r="VVL44" s="2845"/>
      <c r="VVM44" s="2842"/>
      <c r="VVN44" s="2842"/>
      <c r="VVO44" s="2843"/>
      <c r="VVP44" s="2843"/>
      <c r="VVQ44" s="2844"/>
      <c r="VVR44" s="2845"/>
      <c r="VVS44" s="2842"/>
      <c r="VVT44" s="2842"/>
      <c r="VVU44" s="2843"/>
      <c r="VVV44" s="2843"/>
      <c r="VVW44" s="2844"/>
      <c r="VVX44" s="2845"/>
      <c r="VVY44" s="2842"/>
      <c r="VVZ44" s="2842"/>
      <c r="VWA44" s="2843"/>
      <c r="VWB44" s="2843"/>
      <c r="VWC44" s="2844"/>
      <c r="VWD44" s="2845"/>
      <c r="VWE44" s="2842"/>
      <c r="VWF44" s="2842"/>
      <c r="VWG44" s="2843"/>
      <c r="VWH44" s="2843"/>
      <c r="VWI44" s="2844"/>
      <c r="VWJ44" s="2845"/>
      <c r="VWK44" s="2842"/>
      <c r="VWL44" s="2842"/>
      <c r="VWM44" s="2843"/>
      <c r="VWN44" s="2843"/>
      <c r="VWO44" s="2844"/>
      <c r="VWP44" s="2845"/>
      <c r="VWQ44" s="2842"/>
      <c r="VWR44" s="2842"/>
      <c r="VWS44" s="2843"/>
      <c r="VWT44" s="2843"/>
      <c r="VWU44" s="2844"/>
      <c r="VWV44" s="2845"/>
      <c r="VWW44" s="2842"/>
      <c r="VWX44" s="2842"/>
      <c r="VWY44" s="2843"/>
      <c r="VWZ44" s="2843"/>
      <c r="VXA44" s="2844"/>
      <c r="VXB44" s="2845"/>
      <c r="VXC44" s="2842"/>
      <c r="VXD44" s="2842"/>
      <c r="VXE44" s="2843"/>
      <c r="VXF44" s="2843"/>
      <c r="VXG44" s="2844"/>
      <c r="VXH44" s="2845"/>
      <c r="VXI44" s="2842"/>
      <c r="VXJ44" s="2842"/>
      <c r="VXK44" s="2843"/>
      <c r="VXL44" s="2843"/>
      <c r="VXM44" s="2844"/>
      <c r="VXN44" s="2845"/>
      <c r="VXO44" s="2842"/>
      <c r="VXP44" s="2842"/>
      <c r="VXQ44" s="2843"/>
      <c r="VXR44" s="2843"/>
      <c r="VXS44" s="2844"/>
      <c r="VXT44" s="2845"/>
      <c r="VXU44" s="2842"/>
      <c r="VXV44" s="2842"/>
      <c r="VXW44" s="2843"/>
      <c r="VXX44" s="2843"/>
      <c r="VXY44" s="2844"/>
      <c r="VXZ44" s="2845"/>
      <c r="VYA44" s="2842"/>
      <c r="VYB44" s="2842"/>
      <c r="VYC44" s="2843"/>
      <c r="VYD44" s="2843"/>
      <c r="VYE44" s="2844"/>
      <c r="VYF44" s="2845"/>
      <c r="VYG44" s="2842"/>
      <c r="VYH44" s="2842"/>
      <c r="VYI44" s="2843"/>
      <c r="VYJ44" s="2843"/>
      <c r="VYK44" s="2844"/>
      <c r="VYL44" s="2845"/>
      <c r="VYM44" s="2842"/>
      <c r="VYN44" s="2842"/>
      <c r="VYO44" s="2843"/>
      <c r="VYP44" s="2843"/>
      <c r="VYQ44" s="2844"/>
      <c r="VYR44" s="2845"/>
      <c r="VYS44" s="2842"/>
      <c r="VYT44" s="2842"/>
      <c r="VYU44" s="2843"/>
      <c r="VYV44" s="2843"/>
      <c r="VYW44" s="2844"/>
      <c r="VYX44" s="2845"/>
      <c r="VYY44" s="2842"/>
      <c r="VYZ44" s="2842"/>
      <c r="VZA44" s="2843"/>
      <c r="VZB44" s="2843"/>
      <c r="VZC44" s="2844"/>
      <c r="VZD44" s="2845"/>
      <c r="VZE44" s="2842"/>
      <c r="VZF44" s="2842"/>
      <c r="VZG44" s="2843"/>
      <c r="VZH44" s="2843"/>
      <c r="VZI44" s="2844"/>
      <c r="VZJ44" s="2845"/>
      <c r="VZK44" s="2842"/>
      <c r="VZL44" s="2842"/>
      <c r="VZM44" s="2843"/>
      <c r="VZN44" s="2843"/>
      <c r="VZO44" s="2844"/>
      <c r="VZP44" s="2845"/>
      <c r="VZQ44" s="2842"/>
      <c r="VZR44" s="2842"/>
      <c r="VZS44" s="2843"/>
      <c r="VZT44" s="2843"/>
      <c r="VZU44" s="2844"/>
      <c r="VZV44" s="2845"/>
      <c r="VZW44" s="2842"/>
      <c r="VZX44" s="2842"/>
      <c r="VZY44" s="2843"/>
      <c r="VZZ44" s="2843"/>
      <c r="WAA44" s="2844"/>
      <c r="WAB44" s="2845"/>
      <c r="WAC44" s="2842"/>
      <c r="WAD44" s="2842"/>
      <c r="WAE44" s="2843"/>
      <c r="WAF44" s="2843"/>
      <c r="WAG44" s="2844"/>
      <c r="WAH44" s="2845"/>
      <c r="WAI44" s="2842"/>
      <c r="WAJ44" s="2842"/>
      <c r="WAK44" s="2843"/>
      <c r="WAL44" s="2843"/>
      <c r="WAM44" s="2844"/>
      <c r="WAN44" s="2845"/>
      <c r="WAO44" s="2842"/>
      <c r="WAP44" s="2842"/>
      <c r="WAQ44" s="2843"/>
      <c r="WAR44" s="2843"/>
      <c r="WAS44" s="2844"/>
      <c r="WAT44" s="2845"/>
      <c r="WAU44" s="2842"/>
      <c r="WAV44" s="2842"/>
      <c r="WAW44" s="2843"/>
      <c r="WAX44" s="2843"/>
      <c r="WAY44" s="2844"/>
      <c r="WAZ44" s="2845"/>
      <c r="WBA44" s="2842"/>
      <c r="WBB44" s="2842"/>
      <c r="WBC44" s="2843"/>
      <c r="WBD44" s="2843"/>
      <c r="WBE44" s="2844"/>
      <c r="WBF44" s="2845"/>
      <c r="WBG44" s="2842"/>
      <c r="WBH44" s="2842"/>
      <c r="WBI44" s="2843"/>
      <c r="WBJ44" s="2843"/>
      <c r="WBK44" s="2844"/>
      <c r="WBL44" s="2845"/>
      <c r="WBM44" s="2842"/>
      <c r="WBN44" s="2842"/>
      <c r="WBO44" s="2843"/>
      <c r="WBP44" s="2843"/>
      <c r="WBQ44" s="2844"/>
      <c r="WBR44" s="2845"/>
      <c r="WBS44" s="2842"/>
      <c r="WBT44" s="2842"/>
      <c r="WBU44" s="2843"/>
      <c r="WBV44" s="2843"/>
      <c r="WBW44" s="2844"/>
      <c r="WBX44" s="2845"/>
      <c r="WBY44" s="2842"/>
      <c r="WBZ44" s="2842"/>
      <c r="WCA44" s="2843"/>
      <c r="WCB44" s="2843"/>
      <c r="WCC44" s="2844"/>
      <c r="WCD44" s="2845"/>
      <c r="WCE44" s="2842"/>
      <c r="WCF44" s="2842"/>
      <c r="WCG44" s="2843"/>
      <c r="WCH44" s="2843"/>
      <c r="WCI44" s="2844"/>
      <c r="WCJ44" s="2845"/>
      <c r="WCK44" s="2842"/>
      <c r="WCL44" s="2842"/>
      <c r="WCM44" s="2843"/>
      <c r="WCN44" s="2843"/>
      <c r="WCO44" s="2844"/>
      <c r="WCP44" s="2845"/>
      <c r="WCQ44" s="2842"/>
      <c r="WCR44" s="2842"/>
      <c r="WCS44" s="2843"/>
      <c r="WCT44" s="2843"/>
      <c r="WCU44" s="2844"/>
      <c r="WCV44" s="2845"/>
      <c r="WCW44" s="2842"/>
      <c r="WCX44" s="2842"/>
      <c r="WCY44" s="2843"/>
      <c r="WCZ44" s="2843"/>
      <c r="WDA44" s="2844"/>
      <c r="WDB44" s="2845"/>
      <c r="WDC44" s="2842"/>
      <c r="WDD44" s="2842"/>
      <c r="WDE44" s="2843"/>
      <c r="WDF44" s="2843"/>
      <c r="WDG44" s="2844"/>
      <c r="WDH44" s="2845"/>
      <c r="WDI44" s="2842"/>
      <c r="WDJ44" s="2842"/>
      <c r="WDK44" s="2843"/>
      <c r="WDL44" s="2843"/>
      <c r="WDM44" s="2844"/>
      <c r="WDN44" s="2845"/>
      <c r="WDO44" s="2842"/>
      <c r="WDP44" s="2842"/>
      <c r="WDQ44" s="2843"/>
      <c r="WDR44" s="2843"/>
      <c r="WDS44" s="2844"/>
      <c r="WDT44" s="2845"/>
      <c r="WDU44" s="2842"/>
      <c r="WDV44" s="2842"/>
      <c r="WDW44" s="2843"/>
      <c r="WDX44" s="2843"/>
      <c r="WDY44" s="2844"/>
      <c r="WDZ44" s="2845"/>
      <c r="WEA44" s="2842"/>
      <c r="WEB44" s="2842"/>
      <c r="WEC44" s="2843"/>
      <c r="WED44" s="2843"/>
      <c r="WEE44" s="2844"/>
      <c r="WEF44" s="2845"/>
      <c r="WEG44" s="2842"/>
      <c r="WEH44" s="2842"/>
      <c r="WEI44" s="2843"/>
      <c r="WEJ44" s="2843"/>
      <c r="WEK44" s="2844"/>
      <c r="WEL44" s="2845"/>
      <c r="WEM44" s="2842"/>
      <c r="WEN44" s="2842"/>
      <c r="WEO44" s="2843"/>
      <c r="WEP44" s="2843"/>
      <c r="WEQ44" s="2844"/>
      <c r="WER44" s="2845"/>
      <c r="WES44" s="2842"/>
      <c r="WET44" s="2842"/>
      <c r="WEU44" s="2843"/>
      <c r="WEV44" s="2843"/>
      <c r="WEW44" s="2844"/>
      <c r="WEX44" s="2845"/>
      <c r="WEY44" s="2842"/>
      <c r="WEZ44" s="2842"/>
      <c r="WFA44" s="2843"/>
      <c r="WFB44" s="2843"/>
      <c r="WFC44" s="2844"/>
      <c r="WFD44" s="2845"/>
      <c r="WFE44" s="2842"/>
      <c r="WFF44" s="2842"/>
      <c r="WFG44" s="2843"/>
      <c r="WFH44" s="2843"/>
      <c r="WFI44" s="2844"/>
      <c r="WFJ44" s="2845"/>
      <c r="WFK44" s="2842"/>
      <c r="WFL44" s="2842"/>
      <c r="WFM44" s="2843"/>
      <c r="WFN44" s="2843"/>
      <c r="WFO44" s="2844"/>
      <c r="WFP44" s="2845"/>
      <c r="WFQ44" s="2842"/>
      <c r="WFR44" s="2842"/>
      <c r="WFS44" s="2843"/>
      <c r="WFT44" s="2843"/>
      <c r="WFU44" s="2844"/>
      <c r="WFV44" s="2845"/>
      <c r="WFW44" s="2842"/>
      <c r="WFX44" s="2842"/>
      <c r="WFY44" s="2843"/>
      <c r="WFZ44" s="2843"/>
      <c r="WGA44" s="2844"/>
      <c r="WGB44" s="2845"/>
      <c r="WGC44" s="2842"/>
      <c r="WGD44" s="2842"/>
      <c r="WGE44" s="2843"/>
      <c r="WGF44" s="2843"/>
      <c r="WGG44" s="2844"/>
      <c r="WGH44" s="2845"/>
      <c r="WGI44" s="2842"/>
      <c r="WGJ44" s="2842"/>
      <c r="WGK44" s="2843"/>
      <c r="WGL44" s="2843"/>
      <c r="WGM44" s="2844"/>
      <c r="WGN44" s="2845"/>
      <c r="WGO44" s="2842"/>
      <c r="WGP44" s="2842"/>
      <c r="WGQ44" s="2843"/>
      <c r="WGR44" s="2843"/>
      <c r="WGS44" s="2844"/>
      <c r="WGT44" s="2845"/>
      <c r="WGU44" s="2842"/>
      <c r="WGV44" s="2842"/>
      <c r="WGW44" s="2843"/>
      <c r="WGX44" s="2843"/>
      <c r="WGY44" s="2844"/>
      <c r="WGZ44" s="2845"/>
      <c r="WHA44" s="2842"/>
      <c r="WHB44" s="2842"/>
      <c r="WHC44" s="2843"/>
      <c r="WHD44" s="2843"/>
      <c r="WHE44" s="2844"/>
      <c r="WHF44" s="2845"/>
      <c r="WHG44" s="2842"/>
      <c r="WHH44" s="2842"/>
      <c r="WHI44" s="2843"/>
      <c r="WHJ44" s="2843"/>
      <c r="WHK44" s="2844"/>
      <c r="WHL44" s="2845"/>
      <c r="WHM44" s="2842"/>
      <c r="WHN44" s="2842"/>
      <c r="WHO44" s="2843"/>
      <c r="WHP44" s="2843"/>
      <c r="WHQ44" s="2844"/>
      <c r="WHR44" s="2845"/>
      <c r="WHS44" s="2842"/>
      <c r="WHT44" s="2842"/>
      <c r="WHU44" s="2843"/>
      <c r="WHV44" s="2843"/>
      <c r="WHW44" s="2844"/>
      <c r="WHX44" s="2845"/>
      <c r="WHY44" s="2842"/>
      <c r="WHZ44" s="2842"/>
      <c r="WIA44" s="2843"/>
      <c r="WIB44" s="2843"/>
      <c r="WIC44" s="2844"/>
      <c r="WID44" s="2845"/>
      <c r="WIE44" s="2842"/>
      <c r="WIF44" s="2842"/>
      <c r="WIG44" s="2843"/>
      <c r="WIH44" s="2843"/>
      <c r="WII44" s="2844"/>
      <c r="WIJ44" s="2845"/>
      <c r="WIK44" s="2842"/>
      <c r="WIL44" s="2842"/>
      <c r="WIM44" s="2843"/>
      <c r="WIN44" s="2843"/>
      <c r="WIO44" s="2844"/>
      <c r="WIP44" s="2845"/>
      <c r="WIQ44" s="2842"/>
      <c r="WIR44" s="2842"/>
      <c r="WIS44" s="2843"/>
      <c r="WIT44" s="2843"/>
      <c r="WIU44" s="2844"/>
      <c r="WIV44" s="2845"/>
      <c r="WIW44" s="2842"/>
      <c r="WIX44" s="2842"/>
      <c r="WIY44" s="2843"/>
      <c r="WIZ44" s="2843"/>
      <c r="WJA44" s="2844"/>
      <c r="WJB44" s="2845"/>
      <c r="WJC44" s="2842"/>
      <c r="WJD44" s="2842"/>
      <c r="WJE44" s="2843"/>
      <c r="WJF44" s="2843"/>
      <c r="WJG44" s="2844"/>
      <c r="WJH44" s="2845"/>
      <c r="WJI44" s="2842"/>
      <c r="WJJ44" s="2842"/>
      <c r="WJK44" s="2843"/>
      <c r="WJL44" s="2843"/>
      <c r="WJM44" s="2844"/>
      <c r="WJN44" s="2845"/>
      <c r="WJO44" s="2842"/>
      <c r="WJP44" s="2842"/>
      <c r="WJQ44" s="2843"/>
      <c r="WJR44" s="2843"/>
      <c r="WJS44" s="2844"/>
      <c r="WJT44" s="2845"/>
      <c r="WJU44" s="2842"/>
      <c r="WJV44" s="2842"/>
      <c r="WJW44" s="2843"/>
      <c r="WJX44" s="2843"/>
      <c r="WJY44" s="2844"/>
      <c r="WJZ44" s="2845"/>
      <c r="WKA44" s="2842"/>
      <c r="WKB44" s="2842"/>
      <c r="WKC44" s="2843"/>
      <c r="WKD44" s="2843"/>
      <c r="WKE44" s="2844"/>
      <c r="WKF44" s="2845"/>
      <c r="WKG44" s="2842"/>
      <c r="WKH44" s="2842"/>
      <c r="WKI44" s="2843"/>
      <c r="WKJ44" s="2843"/>
      <c r="WKK44" s="2844"/>
      <c r="WKL44" s="2845"/>
      <c r="WKM44" s="2842"/>
      <c r="WKN44" s="2842"/>
      <c r="WKO44" s="2843"/>
      <c r="WKP44" s="2843"/>
      <c r="WKQ44" s="2844"/>
      <c r="WKR44" s="2845"/>
      <c r="WKS44" s="2842"/>
      <c r="WKT44" s="2842"/>
      <c r="WKU44" s="2843"/>
      <c r="WKV44" s="2843"/>
      <c r="WKW44" s="2844"/>
      <c r="WKX44" s="2845"/>
      <c r="WKY44" s="2842"/>
      <c r="WKZ44" s="2842"/>
      <c r="WLA44" s="2843"/>
      <c r="WLB44" s="2843"/>
      <c r="WLC44" s="2844"/>
      <c r="WLD44" s="2845"/>
      <c r="WLE44" s="2842"/>
      <c r="WLF44" s="2842"/>
      <c r="WLG44" s="2843"/>
      <c r="WLH44" s="2843"/>
      <c r="WLI44" s="2844"/>
      <c r="WLJ44" s="2845"/>
      <c r="WLK44" s="2842"/>
      <c r="WLL44" s="2842"/>
      <c r="WLM44" s="2843"/>
      <c r="WLN44" s="2843"/>
      <c r="WLO44" s="2844"/>
      <c r="WLP44" s="2845"/>
      <c r="WLQ44" s="2842"/>
      <c r="WLR44" s="2842"/>
      <c r="WLS44" s="2843"/>
      <c r="WLT44" s="2843"/>
      <c r="WLU44" s="2844"/>
      <c r="WLV44" s="2845"/>
      <c r="WLW44" s="2842"/>
      <c r="WLX44" s="2842"/>
      <c r="WLY44" s="2843"/>
      <c r="WLZ44" s="2843"/>
      <c r="WMA44" s="2844"/>
      <c r="WMB44" s="2845"/>
      <c r="WMC44" s="2842"/>
      <c r="WMD44" s="2842"/>
      <c r="WME44" s="2843"/>
      <c r="WMF44" s="2843"/>
      <c r="WMG44" s="2844"/>
      <c r="WMH44" s="2845"/>
      <c r="WMI44" s="2842"/>
      <c r="WMJ44" s="2842"/>
      <c r="WMK44" s="2843"/>
      <c r="WML44" s="2843"/>
      <c r="WMM44" s="2844"/>
      <c r="WMN44" s="2845"/>
      <c r="WMO44" s="2842"/>
      <c r="WMP44" s="2842"/>
      <c r="WMQ44" s="2843"/>
      <c r="WMR44" s="2843"/>
      <c r="WMS44" s="2844"/>
      <c r="WMT44" s="2845"/>
      <c r="WMU44" s="2842"/>
      <c r="WMV44" s="2842"/>
      <c r="WMW44" s="2843"/>
      <c r="WMX44" s="2843"/>
      <c r="WMY44" s="2844"/>
      <c r="WMZ44" s="2845"/>
      <c r="WNA44" s="2842"/>
      <c r="WNB44" s="2842"/>
      <c r="WNC44" s="2843"/>
      <c r="WND44" s="2843"/>
      <c r="WNE44" s="2844"/>
      <c r="WNF44" s="2845"/>
      <c r="WNG44" s="2842"/>
      <c r="WNH44" s="2842"/>
      <c r="WNI44" s="2843"/>
      <c r="WNJ44" s="2843"/>
      <c r="WNK44" s="2844"/>
      <c r="WNL44" s="2845"/>
      <c r="WNM44" s="2842"/>
      <c r="WNN44" s="2842"/>
      <c r="WNO44" s="2843"/>
      <c r="WNP44" s="2843"/>
      <c r="WNQ44" s="2844"/>
      <c r="WNR44" s="2845"/>
      <c r="WNS44" s="2842"/>
      <c r="WNT44" s="2842"/>
      <c r="WNU44" s="2843"/>
      <c r="WNV44" s="2843"/>
      <c r="WNW44" s="2844"/>
      <c r="WNX44" s="2845"/>
      <c r="WNY44" s="2842"/>
      <c r="WNZ44" s="2842"/>
      <c r="WOA44" s="2843"/>
      <c r="WOB44" s="2843"/>
      <c r="WOC44" s="2844"/>
      <c r="WOD44" s="2845"/>
      <c r="WOE44" s="2842"/>
      <c r="WOF44" s="2842"/>
      <c r="WOG44" s="2843"/>
      <c r="WOH44" s="2843"/>
      <c r="WOI44" s="2844"/>
      <c r="WOJ44" s="2845"/>
      <c r="WOK44" s="2842"/>
      <c r="WOL44" s="2842"/>
      <c r="WOM44" s="2843"/>
      <c r="WON44" s="2843"/>
      <c r="WOO44" s="2844"/>
      <c r="WOP44" s="2845"/>
      <c r="WOQ44" s="2842"/>
      <c r="WOR44" s="2842"/>
      <c r="WOS44" s="2843"/>
      <c r="WOT44" s="2843"/>
      <c r="WOU44" s="2844"/>
      <c r="WOV44" s="2845"/>
      <c r="WOW44" s="2842"/>
      <c r="WOX44" s="2842"/>
      <c r="WOY44" s="2843"/>
      <c r="WOZ44" s="2843"/>
      <c r="WPA44" s="2844"/>
      <c r="WPB44" s="2845"/>
      <c r="WPC44" s="2842"/>
      <c r="WPD44" s="2842"/>
      <c r="WPE44" s="2843"/>
      <c r="WPF44" s="2843"/>
      <c r="WPG44" s="2844"/>
      <c r="WPH44" s="2845"/>
      <c r="WPI44" s="2842"/>
      <c r="WPJ44" s="2842"/>
      <c r="WPK44" s="2843"/>
      <c r="WPL44" s="2843"/>
      <c r="WPM44" s="2844"/>
      <c r="WPN44" s="2845"/>
      <c r="WPO44" s="2842"/>
      <c r="WPP44" s="2842"/>
      <c r="WPQ44" s="2843"/>
      <c r="WPR44" s="2843"/>
      <c r="WPS44" s="2844"/>
      <c r="WPT44" s="2845"/>
      <c r="WPU44" s="2842"/>
      <c r="WPV44" s="2842"/>
      <c r="WPW44" s="2843"/>
      <c r="WPX44" s="2843"/>
      <c r="WPY44" s="2844"/>
      <c r="WPZ44" s="2845"/>
      <c r="WQA44" s="2842"/>
      <c r="WQB44" s="2842"/>
      <c r="WQC44" s="2843"/>
      <c r="WQD44" s="2843"/>
      <c r="WQE44" s="2844"/>
      <c r="WQF44" s="2845"/>
      <c r="WQG44" s="2842"/>
      <c r="WQH44" s="2842"/>
      <c r="WQI44" s="2843"/>
      <c r="WQJ44" s="2843"/>
      <c r="WQK44" s="2844"/>
      <c r="WQL44" s="2845"/>
      <c r="WQM44" s="2842"/>
      <c r="WQN44" s="2842"/>
      <c r="WQO44" s="2843"/>
      <c r="WQP44" s="2843"/>
      <c r="WQQ44" s="2844"/>
      <c r="WQR44" s="2845"/>
      <c r="WQS44" s="2842"/>
      <c r="WQT44" s="2842"/>
      <c r="WQU44" s="2843"/>
      <c r="WQV44" s="2843"/>
      <c r="WQW44" s="2844"/>
      <c r="WQX44" s="2845"/>
      <c r="WQY44" s="2842"/>
      <c r="WQZ44" s="2842"/>
      <c r="WRA44" s="2843"/>
      <c r="WRB44" s="2843"/>
      <c r="WRC44" s="2844"/>
      <c r="WRD44" s="2845"/>
      <c r="WRE44" s="2842"/>
      <c r="WRF44" s="2842"/>
      <c r="WRG44" s="2843"/>
      <c r="WRH44" s="2843"/>
      <c r="WRI44" s="2844"/>
      <c r="WRJ44" s="2845"/>
      <c r="WRK44" s="2842"/>
      <c r="WRL44" s="2842"/>
      <c r="WRM44" s="2843"/>
      <c r="WRN44" s="2843"/>
      <c r="WRO44" s="2844"/>
      <c r="WRP44" s="2845"/>
      <c r="WRQ44" s="2842"/>
      <c r="WRR44" s="2842"/>
      <c r="WRS44" s="2843"/>
      <c r="WRT44" s="2843"/>
      <c r="WRU44" s="2844"/>
      <c r="WRV44" s="2845"/>
      <c r="WRW44" s="2842"/>
      <c r="WRX44" s="2842"/>
      <c r="WRY44" s="2843"/>
      <c r="WRZ44" s="2843"/>
      <c r="WSA44" s="2844"/>
      <c r="WSB44" s="2845"/>
      <c r="WSC44" s="2842"/>
      <c r="WSD44" s="2842"/>
      <c r="WSE44" s="2843"/>
      <c r="WSF44" s="2843"/>
      <c r="WSG44" s="2844"/>
      <c r="WSH44" s="2845"/>
      <c r="WSI44" s="2842"/>
      <c r="WSJ44" s="2842"/>
      <c r="WSK44" s="2843"/>
      <c r="WSL44" s="2843"/>
      <c r="WSM44" s="2844"/>
      <c r="WSN44" s="2845"/>
      <c r="WSO44" s="2842"/>
      <c r="WSP44" s="2842"/>
      <c r="WSQ44" s="2843"/>
      <c r="WSR44" s="2843"/>
      <c r="WSS44" s="2844"/>
      <c r="WST44" s="2845"/>
      <c r="WSU44" s="2842"/>
      <c r="WSV44" s="2842"/>
      <c r="WSW44" s="2843"/>
      <c r="WSX44" s="2843"/>
      <c r="WSY44" s="2844"/>
      <c r="WSZ44" s="2845"/>
      <c r="WTA44" s="2842"/>
      <c r="WTB44" s="2842"/>
      <c r="WTC44" s="2843"/>
      <c r="WTD44" s="2843"/>
      <c r="WTE44" s="2844"/>
      <c r="WTF44" s="2845"/>
      <c r="WTG44" s="2842"/>
      <c r="WTH44" s="2842"/>
      <c r="WTI44" s="2843"/>
      <c r="WTJ44" s="2843"/>
      <c r="WTK44" s="2844"/>
      <c r="WTL44" s="2845"/>
      <c r="WTM44" s="2842"/>
      <c r="WTN44" s="2842"/>
      <c r="WTO44" s="2843"/>
      <c r="WTP44" s="2843"/>
      <c r="WTQ44" s="2844"/>
      <c r="WTR44" s="2845"/>
      <c r="WTS44" s="2842"/>
      <c r="WTT44" s="2842"/>
      <c r="WTU44" s="2843"/>
      <c r="WTV44" s="2843"/>
      <c r="WTW44" s="2844"/>
      <c r="WTX44" s="2845"/>
      <c r="WTY44" s="2842"/>
      <c r="WTZ44" s="2842"/>
      <c r="WUA44" s="2843"/>
      <c r="WUB44" s="2843"/>
      <c r="WUC44" s="2844"/>
      <c r="WUD44" s="2845"/>
      <c r="WUE44" s="2842"/>
      <c r="WUF44" s="2842"/>
      <c r="WUG44" s="2843"/>
      <c r="WUH44" s="2843"/>
      <c r="WUI44" s="2844"/>
      <c r="WUJ44" s="2845"/>
      <c r="WUK44" s="2842"/>
      <c r="WUL44" s="2842"/>
      <c r="WUM44" s="2843"/>
      <c r="WUN44" s="2843"/>
      <c r="WUO44" s="2844"/>
      <c r="WUP44" s="2845"/>
      <c r="WUQ44" s="2842"/>
      <c r="WUR44" s="2842"/>
      <c r="WUS44" s="2843"/>
      <c r="WUT44" s="2843"/>
      <c r="WUU44" s="2844"/>
      <c r="WUV44" s="2845"/>
      <c r="WUW44" s="2842"/>
      <c r="WUX44" s="2842"/>
      <c r="WUY44" s="2843"/>
      <c r="WUZ44" s="2843"/>
      <c r="WVA44" s="2844"/>
      <c r="WVB44" s="2845"/>
      <c r="WVC44" s="2842"/>
      <c r="WVD44" s="2842"/>
      <c r="WVE44" s="2843"/>
      <c r="WVF44" s="2843"/>
      <c r="WVG44" s="2844"/>
      <c r="WVH44" s="2845"/>
      <c r="WVI44" s="2842"/>
      <c r="WVJ44" s="2842"/>
      <c r="WVK44" s="2843"/>
      <c r="WVL44" s="2843"/>
      <c r="WVM44" s="2844"/>
      <c r="WVN44" s="2845"/>
      <c r="WVO44" s="2842"/>
      <c r="WVP44" s="2842"/>
      <c r="WVQ44" s="2843"/>
      <c r="WVR44" s="2843"/>
      <c r="WVS44" s="2844"/>
      <c r="WVT44" s="2845"/>
      <c r="WVU44" s="2842"/>
      <c r="WVV44" s="2842"/>
      <c r="WVW44" s="2843"/>
      <c r="WVX44" s="2843"/>
      <c r="WVY44" s="2844"/>
      <c r="WVZ44" s="2845"/>
      <c r="WWA44" s="2842"/>
      <c r="WWB44" s="2842"/>
      <c r="WWC44" s="2843"/>
      <c r="WWD44" s="2843"/>
      <c r="WWE44" s="2844"/>
      <c r="WWF44" s="2845"/>
      <c r="WWG44" s="2842"/>
      <c r="WWH44" s="2842"/>
      <c r="WWI44" s="2843"/>
      <c r="WWJ44" s="2843"/>
      <c r="WWK44" s="2844"/>
      <c r="WWL44" s="2845"/>
      <c r="WWM44" s="2842"/>
      <c r="WWN44" s="2842"/>
      <c r="WWO44" s="2843"/>
      <c r="WWP44" s="2843"/>
      <c r="WWQ44" s="2844"/>
      <c r="WWR44" s="2845"/>
      <c r="WWS44" s="2842"/>
      <c r="WWT44" s="2842"/>
      <c r="WWU44" s="2843"/>
      <c r="WWV44" s="2843"/>
      <c r="WWW44" s="2844"/>
      <c r="WWX44" s="2845"/>
      <c r="WWY44" s="2842"/>
      <c r="WWZ44" s="2842"/>
      <c r="WXA44" s="2843"/>
      <c r="WXB44" s="2843"/>
      <c r="WXC44" s="2844"/>
      <c r="WXD44" s="2845"/>
      <c r="WXE44" s="2842"/>
      <c r="WXF44" s="2842"/>
      <c r="WXG44" s="2843"/>
      <c r="WXH44" s="2843"/>
      <c r="WXI44" s="2844"/>
      <c r="WXJ44" s="2845"/>
      <c r="WXK44" s="2842"/>
      <c r="WXL44" s="2842"/>
      <c r="WXM44" s="2843"/>
      <c r="WXN44" s="2843"/>
      <c r="WXO44" s="2844"/>
      <c r="WXP44" s="2845"/>
      <c r="WXQ44" s="2842"/>
      <c r="WXR44" s="2842"/>
      <c r="WXS44" s="2843"/>
      <c r="WXT44" s="2843"/>
      <c r="WXU44" s="2844"/>
      <c r="WXV44" s="2845"/>
      <c r="WXW44" s="2842"/>
      <c r="WXX44" s="2842"/>
      <c r="WXY44" s="2843"/>
      <c r="WXZ44" s="2843"/>
      <c r="WYA44" s="2844"/>
      <c r="WYB44" s="2845"/>
      <c r="WYC44" s="2842"/>
      <c r="WYD44" s="2842"/>
      <c r="WYE44" s="2843"/>
      <c r="WYF44" s="2843"/>
      <c r="WYG44" s="2844"/>
      <c r="WYH44" s="2845"/>
      <c r="WYI44" s="2842"/>
      <c r="WYJ44" s="2842"/>
      <c r="WYK44" s="2843"/>
      <c r="WYL44" s="2843"/>
      <c r="WYM44" s="2844"/>
      <c r="WYN44" s="2845"/>
      <c r="WYO44" s="2842"/>
      <c r="WYP44" s="2842"/>
      <c r="WYQ44" s="2843"/>
      <c r="WYR44" s="2843"/>
      <c r="WYS44" s="2844"/>
      <c r="WYT44" s="2845"/>
      <c r="WYU44" s="2842"/>
      <c r="WYV44" s="2842"/>
      <c r="WYW44" s="2843"/>
      <c r="WYX44" s="2843"/>
      <c r="WYY44" s="2844"/>
      <c r="WYZ44" s="2845"/>
      <c r="WZA44" s="2842"/>
      <c r="WZB44" s="2842"/>
      <c r="WZC44" s="2843"/>
      <c r="WZD44" s="2843"/>
      <c r="WZE44" s="2844"/>
      <c r="WZF44" s="2845"/>
      <c r="WZG44" s="2842"/>
      <c r="WZH44" s="2842"/>
      <c r="WZI44" s="2843"/>
      <c r="WZJ44" s="2843"/>
      <c r="WZK44" s="2844"/>
      <c r="WZL44" s="2845"/>
      <c r="WZM44" s="2842"/>
      <c r="WZN44" s="2842"/>
      <c r="WZO44" s="2843"/>
      <c r="WZP44" s="2843"/>
      <c r="WZQ44" s="2844"/>
      <c r="WZR44" s="2845"/>
      <c r="WZS44" s="2842"/>
      <c r="WZT44" s="2842"/>
      <c r="WZU44" s="2843"/>
      <c r="WZV44" s="2843"/>
      <c r="WZW44" s="2844"/>
      <c r="WZX44" s="2845"/>
      <c r="WZY44" s="2842"/>
      <c r="WZZ44" s="2842"/>
      <c r="XAA44" s="2843"/>
      <c r="XAB44" s="2843"/>
      <c r="XAC44" s="2844"/>
      <c r="XAD44" s="2845"/>
      <c r="XAE44" s="2842"/>
      <c r="XAF44" s="2842"/>
      <c r="XAG44" s="2843"/>
      <c r="XAH44" s="2843"/>
      <c r="XAI44" s="2844"/>
      <c r="XAJ44" s="2845"/>
      <c r="XAK44" s="2842"/>
      <c r="XAL44" s="2842"/>
      <c r="XAM44" s="2843"/>
      <c r="XAN44" s="2843"/>
      <c r="XAO44" s="2844"/>
      <c r="XAP44" s="2845"/>
      <c r="XAQ44" s="2842"/>
      <c r="XAR44" s="2842"/>
      <c r="XAS44" s="2843"/>
      <c r="XAT44" s="2843"/>
      <c r="XAU44" s="2844"/>
      <c r="XAV44" s="2845"/>
      <c r="XAW44" s="2842"/>
      <c r="XAX44" s="2842"/>
      <c r="XAY44" s="2843"/>
      <c r="XAZ44" s="2843"/>
      <c r="XBA44" s="2844"/>
      <c r="XBB44" s="2845"/>
      <c r="XBC44" s="2842"/>
      <c r="XBD44" s="2842"/>
      <c r="XBE44" s="2843"/>
      <c r="XBF44" s="2843"/>
      <c r="XBG44" s="2844"/>
      <c r="XBH44" s="2845"/>
      <c r="XBI44" s="2842"/>
      <c r="XBJ44" s="2842"/>
      <c r="XBK44" s="2843"/>
      <c r="XBL44" s="2843"/>
      <c r="XBM44" s="2844"/>
      <c r="XBN44" s="2845"/>
      <c r="XBO44" s="2842"/>
      <c r="XBP44" s="2842"/>
      <c r="XBQ44" s="2843"/>
      <c r="XBR44" s="2843"/>
      <c r="XBS44" s="2844"/>
      <c r="XBT44" s="2845"/>
      <c r="XBU44" s="2842"/>
      <c r="XBV44" s="2842"/>
      <c r="XBW44" s="2843"/>
      <c r="XBX44" s="2843"/>
      <c r="XBY44" s="2844"/>
      <c r="XBZ44" s="2845"/>
      <c r="XCA44" s="2842"/>
      <c r="XCB44" s="2842"/>
      <c r="XCC44" s="2843"/>
      <c r="XCD44" s="2843"/>
      <c r="XCE44" s="2844"/>
      <c r="XCF44" s="2845"/>
      <c r="XCG44" s="2842"/>
      <c r="XCH44" s="2842"/>
      <c r="XCI44" s="2843"/>
      <c r="XCJ44" s="2843"/>
      <c r="XCK44" s="2844"/>
      <c r="XCL44" s="2845"/>
      <c r="XCM44" s="2842"/>
      <c r="XCN44" s="2842"/>
      <c r="XCO44" s="2843"/>
      <c r="XCP44" s="2843"/>
      <c r="XCQ44" s="2844"/>
      <c r="XCR44" s="2845"/>
      <c r="XCS44" s="2842"/>
      <c r="XCT44" s="2842"/>
      <c r="XCU44" s="2843"/>
      <c r="XCV44" s="2843"/>
      <c r="XCW44" s="2844"/>
      <c r="XCX44" s="2845"/>
      <c r="XCY44" s="2842"/>
      <c r="XCZ44" s="2842"/>
      <c r="XDA44" s="2843"/>
      <c r="XDB44" s="2843"/>
      <c r="XDC44" s="2844"/>
      <c r="XDD44" s="2845"/>
      <c r="XDE44" s="2842"/>
      <c r="XDF44" s="2842"/>
      <c r="XDG44" s="2843"/>
      <c r="XDH44" s="2843"/>
      <c r="XDI44" s="2844"/>
      <c r="XDJ44" s="2845"/>
      <c r="XDK44" s="2842"/>
      <c r="XDL44" s="2842"/>
      <c r="XDM44" s="2843"/>
      <c r="XDN44" s="2843"/>
      <c r="XDO44" s="2844"/>
      <c r="XDP44" s="2845"/>
      <c r="XDQ44" s="2842"/>
      <c r="XDR44" s="2842"/>
      <c r="XDS44" s="2843"/>
      <c r="XDT44" s="2843"/>
      <c r="XDU44" s="2844"/>
      <c r="XDV44" s="2845"/>
      <c r="XDW44" s="2842"/>
      <c r="XDX44" s="2842"/>
      <c r="XDY44" s="2843"/>
      <c r="XDZ44" s="2843"/>
      <c r="XEA44" s="2844"/>
      <c r="XEB44" s="2845"/>
      <c r="XEC44" s="2842"/>
      <c r="XED44" s="2842"/>
      <c r="XEE44" s="2843"/>
      <c r="XEF44" s="2843"/>
      <c r="XEG44" s="2844"/>
      <c r="XEH44" s="2845"/>
      <c r="XEI44" s="2842"/>
      <c r="XEJ44" s="2842"/>
      <c r="XEK44" s="2843"/>
      <c r="XEL44" s="2843"/>
      <c r="XEM44" s="2844"/>
      <c r="XEN44" s="2845"/>
      <c r="XEO44" s="2842"/>
      <c r="XEP44" s="2842"/>
      <c r="XEQ44" s="2843"/>
      <c r="XER44" s="2843"/>
      <c r="XES44" s="2844"/>
      <c r="XET44" s="2845"/>
      <c r="XEU44" s="2842"/>
      <c r="XEV44" s="2842"/>
      <c r="XEW44" s="2843"/>
      <c r="XEX44" s="2843"/>
      <c r="XEY44" s="2844"/>
      <c r="XEZ44" s="2845"/>
      <c r="XFA44" s="2842"/>
      <c r="XFB44" s="2842"/>
      <c r="XFC44" s="2843"/>
      <c r="XFD44" s="2843"/>
    </row>
    <row r="45" spans="1:16384" s="2841" customFormat="1" ht="84">
      <c r="A45" s="3124" t="s">
        <v>994</v>
      </c>
      <c r="B45" s="2847" t="s">
        <v>1077</v>
      </c>
      <c r="C45" s="2847" t="s">
        <v>487</v>
      </c>
      <c r="D45" s="2848" t="s">
        <v>1103</v>
      </c>
      <c r="E45" s="2848" t="s">
        <v>1104</v>
      </c>
      <c r="F45" s="2972" t="s">
        <v>1105</v>
      </c>
      <c r="G45" s="2838"/>
      <c r="H45" s="2842"/>
      <c r="I45" s="2843"/>
      <c r="J45" s="2843"/>
      <c r="K45" s="2844"/>
      <c r="L45" s="2845"/>
      <c r="M45" s="2842"/>
      <c r="N45" s="2842"/>
      <c r="O45" s="2843"/>
      <c r="P45" s="2843"/>
      <c r="Q45" s="2844"/>
      <c r="R45" s="2845"/>
      <c r="S45" s="2842"/>
      <c r="T45" s="2842"/>
      <c r="U45" s="2843"/>
      <c r="V45" s="2843"/>
      <c r="W45" s="2844"/>
      <c r="X45" s="2845"/>
      <c r="Y45" s="2842"/>
      <c r="Z45" s="2842"/>
      <c r="AA45" s="2843"/>
      <c r="AB45" s="2843"/>
      <c r="AC45" s="2844"/>
      <c r="AD45" s="2845"/>
      <c r="AE45" s="2842"/>
      <c r="AF45" s="2842"/>
      <c r="AG45" s="2843"/>
      <c r="AH45" s="2843"/>
      <c r="AI45" s="2844"/>
      <c r="AJ45" s="2845"/>
      <c r="AK45" s="2842"/>
      <c r="AL45" s="2842"/>
      <c r="AM45" s="2843"/>
      <c r="AN45" s="2843"/>
      <c r="AO45" s="2844"/>
      <c r="AP45" s="2845"/>
      <c r="AQ45" s="2842"/>
      <c r="AR45" s="2842"/>
      <c r="AS45" s="2843"/>
      <c r="AT45" s="2843"/>
      <c r="AU45" s="2844"/>
      <c r="AV45" s="2845"/>
      <c r="AW45" s="2842"/>
      <c r="AX45" s="2842"/>
      <c r="AY45" s="2843"/>
      <c r="AZ45" s="2843"/>
      <c r="BA45" s="2844"/>
      <c r="BB45" s="2845"/>
      <c r="BC45" s="2842"/>
      <c r="BD45" s="2842"/>
      <c r="BE45" s="2843"/>
      <c r="BF45" s="2843"/>
      <c r="BG45" s="2844"/>
      <c r="BH45" s="2845"/>
      <c r="BI45" s="2842"/>
      <c r="BJ45" s="2842"/>
      <c r="BK45" s="2843"/>
      <c r="BL45" s="2843"/>
      <c r="BM45" s="2844"/>
      <c r="BN45" s="2845"/>
      <c r="BO45" s="2842"/>
      <c r="BP45" s="2842"/>
      <c r="BQ45" s="2843"/>
      <c r="BR45" s="2843"/>
      <c r="BS45" s="2844"/>
      <c r="BT45" s="2845"/>
      <c r="BU45" s="2842"/>
      <c r="BV45" s="2842"/>
      <c r="BW45" s="2843"/>
      <c r="BX45" s="2843"/>
      <c r="BY45" s="2844"/>
      <c r="BZ45" s="2845"/>
      <c r="CA45" s="2842"/>
      <c r="CB45" s="2842"/>
      <c r="CC45" s="2843"/>
      <c r="CD45" s="2843"/>
      <c r="CE45" s="2844"/>
      <c r="CF45" s="2845"/>
      <c r="CG45" s="2842"/>
      <c r="CH45" s="2842"/>
      <c r="CI45" s="2843"/>
      <c r="CJ45" s="2843"/>
      <c r="CK45" s="2844"/>
      <c r="CL45" s="2845"/>
      <c r="CM45" s="2842"/>
      <c r="CN45" s="2842"/>
      <c r="CO45" s="2843"/>
      <c r="CP45" s="2843"/>
      <c r="CQ45" s="2844"/>
      <c r="CR45" s="2845"/>
      <c r="CS45" s="2842"/>
      <c r="CT45" s="2842"/>
      <c r="CU45" s="2843"/>
      <c r="CV45" s="2843"/>
      <c r="CW45" s="2844"/>
      <c r="CX45" s="2845"/>
      <c r="CY45" s="2842"/>
      <c r="CZ45" s="2842"/>
      <c r="DA45" s="2843"/>
      <c r="DB45" s="2843"/>
      <c r="DC45" s="2844"/>
      <c r="DD45" s="2845"/>
      <c r="DE45" s="2842"/>
      <c r="DF45" s="2842"/>
      <c r="DG45" s="2843"/>
      <c r="DH45" s="2843"/>
      <c r="DI45" s="2844"/>
      <c r="DJ45" s="2845"/>
      <c r="DK45" s="2842"/>
      <c r="DL45" s="2842"/>
      <c r="DM45" s="2843"/>
      <c r="DN45" s="2843"/>
      <c r="DO45" s="2844"/>
      <c r="DP45" s="2845"/>
      <c r="DQ45" s="2842"/>
      <c r="DR45" s="2842"/>
      <c r="DS45" s="2843"/>
      <c r="DT45" s="2843"/>
      <c r="DU45" s="2844"/>
      <c r="DV45" s="2845"/>
      <c r="DW45" s="2842"/>
      <c r="DX45" s="2842"/>
      <c r="DY45" s="2843"/>
      <c r="DZ45" s="2843"/>
      <c r="EA45" s="2844"/>
      <c r="EB45" s="2845"/>
      <c r="EC45" s="2842"/>
      <c r="ED45" s="2842"/>
      <c r="EE45" s="2843"/>
      <c r="EF45" s="2843"/>
      <c r="EG45" s="2844"/>
      <c r="EH45" s="2845"/>
      <c r="EI45" s="2842"/>
      <c r="EJ45" s="2842"/>
      <c r="EK45" s="2843"/>
      <c r="EL45" s="2843"/>
      <c r="EM45" s="2844"/>
      <c r="EN45" s="2845"/>
      <c r="EO45" s="2842"/>
      <c r="EP45" s="2842"/>
      <c r="EQ45" s="2843"/>
      <c r="ER45" s="2843"/>
      <c r="ES45" s="2844"/>
      <c r="ET45" s="2845"/>
      <c r="EU45" s="2842"/>
      <c r="EV45" s="2842"/>
      <c r="EW45" s="2843"/>
      <c r="EX45" s="2843"/>
      <c r="EY45" s="2844"/>
      <c r="EZ45" s="2845"/>
      <c r="FA45" s="2842"/>
      <c r="FB45" s="2842"/>
      <c r="FC45" s="2843"/>
      <c r="FD45" s="2843"/>
      <c r="FE45" s="2844"/>
      <c r="FF45" s="2845"/>
      <c r="FG45" s="2842"/>
      <c r="FH45" s="2842"/>
      <c r="FI45" s="2843"/>
      <c r="FJ45" s="2843"/>
      <c r="FK45" s="2844"/>
      <c r="FL45" s="2845"/>
      <c r="FM45" s="2842"/>
      <c r="FN45" s="2842"/>
      <c r="FO45" s="2843"/>
      <c r="FP45" s="2843"/>
      <c r="FQ45" s="2844"/>
      <c r="FR45" s="2845"/>
      <c r="FS45" s="2842"/>
      <c r="FT45" s="2842"/>
      <c r="FU45" s="2843"/>
      <c r="FV45" s="2843"/>
      <c r="FW45" s="2844"/>
      <c r="FX45" s="2845"/>
      <c r="FY45" s="2842"/>
      <c r="FZ45" s="2842"/>
      <c r="GA45" s="2843"/>
      <c r="GB45" s="2843"/>
      <c r="GC45" s="2844"/>
      <c r="GD45" s="2845"/>
      <c r="GE45" s="2842"/>
      <c r="GF45" s="2842"/>
      <c r="GG45" s="2843"/>
      <c r="GH45" s="2843"/>
      <c r="GI45" s="2844"/>
      <c r="GJ45" s="2845"/>
      <c r="GK45" s="2842"/>
      <c r="GL45" s="2842"/>
      <c r="GM45" s="2843"/>
      <c r="GN45" s="2843"/>
      <c r="GO45" s="2844"/>
      <c r="GP45" s="2845"/>
      <c r="GQ45" s="2842"/>
      <c r="GR45" s="2842"/>
      <c r="GS45" s="2843"/>
      <c r="GT45" s="2843"/>
      <c r="GU45" s="2844"/>
      <c r="GV45" s="2845"/>
      <c r="GW45" s="2842"/>
      <c r="GX45" s="2842"/>
      <c r="GY45" s="2843"/>
      <c r="GZ45" s="2843"/>
      <c r="HA45" s="2844"/>
      <c r="HB45" s="2845"/>
      <c r="HC45" s="2842"/>
      <c r="HD45" s="2842"/>
      <c r="HE45" s="2843"/>
      <c r="HF45" s="2843"/>
      <c r="HG45" s="2844"/>
      <c r="HH45" s="2845"/>
      <c r="HI45" s="2842"/>
      <c r="HJ45" s="2842"/>
      <c r="HK45" s="2843"/>
      <c r="HL45" s="2843"/>
      <c r="HM45" s="2844"/>
      <c r="HN45" s="2845"/>
      <c r="HO45" s="2842"/>
      <c r="HP45" s="2842"/>
      <c r="HQ45" s="2843"/>
      <c r="HR45" s="2843"/>
      <c r="HS45" s="2844"/>
      <c r="HT45" s="2845"/>
      <c r="HU45" s="2842"/>
      <c r="HV45" s="2842"/>
      <c r="HW45" s="2843"/>
      <c r="HX45" s="2843"/>
      <c r="HY45" s="2844"/>
      <c r="HZ45" s="2845"/>
      <c r="IA45" s="2842"/>
      <c r="IB45" s="2842"/>
      <c r="IC45" s="2843"/>
      <c r="ID45" s="2843"/>
      <c r="IE45" s="2844"/>
      <c r="IF45" s="2845"/>
      <c r="IG45" s="2842"/>
      <c r="IH45" s="2842"/>
      <c r="II45" s="2843"/>
      <c r="IJ45" s="2843"/>
      <c r="IK45" s="2844"/>
      <c r="IL45" s="2845"/>
      <c r="IM45" s="2842"/>
      <c r="IN45" s="2842"/>
      <c r="IO45" s="2843"/>
      <c r="IP45" s="2843"/>
      <c r="IQ45" s="2844"/>
      <c r="IR45" s="2845"/>
      <c r="IS45" s="2842"/>
      <c r="IT45" s="2842"/>
      <c r="IU45" s="2843"/>
      <c r="IV45" s="2843"/>
      <c r="IW45" s="2844"/>
      <c r="IX45" s="2845"/>
      <c r="IY45" s="2842"/>
      <c r="IZ45" s="2842"/>
      <c r="JA45" s="2843"/>
      <c r="JB45" s="2843"/>
      <c r="JC45" s="2844"/>
      <c r="JD45" s="2845"/>
      <c r="JE45" s="2842"/>
      <c r="JF45" s="2842"/>
      <c r="JG45" s="2843"/>
      <c r="JH45" s="2843"/>
      <c r="JI45" s="2844"/>
      <c r="JJ45" s="2845"/>
      <c r="JK45" s="2842"/>
      <c r="JL45" s="2842"/>
      <c r="JM45" s="2843"/>
      <c r="JN45" s="2843"/>
      <c r="JO45" s="2844"/>
      <c r="JP45" s="2845"/>
      <c r="JQ45" s="2842"/>
      <c r="JR45" s="2842"/>
      <c r="JS45" s="2843"/>
      <c r="JT45" s="2843"/>
      <c r="JU45" s="2844"/>
      <c r="JV45" s="2845"/>
      <c r="JW45" s="2842"/>
      <c r="JX45" s="2842"/>
      <c r="JY45" s="2843"/>
      <c r="JZ45" s="2843"/>
      <c r="KA45" s="2844"/>
      <c r="KB45" s="2845"/>
      <c r="KC45" s="2842"/>
      <c r="KD45" s="2842"/>
      <c r="KE45" s="2843"/>
      <c r="KF45" s="2843"/>
      <c r="KG45" s="2844"/>
      <c r="KH45" s="2845"/>
      <c r="KI45" s="2842"/>
      <c r="KJ45" s="2842"/>
      <c r="KK45" s="2843"/>
      <c r="KL45" s="2843"/>
      <c r="KM45" s="2844"/>
      <c r="KN45" s="2845"/>
      <c r="KO45" s="2842"/>
      <c r="KP45" s="2842"/>
      <c r="KQ45" s="2843"/>
      <c r="KR45" s="2843"/>
      <c r="KS45" s="2844"/>
      <c r="KT45" s="2845"/>
      <c r="KU45" s="2842"/>
      <c r="KV45" s="2842"/>
      <c r="KW45" s="2843"/>
      <c r="KX45" s="2843"/>
      <c r="KY45" s="2844"/>
      <c r="KZ45" s="2845"/>
      <c r="LA45" s="2842"/>
      <c r="LB45" s="2842"/>
      <c r="LC45" s="2843"/>
      <c r="LD45" s="2843"/>
      <c r="LE45" s="2844"/>
      <c r="LF45" s="2845"/>
      <c r="LG45" s="2842"/>
      <c r="LH45" s="2842"/>
      <c r="LI45" s="2843"/>
      <c r="LJ45" s="2843"/>
      <c r="LK45" s="2844"/>
      <c r="LL45" s="2845"/>
      <c r="LM45" s="2842"/>
      <c r="LN45" s="2842"/>
      <c r="LO45" s="2843"/>
      <c r="LP45" s="2843"/>
      <c r="LQ45" s="2844"/>
      <c r="LR45" s="2845"/>
      <c r="LS45" s="2842"/>
      <c r="LT45" s="2842"/>
      <c r="LU45" s="2843"/>
      <c r="LV45" s="2843"/>
      <c r="LW45" s="2844"/>
      <c r="LX45" s="2845"/>
      <c r="LY45" s="2842"/>
      <c r="LZ45" s="2842"/>
      <c r="MA45" s="2843"/>
      <c r="MB45" s="2843"/>
      <c r="MC45" s="2844"/>
      <c r="MD45" s="2845"/>
      <c r="ME45" s="2842"/>
      <c r="MF45" s="2842"/>
      <c r="MG45" s="2843"/>
      <c r="MH45" s="2843"/>
      <c r="MI45" s="2844"/>
      <c r="MJ45" s="2845"/>
      <c r="MK45" s="2842"/>
      <c r="ML45" s="2842"/>
      <c r="MM45" s="2843"/>
      <c r="MN45" s="2843"/>
      <c r="MO45" s="2844"/>
      <c r="MP45" s="2845"/>
      <c r="MQ45" s="2842"/>
      <c r="MR45" s="2842"/>
      <c r="MS45" s="2843"/>
      <c r="MT45" s="2843"/>
      <c r="MU45" s="2844"/>
      <c r="MV45" s="2845"/>
      <c r="MW45" s="2842"/>
      <c r="MX45" s="2842"/>
      <c r="MY45" s="2843"/>
      <c r="MZ45" s="2843"/>
      <c r="NA45" s="2844"/>
      <c r="NB45" s="2845"/>
      <c r="NC45" s="2842"/>
      <c r="ND45" s="2842"/>
      <c r="NE45" s="2843"/>
      <c r="NF45" s="2843"/>
      <c r="NG45" s="2844"/>
      <c r="NH45" s="2845"/>
      <c r="NI45" s="2842"/>
      <c r="NJ45" s="2842"/>
      <c r="NK45" s="2843"/>
      <c r="NL45" s="2843"/>
      <c r="NM45" s="2844"/>
      <c r="NN45" s="2845"/>
      <c r="NO45" s="2842"/>
      <c r="NP45" s="2842"/>
      <c r="NQ45" s="2843"/>
      <c r="NR45" s="2843"/>
      <c r="NS45" s="2844"/>
      <c r="NT45" s="2845"/>
      <c r="NU45" s="2842"/>
      <c r="NV45" s="2842"/>
      <c r="NW45" s="2843"/>
      <c r="NX45" s="2843"/>
      <c r="NY45" s="2844"/>
      <c r="NZ45" s="2845"/>
      <c r="OA45" s="2842"/>
      <c r="OB45" s="2842"/>
      <c r="OC45" s="2843"/>
      <c r="OD45" s="2843"/>
      <c r="OE45" s="2844"/>
      <c r="OF45" s="2845"/>
      <c r="OG45" s="2842"/>
      <c r="OH45" s="2842"/>
      <c r="OI45" s="2843"/>
      <c r="OJ45" s="2843"/>
      <c r="OK45" s="2844"/>
      <c r="OL45" s="2845"/>
      <c r="OM45" s="2842"/>
      <c r="ON45" s="2842"/>
      <c r="OO45" s="2843"/>
      <c r="OP45" s="2843"/>
      <c r="OQ45" s="2844"/>
      <c r="OR45" s="2845"/>
      <c r="OS45" s="2842"/>
      <c r="OT45" s="2842"/>
      <c r="OU45" s="2843"/>
      <c r="OV45" s="2843"/>
      <c r="OW45" s="2844"/>
      <c r="OX45" s="2845"/>
      <c r="OY45" s="2842"/>
      <c r="OZ45" s="2842"/>
      <c r="PA45" s="2843"/>
      <c r="PB45" s="2843"/>
      <c r="PC45" s="2844"/>
      <c r="PD45" s="2845"/>
      <c r="PE45" s="2842"/>
      <c r="PF45" s="2842"/>
      <c r="PG45" s="2843"/>
      <c r="PH45" s="2843"/>
      <c r="PI45" s="2844"/>
      <c r="PJ45" s="2845"/>
      <c r="PK45" s="2842"/>
      <c r="PL45" s="2842"/>
      <c r="PM45" s="2843"/>
      <c r="PN45" s="2843"/>
      <c r="PO45" s="2844"/>
      <c r="PP45" s="2845"/>
      <c r="PQ45" s="2842"/>
      <c r="PR45" s="2842"/>
      <c r="PS45" s="2843"/>
      <c r="PT45" s="2843"/>
      <c r="PU45" s="2844"/>
      <c r="PV45" s="2845"/>
      <c r="PW45" s="2842"/>
      <c r="PX45" s="2842"/>
      <c r="PY45" s="2843"/>
      <c r="PZ45" s="2843"/>
      <c r="QA45" s="2844"/>
      <c r="QB45" s="2845"/>
      <c r="QC45" s="2842"/>
      <c r="QD45" s="2842"/>
      <c r="QE45" s="2843"/>
      <c r="QF45" s="2843"/>
      <c r="QG45" s="2844"/>
      <c r="QH45" s="2845"/>
      <c r="QI45" s="2842"/>
      <c r="QJ45" s="2842"/>
      <c r="QK45" s="2843"/>
      <c r="QL45" s="2843"/>
      <c r="QM45" s="2844"/>
      <c r="QN45" s="2845"/>
      <c r="QO45" s="2842"/>
      <c r="QP45" s="2842"/>
      <c r="QQ45" s="2843"/>
      <c r="QR45" s="2843"/>
      <c r="QS45" s="2844"/>
      <c r="QT45" s="2845"/>
      <c r="QU45" s="2842"/>
      <c r="QV45" s="2842"/>
      <c r="QW45" s="2843"/>
      <c r="QX45" s="2843"/>
      <c r="QY45" s="2844"/>
      <c r="QZ45" s="2845"/>
      <c r="RA45" s="2842"/>
      <c r="RB45" s="2842"/>
      <c r="RC45" s="2843"/>
      <c r="RD45" s="2843"/>
      <c r="RE45" s="2844"/>
      <c r="RF45" s="2845"/>
      <c r="RG45" s="2842"/>
      <c r="RH45" s="2842"/>
      <c r="RI45" s="2843"/>
      <c r="RJ45" s="2843"/>
      <c r="RK45" s="2844"/>
      <c r="RL45" s="2845"/>
      <c r="RM45" s="2842"/>
      <c r="RN45" s="2842"/>
      <c r="RO45" s="2843"/>
      <c r="RP45" s="2843"/>
      <c r="RQ45" s="2844"/>
      <c r="RR45" s="2845"/>
      <c r="RS45" s="2842"/>
      <c r="RT45" s="2842"/>
      <c r="RU45" s="2843"/>
      <c r="RV45" s="2843"/>
      <c r="RW45" s="2844"/>
      <c r="RX45" s="2845"/>
      <c r="RY45" s="2842"/>
      <c r="RZ45" s="2842"/>
      <c r="SA45" s="2843"/>
      <c r="SB45" s="2843"/>
      <c r="SC45" s="2844"/>
      <c r="SD45" s="2845"/>
      <c r="SE45" s="2842"/>
      <c r="SF45" s="2842"/>
      <c r="SG45" s="2843"/>
      <c r="SH45" s="2843"/>
      <c r="SI45" s="2844"/>
      <c r="SJ45" s="2845"/>
      <c r="SK45" s="2842"/>
      <c r="SL45" s="2842"/>
      <c r="SM45" s="2843"/>
      <c r="SN45" s="2843"/>
      <c r="SO45" s="2844"/>
      <c r="SP45" s="2845"/>
      <c r="SQ45" s="2842"/>
      <c r="SR45" s="2842"/>
      <c r="SS45" s="2843"/>
      <c r="ST45" s="2843"/>
      <c r="SU45" s="2844"/>
      <c r="SV45" s="2845"/>
      <c r="SW45" s="2842"/>
      <c r="SX45" s="2842"/>
      <c r="SY45" s="2843"/>
      <c r="SZ45" s="2843"/>
      <c r="TA45" s="2844"/>
      <c r="TB45" s="2845"/>
      <c r="TC45" s="2842"/>
      <c r="TD45" s="2842"/>
      <c r="TE45" s="2843"/>
      <c r="TF45" s="2843"/>
      <c r="TG45" s="2844"/>
      <c r="TH45" s="2845"/>
      <c r="TI45" s="2842"/>
      <c r="TJ45" s="2842"/>
      <c r="TK45" s="2843"/>
      <c r="TL45" s="2843"/>
      <c r="TM45" s="2844"/>
      <c r="TN45" s="2845"/>
      <c r="TO45" s="2842"/>
      <c r="TP45" s="2842"/>
      <c r="TQ45" s="2843"/>
      <c r="TR45" s="2843"/>
      <c r="TS45" s="2844"/>
      <c r="TT45" s="2845"/>
      <c r="TU45" s="2842"/>
      <c r="TV45" s="2842"/>
      <c r="TW45" s="2843"/>
      <c r="TX45" s="2843"/>
      <c r="TY45" s="2844"/>
      <c r="TZ45" s="2845"/>
      <c r="UA45" s="2842"/>
      <c r="UB45" s="2842"/>
      <c r="UC45" s="2843"/>
      <c r="UD45" s="2843"/>
      <c r="UE45" s="2844"/>
      <c r="UF45" s="2845"/>
      <c r="UG45" s="2842"/>
      <c r="UH45" s="2842"/>
      <c r="UI45" s="2843"/>
      <c r="UJ45" s="2843"/>
      <c r="UK45" s="2844"/>
      <c r="UL45" s="2845"/>
      <c r="UM45" s="2842"/>
      <c r="UN45" s="2842"/>
      <c r="UO45" s="2843"/>
      <c r="UP45" s="2843"/>
      <c r="UQ45" s="2844"/>
      <c r="UR45" s="2845"/>
      <c r="US45" s="2842"/>
      <c r="UT45" s="2842"/>
      <c r="UU45" s="2843"/>
      <c r="UV45" s="2843"/>
      <c r="UW45" s="2844"/>
      <c r="UX45" s="2845"/>
      <c r="UY45" s="2842"/>
      <c r="UZ45" s="2842"/>
      <c r="VA45" s="2843"/>
      <c r="VB45" s="2843"/>
      <c r="VC45" s="2844"/>
      <c r="VD45" s="2845"/>
      <c r="VE45" s="2842"/>
      <c r="VF45" s="2842"/>
      <c r="VG45" s="2843"/>
      <c r="VH45" s="2843"/>
      <c r="VI45" s="2844"/>
      <c r="VJ45" s="2845"/>
      <c r="VK45" s="2842"/>
      <c r="VL45" s="2842"/>
      <c r="VM45" s="2843"/>
      <c r="VN45" s="2843"/>
      <c r="VO45" s="2844"/>
      <c r="VP45" s="2845"/>
      <c r="VQ45" s="2842"/>
      <c r="VR45" s="2842"/>
      <c r="VS45" s="2843"/>
      <c r="VT45" s="2843"/>
      <c r="VU45" s="2844"/>
      <c r="VV45" s="2845"/>
      <c r="VW45" s="2842"/>
      <c r="VX45" s="2842"/>
      <c r="VY45" s="2843"/>
      <c r="VZ45" s="2843"/>
      <c r="WA45" s="2844"/>
      <c r="WB45" s="2845"/>
      <c r="WC45" s="2842"/>
      <c r="WD45" s="2842"/>
      <c r="WE45" s="2843"/>
      <c r="WF45" s="2843"/>
      <c r="WG45" s="2844"/>
      <c r="WH45" s="2845"/>
      <c r="WI45" s="2842"/>
      <c r="WJ45" s="2842"/>
      <c r="WK45" s="2843"/>
      <c r="WL45" s="2843"/>
      <c r="WM45" s="2844"/>
      <c r="WN45" s="2845"/>
      <c r="WO45" s="2842"/>
      <c r="WP45" s="2842"/>
      <c r="WQ45" s="2843"/>
      <c r="WR45" s="2843"/>
      <c r="WS45" s="2844"/>
      <c r="WT45" s="2845"/>
      <c r="WU45" s="2842"/>
      <c r="WV45" s="2842"/>
      <c r="WW45" s="2843"/>
      <c r="WX45" s="2843"/>
      <c r="WY45" s="2844"/>
      <c r="WZ45" s="2845"/>
      <c r="XA45" s="2842"/>
      <c r="XB45" s="2842"/>
      <c r="XC45" s="2843"/>
      <c r="XD45" s="2843"/>
      <c r="XE45" s="2844"/>
      <c r="XF45" s="2845"/>
      <c r="XG45" s="2842"/>
      <c r="XH45" s="2842"/>
      <c r="XI45" s="2843"/>
      <c r="XJ45" s="2843"/>
      <c r="XK45" s="2844"/>
      <c r="XL45" s="2845"/>
      <c r="XM45" s="2842"/>
      <c r="XN45" s="2842"/>
      <c r="XO45" s="2843"/>
      <c r="XP45" s="2843"/>
      <c r="XQ45" s="2844"/>
      <c r="XR45" s="2845"/>
      <c r="XS45" s="2842"/>
      <c r="XT45" s="2842"/>
      <c r="XU45" s="2843"/>
      <c r="XV45" s="2843"/>
      <c r="XW45" s="2844"/>
      <c r="XX45" s="2845"/>
      <c r="XY45" s="2842"/>
      <c r="XZ45" s="2842"/>
      <c r="YA45" s="2843"/>
      <c r="YB45" s="2843"/>
      <c r="YC45" s="2844"/>
      <c r="YD45" s="2845"/>
      <c r="YE45" s="2842"/>
      <c r="YF45" s="2842"/>
      <c r="YG45" s="2843"/>
      <c r="YH45" s="2843"/>
      <c r="YI45" s="2844"/>
      <c r="YJ45" s="2845"/>
      <c r="YK45" s="2842"/>
      <c r="YL45" s="2842"/>
      <c r="YM45" s="2843"/>
      <c r="YN45" s="2843"/>
      <c r="YO45" s="2844"/>
      <c r="YP45" s="2845"/>
      <c r="YQ45" s="2842"/>
      <c r="YR45" s="2842"/>
      <c r="YS45" s="2843"/>
      <c r="YT45" s="2843"/>
      <c r="YU45" s="2844"/>
      <c r="YV45" s="2845"/>
      <c r="YW45" s="2842"/>
      <c r="YX45" s="2842"/>
      <c r="YY45" s="2843"/>
      <c r="YZ45" s="2843"/>
      <c r="ZA45" s="2844"/>
      <c r="ZB45" s="2845"/>
      <c r="ZC45" s="2842"/>
      <c r="ZD45" s="2842"/>
      <c r="ZE45" s="2843"/>
      <c r="ZF45" s="2843"/>
      <c r="ZG45" s="2844"/>
      <c r="ZH45" s="2845"/>
      <c r="ZI45" s="2842"/>
      <c r="ZJ45" s="2842"/>
      <c r="ZK45" s="2843"/>
      <c r="ZL45" s="2843"/>
      <c r="ZM45" s="2844"/>
      <c r="ZN45" s="2845"/>
      <c r="ZO45" s="2842"/>
      <c r="ZP45" s="2842"/>
      <c r="ZQ45" s="2843"/>
      <c r="ZR45" s="2843"/>
      <c r="ZS45" s="2844"/>
      <c r="ZT45" s="2845"/>
      <c r="ZU45" s="2842"/>
      <c r="ZV45" s="2842"/>
      <c r="ZW45" s="2843"/>
      <c r="ZX45" s="2843"/>
      <c r="ZY45" s="2844"/>
      <c r="ZZ45" s="2845"/>
      <c r="AAA45" s="2842"/>
      <c r="AAB45" s="2842"/>
      <c r="AAC45" s="2843"/>
      <c r="AAD45" s="2843"/>
      <c r="AAE45" s="2844"/>
      <c r="AAF45" s="2845"/>
      <c r="AAG45" s="2842"/>
      <c r="AAH45" s="2842"/>
      <c r="AAI45" s="2843"/>
      <c r="AAJ45" s="2843"/>
      <c r="AAK45" s="2844"/>
      <c r="AAL45" s="2845"/>
      <c r="AAM45" s="2842"/>
      <c r="AAN45" s="2842"/>
      <c r="AAO45" s="2843"/>
      <c r="AAP45" s="2843"/>
      <c r="AAQ45" s="2844"/>
      <c r="AAR45" s="2845"/>
      <c r="AAS45" s="2842"/>
      <c r="AAT45" s="2842"/>
      <c r="AAU45" s="2843"/>
      <c r="AAV45" s="2843"/>
      <c r="AAW45" s="2844"/>
      <c r="AAX45" s="2845"/>
      <c r="AAY45" s="2842"/>
      <c r="AAZ45" s="2842"/>
      <c r="ABA45" s="2843"/>
      <c r="ABB45" s="2843"/>
      <c r="ABC45" s="2844"/>
      <c r="ABD45" s="2845"/>
      <c r="ABE45" s="2842"/>
      <c r="ABF45" s="2842"/>
      <c r="ABG45" s="2843"/>
      <c r="ABH45" s="2843"/>
      <c r="ABI45" s="2844"/>
      <c r="ABJ45" s="2845"/>
      <c r="ABK45" s="2842"/>
      <c r="ABL45" s="2842"/>
      <c r="ABM45" s="2843"/>
      <c r="ABN45" s="2843"/>
      <c r="ABO45" s="2844"/>
      <c r="ABP45" s="2845"/>
      <c r="ABQ45" s="2842"/>
      <c r="ABR45" s="2842"/>
      <c r="ABS45" s="2843"/>
      <c r="ABT45" s="2843"/>
      <c r="ABU45" s="2844"/>
      <c r="ABV45" s="2845"/>
      <c r="ABW45" s="2842"/>
      <c r="ABX45" s="2842"/>
      <c r="ABY45" s="2843"/>
      <c r="ABZ45" s="2843"/>
      <c r="ACA45" s="2844"/>
      <c r="ACB45" s="2845"/>
      <c r="ACC45" s="2842"/>
      <c r="ACD45" s="2842"/>
      <c r="ACE45" s="2843"/>
      <c r="ACF45" s="2843"/>
      <c r="ACG45" s="2844"/>
      <c r="ACH45" s="2845"/>
      <c r="ACI45" s="2842"/>
      <c r="ACJ45" s="2842"/>
      <c r="ACK45" s="2843"/>
      <c r="ACL45" s="2843"/>
      <c r="ACM45" s="2844"/>
      <c r="ACN45" s="2845"/>
      <c r="ACO45" s="2842"/>
      <c r="ACP45" s="2842"/>
      <c r="ACQ45" s="2843"/>
      <c r="ACR45" s="2843"/>
      <c r="ACS45" s="2844"/>
      <c r="ACT45" s="2845"/>
      <c r="ACU45" s="2842"/>
      <c r="ACV45" s="2842"/>
      <c r="ACW45" s="2843"/>
      <c r="ACX45" s="2843"/>
      <c r="ACY45" s="2844"/>
      <c r="ACZ45" s="2845"/>
      <c r="ADA45" s="2842"/>
      <c r="ADB45" s="2842"/>
      <c r="ADC45" s="2843"/>
      <c r="ADD45" s="2843"/>
      <c r="ADE45" s="2844"/>
      <c r="ADF45" s="2845"/>
      <c r="ADG45" s="2842"/>
      <c r="ADH45" s="2842"/>
      <c r="ADI45" s="2843"/>
      <c r="ADJ45" s="2843"/>
      <c r="ADK45" s="2844"/>
      <c r="ADL45" s="2845"/>
      <c r="ADM45" s="2842"/>
      <c r="ADN45" s="2842"/>
      <c r="ADO45" s="2843"/>
      <c r="ADP45" s="2843"/>
      <c r="ADQ45" s="2844"/>
      <c r="ADR45" s="2845"/>
      <c r="ADS45" s="2842"/>
      <c r="ADT45" s="2842"/>
      <c r="ADU45" s="2843"/>
      <c r="ADV45" s="2843"/>
      <c r="ADW45" s="2844"/>
      <c r="ADX45" s="2845"/>
      <c r="ADY45" s="2842"/>
      <c r="ADZ45" s="2842"/>
      <c r="AEA45" s="2843"/>
      <c r="AEB45" s="2843"/>
      <c r="AEC45" s="2844"/>
      <c r="AED45" s="2845"/>
      <c r="AEE45" s="2842"/>
      <c r="AEF45" s="2842"/>
      <c r="AEG45" s="2843"/>
      <c r="AEH45" s="2843"/>
      <c r="AEI45" s="2844"/>
      <c r="AEJ45" s="2845"/>
      <c r="AEK45" s="2842"/>
      <c r="AEL45" s="2842"/>
      <c r="AEM45" s="2843"/>
      <c r="AEN45" s="2843"/>
      <c r="AEO45" s="2844"/>
      <c r="AEP45" s="2845"/>
      <c r="AEQ45" s="2842"/>
      <c r="AER45" s="2842"/>
      <c r="AES45" s="2843"/>
      <c r="AET45" s="2843"/>
      <c r="AEU45" s="2844"/>
      <c r="AEV45" s="2845"/>
      <c r="AEW45" s="2842"/>
      <c r="AEX45" s="2842"/>
      <c r="AEY45" s="2843"/>
      <c r="AEZ45" s="2843"/>
      <c r="AFA45" s="2844"/>
      <c r="AFB45" s="2845"/>
      <c r="AFC45" s="2842"/>
      <c r="AFD45" s="2842"/>
      <c r="AFE45" s="2843"/>
      <c r="AFF45" s="2843"/>
      <c r="AFG45" s="2844"/>
      <c r="AFH45" s="2845"/>
      <c r="AFI45" s="2842"/>
      <c r="AFJ45" s="2842"/>
      <c r="AFK45" s="2843"/>
      <c r="AFL45" s="2843"/>
      <c r="AFM45" s="2844"/>
      <c r="AFN45" s="2845"/>
      <c r="AFO45" s="2842"/>
      <c r="AFP45" s="2842"/>
      <c r="AFQ45" s="2843"/>
      <c r="AFR45" s="2843"/>
      <c r="AFS45" s="2844"/>
      <c r="AFT45" s="2845"/>
      <c r="AFU45" s="2842"/>
      <c r="AFV45" s="2842"/>
      <c r="AFW45" s="2843"/>
      <c r="AFX45" s="2843"/>
      <c r="AFY45" s="2844"/>
      <c r="AFZ45" s="2845"/>
      <c r="AGA45" s="2842"/>
      <c r="AGB45" s="2842"/>
      <c r="AGC45" s="2843"/>
      <c r="AGD45" s="2843"/>
      <c r="AGE45" s="2844"/>
      <c r="AGF45" s="2845"/>
      <c r="AGG45" s="2842"/>
      <c r="AGH45" s="2842"/>
      <c r="AGI45" s="2843"/>
      <c r="AGJ45" s="2843"/>
      <c r="AGK45" s="2844"/>
      <c r="AGL45" s="2845"/>
      <c r="AGM45" s="2842"/>
      <c r="AGN45" s="2842"/>
      <c r="AGO45" s="2843"/>
      <c r="AGP45" s="2843"/>
      <c r="AGQ45" s="2844"/>
      <c r="AGR45" s="2845"/>
      <c r="AGS45" s="2842"/>
      <c r="AGT45" s="2842"/>
      <c r="AGU45" s="2843"/>
      <c r="AGV45" s="2843"/>
      <c r="AGW45" s="2844"/>
      <c r="AGX45" s="2845"/>
      <c r="AGY45" s="2842"/>
      <c r="AGZ45" s="2842"/>
      <c r="AHA45" s="2843"/>
      <c r="AHB45" s="2843"/>
      <c r="AHC45" s="2844"/>
      <c r="AHD45" s="2845"/>
      <c r="AHE45" s="2842"/>
      <c r="AHF45" s="2842"/>
      <c r="AHG45" s="2843"/>
      <c r="AHH45" s="2843"/>
      <c r="AHI45" s="2844"/>
      <c r="AHJ45" s="2845"/>
      <c r="AHK45" s="2842"/>
      <c r="AHL45" s="2842"/>
      <c r="AHM45" s="2843"/>
      <c r="AHN45" s="2843"/>
      <c r="AHO45" s="2844"/>
      <c r="AHP45" s="2845"/>
      <c r="AHQ45" s="2842"/>
      <c r="AHR45" s="2842"/>
      <c r="AHS45" s="2843"/>
      <c r="AHT45" s="2843"/>
      <c r="AHU45" s="2844"/>
      <c r="AHV45" s="2845"/>
      <c r="AHW45" s="2842"/>
      <c r="AHX45" s="2842"/>
      <c r="AHY45" s="2843"/>
      <c r="AHZ45" s="2843"/>
      <c r="AIA45" s="2844"/>
      <c r="AIB45" s="2845"/>
      <c r="AIC45" s="2842"/>
      <c r="AID45" s="2842"/>
      <c r="AIE45" s="2843"/>
      <c r="AIF45" s="2843"/>
      <c r="AIG45" s="2844"/>
      <c r="AIH45" s="2845"/>
      <c r="AII45" s="2842"/>
      <c r="AIJ45" s="2842"/>
      <c r="AIK45" s="2843"/>
      <c r="AIL45" s="2843"/>
      <c r="AIM45" s="2844"/>
      <c r="AIN45" s="2845"/>
      <c r="AIO45" s="2842"/>
      <c r="AIP45" s="2842"/>
      <c r="AIQ45" s="2843"/>
      <c r="AIR45" s="2843"/>
      <c r="AIS45" s="2844"/>
      <c r="AIT45" s="2845"/>
      <c r="AIU45" s="2842"/>
      <c r="AIV45" s="2842"/>
      <c r="AIW45" s="2843"/>
      <c r="AIX45" s="2843"/>
      <c r="AIY45" s="2844"/>
      <c r="AIZ45" s="2845"/>
      <c r="AJA45" s="2842"/>
      <c r="AJB45" s="2842"/>
      <c r="AJC45" s="2843"/>
      <c r="AJD45" s="2843"/>
      <c r="AJE45" s="2844"/>
      <c r="AJF45" s="2845"/>
      <c r="AJG45" s="2842"/>
      <c r="AJH45" s="2842"/>
      <c r="AJI45" s="2843"/>
      <c r="AJJ45" s="2843"/>
      <c r="AJK45" s="2844"/>
      <c r="AJL45" s="2845"/>
      <c r="AJM45" s="2842"/>
      <c r="AJN45" s="2842"/>
      <c r="AJO45" s="2843"/>
      <c r="AJP45" s="2843"/>
      <c r="AJQ45" s="2844"/>
      <c r="AJR45" s="2845"/>
      <c r="AJS45" s="2842"/>
      <c r="AJT45" s="2842"/>
      <c r="AJU45" s="2843"/>
      <c r="AJV45" s="2843"/>
      <c r="AJW45" s="2844"/>
      <c r="AJX45" s="2845"/>
      <c r="AJY45" s="2842"/>
      <c r="AJZ45" s="2842"/>
      <c r="AKA45" s="2843"/>
      <c r="AKB45" s="2843"/>
      <c r="AKC45" s="2844"/>
      <c r="AKD45" s="2845"/>
      <c r="AKE45" s="2842"/>
      <c r="AKF45" s="2842"/>
      <c r="AKG45" s="2843"/>
      <c r="AKH45" s="2843"/>
      <c r="AKI45" s="2844"/>
      <c r="AKJ45" s="2845"/>
      <c r="AKK45" s="2842"/>
      <c r="AKL45" s="2842"/>
      <c r="AKM45" s="2843"/>
      <c r="AKN45" s="2843"/>
      <c r="AKO45" s="2844"/>
      <c r="AKP45" s="2845"/>
      <c r="AKQ45" s="2842"/>
      <c r="AKR45" s="2842"/>
      <c r="AKS45" s="2843"/>
      <c r="AKT45" s="2843"/>
      <c r="AKU45" s="2844"/>
      <c r="AKV45" s="2845"/>
      <c r="AKW45" s="2842"/>
      <c r="AKX45" s="2842"/>
      <c r="AKY45" s="2843"/>
      <c r="AKZ45" s="2843"/>
      <c r="ALA45" s="2844"/>
      <c r="ALB45" s="2845"/>
      <c r="ALC45" s="2842"/>
      <c r="ALD45" s="2842"/>
      <c r="ALE45" s="2843"/>
      <c r="ALF45" s="2843"/>
      <c r="ALG45" s="2844"/>
      <c r="ALH45" s="2845"/>
      <c r="ALI45" s="2842"/>
      <c r="ALJ45" s="2842"/>
      <c r="ALK45" s="2843"/>
      <c r="ALL45" s="2843"/>
      <c r="ALM45" s="2844"/>
      <c r="ALN45" s="2845"/>
      <c r="ALO45" s="2842"/>
      <c r="ALP45" s="2842"/>
      <c r="ALQ45" s="2843"/>
      <c r="ALR45" s="2843"/>
      <c r="ALS45" s="2844"/>
      <c r="ALT45" s="2845"/>
      <c r="ALU45" s="2842"/>
      <c r="ALV45" s="2842"/>
      <c r="ALW45" s="2843"/>
      <c r="ALX45" s="2843"/>
      <c r="ALY45" s="2844"/>
      <c r="ALZ45" s="2845"/>
      <c r="AMA45" s="2842"/>
      <c r="AMB45" s="2842"/>
      <c r="AMC45" s="2843"/>
      <c r="AMD45" s="2843"/>
      <c r="AME45" s="2844"/>
      <c r="AMF45" s="2845"/>
      <c r="AMG45" s="2842"/>
      <c r="AMH45" s="2842"/>
      <c r="AMI45" s="2843"/>
      <c r="AMJ45" s="2843"/>
      <c r="AMK45" s="2844"/>
      <c r="AML45" s="2845"/>
      <c r="AMM45" s="2842"/>
      <c r="AMN45" s="2842"/>
      <c r="AMO45" s="2843"/>
      <c r="AMP45" s="2843"/>
      <c r="AMQ45" s="2844"/>
      <c r="AMR45" s="2845"/>
      <c r="AMS45" s="2842"/>
      <c r="AMT45" s="2842"/>
      <c r="AMU45" s="2843"/>
      <c r="AMV45" s="2843"/>
      <c r="AMW45" s="2844"/>
      <c r="AMX45" s="2845"/>
      <c r="AMY45" s="2842"/>
      <c r="AMZ45" s="2842"/>
      <c r="ANA45" s="2843"/>
      <c r="ANB45" s="2843"/>
      <c r="ANC45" s="2844"/>
      <c r="AND45" s="2845"/>
      <c r="ANE45" s="2842"/>
      <c r="ANF45" s="2842"/>
      <c r="ANG45" s="2843"/>
      <c r="ANH45" s="2843"/>
      <c r="ANI45" s="2844"/>
      <c r="ANJ45" s="2845"/>
      <c r="ANK45" s="2842"/>
      <c r="ANL45" s="2842"/>
      <c r="ANM45" s="2843"/>
      <c r="ANN45" s="2843"/>
      <c r="ANO45" s="2844"/>
      <c r="ANP45" s="2845"/>
      <c r="ANQ45" s="2842"/>
      <c r="ANR45" s="2842"/>
      <c r="ANS45" s="2843"/>
      <c r="ANT45" s="2843"/>
      <c r="ANU45" s="2844"/>
      <c r="ANV45" s="2845"/>
      <c r="ANW45" s="2842"/>
      <c r="ANX45" s="2842"/>
      <c r="ANY45" s="2843"/>
      <c r="ANZ45" s="2843"/>
      <c r="AOA45" s="2844"/>
      <c r="AOB45" s="2845"/>
      <c r="AOC45" s="2842"/>
      <c r="AOD45" s="2842"/>
      <c r="AOE45" s="2843"/>
      <c r="AOF45" s="2843"/>
      <c r="AOG45" s="2844"/>
      <c r="AOH45" s="2845"/>
      <c r="AOI45" s="2842"/>
      <c r="AOJ45" s="2842"/>
      <c r="AOK45" s="2843"/>
      <c r="AOL45" s="2843"/>
      <c r="AOM45" s="2844"/>
      <c r="AON45" s="2845"/>
      <c r="AOO45" s="2842"/>
      <c r="AOP45" s="2842"/>
      <c r="AOQ45" s="2843"/>
      <c r="AOR45" s="2843"/>
      <c r="AOS45" s="2844"/>
      <c r="AOT45" s="2845"/>
      <c r="AOU45" s="2842"/>
      <c r="AOV45" s="2842"/>
      <c r="AOW45" s="2843"/>
      <c r="AOX45" s="2843"/>
      <c r="AOY45" s="2844"/>
      <c r="AOZ45" s="2845"/>
      <c r="APA45" s="2842"/>
      <c r="APB45" s="2842"/>
      <c r="APC45" s="2843"/>
      <c r="APD45" s="2843"/>
      <c r="APE45" s="2844"/>
      <c r="APF45" s="2845"/>
      <c r="APG45" s="2842"/>
      <c r="APH45" s="2842"/>
      <c r="API45" s="2843"/>
      <c r="APJ45" s="2843"/>
      <c r="APK45" s="2844"/>
      <c r="APL45" s="2845"/>
      <c r="APM45" s="2842"/>
      <c r="APN45" s="2842"/>
      <c r="APO45" s="2843"/>
      <c r="APP45" s="2843"/>
      <c r="APQ45" s="2844"/>
      <c r="APR45" s="2845"/>
      <c r="APS45" s="2842"/>
      <c r="APT45" s="2842"/>
      <c r="APU45" s="2843"/>
      <c r="APV45" s="2843"/>
      <c r="APW45" s="2844"/>
      <c r="APX45" s="2845"/>
      <c r="APY45" s="2842"/>
      <c r="APZ45" s="2842"/>
      <c r="AQA45" s="2843"/>
      <c r="AQB45" s="2843"/>
      <c r="AQC45" s="2844"/>
      <c r="AQD45" s="2845"/>
      <c r="AQE45" s="2842"/>
      <c r="AQF45" s="2842"/>
      <c r="AQG45" s="2843"/>
      <c r="AQH45" s="2843"/>
      <c r="AQI45" s="2844"/>
      <c r="AQJ45" s="2845"/>
      <c r="AQK45" s="2842"/>
      <c r="AQL45" s="2842"/>
      <c r="AQM45" s="2843"/>
      <c r="AQN45" s="2843"/>
      <c r="AQO45" s="2844"/>
      <c r="AQP45" s="2845"/>
      <c r="AQQ45" s="2842"/>
      <c r="AQR45" s="2842"/>
      <c r="AQS45" s="2843"/>
      <c r="AQT45" s="2843"/>
      <c r="AQU45" s="2844"/>
      <c r="AQV45" s="2845"/>
      <c r="AQW45" s="2842"/>
      <c r="AQX45" s="2842"/>
      <c r="AQY45" s="2843"/>
      <c r="AQZ45" s="2843"/>
      <c r="ARA45" s="2844"/>
      <c r="ARB45" s="2845"/>
      <c r="ARC45" s="2842"/>
      <c r="ARD45" s="2842"/>
      <c r="ARE45" s="2843"/>
      <c r="ARF45" s="2843"/>
      <c r="ARG45" s="2844"/>
      <c r="ARH45" s="2845"/>
      <c r="ARI45" s="2842"/>
      <c r="ARJ45" s="2842"/>
      <c r="ARK45" s="2843"/>
      <c r="ARL45" s="2843"/>
      <c r="ARM45" s="2844"/>
      <c r="ARN45" s="2845"/>
      <c r="ARO45" s="2842"/>
      <c r="ARP45" s="2842"/>
      <c r="ARQ45" s="2843"/>
      <c r="ARR45" s="2843"/>
      <c r="ARS45" s="2844"/>
      <c r="ART45" s="2845"/>
      <c r="ARU45" s="2842"/>
      <c r="ARV45" s="2842"/>
      <c r="ARW45" s="2843"/>
      <c r="ARX45" s="2843"/>
      <c r="ARY45" s="2844"/>
      <c r="ARZ45" s="2845"/>
      <c r="ASA45" s="2842"/>
      <c r="ASB45" s="2842"/>
      <c r="ASC45" s="2843"/>
      <c r="ASD45" s="2843"/>
      <c r="ASE45" s="2844"/>
      <c r="ASF45" s="2845"/>
      <c r="ASG45" s="2842"/>
      <c r="ASH45" s="2842"/>
      <c r="ASI45" s="2843"/>
      <c r="ASJ45" s="2843"/>
      <c r="ASK45" s="2844"/>
      <c r="ASL45" s="2845"/>
      <c r="ASM45" s="2842"/>
      <c r="ASN45" s="2842"/>
      <c r="ASO45" s="2843"/>
      <c r="ASP45" s="2843"/>
      <c r="ASQ45" s="2844"/>
      <c r="ASR45" s="2845"/>
      <c r="ASS45" s="2842"/>
      <c r="AST45" s="2842"/>
      <c r="ASU45" s="2843"/>
      <c r="ASV45" s="2843"/>
      <c r="ASW45" s="2844"/>
      <c r="ASX45" s="2845"/>
      <c r="ASY45" s="2842"/>
      <c r="ASZ45" s="2842"/>
      <c r="ATA45" s="2843"/>
      <c r="ATB45" s="2843"/>
      <c r="ATC45" s="2844"/>
      <c r="ATD45" s="2845"/>
      <c r="ATE45" s="2842"/>
      <c r="ATF45" s="2842"/>
      <c r="ATG45" s="2843"/>
      <c r="ATH45" s="2843"/>
      <c r="ATI45" s="2844"/>
      <c r="ATJ45" s="2845"/>
      <c r="ATK45" s="2842"/>
      <c r="ATL45" s="2842"/>
      <c r="ATM45" s="2843"/>
      <c r="ATN45" s="2843"/>
      <c r="ATO45" s="2844"/>
      <c r="ATP45" s="2845"/>
      <c r="ATQ45" s="2842"/>
      <c r="ATR45" s="2842"/>
      <c r="ATS45" s="2843"/>
      <c r="ATT45" s="2843"/>
      <c r="ATU45" s="2844"/>
      <c r="ATV45" s="2845"/>
      <c r="ATW45" s="2842"/>
      <c r="ATX45" s="2842"/>
      <c r="ATY45" s="2843"/>
      <c r="ATZ45" s="2843"/>
      <c r="AUA45" s="2844"/>
      <c r="AUB45" s="2845"/>
      <c r="AUC45" s="2842"/>
      <c r="AUD45" s="2842"/>
      <c r="AUE45" s="2843"/>
      <c r="AUF45" s="2843"/>
      <c r="AUG45" s="2844"/>
      <c r="AUH45" s="2845"/>
      <c r="AUI45" s="2842"/>
      <c r="AUJ45" s="2842"/>
      <c r="AUK45" s="2843"/>
      <c r="AUL45" s="2843"/>
      <c r="AUM45" s="2844"/>
      <c r="AUN45" s="2845"/>
      <c r="AUO45" s="2842"/>
      <c r="AUP45" s="2842"/>
      <c r="AUQ45" s="2843"/>
      <c r="AUR45" s="2843"/>
      <c r="AUS45" s="2844"/>
      <c r="AUT45" s="2845"/>
      <c r="AUU45" s="2842"/>
      <c r="AUV45" s="2842"/>
      <c r="AUW45" s="2843"/>
      <c r="AUX45" s="2843"/>
      <c r="AUY45" s="2844"/>
      <c r="AUZ45" s="2845"/>
      <c r="AVA45" s="2842"/>
      <c r="AVB45" s="2842"/>
      <c r="AVC45" s="2843"/>
      <c r="AVD45" s="2843"/>
      <c r="AVE45" s="2844"/>
      <c r="AVF45" s="2845"/>
      <c r="AVG45" s="2842"/>
      <c r="AVH45" s="2842"/>
      <c r="AVI45" s="2843"/>
      <c r="AVJ45" s="2843"/>
      <c r="AVK45" s="2844"/>
      <c r="AVL45" s="2845"/>
      <c r="AVM45" s="2842"/>
      <c r="AVN45" s="2842"/>
      <c r="AVO45" s="2843"/>
      <c r="AVP45" s="2843"/>
      <c r="AVQ45" s="2844"/>
      <c r="AVR45" s="2845"/>
      <c r="AVS45" s="2842"/>
      <c r="AVT45" s="2842"/>
      <c r="AVU45" s="2843"/>
      <c r="AVV45" s="2843"/>
      <c r="AVW45" s="2844"/>
      <c r="AVX45" s="2845"/>
      <c r="AVY45" s="2842"/>
      <c r="AVZ45" s="2842"/>
      <c r="AWA45" s="2843"/>
      <c r="AWB45" s="2843"/>
      <c r="AWC45" s="2844"/>
      <c r="AWD45" s="2845"/>
      <c r="AWE45" s="2842"/>
      <c r="AWF45" s="2842"/>
      <c r="AWG45" s="2843"/>
      <c r="AWH45" s="2843"/>
      <c r="AWI45" s="2844"/>
      <c r="AWJ45" s="2845"/>
      <c r="AWK45" s="2842"/>
      <c r="AWL45" s="2842"/>
      <c r="AWM45" s="2843"/>
      <c r="AWN45" s="2843"/>
      <c r="AWO45" s="2844"/>
      <c r="AWP45" s="2845"/>
      <c r="AWQ45" s="2842"/>
      <c r="AWR45" s="2842"/>
      <c r="AWS45" s="2843"/>
      <c r="AWT45" s="2843"/>
      <c r="AWU45" s="2844"/>
      <c r="AWV45" s="2845"/>
      <c r="AWW45" s="2842"/>
      <c r="AWX45" s="2842"/>
      <c r="AWY45" s="2843"/>
      <c r="AWZ45" s="2843"/>
      <c r="AXA45" s="2844"/>
      <c r="AXB45" s="2845"/>
      <c r="AXC45" s="2842"/>
      <c r="AXD45" s="2842"/>
      <c r="AXE45" s="2843"/>
      <c r="AXF45" s="2843"/>
      <c r="AXG45" s="2844"/>
      <c r="AXH45" s="2845"/>
      <c r="AXI45" s="2842"/>
      <c r="AXJ45" s="2842"/>
      <c r="AXK45" s="2843"/>
      <c r="AXL45" s="2843"/>
      <c r="AXM45" s="2844"/>
      <c r="AXN45" s="2845"/>
      <c r="AXO45" s="2842"/>
      <c r="AXP45" s="2842"/>
      <c r="AXQ45" s="2843"/>
      <c r="AXR45" s="2843"/>
      <c r="AXS45" s="2844"/>
      <c r="AXT45" s="2845"/>
      <c r="AXU45" s="2842"/>
      <c r="AXV45" s="2842"/>
      <c r="AXW45" s="2843"/>
      <c r="AXX45" s="2843"/>
      <c r="AXY45" s="2844"/>
      <c r="AXZ45" s="2845"/>
      <c r="AYA45" s="2842"/>
      <c r="AYB45" s="2842"/>
      <c r="AYC45" s="2843"/>
      <c r="AYD45" s="2843"/>
      <c r="AYE45" s="2844"/>
      <c r="AYF45" s="2845"/>
      <c r="AYG45" s="2842"/>
      <c r="AYH45" s="2842"/>
      <c r="AYI45" s="2843"/>
      <c r="AYJ45" s="2843"/>
      <c r="AYK45" s="2844"/>
      <c r="AYL45" s="2845"/>
      <c r="AYM45" s="2842"/>
      <c r="AYN45" s="2842"/>
      <c r="AYO45" s="2843"/>
      <c r="AYP45" s="2843"/>
      <c r="AYQ45" s="2844"/>
      <c r="AYR45" s="2845"/>
      <c r="AYS45" s="2842"/>
      <c r="AYT45" s="2842"/>
      <c r="AYU45" s="2843"/>
      <c r="AYV45" s="2843"/>
      <c r="AYW45" s="2844"/>
      <c r="AYX45" s="2845"/>
      <c r="AYY45" s="2842"/>
      <c r="AYZ45" s="2842"/>
      <c r="AZA45" s="2843"/>
      <c r="AZB45" s="2843"/>
      <c r="AZC45" s="2844"/>
      <c r="AZD45" s="2845"/>
      <c r="AZE45" s="2842"/>
      <c r="AZF45" s="2842"/>
      <c r="AZG45" s="2843"/>
      <c r="AZH45" s="2843"/>
      <c r="AZI45" s="2844"/>
      <c r="AZJ45" s="2845"/>
      <c r="AZK45" s="2842"/>
      <c r="AZL45" s="2842"/>
      <c r="AZM45" s="2843"/>
      <c r="AZN45" s="2843"/>
      <c r="AZO45" s="2844"/>
      <c r="AZP45" s="2845"/>
      <c r="AZQ45" s="2842"/>
      <c r="AZR45" s="2842"/>
      <c r="AZS45" s="2843"/>
      <c r="AZT45" s="2843"/>
      <c r="AZU45" s="2844"/>
      <c r="AZV45" s="2845"/>
      <c r="AZW45" s="2842"/>
      <c r="AZX45" s="2842"/>
      <c r="AZY45" s="2843"/>
      <c r="AZZ45" s="2843"/>
      <c r="BAA45" s="2844"/>
      <c r="BAB45" s="2845"/>
      <c r="BAC45" s="2842"/>
      <c r="BAD45" s="2842"/>
      <c r="BAE45" s="2843"/>
      <c r="BAF45" s="2843"/>
      <c r="BAG45" s="2844"/>
      <c r="BAH45" s="2845"/>
      <c r="BAI45" s="2842"/>
      <c r="BAJ45" s="2842"/>
      <c r="BAK45" s="2843"/>
      <c r="BAL45" s="2843"/>
      <c r="BAM45" s="2844"/>
      <c r="BAN45" s="2845"/>
      <c r="BAO45" s="2842"/>
      <c r="BAP45" s="2842"/>
      <c r="BAQ45" s="2843"/>
      <c r="BAR45" s="2843"/>
      <c r="BAS45" s="2844"/>
      <c r="BAT45" s="2845"/>
      <c r="BAU45" s="2842"/>
      <c r="BAV45" s="2842"/>
      <c r="BAW45" s="2843"/>
      <c r="BAX45" s="2843"/>
      <c r="BAY45" s="2844"/>
      <c r="BAZ45" s="2845"/>
      <c r="BBA45" s="2842"/>
      <c r="BBB45" s="2842"/>
      <c r="BBC45" s="2843"/>
      <c r="BBD45" s="2843"/>
      <c r="BBE45" s="2844"/>
      <c r="BBF45" s="2845"/>
      <c r="BBG45" s="2842"/>
      <c r="BBH45" s="2842"/>
      <c r="BBI45" s="2843"/>
      <c r="BBJ45" s="2843"/>
      <c r="BBK45" s="2844"/>
      <c r="BBL45" s="2845"/>
      <c r="BBM45" s="2842"/>
      <c r="BBN45" s="2842"/>
      <c r="BBO45" s="2843"/>
      <c r="BBP45" s="2843"/>
      <c r="BBQ45" s="2844"/>
      <c r="BBR45" s="2845"/>
      <c r="BBS45" s="2842"/>
      <c r="BBT45" s="2842"/>
      <c r="BBU45" s="2843"/>
      <c r="BBV45" s="2843"/>
      <c r="BBW45" s="2844"/>
      <c r="BBX45" s="2845"/>
      <c r="BBY45" s="2842"/>
      <c r="BBZ45" s="2842"/>
      <c r="BCA45" s="2843"/>
      <c r="BCB45" s="2843"/>
      <c r="BCC45" s="2844"/>
      <c r="BCD45" s="2845"/>
      <c r="BCE45" s="2842"/>
      <c r="BCF45" s="2842"/>
      <c r="BCG45" s="2843"/>
      <c r="BCH45" s="2843"/>
      <c r="BCI45" s="2844"/>
      <c r="BCJ45" s="2845"/>
      <c r="BCK45" s="2842"/>
      <c r="BCL45" s="2842"/>
      <c r="BCM45" s="2843"/>
      <c r="BCN45" s="2843"/>
      <c r="BCO45" s="2844"/>
      <c r="BCP45" s="2845"/>
      <c r="BCQ45" s="2842"/>
      <c r="BCR45" s="2842"/>
      <c r="BCS45" s="2843"/>
      <c r="BCT45" s="2843"/>
      <c r="BCU45" s="2844"/>
      <c r="BCV45" s="2845"/>
      <c r="BCW45" s="2842"/>
      <c r="BCX45" s="2842"/>
      <c r="BCY45" s="2843"/>
      <c r="BCZ45" s="2843"/>
      <c r="BDA45" s="2844"/>
      <c r="BDB45" s="2845"/>
      <c r="BDC45" s="2842"/>
      <c r="BDD45" s="2842"/>
      <c r="BDE45" s="2843"/>
      <c r="BDF45" s="2843"/>
      <c r="BDG45" s="2844"/>
      <c r="BDH45" s="2845"/>
      <c r="BDI45" s="2842"/>
      <c r="BDJ45" s="2842"/>
      <c r="BDK45" s="2843"/>
      <c r="BDL45" s="2843"/>
      <c r="BDM45" s="2844"/>
      <c r="BDN45" s="2845"/>
      <c r="BDO45" s="2842"/>
      <c r="BDP45" s="2842"/>
      <c r="BDQ45" s="2843"/>
      <c r="BDR45" s="2843"/>
      <c r="BDS45" s="2844"/>
      <c r="BDT45" s="2845"/>
      <c r="BDU45" s="2842"/>
      <c r="BDV45" s="2842"/>
      <c r="BDW45" s="2843"/>
      <c r="BDX45" s="2843"/>
      <c r="BDY45" s="2844"/>
      <c r="BDZ45" s="2845"/>
      <c r="BEA45" s="2842"/>
      <c r="BEB45" s="2842"/>
      <c r="BEC45" s="2843"/>
      <c r="BED45" s="2843"/>
      <c r="BEE45" s="2844"/>
      <c r="BEF45" s="2845"/>
      <c r="BEG45" s="2842"/>
      <c r="BEH45" s="2842"/>
      <c r="BEI45" s="2843"/>
      <c r="BEJ45" s="2843"/>
      <c r="BEK45" s="2844"/>
      <c r="BEL45" s="2845"/>
      <c r="BEM45" s="2842"/>
      <c r="BEN45" s="2842"/>
      <c r="BEO45" s="2843"/>
      <c r="BEP45" s="2843"/>
      <c r="BEQ45" s="2844"/>
      <c r="BER45" s="2845"/>
      <c r="BES45" s="2842"/>
      <c r="BET45" s="2842"/>
      <c r="BEU45" s="2843"/>
      <c r="BEV45" s="2843"/>
      <c r="BEW45" s="2844"/>
      <c r="BEX45" s="2845"/>
      <c r="BEY45" s="2842"/>
      <c r="BEZ45" s="2842"/>
      <c r="BFA45" s="2843"/>
      <c r="BFB45" s="2843"/>
      <c r="BFC45" s="2844"/>
      <c r="BFD45" s="2845"/>
      <c r="BFE45" s="2842"/>
      <c r="BFF45" s="2842"/>
      <c r="BFG45" s="2843"/>
      <c r="BFH45" s="2843"/>
      <c r="BFI45" s="2844"/>
      <c r="BFJ45" s="2845"/>
      <c r="BFK45" s="2842"/>
      <c r="BFL45" s="2842"/>
      <c r="BFM45" s="2843"/>
      <c r="BFN45" s="2843"/>
      <c r="BFO45" s="2844"/>
      <c r="BFP45" s="2845"/>
      <c r="BFQ45" s="2842"/>
      <c r="BFR45" s="2842"/>
      <c r="BFS45" s="2843"/>
      <c r="BFT45" s="2843"/>
      <c r="BFU45" s="2844"/>
      <c r="BFV45" s="2845"/>
      <c r="BFW45" s="2842"/>
      <c r="BFX45" s="2842"/>
      <c r="BFY45" s="2843"/>
      <c r="BFZ45" s="2843"/>
      <c r="BGA45" s="2844"/>
      <c r="BGB45" s="2845"/>
      <c r="BGC45" s="2842"/>
      <c r="BGD45" s="2842"/>
      <c r="BGE45" s="2843"/>
      <c r="BGF45" s="2843"/>
      <c r="BGG45" s="2844"/>
      <c r="BGH45" s="2845"/>
      <c r="BGI45" s="2842"/>
      <c r="BGJ45" s="2842"/>
      <c r="BGK45" s="2843"/>
      <c r="BGL45" s="2843"/>
      <c r="BGM45" s="2844"/>
      <c r="BGN45" s="2845"/>
      <c r="BGO45" s="2842"/>
      <c r="BGP45" s="2842"/>
      <c r="BGQ45" s="2843"/>
      <c r="BGR45" s="2843"/>
      <c r="BGS45" s="2844"/>
      <c r="BGT45" s="2845"/>
      <c r="BGU45" s="2842"/>
      <c r="BGV45" s="2842"/>
      <c r="BGW45" s="2843"/>
      <c r="BGX45" s="2843"/>
      <c r="BGY45" s="2844"/>
      <c r="BGZ45" s="2845"/>
      <c r="BHA45" s="2842"/>
      <c r="BHB45" s="2842"/>
      <c r="BHC45" s="2843"/>
      <c r="BHD45" s="2843"/>
      <c r="BHE45" s="2844"/>
      <c r="BHF45" s="2845"/>
      <c r="BHG45" s="2842"/>
      <c r="BHH45" s="2842"/>
      <c r="BHI45" s="2843"/>
      <c r="BHJ45" s="2843"/>
      <c r="BHK45" s="2844"/>
      <c r="BHL45" s="2845"/>
      <c r="BHM45" s="2842"/>
      <c r="BHN45" s="2842"/>
      <c r="BHO45" s="2843"/>
      <c r="BHP45" s="2843"/>
      <c r="BHQ45" s="2844"/>
      <c r="BHR45" s="2845"/>
      <c r="BHS45" s="2842"/>
      <c r="BHT45" s="2842"/>
      <c r="BHU45" s="2843"/>
      <c r="BHV45" s="2843"/>
      <c r="BHW45" s="2844"/>
      <c r="BHX45" s="2845"/>
      <c r="BHY45" s="2842"/>
      <c r="BHZ45" s="2842"/>
      <c r="BIA45" s="2843"/>
      <c r="BIB45" s="2843"/>
      <c r="BIC45" s="2844"/>
      <c r="BID45" s="2845"/>
      <c r="BIE45" s="2842"/>
      <c r="BIF45" s="2842"/>
      <c r="BIG45" s="2843"/>
      <c r="BIH45" s="2843"/>
      <c r="BII45" s="2844"/>
      <c r="BIJ45" s="2845"/>
      <c r="BIK45" s="2842"/>
      <c r="BIL45" s="2842"/>
      <c r="BIM45" s="2843"/>
      <c r="BIN45" s="2843"/>
      <c r="BIO45" s="2844"/>
      <c r="BIP45" s="2845"/>
      <c r="BIQ45" s="2842"/>
      <c r="BIR45" s="2842"/>
      <c r="BIS45" s="2843"/>
      <c r="BIT45" s="2843"/>
      <c r="BIU45" s="2844"/>
      <c r="BIV45" s="2845"/>
      <c r="BIW45" s="2842"/>
      <c r="BIX45" s="2842"/>
      <c r="BIY45" s="2843"/>
      <c r="BIZ45" s="2843"/>
      <c r="BJA45" s="2844"/>
      <c r="BJB45" s="2845"/>
      <c r="BJC45" s="2842"/>
      <c r="BJD45" s="2842"/>
      <c r="BJE45" s="2843"/>
      <c r="BJF45" s="2843"/>
      <c r="BJG45" s="2844"/>
      <c r="BJH45" s="2845"/>
      <c r="BJI45" s="2842"/>
      <c r="BJJ45" s="2842"/>
      <c r="BJK45" s="2843"/>
      <c r="BJL45" s="2843"/>
      <c r="BJM45" s="2844"/>
      <c r="BJN45" s="2845"/>
      <c r="BJO45" s="2842"/>
      <c r="BJP45" s="2842"/>
      <c r="BJQ45" s="2843"/>
      <c r="BJR45" s="2843"/>
      <c r="BJS45" s="2844"/>
      <c r="BJT45" s="2845"/>
      <c r="BJU45" s="2842"/>
      <c r="BJV45" s="2842"/>
      <c r="BJW45" s="2843"/>
      <c r="BJX45" s="2843"/>
      <c r="BJY45" s="2844"/>
      <c r="BJZ45" s="2845"/>
      <c r="BKA45" s="2842"/>
      <c r="BKB45" s="2842"/>
      <c r="BKC45" s="2843"/>
      <c r="BKD45" s="2843"/>
      <c r="BKE45" s="2844"/>
      <c r="BKF45" s="2845"/>
      <c r="BKG45" s="2842"/>
      <c r="BKH45" s="2842"/>
      <c r="BKI45" s="2843"/>
      <c r="BKJ45" s="2843"/>
      <c r="BKK45" s="2844"/>
      <c r="BKL45" s="2845"/>
      <c r="BKM45" s="2842"/>
      <c r="BKN45" s="2842"/>
      <c r="BKO45" s="2843"/>
      <c r="BKP45" s="2843"/>
      <c r="BKQ45" s="2844"/>
      <c r="BKR45" s="2845"/>
      <c r="BKS45" s="2842"/>
      <c r="BKT45" s="2842"/>
      <c r="BKU45" s="2843"/>
      <c r="BKV45" s="2843"/>
      <c r="BKW45" s="2844"/>
      <c r="BKX45" s="2845"/>
      <c r="BKY45" s="2842"/>
      <c r="BKZ45" s="2842"/>
      <c r="BLA45" s="2843"/>
      <c r="BLB45" s="2843"/>
      <c r="BLC45" s="2844"/>
      <c r="BLD45" s="2845"/>
      <c r="BLE45" s="2842"/>
      <c r="BLF45" s="2842"/>
      <c r="BLG45" s="2843"/>
      <c r="BLH45" s="2843"/>
      <c r="BLI45" s="2844"/>
      <c r="BLJ45" s="2845"/>
      <c r="BLK45" s="2842"/>
      <c r="BLL45" s="2842"/>
      <c r="BLM45" s="2843"/>
      <c r="BLN45" s="2843"/>
      <c r="BLO45" s="2844"/>
      <c r="BLP45" s="2845"/>
      <c r="BLQ45" s="2842"/>
      <c r="BLR45" s="2842"/>
      <c r="BLS45" s="2843"/>
      <c r="BLT45" s="2843"/>
      <c r="BLU45" s="2844"/>
      <c r="BLV45" s="2845"/>
      <c r="BLW45" s="2842"/>
      <c r="BLX45" s="2842"/>
      <c r="BLY45" s="2843"/>
      <c r="BLZ45" s="2843"/>
      <c r="BMA45" s="2844"/>
      <c r="BMB45" s="2845"/>
      <c r="BMC45" s="2842"/>
      <c r="BMD45" s="2842"/>
      <c r="BME45" s="2843"/>
      <c r="BMF45" s="2843"/>
      <c r="BMG45" s="2844"/>
      <c r="BMH45" s="2845"/>
      <c r="BMI45" s="2842"/>
      <c r="BMJ45" s="2842"/>
      <c r="BMK45" s="2843"/>
      <c r="BML45" s="2843"/>
      <c r="BMM45" s="2844"/>
      <c r="BMN45" s="2845"/>
      <c r="BMO45" s="2842"/>
      <c r="BMP45" s="2842"/>
      <c r="BMQ45" s="2843"/>
      <c r="BMR45" s="2843"/>
      <c r="BMS45" s="2844"/>
      <c r="BMT45" s="2845"/>
      <c r="BMU45" s="2842"/>
      <c r="BMV45" s="2842"/>
      <c r="BMW45" s="2843"/>
      <c r="BMX45" s="2843"/>
      <c r="BMY45" s="2844"/>
      <c r="BMZ45" s="2845"/>
      <c r="BNA45" s="2842"/>
      <c r="BNB45" s="2842"/>
      <c r="BNC45" s="2843"/>
      <c r="BND45" s="2843"/>
      <c r="BNE45" s="2844"/>
      <c r="BNF45" s="2845"/>
      <c r="BNG45" s="2842"/>
      <c r="BNH45" s="2842"/>
      <c r="BNI45" s="2843"/>
      <c r="BNJ45" s="2843"/>
      <c r="BNK45" s="2844"/>
      <c r="BNL45" s="2845"/>
      <c r="BNM45" s="2842"/>
      <c r="BNN45" s="2842"/>
      <c r="BNO45" s="2843"/>
      <c r="BNP45" s="2843"/>
      <c r="BNQ45" s="2844"/>
      <c r="BNR45" s="2845"/>
      <c r="BNS45" s="2842"/>
      <c r="BNT45" s="2842"/>
      <c r="BNU45" s="2843"/>
      <c r="BNV45" s="2843"/>
      <c r="BNW45" s="2844"/>
      <c r="BNX45" s="2845"/>
      <c r="BNY45" s="2842"/>
      <c r="BNZ45" s="2842"/>
      <c r="BOA45" s="2843"/>
      <c r="BOB45" s="2843"/>
      <c r="BOC45" s="2844"/>
      <c r="BOD45" s="2845"/>
      <c r="BOE45" s="2842"/>
      <c r="BOF45" s="2842"/>
      <c r="BOG45" s="2843"/>
      <c r="BOH45" s="2843"/>
      <c r="BOI45" s="2844"/>
      <c r="BOJ45" s="2845"/>
      <c r="BOK45" s="2842"/>
      <c r="BOL45" s="2842"/>
      <c r="BOM45" s="2843"/>
      <c r="BON45" s="2843"/>
      <c r="BOO45" s="2844"/>
      <c r="BOP45" s="2845"/>
      <c r="BOQ45" s="2842"/>
      <c r="BOR45" s="2842"/>
      <c r="BOS45" s="2843"/>
      <c r="BOT45" s="2843"/>
      <c r="BOU45" s="2844"/>
      <c r="BOV45" s="2845"/>
      <c r="BOW45" s="2842"/>
      <c r="BOX45" s="2842"/>
      <c r="BOY45" s="2843"/>
      <c r="BOZ45" s="2843"/>
      <c r="BPA45" s="2844"/>
      <c r="BPB45" s="2845"/>
      <c r="BPC45" s="2842"/>
      <c r="BPD45" s="2842"/>
      <c r="BPE45" s="2843"/>
      <c r="BPF45" s="2843"/>
      <c r="BPG45" s="2844"/>
      <c r="BPH45" s="2845"/>
      <c r="BPI45" s="2842"/>
      <c r="BPJ45" s="2842"/>
      <c r="BPK45" s="2843"/>
      <c r="BPL45" s="2843"/>
      <c r="BPM45" s="2844"/>
      <c r="BPN45" s="2845"/>
      <c r="BPO45" s="2842"/>
      <c r="BPP45" s="2842"/>
      <c r="BPQ45" s="2843"/>
      <c r="BPR45" s="2843"/>
      <c r="BPS45" s="2844"/>
      <c r="BPT45" s="2845"/>
      <c r="BPU45" s="2842"/>
      <c r="BPV45" s="2842"/>
      <c r="BPW45" s="2843"/>
      <c r="BPX45" s="2843"/>
      <c r="BPY45" s="2844"/>
      <c r="BPZ45" s="2845"/>
      <c r="BQA45" s="2842"/>
      <c r="BQB45" s="2842"/>
      <c r="BQC45" s="2843"/>
      <c r="BQD45" s="2843"/>
      <c r="BQE45" s="2844"/>
      <c r="BQF45" s="2845"/>
      <c r="BQG45" s="2842"/>
      <c r="BQH45" s="2842"/>
      <c r="BQI45" s="2843"/>
      <c r="BQJ45" s="2843"/>
      <c r="BQK45" s="2844"/>
      <c r="BQL45" s="2845"/>
      <c r="BQM45" s="2842"/>
      <c r="BQN45" s="2842"/>
      <c r="BQO45" s="2843"/>
      <c r="BQP45" s="2843"/>
      <c r="BQQ45" s="2844"/>
      <c r="BQR45" s="2845"/>
      <c r="BQS45" s="2842"/>
      <c r="BQT45" s="2842"/>
      <c r="BQU45" s="2843"/>
      <c r="BQV45" s="2843"/>
      <c r="BQW45" s="2844"/>
      <c r="BQX45" s="2845"/>
      <c r="BQY45" s="2842"/>
      <c r="BQZ45" s="2842"/>
      <c r="BRA45" s="2843"/>
      <c r="BRB45" s="2843"/>
      <c r="BRC45" s="2844"/>
      <c r="BRD45" s="2845"/>
      <c r="BRE45" s="2842"/>
      <c r="BRF45" s="2842"/>
      <c r="BRG45" s="2843"/>
      <c r="BRH45" s="2843"/>
      <c r="BRI45" s="2844"/>
      <c r="BRJ45" s="2845"/>
      <c r="BRK45" s="2842"/>
      <c r="BRL45" s="2842"/>
      <c r="BRM45" s="2843"/>
      <c r="BRN45" s="2843"/>
      <c r="BRO45" s="2844"/>
      <c r="BRP45" s="2845"/>
      <c r="BRQ45" s="2842"/>
      <c r="BRR45" s="2842"/>
      <c r="BRS45" s="2843"/>
      <c r="BRT45" s="2843"/>
      <c r="BRU45" s="2844"/>
      <c r="BRV45" s="2845"/>
      <c r="BRW45" s="2842"/>
      <c r="BRX45" s="2842"/>
      <c r="BRY45" s="2843"/>
      <c r="BRZ45" s="2843"/>
      <c r="BSA45" s="2844"/>
      <c r="BSB45" s="2845"/>
      <c r="BSC45" s="2842"/>
      <c r="BSD45" s="2842"/>
      <c r="BSE45" s="2843"/>
      <c r="BSF45" s="2843"/>
      <c r="BSG45" s="2844"/>
      <c r="BSH45" s="2845"/>
      <c r="BSI45" s="2842"/>
      <c r="BSJ45" s="2842"/>
      <c r="BSK45" s="2843"/>
      <c r="BSL45" s="2843"/>
      <c r="BSM45" s="2844"/>
      <c r="BSN45" s="2845"/>
      <c r="BSO45" s="2842"/>
      <c r="BSP45" s="2842"/>
      <c r="BSQ45" s="2843"/>
      <c r="BSR45" s="2843"/>
      <c r="BSS45" s="2844"/>
      <c r="BST45" s="2845"/>
      <c r="BSU45" s="2842"/>
      <c r="BSV45" s="2842"/>
      <c r="BSW45" s="2843"/>
      <c r="BSX45" s="2843"/>
      <c r="BSY45" s="2844"/>
      <c r="BSZ45" s="2845"/>
      <c r="BTA45" s="2842"/>
      <c r="BTB45" s="2842"/>
      <c r="BTC45" s="2843"/>
      <c r="BTD45" s="2843"/>
      <c r="BTE45" s="2844"/>
      <c r="BTF45" s="2845"/>
      <c r="BTG45" s="2842"/>
      <c r="BTH45" s="2842"/>
      <c r="BTI45" s="2843"/>
      <c r="BTJ45" s="2843"/>
      <c r="BTK45" s="2844"/>
      <c r="BTL45" s="2845"/>
      <c r="BTM45" s="2842"/>
      <c r="BTN45" s="2842"/>
      <c r="BTO45" s="2843"/>
      <c r="BTP45" s="2843"/>
      <c r="BTQ45" s="2844"/>
      <c r="BTR45" s="2845"/>
      <c r="BTS45" s="2842"/>
      <c r="BTT45" s="2842"/>
      <c r="BTU45" s="2843"/>
      <c r="BTV45" s="2843"/>
      <c r="BTW45" s="2844"/>
      <c r="BTX45" s="2845"/>
      <c r="BTY45" s="2842"/>
      <c r="BTZ45" s="2842"/>
      <c r="BUA45" s="2843"/>
      <c r="BUB45" s="2843"/>
      <c r="BUC45" s="2844"/>
      <c r="BUD45" s="2845"/>
      <c r="BUE45" s="2842"/>
      <c r="BUF45" s="2842"/>
      <c r="BUG45" s="2843"/>
      <c r="BUH45" s="2843"/>
      <c r="BUI45" s="2844"/>
      <c r="BUJ45" s="2845"/>
      <c r="BUK45" s="2842"/>
      <c r="BUL45" s="2842"/>
      <c r="BUM45" s="2843"/>
      <c r="BUN45" s="2843"/>
      <c r="BUO45" s="2844"/>
      <c r="BUP45" s="2845"/>
      <c r="BUQ45" s="2842"/>
      <c r="BUR45" s="2842"/>
      <c r="BUS45" s="2843"/>
      <c r="BUT45" s="2843"/>
      <c r="BUU45" s="2844"/>
      <c r="BUV45" s="2845"/>
      <c r="BUW45" s="2842"/>
      <c r="BUX45" s="2842"/>
      <c r="BUY45" s="2843"/>
      <c r="BUZ45" s="2843"/>
      <c r="BVA45" s="2844"/>
      <c r="BVB45" s="2845"/>
      <c r="BVC45" s="2842"/>
      <c r="BVD45" s="2842"/>
      <c r="BVE45" s="2843"/>
      <c r="BVF45" s="2843"/>
      <c r="BVG45" s="2844"/>
      <c r="BVH45" s="2845"/>
      <c r="BVI45" s="2842"/>
      <c r="BVJ45" s="2842"/>
      <c r="BVK45" s="2843"/>
      <c r="BVL45" s="2843"/>
      <c r="BVM45" s="2844"/>
      <c r="BVN45" s="2845"/>
      <c r="BVO45" s="2842"/>
      <c r="BVP45" s="2842"/>
      <c r="BVQ45" s="2843"/>
      <c r="BVR45" s="2843"/>
      <c r="BVS45" s="2844"/>
      <c r="BVT45" s="2845"/>
      <c r="BVU45" s="2842"/>
      <c r="BVV45" s="2842"/>
      <c r="BVW45" s="2843"/>
      <c r="BVX45" s="2843"/>
      <c r="BVY45" s="2844"/>
      <c r="BVZ45" s="2845"/>
      <c r="BWA45" s="2842"/>
      <c r="BWB45" s="2842"/>
      <c r="BWC45" s="2843"/>
      <c r="BWD45" s="2843"/>
      <c r="BWE45" s="2844"/>
      <c r="BWF45" s="2845"/>
      <c r="BWG45" s="2842"/>
      <c r="BWH45" s="2842"/>
      <c r="BWI45" s="2843"/>
      <c r="BWJ45" s="2843"/>
      <c r="BWK45" s="2844"/>
      <c r="BWL45" s="2845"/>
      <c r="BWM45" s="2842"/>
      <c r="BWN45" s="2842"/>
      <c r="BWO45" s="2843"/>
      <c r="BWP45" s="2843"/>
      <c r="BWQ45" s="2844"/>
      <c r="BWR45" s="2845"/>
      <c r="BWS45" s="2842"/>
      <c r="BWT45" s="2842"/>
      <c r="BWU45" s="2843"/>
      <c r="BWV45" s="2843"/>
      <c r="BWW45" s="2844"/>
      <c r="BWX45" s="2845"/>
      <c r="BWY45" s="2842"/>
      <c r="BWZ45" s="2842"/>
      <c r="BXA45" s="2843"/>
      <c r="BXB45" s="2843"/>
      <c r="BXC45" s="2844"/>
      <c r="BXD45" s="2845"/>
      <c r="BXE45" s="2842"/>
      <c r="BXF45" s="2842"/>
      <c r="BXG45" s="2843"/>
      <c r="BXH45" s="2843"/>
      <c r="BXI45" s="2844"/>
      <c r="BXJ45" s="2845"/>
      <c r="BXK45" s="2842"/>
      <c r="BXL45" s="2842"/>
      <c r="BXM45" s="2843"/>
      <c r="BXN45" s="2843"/>
      <c r="BXO45" s="2844"/>
      <c r="BXP45" s="2845"/>
      <c r="BXQ45" s="2842"/>
      <c r="BXR45" s="2842"/>
      <c r="BXS45" s="2843"/>
      <c r="BXT45" s="2843"/>
      <c r="BXU45" s="2844"/>
      <c r="BXV45" s="2845"/>
      <c r="BXW45" s="2842"/>
      <c r="BXX45" s="2842"/>
      <c r="BXY45" s="2843"/>
      <c r="BXZ45" s="2843"/>
      <c r="BYA45" s="2844"/>
      <c r="BYB45" s="2845"/>
      <c r="BYC45" s="2842"/>
      <c r="BYD45" s="2842"/>
      <c r="BYE45" s="2843"/>
      <c r="BYF45" s="2843"/>
      <c r="BYG45" s="2844"/>
      <c r="BYH45" s="2845"/>
      <c r="BYI45" s="2842"/>
      <c r="BYJ45" s="2842"/>
      <c r="BYK45" s="2843"/>
      <c r="BYL45" s="2843"/>
      <c r="BYM45" s="2844"/>
      <c r="BYN45" s="2845"/>
      <c r="BYO45" s="2842"/>
      <c r="BYP45" s="2842"/>
      <c r="BYQ45" s="2843"/>
      <c r="BYR45" s="2843"/>
      <c r="BYS45" s="2844"/>
      <c r="BYT45" s="2845"/>
      <c r="BYU45" s="2842"/>
      <c r="BYV45" s="2842"/>
      <c r="BYW45" s="2843"/>
      <c r="BYX45" s="2843"/>
      <c r="BYY45" s="2844"/>
      <c r="BYZ45" s="2845"/>
      <c r="BZA45" s="2842"/>
      <c r="BZB45" s="2842"/>
      <c r="BZC45" s="2843"/>
      <c r="BZD45" s="2843"/>
      <c r="BZE45" s="2844"/>
      <c r="BZF45" s="2845"/>
      <c r="BZG45" s="2842"/>
      <c r="BZH45" s="2842"/>
      <c r="BZI45" s="2843"/>
      <c r="BZJ45" s="2843"/>
      <c r="BZK45" s="2844"/>
      <c r="BZL45" s="2845"/>
      <c r="BZM45" s="2842"/>
      <c r="BZN45" s="2842"/>
      <c r="BZO45" s="2843"/>
      <c r="BZP45" s="2843"/>
      <c r="BZQ45" s="2844"/>
      <c r="BZR45" s="2845"/>
      <c r="BZS45" s="2842"/>
      <c r="BZT45" s="2842"/>
      <c r="BZU45" s="2843"/>
      <c r="BZV45" s="2843"/>
      <c r="BZW45" s="2844"/>
      <c r="BZX45" s="2845"/>
      <c r="BZY45" s="2842"/>
      <c r="BZZ45" s="2842"/>
      <c r="CAA45" s="2843"/>
      <c r="CAB45" s="2843"/>
      <c r="CAC45" s="2844"/>
      <c r="CAD45" s="2845"/>
      <c r="CAE45" s="2842"/>
      <c r="CAF45" s="2842"/>
      <c r="CAG45" s="2843"/>
      <c r="CAH45" s="2843"/>
      <c r="CAI45" s="2844"/>
      <c r="CAJ45" s="2845"/>
      <c r="CAK45" s="2842"/>
      <c r="CAL45" s="2842"/>
      <c r="CAM45" s="2843"/>
      <c r="CAN45" s="2843"/>
      <c r="CAO45" s="2844"/>
      <c r="CAP45" s="2845"/>
      <c r="CAQ45" s="2842"/>
      <c r="CAR45" s="2842"/>
      <c r="CAS45" s="2843"/>
      <c r="CAT45" s="2843"/>
      <c r="CAU45" s="2844"/>
      <c r="CAV45" s="2845"/>
      <c r="CAW45" s="2842"/>
      <c r="CAX45" s="2842"/>
      <c r="CAY45" s="2843"/>
      <c r="CAZ45" s="2843"/>
      <c r="CBA45" s="2844"/>
      <c r="CBB45" s="2845"/>
      <c r="CBC45" s="2842"/>
      <c r="CBD45" s="2842"/>
      <c r="CBE45" s="2843"/>
      <c r="CBF45" s="2843"/>
      <c r="CBG45" s="2844"/>
      <c r="CBH45" s="2845"/>
      <c r="CBI45" s="2842"/>
      <c r="CBJ45" s="2842"/>
      <c r="CBK45" s="2843"/>
      <c r="CBL45" s="2843"/>
      <c r="CBM45" s="2844"/>
      <c r="CBN45" s="2845"/>
      <c r="CBO45" s="2842"/>
      <c r="CBP45" s="2842"/>
      <c r="CBQ45" s="2843"/>
      <c r="CBR45" s="2843"/>
      <c r="CBS45" s="2844"/>
      <c r="CBT45" s="2845"/>
      <c r="CBU45" s="2842"/>
      <c r="CBV45" s="2842"/>
      <c r="CBW45" s="2843"/>
      <c r="CBX45" s="2843"/>
      <c r="CBY45" s="2844"/>
      <c r="CBZ45" s="2845"/>
      <c r="CCA45" s="2842"/>
      <c r="CCB45" s="2842"/>
      <c r="CCC45" s="2843"/>
      <c r="CCD45" s="2843"/>
      <c r="CCE45" s="2844"/>
      <c r="CCF45" s="2845"/>
      <c r="CCG45" s="2842"/>
      <c r="CCH45" s="2842"/>
      <c r="CCI45" s="2843"/>
      <c r="CCJ45" s="2843"/>
      <c r="CCK45" s="2844"/>
      <c r="CCL45" s="2845"/>
      <c r="CCM45" s="2842"/>
      <c r="CCN45" s="2842"/>
      <c r="CCO45" s="2843"/>
      <c r="CCP45" s="2843"/>
      <c r="CCQ45" s="2844"/>
      <c r="CCR45" s="2845"/>
      <c r="CCS45" s="2842"/>
      <c r="CCT45" s="2842"/>
      <c r="CCU45" s="2843"/>
      <c r="CCV45" s="2843"/>
      <c r="CCW45" s="2844"/>
      <c r="CCX45" s="2845"/>
      <c r="CCY45" s="2842"/>
      <c r="CCZ45" s="2842"/>
      <c r="CDA45" s="2843"/>
      <c r="CDB45" s="2843"/>
      <c r="CDC45" s="2844"/>
      <c r="CDD45" s="2845"/>
      <c r="CDE45" s="2842"/>
      <c r="CDF45" s="2842"/>
      <c r="CDG45" s="2843"/>
      <c r="CDH45" s="2843"/>
      <c r="CDI45" s="2844"/>
      <c r="CDJ45" s="2845"/>
      <c r="CDK45" s="2842"/>
      <c r="CDL45" s="2842"/>
      <c r="CDM45" s="2843"/>
      <c r="CDN45" s="2843"/>
      <c r="CDO45" s="2844"/>
      <c r="CDP45" s="2845"/>
      <c r="CDQ45" s="2842"/>
      <c r="CDR45" s="2842"/>
      <c r="CDS45" s="2843"/>
      <c r="CDT45" s="2843"/>
      <c r="CDU45" s="2844"/>
      <c r="CDV45" s="2845"/>
      <c r="CDW45" s="2842"/>
      <c r="CDX45" s="2842"/>
      <c r="CDY45" s="2843"/>
      <c r="CDZ45" s="2843"/>
      <c r="CEA45" s="2844"/>
      <c r="CEB45" s="2845"/>
      <c r="CEC45" s="2842"/>
      <c r="CED45" s="2842"/>
      <c r="CEE45" s="2843"/>
      <c r="CEF45" s="2843"/>
      <c r="CEG45" s="2844"/>
      <c r="CEH45" s="2845"/>
      <c r="CEI45" s="2842"/>
      <c r="CEJ45" s="2842"/>
      <c r="CEK45" s="2843"/>
      <c r="CEL45" s="2843"/>
      <c r="CEM45" s="2844"/>
      <c r="CEN45" s="2845"/>
      <c r="CEO45" s="2842"/>
      <c r="CEP45" s="2842"/>
      <c r="CEQ45" s="2843"/>
      <c r="CER45" s="2843"/>
      <c r="CES45" s="2844"/>
      <c r="CET45" s="2845"/>
      <c r="CEU45" s="2842"/>
      <c r="CEV45" s="2842"/>
      <c r="CEW45" s="2843"/>
      <c r="CEX45" s="2843"/>
      <c r="CEY45" s="2844"/>
      <c r="CEZ45" s="2845"/>
      <c r="CFA45" s="2842"/>
      <c r="CFB45" s="2842"/>
      <c r="CFC45" s="2843"/>
      <c r="CFD45" s="2843"/>
      <c r="CFE45" s="2844"/>
      <c r="CFF45" s="2845"/>
      <c r="CFG45" s="2842"/>
      <c r="CFH45" s="2842"/>
      <c r="CFI45" s="2843"/>
      <c r="CFJ45" s="2843"/>
      <c r="CFK45" s="2844"/>
      <c r="CFL45" s="2845"/>
      <c r="CFM45" s="2842"/>
      <c r="CFN45" s="2842"/>
      <c r="CFO45" s="2843"/>
      <c r="CFP45" s="2843"/>
      <c r="CFQ45" s="2844"/>
      <c r="CFR45" s="2845"/>
      <c r="CFS45" s="2842"/>
      <c r="CFT45" s="2842"/>
      <c r="CFU45" s="2843"/>
      <c r="CFV45" s="2843"/>
      <c r="CFW45" s="2844"/>
      <c r="CFX45" s="2845"/>
      <c r="CFY45" s="2842"/>
      <c r="CFZ45" s="2842"/>
      <c r="CGA45" s="2843"/>
      <c r="CGB45" s="2843"/>
      <c r="CGC45" s="2844"/>
      <c r="CGD45" s="2845"/>
      <c r="CGE45" s="2842"/>
      <c r="CGF45" s="2842"/>
      <c r="CGG45" s="2843"/>
      <c r="CGH45" s="2843"/>
      <c r="CGI45" s="2844"/>
      <c r="CGJ45" s="2845"/>
      <c r="CGK45" s="2842"/>
      <c r="CGL45" s="2842"/>
      <c r="CGM45" s="2843"/>
      <c r="CGN45" s="2843"/>
      <c r="CGO45" s="2844"/>
      <c r="CGP45" s="2845"/>
      <c r="CGQ45" s="2842"/>
      <c r="CGR45" s="2842"/>
      <c r="CGS45" s="2843"/>
      <c r="CGT45" s="2843"/>
      <c r="CGU45" s="2844"/>
      <c r="CGV45" s="2845"/>
      <c r="CGW45" s="2842"/>
      <c r="CGX45" s="2842"/>
      <c r="CGY45" s="2843"/>
      <c r="CGZ45" s="2843"/>
      <c r="CHA45" s="2844"/>
      <c r="CHB45" s="2845"/>
      <c r="CHC45" s="2842"/>
      <c r="CHD45" s="2842"/>
      <c r="CHE45" s="2843"/>
      <c r="CHF45" s="2843"/>
      <c r="CHG45" s="2844"/>
      <c r="CHH45" s="2845"/>
      <c r="CHI45" s="2842"/>
      <c r="CHJ45" s="2842"/>
      <c r="CHK45" s="2843"/>
      <c r="CHL45" s="2843"/>
      <c r="CHM45" s="2844"/>
      <c r="CHN45" s="2845"/>
      <c r="CHO45" s="2842"/>
      <c r="CHP45" s="2842"/>
      <c r="CHQ45" s="2843"/>
      <c r="CHR45" s="2843"/>
      <c r="CHS45" s="2844"/>
      <c r="CHT45" s="2845"/>
      <c r="CHU45" s="2842"/>
      <c r="CHV45" s="2842"/>
      <c r="CHW45" s="2843"/>
      <c r="CHX45" s="2843"/>
      <c r="CHY45" s="2844"/>
      <c r="CHZ45" s="2845"/>
      <c r="CIA45" s="2842"/>
      <c r="CIB45" s="2842"/>
      <c r="CIC45" s="2843"/>
      <c r="CID45" s="2843"/>
      <c r="CIE45" s="2844"/>
      <c r="CIF45" s="2845"/>
      <c r="CIG45" s="2842"/>
      <c r="CIH45" s="2842"/>
      <c r="CII45" s="2843"/>
      <c r="CIJ45" s="2843"/>
      <c r="CIK45" s="2844"/>
      <c r="CIL45" s="2845"/>
      <c r="CIM45" s="2842"/>
      <c r="CIN45" s="2842"/>
      <c r="CIO45" s="2843"/>
      <c r="CIP45" s="2843"/>
      <c r="CIQ45" s="2844"/>
      <c r="CIR45" s="2845"/>
      <c r="CIS45" s="2842"/>
      <c r="CIT45" s="2842"/>
      <c r="CIU45" s="2843"/>
      <c r="CIV45" s="2843"/>
      <c r="CIW45" s="2844"/>
      <c r="CIX45" s="2845"/>
      <c r="CIY45" s="2842"/>
      <c r="CIZ45" s="2842"/>
      <c r="CJA45" s="2843"/>
      <c r="CJB45" s="2843"/>
      <c r="CJC45" s="2844"/>
      <c r="CJD45" s="2845"/>
      <c r="CJE45" s="2842"/>
      <c r="CJF45" s="2842"/>
      <c r="CJG45" s="2843"/>
      <c r="CJH45" s="2843"/>
      <c r="CJI45" s="2844"/>
      <c r="CJJ45" s="2845"/>
      <c r="CJK45" s="2842"/>
      <c r="CJL45" s="2842"/>
      <c r="CJM45" s="2843"/>
      <c r="CJN45" s="2843"/>
      <c r="CJO45" s="2844"/>
      <c r="CJP45" s="2845"/>
      <c r="CJQ45" s="2842"/>
      <c r="CJR45" s="2842"/>
      <c r="CJS45" s="2843"/>
      <c r="CJT45" s="2843"/>
      <c r="CJU45" s="2844"/>
      <c r="CJV45" s="2845"/>
      <c r="CJW45" s="2842"/>
      <c r="CJX45" s="2842"/>
      <c r="CJY45" s="2843"/>
      <c r="CJZ45" s="2843"/>
      <c r="CKA45" s="2844"/>
      <c r="CKB45" s="2845"/>
      <c r="CKC45" s="2842"/>
      <c r="CKD45" s="2842"/>
      <c r="CKE45" s="2843"/>
      <c r="CKF45" s="2843"/>
      <c r="CKG45" s="2844"/>
      <c r="CKH45" s="2845"/>
      <c r="CKI45" s="2842"/>
      <c r="CKJ45" s="2842"/>
      <c r="CKK45" s="2843"/>
      <c r="CKL45" s="2843"/>
      <c r="CKM45" s="2844"/>
      <c r="CKN45" s="2845"/>
      <c r="CKO45" s="2842"/>
      <c r="CKP45" s="2842"/>
      <c r="CKQ45" s="2843"/>
      <c r="CKR45" s="2843"/>
      <c r="CKS45" s="2844"/>
      <c r="CKT45" s="2845"/>
      <c r="CKU45" s="2842"/>
      <c r="CKV45" s="2842"/>
      <c r="CKW45" s="2843"/>
      <c r="CKX45" s="2843"/>
      <c r="CKY45" s="2844"/>
      <c r="CKZ45" s="2845"/>
      <c r="CLA45" s="2842"/>
      <c r="CLB45" s="2842"/>
      <c r="CLC45" s="2843"/>
      <c r="CLD45" s="2843"/>
      <c r="CLE45" s="2844"/>
      <c r="CLF45" s="2845"/>
      <c r="CLG45" s="2842"/>
      <c r="CLH45" s="2842"/>
      <c r="CLI45" s="2843"/>
      <c r="CLJ45" s="2843"/>
      <c r="CLK45" s="2844"/>
      <c r="CLL45" s="2845"/>
      <c r="CLM45" s="2842"/>
      <c r="CLN45" s="2842"/>
      <c r="CLO45" s="2843"/>
      <c r="CLP45" s="2843"/>
      <c r="CLQ45" s="2844"/>
      <c r="CLR45" s="2845"/>
      <c r="CLS45" s="2842"/>
      <c r="CLT45" s="2842"/>
      <c r="CLU45" s="2843"/>
      <c r="CLV45" s="2843"/>
      <c r="CLW45" s="2844"/>
      <c r="CLX45" s="2845"/>
      <c r="CLY45" s="2842"/>
      <c r="CLZ45" s="2842"/>
      <c r="CMA45" s="2843"/>
      <c r="CMB45" s="2843"/>
      <c r="CMC45" s="2844"/>
      <c r="CMD45" s="2845"/>
      <c r="CME45" s="2842"/>
      <c r="CMF45" s="2842"/>
      <c r="CMG45" s="2843"/>
      <c r="CMH45" s="2843"/>
      <c r="CMI45" s="2844"/>
      <c r="CMJ45" s="2845"/>
      <c r="CMK45" s="2842"/>
      <c r="CML45" s="2842"/>
      <c r="CMM45" s="2843"/>
      <c r="CMN45" s="2843"/>
      <c r="CMO45" s="2844"/>
      <c r="CMP45" s="2845"/>
      <c r="CMQ45" s="2842"/>
      <c r="CMR45" s="2842"/>
      <c r="CMS45" s="2843"/>
      <c r="CMT45" s="2843"/>
      <c r="CMU45" s="2844"/>
      <c r="CMV45" s="2845"/>
      <c r="CMW45" s="2842"/>
      <c r="CMX45" s="2842"/>
      <c r="CMY45" s="2843"/>
      <c r="CMZ45" s="2843"/>
      <c r="CNA45" s="2844"/>
      <c r="CNB45" s="2845"/>
      <c r="CNC45" s="2842"/>
      <c r="CND45" s="2842"/>
      <c r="CNE45" s="2843"/>
      <c r="CNF45" s="2843"/>
      <c r="CNG45" s="2844"/>
      <c r="CNH45" s="2845"/>
      <c r="CNI45" s="2842"/>
      <c r="CNJ45" s="2842"/>
      <c r="CNK45" s="2843"/>
      <c r="CNL45" s="2843"/>
      <c r="CNM45" s="2844"/>
      <c r="CNN45" s="2845"/>
      <c r="CNO45" s="2842"/>
      <c r="CNP45" s="2842"/>
      <c r="CNQ45" s="2843"/>
      <c r="CNR45" s="2843"/>
      <c r="CNS45" s="2844"/>
      <c r="CNT45" s="2845"/>
      <c r="CNU45" s="2842"/>
      <c r="CNV45" s="2842"/>
      <c r="CNW45" s="2843"/>
      <c r="CNX45" s="2843"/>
      <c r="CNY45" s="2844"/>
      <c r="CNZ45" s="2845"/>
      <c r="COA45" s="2842"/>
      <c r="COB45" s="2842"/>
      <c r="COC45" s="2843"/>
      <c r="COD45" s="2843"/>
      <c r="COE45" s="2844"/>
      <c r="COF45" s="2845"/>
      <c r="COG45" s="2842"/>
      <c r="COH45" s="2842"/>
      <c r="COI45" s="2843"/>
      <c r="COJ45" s="2843"/>
      <c r="COK45" s="2844"/>
      <c r="COL45" s="2845"/>
      <c r="COM45" s="2842"/>
      <c r="CON45" s="2842"/>
      <c r="COO45" s="2843"/>
      <c r="COP45" s="2843"/>
      <c r="COQ45" s="2844"/>
      <c r="COR45" s="2845"/>
      <c r="COS45" s="2842"/>
      <c r="COT45" s="2842"/>
      <c r="COU45" s="2843"/>
      <c r="COV45" s="2843"/>
      <c r="COW45" s="2844"/>
      <c r="COX45" s="2845"/>
      <c r="COY45" s="2842"/>
      <c r="COZ45" s="2842"/>
      <c r="CPA45" s="2843"/>
      <c r="CPB45" s="2843"/>
      <c r="CPC45" s="2844"/>
      <c r="CPD45" s="2845"/>
      <c r="CPE45" s="2842"/>
      <c r="CPF45" s="2842"/>
      <c r="CPG45" s="2843"/>
      <c r="CPH45" s="2843"/>
      <c r="CPI45" s="2844"/>
      <c r="CPJ45" s="2845"/>
      <c r="CPK45" s="2842"/>
      <c r="CPL45" s="2842"/>
      <c r="CPM45" s="2843"/>
      <c r="CPN45" s="2843"/>
      <c r="CPO45" s="2844"/>
      <c r="CPP45" s="2845"/>
      <c r="CPQ45" s="2842"/>
      <c r="CPR45" s="2842"/>
      <c r="CPS45" s="2843"/>
      <c r="CPT45" s="2843"/>
      <c r="CPU45" s="2844"/>
      <c r="CPV45" s="2845"/>
      <c r="CPW45" s="2842"/>
      <c r="CPX45" s="2842"/>
      <c r="CPY45" s="2843"/>
      <c r="CPZ45" s="2843"/>
      <c r="CQA45" s="2844"/>
      <c r="CQB45" s="2845"/>
      <c r="CQC45" s="2842"/>
      <c r="CQD45" s="2842"/>
      <c r="CQE45" s="2843"/>
      <c r="CQF45" s="2843"/>
      <c r="CQG45" s="2844"/>
      <c r="CQH45" s="2845"/>
      <c r="CQI45" s="2842"/>
      <c r="CQJ45" s="2842"/>
      <c r="CQK45" s="2843"/>
      <c r="CQL45" s="2843"/>
      <c r="CQM45" s="2844"/>
      <c r="CQN45" s="2845"/>
      <c r="CQO45" s="2842"/>
      <c r="CQP45" s="2842"/>
      <c r="CQQ45" s="2843"/>
      <c r="CQR45" s="2843"/>
      <c r="CQS45" s="2844"/>
      <c r="CQT45" s="2845"/>
      <c r="CQU45" s="2842"/>
      <c r="CQV45" s="2842"/>
      <c r="CQW45" s="2843"/>
      <c r="CQX45" s="2843"/>
      <c r="CQY45" s="2844"/>
      <c r="CQZ45" s="2845"/>
      <c r="CRA45" s="2842"/>
      <c r="CRB45" s="2842"/>
      <c r="CRC45" s="2843"/>
      <c r="CRD45" s="2843"/>
      <c r="CRE45" s="2844"/>
      <c r="CRF45" s="2845"/>
      <c r="CRG45" s="2842"/>
      <c r="CRH45" s="2842"/>
      <c r="CRI45" s="2843"/>
      <c r="CRJ45" s="2843"/>
      <c r="CRK45" s="2844"/>
      <c r="CRL45" s="2845"/>
      <c r="CRM45" s="2842"/>
      <c r="CRN45" s="2842"/>
      <c r="CRO45" s="2843"/>
      <c r="CRP45" s="2843"/>
      <c r="CRQ45" s="2844"/>
      <c r="CRR45" s="2845"/>
      <c r="CRS45" s="2842"/>
      <c r="CRT45" s="2842"/>
      <c r="CRU45" s="2843"/>
      <c r="CRV45" s="2843"/>
      <c r="CRW45" s="2844"/>
      <c r="CRX45" s="2845"/>
      <c r="CRY45" s="2842"/>
      <c r="CRZ45" s="2842"/>
      <c r="CSA45" s="2843"/>
      <c r="CSB45" s="2843"/>
      <c r="CSC45" s="2844"/>
      <c r="CSD45" s="2845"/>
      <c r="CSE45" s="2842"/>
      <c r="CSF45" s="2842"/>
      <c r="CSG45" s="2843"/>
      <c r="CSH45" s="2843"/>
      <c r="CSI45" s="2844"/>
      <c r="CSJ45" s="2845"/>
      <c r="CSK45" s="2842"/>
      <c r="CSL45" s="2842"/>
      <c r="CSM45" s="2843"/>
      <c r="CSN45" s="2843"/>
      <c r="CSO45" s="2844"/>
      <c r="CSP45" s="2845"/>
      <c r="CSQ45" s="2842"/>
      <c r="CSR45" s="2842"/>
      <c r="CSS45" s="2843"/>
      <c r="CST45" s="2843"/>
      <c r="CSU45" s="2844"/>
      <c r="CSV45" s="2845"/>
      <c r="CSW45" s="2842"/>
      <c r="CSX45" s="2842"/>
      <c r="CSY45" s="2843"/>
      <c r="CSZ45" s="2843"/>
      <c r="CTA45" s="2844"/>
      <c r="CTB45" s="2845"/>
      <c r="CTC45" s="2842"/>
      <c r="CTD45" s="2842"/>
      <c r="CTE45" s="2843"/>
      <c r="CTF45" s="2843"/>
      <c r="CTG45" s="2844"/>
      <c r="CTH45" s="2845"/>
      <c r="CTI45" s="2842"/>
      <c r="CTJ45" s="2842"/>
      <c r="CTK45" s="2843"/>
      <c r="CTL45" s="2843"/>
      <c r="CTM45" s="2844"/>
      <c r="CTN45" s="2845"/>
      <c r="CTO45" s="2842"/>
      <c r="CTP45" s="2842"/>
      <c r="CTQ45" s="2843"/>
      <c r="CTR45" s="2843"/>
      <c r="CTS45" s="2844"/>
      <c r="CTT45" s="2845"/>
      <c r="CTU45" s="2842"/>
      <c r="CTV45" s="2842"/>
      <c r="CTW45" s="2843"/>
      <c r="CTX45" s="2843"/>
      <c r="CTY45" s="2844"/>
      <c r="CTZ45" s="2845"/>
      <c r="CUA45" s="2842"/>
      <c r="CUB45" s="2842"/>
      <c r="CUC45" s="2843"/>
      <c r="CUD45" s="2843"/>
      <c r="CUE45" s="2844"/>
      <c r="CUF45" s="2845"/>
      <c r="CUG45" s="2842"/>
      <c r="CUH45" s="2842"/>
      <c r="CUI45" s="2843"/>
      <c r="CUJ45" s="2843"/>
      <c r="CUK45" s="2844"/>
      <c r="CUL45" s="2845"/>
      <c r="CUM45" s="2842"/>
      <c r="CUN45" s="2842"/>
      <c r="CUO45" s="2843"/>
      <c r="CUP45" s="2843"/>
      <c r="CUQ45" s="2844"/>
      <c r="CUR45" s="2845"/>
      <c r="CUS45" s="2842"/>
      <c r="CUT45" s="2842"/>
      <c r="CUU45" s="2843"/>
      <c r="CUV45" s="2843"/>
      <c r="CUW45" s="2844"/>
      <c r="CUX45" s="2845"/>
      <c r="CUY45" s="2842"/>
      <c r="CUZ45" s="2842"/>
      <c r="CVA45" s="2843"/>
      <c r="CVB45" s="2843"/>
      <c r="CVC45" s="2844"/>
      <c r="CVD45" s="2845"/>
      <c r="CVE45" s="2842"/>
      <c r="CVF45" s="2842"/>
      <c r="CVG45" s="2843"/>
      <c r="CVH45" s="2843"/>
      <c r="CVI45" s="2844"/>
      <c r="CVJ45" s="2845"/>
      <c r="CVK45" s="2842"/>
      <c r="CVL45" s="2842"/>
      <c r="CVM45" s="2843"/>
      <c r="CVN45" s="2843"/>
      <c r="CVO45" s="2844"/>
      <c r="CVP45" s="2845"/>
      <c r="CVQ45" s="2842"/>
      <c r="CVR45" s="2842"/>
      <c r="CVS45" s="2843"/>
      <c r="CVT45" s="2843"/>
      <c r="CVU45" s="2844"/>
      <c r="CVV45" s="2845"/>
      <c r="CVW45" s="2842"/>
      <c r="CVX45" s="2842"/>
      <c r="CVY45" s="2843"/>
      <c r="CVZ45" s="2843"/>
      <c r="CWA45" s="2844"/>
      <c r="CWB45" s="2845"/>
      <c r="CWC45" s="2842"/>
      <c r="CWD45" s="2842"/>
      <c r="CWE45" s="2843"/>
      <c r="CWF45" s="2843"/>
      <c r="CWG45" s="2844"/>
      <c r="CWH45" s="2845"/>
      <c r="CWI45" s="2842"/>
      <c r="CWJ45" s="2842"/>
      <c r="CWK45" s="2843"/>
      <c r="CWL45" s="2843"/>
      <c r="CWM45" s="2844"/>
      <c r="CWN45" s="2845"/>
      <c r="CWO45" s="2842"/>
      <c r="CWP45" s="2842"/>
      <c r="CWQ45" s="2843"/>
      <c r="CWR45" s="2843"/>
      <c r="CWS45" s="2844"/>
      <c r="CWT45" s="2845"/>
      <c r="CWU45" s="2842"/>
      <c r="CWV45" s="2842"/>
      <c r="CWW45" s="2843"/>
      <c r="CWX45" s="2843"/>
      <c r="CWY45" s="2844"/>
      <c r="CWZ45" s="2845"/>
      <c r="CXA45" s="2842"/>
      <c r="CXB45" s="2842"/>
      <c r="CXC45" s="2843"/>
      <c r="CXD45" s="2843"/>
      <c r="CXE45" s="2844"/>
      <c r="CXF45" s="2845"/>
      <c r="CXG45" s="2842"/>
      <c r="CXH45" s="2842"/>
      <c r="CXI45" s="2843"/>
      <c r="CXJ45" s="2843"/>
      <c r="CXK45" s="2844"/>
      <c r="CXL45" s="2845"/>
      <c r="CXM45" s="2842"/>
      <c r="CXN45" s="2842"/>
      <c r="CXO45" s="2843"/>
      <c r="CXP45" s="2843"/>
      <c r="CXQ45" s="2844"/>
      <c r="CXR45" s="2845"/>
      <c r="CXS45" s="2842"/>
      <c r="CXT45" s="2842"/>
      <c r="CXU45" s="2843"/>
      <c r="CXV45" s="2843"/>
      <c r="CXW45" s="2844"/>
      <c r="CXX45" s="2845"/>
      <c r="CXY45" s="2842"/>
      <c r="CXZ45" s="2842"/>
      <c r="CYA45" s="2843"/>
      <c r="CYB45" s="2843"/>
      <c r="CYC45" s="2844"/>
      <c r="CYD45" s="2845"/>
      <c r="CYE45" s="2842"/>
      <c r="CYF45" s="2842"/>
      <c r="CYG45" s="2843"/>
      <c r="CYH45" s="2843"/>
      <c r="CYI45" s="2844"/>
      <c r="CYJ45" s="2845"/>
      <c r="CYK45" s="2842"/>
      <c r="CYL45" s="2842"/>
      <c r="CYM45" s="2843"/>
      <c r="CYN45" s="2843"/>
      <c r="CYO45" s="2844"/>
      <c r="CYP45" s="2845"/>
      <c r="CYQ45" s="2842"/>
      <c r="CYR45" s="2842"/>
      <c r="CYS45" s="2843"/>
      <c r="CYT45" s="2843"/>
      <c r="CYU45" s="2844"/>
      <c r="CYV45" s="2845"/>
      <c r="CYW45" s="2842"/>
      <c r="CYX45" s="2842"/>
      <c r="CYY45" s="2843"/>
      <c r="CYZ45" s="2843"/>
      <c r="CZA45" s="2844"/>
      <c r="CZB45" s="2845"/>
      <c r="CZC45" s="2842"/>
      <c r="CZD45" s="2842"/>
      <c r="CZE45" s="2843"/>
      <c r="CZF45" s="2843"/>
      <c r="CZG45" s="2844"/>
      <c r="CZH45" s="2845"/>
      <c r="CZI45" s="2842"/>
      <c r="CZJ45" s="2842"/>
      <c r="CZK45" s="2843"/>
      <c r="CZL45" s="2843"/>
      <c r="CZM45" s="2844"/>
      <c r="CZN45" s="2845"/>
      <c r="CZO45" s="2842"/>
      <c r="CZP45" s="2842"/>
      <c r="CZQ45" s="2843"/>
      <c r="CZR45" s="2843"/>
      <c r="CZS45" s="2844"/>
      <c r="CZT45" s="2845"/>
      <c r="CZU45" s="2842"/>
      <c r="CZV45" s="2842"/>
      <c r="CZW45" s="2843"/>
      <c r="CZX45" s="2843"/>
      <c r="CZY45" s="2844"/>
      <c r="CZZ45" s="2845"/>
      <c r="DAA45" s="2842"/>
      <c r="DAB45" s="2842"/>
      <c r="DAC45" s="2843"/>
      <c r="DAD45" s="2843"/>
      <c r="DAE45" s="2844"/>
      <c r="DAF45" s="2845"/>
      <c r="DAG45" s="2842"/>
      <c r="DAH45" s="2842"/>
      <c r="DAI45" s="2843"/>
      <c r="DAJ45" s="2843"/>
      <c r="DAK45" s="2844"/>
      <c r="DAL45" s="2845"/>
      <c r="DAM45" s="2842"/>
      <c r="DAN45" s="2842"/>
      <c r="DAO45" s="2843"/>
      <c r="DAP45" s="2843"/>
      <c r="DAQ45" s="2844"/>
      <c r="DAR45" s="2845"/>
      <c r="DAS45" s="2842"/>
      <c r="DAT45" s="2842"/>
      <c r="DAU45" s="2843"/>
      <c r="DAV45" s="2843"/>
      <c r="DAW45" s="2844"/>
      <c r="DAX45" s="2845"/>
      <c r="DAY45" s="2842"/>
      <c r="DAZ45" s="2842"/>
      <c r="DBA45" s="2843"/>
      <c r="DBB45" s="2843"/>
      <c r="DBC45" s="2844"/>
      <c r="DBD45" s="2845"/>
      <c r="DBE45" s="2842"/>
      <c r="DBF45" s="2842"/>
      <c r="DBG45" s="2843"/>
      <c r="DBH45" s="2843"/>
      <c r="DBI45" s="2844"/>
      <c r="DBJ45" s="2845"/>
      <c r="DBK45" s="2842"/>
      <c r="DBL45" s="2842"/>
      <c r="DBM45" s="2843"/>
      <c r="DBN45" s="2843"/>
      <c r="DBO45" s="2844"/>
      <c r="DBP45" s="2845"/>
      <c r="DBQ45" s="2842"/>
      <c r="DBR45" s="2842"/>
      <c r="DBS45" s="2843"/>
      <c r="DBT45" s="2843"/>
      <c r="DBU45" s="2844"/>
      <c r="DBV45" s="2845"/>
      <c r="DBW45" s="2842"/>
      <c r="DBX45" s="2842"/>
      <c r="DBY45" s="2843"/>
      <c r="DBZ45" s="2843"/>
      <c r="DCA45" s="2844"/>
      <c r="DCB45" s="2845"/>
      <c r="DCC45" s="2842"/>
      <c r="DCD45" s="2842"/>
      <c r="DCE45" s="2843"/>
      <c r="DCF45" s="2843"/>
      <c r="DCG45" s="2844"/>
      <c r="DCH45" s="2845"/>
      <c r="DCI45" s="2842"/>
      <c r="DCJ45" s="2842"/>
      <c r="DCK45" s="2843"/>
      <c r="DCL45" s="2843"/>
      <c r="DCM45" s="2844"/>
      <c r="DCN45" s="2845"/>
      <c r="DCO45" s="2842"/>
      <c r="DCP45" s="2842"/>
      <c r="DCQ45" s="2843"/>
      <c r="DCR45" s="2843"/>
      <c r="DCS45" s="2844"/>
      <c r="DCT45" s="2845"/>
      <c r="DCU45" s="2842"/>
      <c r="DCV45" s="2842"/>
      <c r="DCW45" s="2843"/>
      <c r="DCX45" s="2843"/>
      <c r="DCY45" s="2844"/>
      <c r="DCZ45" s="2845"/>
      <c r="DDA45" s="2842"/>
      <c r="DDB45" s="2842"/>
      <c r="DDC45" s="2843"/>
      <c r="DDD45" s="2843"/>
      <c r="DDE45" s="2844"/>
      <c r="DDF45" s="2845"/>
      <c r="DDG45" s="2842"/>
      <c r="DDH45" s="2842"/>
      <c r="DDI45" s="2843"/>
      <c r="DDJ45" s="2843"/>
      <c r="DDK45" s="2844"/>
      <c r="DDL45" s="2845"/>
      <c r="DDM45" s="2842"/>
      <c r="DDN45" s="2842"/>
      <c r="DDO45" s="2843"/>
      <c r="DDP45" s="2843"/>
      <c r="DDQ45" s="2844"/>
      <c r="DDR45" s="2845"/>
      <c r="DDS45" s="2842"/>
      <c r="DDT45" s="2842"/>
      <c r="DDU45" s="2843"/>
      <c r="DDV45" s="2843"/>
      <c r="DDW45" s="2844"/>
      <c r="DDX45" s="2845"/>
      <c r="DDY45" s="2842"/>
      <c r="DDZ45" s="2842"/>
      <c r="DEA45" s="2843"/>
      <c r="DEB45" s="2843"/>
      <c r="DEC45" s="2844"/>
      <c r="DED45" s="2845"/>
      <c r="DEE45" s="2842"/>
      <c r="DEF45" s="2842"/>
      <c r="DEG45" s="2843"/>
      <c r="DEH45" s="2843"/>
      <c r="DEI45" s="2844"/>
      <c r="DEJ45" s="2845"/>
      <c r="DEK45" s="2842"/>
      <c r="DEL45" s="2842"/>
      <c r="DEM45" s="2843"/>
      <c r="DEN45" s="2843"/>
      <c r="DEO45" s="2844"/>
      <c r="DEP45" s="2845"/>
      <c r="DEQ45" s="2842"/>
      <c r="DER45" s="2842"/>
      <c r="DES45" s="2843"/>
      <c r="DET45" s="2843"/>
      <c r="DEU45" s="2844"/>
      <c r="DEV45" s="2845"/>
      <c r="DEW45" s="2842"/>
      <c r="DEX45" s="2842"/>
      <c r="DEY45" s="2843"/>
      <c r="DEZ45" s="2843"/>
      <c r="DFA45" s="2844"/>
      <c r="DFB45" s="2845"/>
      <c r="DFC45" s="2842"/>
      <c r="DFD45" s="2842"/>
      <c r="DFE45" s="2843"/>
      <c r="DFF45" s="2843"/>
      <c r="DFG45" s="2844"/>
      <c r="DFH45" s="2845"/>
      <c r="DFI45" s="2842"/>
      <c r="DFJ45" s="2842"/>
      <c r="DFK45" s="2843"/>
      <c r="DFL45" s="2843"/>
      <c r="DFM45" s="2844"/>
      <c r="DFN45" s="2845"/>
      <c r="DFO45" s="2842"/>
      <c r="DFP45" s="2842"/>
      <c r="DFQ45" s="2843"/>
      <c r="DFR45" s="2843"/>
      <c r="DFS45" s="2844"/>
      <c r="DFT45" s="2845"/>
      <c r="DFU45" s="2842"/>
      <c r="DFV45" s="2842"/>
      <c r="DFW45" s="2843"/>
      <c r="DFX45" s="2843"/>
      <c r="DFY45" s="2844"/>
      <c r="DFZ45" s="2845"/>
      <c r="DGA45" s="2842"/>
      <c r="DGB45" s="2842"/>
      <c r="DGC45" s="2843"/>
      <c r="DGD45" s="2843"/>
      <c r="DGE45" s="2844"/>
      <c r="DGF45" s="2845"/>
      <c r="DGG45" s="2842"/>
      <c r="DGH45" s="2842"/>
      <c r="DGI45" s="2843"/>
      <c r="DGJ45" s="2843"/>
      <c r="DGK45" s="2844"/>
      <c r="DGL45" s="2845"/>
      <c r="DGM45" s="2842"/>
      <c r="DGN45" s="2842"/>
      <c r="DGO45" s="2843"/>
      <c r="DGP45" s="2843"/>
      <c r="DGQ45" s="2844"/>
      <c r="DGR45" s="2845"/>
      <c r="DGS45" s="2842"/>
      <c r="DGT45" s="2842"/>
      <c r="DGU45" s="2843"/>
      <c r="DGV45" s="2843"/>
      <c r="DGW45" s="2844"/>
      <c r="DGX45" s="2845"/>
      <c r="DGY45" s="2842"/>
      <c r="DGZ45" s="2842"/>
      <c r="DHA45" s="2843"/>
      <c r="DHB45" s="2843"/>
      <c r="DHC45" s="2844"/>
      <c r="DHD45" s="2845"/>
      <c r="DHE45" s="2842"/>
      <c r="DHF45" s="2842"/>
      <c r="DHG45" s="2843"/>
      <c r="DHH45" s="2843"/>
      <c r="DHI45" s="2844"/>
      <c r="DHJ45" s="2845"/>
      <c r="DHK45" s="2842"/>
      <c r="DHL45" s="2842"/>
      <c r="DHM45" s="2843"/>
      <c r="DHN45" s="2843"/>
      <c r="DHO45" s="2844"/>
      <c r="DHP45" s="2845"/>
      <c r="DHQ45" s="2842"/>
      <c r="DHR45" s="2842"/>
      <c r="DHS45" s="2843"/>
      <c r="DHT45" s="2843"/>
      <c r="DHU45" s="2844"/>
      <c r="DHV45" s="2845"/>
      <c r="DHW45" s="2842"/>
      <c r="DHX45" s="2842"/>
      <c r="DHY45" s="2843"/>
      <c r="DHZ45" s="2843"/>
      <c r="DIA45" s="2844"/>
      <c r="DIB45" s="2845"/>
      <c r="DIC45" s="2842"/>
      <c r="DID45" s="2842"/>
      <c r="DIE45" s="2843"/>
      <c r="DIF45" s="2843"/>
      <c r="DIG45" s="2844"/>
      <c r="DIH45" s="2845"/>
      <c r="DII45" s="2842"/>
      <c r="DIJ45" s="2842"/>
      <c r="DIK45" s="2843"/>
      <c r="DIL45" s="2843"/>
      <c r="DIM45" s="2844"/>
      <c r="DIN45" s="2845"/>
      <c r="DIO45" s="2842"/>
      <c r="DIP45" s="2842"/>
      <c r="DIQ45" s="2843"/>
      <c r="DIR45" s="2843"/>
      <c r="DIS45" s="2844"/>
      <c r="DIT45" s="2845"/>
      <c r="DIU45" s="2842"/>
      <c r="DIV45" s="2842"/>
      <c r="DIW45" s="2843"/>
      <c r="DIX45" s="2843"/>
      <c r="DIY45" s="2844"/>
      <c r="DIZ45" s="2845"/>
      <c r="DJA45" s="2842"/>
      <c r="DJB45" s="2842"/>
      <c r="DJC45" s="2843"/>
      <c r="DJD45" s="2843"/>
      <c r="DJE45" s="2844"/>
      <c r="DJF45" s="2845"/>
      <c r="DJG45" s="2842"/>
      <c r="DJH45" s="2842"/>
      <c r="DJI45" s="2843"/>
      <c r="DJJ45" s="2843"/>
      <c r="DJK45" s="2844"/>
      <c r="DJL45" s="2845"/>
      <c r="DJM45" s="2842"/>
      <c r="DJN45" s="2842"/>
      <c r="DJO45" s="2843"/>
      <c r="DJP45" s="2843"/>
      <c r="DJQ45" s="2844"/>
      <c r="DJR45" s="2845"/>
      <c r="DJS45" s="2842"/>
      <c r="DJT45" s="2842"/>
      <c r="DJU45" s="2843"/>
      <c r="DJV45" s="2843"/>
      <c r="DJW45" s="2844"/>
      <c r="DJX45" s="2845"/>
      <c r="DJY45" s="2842"/>
      <c r="DJZ45" s="2842"/>
      <c r="DKA45" s="2843"/>
      <c r="DKB45" s="2843"/>
      <c r="DKC45" s="2844"/>
      <c r="DKD45" s="2845"/>
      <c r="DKE45" s="2842"/>
      <c r="DKF45" s="2842"/>
      <c r="DKG45" s="2843"/>
      <c r="DKH45" s="2843"/>
      <c r="DKI45" s="2844"/>
      <c r="DKJ45" s="2845"/>
      <c r="DKK45" s="2842"/>
      <c r="DKL45" s="2842"/>
      <c r="DKM45" s="2843"/>
      <c r="DKN45" s="2843"/>
      <c r="DKO45" s="2844"/>
      <c r="DKP45" s="2845"/>
      <c r="DKQ45" s="2842"/>
      <c r="DKR45" s="2842"/>
      <c r="DKS45" s="2843"/>
      <c r="DKT45" s="2843"/>
      <c r="DKU45" s="2844"/>
      <c r="DKV45" s="2845"/>
      <c r="DKW45" s="2842"/>
      <c r="DKX45" s="2842"/>
      <c r="DKY45" s="2843"/>
      <c r="DKZ45" s="2843"/>
      <c r="DLA45" s="2844"/>
      <c r="DLB45" s="2845"/>
      <c r="DLC45" s="2842"/>
      <c r="DLD45" s="2842"/>
      <c r="DLE45" s="2843"/>
      <c r="DLF45" s="2843"/>
      <c r="DLG45" s="2844"/>
      <c r="DLH45" s="2845"/>
      <c r="DLI45" s="2842"/>
      <c r="DLJ45" s="2842"/>
      <c r="DLK45" s="2843"/>
      <c r="DLL45" s="2843"/>
      <c r="DLM45" s="2844"/>
      <c r="DLN45" s="2845"/>
      <c r="DLO45" s="2842"/>
      <c r="DLP45" s="2842"/>
      <c r="DLQ45" s="2843"/>
      <c r="DLR45" s="2843"/>
      <c r="DLS45" s="2844"/>
      <c r="DLT45" s="2845"/>
      <c r="DLU45" s="2842"/>
      <c r="DLV45" s="2842"/>
      <c r="DLW45" s="2843"/>
      <c r="DLX45" s="2843"/>
      <c r="DLY45" s="2844"/>
      <c r="DLZ45" s="2845"/>
      <c r="DMA45" s="2842"/>
      <c r="DMB45" s="2842"/>
      <c r="DMC45" s="2843"/>
      <c r="DMD45" s="2843"/>
      <c r="DME45" s="2844"/>
      <c r="DMF45" s="2845"/>
      <c r="DMG45" s="2842"/>
      <c r="DMH45" s="2842"/>
      <c r="DMI45" s="2843"/>
      <c r="DMJ45" s="2843"/>
      <c r="DMK45" s="2844"/>
      <c r="DML45" s="2845"/>
      <c r="DMM45" s="2842"/>
      <c r="DMN45" s="2842"/>
      <c r="DMO45" s="2843"/>
      <c r="DMP45" s="2843"/>
      <c r="DMQ45" s="2844"/>
      <c r="DMR45" s="2845"/>
      <c r="DMS45" s="2842"/>
      <c r="DMT45" s="2842"/>
      <c r="DMU45" s="2843"/>
      <c r="DMV45" s="2843"/>
      <c r="DMW45" s="2844"/>
      <c r="DMX45" s="2845"/>
      <c r="DMY45" s="2842"/>
      <c r="DMZ45" s="2842"/>
      <c r="DNA45" s="2843"/>
      <c r="DNB45" s="2843"/>
      <c r="DNC45" s="2844"/>
      <c r="DND45" s="2845"/>
      <c r="DNE45" s="2842"/>
      <c r="DNF45" s="2842"/>
      <c r="DNG45" s="2843"/>
      <c r="DNH45" s="2843"/>
      <c r="DNI45" s="2844"/>
      <c r="DNJ45" s="2845"/>
      <c r="DNK45" s="2842"/>
      <c r="DNL45" s="2842"/>
      <c r="DNM45" s="2843"/>
      <c r="DNN45" s="2843"/>
      <c r="DNO45" s="2844"/>
      <c r="DNP45" s="2845"/>
      <c r="DNQ45" s="2842"/>
      <c r="DNR45" s="2842"/>
      <c r="DNS45" s="2843"/>
      <c r="DNT45" s="2843"/>
      <c r="DNU45" s="2844"/>
      <c r="DNV45" s="2845"/>
      <c r="DNW45" s="2842"/>
      <c r="DNX45" s="2842"/>
      <c r="DNY45" s="2843"/>
      <c r="DNZ45" s="2843"/>
      <c r="DOA45" s="2844"/>
      <c r="DOB45" s="2845"/>
      <c r="DOC45" s="2842"/>
      <c r="DOD45" s="2842"/>
      <c r="DOE45" s="2843"/>
      <c r="DOF45" s="2843"/>
      <c r="DOG45" s="2844"/>
      <c r="DOH45" s="2845"/>
      <c r="DOI45" s="2842"/>
      <c r="DOJ45" s="2842"/>
      <c r="DOK45" s="2843"/>
      <c r="DOL45" s="2843"/>
      <c r="DOM45" s="2844"/>
      <c r="DON45" s="2845"/>
      <c r="DOO45" s="2842"/>
      <c r="DOP45" s="2842"/>
      <c r="DOQ45" s="2843"/>
      <c r="DOR45" s="2843"/>
      <c r="DOS45" s="2844"/>
      <c r="DOT45" s="2845"/>
      <c r="DOU45" s="2842"/>
      <c r="DOV45" s="2842"/>
      <c r="DOW45" s="2843"/>
      <c r="DOX45" s="2843"/>
      <c r="DOY45" s="2844"/>
      <c r="DOZ45" s="2845"/>
      <c r="DPA45" s="2842"/>
      <c r="DPB45" s="2842"/>
      <c r="DPC45" s="2843"/>
      <c r="DPD45" s="2843"/>
      <c r="DPE45" s="2844"/>
      <c r="DPF45" s="2845"/>
      <c r="DPG45" s="2842"/>
      <c r="DPH45" s="2842"/>
      <c r="DPI45" s="2843"/>
      <c r="DPJ45" s="2843"/>
      <c r="DPK45" s="2844"/>
      <c r="DPL45" s="2845"/>
      <c r="DPM45" s="2842"/>
      <c r="DPN45" s="2842"/>
      <c r="DPO45" s="2843"/>
      <c r="DPP45" s="2843"/>
      <c r="DPQ45" s="2844"/>
      <c r="DPR45" s="2845"/>
      <c r="DPS45" s="2842"/>
      <c r="DPT45" s="2842"/>
      <c r="DPU45" s="2843"/>
      <c r="DPV45" s="2843"/>
      <c r="DPW45" s="2844"/>
      <c r="DPX45" s="2845"/>
      <c r="DPY45" s="2842"/>
      <c r="DPZ45" s="2842"/>
      <c r="DQA45" s="2843"/>
      <c r="DQB45" s="2843"/>
      <c r="DQC45" s="2844"/>
      <c r="DQD45" s="2845"/>
      <c r="DQE45" s="2842"/>
      <c r="DQF45" s="2842"/>
      <c r="DQG45" s="2843"/>
      <c r="DQH45" s="2843"/>
      <c r="DQI45" s="2844"/>
      <c r="DQJ45" s="2845"/>
      <c r="DQK45" s="2842"/>
      <c r="DQL45" s="2842"/>
      <c r="DQM45" s="2843"/>
      <c r="DQN45" s="2843"/>
      <c r="DQO45" s="2844"/>
      <c r="DQP45" s="2845"/>
      <c r="DQQ45" s="2842"/>
      <c r="DQR45" s="2842"/>
      <c r="DQS45" s="2843"/>
      <c r="DQT45" s="2843"/>
      <c r="DQU45" s="2844"/>
      <c r="DQV45" s="2845"/>
      <c r="DQW45" s="2842"/>
      <c r="DQX45" s="2842"/>
      <c r="DQY45" s="2843"/>
      <c r="DQZ45" s="2843"/>
      <c r="DRA45" s="2844"/>
      <c r="DRB45" s="2845"/>
      <c r="DRC45" s="2842"/>
      <c r="DRD45" s="2842"/>
      <c r="DRE45" s="2843"/>
      <c r="DRF45" s="2843"/>
      <c r="DRG45" s="2844"/>
      <c r="DRH45" s="2845"/>
      <c r="DRI45" s="2842"/>
      <c r="DRJ45" s="2842"/>
      <c r="DRK45" s="2843"/>
      <c r="DRL45" s="2843"/>
      <c r="DRM45" s="2844"/>
      <c r="DRN45" s="2845"/>
      <c r="DRO45" s="2842"/>
      <c r="DRP45" s="2842"/>
      <c r="DRQ45" s="2843"/>
      <c r="DRR45" s="2843"/>
      <c r="DRS45" s="2844"/>
      <c r="DRT45" s="2845"/>
      <c r="DRU45" s="2842"/>
      <c r="DRV45" s="2842"/>
      <c r="DRW45" s="2843"/>
      <c r="DRX45" s="2843"/>
      <c r="DRY45" s="2844"/>
      <c r="DRZ45" s="2845"/>
      <c r="DSA45" s="2842"/>
      <c r="DSB45" s="2842"/>
      <c r="DSC45" s="2843"/>
      <c r="DSD45" s="2843"/>
      <c r="DSE45" s="2844"/>
      <c r="DSF45" s="2845"/>
      <c r="DSG45" s="2842"/>
      <c r="DSH45" s="2842"/>
      <c r="DSI45" s="2843"/>
      <c r="DSJ45" s="2843"/>
      <c r="DSK45" s="2844"/>
      <c r="DSL45" s="2845"/>
      <c r="DSM45" s="2842"/>
      <c r="DSN45" s="2842"/>
      <c r="DSO45" s="2843"/>
      <c r="DSP45" s="2843"/>
      <c r="DSQ45" s="2844"/>
      <c r="DSR45" s="2845"/>
      <c r="DSS45" s="2842"/>
      <c r="DST45" s="2842"/>
      <c r="DSU45" s="2843"/>
      <c r="DSV45" s="2843"/>
      <c r="DSW45" s="2844"/>
      <c r="DSX45" s="2845"/>
      <c r="DSY45" s="2842"/>
      <c r="DSZ45" s="2842"/>
      <c r="DTA45" s="2843"/>
      <c r="DTB45" s="2843"/>
      <c r="DTC45" s="2844"/>
      <c r="DTD45" s="2845"/>
      <c r="DTE45" s="2842"/>
      <c r="DTF45" s="2842"/>
      <c r="DTG45" s="2843"/>
      <c r="DTH45" s="2843"/>
      <c r="DTI45" s="2844"/>
      <c r="DTJ45" s="2845"/>
      <c r="DTK45" s="2842"/>
      <c r="DTL45" s="2842"/>
      <c r="DTM45" s="2843"/>
      <c r="DTN45" s="2843"/>
      <c r="DTO45" s="2844"/>
      <c r="DTP45" s="2845"/>
      <c r="DTQ45" s="2842"/>
      <c r="DTR45" s="2842"/>
      <c r="DTS45" s="2843"/>
      <c r="DTT45" s="2843"/>
      <c r="DTU45" s="2844"/>
      <c r="DTV45" s="2845"/>
      <c r="DTW45" s="2842"/>
      <c r="DTX45" s="2842"/>
      <c r="DTY45" s="2843"/>
      <c r="DTZ45" s="2843"/>
      <c r="DUA45" s="2844"/>
      <c r="DUB45" s="2845"/>
      <c r="DUC45" s="2842"/>
      <c r="DUD45" s="2842"/>
      <c r="DUE45" s="2843"/>
      <c r="DUF45" s="2843"/>
      <c r="DUG45" s="2844"/>
      <c r="DUH45" s="2845"/>
      <c r="DUI45" s="2842"/>
      <c r="DUJ45" s="2842"/>
      <c r="DUK45" s="2843"/>
      <c r="DUL45" s="2843"/>
      <c r="DUM45" s="2844"/>
      <c r="DUN45" s="2845"/>
      <c r="DUO45" s="2842"/>
      <c r="DUP45" s="2842"/>
      <c r="DUQ45" s="2843"/>
      <c r="DUR45" s="2843"/>
      <c r="DUS45" s="2844"/>
      <c r="DUT45" s="2845"/>
      <c r="DUU45" s="2842"/>
      <c r="DUV45" s="2842"/>
      <c r="DUW45" s="2843"/>
      <c r="DUX45" s="2843"/>
      <c r="DUY45" s="2844"/>
      <c r="DUZ45" s="2845"/>
      <c r="DVA45" s="2842"/>
      <c r="DVB45" s="2842"/>
      <c r="DVC45" s="2843"/>
      <c r="DVD45" s="2843"/>
      <c r="DVE45" s="2844"/>
      <c r="DVF45" s="2845"/>
      <c r="DVG45" s="2842"/>
      <c r="DVH45" s="2842"/>
      <c r="DVI45" s="2843"/>
      <c r="DVJ45" s="2843"/>
      <c r="DVK45" s="2844"/>
      <c r="DVL45" s="2845"/>
      <c r="DVM45" s="2842"/>
      <c r="DVN45" s="2842"/>
      <c r="DVO45" s="2843"/>
      <c r="DVP45" s="2843"/>
      <c r="DVQ45" s="2844"/>
      <c r="DVR45" s="2845"/>
      <c r="DVS45" s="2842"/>
      <c r="DVT45" s="2842"/>
      <c r="DVU45" s="2843"/>
      <c r="DVV45" s="2843"/>
      <c r="DVW45" s="2844"/>
      <c r="DVX45" s="2845"/>
      <c r="DVY45" s="2842"/>
      <c r="DVZ45" s="2842"/>
      <c r="DWA45" s="2843"/>
      <c r="DWB45" s="2843"/>
      <c r="DWC45" s="2844"/>
      <c r="DWD45" s="2845"/>
      <c r="DWE45" s="2842"/>
      <c r="DWF45" s="2842"/>
      <c r="DWG45" s="2843"/>
      <c r="DWH45" s="2843"/>
      <c r="DWI45" s="2844"/>
      <c r="DWJ45" s="2845"/>
      <c r="DWK45" s="2842"/>
      <c r="DWL45" s="2842"/>
      <c r="DWM45" s="2843"/>
      <c r="DWN45" s="2843"/>
      <c r="DWO45" s="2844"/>
      <c r="DWP45" s="2845"/>
      <c r="DWQ45" s="2842"/>
      <c r="DWR45" s="2842"/>
      <c r="DWS45" s="2843"/>
      <c r="DWT45" s="2843"/>
      <c r="DWU45" s="2844"/>
      <c r="DWV45" s="2845"/>
      <c r="DWW45" s="2842"/>
      <c r="DWX45" s="2842"/>
      <c r="DWY45" s="2843"/>
      <c r="DWZ45" s="2843"/>
      <c r="DXA45" s="2844"/>
      <c r="DXB45" s="2845"/>
      <c r="DXC45" s="2842"/>
      <c r="DXD45" s="2842"/>
      <c r="DXE45" s="2843"/>
      <c r="DXF45" s="2843"/>
      <c r="DXG45" s="2844"/>
      <c r="DXH45" s="2845"/>
      <c r="DXI45" s="2842"/>
      <c r="DXJ45" s="2842"/>
      <c r="DXK45" s="2843"/>
      <c r="DXL45" s="2843"/>
      <c r="DXM45" s="2844"/>
      <c r="DXN45" s="2845"/>
      <c r="DXO45" s="2842"/>
      <c r="DXP45" s="2842"/>
      <c r="DXQ45" s="2843"/>
      <c r="DXR45" s="2843"/>
      <c r="DXS45" s="2844"/>
      <c r="DXT45" s="2845"/>
      <c r="DXU45" s="2842"/>
      <c r="DXV45" s="2842"/>
      <c r="DXW45" s="2843"/>
      <c r="DXX45" s="2843"/>
      <c r="DXY45" s="2844"/>
      <c r="DXZ45" s="2845"/>
      <c r="DYA45" s="2842"/>
      <c r="DYB45" s="2842"/>
      <c r="DYC45" s="2843"/>
      <c r="DYD45" s="2843"/>
      <c r="DYE45" s="2844"/>
      <c r="DYF45" s="2845"/>
      <c r="DYG45" s="2842"/>
      <c r="DYH45" s="2842"/>
      <c r="DYI45" s="2843"/>
      <c r="DYJ45" s="2843"/>
      <c r="DYK45" s="2844"/>
      <c r="DYL45" s="2845"/>
      <c r="DYM45" s="2842"/>
      <c r="DYN45" s="2842"/>
      <c r="DYO45" s="2843"/>
      <c r="DYP45" s="2843"/>
      <c r="DYQ45" s="2844"/>
      <c r="DYR45" s="2845"/>
      <c r="DYS45" s="2842"/>
      <c r="DYT45" s="2842"/>
      <c r="DYU45" s="2843"/>
      <c r="DYV45" s="2843"/>
      <c r="DYW45" s="2844"/>
      <c r="DYX45" s="2845"/>
      <c r="DYY45" s="2842"/>
      <c r="DYZ45" s="2842"/>
      <c r="DZA45" s="2843"/>
      <c r="DZB45" s="2843"/>
      <c r="DZC45" s="2844"/>
      <c r="DZD45" s="2845"/>
      <c r="DZE45" s="2842"/>
      <c r="DZF45" s="2842"/>
      <c r="DZG45" s="2843"/>
      <c r="DZH45" s="2843"/>
      <c r="DZI45" s="2844"/>
      <c r="DZJ45" s="2845"/>
      <c r="DZK45" s="2842"/>
      <c r="DZL45" s="2842"/>
      <c r="DZM45" s="2843"/>
      <c r="DZN45" s="2843"/>
      <c r="DZO45" s="2844"/>
      <c r="DZP45" s="2845"/>
      <c r="DZQ45" s="2842"/>
      <c r="DZR45" s="2842"/>
      <c r="DZS45" s="2843"/>
      <c r="DZT45" s="2843"/>
      <c r="DZU45" s="2844"/>
      <c r="DZV45" s="2845"/>
      <c r="DZW45" s="2842"/>
      <c r="DZX45" s="2842"/>
      <c r="DZY45" s="2843"/>
      <c r="DZZ45" s="2843"/>
      <c r="EAA45" s="2844"/>
      <c r="EAB45" s="2845"/>
      <c r="EAC45" s="2842"/>
      <c r="EAD45" s="2842"/>
      <c r="EAE45" s="2843"/>
      <c r="EAF45" s="2843"/>
      <c r="EAG45" s="2844"/>
      <c r="EAH45" s="2845"/>
      <c r="EAI45" s="2842"/>
      <c r="EAJ45" s="2842"/>
      <c r="EAK45" s="2843"/>
      <c r="EAL45" s="2843"/>
      <c r="EAM45" s="2844"/>
      <c r="EAN45" s="2845"/>
      <c r="EAO45" s="2842"/>
      <c r="EAP45" s="2842"/>
      <c r="EAQ45" s="2843"/>
      <c r="EAR45" s="2843"/>
      <c r="EAS45" s="2844"/>
      <c r="EAT45" s="2845"/>
      <c r="EAU45" s="2842"/>
      <c r="EAV45" s="2842"/>
      <c r="EAW45" s="2843"/>
      <c r="EAX45" s="2843"/>
      <c r="EAY45" s="2844"/>
      <c r="EAZ45" s="2845"/>
      <c r="EBA45" s="2842"/>
      <c r="EBB45" s="2842"/>
      <c r="EBC45" s="2843"/>
      <c r="EBD45" s="2843"/>
      <c r="EBE45" s="2844"/>
      <c r="EBF45" s="2845"/>
      <c r="EBG45" s="2842"/>
      <c r="EBH45" s="2842"/>
      <c r="EBI45" s="2843"/>
      <c r="EBJ45" s="2843"/>
      <c r="EBK45" s="2844"/>
      <c r="EBL45" s="2845"/>
      <c r="EBM45" s="2842"/>
      <c r="EBN45" s="2842"/>
      <c r="EBO45" s="2843"/>
      <c r="EBP45" s="2843"/>
      <c r="EBQ45" s="2844"/>
      <c r="EBR45" s="2845"/>
      <c r="EBS45" s="2842"/>
      <c r="EBT45" s="2842"/>
      <c r="EBU45" s="2843"/>
      <c r="EBV45" s="2843"/>
      <c r="EBW45" s="2844"/>
      <c r="EBX45" s="2845"/>
      <c r="EBY45" s="2842"/>
      <c r="EBZ45" s="2842"/>
      <c r="ECA45" s="2843"/>
      <c r="ECB45" s="2843"/>
      <c r="ECC45" s="2844"/>
      <c r="ECD45" s="2845"/>
      <c r="ECE45" s="2842"/>
      <c r="ECF45" s="2842"/>
      <c r="ECG45" s="2843"/>
      <c r="ECH45" s="2843"/>
      <c r="ECI45" s="2844"/>
      <c r="ECJ45" s="2845"/>
      <c r="ECK45" s="2842"/>
      <c r="ECL45" s="2842"/>
      <c r="ECM45" s="2843"/>
      <c r="ECN45" s="2843"/>
      <c r="ECO45" s="2844"/>
      <c r="ECP45" s="2845"/>
      <c r="ECQ45" s="2842"/>
      <c r="ECR45" s="2842"/>
      <c r="ECS45" s="2843"/>
      <c r="ECT45" s="2843"/>
      <c r="ECU45" s="2844"/>
      <c r="ECV45" s="2845"/>
      <c r="ECW45" s="2842"/>
      <c r="ECX45" s="2842"/>
      <c r="ECY45" s="2843"/>
      <c r="ECZ45" s="2843"/>
      <c r="EDA45" s="2844"/>
      <c r="EDB45" s="2845"/>
      <c r="EDC45" s="2842"/>
      <c r="EDD45" s="2842"/>
      <c r="EDE45" s="2843"/>
      <c r="EDF45" s="2843"/>
      <c r="EDG45" s="2844"/>
      <c r="EDH45" s="2845"/>
      <c r="EDI45" s="2842"/>
      <c r="EDJ45" s="2842"/>
      <c r="EDK45" s="2843"/>
      <c r="EDL45" s="2843"/>
      <c r="EDM45" s="2844"/>
      <c r="EDN45" s="2845"/>
      <c r="EDO45" s="2842"/>
      <c r="EDP45" s="2842"/>
      <c r="EDQ45" s="2843"/>
      <c r="EDR45" s="2843"/>
      <c r="EDS45" s="2844"/>
      <c r="EDT45" s="2845"/>
      <c r="EDU45" s="2842"/>
      <c r="EDV45" s="2842"/>
      <c r="EDW45" s="2843"/>
      <c r="EDX45" s="2843"/>
      <c r="EDY45" s="2844"/>
      <c r="EDZ45" s="2845"/>
      <c r="EEA45" s="2842"/>
      <c r="EEB45" s="2842"/>
      <c r="EEC45" s="2843"/>
      <c r="EED45" s="2843"/>
      <c r="EEE45" s="2844"/>
      <c r="EEF45" s="2845"/>
      <c r="EEG45" s="2842"/>
      <c r="EEH45" s="2842"/>
      <c r="EEI45" s="2843"/>
      <c r="EEJ45" s="2843"/>
      <c r="EEK45" s="2844"/>
      <c r="EEL45" s="2845"/>
      <c r="EEM45" s="2842"/>
      <c r="EEN45" s="2842"/>
      <c r="EEO45" s="2843"/>
      <c r="EEP45" s="2843"/>
      <c r="EEQ45" s="2844"/>
      <c r="EER45" s="2845"/>
      <c r="EES45" s="2842"/>
      <c r="EET45" s="2842"/>
      <c r="EEU45" s="2843"/>
      <c r="EEV45" s="2843"/>
      <c r="EEW45" s="2844"/>
      <c r="EEX45" s="2845"/>
      <c r="EEY45" s="2842"/>
      <c r="EEZ45" s="2842"/>
      <c r="EFA45" s="2843"/>
      <c r="EFB45" s="2843"/>
      <c r="EFC45" s="2844"/>
      <c r="EFD45" s="2845"/>
      <c r="EFE45" s="2842"/>
      <c r="EFF45" s="2842"/>
      <c r="EFG45" s="2843"/>
      <c r="EFH45" s="2843"/>
      <c r="EFI45" s="2844"/>
      <c r="EFJ45" s="2845"/>
      <c r="EFK45" s="2842"/>
      <c r="EFL45" s="2842"/>
      <c r="EFM45" s="2843"/>
      <c r="EFN45" s="2843"/>
      <c r="EFO45" s="2844"/>
      <c r="EFP45" s="2845"/>
      <c r="EFQ45" s="2842"/>
      <c r="EFR45" s="2842"/>
      <c r="EFS45" s="2843"/>
      <c r="EFT45" s="2843"/>
      <c r="EFU45" s="2844"/>
      <c r="EFV45" s="2845"/>
      <c r="EFW45" s="2842"/>
      <c r="EFX45" s="2842"/>
      <c r="EFY45" s="2843"/>
      <c r="EFZ45" s="2843"/>
      <c r="EGA45" s="2844"/>
      <c r="EGB45" s="2845"/>
      <c r="EGC45" s="2842"/>
      <c r="EGD45" s="2842"/>
      <c r="EGE45" s="2843"/>
      <c r="EGF45" s="2843"/>
      <c r="EGG45" s="2844"/>
      <c r="EGH45" s="2845"/>
      <c r="EGI45" s="2842"/>
      <c r="EGJ45" s="2842"/>
      <c r="EGK45" s="2843"/>
      <c r="EGL45" s="2843"/>
      <c r="EGM45" s="2844"/>
      <c r="EGN45" s="2845"/>
      <c r="EGO45" s="2842"/>
      <c r="EGP45" s="2842"/>
      <c r="EGQ45" s="2843"/>
      <c r="EGR45" s="2843"/>
      <c r="EGS45" s="2844"/>
      <c r="EGT45" s="2845"/>
      <c r="EGU45" s="2842"/>
      <c r="EGV45" s="2842"/>
      <c r="EGW45" s="2843"/>
      <c r="EGX45" s="2843"/>
      <c r="EGY45" s="2844"/>
      <c r="EGZ45" s="2845"/>
      <c r="EHA45" s="2842"/>
      <c r="EHB45" s="2842"/>
      <c r="EHC45" s="2843"/>
      <c r="EHD45" s="2843"/>
      <c r="EHE45" s="2844"/>
      <c r="EHF45" s="2845"/>
      <c r="EHG45" s="2842"/>
      <c r="EHH45" s="2842"/>
      <c r="EHI45" s="2843"/>
      <c r="EHJ45" s="2843"/>
      <c r="EHK45" s="2844"/>
      <c r="EHL45" s="2845"/>
      <c r="EHM45" s="2842"/>
      <c r="EHN45" s="2842"/>
      <c r="EHO45" s="2843"/>
      <c r="EHP45" s="2843"/>
      <c r="EHQ45" s="2844"/>
      <c r="EHR45" s="2845"/>
      <c r="EHS45" s="2842"/>
      <c r="EHT45" s="2842"/>
      <c r="EHU45" s="2843"/>
      <c r="EHV45" s="2843"/>
      <c r="EHW45" s="2844"/>
      <c r="EHX45" s="2845"/>
      <c r="EHY45" s="2842"/>
      <c r="EHZ45" s="2842"/>
      <c r="EIA45" s="2843"/>
      <c r="EIB45" s="2843"/>
      <c r="EIC45" s="2844"/>
      <c r="EID45" s="2845"/>
      <c r="EIE45" s="2842"/>
      <c r="EIF45" s="2842"/>
      <c r="EIG45" s="2843"/>
      <c r="EIH45" s="2843"/>
      <c r="EII45" s="2844"/>
      <c r="EIJ45" s="2845"/>
      <c r="EIK45" s="2842"/>
      <c r="EIL45" s="2842"/>
      <c r="EIM45" s="2843"/>
      <c r="EIN45" s="2843"/>
      <c r="EIO45" s="2844"/>
      <c r="EIP45" s="2845"/>
      <c r="EIQ45" s="2842"/>
      <c r="EIR45" s="2842"/>
      <c r="EIS45" s="2843"/>
      <c r="EIT45" s="2843"/>
      <c r="EIU45" s="2844"/>
      <c r="EIV45" s="2845"/>
      <c r="EIW45" s="2842"/>
      <c r="EIX45" s="2842"/>
      <c r="EIY45" s="2843"/>
      <c r="EIZ45" s="2843"/>
      <c r="EJA45" s="2844"/>
      <c r="EJB45" s="2845"/>
      <c r="EJC45" s="2842"/>
      <c r="EJD45" s="2842"/>
      <c r="EJE45" s="2843"/>
      <c r="EJF45" s="2843"/>
      <c r="EJG45" s="2844"/>
      <c r="EJH45" s="2845"/>
      <c r="EJI45" s="2842"/>
      <c r="EJJ45" s="2842"/>
      <c r="EJK45" s="2843"/>
      <c r="EJL45" s="2843"/>
      <c r="EJM45" s="2844"/>
      <c r="EJN45" s="2845"/>
      <c r="EJO45" s="2842"/>
      <c r="EJP45" s="2842"/>
      <c r="EJQ45" s="2843"/>
      <c r="EJR45" s="2843"/>
      <c r="EJS45" s="2844"/>
      <c r="EJT45" s="2845"/>
      <c r="EJU45" s="2842"/>
      <c r="EJV45" s="2842"/>
      <c r="EJW45" s="2843"/>
      <c r="EJX45" s="2843"/>
      <c r="EJY45" s="2844"/>
      <c r="EJZ45" s="2845"/>
      <c r="EKA45" s="2842"/>
      <c r="EKB45" s="2842"/>
      <c r="EKC45" s="2843"/>
      <c r="EKD45" s="2843"/>
      <c r="EKE45" s="2844"/>
      <c r="EKF45" s="2845"/>
      <c r="EKG45" s="2842"/>
      <c r="EKH45" s="2842"/>
      <c r="EKI45" s="2843"/>
      <c r="EKJ45" s="2843"/>
      <c r="EKK45" s="2844"/>
      <c r="EKL45" s="2845"/>
      <c r="EKM45" s="2842"/>
      <c r="EKN45" s="2842"/>
      <c r="EKO45" s="2843"/>
      <c r="EKP45" s="2843"/>
      <c r="EKQ45" s="2844"/>
      <c r="EKR45" s="2845"/>
      <c r="EKS45" s="2842"/>
      <c r="EKT45" s="2842"/>
      <c r="EKU45" s="2843"/>
      <c r="EKV45" s="2843"/>
      <c r="EKW45" s="2844"/>
      <c r="EKX45" s="2845"/>
      <c r="EKY45" s="2842"/>
      <c r="EKZ45" s="2842"/>
      <c r="ELA45" s="2843"/>
      <c r="ELB45" s="2843"/>
      <c r="ELC45" s="2844"/>
      <c r="ELD45" s="2845"/>
      <c r="ELE45" s="2842"/>
      <c r="ELF45" s="2842"/>
      <c r="ELG45" s="2843"/>
      <c r="ELH45" s="2843"/>
      <c r="ELI45" s="2844"/>
      <c r="ELJ45" s="2845"/>
      <c r="ELK45" s="2842"/>
      <c r="ELL45" s="2842"/>
      <c r="ELM45" s="2843"/>
      <c r="ELN45" s="2843"/>
      <c r="ELO45" s="2844"/>
      <c r="ELP45" s="2845"/>
      <c r="ELQ45" s="2842"/>
      <c r="ELR45" s="2842"/>
      <c r="ELS45" s="2843"/>
      <c r="ELT45" s="2843"/>
      <c r="ELU45" s="2844"/>
      <c r="ELV45" s="2845"/>
      <c r="ELW45" s="2842"/>
      <c r="ELX45" s="2842"/>
      <c r="ELY45" s="2843"/>
      <c r="ELZ45" s="2843"/>
      <c r="EMA45" s="2844"/>
      <c r="EMB45" s="2845"/>
      <c r="EMC45" s="2842"/>
      <c r="EMD45" s="2842"/>
      <c r="EME45" s="2843"/>
      <c r="EMF45" s="2843"/>
      <c r="EMG45" s="2844"/>
      <c r="EMH45" s="2845"/>
      <c r="EMI45" s="2842"/>
      <c r="EMJ45" s="2842"/>
      <c r="EMK45" s="2843"/>
      <c r="EML45" s="2843"/>
      <c r="EMM45" s="2844"/>
      <c r="EMN45" s="2845"/>
      <c r="EMO45" s="2842"/>
      <c r="EMP45" s="2842"/>
      <c r="EMQ45" s="2843"/>
      <c r="EMR45" s="2843"/>
      <c r="EMS45" s="2844"/>
      <c r="EMT45" s="2845"/>
      <c r="EMU45" s="2842"/>
      <c r="EMV45" s="2842"/>
      <c r="EMW45" s="2843"/>
      <c r="EMX45" s="2843"/>
      <c r="EMY45" s="2844"/>
      <c r="EMZ45" s="2845"/>
      <c r="ENA45" s="2842"/>
      <c r="ENB45" s="2842"/>
      <c r="ENC45" s="2843"/>
      <c r="END45" s="2843"/>
      <c r="ENE45" s="2844"/>
      <c r="ENF45" s="2845"/>
      <c r="ENG45" s="2842"/>
      <c r="ENH45" s="2842"/>
      <c r="ENI45" s="2843"/>
      <c r="ENJ45" s="2843"/>
      <c r="ENK45" s="2844"/>
      <c r="ENL45" s="2845"/>
      <c r="ENM45" s="2842"/>
      <c r="ENN45" s="2842"/>
      <c r="ENO45" s="2843"/>
      <c r="ENP45" s="2843"/>
      <c r="ENQ45" s="2844"/>
      <c r="ENR45" s="2845"/>
      <c r="ENS45" s="2842"/>
      <c r="ENT45" s="2842"/>
      <c r="ENU45" s="2843"/>
      <c r="ENV45" s="2843"/>
      <c r="ENW45" s="2844"/>
      <c r="ENX45" s="2845"/>
      <c r="ENY45" s="2842"/>
      <c r="ENZ45" s="2842"/>
      <c r="EOA45" s="2843"/>
      <c r="EOB45" s="2843"/>
      <c r="EOC45" s="2844"/>
      <c r="EOD45" s="2845"/>
      <c r="EOE45" s="2842"/>
      <c r="EOF45" s="2842"/>
      <c r="EOG45" s="2843"/>
      <c r="EOH45" s="2843"/>
      <c r="EOI45" s="2844"/>
      <c r="EOJ45" s="2845"/>
      <c r="EOK45" s="2842"/>
      <c r="EOL45" s="2842"/>
      <c r="EOM45" s="2843"/>
      <c r="EON45" s="2843"/>
      <c r="EOO45" s="2844"/>
      <c r="EOP45" s="2845"/>
      <c r="EOQ45" s="2842"/>
      <c r="EOR45" s="2842"/>
      <c r="EOS45" s="2843"/>
      <c r="EOT45" s="2843"/>
      <c r="EOU45" s="2844"/>
      <c r="EOV45" s="2845"/>
      <c r="EOW45" s="2842"/>
      <c r="EOX45" s="2842"/>
      <c r="EOY45" s="2843"/>
      <c r="EOZ45" s="2843"/>
      <c r="EPA45" s="2844"/>
      <c r="EPB45" s="2845"/>
      <c r="EPC45" s="2842"/>
      <c r="EPD45" s="2842"/>
      <c r="EPE45" s="2843"/>
      <c r="EPF45" s="2843"/>
      <c r="EPG45" s="2844"/>
      <c r="EPH45" s="2845"/>
      <c r="EPI45" s="2842"/>
      <c r="EPJ45" s="2842"/>
      <c r="EPK45" s="2843"/>
      <c r="EPL45" s="2843"/>
      <c r="EPM45" s="2844"/>
      <c r="EPN45" s="2845"/>
      <c r="EPO45" s="2842"/>
      <c r="EPP45" s="2842"/>
      <c r="EPQ45" s="2843"/>
      <c r="EPR45" s="2843"/>
      <c r="EPS45" s="2844"/>
      <c r="EPT45" s="2845"/>
      <c r="EPU45" s="2842"/>
      <c r="EPV45" s="2842"/>
      <c r="EPW45" s="2843"/>
      <c r="EPX45" s="2843"/>
      <c r="EPY45" s="2844"/>
      <c r="EPZ45" s="2845"/>
      <c r="EQA45" s="2842"/>
      <c r="EQB45" s="2842"/>
      <c r="EQC45" s="2843"/>
      <c r="EQD45" s="2843"/>
      <c r="EQE45" s="2844"/>
      <c r="EQF45" s="2845"/>
      <c r="EQG45" s="2842"/>
      <c r="EQH45" s="2842"/>
      <c r="EQI45" s="2843"/>
      <c r="EQJ45" s="2843"/>
      <c r="EQK45" s="2844"/>
      <c r="EQL45" s="2845"/>
      <c r="EQM45" s="2842"/>
      <c r="EQN45" s="2842"/>
      <c r="EQO45" s="2843"/>
      <c r="EQP45" s="2843"/>
      <c r="EQQ45" s="2844"/>
      <c r="EQR45" s="2845"/>
      <c r="EQS45" s="2842"/>
      <c r="EQT45" s="2842"/>
      <c r="EQU45" s="2843"/>
      <c r="EQV45" s="2843"/>
      <c r="EQW45" s="2844"/>
      <c r="EQX45" s="2845"/>
      <c r="EQY45" s="2842"/>
      <c r="EQZ45" s="2842"/>
      <c r="ERA45" s="2843"/>
      <c r="ERB45" s="2843"/>
      <c r="ERC45" s="2844"/>
      <c r="ERD45" s="2845"/>
      <c r="ERE45" s="2842"/>
      <c r="ERF45" s="2842"/>
      <c r="ERG45" s="2843"/>
      <c r="ERH45" s="2843"/>
      <c r="ERI45" s="2844"/>
      <c r="ERJ45" s="2845"/>
      <c r="ERK45" s="2842"/>
      <c r="ERL45" s="2842"/>
      <c r="ERM45" s="2843"/>
      <c r="ERN45" s="2843"/>
      <c r="ERO45" s="2844"/>
      <c r="ERP45" s="2845"/>
      <c r="ERQ45" s="2842"/>
      <c r="ERR45" s="2842"/>
      <c r="ERS45" s="2843"/>
      <c r="ERT45" s="2843"/>
      <c r="ERU45" s="2844"/>
      <c r="ERV45" s="2845"/>
      <c r="ERW45" s="2842"/>
      <c r="ERX45" s="2842"/>
      <c r="ERY45" s="2843"/>
      <c r="ERZ45" s="2843"/>
      <c r="ESA45" s="2844"/>
      <c r="ESB45" s="2845"/>
      <c r="ESC45" s="2842"/>
      <c r="ESD45" s="2842"/>
      <c r="ESE45" s="2843"/>
      <c r="ESF45" s="2843"/>
      <c r="ESG45" s="2844"/>
      <c r="ESH45" s="2845"/>
      <c r="ESI45" s="2842"/>
      <c r="ESJ45" s="2842"/>
      <c r="ESK45" s="2843"/>
      <c r="ESL45" s="2843"/>
      <c r="ESM45" s="2844"/>
      <c r="ESN45" s="2845"/>
      <c r="ESO45" s="2842"/>
      <c r="ESP45" s="2842"/>
      <c r="ESQ45" s="2843"/>
      <c r="ESR45" s="2843"/>
      <c r="ESS45" s="2844"/>
      <c r="EST45" s="2845"/>
      <c r="ESU45" s="2842"/>
      <c r="ESV45" s="2842"/>
      <c r="ESW45" s="2843"/>
      <c r="ESX45" s="2843"/>
      <c r="ESY45" s="2844"/>
      <c r="ESZ45" s="2845"/>
      <c r="ETA45" s="2842"/>
      <c r="ETB45" s="2842"/>
      <c r="ETC45" s="2843"/>
      <c r="ETD45" s="2843"/>
      <c r="ETE45" s="2844"/>
      <c r="ETF45" s="2845"/>
      <c r="ETG45" s="2842"/>
      <c r="ETH45" s="2842"/>
      <c r="ETI45" s="2843"/>
      <c r="ETJ45" s="2843"/>
      <c r="ETK45" s="2844"/>
      <c r="ETL45" s="2845"/>
      <c r="ETM45" s="2842"/>
      <c r="ETN45" s="2842"/>
      <c r="ETO45" s="2843"/>
      <c r="ETP45" s="2843"/>
      <c r="ETQ45" s="2844"/>
      <c r="ETR45" s="2845"/>
      <c r="ETS45" s="2842"/>
      <c r="ETT45" s="2842"/>
      <c r="ETU45" s="2843"/>
      <c r="ETV45" s="2843"/>
      <c r="ETW45" s="2844"/>
      <c r="ETX45" s="2845"/>
      <c r="ETY45" s="2842"/>
      <c r="ETZ45" s="2842"/>
      <c r="EUA45" s="2843"/>
      <c r="EUB45" s="2843"/>
      <c r="EUC45" s="2844"/>
      <c r="EUD45" s="2845"/>
      <c r="EUE45" s="2842"/>
      <c r="EUF45" s="2842"/>
      <c r="EUG45" s="2843"/>
      <c r="EUH45" s="2843"/>
      <c r="EUI45" s="2844"/>
      <c r="EUJ45" s="2845"/>
      <c r="EUK45" s="2842"/>
      <c r="EUL45" s="2842"/>
      <c r="EUM45" s="2843"/>
      <c r="EUN45" s="2843"/>
      <c r="EUO45" s="2844"/>
      <c r="EUP45" s="2845"/>
      <c r="EUQ45" s="2842"/>
      <c r="EUR45" s="2842"/>
      <c r="EUS45" s="2843"/>
      <c r="EUT45" s="2843"/>
      <c r="EUU45" s="2844"/>
      <c r="EUV45" s="2845"/>
      <c r="EUW45" s="2842"/>
      <c r="EUX45" s="2842"/>
      <c r="EUY45" s="2843"/>
      <c r="EUZ45" s="2843"/>
      <c r="EVA45" s="2844"/>
      <c r="EVB45" s="2845"/>
      <c r="EVC45" s="2842"/>
      <c r="EVD45" s="2842"/>
      <c r="EVE45" s="2843"/>
      <c r="EVF45" s="2843"/>
      <c r="EVG45" s="2844"/>
      <c r="EVH45" s="2845"/>
      <c r="EVI45" s="2842"/>
      <c r="EVJ45" s="2842"/>
      <c r="EVK45" s="2843"/>
      <c r="EVL45" s="2843"/>
      <c r="EVM45" s="2844"/>
      <c r="EVN45" s="2845"/>
      <c r="EVO45" s="2842"/>
      <c r="EVP45" s="2842"/>
      <c r="EVQ45" s="2843"/>
      <c r="EVR45" s="2843"/>
      <c r="EVS45" s="2844"/>
      <c r="EVT45" s="2845"/>
      <c r="EVU45" s="2842"/>
      <c r="EVV45" s="2842"/>
      <c r="EVW45" s="2843"/>
      <c r="EVX45" s="2843"/>
      <c r="EVY45" s="2844"/>
      <c r="EVZ45" s="2845"/>
      <c r="EWA45" s="2842"/>
      <c r="EWB45" s="2842"/>
      <c r="EWC45" s="2843"/>
      <c r="EWD45" s="2843"/>
      <c r="EWE45" s="2844"/>
      <c r="EWF45" s="2845"/>
      <c r="EWG45" s="2842"/>
      <c r="EWH45" s="2842"/>
      <c r="EWI45" s="2843"/>
      <c r="EWJ45" s="2843"/>
      <c r="EWK45" s="2844"/>
      <c r="EWL45" s="2845"/>
      <c r="EWM45" s="2842"/>
      <c r="EWN45" s="2842"/>
      <c r="EWO45" s="2843"/>
      <c r="EWP45" s="2843"/>
      <c r="EWQ45" s="2844"/>
      <c r="EWR45" s="2845"/>
      <c r="EWS45" s="2842"/>
      <c r="EWT45" s="2842"/>
      <c r="EWU45" s="2843"/>
      <c r="EWV45" s="2843"/>
      <c r="EWW45" s="2844"/>
      <c r="EWX45" s="2845"/>
      <c r="EWY45" s="2842"/>
      <c r="EWZ45" s="2842"/>
      <c r="EXA45" s="2843"/>
      <c r="EXB45" s="2843"/>
      <c r="EXC45" s="2844"/>
      <c r="EXD45" s="2845"/>
      <c r="EXE45" s="2842"/>
      <c r="EXF45" s="2842"/>
      <c r="EXG45" s="2843"/>
      <c r="EXH45" s="2843"/>
      <c r="EXI45" s="2844"/>
      <c r="EXJ45" s="2845"/>
      <c r="EXK45" s="2842"/>
      <c r="EXL45" s="2842"/>
      <c r="EXM45" s="2843"/>
      <c r="EXN45" s="2843"/>
      <c r="EXO45" s="2844"/>
      <c r="EXP45" s="2845"/>
      <c r="EXQ45" s="2842"/>
      <c r="EXR45" s="2842"/>
      <c r="EXS45" s="2843"/>
      <c r="EXT45" s="2843"/>
      <c r="EXU45" s="2844"/>
      <c r="EXV45" s="2845"/>
      <c r="EXW45" s="2842"/>
      <c r="EXX45" s="2842"/>
      <c r="EXY45" s="2843"/>
      <c r="EXZ45" s="2843"/>
      <c r="EYA45" s="2844"/>
      <c r="EYB45" s="2845"/>
      <c r="EYC45" s="2842"/>
      <c r="EYD45" s="2842"/>
      <c r="EYE45" s="2843"/>
      <c r="EYF45" s="2843"/>
      <c r="EYG45" s="2844"/>
      <c r="EYH45" s="2845"/>
      <c r="EYI45" s="2842"/>
      <c r="EYJ45" s="2842"/>
      <c r="EYK45" s="2843"/>
      <c r="EYL45" s="2843"/>
      <c r="EYM45" s="2844"/>
      <c r="EYN45" s="2845"/>
      <c r="EYO45" s="2842"/>
      <c r="EYP45" s="2842"/>
      <c r="EYQ45" s="2843"/>
      <c r="EYR45" s="2843"/>
      <c r="EYS45" s="2844"/>
      <c r="EYT45" s="2845"/>
      <c r="EYU45" s="2842"/>
      <c r="EYV45" s="2842"/>
      <c r="EYW45" s="2843"/>
      <c r="EYX45" s="2843"/>
      <c r="EYY45" s="2844"/>
      <c r="EYZ45" s="2845"/>
      <c r="EZA45" s="2842"/>
      <c r="EZB45" s="2842"/>
      <c r="EZC45" s="2843"/>
      <c r="EZD45" s="2843"/>
      <c r="EZE45" s="2844"/>
      <c r="EZF45" s="2845"/>
      <c r="EZG45" s="2842"/>
      <c r="EZH45" s="2842"/>
      <c r="EZI45" s="2843"/>
      <c r="EZJ45" s="2843"/>
      <c r="EZK45" s="2844"/>
      <c r="EZL45" s="2845"/>
      <c r="EZM45" s="2842"/>
      <c r="EZN45" s="2842"/>
      <c r="EZO45" s="2843"/>
      <c r="EZP45" s="2843"/>
      <c r="EZQ45" s="2844"/>
      <c r="EZR45" s="2845"/>
      <c r="EZS45" s="2842"/>
      <c r="EZT45" s="2842"/>
      <c r="EZU45" s="2843"/>
      <c r="EZV45" s="2843"/>
      <c r="EZW45" s="2844"/>
      <c r="EZX45" s="2845"/>
      <c r="EZY45" s="2842"/>
      <c r="EZZ45" s="2842"/>
      <c r="FAA45" s="2843"/>
      <c r="FAB45" s="2843"/>
      <c r="FAC45" s="2844"/>
      <c r="FAD45" s="2845"/>
      <c r="FAE45" s="2842"/>
      <c r="FAF45" s="2842"/>
      <c r="FAG45" s="2843"/>
      <c r="FAH45" s="2843"/>
      <c r="FAI45" s="2844"/>
      <c r="FAJ45" s="2845"/>
      <c r="FAK45" s="2842"/>
      <c r="FAL45" s="2842"/>
      <c r="FAM45" s="2843"/>
      <c r="FAN45" s="2843"/>
      <c r="FAO45" s="2844"/>
      <c r="FAP45" s="2845"/>
      <c r="FAQ45" s="2842"/>
      <c r="FAR45" s="2842"/>
      <c r="FAS45" s="2843"/>
      <c r="FAT45" s="2843"/>
      <c r="FAU45" s="2844"/>
      <c r="FAV45" s="2845"/>
      <c r="FAW45" s="2842"/>
      <c r="FAX45" s="2842"/>
      <c r="FAY45" s="2843"/>
      <c r="FAZ45" s="2843"/>
      <c r="FBA45" s="2844"/>
      <c r="FBB45" s="2845"/>
      <c r="FBC45" s="2842"/>
      <c r="FBD45" s="2842"/>
      <c r="FBE45" s="2843"/>
      <c r="FBF45" s="2843"/>
      <c r="FBG45" s="2844"/>
      <c r="FBH45" s="2845"/>
      <c r="FBI45" s="2842"/>
      <c r="FBJ45" s="2842"/>
      <c r="FBK45" s="2843"/>
      <c r="FBL45" s="2843"/>
      <c r="FBM45" s="2844"/>
      <c r="FBN45" s="2845"/>
      <c r="FBO45" s="2842"/>
      <c r="FBP45" s="2842"/>
      <c r="FBQ45" s="2843"/>
      <c r="FBR45" s="2843"/>
      <c r="FBS45" s="2844"/>
      <c r="FBT45" s="2845"/>
      <c r="FBU45" s="2842"/>
      <c r="FBV45" s="2842"/>
      <c r="FBW45" s="2843"/>
      <c r="FBX45" s="2843"/>
      <c r="FBY45" s="2844"/>
      <c r="FBZ45" s="2845"/>
      <c r="FCA45" s="2842"/>
      <c r="FCB45" s="2842"/>
      <c r="FCC45" s="2843"/>
      <c r="FCD45" s="2843"/>
      <c r="FCE45" s="2844"/>
      <c r="FCF45" s="2845"/>
      <c r="FCG45" s="2842"/>
      <c r="FCH45" s="2842"/>
      <c r="FCI45" s="2843"/>
      <c r="FCJ45" s="2843"/>
      <c r="FCK45" s="2844"/>
      <c r="FCL45" s="2845"/>
      <c r="FCM45" s="2842"/>
      <c r="FCN45" s="2842"/>
      <c r="FCO45" s="2843"/>
      <c r="FCP45" s="2843"/>
      <c r="FCQ45" s="2844"/>
      <c r="FCR45" s="2845"/>
      <c r="FCS45" s="2842"/>
      <c r="FCT45" s="2842"/>
      <c r="FCU45" s="2843"/>
      <c r="FCV45" s="2843"/>
      <c r="FCW45" s="2844"/>
      <c r="FCX45" s="2845"/>
      <c r="FCY45" s="2842"/>
      <c r="FCZ45" s="2842"/>
      <c r="FDA45" s="2843"/>
      <c r="FDB45" s="2843"/>
      <c r="FDC45" s="2844"/>
      <c r="FDD45" s="2845"/>
      <c r="FDE45" s="2842"/>
      <c r="FDF45" s="2842"/>
      <c r="FDG45" s="2843"/>
      <c r="FDH45" s="2843"/>
      <c r="FDI45" s="2844"/>
      <c r="FDJ45" s="2845"/>
      <c r="FDK45" s="2842"/>
      <c r="FDL45" s="2842"/>
      <c r="FDM45" s="2843"/>
      <c r="FDN45" s="2843"/>
      <c r="FDO45" s="2844"/>
      <c r="FDP45" s="2845"/>
      <c r="FDQ45" s="2842"/>
      <c r="FDR45" s="2842"/>
      <c r="FDS45" s="2843"/>
      <c r="FDT45" s="2843"/>
      <c r="FDU45" s="2844"/>
      <c r="FDV45" s="2845"/>
      <c r="FDW45" s="2842"/>
      <c r="FDX45" s="2842"/>
      <c r="FDY45" s="2843"/>
      <c r="FDZ45" s="2843"/>
      <c r="FEA45" s="2844"/>
      <c r="FEB45" s="2845"/>
      <c r="FEC45" s="2842"/>
      <c r="FED45" s="2842"/>
      <c r="FEE45" s="2843"/>
      <c r="FEF45" s="2843"/>
      <c r="FEG45" s="2844"/>
      <c r="FEH45" s="2845"/>
      <c r="FEI45" s="2842"/>
      <c r="FEJ45" s="2842"/>
      <c r="FEK45" s="2843"/>
      <c r="FEL45" s="2843"/>
      <c r="FEM45" s="2844"/>
      <c r="FEN45" s="2845"/>
      <c r="FEO45" s="2842"/>
      <c r="FEP45" s="2842"/>
      <c r="FEQ45" s="2843"/>
      <c r="FER45" s="2843"/>
      <c r="FES45" s="2844"/>
      <c r="FET45" s="2845"/>
      <c r="FEU45" s="2842"/>
      <c r="FEV45" s="2842"/>
      <c r="FEW45" s="2843"/>
      <c r="FEX45" s="2843"/>
      <c r="FEY45" s="2844"/>
      <c r="FEZ45" s="2845"/>
      <c r="FFA45" s="2842"/>
      <c r="FFB45" s="2842"/>
      <c r="FFC45" s="2843"/>
      <c r="FFD45" s="2843"/>
      <c r="FFE45" s="2844"/>
      <c r="FFF45" s="2845"/>
      <c r="FFG45" s="2842"/>
      <c r="FFH45" s="2842"/>
      <c r="FFI45" s="2843"/>
      <c r="FFJ45" s="2843"/>
      <c r="FFK45" s="2844"/>
      <c r="FFL45" s="2845"/>
      <c r="FFM45" s="2842"/>
      <c r="FFN45" s="2842"/>
      <c r="FFO45" s="2843"/>
      <c r="FFP45" s="2843"/>
      <c r="FFQ45" s="2844"/>
      <c r="FFR45" s="2845"/>
      <c r="FFS45" s="2842"/>
      <c r="FFT45" s="2842"/>
      <c r="FFU45" s="2843"/>
      <c r="FFV45" s="2843"/>
      <c r="FFW45" s="2844"/>
      <c r="FFX45" s="2845"/>
      <c r="FFY45" s="2842"/>
      <c r="FFZ45" s="2842"/>
      <c r="FGA45" s="2843"/>
      <c r="FGB45" s="2843"/>
      <c r="FGC45" s="2844"/>
      <c r="FGD45" s="2845"/>
      <c r="FGE45" s="2842"/>
      <c r="FGF45" s="2842"/>
      <c r="FGG45" s="2843"/>
      <c r="FGH45" s="2843"/>
      <c r="FGI45" s="2844"/>
      <c r="FGJ45" s="2845"/>
      <c r="FGK45" s="2842"/>
      <c r="FGL45" s="2842"/>
      <c r="FGM45" s="2843"/>
      <c r="FGN45" s="2843"/>
      <c r="FGO45" s="2844"/>
      <c r="FGP45" s="2845"/>
      <c r="FGQ45" s="2842"/>
      <c r="FGR45" s="2842"/>
      <c r="FGS45" s="2843"/>
      <c r="FGT45" s="2843"/>
      <c r="FGU45" s="2844"/>
      <c r="FGV45" s="2845"/>
      <c r="FGW45" s="2842"/>
      <c r="FGX45" s="2842"/>
      <c r="FGY45" s="2843"/>
      <c r="FGZ45" s="2843"/>
      <c r="FHA45" s="2844"/>
      <c r="FHB45" s="2845"/>
      <c r="FHC45" s="2842"/>
      <c r="FHD45" s="2842"/>
      <c r="FHE45" s="2843"/>
      <c r="FHF45" s="2843"/>
      <c r="FHG45" s="2844"/>
      <c r="FHH45" s="2845"/>
      <c r="FHI45" s="2842"/>
      <c r="FHJ45" s="2842"/>
      <c r="FHK45" s="2843"/>
      <c r="FHL45" s="2843"/>
      <c r="FHM45" s="2844"/>
      <c r="FHN45" s="2845"/>
      <c r="FHO45" s="2842"/>
      <c r="FHP45" s="2842"/>
      <c r="FHQ45" s="2843"/>
      <c r="FHR45" s="2843"/>
      <c r="FHS45" s="2844"/>
      <c r="FHT45" s="2845"/>
      <c r="FHU45" s="2842"/>
      <c r="FHV45" s="2842"/>
      <c r="FHW45" s="2843"/>
      <c r="FHX45" s="2843"/>
      <c r="FHY45" s="2844"/>
      <c r="FHZ45" s="2845"/>
      <c r="FIA45" s="2842"/>
      <c r="FIB45" s="2842"/>
      <c r="FIC45" s="2843"/>
      <c r="FID45" s="2843"/>
      <c r="FIE45" s="2844"/>
      <c r="FIF45" s="2845"/>
      <c r="FIG45" s="2842"/>
      <c r="FIH45" s="2842"/>
      <c r="FII45" s="2843"/>
      <c r="FIJ45" s="2843"/>
      <c r="FIK45" s="2844"/>
      <c r="FIL45" s="2845"/>
      <c r="FIM45" s="2842"/>
      <c r="FIN45" s="2842"/>
      <c r="FIO45" s="2843"/>
      <c r="FIP45" s="2843"/>
      <c r="FIQ45" s="2844"/>
      <c r="FIR45" s="2845"/>
      <c r="FIS45" s="2842"/>
      <c r="FIT45" s="2842"/>
      <c r="FIU45" s="2843"/>
      <c r="FIV45" s="2843"/>
      <c r="FIW45" s="2844"/>
      <c r="FIX45" s="2845"/>
      <c r="FIY45" s="2842"/>
      <c r="FIZ45" s="2842"/>
      <c r="FJA45" s="2843"/>
      <c r="FJB45" s="2843"/>
      <c r="FJC45" s="2844"/>
      <c r="FJD45" s="2845"/>
      <c r="FJE45" s="2842"/>
      <c r="FJF45" s="2842"/>
      <c r="FJG45" s="2843"/>
      <c r="FJH45" s="2843"/>
      <c r="FJI45" s="2844"/>
      <c r="FJJ45" s="2845"/>
      <c r="FJK45" s="2842"/>
      <c r="FJL45" s="2842"/>
      <c r="FJM45" s="2843"/>
      <c r="FJN45" s="2843"/>
      <c r="FJO45" s="2844"/>
      <c r="FJP45" s="2845"/>
      <c r="FJQ45" s="2842"/>
      <c r="FJR45" s="2842"/>
      <c r="FJS45" s="2843"/>
      <c r="FJT45" s="2843"/>
      <c r="FJU45" s="2844"/>
      <c r="FJV45" s="2845"/>
      <c r="FJW45" s="2842"/>
      <c r="FJX45" s="2842"/>
      <c r="FJY45" s="2843"/>
      <c r="FJZ45" s="2843"/>
      <c r="FKA45" s="2844"/>
      <c r="FKB45" s="2845"/>
      <c r="FKC45" s="2842"/>
      <c r="FKD45" s="2842"/>
      <c r="FKE45" s="2843"/>
      <c r="FKF45" s="2843"/>
      <c r="FKG45" s="2844"/>
      <c r="FKH45" s="2845"/>
      <c r="FKI45" s="2842"/>
      <c r="FKJ45" s="2842"/>
      <c r="FKK45" s="2843"/>
      <c r="FKL45" s="2843"/>
      <c r="FKM45" s="2844"/>
      <c r="FKN45" s="2845"/>
      <c r="FKO45" s="2842"/>
      <c r="FKP45" s="2842"/>
      <c r="FKQ45" s="2843"/>
      <c r="FKR45" s="2843"/>
      <c r="FKS45" s="2844"/>
      <c r="FKT45" s="2845"/>
      <c r="FKU45" s="2842"/>
      <c r="FKV45" s="2842"/>
      <c r="FKW45" s="2843"/>
      <c r="FKX45" s="2843"/>
      <c r="FKY45" s="2844"/>
      <c r="FKZ45" s="2845"/>
      <c r="FLA45" s="2842"/>
      <c r="FLB45" s="2842"/>
      <c r="FLC45" s="2843"/>
      <c r="FLD45" s="2843"/>
      <c r="FLE45" s="2844"/>
      <c r="FLF45" s="2845"/>
      <c r="FLG45" s="2842"/>
      <c r="FLH45" s="2842"/>
      <c r="FLI45" s="2843"/>
      <c r="FLJ45" s="2843"/>
      <c r="FLK45" s="2844"/>
      <c r="FLL45" s="2845"/>
      <c r="FLM45" s="2842"/>
      <c r="FLN45" s="2842"/>
      <c r="FLO45" s="2843"/>
      <c r="FLP45" s="2843"/>
      <c r="FLQ45" s="2844"/>
      <c r="FLR45" s="2845"/>
      <c r="FLS45" s="2842"/>
      <c r="FLT45" s="2842"/>
      <c r="FLU45" s="2843"/>
      <c r="FLV45" s="2843"/>
      <c r="FLW45" s="2844"/>
      <c r="FLX45" s="2845"/>
      <c r="FLY45" s="2842"/>
      <c r="FLZ45" s="2842"/>
      <c r="FMA45" s="2843"/>
      <c r="FMB45" s="2843"/>
      <c r="FMC45" s="2844"/>
      <c r="FMD45" s="2845"/>
      <c r="FME45" s="2842"/>
      <c r="FMF45" s="2842"/>
      <c r="FMG45" s="2843"/>
      <c r="FMH45" s="2843"/>
      <c r="FMI45" s="2844"/>
      <c r="FMJ45" s="2845"/>
      <c r="FMK45" s="2842"/>
      <c r="FML45" s="2842"/>
      <c r="FMM45" s="2843"/>
      <c r="FMN45" s="2843"/>
      <c r="FMO45" s="2844"/>
      <c r="FMP45" s="2845"/>
      <c r="FMQ45" s="2842"/>
      <c r="FMR45" s="2842"/>
      <c r="FMS45" s="2843"/>
      <c r="FMT45" s="2843"/>
      <c r="FMU45" s="2844"/>
      <c r="FMV45" s="2845"/>
      <c r="FMW45" s="2842"/>
      <c r="FMX45" s="2842"/>
      <c r="FMY45" s="2843"/>
      <c r="FMZ45" s="2843"/>
      <c r="FNA45" s="2844"/>
      <c r="FNB45" s="2845"/>
      <c r="FNC45" s="2842"/>
      <c r="FND45" s="2842"/>
      <c r="FNE45" s="2843"/>
      <c r="FNF45" s="2843"/>
      <c r="FNG45" s="2844"/>
      <c r="FNH45" s="2845"/>
      <c r="FNI45" s="2842"/>
      <c r="FNJ45" s="2842"/>
      <c r="FNK45" s="2843"/>
      <c r="FNL45" s="2843"/>
      <c r="FNM45" s="2844"/>
      <c r="FNN45" s="2845"/>
      <c r="FNO45" s="2842"/>
      <c r="FNP45" s="2842"/>
      <c r="FNQ45" s="2843"/>
      <c r="FNR45" s="2843"/>
      <c r="FNS45" s="2844"/>
      <c r="FNT45" s="2845"/>
      <c r="FNU45" s="2842"/>
      <c r="FNV45" s="2842"/>
      <c r="FNW45" s="2843"/>
      <c r="FNX45" s="2843"/>
      <c r="FNY45" s="2844"/>
      <c r="FNZ45" s="2845"/>
      <c r="FOA45" s="2842"/>
      <c r="FOB45" s="2842"/>
      <c r="FOC45" s="2843"/>
      <c r="FOD45" s="2843"/>
      <c r="FOE45" s="2844"/>
      <c r="FOF45" s="2845"/>
      <c r="FOG45" s="2842"/>
      <c r="FOH45" s="2842"/>
      <c r="FOI45" s="2843"/>
      <c r="FOJ45" s="2843"/>
      <c r="FOK45" s="2844"/>
      <c r="FOL45" s="2845"/>
      <c r="FOM45" s="2842"/>
      <c r="FON45" s="2842"/>
      <c r="FOO45" s="2843"/>
      <c r="FOP45" s="2843"/>
      <c r="FOQ45" s="2844"/>
      <c r="FOR45" s="2845"/>
      <c r="FOS45" s="2842"/>
      <c r="FOT45" s="2842"/>
      <c r="FOU45" s="2843"/>
      <c r="FOV45" s="2843"/>
      <c r="FOW45" s="2844"/>
      <c r="FOX45" s="2845"/>
      <c r="FOY45" s="2842"/>
      <c r="FOZ45" s="2842"/>
      <c r="FPA45" s="2843"/>
      <c r="FPB45" s="2843"/>
      <c r="FPC45" s="2844"/>
      <c r="FPD45" s="2845"/>
      <c r="FPE45" s="2842"/>
      <c r="FPF45" s="2842"/>
      <c r="FPG45" s="2843"/>
      <c r="FPH45" s="2843"/>
      <c r="FPI45" s="2844"/>
      <c r="FPJ45" s="2845"/>
      <c r="FPK45" s="2842"/>
      <c r="FPL45" s="2842"/>
      <c r="FPM45" s="2843"/>
      <c r="FPN45" s="2843"/>
      <c r="FPO45" s="2844"/>
      <c r="FPP45" s="2845"/>
      <c r="FPQ45" s="2842"/>
      <c r="FPR45" s="2842"/>
      <c r="FPS45" s="2843"/>
      <c r="FPT45" s="2843"/>
      <c r="FPU45" s="2844"/>
      <c r="FPV45" s="2845"/>
      <c r="FPW45" s="2842"/>
      <c r="FPX45" s="2842"/>
      <c r="FPY45" s="2843"/>
      <c r="FPZ45" s="2843"/>
      <c r="FQA45" s="2844"/>
      <c r="FQB45" s="2845"/>
      <c r="FQC45" s="2842"/>
      <c r="FQD45" s="2842"/>
      <c r="FQE45" s="2843"/>
      <c r="FQF45" s="2843"/>
      <c r="FQG45" s="2844"/>
      <c r="FQH45" s="2845"/>
      <c r="FQI45" s="2842"/>
      <c r="FQJ45" s="2842"/>
      <c r="FQK45" s="2843"/>
      <c r="FQL45" s="2843"/>
      <c r="FQM45" s="2844"/>
      <c r="FQN45" s="2845"/>
      <c r="FQO45" s="2842"/>
      <c r="FQP45" s="2842"/>
      <c r="FQQ45" s="2843"/>
      <c r="FQR45" s="2843"/>
      <c r="FQS45" s="2844"/>
      <c r="FQT45" s="2845"/>
      <c r="FQU45" s="2842"/>
      <c r="FQV45" s="2842"/>
      <c r="FQW45" s="2843"/>
      <c r="FQX45" s="2843"/>
      <c r="FQY45" s="2844"/>
      <c r="FQZ45" s="2845"/>
      <c r="FRA45" s="2842"/>
      <c r="FRB45" s="2842"/>
      <c r="FRC45" s="2843"/>
      <c r="FRD45" s="2843"/>
      <c r="FRE45" s="2844"/>
      <c r="FRF45" s="2845"/>
      <c r="FRG45" s="2842"/>
      <c r="FRH45" s="2842"/>
      <c r="FRI45" s="2843"/>
      <c r="FRJ45" s="2843"/>
      <c r="FRK45" s="2844"/>
      <c r="FRL45" s="2845"/>
      <c r="FRM45" s="2842"/>
      <c r="FRN45" s="2842"/>
      <c r="FRO45" s="2843"/>
      <c r="FRP45" s="2843"/>
      <c r="FRQ45" s="2844"/>
      <c r="FRR45" s="2845"/>
      <c r="FRS45" s="2842"/>
      <c r="FRT45" s="2842"/>
      <c r="FRU45" s="2843"/>
      <c r="FRV45" s="2843"/>
      <c r="FRW45" s="2844"/>
      <c r="FRX45" s="2845"/>
      <c r="FRY45" s="2842"/>
      <c r="FRZ45" s="2842"/>
      <c r="FSA45" s="2843"/>
      <c r="FSB45" s="2843"/>
      <c r="FSC45" s="2844"/>
      <c r="FSD45" s="2845"/>
      <c r="FSE45" s="2842"/>
      <c r="FSF45" s="2842"/>
      <c r="FSG45" s="2843"/>
      <c r="FSH45" s="2843"/>
      <c r="FSI45" s="2844"/>
      <c r="FSJ45" s="2845"/>
      <c r="FSK45" s="2842"/>
      <c r="FSL45" s="2842"/>
      <c r="FSM45" s="2843"/>
      <c r="FSN45" s="2843"/>
      <c r="FSO45" s="2844"/>
      <c r="FSP45" s="2845"/>
      <c r="FSQ45" s="2842"/>
      <c r="FSR45" s="2842"/>
      <c r="FSS45" s="2843"/>
      <c r="FST45" s="2843"/>
      <c r="FSU45" s="2844"/>
      <c r="FSV45" s="2845"/>
      <c r="FSW45" s="2842"/>
      <c r="FSX45" s="2842"/>
      <c r="FSY45" s="2843"/>
      <c r="FSZ45" s="2843"/>
      <c r="FTA45" s="2844"/>
      <c r="FTB45" s="2845"/>
      <c r="FTC45" s="2842"/>
      <c r="FTD45" s="2842"/>
      <c r="FTE45" s="2843"/>
      <c r="FTF45" s="2843"/>
      <c r="FTG45" s="2844"/>
      <c r="FTH45" s="2845"/>
      <c r="FTI45" s="2842"/>
      <c r="FTJ45" s="2842"/>
      <c r="FTK45" s="2843"/>
      <c r="FTL45" s="2843"/>
      <c r="FTM45" s="2844"/>
      <c r="FTN45" s="2845"/>
      <c r="FTO45" s="2842"/>
      <c r="FTP45" s="2842"/>
      <c r="FTQ45" s="2843"/>
      <c r="FTR45" s="2843"/>
      <c r="FTS45" s="2844"/>
      <c r="FTT45" s="2845"/>
      <c r="FTU45" s="2842"/>
      <c r="FTV45" s="2842"/>
      <c r="FTW45" s="2843"/>
      <c r="FTX45" s="2843"/>
      <c r="FTY45" s="2844"/>
      <c r="FTZ45" s="2845"/>
      <c r="FUA45" s="2842"/>
      <c r="FUB45" s="2842"/>
      <c r="FUC45" s="2843"/>
      <c r="FUD45" s="2843"/>
      <c r="FUE45" s="2844"/>
      <c r="FUF45" s="2845"/>
      <c r="FUG45" s="2842"/>
      <c r="FUH45" s="2842"/>
      <c r="FUI45" s="2843"/>
      <c r="FUJ45" s="2843"/>
      <c r="FUK45" s="2844"/>
      <c r="FUL45" s="2845"/>
      <c r="FUM45" s="2842"/>
      <c r="FUN45" s="2842"/>
      <c r="FUO45" s="2843"/>
      <c r="FUP45" s="2843"/>
      <c r="FUQ45" s="2844"/>
      <c r="FUR45" s="2845"/>
      <c r="FUS45" s="2842"/>
      <c r="FUT45" s="2842"/>
      <c r="FUU45" s="2843"/>
      <c r="FUV45" s="2843"/>
      <c r="FUW45" s="2844"/>
      <c r="FUX45" s="2845"/>
      <c r="FUY45" s="2842"/>
      <c r="FUZ45" s="2842"/>
      <c r="FVA45" s="2843"/>
      <c r="FVB45" s="2843"/>
      <c r="FVC45" s="2844"/>
      <c r="FVD45" s="2845"/>
      <c r="FVE45" s="2842"/>
      <c r="FVF45" s="2842"/>
      <c r="FVG45" s="2843"/>
      <c r="FVH45" s="2843"/>
      <c r="FVI45" s="2844"/>
      <c r="FVJ45" s="2845"/>
      <c r="FVK45" s="2842"/>
      <c r="FVL45" s="2842"/>
      <c r="FVM45" s="2843"/>
      <c r="FVN45" s="2843"/>
      <c r="FVO45" s="2844"/>
      <c r="FVP45" s="2845"/>
      <c r="FVQ45" s="2842"/>
      <c r="FVR45" s="2842"/>
      <c r="FVS45" s="2843"/>
      <c r="FVT45" s="2843"/>
      <c r="FVU45" s="2844"/>
      <c r="FVV45" s="2845"/>
      <c r="FVW45" s="2842"/>
      <c r="FVX45" s="2842"/>
      <c r="FVY45" s="2843"/>
      <c r="FVZ45" s="2843"/>
      <c r="FWA45" s="2844"/>
      <c r="FWB45" s="2845"/>
      <c r="FWC45" s="2842"/>
      <c r="FWD45" s="2842"/>
      <c r="FWE45" s="2843"/>
      <c r="FWF45" s="2843"/>
      <c r="FWG45" s="2844"/>
      <c r="FWH45" s="2845"/>
      <c r="FWI45" s="2842"/>
      <c r="FWJ45" s="2842"/>
      <c r="FWK45" s="2843"/>
      <c r="FWL45" s="2843"/>
      <c r="FWM45" s="2844"/>
      <c r="FWN45" s="2845"/>
      <c r="FWO45" s="2842"/>
      <c r="FWP45" s="2842"/>
      <c r="FWQ45" s="2843"/>
      <c r="FWR45" s="2843"/>
      <c r="FWS45" s="2844"/>
      <c r="FWT45" s="2845"/>
      <c r="FWU45" s="2842"/>
      <c r="FWV45" s="2842"/>
      <c r="FWW45" s="2843"/>
      <c r="FWX45" s="2843"/>
      <c r="FWY45" s="2844"/>
      <c r="FWZ45" s="2845"/>
      <c r="FXA45" s="2842"/>
      <c r="FXB45" s="2842"/>
      <c r="FXC45" s="2843"/>
      <c r="FXD45" s="2843"/>
      <c r="FXE45" s="2844"/>
      <c r="FXF45" s="2845"/>
      <c r="FXG45" s="2842"/>
      <c r="FXH45" s="2842"/>
      <c r="FXI45" s="2843"/>
      <c r="FXJ45" s="2843"/>
      <c r="FXK45" s="2844"/>
      <c r="FXL45" s="2845"/>
      <c r="FXM45" s="2842"/>
      <c r="FXN45" s="2842"/>
      <c r="FXO45" s="2843"/>
      <c r="FXP45" s="2843"/>
      <c r="FXQ45" s="2844"/>
      <c r="FXR45" s="2845"/>
      <c r="FXS45" s="2842"/>
      <c r="FXT45" s="2842"/>
      <c r="FXU45" s="2843"/>
      <c r="FXV45" s="2843"/>
      <c r="FXW45" s="2844"/>
      <c r="FXX45" s="2845"/>
      <c r="FXY45" s="2842"/>
      <c r="FXZ45" s="2842"/>
      <c r="FYA45" s="2843"/>
      <c r="FYB45" s="2843"/>
      <c r="FYC45" s="2844"/>
      <c r="FYD45" s="2845"/>
      <c r="FYE45" s="2842"/>
      <c r="FYF45" s="2842"/>
      <c r="FYG45" s="2843"/>
      <c r="FYH45" s="2843"/>
      <c r="FYI45" s="2844"/>
      <c r="FYJ45" s="2845"/>
      <c r="FYK45" s="2842"/>
      <c r="FYL45" s="2842"/>
      <c r="FYM45" s="2843"/>
      <c r="FYN45" s="2843"/>
      <c r="FYO45" s="2844"/>
      <c r="FYP45" s="2845"/>
      <c r="FYQ45" s="2842"/>
      <c r="FYR45" s="2842"/>
      <c r="FYS45" s="2843"/>
      <c r="FYT45" s="2843"/>
      <c r="FYU45" s="2844"/>
      <c r="FYV45" s="2845"/>
      <c r="FYW45" s="2842"/>
      <c r="FYX45" s="2842"/>
      <c r="FYY45" s="2843"/>
      <c r="FYZ45" s="2843"/>
      <c r="FZA45" s="2844"/>
      <c r="FZB45" s="2845"/>
      <c r="FZC45" s="2842"/>
      <c r="FZD45" s="2842"/>
      <c r="FZE45" s="2843"/>
      <c r="FZF45" s="2843"/>
      <c r="FZG45" s="2844"/>
      <c r="FZH45" s="2845"/>
      <c r="FZI45" s="2842"/>
      <c r="FZJ45" s="2842"/>
      <c r="FZK45" s="2843"/>
      <c r="FZL45" s="2843"/>
      <c r="FZM45" s="2844"/>
      <c r="FZN45" s="2845"/>
      <c r="FZO45" s="2842"/>
      <c r="FZP45" s="2842"/>
      <c r="FZQ45" s="2843"/>
      <c r="FZR45" s="2843"/>
      <c r="FZS45" s="2844"/>
      <c r="FZT45" s="2845"/>
      <c r="FZU45" s="2842"/>
      <c r="FZV45" s="2842"/>
      <c r="FZW45" s="2843"/>
      <c r="FZX45" s="2843"/>
      <c r="FZY45" s="2844"/>
      <c r="FZZ45" s="2845"/>
      <c r="GAA45" s="2842"/>
      <c r="GAB45" s="2842"/>
      <c r="GAC45" s="2843"/>
      <c r="GAD45" s="2843"/>
      <c r="GAE45" s="2844"/>
      <c r="GAF45" s="2845"/>
      <c r="GAG45" s="2842"/>
      <c r="GAH45" s="2842"/>
      <c r="GAI45" s="2843"/>
      <c r="GAJ45" s="2843"/>
      <c r="GAK45" s="2844"/>
      <c r="GAL45" s="2845"/>
      <c r="GAM45" s="2842"/>
      <c r="GAN45" s="2842"/>
      <c r="GAO45" s="2843"/>
      <c r="GAP45" s="2843"/>
      <c r="GAQ45" s="2844"/>
      <c r="GAR45" s="2845"/>
      <c r="GAS45" s="2842"/>
      <c r="GAT45" s="2842"/>
      <c r="GAU45" s="2843"/>
      <c r="GAV45" s="2843"/>
      <c r="GAW45" s="2844"/>
      <c r="GAX45" s="2845"/>
      <c r="GAY45" s="2842"/>
      <c r="GAZ45" s="2842"/>
      <c r="GBA45" s="2843"/>
      <c r="GBB45" s="2843"/>
      <c r="GBC45" s="2844"/>
      <c r="GBD45" s="2845"/>
      <c r="GBE45" s="2842"/>
      <c r="GBF45" s="2842"/>
      <c r="GBG45" s="2843"/>
      <c r="GBH45" s="2843"/>
      <c r="GBI45" s="2844"/>
      <c r="GBJ45" s="2845"/>
      <c r="GBK45" s="2842"/>
      <c r="GBL45" s="2842"/>
      <c r="GBM45" s="2843"/>
      <c r="GBN45" s="2843"/>
      <c r="GBO45" s="2844"/>
      <c r="GBP45" s="2845"/>
      <c r="GBQ45" s="2842"/>
      <c r="GBR45" s="2842"/>
      <c r="GBS45" s="2843"/>
      <c r="GBT45" s="2843"/>
      <c r="GBU45" s="2844"/>
      <c r="GBV45" s="2845"/>
      <c r="GBW45" s="2842"/>
      <c r="GBX45" s="2842"/>
      <c r="GBY45" s="2843"/>
      <c r="GBZ45" s="2843"/>
      <c r="GCA45" s="2844"/>
      <c r="GCB45" s="2845"/>
      <c r="GCC45" s="2842"/>
      <c r="GCD45" s="2842"/>
      <c r="GCE45" s="2843"/>
      <c r="GCF45" s="2843"/>
      <c r="GCG45" s="2844"/>
      <c r="GCH45" s="2845"/>
      <c r="GCI45" s="2842"/>
      <c r="GCJ45" s="2842"/>
      <c r="GCK45" s="2843"/>
      <c r="GCL45" s="2843"/>
      <c r="GCM45" s="2844"/>
      <c r="GCN45" s="2845"/>
      <c r="GCO45" s="2842"/>
      <c r="GCP45" s="2842"/>
      <c r="GCQ45" s="2843"/>
      <c r="GCR45" s="2843"/>
      <c r="GCS45" s="2844"/>
      <c r="GCT45" s="2845"/>
      <c r="GCU45" s="2842"/>
      <c r="GCV45" s="2842"/>
      <c r="GCW45" s="2843"/>
      <c r="GCX45" s="2843"/>
      <c r="GCY45" s="2844"/>
      <c r="GCZ45" s="2845"/>
      <c r="GDA45" s="2842"/>
      <c r="GDB45" s="2842"/>
      <c r="GDC45" s="2843"/>
      <c r="GDD45" s="2843"/>
      <c r="GDE45" s="2844"/>
      <c r="GDF45" s="2845"/>
      <c r="GDG45" s="2842"/>
      <c r="GDH45" s="2842"/>
      <c r="GDI45" s="2843"/>
      <c r="GDJ45" s="2843"/>
      <c r="GDK45" s="2844"/>
      <c r="GDL45" s="2845"/>
      <c r="GDM45" s="2842"/>
      <c r="GDN45" s="2842"/>
      <c r="GDO45" s="2843"/>
      <c r="GDP45" s="2843"/>
      <c r="GDQ45" s="2844"/>
      <c r="GDR45" s="2845"/>
      <c r="GDS45" s="2842"/>
      <c r="GDT45" s="2842"/>
      <c r="GDU45" s="2843"/>
      <c r="GDV45" s="2843"/>
      <c r="GDW45" s="2844"/>
      <c r="GDX45" s="2845"/>
      <c r="GDY45" s="2842"/>
      <c r="GDZ45" s="2842"/>
      <c r="GEA45" s="2843"/>
      <c r="GEB45" s="2843"/>
      <c r="GEC45" s="2844"/>
      <c r="GED45" s="2845"/>
      <c r="GEE45" s="2842"/>
      <c r="GEF45" s="2842"/>
      <c r="GEG45" s="2843"/>
      <c r="GEH45" s="2843"/>
      <c r="GEI45" s="2844"/>
      <c r="GEJ45" s="2845"/>
      <c r="GEK45" s="2842"/>
      <c r="GEL45" s="2842"/>
      <c r="GEM45" s="2843"/>
      <c r="GEN45" s="2843"/>
      <c r="GEO45" s="2844"/>
      <c r="GEP45" s="2845"/>
      <c r="GEQ45" s="2842"/>
      <c r="GER45" s="2842"/>
      <c r="GES45" s="2843"/>
      <c r="GET45" s="2843"/>
      <c r="GEU45" s="2844"/>
      <c r="GEV45" s="2845"/>
      <c r="GEW45" s="2842"/>
      <c r="GEX45" s="2842"/>
      <c r="GEY45" s="2843"/>
      <c r="GEZ45" s="2843"/>
      <c r="GFA45" s="2844"/>
      <c r="GFB45" s="2845"/>
      <c r="GFC45" s="2842"/>
      <c r="GFD45" s="2842"/>
      <c r="GFE45" s="2843"/>
      <c r="GFF45" s="2843"/>
      <c r="GFG45" s="2844"/>
      <c r="GFH45" s="2845"/>
      <c r="GFI45" s="2842"/>
      <c r="GFJ45" s="2842"/>
      <c r="GFK45" s="2843"/>
      <c r="GFL45" s="2843"/>
      <c r="GFM45" s="2844"/>
      <c r="GFN45" s="2845"/>
      <c r="GFO45" s="2842"/>
      <c r="GFP45" s="2842"/>
      <c r="GFQ45" s="2843"/>
      <c r="GFR45" s="2843"/>
      <c r="GFS45" s="2844"/>
      <c r="GFT45" s="2845"/>
      <c r="GFU45" s="2842"/>
      <c r="GFV45" s="2842"/>
      <c r="GFW45" s="2843"/>
      <c r="GFX45" s="2843"/>
      <c r="GFY45" s="2844"/>
      <c r="GFZ45" s="2845"/>
      <c r="GGA45" s="2842"/>
      <c r="GGB45" s="2842"/>
      <c r="GGC45" s="2843"/>
      <c r="GGD45" s="2843"/>
      <c r="GGE45" s="2844"/>
      <c r="GGF45" s="2845"/>
      <c r="GGG45" s="2842"/>
      <c r="GGH45" s="2842"/>
      <c r="GGI45" s="2843"/>
      <c r="GGJ45" s="2843"/>
      <c r="GGK45" s="2844"/>
      <c r="GGL45" s="2845"/>
      <c r="GGM45" s="2842"/>
      <c r="GGN45" s="2842"/>
      <c r="GGO45" s="2843"/>
      <c r="GGP45" s="2843"/>
      <c r="GGQ45" s="2844"/>
      <c r="GGR45" s="2845"/>
      <c r="GGS45" s="2842"/>
      <c r="GGT45" s="2842"/>
      <c r="GGU45" s="2843"/>
      <c r="GGV45" s="2843"/>
      <c r="GGW45" s="2844"/>
      <c r="GGX45" s="2845"/>
      <c r="GGY45" s="2842"/>
      <c r="GGZ45" s="2842"/>
      <c r="GHA45" s="2843"/>
      <c r="GHB45" s="2843"/>
      <c r="GHC45" s="2844"/>
      <c r="GHD45" s="2845"/>
      <c r="GHE45" s="2842"/>
      <c r="GHF45" s="2842"/>
      <c r="GHG45" s="2843"/>
      <c r="GHH45" s="2843"/>
      <c r="GHI45" s="2844"/>
      <c r="GHJ45" s="2845"/>
      <c r="GHK45" s="2842"/>
      <c r="GHL45" s="2842"/>
      <c r="GHM45" s="2843"/>
      <c r="GHN45" s="2843"/>
      <c r="GHO45" s="2844"/>
      <c r="GHP45" s="2845"/>
      <c r="GHQ45" s="2842"/>
      <c r="GHR45" s="2842"/>
      <c r="GHS45" s="2843"/>
      <c r="GHT45" s="2843"/>
      <c r="GHU45" s="2844"/>
      <c r="GHV45" s="2845"/>
      <c r="GHW45" s="2842"/>
      <c r="GHX45" s="2842"/>
      <c r="GHY45" s="2843"/>
      <c r="GHZ45" s="2843"/>
      <c r="GIA45" s="2844"/>
      <c r="GIB45" s="2845"/>
      <c r="GIC45" s="2842"/>
      <c r="GID45" s="2842"/>
      <c r="GIE45" s="2843"/>
      <c r="GIF45" s="2843"/>
      <c r="GIG45" s="2844"/>
      <c r="GIH45" s="2845"/>
      <c r="GII45" s="2842"/>
      <c r="GIJ45" s="2842"/>
      <c r="GIK45" s="2843"/>
      <c r="GIL45" s="2843"/>
      <c r="GIM45" s="2844"/>
      <c r="GIN45" s="2845"/>
      <c r="GIO45" s="2842"/>
      <c r="GIP45" s="2842"/>
      <c r="GIQ45" s="2843"/>
      <c r="GIR45" s="2843"/>
      <c r="GIS45" s="2844"/>
      <c r="GIT45" s="2845"/>
      <c r="GIU45" s="2842"/>
      <c r="GIV45" s="2842"/>
      <c r="GIW45" s="2843"/>
      <c r="GIX45" s="2843"/>
      <c r="GIY45" s="2844"/>
      <c r="GIZ45" s="2845"/>
      <c r="GJA45" s="2842"/>
      <c r="GJB45" s="2842"/>
      <c r="GJC45" s="2843"/>
      <c r="GJD45" s="2843"/>
      <c r="GJE45" s="2844"/>
      <c r="GJF45" s="2845"/>
      <c r="GJG45" s="2842"/>
      <c r="GJH45" s="2842"/>
      <c r="GJI45" s="2843"/>
      <c r="GJJ45" s="2843"/>
      <c r="GJK45" s="2844"/>
      <c r="GJL45" s="2845"/>
      <c r="GJM45" s="2842"/>
      <c r="GJN45" s="2842"/>
      <c r="GJO45" s="2843"/>
      <c r="GJP45" s="2843"/>
      <c r="GJQ45" s="2844"/>
      <c r="GJR45" s="2845"/>
      <c r="GJS45" s="2842"/>
      <c r="GJT45" s="2842"/>
      <c r="GJU45" s="2843"/>
      <c r="GJV45" s="2843"/>
      <c r="GJW45" s="2844"/>
      <c r="GJX45" s="2845"/>
      <c r="GJY45" s="2842"/>
      <c r="GJZ45" s="2842"/>
      <c r="GKA45" s="2843"/>
      <c r="GKB45" s="2843"/>
      <c r="GKC45" s="2844"/>
      <c r="GKD45" s="2845"/>
      <c r="GKE45" s="2842"/>
      <c r="GKF45" s="2842"/>
      <c r="GKG45" s="2843"/>
      <c r="GKH45" s="2843"/>
      <c r="GKI45" s="2844"/>
      <c r="GKJ45" s="2845"/>
      <c r="GKK45" s="2842"/>
      <c r="GKL45" s="2842"/>
      <c r="GKM45" s="2843"/>
      <c r="GKN45" s="2843"/>
      <c r="GKO45" s="2844"/>
      <c r="GKP45" s="2845"/>
      <c r="GKQ45" s="2842"/>
      <c r="GKR45" s="2842"/>
      <c r="GKS45" s="2843"/>
      <c r="GKT45" s="2843"/>
      <c r="GKU45" s="2844"/>
      <c r="GKV45" s="2845"/>
      <c r="GKW45" s="2842"/>
      <c r="GKX45" s="2842"/>
      <c r="GKY45" s="2843"/>
      <c r="GKZ45" s="2843"/>
      <c r="GLA45" s="2844"/>
      <c r="GLB45" s="2845"/>
      <c r="GLC45" s="2842"/>
      <c r="GLD45" s="2842"/>
      <c r="GLE45" s="2843"/>
      <c r="GLF45" s="2843"/>
      <c r="GLG45" s="2844"/>
      <c r="GLH45" s="2845"/>
      <c r="GLI45" s="2842"/>
      <c r="GLJ45" s="2842"/>
      <c r="GLK45" s="2843"/>
      <c r="GLL45" s="2843"/>
      <c r="GLM45" s="2844"/>
      <c r="GLN45" s="2845"/>
      <c r="GLO45" s="2842"/>
      <c r="GLP45" s="2842"/>
      <c r="GLQ45" s="2843"/>
      <c r="GLR45" s="2843"/>
      <c r="GLS45" s="2844"/>
      <c r="GLT45" s="2845"/>
      <c r="GLU45" s="2842"/>
      <c r="GLV45" s="2842"/>
      <c r="GLW45" s="2843"/>
      <c r="GLX45" s="2843"/>
      <c r="GLY45" s="2844"/>
      <c r="GLZ45" s="2845"/>
      <c r="GMA45" s="2842"/>
      <c r="GMB45" s="2842"/>
      <c r="GMC45" s="2843"/>
      <c r="GMD45" s="2843"/>
      <c r="GME45" s="2844"/>
      <c r="GMF45" s="2845"/>
      <c r="GMG45" s="2842"/>
      <c r="GMH45" s="2842"/>
      <c r="GMI45" s="2843"/>
      <c r="GMJ45" s="2843"/>
      <c r="GMK45" s="2844"/>
      <c r="GML45" s="2845"/>
      <c r="GMM45" s="2842"/>
      <c r="GMN45" s="2842"/>
      <c r="GMO45" s="2843"/>
      <c r="GMP45" s="2843"/>
      <c r="GMQ45" s="2844"/>
      <c r="GMR45" s="2845"/>
      <c r="GMS45" s="2842"/>
      <c r="GMT45" s="2842"/>
      <c r="GMU45" s="2843"/>
      <c r="GMV45" s="2843"/>
      <c r="GMW45" s="2844"/>
      <c r="GMX45" s="2845"/>
      <c r="GMY45" s="2842"/>
      <c r="GMZ45" s="2842"/>
      <c r="GNA45" s="2843"/>
      <c r="GNB45" s="2843"/>
      <c r="GNC45" s="2844"/>
      <c r="GND45" s="2845"/>
      <c r="GNE45" s="2842"/>
      <c r="GNF45" s="2842"/>
      <c r="GNG45" s="2843"/>
      <c r="GNH45" s="2843"/>
      <c r="GNI45" s="2844"/>
      <c r="GNJ45" s="2845"/>
      <c r="GNK45" s="2842"/>
      <c r="GNL45" s="2842"/>
      <c r="GNM45" s="2843"/>
      <c r="GNN45" s="2843"/>
      <c r="GNO45" s="2844"/>
      <c r="GNP45" s="2845"/>
      <c r="GNQ45" s="2842"/>
      <c r="GNR45" s="2842"/>
      <c r="GNS45" s="2843"/>
      <c r="GNT45" s="2843"/>
      <c r="GNU45" s="2844"/>
      <c r="GNV45" s="2845"/>
      <c r="GNW45" s="2842"/>
      <c r="GNX45" s="2842"/>
      <c r="GNY45" s="2843"/>
      <c r="GNZ45" s="2843"/>
      <c r="GOA45" s="2844"/>
      <c r="GOB45" s="2845"/>
      <c r="GOC45" s="2842"/>
      <c r="GOD45" s="2842"/>
      <c r="GOE45" s="2843"/>
      <c r="GOF45" s="2843"/>
      <c r="GOG45" s="2844"/>
      <c r="GOH45" s="2845"/>
      <c r="GOI45" s="2842"/>
      <c r="GOJ45" s="2842"/>
      <c r="GOK45" s="2843"/>
      <c r="GOL45" s="2843"/>
      <c r="GOM45" s="2844"/>
      <c r="GON45" s="2845"/>
      <c r="GOO45" s="2842"/>
      <c r="GOP45" s="2842"/>
      <c r="GOQ45" s="2843"/>
      <c r="GOR45" s="2843"/>
      <c r="GOS45" s="2844"/>
      <c r="GOT45" s="2845"/>
      <c r="GOU45" s="2842"/>
      <c r="GOV45" s="2842"/>
      <c r="GOW45" s="2843"/>
      <c r="GOX45" s="2843"/>
      <c r="GOY45" s="2844"/>
      <c r="GOZ45" s="2845"/>
      <c r="GPA45" s="2842"/>
      <c r="GPB45" s="2842"/>
      <c r="GPC45" s="2843"/>
      <c r="GPD45" s="2843"/>
      <c r="GPE45" s="2844"/>
      <c r="GPF45" s="2845"/>
      <c r="GPG45" s="2842"/>
      <c r="GPH45" s="2842"/>
      <c r="GPI45" s="2843"/>
      <c r="GPJ45" s="2843"/>
      <c r="GPK45" s="2844"/>
      <c r="GPL45" s="2845"/>
      <c r="GPM45" s="2842"/>
      <c r="GPN45" s="2842"/>
      <c r="GPO45" s="2843"/>
      <c r="GPP45" s="2843"/>
      <c r="GPQ45" s="2844"/>
      <c r="GPR45" s="2845"/>
      <c r="GPS45" s="2842"/>
      <c r="GPT45" s="2842"/>
      <c r="GPU45" s="2843"/>
      <c r="GPV45" s="2843"/>
      <c r="GPW45" s="2844"/>
      <c r="GPX45" s="2845"/>
      <c r="GPY45" s="2842"/>
      <c r="GPZ45" s="2842"/>
      <c r="GQA45" s="2843"/>
      <c r="GQB45" s="2843"/>
      <c r="GQC45" s="2844"/>
      <c r="GQD45" s="2845"/>
      <c r="GQE45" s="2842"/>
      <c r="GQF45" s="2842"/>
      <c r="GQG45" s="2843"/>
      <c r="GQH45" s="2843"/>
      <c r="GQI45" s="2844"/>
      <c r="GQJ45" s="2845"/>
      <c r="GQK45" s="2842"/>
      <c r="GQL45" s="2842"/>
      <c r="GQM45" s="2843"/>
      <c r="GQN45" s="2843"/>
      <c r="GQO45" s="2844"/>
      <c r="GQP45" s="2845"/>
      <c r="GQQ45" s="2842"/>
      <c r="GQR45" s="2842"/>
      <c r="GQS45" s="2843"/>
      <c r="GQT45" s="2843"/>
      <c r="GQU45" s="2844"/>
      <c r="GQV45" s="2845"/>
      <c r="GQW45" s="2842"/>
      <c r="GQX45" s="2842"/>
      <c r="GQY45" s="2843"/>
      <c r="GQZ45" s="2843"/>
      <c r="GRA45" s="2844"/>
      <c r="GRB45" s="2845"/>
      <c r="GRC45" s="2842"/>
      <c r="GRD45" s="2842"/>
      <c r="GRE45" s="2843"/>
      <c r="GRF45" s="2843"/>
      <c r="GRG45" s="2844"/>
      <c r="GRH45" s="2845"/>
      <c r="GRI45" s="2842"/>
      <c r="GRJ45" s="2842"/>
      <c r="GRK45" s="2843"/>
      <c r="GRL45" s="2843"/>
      <c r="GRM45" s="2844"/>
      <c r="GRN45" s="2845"/>
      <c r="GRO45" s="2842"/>
      <c r="GRP45" s="2842"/>
      <c r="GRQ45" s="2843"/>
      <c r="GRR45" s="2843"/>
      <c r="GRS45" s="2844"/>
      <c r="GRT45" s="2845"/>
      <c r="GRU45" s="2842"/>
      <c r="GRV45" s="2842"/>
      <c r="GRW45" s="2843"/>
      <c r="GRX45" s="2843"/>
      <c r="GRY45" s="2844"/>
      <c r="GRZ45" s="2845"/>
      <c r="GSA45" s="2842"/>
      <c r="GSB45" s="2842"/>
      <c r="GSC45" s="2843"/>
      <c r="GSD45" s="2843"/>
      <c r="GSE45" s="2844"/>
      <c r="GSF45" s="2845"/>
      <c r="GSG45" s="2842"/>
      <c r="GSH45" s="2842"/>
      <c r="GSI45" s="2843"/>
      <c r="GSJ45" s="2843"/>
      <c r="GSK45" s="2844"/>
      <c r="GSL45" s="2845"/>
      <c r="GSM45" s="2842"/>
      <c r="GSN45" s="2842"/>
      <c r="GSO45" s="2843"/>
      <c r="GSP45" s="2843"/>
      <c r="GSQ45" s="2844"/>
      <c r="GSR45" s="2845"/>
      <c r="GSS45" s="2842"/>
      <c r="GST45" s="2842"/>
      <c r="GSU45" s="2843"/>
      <c r="GSV45" s="2843"/>
      <c r="GSW45" s="2844"/>
      <c r="GSX45" s="2845"/>
      <c r="GSY45" s="2842"/>
      <c r="GSZ45" s="2842"/>
      <c r="GTA45" s="2843"/>
      <c r="GTB45" s="2843"/>
      <c r="GTC45" s="2844"/>
      <c r="GTD45" s="2845"/>
      <c r="GTE45" s="2842"/>
      <c r="GTF45" s="2842"/>
      <c r="GTG45" s="2843"/>
      <c r="GTH45" s="2843"/>
      <c r="GTI45" s="2844"/>
      <c r="GTJ45" s="2845"/>
      <c r="GTK45" s="2842"/>
      <c r="GTL45" s="2842"/>
      <c r="GTM45" s="2843"/>
      <c r="GTN45" s="2843"/>
      <c r="GTO45" s="2844"/>
      <c r="GTP45" s="2845"/>
      <c r="GTQ45" s="2842"/>
      <c r="GTR45" s="2842"/>
      <c r="GTS45" s="2843"/>
      <c r="GTT45" s="2843"/>
      <c r="GTU45" s="2844"/>
      <c r="GTV45" s="2845"/>
      <c r="GTW45" s="2842"/>
      <c r="GTX45" s="2842"/>
      <c r="GTY45" s="2843"/>
      <c r="GTZ45" s="2843"/>
      <c r="GUA45" s="2844"/>
      <c r="GUB45" s="2845"/>
      <c r="GUC45" s="2842"/>
      <c r="GUD45" s="2842"/>
      <c r="GUE45" s="2843"/>
      <c r="GUF45" s="2843"/>
      <c r="GUG45" s="2844"/>
      <c r="GUH45" s="2845"/>
      <c r="GUI45" s="2842"/>
      <c r="GUJ45" s="2842"/>
      <c r="GUK45" s="2843"/>
      <c r="GUL45" s="2843"/>
      <c r="GUM45" s="2844"/>
      <c r="GUN45" s="2845"/>
      <c r="GUO45" s="2842"/>
      <c r="GUP45" s="2842"/>
      <c r="GUQ45" s="2843"/>
      <c r="GUR45" s="2843"/>
      <c r="GUS45" s="2844"/>
      <c r="GUT45" s="2845"/>
      <c r="GUU45" s="2842"/>
      <c r="GUV45" s="2842"/>
      <c r="GUW45" s="2843"/>
      <c r="GUX45" s="2843"/>
      <c r="GUY45" s="2844"/>
      <c r="GUZ45" s="2845"/>
      <c r="GVA45" s="2842"/>
      <c r="GVB45" s="2842"/>
      <c r="GVC45" s="2843"/>
      <c r="GVD45" s="2843"/>
      <c r="GVE45" s="2844"/>
      <c r="GVF45" s="2845"/>
      <c r="GVG45" s="2842"/>
      <c r="GVH45" s="2842"/>
      <c r="GVI45" s="2843"/>
      <c r="GVJ45" s="2843"/>
      <c r="GVK45" s="2844"/>
      <c r="GVL45" s="2845"/>
      <c r="GVM45" s="2842"/>
      <c r="GVN45" s="2842"/>
      <c r="GVO45" s="2843"/>
      <c r="GVP45" s="2843"/>
      <c r="GVQ45" s="2844"/>
      <c r="GVR45" s="2845"/>
      <c r="GVS45" s="2842"/>
      <c r="GVT45" s="2842"/>
      <c r="GVU45" s="2843"/>
      <c r="GVV45" s="2843"/>
      <c r="GVW45" s="2844"/>
      <c r="GVX45" s="2845"/>
      <c r="GVY45" s="2842"/>
      <c r="GVZ45" s="2842"/>
      <c r="GWA45" s="2843"/>
      <c r="GWB45" s="2843"/>
      <c r="GWC45" s="2844"/>
      <c r="GWD45" s="2845"/>
      <c r="GWE45" s="2842"/>
      <c r="GWF45" s="2842"/>
      <c r="GWG45" s="2843"/>
      <c r="GWH45" s="2843"/>
      <c r="GWI45" s="2844"/>
      <c r="GWJ45" s="2845"/>
      <c r="GWK45" s="2842"/>
      <c r="GWL45" s="2842"/>
      <c r="GWM45" s="2843"/>
      <c r="GWN45" s="2843"/>
      <c r="GWO45" s="2844"/>
      <c r="GWP45" s="2845"/>
      <c r="GWQ45" s="2842"/>
      <c r="GWR45" s="2842"/>
      <c r="GWS45" s="2843"/>
      <c r="GWT45" s="2843"/>
      <c r="GWU45" s="2844"/>
      <c r="GWV45" s="2845"/>
      <c r="GWW45" s="2842"/>
      <c r="GWX45" s="2842"/>
      <c r="GWY45" s="2843"/>
      <c r="GWZ45" s="2843"/>
      <c r="GXA45" s="2844"/>
      <c r="GXB45" s="2845"/>
      <c r="GXC45" s="2842"/>
      <c r="GXD45" s="2842"/>
      <c r="GXE45" s="2843"/>
      <c r="GXF45" s="2843"/>
      <c r="GXG45" s="2844"/>
      <c r="GXH45" s="2845"/>
      <c r="GXI45" s="2842"/>
      <c r="GXJ45" s="2842"/>
      <c r="GXK45" s="2843"/>
      <c r="GXL45" s="2843"/>
      <c r="GXM45" s="2844"/>
      <c r="GXN45" s="2845"/>
      <c r="GXO45" s="2842"/>
      <c r="GXP45" s="2842"/>
      <c r="GXQ45" s="2843"/>
      <c r="GXR45" s="2843"/>
      <c r="GXS45" s="2844"/>
      <c r="GXT45" s="2845"/>
      <c r="GXU45" s="2842"/>
      <c r="GXV45" s="2842"/>
      <c r="GXW45" s="2843"/>
      <c r="GXX45" s="2843"/>
      <c r="GXY45" s="2844"/>
      <c r="GXZ45" s="2845"/>
      <c r="GYA45" s="2842"/>
      <c r="GYB45" s="2842"/>
      <c r="GYC45" s="2843"/>
      <c r="GYD45" s="2843"/>
      <c r="GYE45" s="2844"/>
      <c r="GYF45" s="2845"/>
      <c r="GYG45" s="2842"/>
      <c r="GYH45" s="2842"/>
      <c r="GYI45" s="2843"/>
      <c r="GYJ45" s="2843"/>
      <c r="GYK45" s="2844"/>
      <c r="GYL45" s="2845"/>
      <c r="GYM45" s="2842"/>
      <c r="GYN45" s="2842"/>
      <c r="GYO45" s="2843"/>
      <c r="GYP45" s="2843"/>
      <c r="GYQ45" s="2844"/>
      <c r="GYR45" s="2845"/>
      <c r="GYS45" s="2842"/>
      <c r="GYT45" s="2842"/>
      <c r="GYU45" s="2843"/>
      <c r="GYV45" s="2843"/>
      <c r="GYW45" s="2844"/>
      <c r="GYX45" s="2845"/>
      <c r="GYY45" s="2842"/>
      <c r="GYZ45" s="2842"/>
      <c r="GZA45" s="2843"/>
      <c r="GZB45" s="2843"/>
      <c r="GZC45" s="2844"/>
      <c r="GZD45" s="2845"/>
      <c r="GZE45" s="2842"/>
      <c r="GZF45" s="2842"/>
      <c r="GZG45" s="2843"/>
      <c r="GZH45" s="2843"/>
      <c r="GZI45" s="2844"/>
      <c r="GZJ45" s="2845"/>
      <c r="GZK45" s="2842"/>
      <c r="GZL45" s="2842"/>
      <c r="GZM45" s="2843"/>
      <c r="GZN45" s="2843"/>
      <c r="GZO45" s="2844"/>
      <c r="GZP45" s="2845"/>
      <c r="GZQ45" s="2842"/>
      <c r="GZR45" s="2842"/>
      <c r="GZS45" s="2843"/>
      <c r="GZT45" s="2843"/>
      <c r="GZU45" s="2844"/>
      <c r="GZV45" s="2845"/>
      <c r="GZW45" s="2842"/>
      <c r="GZX45" s="2842"/>
      <c r="GZY45" s="2843"/>
      <c r="GZZ45" s="2843"/>
      <c r="HAA45" s="2844"/>
      <c r="HAB45" s="2845"/>
      <c r="HAC45" s="2842"/>
      <c r="HAD45" s="2842"/>
      <c r="HAE45" s="2843"/>
      <c r="HAF45" s="2843"/>
      <c r="HAG45" s="2844"/>
      <c r="HAH45" s="2845"/>
      <c r="HAI45" s="2842"/>
      <c r="HAJ45" s="2842"/>
      <c r="HAK45" s="2843"/>
      <c r="HAL45" s="2843"/>
      <c r="HAM45" s="2844"/>
      <c r="HAN45" s="2845"/>
      <c r="HAO45" s="2842"/>
      <c r="HAP45" s="2842"/>
      <c r="HAQ45" s="2843"/>
      <c r="HAR45" s="2843"/>
      <c r="HAS45" s="2844"/>
      <c r="HAT45" s="2845"/>
      <c r="HAU45" s="2842"/>
      <c r="HAV45" s="2842"/>
      <c r="HAW45" s="2843"/>
      <c r="HAX45" s="2843"/>
      <c r="HAY45" s="2844"/>
      <c r="HAZ45" s="2845"/>
      <c r="HBA45" s="2842"/>
      <c r="HBB45" s="2842"/>
      <c r="HBC45" s="2843"/>
      <c r="HBD45" s="2843"/>
      <c r="HBE45" s="2844"/>
      <c r="HBF45" s="2845"/>
      <c r="HBG45" s="2842"/>
      <c r="HBH45" s="2842"/>
      <c r="HBI45" s="2843"/>
      <c r="HBJ45" s="2843"/>
      <c r="HBK45" s="2844"/>
      <c r="HBL45" s="2845"/>
      <c r="HBM45" s="2842"/>
      <c r="HBN45" s="2842"/>
      <c r="HBO45" s="2843"/>
      <c r="HBP45" s="2843"/>
      <c r="HBQ45" s="2844"/>
      <c r="HBR45" s="2845"/>
      <c r="HBS45" s="2842"/>
      <c r="HBT45" s="2842"/>
      <c r="HBU45" s="2843"/>
      <c r="HBV45" s="2843"/>
      <c r="HBW45" s="2844"/>
      <c r="HBX45" s="2845"/>
      <c r="HBY45" s="2842"/>
      <c r="HBZ45" s="2842"/>
      <c r="HCA45" s="2843"/>
      <c r="HCB45" s="2843"/>
      <c r="HCC45" s="2844"/>
      <c r="HCD45" s="2845"/>
      <c r="HCE45" s="2842"/>
      <c r="HCF45" s="2842"/>
      <c r="HCG45" s="2843"/>
      <c r="HCH45" s="2843"/>
      <c r="HCI45" s="2844"/>
      <c r="HCJ45" s="2845"/>
      <c r="HCK45" s="2842"/>
      <c r="HCL45" s="2842"/>
      <c r="HCM45" s="2843"/>
      <c r="HCN45" s="2843"/>
      <c r="HCO45" s="2844"/>
      <c r="HCP45" s="2845"/>
      <c r="HCQ45" s="2842"/>
      <c r="HCR45" s="2842"/>
      <c r="HCS45" s="2843"/>
      <c r="HCT45" s="2843"/>
      <c r="HCU45" s="2844"/>
      <c r="HCV45" s="2845"/>
      <c r="HCW45" s="2842"/>
      <c r="HCX45" s="2842"/>
      <c r="HCY45" s="2843"/>
      <c r="HCZ45" s="2843"/>
      <c r="HDA45" s="2844"/>
      <c r="HDB45" s="2845"/>
      <c r="HDC45" s="2842"/>
      <c r="HDD45" s="2842"/>
      <c r="HDE45" s="2843"/>
      <c r="HDF45" s="2843"/>
      <c r="HDG45" s="2844"/>
      <c r="HDH45" s="2845"/>
      <c r="HDI45" s="2842"/>
      <c r="HDJ45" s="2842"/>
      <c r="HDK45" s="2843"/>
      <c r="HDL45" s="2843"/>
      <c r="HDM45" s="2844"/>
      <c r="HDN45" s="2845"/>
      <c r="HDO45" s="2842"/>
      <c r="HDP45" s="2842"/>
      <c r="HDQ45" s="2843"/>
      <c r="HDR45" s="2843"/>
      <c r="HDS45" s="2844"/>
      <c r="HDT45" s="2845"/>
      <c r="HDU45" s="2842"/>
      <c r="HDV45" s="2842"/>
      <c r="HDW45" s="2843"/>
      <c r="HDX45" s="2843"/>
      <c r="HDY45" s="2844"/>
      <c r="HDZ45" s="2845"/>
      <c r="HEA45" s="2842"/>
      <c r="HEB45" s="2842"/>
      <c r="HEC45" s="2843"/>
      <c r="HED45" s="2843"/>
      <c r="HEE45" s="2844"/>
      <c r="HEF45" s="2845"/>
      <c r="HEG45" s="2842"/>
      <c r="HEH45" s="2842"/>
      <c r="HEI45" s="2843"/>
      <c r="HEJ45" s="2843"/>
      <c r="HEK45" s="2844"/>
      <c r="HEL45" s="2845"/>
      <c r="HEM45" s="2842"/>
      <c r="HEN45" s="2842"/>
      <c r="HEO45" s="2843"/>
      <c r="HEP45" s="2843"/>
      <c r="HEQ45" s="2844"/>
      <c r="HER45" s="2845"/>
      <c r="HES45" s="2842"/>
      <c r="HET45" s="2842"/>
      <c r="HEU45" s="2843"/>
      <c r="HEV45" s="2843"/>
      <c r="HEW45" s="2844"/>
      <c r="HEX45" s="2845"/>
      <c r="HEY45" s="2842"/>
      <c r="HEZ45" s="2842"/>
      <c r="HFA45" s="2843"/>
      <c r="HFB45" s="2843"/>
      <c r="HFC45" s="2844"/>
      <c r="HFD45" s="2845"/>
      <c r="HFE45" s="2842"/>
      <c r="HFF45" s="2842"/>
      <c r="HFG45" s="2843"/>
      <c r="HFH45" s="2843"/>
      <c r="HFI45" s="2844"/>
      <c r="HFJ45" s="2845"/>
      <c r="HFK45" s="2842"/>
      <c r="HFL45" s="2842"/>
      <c r="HFM45" s="2843"/>
      <c r="HFN45" s="2843"/>
      <c r="HFO45" s="2844"/>
      <c r="HFP45" s="2845"/>
      <c r="HFQ45" s="2842"/>
      <c r="HFR45" s="2842"/>
      <c r="HFS45" s="2843"/>
      <c r="HFT45" s="2843"/>
      <c r="HFU45" s="2844"/>
      <c r="HFV45" s="2845"/>
      <c r="HFW45" s="2842"/>
      <c r="HFX45" s="2842"/>
      <c r="HFY45" s="2843"/>
      <c r="HFZ45" s="2843"/>
      <c r="HGA45" s="2844"/>
      <c r="HGB45" s="2845"/>
      <c r="HGC45" s="2842"/>
      <c r="HGD45" s="2842"/>
      <c r="HGE45" s="2843"/>
      <c r="HGF45" s="2843"/>
      <c r="HGG45" s="2844"/>
      <c r="HGH45" s="2845"/>
      <c r="HGI45" s="2842"/>
      <c r="HGJ45" s="2842"/>
      <c r="HGK45" s="2843"/>
      <c r="HGL45" s="2843"/>
      <c r="HGM45" s="2844"/>
      <c r="HGN45" s="2845"/>
      <c r="HGO45" s="2842"/>
      <c r="HGP45" s="2842"/>
      <c r="HGQ45" s="2843"/>
      <c r="HGR45" s="2843"/>
      <c r="HGS45" s="2844"/>
      <c r="HGT45" s="2845"/>
      <c r="HGU45" s="2842"/>
      <c r="HGV45" s="2842"/>
      <c r="HGW45" s="2843"/>
      <c r="HGX45" s="2843"/>
      <c r="HGY45" s="2844"/>
      <c r="HGZ45" s="2845"/>
      <c r="HHA45" s="2842"/>
      <c r="HHB45" s="2842"/>
      <c r="HHC45" s="2843"/>
      <c r="HHD45" s="2843"/>
      <c r="HHE45" s="2844"/>
      <c r="HHF45" s="2845"/>
      <c r="HHG45" s="2842"/>
      <c r="HHH45" s="2842"/>
      <c r="HHI45" s="2843"/>
      <c r="HHJ45" s="2843"/>
      <c r="HHK45" s="2844"/>
      <c r="HHL45" s="2845"/>
      <c r="HHM45" s="2842"/>
      <c r="HHN45" s="2842"/>
      <c r="HHO45" s="2843"/>
      <c r="HHP45" s="2843"/>
      <c r="HHQ45" s="2844"/>
      <c r="HHR45" s="2845"/>
      <c r="HHS45" s="2842"/>
      <c r="HHT45" s="2842"/>
      <c r="HHU45" s="2843"/>
      <c r="HHV45" s="2843"/>
      <c r="HHW45" s="2844"/>
      <c r="HHX45" s="2845"/>
      <c r="HHY45" s="2842"/>
      <c r="HHZ45" s="2842"/>
      <c r="HIA45" s="2843"/>
      <c r="HIB45" s="2843"/>
      <c r="HIC45" s="2844"/>
      <c r="HID45" s="2845"/>
      <c r="HIE45" s="2842"/>
      <c r="HIF45" s="2842"/>
      <c r="HIG45" s="2843"/>
      <c r="HIH45" s="2843"/>
      <c r="HII45" s="2844"/>
      <c r="HIJ45" s="2845"/>
      <c r="HIK45" s="2842"/>
      <c r="HIL45" s="2842"/>
      <c r="HIM45" s="2843"/>
      <c r="HIN45" s="2843"/>
      <c r="HIO45" s="2844"/>
      <c r="HIP45" s="2845"/>
      <c r="HIQ45" s="2842"/>
      <c r="HIR45" s="2842"/>
      <c r="HIS45" s="2843"/>
      <c r="HIT45" s="2843"/>
      <c r="HIU45" s="2844"/>
      <c r="HIV45" s="2845"/>
      <c r="HIW45" s="2842"/>
      <c r="HIX45" s="2842"/>
      <c r="HIY45" s="2843"/>
      <c r="HIZ45" s="2843"/>
      <c r="HJA45" s="2844"/>
      <c r="HJB45" s="2845"/>
      <c r="HJC45" s="2842"/>
      <c r="HJD45" s="2842"/>
      <c r="HJE45" s="2843"/>
      <c r="HJF45" s="2843"/>
      <c r="HJG45" s="2844"/>
      <c r="HJH45" s="2845"/>
      <c r="HJI45" s="2842"/>
      <c r="HJJ45" s="2842"/>
      <c r="HJK45" s="2843"/>
      <c r="HJL45" s="2843"/>
      <c r="HJM45" s="2844"/>
      <c r="HJN45" s="2845"/>
      <c r="HJO45" s="2842"/>
      <c r="HJP45" s="2842"/>
      <c r="HJQ45" s="2843"/>
      <c r="HJR45" s="2843"/>
      <c r="HJS45" s="2844"/>
      <c r="HJT45" s="2845"/>
      <c r="HJU45" s="2842"/>
      <c r="HJV45" s="2842"/>
      <c r="HJW45" s="2843"/>
      <c r="HJX45" s="2843"/>
      <c r="HJY45" s="2844"/>
      <c r="HJZ45" s="2845"/>
      <c r="HKA45" s="2842"/>
      <c r="HKB45" s="2842"/>
      <c r="HKC45" s="2843"/>
      <c r="HKD45" s="2843"/>
      <c r="HKE45" s="2844"/>
      <c r="HKF45" s="2845"/>
      <c r="HKG45" s="2842"/>
      <c r="HKH45" s="2842"/>
      <c r="HKI45" s="2843"/>
      <c r="HKJ45" s="2843"/>
      <c r="HKK45" s="2844"/>
      <c r="HKL45" s="2845"/>
      <c r="HKM45" s="2842"/>
      <c r="HKN45" s="2842"/>
      <c r="HKO45" s="2843"/>
      <c r="HKP45" s="2843"/>
      <c r="HKQ45" s="2844"/>
      <c r="HKR45" s="2845"/>
      <c r="HKS45" s="2842"/>
      <c r="HKT45" s="2842"/>
      <c r="HKU45" s="2843"/>
      <c r="HKV45" s="2843"/>
      <c r="HKW45" s="2844"/>
      <c r="HKX45" s="2845"/>
      <c r="HKY45" s="2842"/>
      <c r="HKZ45" s="2842"/>
      <c r="HLA45" s="2843"/>
      <c r="HLB45" s="2843"/>
      <c r="HLC45" s="2844"/>
      <c r="HLD45" s="2845"/>
      <c r="HLE45" s="2842"/>
      <c r="HLF45" s="2842"/>
      <c r="HLG45" s="2843"/>
      <c r="HLH45" s="2843"/>
      <c r="HLI45" s="2844"/>
      <c r="HLJ45" s="2845"/>
      <c r="HLK45" s="2842"/>
      <c r="HLL45" s="2842"/>
      <c r="HLM45" s="2843"/>
      <c r="HLN45" s="2843"/>
      <c r="HLO45" s="2844"/>
      <c r="HLP45" s="2845"/>
      <c r="HLQ45" s="2842"/>
      <c r="HLR45" s="2842"/>
      <c r="HLS45" s="2843"/>
      <c r="HLT45" s="2843"/>
      <c r="HLU45" s="2844"/>
      <c r="HLV45" s="2845"/>
      <c r="HLW45" s="2842"/>
      <c r="HLX45" s="2842"/>
      <c r="HLY45" s="2843"/>
      <c r="HLZ45" s="2843"/>
      <c r="HMA45" s="2844"/>
      <c r="HMB45" s="2845"/>
      <c r="HMC45" s="2842"/>
      <c r="HMD45" s="2842"/>
      <c r="HME45" s="2843"/>
      <c r="HMF45" s="2843"/>
      <c r="HMG45" s="2844"/>
      <c r="HMH45" s="2845"/>
      <c r="HMI45" s="2842"/>
      <c r="HMJ45" s="2842"/>
      <c r="HMK45" s="2843"/>
      <c r="HML45" s="2843"/>
      <c r="HMM45" s="2844"/>
      <c r="HMN45" s="2845"/>
      <c r="HMO45" s="2842"/>
      <c r="HMP45" s="2842"/>
      <c r="HMQ45" s="2843"/>
      <c r="HMR45" s="2843"/>
      <c r="HMS45" s="2844"/>
      <c r="HMT45" s="2845"/>
      <c r="HMU45" s="2842"/>
      <c r="HMV45" s="2842"/>
      <c r="HMW45" s="2843"/>
      <c r="HMX45" s="2843"/>
      <c r="HMY45" s="2844"/>
      <c r="HMZ45" s="2845"/>
      <c r="HNA45" s="2842"/>
      <c r="HNB45" s="2842"/>
      <c r="HNC45" s="2843"/>
      <c r="HND45" s="2843"/>
      <c r="HNE45" s="2844"/>
      <c r="HNF45" s="2845"/>
      <c r="HNG45" s="2842"/>
      <c r="HNH45" s="2842"/>
      <c r="HNI45" s="2843"/>
      <c r="HNJ45" s="2843"/>
      <c r="HNK45" s="2844"/>
      <c r="HNL45" s="2845"/>
      <c r="HNM45" s="2842"/>
      <c r="HNN45" s="2842"/>
      <c r="HNO45" s="2843"/>
      <c r="HNP45" s="2843"/>
      <c r="HNQ45" s="2844"/>
      <c r="HNR45" s="2845"/>
      <c r="HNS45" s="2842"/>
      <c r="HNT45" s="2842"/>
      <c r="HNU45" s="2843"/>
      <c r="HNV45" s="2843"/>
      <c r="HNW45" s="2844"/>
      <c r="HNX45" s="2845"/>
      <c r="HNY45" s="2842"/>
      <c r="HNZ45" s="2842"/>
      <c r="HOA45" s="2843"/>
      <c r="HOB45" s="2843"/>
      <c r="HOC45" s="2844"/>
      <c r="HOD45" s="2845"/>
      <c r="HOE45" s="2842"/>
      <c r="HOF45" s="2842"/>
      <c r="HOG45" s="2843"/>
      <c r="HOH45" s="2843"/>
      <c r="HOI45" s="2844"/>
      <c r="HOJ45" s="2845"/>
      <c r="HOK45" s="2842"/>
      <c r="HOL45" s="2842"/>
      <c r="HOM45" s="2843"/>
      <c r="HON45" s="2843"/>
      <c r="HOO45" s="2844"/>
      <c r="HOP45" s="2845"/>
      <c r="HOQ45" s="2842"/>
      <c r="HOR45" s="2842"/>
      <c r="HOS45" s="2843"/>
      <c r="HOT45" s="2843"/>
      <c r="HOU45" s="2844"/>
      <c r="HOV45" s="2845"/>
      <c r="HOW45" s="2842"/>
      <c r="HOX45" s="2842"/>
      <c r="HOY45" s="2843"/>
      <c r="HOZ45" s="2843"/>
      <c r="HPA45" s="2844"/>
      <c r="HPB45" s="2845"/>
      <c r="HPC45" s="2842"/>
      <c r="HPD45" s="2842"/>
      <c r="HPE45" s="2843"/>
      <c r="HPF45" s="2843"/>
      <c r="HPG45" s="2844"/>
      <c r="HPH45" s="2845"/>
      <c r="HPI45" s="2842"/>
      <c r="HPJ45" s="2842"/>
      <c r="HPK45" s="2843"/>
      <c r="HPL45" s="2843"/>
      <c r="HPM45" s="2844"/>
      <c r="HPN45" s="2845"/>
      <c r="HPO45" s="2842"/>
      <c r="HPP45" s="2842"/>
      <c r="HPQ45" s="2843"/>
      <c r="HPR45" s="2843"/>
      <c r="HPS45" s="2844"/>
      <c r="HPT45" s="2845"/>
      <c r="HPU45" s="2842"/>
      <c r="HPV45" s="2842"/>
      <c r="HPW45" s="2843"/>
      <c r="HPX45" s="2843"/>
      <c r="HPY45" s="2844"/>
      <c r="HPZ45" s="2845"/>
      <c r="HQA45" s="2842"/>
      <c r="HQB45" s="2842"/>
      <c r="HQC45" s="2843"/>
      <c r="HQD45" s="2843"/>
      <c r="HQE45" s="2844"/>
      <c r="HQF45" s="2845"/>
      <c r="HQG45" s="2842"/>
      <c r="HQH45" s="2842"/>
      <c r="HQI45" s="2843"/>
      <c r="HQJ45" s="2843"/>
      <c r="HQK45" s="2844"/>
      <c r="HQL45" s="2845"/>
      <c r="HQM45" s="2842"/>
      <c r="HQN45" s="2842"/>
      <c r="HQO45" s="2843"/>
      <c r="HQP45" s="2843"/>
      <c r="HQQ45" s="2844"/>
      <c r="HQR45" s="2845"/>
      <c r="HQS45" s="2842"/>
      <c r="HQT45" s="2842"/>
      <c r="HQU45" s="2843"/>
      <c r="HQV45" s="2843"/>
      <c r="HQW45" s="2844"/>
      <c r="HQX45" s="2845"/>
      <c r="HQY45" s="2842"/>
      <c r="HQZ45" s="2842"/>
      <c r="HRA45" s="2843"/>
      <c r="HRB45" s="2843"/>
      <c r="HRC45" s="2844"/>
      <c r="HRD45" s="2845"/>
      <c r="HRE45" s="2842"/>
      <c r="HRF45" s="2842"/>
      <c r="HRG45" s="2843"/>
      <c r="HRH45" s="2843"/>
      <c r="HRI45" s="2844"/>
      <c r="HRJ45" s="2845"/>
      <c r="HRK45" s="2842"/>
      <c r="HRL45" s="2842"/>
      <c r="HRM45" s="2843"/>
      <c r="HRN45" s="2843"/>
      <c r="HRO45" s="2844"/>
      <c r="HRP45" s="2845"/>
      <c r="HRQ45" s="2842"/>
      <c r="HRR45" s="2842"/>
      <c r="HRS45" s="2843"/>
      <c r="HRT45" s="2843"/>
      <c r="HRU45" s="2844"/>
      <c r="HRV45" s="2845"/>
      <c r="HRW45" s="2842"/>
      <c r="HRX45" s="2842"/>
      <c r="HRY45" s="2843"/>
      <c r="HRZ45" s="2843"/>
      <c r="HSA45" s="2844"/>
      <c r="HSB45" s="2845"/>
      <c r="HSC45" s="2842"/>
      <c r="HSD45" s="2842"/>
      <c r="HSE45" s="2843"/>
      <c r="HSF45" s="2843"/>
      <c r="HSG45" s="2844"/>
      <c r="HSH45" s="2845"/>
      <c r="HSI45" s="2842"/>
      <c r="HSJ45" s="2842"/>
      <c r="HSK45" s="2843"/>
      <c r="HSL45" s="2843"/>
      <c r="HSM45" s="2844"/>
      <c r="HSN45" s="2845"/>
      <c r="HSO45" s="2842"/>
      <c r="HSP45" s="2842"/>
      <c r="HSQ45" s="2843"/>
      <c r="HSR45" s="2843"/>
      <c r="HSS45" s="2844"/>
      <c r="HST45" s="2845"/>
      <c r="HSU45" s="2842"/>
      <c r="HSV45" s="2842"/>
      <c r="HSW45" s="2843"/>
      <c r="HSX45" s="2843"/>
      <c r="HSY45" s="2844"/>
      <c r="HSZ45" s="2845"/>
      <c r="HTA45" s="2842"/>
      <c r="HTB45" s="2842"/>
      <c r="HTC45" s="2843"/>
      <c r="HTD45" s="2843"/>
      <c r="HTE45" s="2844"/>
      <c r="HTF45" s="2845"/>
      <c r="HTG45" s="2842"/>
      <c r="HTH45" s="2842"/>
      <c r="HTI45" s="2843"/>
      <c r="HTJ45" s="2843"/>
      <c r="HTK45" s="2844"/>
      <c r="HTL45" s="2845"/>
      <c r="HTM45" s="2842"/>
      <c r="HTN45" s="2842"/>
      <c r="HTO45" s="2843"/>
      <c r="HTP45" s="2843"/>
      <c r="HTQ45" s="2844"/>
      <c r="HTR45" s="2845"/>
      <c r="HTS45" s="2842"/>
      <c r="HTT45" s="2842"/>
      <c r="HTU45" s="2843"/>
      <c r="HTV45" s="2843"/>
      <c r="HTW45" s="2844"/>
      <c r="HTX45" s="2845"/>
      <c r="HTY45" s="2842"/>
      <c r="HTZ45" s="2842"/>
      <c r="HUA45" s="2843"/>
      <c r="HUB45" s="2843"/>
      <c r="HUC45" s="2844"/>
      <c r="HUD45" s="2845"/>
      <c r="HUE45" s="2842"/>
      <c r="HUF45" s="2842"/>
      <c r="HUG45" s="2843"/>
      <c r="HUH45" s="2843"/>
      <c r="HUI45" s="2844"/>
      <c r="HUJ45" s="2845"/>
      <c r="HUK45" s="2842"/>
      <c r="HUL45" s="2842"/>
      <c r="HUM45" s="2843"/>
      <c r="HUN45" s="2843"/>
      <c r="HUO45" s="2844"/>
      <c r="HUP45" s="2845"/>
      <c r="HUQ45" s="2842"/>
      <c r="HUR45" s="2842"/>
      <c r="HUS45" s="2843"/>
      <c r="HUT45" s="2843"/>
      <c r="HUU45" s="2844"/>
      <c r="HUV45" s="2845"/>
      <c r="HUW45" s="2842"/>
      <c r="HUX45" s="2842"/>
      <c r="HUY45" s="2843"/>
      <c r="HUZ45" s="2843"/>
      <c r="HVA45" s="2844"/>
      <c r="HVB45" s="2845"/>
      <c r="HVC45" s="2842"/>
      <c r="HVD45" s="2842"/>
      <c r="HVE45" s="2843"/>
      <c r="HVF45" s="2843"/>
      <c r="HVG45" s="2844"/>
      <c r="HVH45" s="2845"/>
      <c r="HVI45" s="2842"/>
      <c r="HVJ45" s="2842"/>
      <c r="HVK45" s="2843"/>
      <c r="HVL45" s="2843"/>
      <c r="HVM45" s="2844"/>
      <c r="HVN45" s="2845"/>
      <c r="HVO45" s="2842"/>
      <c r="HVP45" s="2842"/>
      <c r="HVQ45" s="2843"/>
      <c r="HVR45" s="2843"/>
      <c r="HVS45" s="2844"/>
      <c r="HVT45" s="2845"/>
      <c r="HVU45" s="2842"/>
      <c r="HVV45" s="2842"/>
      <c r="HVW45" s="2843"/>
      <c r="HVX45" s="2843"/>
      <c r="HVY45" s="2844"/>
      <c r="HVZ45" s="2845"/>
      <c r="HWA45" s="2842"/>
      <c r="HWB45" s="2842"/>
      <c r="HWC45" s="2843"/>
      <c r="HWD45" s="2843"/>
      <c r="HWE45" s="2844"/>
      <c r="HWF45" s="2845"/>
      <c r="HWG45" s="2842"/>
      <c r="HWH45" s="2842"/>
      <c r="HWI45" s="2843"/>
      <c r="HWJ45" s="2843"/>
      <c r="HWK45" s="2844"/>
      <c r="HWL45" s="2845"/>
      <c r="HWM45" s="2842"/>
      <c r="HWN45" s="2842"/>
      <c r="HWO45" s="2843"/>
      <c r="HWP45" s="2843"/>
      <c r="HWQ45" s="2844"/>
      <c r="HWR45" s="2845"/>
      <c r="HWS45" s="2842"/>
      <c r="HWT45" s="2842"/>
      <c r="HWU45" s="2843"/>
      <c r="HWV45" s="2843"/>
      <c r="HWW45" s="2844"/>
      <c r="HWX45" s="2845"/>
      <c r="HWY45" s="2842"/>
      <c r="HWZ45" s="2842"/>
      <c r="HXA45" s="2843"/>
      <c r="HXB45" s="2843"/>
      <c r="HXC45" s="2844"/>
      <c r="HXD45" s="2845"/>
      <c r="HXE45" s="2842"/>
      <c r="HXF45" s="2842"/>
      <c r="HXG45" s="2843"/>
      <c r="HXH45" s="2843"/>
      <c r="HXI45" s="2844"/>
      <c r="HXJ45" s="2845"/>
      <c r="HXK45" s="2842"/>
      <c r="HXL45" s="2842"/>
      <c r="HXM45" s="2843"/>
      <c r="HXN45" s="2843"/>
      <c r="HXO45" s="2844"/>
      <c r="HXP45" s="2845"/>
      <c r="HXQ45" s="2842"/>
      <c r="HXR45" s="2842"/>
      <c r="HXS45" s="2843"/>
      <c r="HXT45" s="2843"/>
      <c r="HXU45" s="2844"/>
      <c r="HXV45" s="2845"/>
      <c r="HXW45" s="2842"/>
      <c r="HXX45" s="2842"/>
      <c r="HXY45" s="2843"/>
      <c r="HXZ45" s="2843"/>
      <c r="HYA45" s="2844"/>
      <c r="HYB45" s="2845"/>
      <c r="HYC45" s="2842"/>
      <c r="HYD45" s="2842"/>
      <c r="HYE45" s="2843"/>
      <c r="HYF45" s="2843"/>
      <c r="HYG45" s="2844"/>
      <c r="HYH45" s="2845"/>
      <c r="HYI45" s="2842"/>
      <c r="HYJ45" s="2842"/>
      <c r="HYK45" s="2843"/>
      <c r="HYL45" s="2843"/>
      <c r="HYM45" s="2844"/>
      <c r="HYN45" s="2845"/>
      <c r="HYO45" s="2842"/>
      <c r="HYP45" s="2842"/>
      <c r="HYQ45" s="2843"/>
      <c r="HYR45" s="2843"/>
      <c r="HYS45" s="2844"/>
      <c r="HYT45" s="2845"/>
      <c r="HYU45" s="2842"/>
      <c r="HYV45" s="2842"/>
      <c r="HYW45" s="2843"/>
      <c r="HYX45" s="2843"/>
      <c r="HYY45" s="2844"/>
      <c r="HYZ45" s="2845"/>
      <c r="HZA45" s="2842"/>
      <c r="HZB45" s="2842"/>
      <c r="HZC45" s="2843"/>
      <c r="HZD45" s="2843"/>
      <c r="HZE45" s="2844"/>
      <c r="HZF45" s="2845"/>
      <c r="HZG45" s="2842"/>
      <c r="HZH45" s="2842"/>
      <c r="HZI45" s="2843"/>
      <c r="HZJ45" s="2843"/>
      <c r="HZK45" s="2844"/>
      <c r="HZL45" s="2845"/>
      <c r="HZM45" s="2842"/>
      <c r="HZN45" s="2842"/>
      <c r="HZO45" s="2843"/>
      <c r="HZP45" s="2843"/>
      <c r="HZQ45" s="2844"/>
      <c r="HZR45" s="2845"/>
      <c r="HZS45" s="2842"/>
      <c r="HZT45" s="2842"/>
      <c r="HZU45" s="2843"/>
      <c r="HZV45" s="2843"/>
      <c r="HZW45" s="2844"/>
      <c r="HZX45" s="2845"/>
      <c r="HZY45" s="2842"/>
      <c r="HZZ45" s="2842"/>
      <c r="IAA45" s="2843"/>
      <c r="IAB45" s="2843"/>
      <c r="IAC45" s="2844"/>
      <c r="IAD45" s="2845"/>
      <c r="IAE45" s="2842"/>
      <c r="IAF45" s="2842"/>
      <c r="IAG45" s="2843"/>
      <c r="IAH45" s="2843"/>
      <c r="IAI45" s="2844"/>
      <c r="IAJ45" s="2845"/>
      <c r="IAK45" s="2842"/>
      <c r="IAL45" s="2842"/>
      <c r="IAM45" s="2843"/>
      <c r="IAN45" s="2843"/>
      <c r="IAO45" s="2844"/>
      <c r="IAP45" s="2845"/>
      <c r="IAQ45" s="2842"/>
      <c r="IAR45" s="2842"/>
      <c r="IAS45" s="2843"/>
      <c r="IAT45" s="2843"/>
      <c r="IAU45" s="2844"/>
      <c r="IAV45" s="2845"/>
      <c r="IAW45" s="2842"/>
      <c r="IAX45" s="2842"/>
      <c r="IAY45" s="2843"/>
      <c r="IAZ45" s="2843"/>
      <c r="IBA45" s="2844"/>
      <c r="IBB45" s="2845"/>
      <c r="IBC45" s="2842"/>
      <c r="IBD45" s="2842"/>
      <c r="IBE45" s="2843"/>
      <c r="IBF45" s="2843"/>
      <c r="IBG45" s="2844"/>
      <c r="IBH45" s="2845"/>
      <c r="IBI45" s="2842"/>
      <c r="IBJ45" s="2842"/>
      <c r="IBK45" s="2843"/>
      <c r="IBL45" s="2843"/>
      <c r="IBM45" s="2844"/>
      <c r="IBN45" s="2845"/>
      <c r="IBO45" s="2842"/>
      <c r="IBP45" s="2842"/>
      <c r="IBQ45" s="2843"/>
      <c r="IBR45" s="2843"/>
      <c r="IBS45" s="2844"/>
      <c r="IBT45" s="2845"/>
      <c r="IBU45" s="2842"/>
      <c r="IBV45" s="2842"/>
      <c r="IBW45" s="2843"/>
      <c r="IBX45" s="2843"/>
      <c r="IBY45" s="2844"/>
      <c r="IBZ45" s="2845"/>
      <c r="ICA45" s="2842"/>
      <c r="ICB45" s="2842"/>
      <c r="ICC45" s="2843"/>
      <c r="ICD45" s="2843"/>
      <c r="ICE45" s="2844"/>
      <c r="ICF45" s="2845"/>
      <c r="ICG45" s="2842"/>
      <c r="ICH45" s="2842"/>
      <c r="ICI45" s="2843"/>
      <c r="ICJ45" s="2843"/>
      <c r="ICK45" s="2844"/>
      <c r="ICL45" s="2845"/>
      <c r="ICM45" s="2842"/>
      <c r="ICN45" s="2842"/>
      <c r="ICO45" s="2843"/>
      <c r="ICP45" s="2843"/>
      <c r="ICQ45" s="2844"/>
      <c r="ICR45" s="2845"/>
      <c r="ICS45" s="2842"/>
      <c r="ICT45" s="2842"/>
      <c r="ICU45" s="2843"/>
      <c r="ICV45" s="2843"/>
      <c r="ICW45" s="2844"/>
      <c r="ICX45" s="2845"/>
      <c r="ICY45" s="2842"/>
      <c r="ICZ45" s="2842"/>
      <c r="IDA45" s="2843"/>
      <c r="IDB45" s="2843"/>
      <c r="IDC45" s="2844"/>
      <c r="IDD45" s="2845"/>
      <c r="IDE45" s="2842"/>
      <c r="IDF45" s="2842"/>
      <c r="IDG45" s="2843"/>
      <c r="IDH45" s="2843"/>
      <c r="IDI45" s="2844"/>
      <c r="IDJ45" s="2845"/>
      <c r="IDK45" s="2842"/>
      <c r="IDL45" s="2842"/>
      <c r="IDM45" s="2843"/>
      <c r="IDN45" s="2843"/>
      <c r="IDO45" s="2844"/>
      <c r="IDP45" s="2845"/>
      <c r="IDQ45" s="2842"/>
      <c r="IDR45" s="2842"/>
      <c r="IDS45" s="2843"/>
      <c r="IDT45" s="2843"/>
      <c r="IDU45" s="2844"/>
      <c r="IDV45" s="2845"/>
      <c r="IDW45" s="2842"/>
      <c r="IDX45" s="2842"/>
      <c r="IDY45" s="2843"/>
      <c r="IDZ45" s="2843"/>
      <c r="IEA45" s="2844"/>
      <c r="IEB45" s="2845"/>
      <c r="IEC45" s="2842"/>
      <c r="IED45" s="2842"/>
      <c r="IEE45" s="2843"/>
      <c r="IEF45" s="2843"/>
      <c r="IEG45" s="2844"/>
      <c r="IEH45" s="2845"/>
      <c r="IEI45" s="2842"/>
      <c r="IEJ45" s="2842"/>
      <c r="IEK45" s="2843"/>
      <c r="IEL45" s="2843"/>
      <c r="IEM45" s="2844"/>
      <c r="IEN45" s="2845"/>
      <c r="IEO45" s="2842"/>
      <c r="IEP45" s="2842"/>
      <c r="IEQ45" s="2843"/>
      <c r="IER45" s="2843"/>
      <c r="IES45" s="2844"/>
      <c r="IET45" s="2845"/>
      <c r="IEU45" s="2842"/>
      <c r="IEV45" s="2842"/>
      <c r="IEW45" s="2843"/>
      <c r="IEX45" s="2843"/>
      <c r="IEY45" s="2844"/>
      <c r="IEZ45" s="2845"/>
      <c r="IFA45" s="2842"/>
      <c r="IFB45" s="2842"/>
      <c r="IFC45" s="2843"/>
      <c r="IFD45" s="2843"/>
      <c r="IFE45" s="2844"/>
      <c r="IFF45" s="2845"/>
      <c r="IFG45" s="2842"/>
      <c r="IFH45" s="2842"/>
      <c r="IFI45" s="2843"/>
      <c r="IFJ45" s="2843"/>
      <c r="IFK45" s="2844"/>
      <c r="IFL45" s="2845"/>
      <c r="IFM45" s="2842"/>
      <c r="IFN45" s="2842"/>
      <c r="IFO45" s="2843"/>
      <c r="IFP45" s="2843"/>
      <c r="IFQ45" s="2844"/>
      <c r="IFR45" s="2845"/>
      <c r="IFS45" s="2842"/>
      <c r="IFT45" s="2842"/>
      <c r="IFU45" s="2843"/>
      <c r="IFV45" s="2843"/>
      <c r="IFW45" s="2844"/>
      <c r="IFX45" s="2845"/>
      <c r="IFY45" s="2842"/>
      <c r="IFZ45" s="2842"/>
      <c r="IGA45" s="2843"/>
      <c r="IGB45" s="2843"/>
      <c r="IGC45" s="2844"/>
      <c r="IGD45" s="2845"/>
      <c r="IGE45" s="2842"/>
      <c r="IGF45" s="2842"/>
      <c r="IGG45" s="2843"/>
      <c r="IGH45" s="2843"/>
      <c r="IGI45" s="2844"/>
      <c r="IGJ45" s="2845"/>
      <c r="IGK45" s="2842"/>
      <c r="IGL45" s="2842"/>
      <c r="IGM45" s="2843"/>
      <c r="IGN45" s="2843"/>
      <c r="IGO45" s="2844"/>
      <c r="IGP45" s="2845"/>
      <c r="IGQ45" s="2842"/>
      <c r="IGR45" s="2842"/>
      <c r="IGS45" s="2843"/>
      <c r="IGT45" s="2843"/>
      <c r="IGU45" s="2844"/>
      <c r="IGV45" s="2845"/>
      <c r="IGW45" s="2842"/>
      <c r="IGX45" s="2842"/>
      <c r="IGY45" s="2843"/>
      <c r="IGZ45" s="2843"/>
      <c r="IHA45" s="2844"/>
      <c r="IHB45" s="2845"/>
      <c r="IHC45" s="2842"/>
      <c r="IHD45" s="2842"/>
      <c r="IHE45" s="2843"/>
      <c r="IHF45" s="2843"/>
      <c r="IHG45" s="2844"/>
      <c r="IHH45" s="2845"/>
      <c r="IHI45" s="2842"/>
      <c r="IHJ45" s="2842"/>
      <c r="IHK45" s="2843"/>
      <c r="IHL45" s="2843"/>
      <c r="IHM45" s="2844"/>
      <c r="IHN45" s="2845"/>
      <c r="IHO45" s="2842"/>
      <c r="IHP45" s="2842"/>
      <c r="IHQ45" s="2843"/>
      <c r="IHR45" s="2843"/>
      <c r="IHS45" s="2844"/>
      <c r="IHT45" s="2845"/>
      <c r="IHU45" s="2842"/>
      <c r="IHV45" s="2842"/>
      <c r="IHW45" s="2843"/>
      <c r="IHX45" s="2843"/>
      <c r="IHY45" s="2844"/>
      <c r="IHZ45" s="2845"/>
      <c r="IIA45" s="2842"/>
      <c r="IIB45" s="2842"/>
      <c r="IIC45" s="2843"/>
      <c r="IID45" s="2843"/>
      <c r="IIE45" s="2844"/>
      <c r="IIF45" s="2845"/>
      <c r="IIG45" s="2842"/>
      <c r="IIH45" s="2842"/>
      <c r="III45" s="2843"/>
      <c r="IIJ45" s="2843"/>
      <c r="IIK45" s="2844"/>
      <c r="IIL45" s="2845"/>
      <c r="IIM45" s="2842"/>
      <c r="IIN45" s="2842"/>
      <c r="IIO45" s="2843"/>
      <c r="IIP45" s="2843"/>
      <c r="IIQ45" s="2844"/>
      <c r="IIR45" s="2845"/>
      <c r="IIS45" s="2842"/>
      <c r="IIT45" s="2842"/>
      <c r="IIU45" s="2843"/>
      <c r="IIV45" s="2843"/>
      <c r="IIW45" s="2844"/>
      <c r="IIX45" s="2845"/>
      <c r="IIY45" s="2842"/>
      <c r="IIZ45" s="2842"/>
      <c r="IJA45" s="2843"/>
      <c r="IJB45" s="2843"/>
      <c r="IJC45" s="2844"/>
      <c r="IJD45" s="2845"/>
      <c r="IJE45" s="2842"/>
      <c r="IJF45" s="2842"/>
      <c r="IJG45" s="2843"/>
      <c r="IJH45" s="2843"/>
      <c r="IJI45" s="2844"/>
      <c r="IJJ45" s="2845"/>
      <c r="IJK45" s="2842"/>
      <c r="IJL45" s="2842"/>
      <c r="IJM45" s="2843"/>
      <c r="IJN45" s="2843"/>
      <c r="IJO45" s="2844"/>
      <c r="IJP45" s="2845"/>
      <c r="IJQ45" s="2842"/>
      <c r="IJR45" s="2842"/>
      <c r="IJS45" s="2843"/>
      <c r="IJT45" s="2843"/>
      <c r="IJU45" s="2844"/>
      <c r="IJV45" s="2845"/>
      <c r="IJW45" s="2842"/>
      <c r="IJX45" s="2842"/>
      <c r="IJY45" s="2843"/>
      <c r="IJZ45" s="2843"/>
      <c r="IKA45" s="2844"/>
      <c r="IKB45" s="2845"/>
      <c r="IKC45" s="2842"/>
      <c r="IKD45" s="2842"/>
      <c r="IKE45" s="2843"/>
      <c r="IKF45" s="2843"/>
      <c r="IKG45" s="2844"/>
      <c r="IKH45" s="2845"/>
      <c r="IKI45" s="2842"/>
      <c r="IKJ45" s="2842"/>
      <c r="IKK45" s="2843"/>
      <c r="IKL45" s="2843"/>
      <c r="IKM45" s="2844"/>
      <c r="IKN45" s="2845"/>
      <c r="IKO45" s="2842"/>
      <c r="IKP45" s="2842"/>
      <c r="IKQ45" s="2843"/>
      <c r="IKR45" s="2843"/>
      <c r="IKS45" s="2844"/>
      <c r="IKT45" s="2845"/>
      <c r="IKU45" s="2842"/>
      <c r="IKV45" s="2842"/>
      <c r="IKW45" s="2843"/>
      <c r="IKX45" s="2843"/>
      <c r="IKY45" s="2844"/>
      <c r="IKZ45" s="2845"/>
      <c r="ILA45" s="2842"/>
      <c r="ILB45" s="2842"/>
      <c r="ILC45" s="2843"/>
      <c r="ILD45" s="2843"/>
      <c r="ILE45" s="2844"/>
      <c r="ILF45" s="2845"/>
      <c r="ILG45" s="2842"/>
      <c r="ILH45" s="2842"/>
      <c r="ILI45" s="2843"/>
      <c r="ILJ45" s="2843"/>
      <c r="ILK45" s="2844"/>
      <c r="ILL45" s="2845"/>
      <c r="ILM45" s="2842"/>
      <c r="ILN45" s="2842"/>
      <c r="ILO45" s="2843"/>
      <c r="ILP45" s="2843"/>
      <c r="ILQ45" s="2844"/>
      <c r="ILR45" s="2845"/>
      <c r="ILS45" s="2842"/>
      <c r="ILT45" s="2842"/>
      <c r="ILU45" s="2843"/>
      <c r="ILV45" s="2843"/>
      <c r="ILW45" s="2844"/>
      <c r="ILX45" s="2845"/>
      <c r="ILY45" s="2842"/>
      <c r="ILZ45" s="2842"/>
      <c r="IMA45" s="2843"/>
      <c r="IMB45" s="2843"/>
      <c r="IMC45" s="2844"/>
      <c r="IMD45" s="2845"/>
      <c r="IME45" s="2842"/>
      <c r="IMF45" s="2842"/>
      <c r="IMG45" s="2843"/>
      <c r="IMH45" s="2843"/>
      <c r="IMI45" s="2844"/>
      <c r="IMJ45" s="2845"/>
      <c r="IMK45" s="2842"/>
      <c r="IML45" s="2842"/>
      <c r="IMM45" s="2843"/>
      <c r="IMN45" s="2843"/>
      <c r="IMO45" s="2844"/>
      <c r="IMP45" s="2845"/>
      <c r="IMQ45" s="2842"/>
      <c r="IMR45" s="2842"/>
      <c r="IMS45" s="2843"/>
      <c r="IMT45" s="2843"/>
      <c r="IMU45" s="2844"/>
      <c r="IMV45" s="2845"/>
      <c r="IMW45" s="2842"/>
      <c r="IMX45" s="2842"/>
      <c r="IMY45" s="2843"/>
      <c r="IMZ45" s="2843"/>
      <c r="INA45" s="2844"/>
      <c r="INB45" s="2845"/>
      <c r="INC45" s="2842"/>
      <c r="IND45" s="2842"/>
      <c r="INE45" s="2843"/>
      <c r="INF45" s="2843"/>
      <c r="ING45" s="2844"/>
      <c r="INH45" s="2845"/>
      <c r="INI45" s="2842"/>
      <c r="INJ45" s="2842"/>
      <c r="INK45" s="2843"/>
      <c r="INL45" s="2843"/>
      <c r="INM45" s="2844"/>
      <c r="INN45" s="2845"/>
      <c r="INO45" s="2842"/>
      <c r="INP45" s="2842"/>
      <c r="INQ45" s="2843"/>
      <c r="INR45" s="2843"/>
      <c r="INS45" s="2844"/>
      <c r="INT45" s="2845"/>
      <c r="INU45" s="2842"/>
      <c r="INV45" s="2842"/>
      <c r="INW45" s="2843"/>
      <c r="INX45" s="2843"/>
      <c r="INY45" s="2844"/>
      <c r="INZ45" s="2845"/>
      <c r="IOA45" s="2842"/>
      <c r="IOB45" s="2842"/>
      <c r="IOC45" s="2843"/>
      <c r="IOD45" s="2843"/>
      <c r="IOE45" s="2844"/>
      <c r="IOF45" s="2845"/>
      <c r="IOG45" s="2842"/>
      <c r="IOH45" s="2842"/>
      <c r="IOI45" s="2843"/>
      <c r="IOJ45" s="2843"/>
      <c r="IOK45" s="2844"/>
      <c r="IOL45" s="2845"/>
      <c r="IOM45" s="2842"/>
      <c r="ION45" s="2842"/>
      <c r="IOO45" s="2843"/>
      <c r="IOP45" s="2843"/>
      <c r="IOQ45" s="2844"/>
      <c r="IOR45" s="2845"/>
      <c r="IOS45" s="2842"/>
      <c r="IOT45" s="2842"/>
      <c r="IOU45" s="2843"/>
      <c r="IOV45" s="2843"/>
      <c r="IOW45" s="2844"/>
      <c r="IOX45" s="2845"/>
      <c r="IOY45" s="2842"/>
      <c r="IOZ45" s="2842"/>
      <c r="IPA45" s="2843"/>
      <c r="IPB45" s="2843"/>
      <c r="IPC45" s="2844"/>
      <c r="IPD45" s="2845"/>
      <c r="IPE45" s="2842"/>
      <c r="IPF45" s="2842"/>
      <c r="IPG45" s="2843"/>
      <c r="IPH45" s="2843"/>
      <c r="IPI45" s="2844"/>
      <c r="IPJ45" s="2845"/>
      <c r="IPK45" s="2842"/>
      <c r="IPL45" s="2842"/>
      <c r="IPM45" s="2843"/>
      <c r="IPN45" s="2843"/>
      <c r="IPO45" s="2844"/>
      <c r="IPP45" s="2845"/>
      <c r="IPQ45" s="2842"/>
      <c r="IPR45" s="2842"/>
      <c r="IPS45" s="2843"/>
      <c r="IPT45" s="2843"/>
      <c r="IPU45" s="2844"/>
      <c r="IPV45" s="2845"/>
      <c r="IPW45" s="2842"/>
      <c r="IPX45" s="2842"/>
      <c r="IPY45" s="2843"/>
      <c r="IPZ45" s="2843"/>
      <c r="IQA45" s="2844"/>
      <c r="IQB45" s="2845"/>
      <c r="IQC45" s="2842"/>
      <c r="IQD45" s="2842"/>
      <c r="IQE45" s="2843"/>
      <c r="IQF45" s="2843"/>
      <c r="IQG45" s="2844"/>
      <c r="IQH45" s="2845"/>
      <c r="IQI45" s="2842"/>
      <c r="IQJ45" s="2842"/>
      <c r="IQK45" s="2843"/>
      <c r="IQL45" s="2843"/>
      <c r="IQM45" s="2844"/>
      <c r="IQN45" s="2845"/>
      <c r="IQO45" s="2842"/>
      <c r="IQP45" s="2842"/>
      <c r="IQQ45" s="2843"/>
      <c r="IQR45" s="2843"/>
      <c r="IQS45" s="2844"/>
      <c r="IQT45" s="2845"/>
      <c r="IQU45" s="2842"/>
      <c r="IQV45" s="2842"/>
      <c r="IQW45" s="2843"/>
      <c r="IQX45" s="2843"/>
      <c r="IQY45" s="2844"/>
      <c r="IQZ45" s="2845"/>
      <c r="IRA45" s="2842"/>
      <c r="IRB45" s="2842"/>
      <c r="IRC45" s="2843"/>
      <c r="IRD45" s="2843"/>
      <c r="IRE45" s="2844"/>
      <c r="IRF45" s="2845"/>
      <c r="IRG45" s="2842"/>
      <c r="IRH45" s="2842"/>
      <c r="IRI45" s="2843"/>
      <c r="IRJ45" s="2843"/>
      <c r="IRK45" s="2844"/>
      <c r="IRL45" s="2845"/>
      <c r="IRM45" s="2842"/>
      <c r="IRN45" s="2842"/>
      <c r="IRO45" s="2843"/>
      <c r="IRP45" s="2843"/>
      <c r="IRQ45" s="2844"/>
      <c r="IRR45" s="2845"/>
      <c r="IRS45" s="2842"/>
      <c r="IRT45" s="2842"/>
      <c r="IRU45" s="2843"/>
      <c r="IRV45" s="2843"/>
      <c r="IRW45" s="2844"/>
      <c r="IRX45" s="2845"/>
      <c r="IRY45" s="2842"/>
      <c r="IRZ45" s="2842"/>
      <c r="ISA45" s="2843"/>
      <c r="ISB45" s="2843"/>
      <c r="ISC45" s="2844"/>
      <c r="ISD45" s="2845"/>
      <c r="ISE45" s="2842"/>
      <c r="ISF45" s="2842"/>
      <c r="ISG45" s="2843"/>
      <c r="ISH45" s="2843"/>
      <c r="ISI45" s="2844"/>
      <c r="ISJ45" s="2845"/>
      <c r="ISK45" s="2842"/>
      <c r="ISL45" s="2842"/>
      <c r="ISM45" s="2843"/>
      <c r="ISN45" s="2843"/>
      <c r="ISO45" s="2844"/>
      <c r="ISP45" s="2845"/>
      <c r="ISQ45" s="2842"/>
      <c r="ISR45" s="2842"/>
      <c r="ISS45" s="2843"/>
      <c r="IST45" s="2843"/>
      <c r="ISU45" s="2844"/>
      <c r="ISV45" s="2845"/>
      <c r="ISW45" s="2842"/>
      <c r="ISX45" s="2842"/>
      <c r="ISY45" s="2843"/>
      <c r="ISZ45" s="2843"/>
      <c r="ITA45" s="2844"/>
      <c r="ITB45" s="2845"/>
      <c r="ITC45" s="2842"/>
      <c r="ITD45" s="2842"/>
      <c r="ITE45" s="2843"/>
      <c r="ITF45" s="2843"/>
      <c r="ITG45" s="2844"/>
      <c r="ITH45" s="2845"/>
      <c r="ITI45" s="2842"/>
      <c r="ITJ45" s="2842"/>
      <c r="ITK45" s="2843"/>
      <c r="ITL45" s="2843"/>
      <c r="ITM45" s="2844"/>
      <c r="ITN45" s="2845"/>
      <c r="ITO45" s="2842"/>
      <c r="ITP45" s="2842"/>
      <c r="ITQ45" s="2843"/>
      <c r="ITR45" s="2843"/>
      <c r="ITS45" s="2844"/>
      <c r="ITT45" s="2845"/>
      <c r="ITU45" s="2842"/>
      <c r="ITV45" s="2842"/>
      <c r="ITW45" s="2843"/>
      <c r="ITX45" s="2843"/>
      <c r="ITY45" s="2844"/>
      <c r="ITZ45" s="2845"/>
      <c r="IUA45" s="2842"/>
      <c r="IUB45" s="2842"/>
      <c r="IUC45" s="2843"/>
      <c r="IUD45" s="2843"/>
      <c r="IUE45" s="2844"/>
      <c r="IUF45" s="2845"/>
      <c r="IUG45" s="2842"/>
      <c r="IUH45" s="2842"/>
      <c r="IUI45" s="2843"/>
      <c r="IUJ45" s="2843"/>
      <c r="IUK45" s="2844"/>
      <c r="IUL45" s="2845"/>
      <c r="IUM45" s="2842"/>
      <c r="IUN45" s="2842"/>
      <c r="IUO45" s="2843"/>
      <c r="IUP45" s="2843"/>
      <c r="IUQ45" s="2844"/>
      <c r="IUR45" s="2845"/>
      <c r="IUS45" s="2842"/>
      <c r="IUT45" s="2842"/>
      <c r="IUU45" s="2843"/>
      <c r="IUV45" s="2843"/>
      <c r="IUW45" s="2844"/>
      <c r="IUX45" s="2845"/>
      <c r="IUY45" s="2842"/>
      <c r="IUZ45" s="2842"/>
      <c r="IVA45" s="2843"/>
      <c r="IVB45" s="2843"/>
      <c r="IVC45" s="2844"/>
      <c r="IVD45" s="2845"/>
      <c r="IVE45" s="2842"/>
      <c r="IVF45" s="2842"/>
      <c r="IVG45" s="2843"/>
      <c r="IVH45" s="2843"/>
      <c r="IVI45" s="2844"/>
      <c r="IVJ45" s="2845"/>
      <c r="IVK45" s="2842"/>
      <c r="IVL45" s="2842"/>
      <c r="IVM45" s="2843"/>
      <c r="IVN45" s="2843"/>
      <c r="IVO45" s="2844"/>
      <c r="IVP45" s="2845"/>
      <c r="IVQ45" s="2842"/>
      <c r="IVR45" s="2842"/>
      <c r="IVS45" s="2843"/>
      <c r="IVT45" s="2843"/>
      <c r="IVU45" s="2844"/>
      <c r="IVV45" s="2845"/>
      <c r="IVW45" s="2842"/>
      <c r="IVX45" s="2842"/>
      <c r="IVY45" s="2843"/>
      <c r="IVZ45" s="2843"/>
      <c r="IWA45" s="2844"/>
      <c r="IWB45" s="2845"/>
      <c r="IWC45" s="2842"/>
      <c r="IWD45" s="2842"/>
      <c r="IWE45" s="2843"/>
      <c r="IWF45" s="2843"/>
      <c r="IWG45" s="2844"/>
      <c r="IWH45" s="2845"/>
      <c r="IWI45" s="2842"/>
      <c r="IWJ45" s="2842"/>
      <c r="IWK45" s="2843"/>
      <c r="IWL45" s="2843"/>
      <c r="IWM45" s="2844"/>
      <c r="IWN45" s="2845"/>
      <c r="IWO45" s="2842"/>
      <c r="IWP45" s="2842"/>
      <c r="IWQ45" s="2843"/>
      <c r="IWR45" s="2843"/>
      <c r="IWS45" s="2844"/>
      <c r="IWT45" s="2845"/>
      <c r="IWU45" s="2842"/>
      <c r="IWV45" s="2842"/>
      <c r="IWW45" s="2843"/>
      <c r="IWX45" s="2843"/>
      <c r="IWY45" s="2844"/>
      <c r="IWZ45" s="2845"/>
      <c r="IXA45" s="2842"/>
      <c r="IXB45" s="2842"/>
      <c r="IXC45" s="2843"/>
      <c r="IXD45" s="2843"/>
      <c r="IXE45" s="2844"/>
      <c r="IXF45" s="2845"/>
      <c r="IXG45" s="2842"/>
      <c r="IXH45" s="2842"/>
      <c r="IXI45" s="2843"/>
      <c r="IXJ45" s="2843"/>
      <c r="IXK45" s="2844"/>
      <c r="IXL45" s="2845"/>
      <c r="IXM45" s="2842"/>
      <c r="IXN45" s="2842"/>
      <c r="IXO45" s="2843"/>
      <c r="IXP45" s="2843"/>
      <c r="IXQ45" s="2844"/>
      <c r="IXR45" s="2845"/>
      <c r="IXS45" s="2842"/>
      <c r="IXT45" s="2842"/>
      <c r="IXU45" s="2843"/>
      <c r="IXV45" s="2843"/>
      <c r="IXW45" s="2844"/>
      <c r="IXX45" s="2845"/>
      <c r="IXY45" s="2842"/>
      <c r="IXZ45" s="2842"/>
      <c r="IYA45" s="2843"/>
      <c r="IYB45" s="2843"/>
      <c r="IYC45" s="2844"/>
      <c r="IYD45" s="2845"/>
      <c r="IYE45" s="2842"/>
      <c r="IYF45" s="2842"/>
      <c r="IYG45" s="2843"/>
      <c r="IYH45" s="2843"/>
      <c r="IYI45" s="2844"/>
      <c r="IYJ45" s="2845"/>
      <c r="IYK45" s="2842"/>
      <c r="IYL45" s="2842"/>
      <c r="IYM45" s="2843"/>
      <c r="IYN45" s="2843"/>
      <c r="IYO45" s="2844"/>
      <c r="IYP45" s="2845"/>
      <c r="IYQ45" s="2842"/>
      <c r="IYR45" s="2842"/>
      <c r="IYS45" s="2843"/>
      <c r="IYT45" s="2843"/>
      <c r="IYU45" s="2844"/>
      <c r="IYV45" s="2845"/>
      <c r="IYW45" s="2842"/>
      <c r="IYX45" s="2842"/>
      <c r="IYY45" s="2843"/>
      <c r="IYZ45" s="2843"/>
      <c r="IZA45" s="2844"/>
      <c r="IZB45" s="2845"/>
      <c r="IZC45" s="2842"/>
      <c r="IZD45" s="2842"/>
      <c r="IZE45" s="2843"/>
      <c r="IZF45" s="2843"/>
      <c r="IZG45" s="2844"/>
      <c r="IZH45" s="2845"/>
      <c r="IZI45" s="2842"/>
      <c r="IZJ45" s="2842"/>
      <c r="IZK45" s="2843"/>
      <c r="IZL45" s="2843"/>
      <c r="IZM45" s="2844"/>
      <c r="IZN45" s="2845"/>
      <c r="IZO45" s="2842"/>
      <c r="IZP45" s="2842"/>
      <c r="IZQ45" s="2843"/>
      <c r="IZR45" s="2843"/>
      <c r="IZS45" s="2844"/>
      <c r="IZT45" s="2845"/>
      <c r="IZU45" s="2842"/>
      <c r="IZV45" s="2842"/>
      <c r="IZW45" s="2843"/>
      <c r="IZX45" s="2843"/>
      <c r="IZY45" s="2844"/>
      <c r="IZZ45" s="2845"/>
      <c r="JAA45" s="2842"/>
      <c r="JAB45" s="2842"/>
      <c r="JAC45" s="2843"/>
      <c r="JAD45" s="2843"/>
      <c r="JAE45" s="2844"/>
      <c r="JAF45" s="2845"/>
      <c r="JAG45" s="2842"/>
      <c r="JAH45" s="2842"/>
      <c r="JAI45" s="2843"/>
      <c r="JAJ45" s="2843"/>
      <c r="JAK45" s="2844"/>
      <c r="JAL45" s="2845"/>
      <c r="JAM45" s="2842"/>
      <c r="JAN45" s="2842"/>
      <c r="JAO45" s="2843"/>
      <c r="JAP45" s="2843"/>
      <c r="JAQ45" s="2844"/>
      <c r="JAR45" s="2845"/>
      <c r="JAS45" s="2842"/>
      <c r="JAT45" s="2842"/>
      <c r="JAU45" s="2843"/>
      <c r="JAV45" s="2843"/>
      <c r="JAW45" s="2844"/>
      <c r="JAX45" s="2845"/>
      <c r="JAY45" s="2842"/>
      <c r="JAZ45" s="2842"/>
      <c r="JBA45" s="2843"/>
      <c r="JBB45" s="2843"/>
      <c r="JBC45" s="2844"/>
      <c r="JBD45" s="2845"/>
      <c r="JBE45" s="2842"/>
      <c r="JBF45" s="2842"/>
      <c r="JBG45" s="2843"/>
      <c r="JBH45" s="2843"/>
      <c r="JBI45" s="2844"/>
      <c r="JBJ45" s="2845"/>
      <c r="JBK45" s="2842"/>
      <c r="JBL45" s="2842"/>
      <c r="JBM45" s="2843"/>
      <c r="JBN45" s="2843"/>
      <c r="JBO45" s="2844"/>
      <c r="JBP45" s="2845"/>
      <c r="JBQ45" s="2842"/>
      <c r="JBR45" s="2842"/>
      <c r="JBS45" s="2843"/>
      <c r="JBT45" s="2843"/>
      <c r="JBU45" s="2844"/>
      <c r="JBV45" s="2845"/>
      <c r="JBW45" s="2842"/>
      <c r="JBX45" s="2842"/>
      <c r="JBY45" s="2843"/>
      <c r="JBZ45" s="2843"/>
      <c r="JCA45" s="2844"/>
      <c r="JCB45" s="2845"/>
      <c r="JCC45" s="2842"/>
      <c r="JCD45" s="2842"/>
      <c r="JCE45" s="2843"/>
      <c r="JCF45" s="2843"/>
      <c r="JCG45" s="2844"/>
      <c r="JCH45" s="2845"/>
      <c r="JCI45" s="2842"/>
      <c r="JCJ45" s="2842"/>
      <c r="JCK45" s="2843"/>
      <c r="JCL45" s="2843"/>
      <c r="JCM45" s="2844"/>
      <c r="JCN45" s="2845"/>
      <c r="JCO45" s="2842"/>
      <c r="JCP45" s="2842"/>
      <c r="JCQ45" s="2843"/>
      <c r="JCR45" s="2843"/>
      <c r="JCS45" s="2844"/>
      <c r="JCT45" s="2845"/>
      <c r="JCU45" s="2842"/>
      <c r="JCV45" s="2842"/>
      <c r="JCW45" s="2843"/>
      <c r="JCX45" s="2843"/>
      <c r="JCY45" s="2844"/>
      <c r="JCZ45" s="2845"/>
      <c r="JDA45" s="2842"/>
      <c r="JDB45" s="2842"/>
      <c r="JDC45" s="2843"/>
      <c r="JDD45" s="2843"/>
      <c r="JDE45" s="2844"/>
      <c r="JDF45" s="2845"/>
      <c r="JDG45" s="2842"/>
      <c r="JDH45" s="2842"/>
      <c r="JDI45" s="2843"/>
      <c r="JDJ45" s="2843"/>
      <c r="JDK45" s="2844"/>
      <c r="JDL45" s="2845"/>
      <c r="JDM45" s="2842"/>
      <c r="JDN45" s="2842"/>
      <c r="JDO45" s="2843"/>
      <c r="JDP45" s="2843"/>
      <c r="JDQ45" s="2844"/>
      <c r="JDR45" s="2845"/>
      <c r="JDS45" s="2842"/>
      <c r="JDT45" s="2842"/>
      <c r="JDU45" s="2843"/>
      <c r="JDV45" s="2843"/>
      <c r="JDW45" s="2844"/>
      <c r="JDX45" s="2845"/>
      <c r="JDY45" s="2842"/>
      <c r="JDZ45" s="2842"/>
      <c r="JEA45" s="2843"/>
      <c r="JEB45" s="2843"/>
      <c r="JEC45" s="2844"/>
      <c r="JED45" s="2845"/>
      <c r="JEE45" s="2842"/>
      <c r="JEF45" s="2842"/>
      <c r="JEG45" s="2843"/>
      <c r="JEH45" s="2843"/>
      <c r="JEI45" s="2844"/>
      <c r="JEJ45" s="2845"/>
      <c r="JEK45" s="2842"/>
      <c r="JEL45" s="2842"/>
      <c r="JEM45" s="2843"/>
      <c r="JEN45" s="2843"/>
      <c r="JEO45" s="2844"/>
      <c r="JEP45" s="2845"/>
      <c r="JEQ45" s="2842"/>
      <c r="JER45" s="2842"/>
      <c r="JES45" s="2843"/>
      <c r="JET45" s="2843"/>
      <c r="JEU45" s="2844"/>
      <c r="JEV45" s="2845"/>
      <c r="JEW45" s="2842"/>
      <c r="JEX45" s="2842"/>
      <c r="JEY45" s="2843"/>
      <c r="JEZ45" s="2843"/>
      <c r="JFA45" s="2844"/>
      <c r="JFB45" s="2845"/>
      <c r="JFC45" s="2842"/>
      <c r="JFD45" s="2842"/>
      <c r="JFE45" s="2843"/>
      <c r="JFF45" s="2843"/>
      <c r="JFG45" s="2844"/>
      <c r="JFH45" s="2845"/>
      <c r="JFI45" s="2842"/>
      <c r="JFJ45" s="2842"/>
      <c r="JFK45" s="2843"/>
      <c r="JFL45" s="2843"/>
      <c r="JFM45" s="2844"/>
      <c r="JFN45" s="2845"/>
      <c r="JFO45" s="2842"/>
      <c r="JFP45" s="2842"/>
      <c r="JFQ45" s="2843"/>
      <c r="JFR45" s="2843"/>
      <c r="JFS45" s="2844"/>
      <c r="JFT45" s="2845"/>
      <c r="JFU45" s="2842"/>
      <c r="JFV45" s="2842"/>
      <c r="JFW45" s="2843"/>
      <c r="JFX45" s="2843"/>
      <c r="JFY45" s="2844"/>
      <c r="JFZ45" s="2845"/>
      <c r="JGA45" s="2842"/>
      <c r="JGB45" s="2842"/>
      <c r="JGC45" s="2843"/>
      <c r="JGD45" s="2843"/>
      <c r="JGE45" s="2844"/>
      <c r="JGF45" s="2845"/>
      <c r="JGG45" s="2842"/>
      <c r="JGH45" s="2842"/>
      <c r="JGI45" s="2843"/>
      <c r="JGJ45" s="2843"/>
      <c r="JGK45" s="2844"/>
      <c r="JGL45" s="2845"/>
      <c r="JGM45" s="2842"/>
      <c r="JGN45" s="2842"/>
      <c r="JGO45" s="2843"/>
      <c r="JGP45" s="2843"/>
      <c r="JGQ45" s="2844"/>
      <c r="JGR45" s="2845"/>
      <c r="JGS45" s="2842"/>
      <c r="JGT45" s="2842"/>
      <c r="JGU45" s="2843"/>
      <c r="JGV45" s="2843"/>
      <c r="JGW45" s="2844"/>
      <c r="JGX45" s="2845"/>
      <c r="JGY45" s="2842"/>
      <c r="JGZ45" s="2842"/>
      <c r="JHA45" s="2843"/>
      <c r="JHB45" s="2843"/>
      <c r="JHC45" s="2844"/>
      <c r="JHD45" s="2845"/>
      <c r="JHE45" s="2842"/>
      <c r="JHF45" s="2842"/>
      <c r="JHG45" s="2843"/>
      <c r="JHH45" s="2843"/>
      <c r="JHI45" s="2844"/>
      <c r="JHJ45" s="2845"/>
      <c r="JHK45" s="2842"/>
      <c r="JHL45" s="2842"/>
      <c r="JHM45" s="2843"/>
      <c r="JHN45" s="2843"/>
      <c r="JHO45" s="2844"/>
      <c r="JHP45" s="2845"/>
      <c r="JHQ45" s="2842"/>
      <c r="JHR45" s="2842"/>
      <c r="JHS45" s="2843"/>
      <c r="JHT45" s="2843"/>
      <c r="JHU45" s="2844"/>
      <c r="JHV45" s="2845"/>
      <c r="JHW45" s="2842"/>
      <c r="JHX45" s="2842"/>
      <c r="JHY45" s="2843"/>
      <c r="JHZ45" s="2843"/>
      <c r="JIA45" s="2844"/>
      <c r="JIB45" s="2845"/>
      <c r="JIC45" s="2842"/>
      <c r="JID45" s="2842"/>
      <c r="JIE45" s="2843"/>
      <c r="JIF45" s="2843"/>
      <c r="JIG45" s="2844"/>
      <c r="JIH45" s="2845"/>
      <c r="JII45" s="2842"/>
      <c r="JIJ45" s="2842"/>
      <c r="JIK45" s="2843"/>
      <c r="JIL45" s="2843"/>
      <c r="JIM45" s="2844"/>
      <c r="JIN45" s="2845"/>
      <c r="JIO45" s="2842"/>
      <c r="JIP45" s="2842"/>
      <c r="JIQ45" s="2843"/>
      <c r="JIR45" s="2843"/>
      <c r="JIS45" s="2844"/>
      <c r="JIT45" s="2845"/>
      <c r="JIU45" s="2842"/>
      <c r="JIV45" s="2842"/>
      <c r="JIW45" s="2843"/>
      <c r="JIX45" s="2843"/>
      <c r="JIY45" s="2844"/>
      <c r="JIZ45" s="2845"/>
      <c r="JJA45" s="2842"/>
      <c r="JJB45" s="2842"/>
      <c r="JJC45" s="2843"/>
      <c r="JJD45" s="2843"/>
      <c r="JJE45" s="2844"/>
      <c r="JJF45" s="2845"/>
      <c r="JJG45" s="2842"/>
      <c r="JJH45" s="2842"/>
      <c r="JJI45" s="2843"/>
      <c r="JJJ45" s="2843"/>
      <c r="JJK45" s="2844"/>
      <c r="JJL45" s="2845"/>
      <c r="JJM45" s="2842"/>
      <c r="JJN45" s="2842"/>
      <c r="JJO45" s="2843"/>
      <c r="JJP45" s="2843"/>
      <c r="JJQ45" s="2844"/>
      <c r="JJR45" s="2845"/>
      <c r="JJS45" s="2842"/>
      <c r="JJT45" s="2842"/>
      <c r="JJU45" s="2843"/>
      <c r="JJV45" s="2843"/>
      <c r="JJW45" s="2844"/>
      <c r="JJX45" s="2845"/>
      <c r="JJY45" s="2842"/>
      <c r="JJZ45" s="2842"/>
      <c r="JKA45" s="2843"/>
      <c r="JKB45" s="2843"/>
      <c r="JKC45" s="2844"/>
      <c r="JKD45" s="2845"/>
      <c r="JKE45" s="2842"/>
      <c r="JKF45" s="2842"/>
      <c r="JKG45" s="2843"/>
      <c r="JKH45" s="2843"/>
      <c r="JKI45" s="2844"/>
      <c r="JKJ45" s="2845"/>
      <c r="JKK45" s="2842"/>
      <c r="JKL45" s="2842"/>
      <c r="JKM45" s="2843"/>
      <c r="JKN45" s="2843"/>
      <c r="JKO45" s="2844"/>
      <c r="JKP45" s="2845"/>
      <c r="JKQ45" s="2842"/>
      <c r="JKR45" s="2842"/>
      <c r="JKS45" s="2843"/>
      <c r="JKT45" s="2843"/>
      <c r="JKU45" s="2844"/>
      <c r="JKV45" s="2845"/>
      <c r="JKW45" s="2842"/>
      <c r="JKX45" s="2842"/>
      <c r="JKY45" s="2843"/>
      <c r="JKZ45" s="2843"/>
      <c r="JLA45" s="2844"/>
      <c r="JLB45" s="2845"/>
      <c r="JLC45" s="2842"/>
      <c r="JLD45" s="2842"/>
      <c r="JLE45" s="2843"/>
      <c r="JLF45" s="2843"/>
      <c r="JLG45" s="2844"/>
      <c r="JLH45" s="2845"/>
      <c r="JLI45" s="2842"/>
      <c r="JLJ45" s="2842"/>
      <c r="JLK45" s="2843"/>
      <c r="JLL45" s="2843"/>
      <c r="JLM45" s="2844"/>
      <c r="JLN45" s="2845"/>
      <c r="JLO45" s="2842"/>
      <c r="JLP45" s="2842"/>
      <c r="JLQ45" s="2843"/>
      <c r="JLR45" s="2843"/>
      <c r="JLS45" s="2844"/>
      <c r="JLT45" s="2845"/>
      <c r="JLU45" s="2842"/>
      <c r="JLV45" s="2842"/>
      <c r="JLW45" s="2843"/>
      <c r="JLX45" s="2843"/>
      <c r="JLY45" s="2844"/>
      <c r="JLZ45" s="2845"/>
      <c r="JMA45" s="2842"/>
      <c r="JMB45" s="2842"/>
      <c r="JMC45" s="2843"/>
      <c r="JMD45" s="2843"/>
      <c r="JME45" s="2844"/>
      <c r="JMF45" s="2845"/>
      <c r="JMG45" s="2842"/>
      <c r="JMH45" s="2842"/>
      <c r="JMI45" s="2843"/>
      <c r="JMJ45" s="2843"/>
      <c r="JMK45" s="2844"/>
      <c r="JML45" s="2845"/>
      <c r="JMM45" s="2842"/>
      <c r="JMN45" s="2842"/>
      <c r="JMO45" s="2843"/>
      <c r="JMP45" s="2843"/>
      <c r="JMQ45" s="2844"/>
      <c r="JMR45" s="2845"/>
      <c r="JMS45" s="2842"/>
      <c r="JMT45" s="2842"/>
      <c r="JMU45" s="2843"/>
      <c r="JMV45" s="2843"/>
      <c r="JMW45" s="2844"/>
      <c r="JMX45" s="2845"/>
      <c r="JMY45" s="2842"/>
      <c r="JMZ45" s="2842"/>
      <c r="JNA45" s="2843"/>
      <c r="JNB45" s="2843"/>
      <c r="JNC45" s="2844"/>
      <c r="JND45" s="2845"/>
      <c r="JNE45" s="2842"/>
      <c r="JNF45" s="2842"/>
      <c r="JNG45" s="2843"/>
      <c r="JNH45" s="2843"/>
      <c r="JNI45" s="2844"/>
      <c r="JNJ45" s="2845"/>
      <c r="JNK45" s="2842"/>
      <c r="JNL45" s="2842"/>
      <c r="JNM45" s="2843"/>
      <c r="JNN45" s="2843"/>
      <c r="JNO45" s="2844"/>
      <c r="JNP45" s="2845"/>
      <c r="JNQ45" s="2842"/>
      <c r="JNR45" s="2842"/>
      <c r="JNS45" s="2843"/>
      <c r="JNT45" s="2843"/>
      <c r="JNU45" s="2844"/>
      <c r="JNV45" s="2845"/>
      <c r="JNW45" s="2842"/>
      <c r="JNX45" s="2842"/>
      <c r="JNY45" s="2843"/>
      <c r="JNZ45" s="2843"/>
      <c r="JOA45" s="2844"/>
      <c r="JOB45" s="2845"/>
      <c r="JOC45" s="2842"/>
      <c r="JOD45" s="2842"/>
      <c r="JOE45" s="2843"/>
      <c r="JOF45" s="2843"/>
      <c r="JOG45" s="2844"/>
      <c r="JOH45" s="2845"/>
      <c r="JOI45" s="2842"/>
      <c r="JOJ45" s="2842"/>
      <c r="JOK45" s="2843"/>
      <c r="JOL45" s="2843"/>
      <c r="JOM45" s="2844"/>
      <c r="JON45" s="2845"/>
      <c r="JOO45" s="2842"/>
      <c r="JOP45" s="2842"/>
      <c r="JOQ45" s="2843"/>
      <c r="JOR45" s="2843"/>
      <c r="JOS45" s="2844"/>
      <c r="JOT45" s="2845"/>
      <c r="JOU45" s="2842"/>
      <c r="JOV45" s="2842"/>
      <c r="JOW45" s="2843"/>
      <c r="JOX45" s="2843"/>
      <c r="JOY45" s="2844"/>
      <c r="JOZ45" s="2845"/>
      <c r="JPA45" s="2842"/>
      <c r="JPB45" s="2842"/>
      <c r="JPC45" s="2843"/>
      <c r="JPD45" s="2843"/>
      <c r="JPE45" s="2844"/>
      <c r="JPF45" s="2845"/>
      <c r="JPG45" s="2842"/>
      <c r="JPH45" s="2842"/>
      <c r="JPI45" s="2843"/>
      <c r="JPJ45" s="2843"/>
      <c r="JPK45" s="2844"/>
      <c r="JPL45" s="2845"/>
      <c r="JPM45" s="2842"/>
      <c r="JPN45" s="2842"/>
      <c r="JPO45" s="2843"/>
      <c r="JPP45" s="2843"/>
      <c r="JPQ45" s="2844"/>
      <c r="JPR45" s="2845"/>
      <c r="JPS45" s="2842"/>
      <c r="JPT45" s="2842"/>
      <c r="JPU45" s="2843"/>
      <c r="JPV45" s="2843"/>
      <c r="JPW45" s="2844"/>
      <c r="JPX45" s="2845"/>
      <c r="JPY45" s="2842"/>
      <c r="JPZ45" s="2842"/>
      <c r="JQA45" s="2843"/>
      <c r="JQB45" s="2843"/>
      <c r="JQC45" s="2844"/>
      <c r="JQD45" s="2845"/>
      <c r="JQE45" s="2842"/>
      <c r="JQF45" s="2842"/>
      <c r="JQG45" s="2843"/>
      <c r="JQH45" s="2843"/>
      <c r="JQI45" s="2844"/>
      <c r="JQJ45" s="2845"/>
      <c r="JQK45" s="2842"/>
      <c r="JQL45" s="2842"/>
      <c r="JQM45" s="2843"/>
      <c r="JQN45" s="2843"/>
      <c r="JQO45" s="2844"/>
      <c r="JQP45" s="2845"/>
      <c r="JQQ45" s="2842"/>
      <c r="JQR45" s="2842"/>
      <c r="JQS45" s="2843"/>
      <c r="JQT45" s="2843"/>
      <c r="JQU45" s="2844"/>
      <c r="JQV45" s="2845"/>
      <c r="JQW45" s="2842"/>
      <c r="JQX45" s="2842"/>
      <c r="JQY45" s="2843"/>
      <c r="JQZ45" s="2843"/>
      <c r="JRA45" s="2844"/>
      <c r="JRB45" s="2845"/>
      <c r="JRC45" s="2842"/>
      <c r="JRD45" s="2842"/>
      <c r="JRE45" s="2843"/>
      <c r="JRF45" s="2843"/>
      <c r="JRG45" s="2844"/>
      <c r="JRH45" s="2845"/>
      <c r="JRI45" s="2842"/>
      <c r="JRJ45" s="2842"/>
      <c r="JRK45" s="2843"/>
      <c r="JRL45" s="2843"/>
      <c r="JRM45" s="2844"/>
      <c r="JRN45" s="2845"/>
      <c r="JRO45" s="2842"/>
      <c r="JRP45" s="2842"/>
      <c r="JRQ45" s="2843"/>
      <c r="JRR45" s="2843"/>
      <c r="JRS45" s="2844"/>
      <c r="JRT45" s="2845"/>
      <c r="JRU45" s="2842"/>
      <c r="JRV45" s="2842"/>
      <c r="JRW45" s="2843"/>
      <c r="JRX45" s="2843"/>
      <c r="JRY45" s="2844"/>
      <c r="JRZ45" s="2845"/>
      <c r="JSA45" s="2842"/>
      <c r="JSB45" s="2842"/>
      <c r="JSC45" s="2843"/>
      <c r="JSD45" s="2843"/>
      <c r="JSE45" s="2844"/>
      <c r="JSF45" s="2845"/>
      <c r="JSG45" s="2842"/>
      <c r="JSH45" s="2842"/>
      <c r="JSI45" s="2843"/>
      <c r="JSJ45" s="2843"/>
      <c r="JSK45" s="2844"/>
      <c r="JSL45" s="2845"/>
      <c r="JSM45" s="2842"/>
      <c r="JSN45" s="2842"/>
      <c r="JSO45" s="2843"/>
      <c r="JSP45" s="2843"/>
      <c r="JSQ45" s="2844"/>
      <c r="JSR45" s="2845"/>
      <c r="JSS45" s="2842"/>
      <c r="JST45" s="2842"/>
      <c r="JSU45" s="2843"/>
      <c r="JSV45" s="2843"/>
      <c r="JSW45" s="2844"/>
      <c r="JSX45" s="2845"/>
      <c r="JSY45" s="2842"/>
      <c r="JSZ45" s="2842"/>
      <c r="JTA45" s="2843"/>
      <c r="JTB45" s="2843"/>
      <c r="JTC45" s="2844"/>
      <c r="JTD45" s="2845"/>
      <c r="JTE45" s="2842"/>
      <c r="JTF45" s="2842"/>
      <c r="JTG45" s="2843"/>
      <c r="JTH45" s="2843"/>
      <c r="JTI45" s="2844"/>
      <c r="JTJ45" s="2845"/>
      <c r="JTK45" s="2842"/>
      <c r="JTL45" s="2842"/>
      <c r="JTM45" s="2843"/>
      <c r="JTN45" s="2843"/>
      <c r="JTO45" s="2844"/>
      <c r="JTP45" s="2845"/>
      <c r="JTQ45" s="2842"/>
      <c r="JTR45" s="2842"/>
      <c r="JTS45" s="2843"/>
      <c r="JTT45" s="2843"/>
      <c r="JTU45" s="2844"/>
      <c r="JTV45" s="2845"/>
      <c r="JTW45" s="2842"/>
      <c r="JTX45" s="2842"/>
      <c r="JTY45" s="2843"/>
      <c r="JTZ45" s="2843"/>
      <c r="JUA45" s="2844"/>
      <c r="JUB45" s="2845"/>
      <c r="JUC45" s="2842"/>
      <c r="JUD45" s="2842"/>
      <c r="JUE45" s="2843"/>
      <c r="JUF45" s="2843"/>
      <c r="JUG45" s="2844"/>
      <c r="JUH45" s="2845"/>
      <c r="JUI45" s="2842"/>
      <c r="JUJ45" s="2842"/>
      <c r="JUK45" s="2843"/>
      <c r="JUL45" s="2843"/>
      <c r="JUM45" s="2844"/>
      <c r="JUN45" s="2845"/>
      <c r="JUO45" s="2842"/>
      <c r="JUP45" s="2842"/>
      <c r="JUQ45" s="2843"/>
      <c r="JUR45" s="2843"/>
      <c r="JUS45" s="2844"/>
      <c r="JUT45" s="2845"/>
      <c r="JUU45" s="2842"/>
      <c r="JUV45" s="2842"/>
      <c r="JUW45" s="2843"/>
      <c r="JUX45" s="2843"/>
      <c r="JUY45" s="2844"/>
      <c r="JUZ45" s="2845"/>
      <c r="JVA45" s="2842"/>
      <c r="JVB45" s="2842"/>
      <c r="JVC45" s="2843"/>
      <c r="JVD45" s="2843"/>
      <c r="JVE45" s="2844"/>
      <c r="JVF45" s="2845"/>
      <c r="JVG45" s="2842"/>
      <c r="JVH45" s="2842"/>
      <c r="JVI45" s="2843"/>
      <c r="JVJ45" s="2843"/>
      <c r="JVK45" s="2844"/>
      <c r="JVL45" s="2845"/>
      <c r="JVM45" s="2842"/>
      <c r="JVN45" s="2842"/>
      <c r="JVO45" s="2843"/>
      <c r="JVP45" s="2843"/>
      <c r="JVQ45" s="2844"/>
      <c r="JVR45" s="2845"/>
      <c r="JVS45" s="2842"/>
      <c r="JVT45" s="2842"/>
      <c r="JVU45" s="2843"/>
      <c r="JVV45" s="2843"/>
      <c r="JVW45" s="2844"/>
      <c r="JVX45" s="2845"/>
      <c r="JVY45" s="2842"/>
      <c r="JVZ45" s="2842"/>
      <c r="JWA45" s="2843"/>
      <c r="JWB45" s="2843"/>
      <c r="JWC45" s="2844"/>
      <c r="JWD45" s="2845"/>
      <c r="JWE45" s="2842"/>
      <c r="JWF45" s="2842"/>
      <c r="JWG45" s="2843"/>
      <c r="JWH45" s="2843"/>
      <c r="JWI45" s="2844"/>
      <c r="JWJ45" s="2845"/>
      <c r="JWK45" s="2842"/>
      <c r="JWL45" s="2842"/>
      <c r="JWM45" s="2843"/>
      <c r="JWN45" s="2843"/>
      <c r="JWO45" s="2844"/>
      <c r="JWP45" s="2845"/>
      <c r="JWQ45" s="2842"/>
      <c r="JWR45" s="2842"/>
      <c r="JWS45" s="2843"/>
      <c r="JWT45" s="2843"/>
      <c r="JWU45" s="2844"/>
      <c r="JWV45" s="2845"/>
      <c r="JWW45" s="2842"/>
      <c r="JWX45" s="2842"/>
      <c r="JWY45" s="2843"/>
      <c r="JWZ45" s="2843"/>
      <c r="JXA45" s="2844"/>
      <c r="JXB45" s="2845"/>
      <c r="JXC45" s="2842"/>
      <c r="JXD45" s="2842"/>
      <c r="JXE45" s="2843"/>
      <c r="JXF45" s="2843"/>
      <c r="JXG45" s="2844"/>
      <c r="JXH45" s="2845"/>
      <c r="JXI45" s="2842"/>
      <c r="JXJ45" s="2842"/>
      <c r="JXK45" s="2843"/>
      <c r="JXL45" s="2843"/>
      <c r="JXM45" s="2844"/>
      <c r="JXN45" s="2845"/>
      <c r="JXO45" s="2842"/>
      <c r="JXP45" s="2842"/>
      <c r="JXQ45" s="2843"/>
      <c r="JXR45" s="2843"/>
      <c r="JXS45" s="2844"/>
      <c r="JXT45" s="2845"/>
      <c r="JXU45" s="2842"/>
      <c r="JXV45" s="2842"/>
      <c r="JXW45" s="2843"/>
      <c r="JXX45" s="2843"/>
      <c r="JXY45" s="2844"/>
      <c r="JXZ45" s="2845"/>
      <c r="JYA45" s="2842"/>
      <c r="JYB45" s="2842"/>
      <c r="JYC45" s="2843"/>
      <c r="JYD45" s="2843"/>
      <c r="JYE45" s="2844"/>
      <c r="JYF45" s="2845"/>
      <c r="JYG45" s="2842"/>
      <c r="JYH45" s="2842"/>
      <c r="JYI45" s="2843"/>
      <c r="JYJ45" s="2843"/>
      <c r="JYK45" s="2844"/>
      <c r="JYL45" s="2845"/>
      <c r="JYM45" s="2842"/>
      <c r="JYN45" s="2842"/>
      <c r="JYO45" s="2843"/>
      <c r="JYP45" s="2843"/>
      <c r="JYQ45" s="2844"/>
      <c r="JYR45" s="2845"/>
      <c r="JYS45" s="2842"/>
      <c r="JYT45" s="2842"/>
      <c r="JYU45" s="2843"/>
      <c r="JYV45" s="2843"/>
      <c r="JYW45" s="2844"/>
      <c r="JYX45" s="2845"/>
      <c r="JYY45" s="2842"/>
      <c r="JYZ45" s="2842"/>
      <c r="JZA45" s="2843"/>
      <c r="JZB45" s="2843"/>
      <c r="JZC45" s="2844"/>
      <c r="JZD45" s="2845"/>
      <c r="JZE45" s="2842"/>
      <c r="JZF45" s="2842"/>
      <c r="JZG45" s="2843"/>
      <c r="JZH45" s="2843"/>
      <c r="JZI45" s="2844"/>
      <c r="JZJ45" s="2845"/>
      <c r="JZK45" s="2842"/>
      <c r="JZL45" s="2842"/>
      <c r="JZM45" s="2843"/>
      <c r="JZN45" s="2843"/>
      <c r="JZO45" s="2844"/>
      <c r="JZP45" s="2845"/>
      <c r="JZQ45" s="2842"/>
      <c r="JZR45" s="2842"/>
      <c r="JZS45" s="2843"/>
      <c r="JZT45" s="2843"/>
      <c r="JZU45" s="2844"/>
      <c r="JZV45" s="2845"/>
      <c r="JZW45" s="2842"/>
      <c r="JZX45" s="2842"/>
      <c r="JZY45" s="2843"/>
      <c r="JZZ45" s="2843"/>
      <c r="KAA45" s="2844"/>
      <c r="KAB45" s="2845"/>
      <c r="KAC45" s="2842"/>
      <c r="KAD45" s="2842"/>
      <c r="KAE45" s="2843"/>
      <c r="KAF45" s="2843"/>
      <c r="KAG45" s="2844"/>
      <c r="KAH45" s="2845"/>
      <c r="KAI45" s="2842"/>
      <c r="KAJ45" s="2842"/>
      <c r="KAK45" s="2843"/>
      <c r="KAL45" s="2843"/>
      <c r="KAM45" s="2844"/>
      <c r="KAN45" s="2845"/>
      <c r="KAO45" s="2842"/>
      <c r="KAP45" s="2842"/>
      <c r="KAQ45" s="2843"/>
      <c r="KAR45" s="2843"/>
      <c r="KAS45" s="2844"/>
      <c r="KAT45" s="2845"/>
      <c r="KAU45" s="2842"/>
      <c r="KAV45" s="2842"/>
      <c r="KAW45" s="2843"/>
      <c r="KAX45" s="2843"/>
      <c r="KAY45" s="2844"/>
      <c r="KAZ45" s="2845"/>
      <c r="KBA45" s="2842"/>
      <c r="KBB45" s="2842"/>
      <c r="KBC45" s="2843"/>
      <c r="KBD45" s="2843"/>
      <c r="KBE45" s="2844"/>
      <c r="KBF45" s="2845"/>
      <c r="KBG45" s="2842"/>
      <c r="KBH45" s="2842"/>
      <c r="KBI45" s="2843"/>
      <c r="KBJ45" s="2843"/>
      <c r="KBK45" s="2844"/>
      <c r="KBL45" s="2845"/>
      <c r="KBM45" s="2842"/>
      <c r="KBN45" s="2842"/>
      <c r="KBO45" s="2843"/>
      <c r="KBP45" s="2843"/>
      <c r="KBQ45" s="2844"/>
      <c r="KBR45" s="2845"/>
      <c r="KBS45" s="2842"/>
      <c r="KBT45" s="2842"/>
      <c r="KBU45" s="2843"/>
      <c r="KBV45" s="2843"/>
      <c r="KBW45" s="2844"/>
      <c r="KBX45" s="2845"/>
      <c r="KBY45" s="2842"/>
      <c r="KBZ45" s="2842"/>
      <c r="KCA45" s="2843"/>
      <c r="KCB45" s="2843"/>
      <c r="KCC45" s="2844"/>
      <c r="KCD45" s="2845"/>
      <c r="KCE45" s="2842"/>
      <c r="KCF45" s="2842"/>
      <c r="KCG45" s="2843"/>
      <c r="KCH45" s="2843"/>
      <c r="KCI45" s="2844"/>
      <c r="KCJ45" s="2845"/>
      <c r="KCK45" s="2842"/>
      <c r="KCL45" s="2842"/>
      <c r="KCM45" s="2843"/>
      <c r="KCN45" s="2843"/>
      <c r="KCO45" s="2844"/>
      <c r="KCP45" s="2845"/>
      <c r="KCQ45" s="2842"/>
      <c r="KCR45" s="2842"/>
      <c r="KCS45" s="2843"/>
      <c r="KCT45" s="2843"/>
      <c r="KCU45" s="2844"/>
      <c r="KCV45" s="2845"/>
      <c r="KCW45" s="2842"/>
      <c r="KCX45" s="2842"/>
      <c r="KCY45" s="2843"/>
      <c r="KCZ45" s="2843"/>
      <c r="KDA45" s="2844"/>
      <c r="KDB45" s="2845"/>
      <c r="KDC45" s="2842"/>
      <c r="KDD45" s="2842"/>
      <c r="KDE45" s="2843"/>
      <c r="KDF45" s="2843"/>
      <c r="KDG45" s="2844"/>
      <c r="KDH45" s="2845"/>
      <c r="KDI45" s="2842"/>
      <c r="KDJ45" s="2842"/>
      <c r="KDK45" s="2843"/>
      <c r="KDL45" s="2843"/>
      <c r="KDM45" s="2844"/>
      <c r="KDN45" s="2845"/>
      <c r="KDO45" s="2842"/>
      <c r="KDP45" s="2842"/>
      <c r="KDQ45" s="2843"/>
      <c r="KDR45" s="2843"/>
      <c r="KDS45" s="2844"/>
      <c r="KDT45" s="2845"/>
      <c r="KDU45" s="2842"/>
      <c r="KDV45" s="2842"/>
      <c r="KDW45" s="2843"/>
      <c r="KDX45" s="2843"/>
      <c r="KDY45" s="2844"/>
      <c r="KDZ45" s="2845"/>
      <c r="KEA45" s="2842"/>
      <c r="KEB45" s="2842"/>
      <c r="KEC45" s="2843"/>
      <c r="KED45" s="2843"/>
      <c r="KEE45" s="2844"/>
      <c r="KEF45" s="2845"/>
      <c r="KEG45" s="2842"/>
      <c r="KEH45" s="2842"/>
      <c r="KEI45" s="2843"/>
      <c r="KEJ45" s="2843"/>
      <c r="KEK45" s="2844"/>
      <c r="KEL45" s="2845"/>
      <c r="KEM45" s="2842"/>
      <c r="KEN45" s="2842"/>
      <c r="KEO45" s="2843"/>
      <c r="KEP45" s="2843"/>
      <c r="KEQ45" s="2844"/>
      <c r="KER45" s="2845"/>
      <c r="KES45" s="2842"/>
      <c r="KET45" s="2842"/>
      <c r="KEU45" s="2843"/>
      <c r="KEV45" s="2843"/>
      <c r="KEW45" s="2844"/>
      <c r="KEX45" s="2845"/>
      <c r="KEY45" s="2842"/>
      <c r="KEZ45" s="2842"/>
      <c r="KFA45" s="2843"/>
      <c r="KFB45" s="2843"/>
      <c r="KFC45" s="2844"/>
      <c r="KFD45" s="2845"/>
      <c r="KFE45" s="2842"/>
      <c r="KFF45" s="2842"/>
      <c r="KFG45" s="2843"/>
      <c r="KFH45" s="2843"/>
      <c r="KFI45" s="2844"/>
      <c r="KFJ45" s="2845"/>
      <c r="KFK45" s="2842"/>
      <c r="KFL45" s="2842"/>
      <c r="KFM45" s="2843"/>
      <c r="KFN45" s="2843"/>
      <c r="KFO45" s="2844"/>
      <c r="KFP45" s="2845"/>
      <c r="KFQ45" s="2842"/>
      <c r="KFR45" s="2842"/>
      <c r="KFS45" s="2843"/>
      <c r="KFT45" s="2843"/>
      <c r="KFU45" s="2844"/>
      <c r="KFV45" s="2845"/>
      <c r="KFW45" s="2842"/>
      <c r="KFX45" s="2842"/>
      <c r="KFY45" s="2843"/>
      <c r="KFZ45" s="2843"/>
      <c r="KGA45" s="2844"/>
      <c r="KGB45" s="2845"/>
      <c r="KGC45" s="2842"/>
      <c r="KGD45" s="2842"/>
      <c r="KGE45" s="2843"/>
      <c r="KGF45" s="2843"/>
      <c r="KGG45" s="2844"/>
      <c r="KGH45" s="2845"/>
      <c r="KGI45" s="2842"/>
      <c r="KGJ45" s="2842"/>
      <c r="KGK45" s="2843"/>
      <c r="KGL45" s="2843"/>
      <c r="KGM45" s="2844"/>
      <c r="KGN45" s="2845"/>
      <c r="KGO45" s="2842"/>
      <c r="KGP45" s="2842"/>
      <c r="KGQ45" s="2843"/>
      <c r="KGR45" s="2843"/>
      <c r="KGS45" s="2844"/>
      <c r="KGT45" s="2845"/>
      <c r="KGU45" s="2842"/>
      <c r="KGV45" s="2842"/>
      <c r="KGW45" s="2843"/>
      <c r="KGX45" s="2843"/>
      <c r="KGY45" s="2844"/>
      <c r="KGZ45" s="2845"/>
      <c r="KHA45" s="2842"/>
      <c r="KHB45" s="2842"/>
      <c r="KHC45" s="2843"/>
      <c r="KHD45" s="2843"/>
      <c r="KHE45" s="2844"/>
      <c r="KHF45" s="2845"/>
      <c r="KHG45" s="2842"/>
      <c r="KHH45" s="2842"/>
      <c r="KHI45" s="2843"/>
      <c r="KHJ45" s="2843"/>
      <c r="KHK45" s="2844"/>
      <c r="KHL45" s="2845"/>
      <c r="KHM45" s="2842"/>
      <c r="KHN45" s="2842"/>
      <c r="KHO45" s="2843"/>
      <c r="KHP45" s="2843"/>
      <c r="KHQ45" s="2844"/>
      <c r="KHR45" s="2845"/>
      <c r="KHS45" s="2842"/>
      <c r="KHT45" s="2842"/>
      <c r="KHU45" s="2843"/>
      <c r="KHV45" s="2843"/>
      <c r="KHW45" s="2844"/>
      <c r="KHX45" s="2845"/>
      <c r="KHY45" s="2842"/>
      <c r="KHZ45" s="2842"/>
      <c r="KIA45" s="2843"/>
      <c r="KIB45" s="2843"/>
      <c r="KIC45" s="2844"/>
      <c r="KID45" s="2845"/>
      <c r="KIE45" s="2842"/>
      <c r="KIF45" s="2842"/>
      <c r="KIG45" s="2843"/>
      <c r="KIH45" s="2843"/>
      <c r="KII45" s="2844"/>
      <c r="KIJ45" s="2845"/>
      <c r="KIK45" s="2842"/>
      <c r="KIL45" s="2842"/>
      <c r="KIM45" s="2843"/>
      <c r="KIN45" s="2843"/>
      <c r="KIO45" s="2844"/>
      <c r="KIP45" s="2845"/>
      <c r="KIQ45" s="2842"/>
      <c r="KIR45" s="2842"/>
      <c r="KIS45" s="2843"/>
      <c r="KIT45" s="2843"/>
      <c r="KIU45" s="2844"/>
      <c r="KIV45" s="2845"/>
      <c r="KIW45" s="2842"/>
      <c r="KIX45" s="2842"/>
      <c r="KIY45" s="2843"/>
      <c r="KIZ45" s="2843"/>
      <c r="KJA45" s="2844"/>
      <c r="KJB45" s="2845"/>
      <c r="KJC45" s="2842"/>
      <c r="KJD45" s="2842"/>
      <c r="KJE45" s="2843"/>
      <c r="KJF45" s="2843"/>
      <c r="KJG45" s="2844"/>
      <c r="KJH45" s="2845"/>
      <c r="KJI45" s="2842"/>
      <c r="KJJ45" s="2842"/>
      <c r="KJK45" s="2843"/>
      <c r="KJL45" s="2843"/>
      <c r="KJM45" s="2844"/>
      <c r="KJN45" s="2845"/>
      <c r="KJO45" s="2842"/>
      <c r="KJP45" s="2842"/>
      <c r="KJQ45" s="2843"/>
      <c r="KJR45" s="2843"/>
      <c r="KJS45" s="2844"/>
      <c r="KJT45" s="2845"/>
      <c r="KJU45" s="2842"/>
      <c r="KJV45" s="2842"/>
      <c r="KJW45" s="2843"/>
      <c r="KJX45" s="2843"/>
      <c r="KJY45" s="2844"/>
      <c r="KJZ45" s="2845"/>
      <c r="KKA45" s="2842"/>
      <c r="KKB45" s="2842"/>
      <c r="KKC45" s="2843"/>
      <c r="KKD45" s="2843"/>
      <c r="KKE45" s="2844"/>
      <c r="KKF45" s="2845"/>
      <c r="KKG45" s="2842"/>
      <c r="KKH45" s="2842"/>
      <c r="KKI45" s="2843"/>
      <c r="KKJ45" s="2843"/>
      <c r="KKK45" s="2844"/>
      <c r="KKL45" s="2845"/>
      <c r="KKM45" s="2842"/>
      <c r="KKN45" s="2842"/>
      <c r="KKO45" s="2843"/>
      <c r="KKP45" s="2843"/>
      <c r="KKQ45" s="2844"/>
      <c r="KKR45" s="2845"/>
      <c r="KKS45" s="2842"/>
      <c r="KKT45" s="2842"/>
      <c r="KKU45" s="2843"/>
      <c r="KKV45" s="2843"/>
      <c r="KKW45" s="2844"/>
      <c r="KKX45" s="2845"/>
      <c r="KKY45" s="2842"/>
      <c r="KKZ45" s="2842"/>
      <c r="KLA45" s="2843"/>
      <c r="KLB45" s="2843"/>
      <c r="KLC45" s="2844"/>
      <c r="KLD45" s="2845"/>
      <c r="KLE45" s="2842"/>
      <c r="KLF45" s="2842"/>
      <c r="KLG45" s="2843"/>
      <c r="KLH45" s="2843"/>
      <c r="KLI45" s="2844"/>
      <c r="KLJ45" s="2845"/>
      <c r="KLK45" s="2842"/>
      <c r="KLL45" s="2842"/>
      <c r="KLM45" s="2843"/>
      <c r="KLN45" s="2843"/>
      <c r="KLO45" s="2844"/>
      <c r="KLP45" s="2845"/>
      <c r="KLQ45" s="2842"/>
      <c r="KLR45" s="2842"/>
      <c r="KLS45" s="2843"/>
      <c r="KLT45" s="2843"/>
      <c r="KLU45" s="2844"/>
      <c r="KLV45" s="2845"/>
      <c r="KLW45" s="2842"/>
      <c r="KLX45" s="2842"/>
      <c r="KLY45" s="2843"/>
      <c r="KLZ45" s="2843"/>
      <c r="KMA45" s="2844"/>
      <c r="KMB45" s="2845"/>
      <c r="KMC45" s="2842"/>
      <c r="KMD45" s="2842"/>
      <c r="KME45" s="2843"/>
      <c r="KMF45" s="2843"/>
      <c r="KMG45" s="2844"/>
      <c r="KMH45" s="2845"/>
      <c r="KMI45" s="2842"/>
      <c r="KMJ45" s="2842"/>
      <c r="KMK45" s="2843"/>
      <c r="KML45" s="2843"/>
      <c r="KMM45" s="2844"/>
      <c r="KMN45" s="2845"/>
      <c r="KMO45" s="2842"/>
      <c r="KMP45" s="2842"/>
      <c r="KMQ45" s="2843"/>
      <c r="KMR45" s="2843"/>
      <c r="KMS45" s="2844"/>
      <c r="KMT45" s="2845"/>
      <c r="KMU45" s="2842"/>
      <c r="KMV45" s="2842"/>
      <c r="KMW45" s="2843"/>
      <c r="KMX45" s="2843"/>
      <c r="KMY45" s="2844"/>
      <c r="KMZ45" s="2845"/>
      <c r="KNA45" s="2842"/>
      <c r="KNB45" s="2842"/>
      <c r="KNC45" s="2843"/>
      <c r="KND45" s="2843"/>
      <c r="KNE45" s="2844"/>
      <c r="KNF45" s="2845"/>
      <c r="KNG45" s="2842"/>
      <c r="KNH45" s="2842"/>
      <c r="KNI45" s="2843"/>
      <c r="KNJ45" s="2843"/>
      <c r="KNK45" s="2844"/>
      <c r="KNL45" s="2845"/>
      <c r="KNM45" s="2842"/>
      <c r="KNN45" s="2842"/>
      <c r="KNO45" s="2843"/>
      <c r="KNP45" s="2843"/>
      <c r="KNQ45" s="2844"/>
      <c r="KNR45" s="2845"/>
      <c r="KNS45" s="2842"/>
      <c r="KNT45" s="2842"/>
      <c r="KNU45" s="2843"/>
      <c r="KNV45" s="2843"/>
      <c r="KNW45" s="2844"/>
      <c r="KNX45" s="2845"/>
      <c r="KNY45" s="2842"/>
      <c r="KNZ45" s="2842"/>
      <c r="KOA45" s="2843"/>
      <c r="KOB45" s="2843"/>
      <c r="KOC45" s="2844"/>
      <c r="KOD45" s="2845"/>
      <c r="KOE45" s="2842"/>
      <c r="KOF45" s="2842"/>
      <c r="KOG45" s="2843"/>
      <c r="KOH45" s="2843"/>
      <c r="KOI45" s="2844"/>
      <c r="KOJ45" s="2845"/>
      <c r="KOK45" s="2842"/>
      <c r="KOL45" s="2842"/>
      <c r="KOM45" s="2843"/>
      <c r="KON45" s="2843"/>
      <c r="KOO45" s="2844"/>
      <c r="KOP45" s="2845"/>
      <c r="KOQ45" s="2842"/>
      <c r="KOR45" s="2842"/>
      <c r="KOS45" s="2843"/>
      <c r="KOT45" s="2843"/>
      <c r="KOU45" s="2844"/>
      <c r="KOV45" s="2845"/>
      <c r="KOW45" s="2842"/>
      <c r="KOX45" s="2842"/>
      <c r="KOY45" s="2843"/>
      <c r="KOZ45" s="2843"/>
      <c r="KPA45" s="2844"/>
      <c r="KPB45" s="2845"/>
      <c r="KPC45" s="2842"/>
      <c r="KPD45" s="2842"/>
      <c r="KPE45" s="2843"/>
      <c r="KPF45" s="2843"/>
      <c r="KPG45" s="2844"/>
      <c r="KPH45" s="2845"/>
      <c r="KPI45" s="2842"/>
      <c r="KPJ45" s="2842"/>
      <c r="KPK45" s="2843"/>
      <c r="KPL45" s="2843"/>
      <c r="KPM45" s="2844"/>
      <c r="KPN45" s="2845"/>
      <c r="KPO45" s="2842"/>
      <c r="KPP45" s="2842"/>
      <c r="KPQ45" s="2843"/>
      <c r="KPR45" s="2843"/>
      <c r="KPS45" s="2844"/>
      <c r="KPT45" s="2845"/>
      <c r="KPU45" s="2842"/>
      <c r="KPV45" s="2842"/>
      <c r="KPW45" s="2843"/>
      <c r="KPX45" s="2843"/>
      <c r="KPY45" s="2844"/>
      <c r="KPZ45" s="2845"/>
      <c r="KQA45" s="2842"/>
      <c r="KQB45" s="2842"/>
      <c r="KQC45" s="2843"/>
      <c r="KQD45" s="2843"/>
      <c r="KQE45" s="2844"/>
      <c r="KQF45" s="2845"/>
      <c r="KQG45" s="2842"/>
      <c r="KQH45" s="2842"/>
      <c r="KQI45" s="2843"/>
      <c r="KQJ45" s="2843"/>
      <c r="KQK45" s="2844"/>
      <c r="KQL45" s="2845"/>
      <c r="KQM45" s="2842"/>
      <c r="KQN45" s="2842"/>
      <c r="KQO45" s="2843"/>
      <c r="KQP45" s="2843"/>
      <c r="KQQ45" s="2844"/>
      <c r="KQR45" s="2845"/>
      <c r="KQS45" s="2842"/>
      <c r="KQT45" s="2842"/>
      <c r="KQU45" s="2843"/>
      <c r="KQV45" s="2843"/>
      <c r="KQW45" s="2844"/>
      <c r="KQX45" s="2845"/>
      <c r="KQY45" s="2842"/>
      <c r="KQZ45" s="2842"/>
      <c r="KRA45" s="2843"/>
      <c r="KRB45" s="2843"/>
      <c r="KRC45" s="2844"/>
      <c r="KRD45" s="2845"/>
      <c r="KRE45" s="2842"/>
      <c r="KRF45" s="2842"/>
      <c r="KRG45" s="2843"/>
      <c r="KRH45" s="2843"/>
      <c r="KRI45" s="2844"/>
      <c r="KRJ45" s="2845"/>
      <c r="KRK45" s="2842"/>
      <c r="KRL45" s="2842"/>
      <c r="KRM45" s="2843"/>
      <c r="KRN45" s="2843"/>
      <c r="KRO45" s="2844"/>
      <c r="KRP45" s="2845"/>
      <c r="KRQ45" s="2842"/>
      <c r="KRR45" s="2842"/>
      <c r="KRS45" s="2843"/>
      <c r="KRT45" s="2843"/>
      <c r="KRU45" s="2844"/>
      <c r="KRV45" s="2845"/>
      <c r="KRW45" s="2842"/>
      <c r="KRX45" s="2842"/>
      <c r="KRY45" s="2843"/>
      <c r="KRZ45" s="2843"/>
      <c r="KSA45" s="2844"/>
      <c r="KSB45" s="2845"/>
      <c r="KSC45" s="2842"/>
      <c r="KSD45" s="2842"/>
      <c r="KSE45" s="2843"/>
      <c r="KSF45" s="2843"/>
      <c r="KSG45" s="2844"/>
      <c r="KSH45" s="2845"/>
      <c r="KSI45" s="2842"/>
      <c r="KSJ45" s="2842"/>
      <c r="KSK45" s="2843"/>
      <c r="KSL45" s="2843"/>
      <c r="KSM45" s="2844"/>
      <c r="KSN45" s="2845"/>
      <c r="KSO45" s="2842"/>
      <c r="KSP45" s="2842"/>
      <c r="KSQ45" s="2843"/>
      <c r="KSR45" s="2843"/>
      <c r="KSS45" s="2844"/>
      <c r="KST45" s="2845"/>
      <c r="KSU45" s="2842"/>
      <c r="KSV45" s="2842"/>
      <c r="KSW45" s="2843"/>
      <c r="KSX45" s="2843"/>
      <c r="KSY45" s="2844"/>
      <c r="KSZ45" s="2845"/>
      <c r="KTA45" s="2842"/>
      <c r="KTB45" s="2842"/>
      <c r="KTC45" s="2843"/>
      <c r="KTD45" s="2843"/>
      <c r="KTE45" s="2844"/>
      <c r="KTF45" s="2845"/>
      <c r="KTG45" s="2842"/>
      <c r="KTH45" s="2842"/>
      <c r="KTI45" s="2843"/>
      <c r="KTJ45" s="2843"/>
      <c r="KTK45" s="2844"/>
      <c r="KTL45" s="2845"/>
      <c r="KTM45" s="2842"/>
      <c r="KTN45" s="2842"/>
      <c r="KTO45" s="2843"/>
      <c r="KTP45" s="2843"/>
      <c r="KTQ45" s="2844"/>
      <c r="KTR45" s="2845"/>
      <c r="KTS45" s="2842"/>
      <c r="KTT45" s="2842"/>
      <c r="KTU45" s="2843"/>
      <c r="KTV45" s="2843"/>
      <c r="KTW45" s="2844"/>
      <c r="KTX45" s="2845"/>
      <c r="KTY45" s="2842"/>
      <c r="KTZ45" s="2842"/>
      <c r="KUA45" s="2843"/>
      <c r="KUB45" s="2843"/>
      <c r="KUC45" s="2844"/>
      <c r="KUD45" s="2845"/>
      <c r="KUE45" s="2842"/>
      <c r="KUF45" s="2842"/>
      <c r="KUG45" s="2843"/>
      <c r="KUH45" s="2843"/>
      <c r="KUI45" s="2844"/>
      <c r="KUJ45" s="2845"/>
      <c r="KUK45" s="2842"/>
      <c r="KUL45" s="2842"/>
      <c r="KUM45" s="2843"/>
      <c r="KUN45" s="2843"/>
      <c r="KUO45" s="2844"/>
      <c r="KUP45" s="2845"/>
      <c r="KUQ45" s="2842"/>
      <c r="KUR45" s="2842"/>
      <c r="KUS45" s="2843"/>
      <c r="KUT45" s="2843"/>
      <c r="KUU45" s="2844"/>
      <c r="KUV45" s="2845"/>
      <c r="KUW45" s="2842"/>
      <c r="KUX45" s="2842"/>
      <c r="KUY45" s="2843"/>
      <c r="KUZ45" s="2843"/>
      <c r="KVA45" s="2844"/>
      <c r="KVB45" s="2845"/>
      <c r="KVC45" s="2842"/>
      <c r="KVD45" s="2842"/>
      <c r="KVE45" s="2843"/>
      <c r="KVF45" s="2843"/>
      <c r="KVG45" s="2844"/>
      <c r="KVH45" s="2845"/>
      <c r="KVI45" s="2842"/>
      <c r="KVJ45" s="2842"/>
      <c r="KVK45" s="2843"/>
      <c r="KVL45" s="2843"/>
      <c r="KVM45" s="2844"/>
      <c r="KVN45" s="2845"/>
      <c r="KVO45" s="2842"/>
      <c r="KVP45" s="2842"/>
      <c r="KVQ45" s="2843"/>
      <c r="KVR45" s="2843"/>
      <c r="KVS45" s="2844"/>
      <c r="KVT45" s="2845"/>
      <c r="KVU45" s="2842"/>
      <c r="KVV45" s="2842"/>
      <c r="KVW45" s="2843"/>
      <c r="KVX45" s="2843"/>
      <c r="KVY45" s="2844"/>
      <c r="KVZ45" s="2845"/>
      <c r="KWA45" s="2842"/>
      <c r="KWB45" s="2842"/>
      <c r="KWC45" s="2843"/>
      <c r="KWD45" s="2843"/>
      <c r="KWE45" s="2844"/>
      <c r="KWF45" s="2845"/>
      <c r="KWG45" s="2842"/>
      <c r="KWH45" s="2842"/>
      <c r="KWI45" s="2843"/>
      <c r="KWJ45" s="2843"/>
      <c r="KWK45" s="2844"/>
      <c r="KWL45" s="2845"/>
      <c r="KWM45" s="2842"/>
      <c r="KWN45" s="2842"/>
      <c r="KWO45" s="2843"/>
      <c r="KWP45" s="2843"/>
      <c r="KWQ45" s="2844"/>
      <c r="KWR45" s="2845"/>
      <c r="KWS45" s="2842"/>
      <c r="KWT45" s="2842"/>
      <c r="KWU45" s="2843"/>
      <c r="KWV45" s="2843"/>
      <c r="KWW45" s="2844"/>
      <c r="KWX45" s="2845"/>
      <c r="KWY45" s="2842"/>
      <c r="KWZ45" s="2842"/>
      <c r="KXA45" s="2843"/>
      <c r="KXB45" s="2843"/>
      <c r="KXC45" s="2844"/>
      <c r="KXD45" s="2845"/>
      <c r="KXE45" s="2842"/>
      <c r="KXF45" s="2842"/>
      <c r="KXG45" s="2843"/>
      <c r="KXH45" s="2843"/>
      <c r="KXI45" s="2844"/>
      <c r="KXJ45" s="2845"/>
      <c r="KXK45" s="2842"/>
      <c r="KXL45" s="2842"/>
      <c r="KXM45" s="2843"/>
      <c r="KXN45" s="2843"/>
      <c r="KXO45" s="2844"/>
      <c r="KXP45" s="2845"/>
      <c r="KXQ45" s="2842"/>
      <c r="KXR45" s="2842"/>
      <c r="KXS45" s="2843"/>
      <c r="KXT45" s="2843"/>
      <c r="KXU45" s="2844"/>
      <c r="KXV45" s="2845"/>
      <c r="KXW45" s="2842"/>
      <c r="KXX45" s="2842"/>
      <c r="KXY45" s="2843"/>
      <c r="KXZ45" s="2843"/>
      <c r="KYA45" s="2844"/>
      <c r="KYB45" s="2845"/>
      <c r="KYC45" s="2842"/>
      <c r="KYD45" s="2842"/>
      <c r="KYE45" s="2843"/>
      <c r="KYF45" s="2843"/>
      <c r="KYG45" s="2844"/>
      <c r="KYH45" s="2845"/>
      <c r="KYI45" s="2842"/>
      <c r="KYJ45" s="2842"/>
      <c r="KYK45" s="2843"/>
      <c r="KYL45" s="2843"/>
      <c r="KYM45" s="2844"/>
      <c r="KYN45" s="2845"/>
      <c r="KYO45" s="2842"/>
      <c r="KYP45" s="2842"/>
      <c r="KYQ45" s="2843"/>
      <c r="KYR45" s="2843"/>
      <c r="KYS45" s="2844"/>
      <c r="KYT45" s="2845"/>
      <c r="KYU45" s="2842"/>
      <c r="KYV45" s="2842"/>
      <c r="KYW45" s="2843"/>
      <c r="KYX45" s="2843"/>
      <c r="KYY45" s="2844"/>
      <c r="KYZ45" s="2845"/>
      <c r="KZA45" s="2842"/>
      <c r="KZB45" s="2842"/>
      <c r="KZC45" s="2843"/>
      <c r="KZD45" s="2843"/>
      <c r="KZE45" s="2844"/>
      <c r="KZF45" s="2845"/>
      <c r="KZG45" s="2842"/>
      <c r="KZH45" s="2842"/>
      <c r="KZI45" s="2843"/>
      <c r="KZJ45" s="2843"/>
      <c r="KZK45" s="2844"/>
      <c r="KZL45" s="2845"/>
      <c r="KZM45" s="2842"/>
      <c r="KZN45" s="2842"/>
      <c r="KZO45" s="2843"/>
      <c r="KZP45" s="2843"/>
      <c r="KZQ45" s="2844"/>
      <c r="KZR45" s="2845"/>
      <c r="KZS45" s="2842"/>
      <c r="KZT45" s="2842"/>
      <c r="KZU45" s="2843"/>
      <c r="KZV45" s="2843"/>
      <c r="KZW45" s="2844"/>
      <c r="KZX45" s="2845"/>
      <c r="KZY45" s="2842"/>
      <c r="KZZ45" s="2842"/>
      <c r="LAA45" s="2843"/>
      <c r="LAB45" s="2843"/>
      <c r="LAC45" s="2844"/>
      <c r="LAD45" s="2845"/>
      <c r="LAE45" s="2842"/>
      <c r="LAF45" s="2842"/>
      <c r="LAG45" s="2843"/>
      <c r="LAH45" s="2843"/>
      <c r="LAI45" s="2844"/>
      <c r="LAJ45" s="2845"/>
      <c r="LAK45" s="2842"/>
      <c r="LAL45" s="2842"/>
      <c r="LAM45" s="2843"/>
      <c r="LAN45" s="2843"/>
      <c r="LAO45" s="2844"/>
      <c r="LAP45" s="2845"/>
      <c r="LAQ45" s="2842"/>
      <c r="LAR45" s="2842"/>
      <c r="LAS45" s="2843"/>
      <c r="LAT45" s="2843"/>
      <c r="LAU45" s="2844"/>
      <c r="LAV45" s="2845"/>
      <c r="LAW45" s="2842"/>
      <c r="LAX45" s="2842"/>
      <c r="LAY45" s="2843"/>
      <c r="LAZ45" s="2843"/>
      <c r="LBA45" s="2844"/>
      <c r="LBB45" s="2845"/>
      <c r="LBC45" s="2842"/>
      <c r="LBD45" s="2842"/>
      <c r="LBE45" s="2843"/>
      <c r="LBF45" s="2843"/>
      <c r="LBG45" s="2844"/>
      <c r="LBH45" s="2845"/>
      <c r="LBI45" s="2842"/>
      <c r="LBJ45" s="2842"/>
      <c r="LBK45" s="2843"/>
      <c r="LBL45" s="2843"/>
      <c r="LBM45" s="2844"/>
      <c r="LBN45" s="2845"/>
      <c r="LBO45" s="2842"/>
      <c r="LBP45" s="2842"/>
      <c r="LBQ45" s="2843"/>
      <c r="LBR45" s="2843"/>
      <c r="LBS45" s="2844"/>
      <c r="LBT45" s="2845"/>
      <c r="LBU45" s="2842"/>
      <c r="LBV45" s="2842"/>
      <c r="LBW45" s="2843"/>
      <c r="LBX45" s="2843"/>
      <c r="LBY45" s="2844"/>
      <c r="LBZ45" s="2845"/>
      <c r="LCA45" s="2842"/>
      <c r="LCB45" s="2842"/>
      <c r="LCC45" s="2843"/>
      <c r="LCD45" s="2843"/>
      <c r="LCE45" s="2844"/>
      <c r="LCF45" s="2845"/>
      <c r="LCG45" s="2842"/>
      <c r="LCH45" s="2842"/>
      <c r="LCI45" s="2843"/>
      <c r="LCJ45" s="2843"/>
      <c r="LCK45" s="2844"/>
      <c r="LCL45" s="2845"/>
      <c r="LCM45" s="2842"/>
      <c r="LCN45" s="2842"/>
      <c r="LCO45" s="2843"/>
      <c r="LCP45" s="2843"/>
      <c r="LCQ45" s="2844"/>
      <c r="LCR45" s="2845"/>
      <c r="LCS45" s="2842"/>
      <c r="LCT45" s="2842"/>
      <c r="LCU45" s="2843"/>
      <c r="LCV45" s="2843"/>
      <c r="LCW45" s="2844"/>
      <c r="LCX45" s="2845"/>
      <c r="LCY45" s="2842"/>
      <c r="LCZ45" s="2842"/>
      <c r="LDA45" s="2843"/>
      <c r="LDB45" s="2843"/>
      <c r="LDC45" s="2844"/>
      <c r="LDD45" s="2845"/>
      <c r="LDE45" s="2842"/>
      <c r="LDF45" s="2842"/>
      <c r="LDG45" s="2843"/>
      <c r="LDH45" s="2843"/>
      <c r="LDI45" s="2844"/>
      <c r="LDJ45" s="2845"/>
      <c r="LDK45" s="2842"/>
      <c r="LDL45" s="2842"/>
      <c r="LDM45" s="2843"/>
      <c r="LDN45" s="2843"/>
      <c r="LDO45" s="2844"/>
      <c r="LDP45" s="2845"/>
      <c r="LDQ45" s="2842"/>
      <c r="LDR45" s="2842"/>
      <c r="LDS45" s="2843"/>
      <c r="LDT45" s="2843"/>
      <c r="LDU45" s="2844"/>
      <c r="LDV45" s="2845"/>
      <c r="LDW45" s="2842"/>
      <c r="LDX45" s="2842"/>
      <c r="LDY45" s="2843"/>
      <c r="LDZ45" s="2843"/>
      <c r="LEA45" s="2844"/>
      <c r="LEB45" s="2845"/>
      <c r="LEC45" s="2842"/>
      <c r="LED45" s="2842"/>
      <c r="LEE45" s="2843"/>
      <c r="LEF45" s="2843"/>
      <c r="LEG45" s="2844"/>
      <c r="LEH45" s="2845"/>
      <c r="LEI45" s="2842"/>
      <c r="LEJ45" s="2842"/>
      <c r="LEK45" s="2843"/>
      <c r="LEL45" s="2843"/>
      <c r="LEM45" s="2844"/>
      <c r="LEN45" s="2845"/>
      <c r="LEO45" s="2842"/>
      <c r="LEP45" s="2842"/>
      <c r="LEQ45" s="2843"/>
      <c r="LER45" s="2843"/>
      <c r="LES45" s="2844"/>
      <c r="LET45" s="2845"/>
      <c r="LEU45" s="2842"/>
      <c r="LEV45" s="2842"/>
      <c r="LEW45" s="2843"/>
      <c r="LEX45" s="2843"/>
      <c r="LEY45" s="2844"/>
      <c r="LEZ45" s="2845"/>
      <c r="LFA45" s="2842"/>
      <c r="LFB45" s="2842"/>
      <c r="LFC45" s="2843"/>
      <c r="LFD45" s="2843"/>
      <c r="LFE45" s="2844"/>
      <c r="LFF45" s="2845"/>
      <c r="LFG45" s="2842"/>
      <c r="LFH45" s="2842"/>
      <c r="LFI45" s="2843"/>
      <c r="LFJ45" s="2843"/>
      <c r="LFK45" s="2844"/>
      <c r="LFL45" s="2845"/>
      <c r="LFM45" s="2842"/>
      <c r="LFN45" s="2842"/>
      <c r="LFO45" s="2843"/>
      <c r="LFP45" s="2843"/>
      <c r="LFQ45" s="2844"/>
      <c r="LFR45" s="2845"/>
      <c r="LFS45" s="2842"/>
      <c r="LFT45" s="2842"/>
      <c r="LFU45" s="2843"/>
      <c r="LFV45" s="2843"/>
      <c r="LFW45" s="2844"/>
      <c r="LFX45" s="2845"/>
      <c r="LFY45" s="2842"/>
      <c r="LFZ45" s="2842"/>
      <c r="LGA45" s="2843"/>
      <c r="LGB45" s="2843"/>
      <c r="LGC45" s="2844"/>
      <c r="LGD45" s="2845"/>
      <c r="LGE45" s="2842"/>
      <c r="LGF45" s="2842"/>
      <c r="LGG45" s="2843"/>
      <c r="LGH45" s="2843"/>
      <c r="LGI45" s="2844"/>
      <c r="LGJ45" s="2845"/>
      <c r="LGK45" s="2842"/>
      <c r="LGL45" s="2842"/>
      <c r="LGM45" s="2843"/>
      <c r="LGN45" s="2843"/>
      <c r="LGO45" s="2844"/>
      <c r="LGP45" s="2845"/>
      <c r="LGQ45" s="2842"/>
      <c r="LGR45" s="2842"/>
      <c r="LGS45" s="2843"/>
      <c r="LGT45" s="2843"/>
      <c r="LGU45" s="2844"/>
      <c r="LGV45" s="2845"/>
      <c r="LGW45" s="2842"/>
      <c r="LGX45" s="2842"/>
      <c r="LGY45" s="2843"/>
      <c r="LGZ45" s="2843"/>
      <c r="LHA45" s="2844"/>
      <c r="LHB45" s="2845"/>
      <c r="LHC45" s="2842"/>
      <c r="LHD45" s="2842"/>
      <c r="LHE45" s="2843"/>
      <c r="LHF45" s="2843"/>
      <c r="LHG45" s="2844"/>
      <c r="LHH45" s="2845"/>
      <c r="LHI45" s="2842"/>
      <c r="LHJ45" s="2842"/>
      <c r="LHK45" s="2843"/>
      <c r="LHL45" s="2843"/>
      <c r="LHM45" s="2844"/>
      <c r="LHN45" s="2845"/>
      <c r="LHO45" s="2842"/>
      <c r="LHP45" s="2842"/>
      <c r="LHQ45" s="2843"/>
      <c r="LHR45" s="2843"/>
      <c r="LHS45" s="2844"/>
      <c r="LHT45" s="2845"/>
      <c r="LHU45" s="2842"/>
      <c r="LHV45" s="2842"/>
      <c r="LHW45" s="2843"/>
      <c r="LHX45" s="2843"/>
      <c r="LHY45" s="2844"/>
      <c r="LHZ45" s="2845"/>
      <c r="LIA45" s="2842"/>
      <c r="LIB45" s="2842"/>
      <c r="LIC45" s="2843"/>
      <c r="LID45" s="2843"/>
      <c r="LIE45" s="2844"/>
      <c r="LIF45" s="2845"/>
      <c r="LIG45" s="2842"/>
      <c r="LIH45" s="2842"/>
      <c r="LII45" s="2843"/>
      <c r="LIJ45" s="2843"/>
      <c r="LIK45" s="2844"/>
      <c r="LIL45" s="2845"/>
      <c r="LIM45" s="2842"/>
      <c r="LIN45" s="2842"/>
      <c r="LIO45" s="2843"/>
      <c r="LIP45" s="2843"/>
      <c r="LIQ45" s="2844"/>
      <c r="LIR45" s="2845"/>
      <c r="LIS45" s="2842"/>
      <c r="LIT45" s="2842"/>
      <c r="LIU45" s="2843"/>
      <c r="LIV45" s="2843"/>
      <c r="LIW45" s="2844"/>
      <c r="LIX45" s="2845"/>
      <c r="LIY45" s="2842"/>
      <c r="LIZ45" s="2842"/>
      <c r="LJA45" s="2843"/>
      <c r="LJB45" s="2843"/>
      <c r="LJC45" s="2844"/>
      <c r="LJD45" s="2845"/>
      <c r="LJE45" s="2842"/>
      <c r="LJF45" s="2842"/>
      <c r="LJG45" s="2843"/>
      <c r="LJH45" s="2843"/>
      <c r="LJI45" s="2844"/>
      <c r="LJJ45" s="2845"/>
      <c r="LJK45" s="2842"/>
      <c r="LJL45" s="2842"/>
      <c r="LJM45" s="2843"/>
      <c r="LJN45" s="2843"/>
      <c r="LJO45" s="2844"/>
      <c r="LJP45" s="2845"/>
      <c r="LJQ45" s="2842"/>
      <c r="LJR45" s="2842"/>
      <c r="LJS45" s="2843"/>
      <c r="LJT45" s="2843"/>
      <c r="LJU45" s="2844"/>
      <c r="LJV45" s="2845"/>
      <c r="LJW45" s="2842"/>
      <c r="LJX45" s="2842"/>
      <c r="LJY45" s="2843"/>
      <c r="LJZ45" s="2843"/>
      <c r="LKA45" s="2844"/>
      <c r="LKB45" s="2845"/>
      <c r="LKC45" s="2842"/>
      <c r="LKD45" s="2842"/>
      <c r="LKE45" s="2843"/>
      <c r="LKF45" s="2843"/>
      <c r="LKG45" s="2844"/>
      <c r="LKH45" s="2845"/>
      <c r="LKI45" s="2842"/>
      <c r="LKJ45" s="2842"/>
      <c r="LKK45" s="2843"/>
      <c r="LKL45" s="2843"/>
      <c r="LKM45" s="2844"/>
      <c r="LKN45" s="2845"/>
      <c r="LKO45" s="2842"/>
      <c r="LKP45" s="2842"/>
      <c r="LKQ45" s="2843"/>
      <c r="LKR45" s="2843"/>
      <c r="LKS45" s="2844"/>
      <c r="LKT45" s="2845"/>
      <c r="LKU45" s="2842"/>
      <c r="LKV45" s="2842"/>
      <c r="LKW45" s="2843"/>
      <c r="LKX45" s="2843"/>
      <c r="LKY45" s="2844"/>
      <c r="LKZ45" s="2845"/>
      <c r="LLA45" s="2842"/>
      <c r="LLB45" s="2842"/>
      <c r="LLC45" s="2843"/>
      <c r="LLD45" s="2843"/>
      <c r="LLE45" s="2844"/>
      <c r="LLF45" s="2845"/>
      <c r="LLG45" s="2842"/>
      <c r="LLH45" s="2842"/>
      <c r="LLI45" s="2843"/>
      <c r="LLJ45" s="2843"/>
      <c r="LLK45" s="2844"/>
      <c r="LLL45" s="2845"/>
      <c r="LLM45" s="2842"/>
      <c r="LLN45" s="2842"/>
      <c r="LLO45" s="2843"/>
      <c r="LLP45" s="2843"/>
      <c r="LLQ45" s="2844"/>
      <c r="LLR45" s="2845"/>
      <c r="LLS45" s="2842"/>
      <c r="LLT45" s="2842"/>
      <c r="LLU45" s="2843"/>
      <c r="LLV45" s="2843"/>
      <c r="LLW45" s="2844"/>
      <c r="LLX45" s="2845"/>
      <c r="LLY45" s="2842"/>
      <c r="LLZ45" s="2842"/>
      <c r="LMA45" s="2843"/>
      <c r="LMB45" s="2843"/>
      <c r="LMC45" s="2844"/>
      <c r="LMD45" s="2845"/>
      <c r="LME45" s="2842"/>
      <c r="LMF45" s="2842"/>
      <c r="LMG45" s="2843"/>
      <c r="LMH45" s="2843"/>
      <c r="LMI45" s="2844"/>
      <c r="LMJ45" s="2845"/>
      <c r="LMK45" s="2842"/>
      <c r="LML45" s="2842"/>
      <c r="LMM45" s="2843"/>
      <c r="LMN45" s="2843"/>
      <c r="LMO45" s="2844"/>
      <c r="LMP45" s="2845"/>
      <c r="LMQ45" s="2842"/>
      <c r="LMR45" s="2842"/>
      <c r="LMS45" s="2843"/>
      <c r="LMT45" s="2843"/>
      <c r="LMU45" s="2844"/>
      <c r="LMV45" s="2845"/>
      <c r="LMW45" s="2842"/>
      <c r="LMX45" s="2842"/>
      <c r="LMY45" s="2843"/>
      <c r="LMZ45" s="2843"/>
      <c r="LNA45" s="2844"/>
      <c r="LNB45" s="2845"/>
      <c r="LNC45" s="2842"/>
      <c r="LND45" s="2842"/>
      <c r="LNE45" s="2843"/>
      <c r="LNF45" s="2843"/>
      <c r="LNG45" s="2844"/>
      <c r="LNH45" s="2845"/>
      <c r="LNI45" s="2842"/>
      <c r="LNJ45" s="2842"/>
      <c r="LNK45" s="2843"/>
      <c r="LNL45" s="2843"/>
      <c r="LNM45" s="2844"/>
      <c r="LNN45" s="2845"/>
      <c r="LNO45" s="2842"/>
      <c r="LNP45" s="2842"/>
      <c r="LNQ45" s="2843"/>
      <c r="LNR45" s="2843"/>
      <c r="LNS45" s="2844"/>
      <c r="LNT45" s="2845"/>
      <c r="LNU45" s="2842"/>
      <c r="LNV45" s="2842"/>
      <c r="LNW45" s="2843"/>
      <c r="LNX45" s="2843"/>
      <c r="LNY45" s="2844"/>
      <c r="LNZ45" s="2845"/>
      <c r="LOA45" s="2842"/>
      <c r="LOB45" s="2842"/>
      <c r="LOC45" s="2843"/>
      <c r="LOD45" s="2843"/>
      <c r="LOE45" s="2844"/>
      <c r="LOF45" s="2845"/>
      <c r="LOG45" s="2842"/>
      <c r="LOH45" s="2842"/>
      <c r="LOI45" s="2843"/>
      <c r="LOJ45" s="2843"/>
      <c r="LOK45" s="2844"/>
      <c r="LOL45" s="2845"/>
      <c r="LOM45" s="2842"/>
      <c r="LON45" s="2842"/>
      <c r="LOO45" s="2843"/>
      <c r="LOP45" s="2843"/>
      <c r="LOQ45" s="2844"/>
      <c r="LOR45" s="2845"/>
      <c r="LOS45" s="2842"/>
      <c r="LOT45" s="2842"/>
      <c r="LOU45" s="2843"/>
      <c r="LOV45" s="2843"/>
      <c r="LOW45" s="2844"/>
      <c r="LOX45" s="2845"/>
      <c r="LOY45" s="2842"/>
      <c r="LOZ45" s="2842"/>
      <c r="LPA45" s="2843"/>
      <c r="LPB45" s="2843"/>
      <c r="LPC45" s="2844"/>
      <c r="LPD45" s="2845"/>
      <c r="LPE45" s="2842"/>
      <c r="LPF45" s="2842"/>
      <c r="LPG45" s="2843"/>
      <c r="LPH45" s="2843"/>
      <c r="LPI45" s="2844"/>
      <c r="LPJ45" s="2845"/>
      <c r="LPK45" s="2842"/>
      <c r="LPL45" s="2842"/>
      <c r="LPM45" s="2843"/>
      <c r="LPN45" s="2843"/>
      <c r="LPO45" s="2844"/>
      <c r="LPP45" s="2845"/>
      <c r="LPQ45" s="2842"/>
      <c r="LPR45" s="2842"/>
      <c r="LPS45" s="2843"/>
      <c r="LPT45" s="2843"/>
      <c r="LPU45" s="2844"/>
      <c r="LPV45" s="2845"/>
      <c r="LPW45" s="2842"/>
      <c r="LPX45" s="2842"/>
      <c r="LPY45" s="2843"/>
      <c r="LPZ45" s="2843"/>
      <c r="LQA45" s="2844"/>
      <c r="LQB45" s="2845"/>
      <c r="LQC45" s="2842"/>
      <c r="LQD45" s="2842"/>
      <c r="LQE45" s="2843"/>
      <c r="LQF45" s="2843"/>
      <c r="LQG45" s="2844"/>
      <c r="LQH45" s="2845"/>
      <c r="LQI45" s="2842"/>
      <c r="LQJ45" s="2842"/>
      <c r="LQK45" s="2843"/>
      <c r="LQL45" s="2843"/>
      <c r="LQM45" s="2844"/>
      <c r="LQN45" s="2845"/>
      <c r="LQO45" s="2842"/>
      <c r="LQP45" s="2842"/>
      <c r="LQQ45" s="2843"/>
      <c r="LQR45" s="2843"/>
      <c r="LQS45" s="2844"/>
      <c r="LQT45" s="2845"/>
      <c r="LQU45" s="2842"/>
      <c r="LQV45" s="2842"/>
      <c r="LQW45" s="2843"/>
      <c r="LQX45" s="2843"/>
      <c r="LQY45" s="2844"/>
      <c r="LQZ45" s="2845"/>
      <c r="LRA45" s="2842"/>
      <c r="LRB45" s="2842"/>
      <c r="LRC45" s="2843"/>
      <c r="LRD45" s="2843"/>
      <c r="LRE45" s="2844"/>
      <c r="LRF45" s="2845"/>
      <c r="LRG45" s="2842"/>
      <c r="LRH45" s="2842"/>
      <c r="LRI45" s="2843"/>
      <c r="LRJ45" s="2843"/>
      <c r="LRK45" s="2844"/>
      <c r="LRL45" s="2845"/>
      <c r="LRM45" s="2842"/>
      <c r="LRN45" s="2842"/>
      <c r="LRO45" s="2843"/>
      <c r="LRP45" s="2843"/>
      <c r="LRQ45" s="2844"/>
      <c r="LRR45" s="2845"/>
      <c r="LRS45" s="2842"/>
      <c r="LRT45" s="2842"/>
      <c r="LRU45" s="2843"/>
      <c r="LRV45" s="2843"/>
      <c r="LRW45" s="2844"/>
      <c r="LRX45" s="2845"/>
      <c r="LRY45" s="2842"/>
      <c r="LRZ45" s="2842"/>
      <c r="LSA45" s="2843"/>
      <c r="LSB45" s="2843"/>
      <c r="LSC45" s="2844"/>
      <c r="LSD45" s="2845"/>
      <c r="LSE45" s="2842"/>
      <c r="LSF45" s="2842"/>
      <c r="LSG45" s="2843"/>
      <c r="LSH45" s="2843"/>
      <c r="LSI45" s="2844"/>
      <c r="LSJ45" s="2845"/>
      <c r="LSK45" s="2842"/>
      <c r="LSL45" s="2842"/>
      <c r="LSM45" s="2843"/>
      <c r="LSN45" s="2843"/>
      <c r="LSO45" s="2844"/>
      <c r="LSP45" s="2845"/>
      <c r="LSQ45" s="2842"/>
      <c r="LSR45" s="2842"/>
      <c r="LSS45" s="2843"/>
      <c r="LST45" s="2843"/>
      <c r="LSU45" s="2844"/>
      <c r="LSV45" s="2845"/>
      <c r="LSW45" s="2842"/>
      <c r="LSX45" s="2842"/>
      <c r="LSY45" s="2843"/>
      <c r="LSZ45" s="2843"/>
      <c r="LTA45" s="2844"/>
      <c r="LTB45" s="2845"/>
      <c r="LTC45" s="2842"/>
      <c r="LTD45" s="2842"/>
      <c r="LTE45" s="2843"/>
      <c r="LTF45" s="2843"/>
      <c r="LTG45" s="2844"/>
      <c r="LTH45" s="2845"/>
      <c r="LTI45" s="2842"/>
      <c r="LTJ45" s="2842"/>
      <c r="LTK45" s="2843"/>
      <c r="LTL45" s="2843"/>
      <c r="LTM45" s="2844"/>
      <c r="LTN45" s="2845"/>
      <c r="LTO45" s="2842"/>
      <c r="LTP45" s="2842"/>
      <c r="LTQ45" s="2843"/>
      <c r="LTR45" s="2843"/>
      <c r="LTS45" s="2844"/>
      <c r="LTT45" s="2845"/>
      <c r="LTU45" s="2842"/>
      <c r="LTV45" s="2842"/>
      <c r="LTW45" s="2843"/>
      <c r="LTX45" s="2843"/>
      <c r="LTY45" s="2844"/>
      <c r="LTZ45" s="2845"/>
      <c r="LUA45" s="2842"/>
      <c r="LUB45" s="2842"/>
      <c r="LUC45" s="2843"/>
      <c r="LUD45" s="2843"/>
      <c r="LUE45" s="2844"/>
      <c r="LUF45" s="2845"/>
      <c r="LUG45" s="2842"/>
      <c r="LUH45" s="2842"/>
      <c r="LUI45" s="2843"/>
      <c r="LUJ45" s="2843"/>
      <c r="LUK45" s="2844"/>
      <c r="LUL45" s="2845"/>
      <c r="LUM45" s="2842"/>
      <c r="LUN45" s="2842"/>
      <c r="LUO45" s="2843"/>
      <c r="LUP45" s="2843"/>
      <c r="LUQ45" s="2844"/>
      <c r="LUR45" s="2845"/>
      <c r="LUS45" s="2842"/>
      <c r="LUT45" s="2842"/>
      <c r="LUU45" s="2843"/>
      <c r="LUV45" s="2843"/>
      <c r="LUW45" s="2844"/>
      <c r="LUX45" s="2845"/>
      <c r="LUY45" s="2842"/>
      <c r="LUZ45" s="2842"/>
      <c r="LVA45" s="2843"/>
      <c r="LVB45" s="2843"/>
      <c r="LVC45" s="2844"/>
      <c r="LVD45" s="2845"/>
      <c r="LVE45" s="2842"/>
      <c r="LVF45" s="2842"/>
      <c r="LVG45" s="2843"/>
      <c r="LVH45" s="2843"/>
      <c r="LVI45" s="2844"/>
      <c r="LVJ45" s="2845"/>
      <c r="LVK45" s="2842"/>
      <c r="LVL45" s="2842"/>
      <c r="LVM45" s="2843"/>
      <c r="LVN45" s="2843"/>
      <c r="LVO45" s="2844"/>
      <c r="LVP45" s="2845"/>
      <c r="LVQ45" s="2842"/>
      <c r="LVR45" s="2842"/>
      <c r="LVS45" s="2843"/>
      <c r="LVT45" s="2843"/>
      <c r="LVU45" s="2844"/>
      <c r="LVV45" s="2845"/>
      <c r="LVW45" s="2842"/>
      <c r="LVX45" s="2842"/>
      <c r="LVY45" s="2843"/>
      <c r="LVZ45" s="2843"/>
      <c r="LWA45" s="2844"/>
      <c r="LWB45" s="2845"/>
      <c r="LWC45" s="2842"/>
      <c r="LWD45" s="2842"/>
      <c r="LWE45" s="2843"/>
      <c r="LWF45" s="2843"/>
      <c r="LWG45" s="2844"/>
      <c r="LWH45" s="2845"/>
      <c r="LWI45" s="2842"/>
      <c r="LWJ45" s="2842"/>
      <c r="LWK45" s="2843"/>
      <c r="LWL45" s="2843"/>
      <c r="LWM45" s="2844"/>
      <c r="LWN45" s="2845"/>
      <c r="LWO45" s="2842"/>
      <c r="LWP45" s="2842"/>
      <c r="LWQ45" s="2843"/>
      <c r="LWR45" s="2843"/>
      <c r="LWS45" s="2844"/>
      <c r="LWT45" s="2845"/>
      <c r="LWU45" s="2842"/>
      <c r="LWV45" s="2842"/>
      <c r="LWW45" s="2843"/>
      <c r="LWX45" s="2843"/>
      <c r="LWY45" s="2844"/>
      <c r="LWZ45" s="2845"/>
      <c r="LXA45" s="2842"/>
      <c r="LXB45" s="2842"/>
      <c r="LXC45" s="2843"/>
      <c r="LXD45" s="2843"/>
      <c r="LXE45" s="2844"/>
      <c r="LXF45" s="2845"/>
      <c r="LXG45" s="2842"/>
      <c r="LXH45" s="2842"/>
      <c r="LXI45" s="2843"/>
      <c r="LXJ45" s="2843"/>
      <c r="LXK45" s="2844"/>
      <c r="LXL45" s="2845"/>
      <c r="LXM45" s="2842"/>
      <c r="LXN45" s="2842"/>
      <c r="LXO45" s="2843"/>
      <c r="LXP45" s="2843"/>
      <c r="LXQ45" s="2844"/>
      <c r="LXR45" s="2845"/>
      <c r="LXS45" s="2842"/>
      <c r="LXT45" s="2842"/>
      <c r="LXU45" s="2843"/>
      <c r="LXV45" s="2843"/>
      <c r="LXW45" s="2844"/>
      <c r="LXX45" s="2845"/>
      <c r="LXY45" s="2842"/>
      <c r="LXZ45" s="2842"/>
      <c r="LYA45" s="2843"/>
      <c r="LYB45" s="2843"/>
      <c r="LYC45" s="2844"/>
      <c r="LYD45" s="2845"/>
      <c r="LYE45" s="2842"/>
      <c r="LYF45" s="2842"/>
      <c r="LYG45" s="2843"/>
      <c r="LYH45" s="2843"/>
      <c r="LYI45" s="2844"/>
      <c r="LYJ45" s="2845"/>
      <c r="LYK45" s="2842"/>
      <c r="LYL45" s="2842"/>
      <c r="LYM45" s="2843"/>
      <c r="LYN45" s="2843"/>
      <c r="LYO45" s="2844"/>
      <c r="LYP45" s="2845"/>
      <c r="LYQ45" s="2842"/>
      <c r="LYR45" s="2842"/>
      <c r="LYS45" s="2843"/>
      <c r="LYT45" s="2843"/>
      <c r="LYU45" s="2844"/>
      <c r="LYV45" s="2845"/>
      <c r="LYW45" s="2842"/>
      <c r="LYX45" s="2842"/>
      <c r="LYY45" s="2843"/>
      <c r="LYZ45" s="2843"/>
      <c r="LZA45" s="2844"/>
      <c r="LZB45" s="2845"/>
      <c r="LZC45" s="2842"/>
      <c r="LZD45" s="2842"/>
      <c r="LZE45" s="2843"/>
      <c r="LZF45" s="2843"/>
      <c r="LZG45" s="2844"/>
      <c r="LZH45" s="2845"/>
      <c r="LZI45" s="2842"/>
      <c r="LZJ45" s="2842"/>
      <c r="LZK45" s="2843"/>
      <c r="LZL45" s="2843"/>
      <c r="LZM45" s="2844"/>
      <c r="LZN45" s="2845"/>
      <c r="LZO45" s="2842"/>
      <c r="LZP45" s="2842"/>
      <c r="LZQ45" s="2843"/>
      <c r="LZR45" s="2843"/>
      <c r="LZS45" s="2844"/>
      <c r="LZT45" s="2845"/>
      <c r="LZU45" s="2842"/>
      <c r="LZV45" s="2842"/>
      <c r="LZW45" s="2843"/>
      <c r="LZX45" s="2843"/>
      <c r="LZY45" s="2844"/>
      <c r="LZZ45" s="2845"/>
      <c r="MAA45" s="2842"/>
      <c r="MAB45" s="2842"/>
      <c r="MAC45" s="2843"/>
      <c r="MAD45" s="2843"/>
      <c r="MAE45" s="2844"/>
      <c r="MAF45" s="2845"/>
      <c r="MAG45" s="2842"/>
      <c r="MAH45" s="2842"/>
      <c r="MAI45" s="2843"/>
      <c r="MAJ45" s="2843"/>
      <c r="MAK45" s="2844"/>
      <c r="MAL45" s="2845"/>
      <c r="MAM45" s="2842"/>
      <c r="MAN45" s="2842"/>
      <c r="MAO45" s="2843"/>
      <c r="MAP45" s="2843"/>
      <c r="MAQ45" s="2844"/>
      <c r="MAR45" s="2845"/>
      <c r="MAS45" s="2842"/>
      <c r="MAT45" s="2842"/>
      <c r="MAU45" s="2843"/>
      <c r="MAV45" s="2843"/>
      <c r="MAW45" s="2844"/>
      <c r="MAX45" s="2845"/>
      <c r="MAY45" s="2842"/>
      <c r="MAZ45" s="2842"/>
      <c r="MBA45" s="2843"/>
      <c r="MBB45" s="2843"/>
      <c r="MBC45" s="2844"/>
      <c r="MBD45" s="2845"/>
      <c r="MBE45" s="2842"/>
      <c r="MBF45" s="2842"/>
      <c r="MBG45" s="2843"/>
      <c r="MBH45" s="2843"/>
      <c r="MBI45" s="2844"/>
      <c r="MBJ45" s="2845"/>
      <c r="MBK45" s="2842"/>
      <c r="MBL45" s="2842"/>
      <c r="MBM45" s="2843"/>
      <c r="MBN45" s="2843"/>
      <c r="MBO45" s="2844"/>
      <c r="MBP45" s="2845"/>
      <c r="MBQ45" s="2842"/>
      <c r="MBR45" s="2842"/>
      <c r="MBS45" s="2843"/>
      <c r="MBT45" s="2843"/>
      <c r="MBU45" s="2844"/>
      <c r="MBV45" s="2845"/>
      <c r="MBW45" s="2842"/>
      <c r="MBX45" s="2842"/>
      <c r="MBY45" s="2843"/>
      <c r="MBZ45" s="2843"/>
      <c r="MCA45" s="2844"/>
      <c r="MCB45" s="2845"/>
      <c r="MCC45" s="2842"/>
      <c r="MCD45" s="2842"/>
      <c r="MCE45" s="2843"/>
      <c r="MCF45" s="2843"/>
      <c r="MCG45" s="2844"/>
      <c r="MCH45" s="2845"/>
      <c r="MCI45" s="2842"/>
      <c r="MCJ45" s="2842"/>
      <c r="MCK45" s="2843"/>
      <c r="MCL45" s="2843"/>
      <c r="MCM45" s="2844"/>
      <c r="MCN45" s="2845"/>
      <c r="MCO45" s="2842"/>
      <c r="MCP45" s="2842"/>
      <c r="MCQ45" s="2843"/>
      <c r="MCR45" s="2843"/>
      <c r="MCS45" s="2844"/>
      <c r="MCT45" s="2845"/>
      <c r="MCU45" s="2842"/>
      <c r="MCV45" s="2842"/>
      <c r="MCW45" s="2843"/>
      <c r="MCX45" s="2843"/>
      <c r="MCY45" s="2844"/>
      <c r="MCZ45" s="2845"/>
      <c r="MDA45" s="2842"/>
      <c r="MDB45" s="2842"/>
      <c r="MDC45" s="2843"/>
      <c r="MDD45" s="2843"/>
      <c r="MDE45" s="2844"/>
      <c r="MDF45" s="2845"/>
      <c r="MDG45" s="2842"/>
      <c r="MDH45" s="2842"/>
      <c r="MDI45" s="2843"/>
      <c r="MDJ45" s="2843"/>
      <c r="MDK45" s="2844"/>
      <c r="MDL45" s="2845"/>
      <c r="MDM45" s="2842"/>
      <c r="MDN45" s="2842"/>
      <c r="MDO45" s="2843"/>
      <c r="MDP45" s="2843"/>
      <c r="MDQ45" s="2844"/>
      <c r="MDR45" s="2845"/>
      <c r="MDS45" s="2842"/>
      <c r="MDT45" s="2842"/>
      <c r="MDU45" s="2843"/>
      <c r="MDV45" s="2843"/>
      <c r="MDW45" s="2844"/>
      <c r="MDX45" s="2845"/>
      <c r="MDY45" s="2842"/>
      <c r="MDZ45" s="2842"/>
      <c r="MEA45" s="2843"/>
      <c r="MEB45" s="2843"/>
      <c r="MEC45" s="2844"/>
      <c r="MED45" s="2845"/>
      <c r="MEE45" s="2842"/>
      <c r="MEF45" s="2842"/>
      <c r="MEG45" s="2843"/>
      <c r="MEH45" s="2843"/>
      <c r="MEI45" s="2844"/>
      <c r="MEJ45" s="2845"/>
      <c r="MEK45" s="2842"/>
      <c r="MEL45" s="2842"/>
      <c r="MEM45" s="2843"/>
      <c r="MEN45" s="2843"/>
      <c r="MEO45" s="2844"/>
      <c r="MEP45" s="2845"/>
      <c r="MEQ45" s="2842"/>
      <c r="MER45" s="2842"/>
      <c r="MES45" s="2843"/>
      <c r="MET45" s="2843"/>
      <c r="MEU45" s="2844"/>
      <c r="MEV45" s="2845"/>
      <c r="MEW45" s="2842"/>
      <c r="MEX45" s="2842"/>
      <c r="MEY45" s="2843"/>
      <c r="MEZ45" s="2843"/>
      <c r="MFA45" s="2844"/>
      <c r="MFB45" s="2845"/>
      <c r="MFC45" s="2842"/>
      <c r="MFD45" s="2842"/>
      <c r="MFE45" s="2843"/>
      <c r="MFF45" s="2843"/>
      <c r="MFG45" s="2844"/>
      <c r="MFH45" s="2845"/>
      <c r="MFI45" s="2842"/>
      <c r="MFJ45" s="2842"/>
      <c r="MFK45" s="2843"/>
      <c r="MFL45" s="2843"/>
      <c r="MFM45" s="2844"/>
      <c r="MFN45" s="2845"/>
      <c r="MFO45" s="2842"/>
      <c r="MFP45" s="2842"/>
      <c r="MFQ45" s="2843"/>
      <c r="MFR45" s="2843"/>
      <c r="MFS45" s="2844"/>
      <c r="MFT45" s="2845"/>
      <c r="MFU45" s="2842"/>
      <c r="MFV45" s="2842"/>
      <c r="MFW45" s="2843"/>
      <c r="MFX45" s="2843"/>
      <c r="MFY45" s="2844"/>
      <c r="MFZ45" s="2845"/>
      <c r="MGA45" s="2842"/>
      <c r="MGB45" s="2842"/>
      <c r="MGC45" s="2843"/>
      <c r="MGD45" s="2843"/>
      <c r="MGE45" s="2844"/>
      <c r="MGF45" s="2845"/>
      <c r="MGG45" s="2842"/>
      <c r="MGH45" s="2842"/>
      <c r="MGI45" s="2843"/>
      <c r="MGJ45" s="2843"/>
      <c r="MGK45" s="2844"/>
      <c r="MGL45" s="2845"/>
      <c r="MGM45" s="2842"/>
      <c r="MGN45" s="2842"/>
      <c r="MGO45" s="2843"/>
      <c r="MGP45" s="2843"/>
      <c r="MGQ45" s="2844"/>
      <c r="MGR45" s="2845"/>
      <c r="MGS45" s="2842"/>
      <c r="MGT45" s="2842"/>
      <c r="MGU45" s="2843"/>
      <c r="MGV45" s="2843"/>
      <c r="MGW45" s="2844"/>
      <c r="MGX45" s="2845"/>
      <c r="MGY45" s="2842"/>
      <c r="MGZ45" s="2842"/>
      <c r="MHA45" s="2843"/>
      <c r="MHB45" s="2843"/>
      <c r="MHC45" s="2844"/>
      <c r="MHD45" s="2845"/>
      <c r="MHE45" s="2842"/>
      <c r="MHF45" s="2842"/>
      <c r="MHG45" s="2843"/>
      <c r="MHH45" s="2843"/>
      <c r="MHI45" s="2844"/>
      <c r="MHJ45" s="2845"/>
      <c r="MHK45" s="2842"/>
      <c r="MHL45" s="2842"/>
      <c r="MHM45" s="2843"/>
      <c r="MHN45" s="2843"/>
      <c r="MHO45" s="2844"/>
      <c r="MHP45" s="2845"/>
      <c r="MHQ45" s="2842"/>
      <c r="MHR45" s="2842"/>
      <c r="MHS45" s="2843"/>
      <c r="MHT45" s="2843"/>
      <c r="MHU45" s="2844"/>
      <c r="MHV45" s="2845"/>
      <c r="MHW45" s="2842"/>
      <c r="MHX45" s="2842"/>
      <c r="MHY45" s="2843"/>
      <c r="MHZ45" s="2843"/>
      <c r="MIA45" s="2844"/>
      <c r="MIB45" s="2845"/>
      <c r="MIC45" s="2842"/>
      <c r="MID45" s="2842"/>
      <c r="MIE45" s="2843"/>
      <c r="MIF45" s="2843"/>
      <c r="MIG45" s="2844"/>
      <c r="MIH45" s="2845"/>
      <c r="MII45" s="2842"/>
      <c r="MIJ45" s="2842"/>
      <c r="MIK45" s="2843"/>
      <c r="MIL45" s="2843"/>
      <c r="MIM45" s="2844"/>
      <c r="MIN45" s="2845"/>
      <c r="MIO45" s="2842"/>
      <c r="MIP45" s="2842"/>
      <c r="MIQ45" s="2843"/>
      <c r="MIR45" s="2843"/>
      <c r="MIS45" s="2844"/>
      <c r="MIT45" s="2845"/>
      <c r="MIU45" s="2842"/>
      <c r="MIV45" s="2842"/>
      <c r="MIW45" s="2843"/>
      <c r="MIX45" s="2843"/>
      <c r="MIY45" s="2844"/>
      <c r="MIZ45" s="2845"/>
      <c r="MJA45" s="2842"/>
      <c r="MJB45" s="2842"/>
      <c r="MJC45" s="2843"/>
      <c r="MJD45" s="2843"/>
      <c r="MJE45" s="2844"/>
      <c r="MJF45" s="2845"/>
      <c r="MJG45" s="2842"/>
      <c r="MJH45" s="2842"/>
      <c r="MJI45" s="2843"/>
      <c r="MJJ45" s="2843"/>
      <c r="MJK45" s="2844"/>
      <c r="MJL45" s="2845"/>
      <c r="MJM45" s="2842"/>
      <c r="MJN45" s="2842"/>
      <c r="MJO45" s="2843"/>
      <c r="MJP45" s="2843"/>
      <c r="MJQ45" s="2844"/>
      <c r="MJR45" s="2845"/>
      <c r="MJS45" s="2842"/>
      <c r="MJT45" s="2842"/>
      <c r="MJU45" s="2843"/>
      <c r="MJV45" s="2843"/>
      <c r="MJW45" s="2844"/>
      <c r="MJX45" s="2845"/>
      <c r="MJY45" s="2842"/>
      <c r="MJZ45" s="2842"/>
      <c r="MKA45" s="2843"/>
      <c r="MKB45" s="2843"/>
      <c r="MKC45" s="2844"/>
      <c r="MKD45" s="2845"/>
      <c r="MKE45" s="2842"/>
      <c r="MKF45" s="2842"/>
      <c r="MKG45" s="2843"/>
      <c r="MKH45" s="2843"/>
      <c r="MKI45" s="2844"/>
      <c r="MKJ45" s="2845"/>
      <c r="MKK45" s="2842"/>
      <c r="MKL45" s="2842"/>
      <c r="MKM45" s="2843"/>
      <c r="MKN45" s="2843"/>
      <c r="MKO45" s="2844"/>
      <c r="MKP45" s="2845"/>
      <c r="MKQ45" s="2842"/>
      <c r="MKR45" s="2842"/>
      <c r="MKS45" s="2843"/>
      <c r="MKT45" s="2843"/>
      <c r="MKU45" s="2844"/>
      <c r="MKV45" s="2845"/>
      <c r="MKW45" s="2842"/>
      <c r="MKX45" s="2842"/>
      <c r="MKY45" s="2843"/>
      <c r="MKZ45" s="2843"/>
      <c r="MLA45" s="2844"/>
      <c r="MLB45" s="2845"/>
      <c r="MLC45" s="2842"/>
      <c r="MLD45" s="2842"/>
      <c r="MLE45" s="2843"/>
      <c r="MLF45" s="2843"/>
      <c r="MLG45" s="2844"/>
      <c r="MLH45" s="2845"/>
      <c r="MLI45" s="2842"/>
      <c r="MLJ45" s="2842"/>
      <c r="MLK45" s="2843"/>
      <c r="MLL45" s="2843"/>
      <c r="MLM45" s="2844"/>
      <c r="MLN45" s="2845"/>
      <c r="MLO45" s="2842"/>
      <c r="MLP45" s="2842"/>
      <c r="MLQ45" s="2843"/>
      <c r="MLR45" s="2843"/>
      <c r="MLS45" s="2844"/>
      <c r="MLT45" s="2845"/>
      <c r="MLU45" s="2842"/>
      <c r="MLV45" s="2842"/>
      <c r="MLW45" s="2843"/>
      <c r="MLX45" s="2843"/>
      <c r="MLY45" s="2844"/>
      <c r="MLZ45" s="2845"/>
      <c r="MMA45" s="2842"/>
      <c r="MMB45" s="2842"/>
      <c r="MMC45" s="2843"/>
      <c r="MMD45" s="2843"/>
      <c r="MME45" s="2844"/>
      <c r="MMF45" s="2845"/>
      <c r="MMG45" s="2842"/>
      <c r="MMH45" s="2842"/>
      <c r="MMI45" s="2843"/>
      <c r="MMJ45" s="2843"/>
      <c r="MMK45" s="2844"/>
      <c r="MML45" s="2845"/>
      <c r="MMM45" s="2842"/>
      <c r="MMN45" s="2842"/>
      <c r="MMO45" s="2843"/>
      <c r="MMP45" s="2843"/>
      <c r="MMQ45" s="2844"/>
      <c r="MMR45" s="2845"/>
      <c r="MMS45" s="2842"/>
      <c r="MMT45" s="2842"/>
      <c r="MMU45" s="2843"/>
      <c r="MMV45" s="2843"/>
      <c r="MMW45" s="2844"/>
      <c r="MMX45" s="2845"/>
      <c r="MMY45" s="2842"/>
      <c r="MMZ45" s="2842"/>
      <c r="MNA45" s="2843"/>
      <c r="MNB45" s="2843"/>
      <c r="MNC45" s="2844"/>
      <c r="MND45" s="2845"/>
      <c r="MNE45" s="2842"/>
      <c r="MNF45" s="2842"/>
      <c r="MNG45" s="2843"/>
      <c r="MNH45" s="2843"/>
      <c r="MNI45" s="2844"/>
      <c r="MNJ45" s="2845"/>
      <c r="MNK45" s="2842"/>
      <c r="MNL45" s="2842"/>
      <c r="MNM45" s="2843"/>
      <c r="MNN45" s="2843"/>
      <c r="MNO45" s="2844"/>
      <c r="MNP45" s="2845"/>
      <c r="MNQ45" s="2842"/>
      <c r="MNR45" s="2842"/>
      <c r="MNS45" s="2843"/>
      <c r="MNT45" s="2843"/>
      <c r="MNU45" s="2844"/>
      <c r="MNV45" s="2845"/>
      <c r="MNW45" s="2842"/>
      <c r="MNX45" s="2842"/>
      <c r="MNY45" s="2843"/>
      <c r="MNZ45" s="2843"/>
      <c r="MOA45" s="2844"/>
      <c r="MOB45" s="2845"/>
      <c r="MOC45" s="2842"/>
      <c r="MOD45" s="2842"/>
      <c r="MOE45" s="2843"/>
      <c r="MOF45" s="2843"/>
      <c r="MOG45" s="2844"/>
      <c r="MOH45" s="2845"/>
      <c r="MOI45" s="2842"/>
      <c r="MOJ45" s="2842"/>
      <c r="MOK45" s="2843"/>
      <c r="MOL45" s="2843"/>
      <c r="MOM45" s="2844"/>
      <c r="MON45" s="2845"/>
      <c r="MOO45" s="2842"/>
      <c r="MOP45" s="2842"/>
      <c r="MOQ45" s="2843"/>
      <c r="MOR45" s="2843"/>
      <c r="MOS45" s="2844"/>
      <c r="MOT45" s="2845"/>
      <c r="MOU45" s="2842"/>
      <c r="MOV45" s="2842"/>
      <c r="MOW45" s="2843"/>
      <c r="MOX45" s="2843"/>
      <c r="MOY45" s="2844"/>
      <c r="MOZ45" s="2845"/>
      <c r="MPA45" s="2842"/>
      <c r="MPB45" s="2842"/>
      <c r="MPC45" s="2843"/>
      <c r="MPD45" s="2843"/>
      <c r="MPE45" s="2844"/>
      <c r="MPF45" s="2845"/>
      <c r="MPG45" s="2842"/>
      <c r="MPH45" s="2842"/>
      <c r="MPI45" s="2843"/>
      <c r="MPJ45" s="2843"/>
      <c r="MPK45" s="2844"/>
      <c r="MPL45" s="2845"/>
      <c r="MPM45" s="2842"/>
      <c r="MPN45" s="2842"/>
      <c r="MPO45" s="2843"/>
      <c r="MPP45" s="2843"/>
      <c r="MPQ45" s="2844"/>
      <c r="MPR45" s="2845"/>
      <c r="MPS45" s="2842"/>
      <c r="MPT45" s="2842"/>
      <c r="MPU45" s="2843"/>
      <c r="MPV45" s="2843"/>
      <c r="MPW45" s="2844"/>
      <c r="MPX45" s="2845"/>
      <c r="MPY45" s="2842"/>
      <c r="MPZ45" s="2842"/>
      <c r="MQA45" s="2843"/>
      <c r="MQB45" s="2843"/>
      <c r="MQC45" s="2844"/>
      <c r="MQD45" s="2845"/>
      <c r="MQE45" s="2842"/>
      <c r="MQF45" s="2842"/>
      <c r="MQG45" s="2843"/>
      <c r="MQH45" s="2843"/>
      <c r="MQI45" s="2844"/>
      <c r="MQJ45" s="2845"/>
      <c r="MQK45" s="2842"/>
      <c r="MQL45" s="2842"/>
      <c r="MQM45" s="2843"/>
      <c r="MQN45" s="2843"/>
      <c r="MQO45" s="2844"/>
      <c r="MQP45" s="2845"/>
      <c r="MQQ45" s="2842"/>
      <c r="MQR45" s="2842"/>
      <c r="MQS45" s="2843"/>
      <c r="MQT45" s="2843"/>
      <c r="MQU45" s="2844"/>
      <c r="MQV45" s="2845"/>
      <c r="MQW45" s="2842"/>
      <c r="MQX45" s="2842"/>
      <c r="MQY45" s="2843"/>
      <c r="MQZ45" s="2843"/>
      <c r="MRA45" s="2844"/>
      <c r="MRB45" s="2845"/>
      <c r="MRC45" s="2842"/>
      <c r="MRD45" s="2842"/>
      <c r="MRE45" s="2843"/>
      <c r="MRF45" s="2843"/>
      <c r="MRG45" s="2844"/>
      <c r="MRH45" s="2845"/>
      <c r="MRI45" s="2842"/>
      <c r="MRJ45" s="2842"/>
      <c r="MRK45" s="2843"/>
      <c r="MRL45" s="2843"/>
      <c r="MRM45" s="2844"/>
      <c r="MRN45" s="2845"/>
      <c r="MRO45" s="2842"/>
      <c r="MRP45" s="2842"/>
      <c r="MRQ45" s="2843"/>
      <c r="MRR45" s="2843"/>
      <c r="MRS45" s="2844"/>
      <c r="MRT45" s="2845"/>
      <c r="MRU45" s="2842"/>
      <c r="MRV45" s="2842"/>
      <c r="MRW45" s="2843"/>
      <c r="MRX45" s="2843"/>
      <c r="MRY45" s="2844"/>
      <c r="MRZ45" s="2845"/>
      <c r="MSA45" s="2842"/>
      <c r="MSB45" s="2842"/>
      <c r="MSC45" s="2843"/>
      <c r="MSD45" s="2843"/>
      <c r="MSE45" s="2844"/>
      <c r="MSF45" s="2845"/>
      <c r="MSG45" s="2842"/>
      <c r="MSH45" s="2842"/>
      <c r="MSI45" s="2843"/>
      <c r="MSJ45" s="2843"/>
      <c r="MSK45" s="2844"/>
      <c r="MSL45" s="2845"/>
      <c r="MSM45" s="2842"/>
      <c r="MSN45" s="2842"/>
      <c r="MSO45" s="2843"/>
      <c r="MSP45" s="2843"/>
      <c r="MSQ45" s="2844"/>
      <c r="MSR45" s="2845"/>
      <c r="MSS45" s="2842"/>
      <c r="MST45" s="2842"/>
      <c r="MSU45" s="2843"/>
      <c r="MSV45" s="2843"/>
      <c r="MSW45" s="2844"/>
      <c r="MSX45" s="2845"/>
      <c r="MSY45" s="2842"/>
      <c r="MSZ45" s="2842"/>
      <c r="MTA45" s="2843"/>
      <c r="MTB45" s="2843"/>
      <c r="MTC45" s="2844"/>
      <c r="MTD45" s="2845"/>
      <c r="MTE45" s="2842"/>
      <c r="MTF45" s="2842"/>
      <c r="MTG45" s="2843"/>
      <c r="MTH45" s="2843"/>
      <c r="MTI45" s="2844"/>
      <c r="MTJ45" s="2845"/>
      <c r="MTK45" s="2842"/>
      <c r="MTL45" s="2842"/>
      <c r="MTM45" s="2843"/>
      <c r="MTN45" s="2843"/>
      <c r="MTO45" s="2844"/>
      <c r="MTP45" s="2845"/>
      <c r="MTQ45" s="2842"/>
      <c r="MTR45" s="2842"/>
      <c r="MTS45" s="2843"/>
      <c r="MTT45" s="2843"/>
      <c r="MTU45" s="2844"/>
      <c r="MTV45" s="2845"/>
      <c r="MTW45" s="2842"/>
      <c r="MTX45" s="2842"/>
      <c r="MTY45" s="2843"/>
      <c r="MTZ45" s="2843"/>
      <c r="MUA45" s="2844"/>
      <c r="MUB45" s="2845"/>
      <c r="MUC45" s="2842"/>
      <c r="MUD45" s="2842"/>
      <c r="MUE45" s="2843"/>
      <c r="MUF45" s="2843"/>
      <c r="MUG45" s="2844"/>
      <c r="MUH45" s="2845"/>
      <c r="MUI45" s="2842"/>
      <c r="MUJ45" s="2842"/>
      <c r="MUK45" s="2843"/>
      <c r="MUL45" s="2843"/>
      <c r="MUM45" s="2844"/>
      <c r="MUN45" s="2845"/>
      <c r="MUO45" s="2842"/>
      <c r="MUP45" s="2842"/>
      <c r="MUQ45" s="2843"/>
      <c r="MUR45" s="2843"/>
      <c r="MUS45" s="2844"/>
      <c r="MUT45" s="2845"/>
      <c r="MUU45" s="2842"/>
      <c r="MUV45" s="2842"/>
      <c r="MUW45" s="2843"/>
      <c r="MUX45" s="2843"/>
      <c r="MUY45" s="2844"/>
      <c r="MUZ45" s="2845"/>
      <c r="MVA45" s="2842"/>
      <c r="MVB45" s="2842"/>
      <c r="MVC45" s="2843"/>
      <c r="MVD45" s="2843"/>
      <c r="MVE45" s="2844"/>
      <c r="MVF45" s="2845"/>
      <c r="MVG45" s="2842"/>
      <c r="MVH45" s="2842"/>
      <c r="MVI45" s="2843"/>
      <c r="MVJ45" s="2843"/>
      <c r="MVK45" s="2844"/>
      <c r="MVL45" s="2845"/>
      <c r="MVM45" s="2842"/>
      <c r="MVN45" s="2842"/>
      <c r="MVO45" s="2843"/>
      <c r="MVP45" s="2843"/>
      <c r="MVQ45" s="2844"/>
      <c r="MVR45" s="2845"/>
      <c r="MVS45" s="2842"/>
      <c r="MVT45" s="2842"/>
      <c r="MVU45" s="2843"/>
      <c r="MVV45" s="2843"/>
      <c r="MVW45" s="2844"/>
      <c r="MVX45" s="2845"/>
      <c r="MVY45" s="2842"/>
      <c r="MVZ45" s="2842"/>
      <c r="MWA45" s="2843"/>
      <c r="MWB45" s="2843"/>
      <c r="MWC45" s="2844"/>
      <c r="MWD45" s="2845"/>
      <c r="MWE45" s="2842"/>
      <c r="MWF45" s="2842"/>
      <c r="MWG45" s="2843"/>
      <c r="MWH45" s="2843"/>
      <c r="MWI45" s="2844"/>
      <c r="MWJ45" s="2845"/>
      <c r="MWK45" s="2842"/>
      <c r="MWL45" s="2842"/>
      <c r="MWM45" s="2843"/>
      <c r="MWN45" s="2843"/>
      <c r="MWO45" s="2844"/>
      <c r="MWP45" s="2845"/>
      <c r="MWQ45" s="2842"/>
      <c r="MWR45" s="2842"/>
      <c r="MWS45" s="2843"/>
      <c r="MWT45" s="2843"/>
      <c r="MWU45" s="2844"/>
      <c r="MWV45" s="2845"/>
      <c r="MWW45" s="2842"/>
      <c r="MWX45" s="2842"/>
      <c r="MWY45" s="2843"/>
      <c r="MWZ45" s="2843"/>
      <c r="MXA45" s="2844"/>
      <c r="MXB45" s="2845"/>
      <c r="MXC45" s="2842"/>
      <c r="MXD45" s="2842"/>
      <c r="MXE45" s="2843"/>
      <c r="MXF45" s="2843"/>
      <c r="MXG45" s="2844"/>
      <c r="MXH45" s="2845"/>
      <c r="MXI45" s="2842"/>
      <c r="MXJ45" s="2842"/>
      <c r="MXK45" s="2843"/>
      <c r="MXL45" s="2843"/>
      <c r="MXM45" s="2844"/>
      <c r="MXN45" s="2845"/>
      <c r="MXO45" s="2842"/>
      <c r="MXP45" s="2842"/>
      <c r="MXQ45" s="2843"/>
      <c r="MXR45" s="2843"/>
      <c r="MXS45" s="2844"/>
      <c r="MXT45" s="2845"/>
      <c r="MXU45" s="2842"/>
      <c r="MXV45" s="2842"/>
      <c r="MXW45" s="2843"/>
      <c r="MXX45" s="2843"/>
      <c r="MXY45" s="2844"/>
      <c r="MXZ45" s="2845"/>
      <c r="MYA45" s="2842"/>
      <c r="MYB45" s="2842"/>
      <c r="MYC45" s="2843"/>
      <c r="MYD45" s="2843"/>
      <c r="MYE45" s="2844"/>
      <c r="MYF45" s="2845"/>
      <c r="MYG45" s="2842"/>
      <c r="MYH45" s="2842"/>
      <c r="MYI45" s="2843"/>
      <c r="MYJ45" s="2843"/>
      <c r="MYK45" s="2844"/>
      <c r="MYL45" s="2845"/>
      <c r="MYM45" s="2842"/>
      <c r="MYN45" s="2842"/>
      <c r="MYO45" s="2843"/>
      <c r="MYP45" s="2843"/>
      <c r="MYQ45" s="2844"/>
      <c r="MYR45" s="2845"/>
      <c r="MYS45" s="2842"/>
      <c r="MYT45" s="2842"/>
      <c r="MYU45" s="2843"/>
      <c r="MYV45" s="2843"/>
      <c r="MYW45" s="2844"/>
      <c r="MYX45" s="2845"/>
      <c r="MYY45" s="2842"/>
      <c r="MYZ45" s="2842"/>
      <c r="MZA45" s="2843"/>
      <c r="MZB45" s="2843"/>
      <c r="MZC45" s="2844"/>
      <c r="MZD45" s="2845"/>
      <c r="MZE45" s="2842"/>
      <c r="MZF45" s="2842"/>
      <c r="MZG45" s="2843"/>
      <c r="MZH45" s="2843"/>
      <c r="MZI45" s="2844"/>
      <c r="MZJ45" s="2845"/>
      <c r="MZK45" s="2842"/>
      <c r="MZL45" s="2842"/>
      <c r="MZM45" s="2843"/>
      <c r="MZN45" s="2843"/>
      <c r="MZO45" s="2844"/>
      <c r="MZP45" s="2845"/>
      <c r="MZQ45" s="2842"/>
      <c r="MZR45" s="2842"/>
      <c r="MZS45" s="2843"/>
      <c r="MZT45" s="2843"/>
      <c r="MZU45" s="2844"/>
      <c r="MZV45" s="2845"/>
      <c r="MZW45" s="2842"/>
      <c r="MZX45" s="2842"/>
      <c r="MZY45" s="2843"/>
      <c r="MZZ45" s="2843"/>
      <c r="NAA45" s="2844"/>
      <c r="NAB45" s="2845"/>
      <c r="NAC45" s="2842"/>
      <c r="NAD45" s="2842"/>
      <c r="NAE45" s="2843"/>
      <c r="NAF45" s="2843"/>
      <c r="NAG45" s="2844"/>
      <c r="NAH45" s="2845"/>
      <c r="NAI45" s="2842"/>
      <c r="NAJ45" s="2842"/>
      <c r="NAK45" s="2843"/>
      <c r="NAL45" s="2843"/>
      <c r="NAM45" s="2844"/>
      <c r="NAN45" s="2845"/>
      <c r="NAO45" s="2842"/>
      <c r="NAP45" s="2842"/>
      <c r="NAQ45" s="2843"/>
      <c r="NAR45" s="2843"/>
      <c r="NAS45" s="2844"/>
      <c r="NAT45" s="2845"/>
      <c r="NAU45" s="2842"/>
      <c r="NAV45" s="2842"/>
      <c r="NAW45" s="2843"/>
      <c r="NAX45" s="2843"/>
      <c r="NAY45" s="2844"/>
      <c r="NAZ45" s="2845"/>
      <c r="NBA45" s="2842"/>
      <c r="NBB45" s="2842"/>
      <c r="NBC45" s="2843"/>
      <c r="NBD45" s="2843"/>
      <c r="NBE45" s="2844"/>
      <c r="NBF45" s="2845"/>
      <c r="NBG45" s="2842"/>
      <c r="NBH45" s="2842"/>
      <c r="NBI45" s="2843"/>
      <c r="NBJ45" s="2843"/>
      <c r="NBK45" s="2844"/>
      <c r="NBL45" s="2845"/>
      <c r="NBM45" s="2842"/>
      <c r="NBN45" s="2842"/>
      <c r="NBO45" s="2843"/>
      <c r="NBP45" s="2843"/>
      <c r="NBQ45" s="2844"/>
      <c r="NBR45" s="2845"/>
      <c r="NBS45" s="2842"/>
      <c r="NBT45" s="2842"/>
      <c r="NBU45" s="2843"/>
      <c r="NBV45" s="2843"/>
      <c r="NBW45" s="2844"/>
      <c r="NBX45" s="2845"/>
      <c r="NBY45" s="2842"/>
      <c r="NBZ45" s="2842"/>
      <c r="NCA45" s="2843"/>
      <c r="NCB45" s="2843"/>
      <c r="NCC45" s="2844"/>
      <c r="NCD45" s="2845"/>
      <c r="NCE45" s="2842"/>
      <c r="NCF45" s="2842"/>
      <c r="NCG45" s="2843"/>
      <c r="NCH45" s="2843"/>
      <c r="NCI45" s="2844"/>
      <c r="NCJ45" s="2845"/>
      <c r="NCK45" s="2842"/>
      <c r="NCL45" s="2842"/>
      <c r="NCM45" s="2843"/>
      <c r="NCN45" s="2843"/>
      <c r="NCO45" s="2844"/>
      <c r="NCP45" s="2845"/>
      <c r="NCQ45" s="2842"/>
      <c r="NCR45" s="2842"/>
      <c r="NCS45" s="2843"/>
      <c r="NCT45" s="2843"/>
      <c r="NCU45" s="2844"/>
      <c r="NCV45" s="2845"/>
      <c r="NCW45" s="2842"/>
      <c r="NCX45" s="2842"/>
      <c r="NCY45" s="2843"/>
      <c r="NCZ45" s="2843"/>
      <c r="NDA45" s="2844"/>
      <c r="NDB45" s="2845"/>
      <c r="NDC45" s="2842"/>
      <c r="NDD45" s="2842"/>
      <c r="NDE45" s="2843"/>
      <c r="NDF45" s="2843"/>
      <c r="NDG45" s="2844"/>
      <c r="NDH45" s="2845"/>
      <c r="NDI45" s="2842"/>
      <c r="NDJ45" s="2842"/>
      <c r="NDK45" s="2843"/>
      <c r="NDL45" s="2843"/>
      <c r="NDM45" s="2844"/>
      <c r="NDN45" s="2845"/>
      <c r="NDO45" s="2842"/>
      <c r="NDP45" s="2842"/>
      <c r="NDQ45" s="2843"/>
      <c r="NDR45" s="2843"/>
      <c r="NDS45" s="2844"/>
      <c r="NDT45" s="2845"/>
      <c r="NDU45" s="2842"/>
      <c r="NDV45" s="2842"/>
      <c r="NDW45" s="2843"/>
      <c r="NDX45" s="2843"/>
      <c r="NDY45" s="2844"/>
      <c r="NDZ45" s="2845"/>
      <c r="NEA45" s="2842"/>
      <c r="NEB45" s="2842"/>
      <c r="NEC45" s="2843"/>
      <c r="NED45" s="2843"/>
      <c r="NEE45" s="2844"/>
      <c r="NEF45" s="2845"/>
      <c r="NEG45" s="2842"/>
      <c r="NEH45" s="2842"/>
      <c r="NEI45" s="2843"/>
      <c r="NEJ45" s="2843"/>
      <c r="NEK45" s="2844"/>
      <c r="NEL45" s="2845"/>
      <c r="NEM45" s="2842"/>
      <c r="NEN45" s="2842"/>
      <c r="NEO45" s="2843"/>
      <c r="NEP45" s="2843"/>
      <c r="NEQ45" s="2844"/>
      <c r="NER45" s="2845"/>
      <c r="NES45" s="2842"/>
      <c r="NET45" s="2842"/>
      <c r="NEU45" s="2843"/>
      <c r="NEV45" s="2843"/>
      <c r="NEW45" s="2844"/>
      <c r="NEX45" s="2845"/>
      <c r="NEY45" s="2842"/>
      <c r="NEZ45" s="2842"/>
      <c r="NFA45" s="2843"/>
      <c r="NFB45" s="2843"/>
      <c r="NFC45" s="2844"/>
      <c r="NFD45" s="2845"/>
      <c r="NFE45" s="2842"/>
      <c r="NFF45" s="2842"/>
      <c r="NFG45" s="2843"/>
      <c r="NFH45" s="2843"/>
      <c r="NFI45" s="2844"/>
      <c r="NFJ45" s="2845"/>
      <c r="NFK45" s="2842"/>
      <c r="NFL45" s="2842"/>
      <c r="NFM45" s="2843"/>
      <c r="NFN45" s="2843"/>
      <c r="NFO45" s="2844"/>
      <c r="NFP45" s="2845"/>
      <c r="NFQ45" s="2842"/>
      <c r="NFR45" s="2842"/>
      <c r="NFS45" s="2843"/>
      <c r="NFT45" s="2843"/>
      <c r="NFU45" s="2844"/>
      <c r="NFV45" s="2845"/>
      <c r="NFW45" s="2842"/>
      <c r="NFX45" s="2842"/>
      <c r="NFY45" s="2843"/>
      <c r="NFZ45" s="2843"/>
      <c r="NGA45" s="2844"/>
      <c r="NGB45" s="2845"/>
      <c r="NGC45" s="2842"/>
      <c r="NGD45" s="2842"/>
      <c r="NGE45" s="2843"/>
      <c r="NGF45" s="2843"/>
      <c r="NGG45" s="2844"/>
      <c r="NGH45" s="2845"/>
      <c r="NGI45" s="2842"/>
      <c r="NGJ45" s="2842"/>
      <c r="NGK45" s="2843"/>
      <c r="NGL45" s="2843"/>
      <c r="NGM45" s="2844"/>
      <c r="NGN45" s="2845"/>
      <c r="NGO45" s="2842"/>
      <c r="NGP45" s="2842"/>
      <c r="NGQ45" s="2843"/>
      <c r="NGR45" s="2843"/>
      <c r="NGS45" s="2844"/>
      <c r="NGT45" s="2845"/>
      <c r="NGU45" s="2842"/>
      <c r="NGV45" s="2842"/>
      <c r="NGW45" s="2843"/>
      <c r="NGX45" s="2843"/>
      <c r="NGY45" s="2844"/>
      <c r="NGZ45" s="2845"/>
      <c r="NHA45" s="2842"/>
      <c r="NHB45" s="2842"/>
      <c r="NHC45" s="2843"/>
      <c r="NHD45" s="2843"/>
      <c r="NHE45" s="2844"/>
      <c r="NHF45" s="2845"/>
      <c r="NHG45" s="2842"/>
      <c r="NHH45" s="2842"/>
      <c r="NHI45" s="2843"/>
      <c r="NHJ45" s="2843"/>
      <c r="NHK45" s="2844"/>
      <c r="NHL45" s="2845"/>
      <c r="NHM45" s="2842"/>
      <c r="NHN45" s="2842"/>
      <c r="NHO45" s="2843"/>
      <c r="NHP45" s="2843"/>
      <c r="NHQ45" s="2844"/>
      <c r="NHR45" s="2845"/>
      <c r="NHS45" s="2842"/>
      <c r="NHT45" s="2842"/>
      <c r="NHU45" s="2843"/>
      <c r="NHV45" s="2843"/>
      <c r="NHW45" s="2844"/>
      <c r="NHX45" s="2845"/>
      <c r="NHY45" s="2842"/>
      <c r="NHZ45" s="2842"/>
      <c r="NIA45" s="2843"/>
      <c r="NIB45" s="2843"/>
      <c r="NIC45" s="2844"/>
      <c r="NID45" s="2845"/>
      <c r="NIE45" s="2842"/>
      <c r="NIF45" s="2842"/>
      <c r="NIG45" s="2843"/>
      <c r="NIH45" s="2843"/>
      <c r="NII45" s="2844"/>
      <c r="NIJ45" s="2845"/>
      <c r="NIK45" s="2842"/>
      <c r="NIL45" s="2842"/>
      <c r="NIM45" s="2843"/>
      <c r="NIN45" s="2843"/>
      <c r="NIO45" s="2844"/>
      <c r="NIP45" s="2845"/>
      <c r="NIQ45" s="2842"/>
      <c r="NIR45" s="2842"/>
      <c r="NIS45" s="2843"/>
      <c r="NIT45" s="2843"/>
      <c r="NIU45" s="2844"/>
      <c r="NIV45" s="2845"/>
      <c r="NIW45" s="2842"/>
      <c r="NIX45" s="2842"/>
      <c r="NIY45" s="2843"/>
      <c r="NIZ45" s="2843"/>
      <c r="NJA45" s="2844"/>
      <c r="NJB45" s="2845"/>
      <c r="NJC45" s="2842"/>
      <c r="NJD45" s="2842"/>
      <c r="NJE45" s="2843"/>
      <c r="NJF45" s="2843"/>
      <c r="NJG45" s="2844"/>
      <c r="NJH45" s="2845"/>
      <c r="NJI45" s="2842"/>
      <c r="NJJ45" s="2842"/>
      <c r="NJK45" s="2843"/>
      <c r="NJL45" s="2843"/>
      <c r="NJM45" s="2844"/>
      <c r="NJN45" s="2845"/>
      <c r="NJO45" s="2842"/>
      <c r="NJP45" s="2842"/>
      <c r="NJQ45" s="2843"/>
      <c r="NJR45" s="2843"/>
      <c r="NJS45" s="2844"/>
      <c r="NJT45" s="2845"/>
      <c r="NJU45" s="2842"/>
      <c r="NJV45" s="2842"/>
      <c r="NJW45" s="2843"/>
      <c r="NJX45" s="2843"/>
      <c r="NJY45" s="2844"/>
      <c r="NJZ45" s="2845"/>
      <c r="NKA45" s="2842"/>
      <c r="NKB45" s="2842"/>
      <c r="NKC45" s="2843"/>
      <c r="NKD45" s="2843"/>
      <c r="NKE45" s="2844"/>
      <c r="NKF45" s="2845"/>
      <c r="NKG45" s="2842"/>
      <c r="NKH45" s="2842"/>
      <c r="NKI45" s="2843"/>
      <c r="NKJ45" s="2843"/>
      <c r="NKK45" s="2844"/>
      <c r="NKL45" s="2845"/>
      <c r="NKM45" s="2842"/>
      <c r="NKN45" s="2842"/>
      <c r="NKO45" s="2843"/>
      <c r="NKP45" s="2843"/>
      <c r="NKQ45" s="2844"/>
      <c r="NKR45" s="2845"/>
      <c r="NKS45" s="2842"/>
      <c r="NKT45" s="2842"/>
      <c r="NKU45" s="2843"/>
      <c r="NKV45" s="2843"/>
      <c r="NKW45" s="2844"/>
      <c r="NKX45" s="2845"/>
      <c r="NKY45" s="2842"/>
      <c r="NKZ45" s="2842"/>
      <c r="NLA45" s="2843"/>
      <c r="NLB45" s="2843"/>
      <c r="NLC45" s="2844"/>
      <c r="NLD45" s="2845"/>
      <c r="NLE45" s="2842"/>
      <c r="NLF45" s="2842"/>
      <c r="NLG45" s="2843"/>
      <c r="NLH45" s="2843"/>
      <c r="NLI45" s="2844"/>
      <c r="NLJ45" s="2845"/>
      <c r="NLK45" s="2842"/>
      <c r="NLL45" s="2842"/>
      <c r="NLM45" s="2843"/>
      <c r="NLN45" s="2843"/>
      <c r="NLO45" s="2844"/>
      <c r="NLP45" s="2845"/>
      <c r="NLQ45" s="2842"/>
      <c r="NLR45" s="2842"/>
      <c r="NLS45" s="2843"/>
      <c r="NLT45" s="2843"/>
      <c r="NLU45" s="2844"/>
      <c r="NLV45" s="2845"/>
      <c r="NLW45" s="2842"/>
      <c r="NLX45" s="2842"/>
      <c r="NLY45" s="2843"/>
      <c r="NLZ45" s="2843"/>
      <c r="NMA45" s="2844"/>
      <c r="NMB45" s="2845"/>
      <c r="NMC45" s="2842"/>
      <c r="NMD45" s="2842"/>
      <c r="NME45" s="2843"/>
      <c r="NMF45" s="2843"/>
      <c r="NMG45" s="2844"/>
      <c r="NMH45" s="2845"/>
      <c r="NMI45" s="2842"/>
      <c r="NMJ45" s="2842"/>
      <c r="NMK45" s="2843"/>
      <c r="NML45" s="2843"/>
      <c r="NMM45" s="2844"/>
      <c r="NMN45" s="2845"/>
      <c r="NMO45" s="2842"/>
      <c r="NMP45" s="2842"/>
      <c r="NMQ45" s="2843"/>
      <c r="NMR45" s="2843"/>
      <c r="NMS45" s="2844"/>
      <c r="NMT45" s="2845"/>
      <c r="NMU45" s="2842"/>
      <c r="NMV45" s="2842"/>
      <c r="NMW45" s="2843"/>
      <c r="NMX45" s="2843"/>
      <c r="NMY45" s="2844"/>
      <c r="NMZ45" s="2845"/>
      <c r="NNA45" s="2842"/>
      <c r="NNB45" s="2842"/>
      <c r="NNC45" s="2843"/>
      <c r="NND45" s="2843"/>
      <c r="NNE45" s="2844"/>
      <c r="NNF45" s="2845"/>
      <c r="NNG45" s="2842"/>
      <c r="NNH45" s="2842"/>
      <c r="NNI45" s="2843"/>
      <c r="NNJ45" s="2843"/>
      <c r="NNK45" s="2844"/>
      <c r="NNL45" s="2845"/>
      <c r="NNM45" s="2842"/>
      <c r="NNN45" s="2842"/>
      <c r="NNO45" s="2843"/>
      <c r="NNP45" s="2843"/>
      <c r="NNQ45" s="2844"/>
      <c r="NNR45" s="2845"/>
      <c r="NNS45" s="2842"/>
      <c r="NNT45" s="2842"/>
      <c r="NNU45" s="2843"/>
      <c r="NNV45" s="2843"/>
      <c r="NNW45" s="2844"/>
      <c r="NNX45" s="2845"/>
      <c r="NNY45" s="2842"/>
      <c r="NNZ45" s="2842"/>
      <c r="NOA45" s="2843"/>
      <c r="NOB45" s="2843"/>
      <c r="NOC45" s="2844"/>
      <c r="NOD45" s="2845"/>
      <c r="NOE45" s="2842"/>
      <c r="NOF45" s="2842"/>
      <c r="NOG45" s="2843"/>
      <c r="NOH45" s="2843"/>
      <c r="NOI45" s="2844"/>
      <c r="NOJ45" s="2845"/>
      <c r="NOK45" s="2842"/>
      <c r="NOL45" s="2842"/>
      <c r="NOM45" s="2843"/>
      <c r="NON45" s="2843"/>
      <c r="NOO45" s="2844"/>
      <c r="NOP45" s="2845"/>
      <c r="NOQ45" s="2842"/>
      <c r="NOR45" s="2842"/>
      <c r="NOS45" s="2843"/>
      <c r="NOT45" s="2843"/>
      <c r="NOU45" s="2844"/>
      <c r="NOV45" s="2845"/>
      <c r="NOW45" s="2842"/>
      <c r="NOX45" s="2842"/>
      <c r="NOY45" s="2843"/>
      <c r="NOZ45" s="2843"/>
      <c r="NPA45" s="2844"/>
      <c r="NPB45" s="2845"/>
      <c r="NPC45" s="2842"/>
      <c r="NPD45" s="2842"/>
      <c r="NPE45" s="2843"/>
      <c r="NPF45" s="2843"/>
      <c r="NPG45" s="2844"/>
      <c r="NPH45" s="2845"/>
      <c r="NPI45" s="2842"/>
      <c r="NPJ45" s="2842"/>
      <c r="NPK45" s="2843"/>
      <c r="NPL45" s="2843"/>
      <c r="NPM45" s="2844"/>
      <c r="NPN45" s="2845"/>
      <c r="NPO45" s="2842"/>
      <c r="NPP45" s="2842"/>
      <c r="NPQ45" s="2843"/>
      <c r="NPR45" s="2843"/>
      <c r="NPS45" s="2844"/>
      <c r="NPT45" s="2845"/>
      <c r="NPU45" s="2842"/>
      <c r="NPV45" s="2842"/>
      <c r="NPW45" s="2843"/>
      <c r="NPX45" s="2843"/>
      <c r="NPY45" s="2844"/>
      <c r="NPZ45" s="2845"/>
      <c r="NQA45" s="2842"/>
      <c r="NQB45" s="2842"/>
      <c r="NQC45" s="2843"/>
      <c r="NQD45" s="2843"/>
      <c r="NQE45" s="2844"/>
      <c r="NQF45" s="2845"/>
      <c r="NQG45" s="2842"/>
      <c r="NQH45" s="2842"/>
      <c r="NQI45" s="2843"/>
      <c r="NQJ45" s="2843"/>
      <c r="NQK45" s="2844"/>
      <c r="NQL45" s="2845"/>
      <c r="NQM45" s="2842"/>
      <c r="NQN45" s="2842"/>
      <c r="NQO45" s="2843"/>
      <c r="NQP45" s="2843"/>
      <c r="NQQ45" s="2844"/>
      <c r="NQR45" s="2845"/>
      <c r="NQS45" s="2842"/>
      <c r="NQT45" s="2842"/>
      <c r="NQU45" s="2843"/>
      <c r="NQV45" s="2843"/>
      <c r="NQW45" s="2844"/>
      <c r="NQX45" s="2845"/>
      <c r="NQY45" s="2842"/>
      <c r="NQZ45" s="2842"/>
      <c r="NRA45" s="2843"/>
      <c r="NRB45" s="2843"/>
      <c r="NRC45" s="2844"/>
      <c r="NRD45" s="2845"/>
      <c r="NRE45" s="2842"/>
      <c r="NRF45" s="2842"/>
      <c r="NRG45" s="2843"/>
      <c r="NRH45" s="2843"/>
      <c r="NRI45" s="2844"/>
      <c r="NRJ45" s="2845"/>
      <c r="NRK45" s="2842"/>
      <c r="NRL45" s="2842"/>
      <c r="NRM45" s="2843"/>
      <c r="NRN45" s="2843"/>
      <c r="NRO45" s="2844"/>
      <c r="NRP45" s="2845"/>
      <c r="NRQ45" s="2842"/>
      <c r="NRR45" s="2842"/>
      <c r="NRS45" s="2843"/>
      <c r="NRT45" s="2843"/>
      <c r="NRU45" s="2844"/>
      <c r="NRV45" s="2845"/>
      <c r="NRW45" s="2842"/>
      <c r="NRX45" s="2842"/>
      <c r="NRY45" s="2843"/>
      <c r="NRZ45" s="2843"/>
      <c r="NSA45" s="2844"/>
      <c r="NSB45" s="2845"/>
      <c r="NSC45" s="2842"/>
      <c r="NSD45" s="2842"/>
      <c r="NSE45" s="2843"/>
      <c r="NSF45" s="2843"/>
      <c r="NSG45" s="2844"/>
      <c r="NSH45" s="2845"/>
      <c r="NSI45" s="2842"/>
      <c r="NSJ45" s="2842"/>
      <c r="NSK45" s="2843"/>
      <c r="NSL45" s="2843"/>
      <c r="NSM45" s="2844"/>
      <c r="NSN45" s="2845"/>
      <c r="NSO45" s="2842"/>
      <c r="NSP45" s="2842"/>
      <c r="NSQ45" s="2843"/>
      <c r="NSR45" s="2843"/>
      <c r="NSS45" s="2844"/>
      <c r="NST45" s="2845"/>
      <c r="NSU45" s="2842"/>
      <c r="NSV45" s="2842"/>
      <c r="NSW45" s="2843"/>
      <c r="NSX45" s="2843"/>
      <c r="NSY45" s="2844"/>
      <c r="NSZ45" s="2845"/>
      <c r="NTA45" s="2842"/>
      <c r="NTB45" s="2842"/>
      <c r="NTC45" s="2843"/>
      <c r="NTD45" s="2843"/>
      <c r="NTE45" s="2844"/>
      <c r="NTF45" s="2845"/>
      <c r="NTG45" s="2842"/>
      <c r="NTH45" s="2842"/>
      <c r="NTI45" s="2843"/>
      <c r="NTJ45" s="2843"/>
      <c r="NTK45" s="2844"/>
      <c r="NTL45" s="2845"/>
      <c r="NTM45" s="2842"/>
      <c r="NTN45" s="2842"/>
      <c r="NTO45" s="2843"/>
      <c r="NTP45" s="2843"/>
      <c r="NTQ45" s="2844"/>
      <c r="NTR45" s="2845"/>
      <c r="NTS45" s="2842"/>
      <c r="NTT45" s="2842"/>
      <c r="NTU45" s="2843"/>
      <c r="NTV45" s="2843"/>
      <c r="NTW45" s="2844"/>
      <c r="NTX45" s="2845"/>
      <c r="NTY45" s="2842"/>
      <c r="NTZ45" s="2842"/>
      <c r="NUA45" s="2843"/>
      <c r="NUB45" s="2843"/>
      <c r="NUC45" s="2844"/>
      <c r="NUD45" s="2845"/>
      <c r="NUE45" s="2842"/>
      <c r="NUF45" s="2842"/>
      <c r="NUG45" s="2843"/>
      <c r="NUH45" s="2843"/>
      <c r="NUI45" s="2844"/>
      <c r="NUJ45" s="2845"/>
      <c r="NUK45" s="2842"/>
      <c r="NUL45" s="2842"/>
      <c r="NUM45" s="2843"/>
      <c r="NUN45" s="2843"/>
      <c r="NUO45" s="2844"/>
      <c r="NUP45" s="2845"/>
      <c r="NUQ45" s="2842"/>
      <c r="NUR45" s="2842"/>
      <c r="NUS45" s="2843"/>
      <c r="NUT45" s="2843"/>
      <c r="NUU45" s="2844"/>
      <c r="NUV45" s="2845"/>
      <c r="NUW45" s="2842"/>
      <c r="NUX45" s="2842"/>
      <c r="NUY45" s="2843"/>
      <c r="NUZ45" s="2843"/>
      <c r="NVA45" s="2844"/>
      <c r="NVB45" s="2845"/>
      <c r="NVC45" s="2842"/>
      <c r="NVD45" s="2842"/>
      <c r="NVE45" s="2843"/>
      <c r="NVF45" s="2843"/>
      <c r="NVG45" s="2844"/>
      <c r="NVH45" s="2845"/>
      <c r="NVI45" s="2842"/>
      <c r="NVJ45" s="2842"/>
      <c r="NVK45" s="2843"/>
      <c r="NVL45" s="2843"/>
      <c r="NVM45" s="2844"/>
      <c r="NVN45" s="2845"/>
      <c r="NVO45" s="2842"/>
      <c r="NVP45" s="2842"/>
      <c r="NVQ45" s="2843"/>
      <c r="NVR45" s="2843"/>
      <c r="NVS45" s="2844"/>
      <c r="NVT45" s="2845"/>
      <c r="NVU45" s="2842"/>
      <c r="NVV45" s="2842"/>
      <c r="NVW45" s="2843"/>
      <c r="NVX45" s="2843"/>
      <c r="NVY45" s="2844"/>
      <c r="NVZ45" s="2845"/>
      <c r="NWA45" s="2842"/>
      <c r="NWB45" s="2842"/>
      <c r="NWC45" s="2843"/>
      <c r="NWD45" s="2843"/>
      <c r="NWE45" s="2844"/>
      <c r="NWF45" s="2845"/>
      <c r="NWG45" s="2842"/>
      <c r="NWH45" s="2842"/>
      <c r="NWI45" s="2843"/>
      <c r="NWJ45" s="2843"/>
      <c r="NWK45" s="2844"/>
      <c r="NWL45" s="2845"/>
      <c r="NWM45" s="2842"/>
      <c r="NWN45" s="2842"/>
      <c r="NWO45" s="2843"/>
      <c r="NWP45" s="2843"/>
      <c r="NWQ45" s="2844"/>
      <c r="NWR45" s="2845"/>
      <c r="NWS45" s="2842"/>
      <c r="NWT45" s="2842"/>
      <c r="NWU45" s="2843"/>
      <c r="NWV45" s="2843"/>
      <c r="NWW45" s="2844"/>
      <c r="NWX45" s="2845"/>
      <c r="NWY45" s="2842"/>
      <c r="NWZ45" s="2842"/>
      <c r="NXA45" s="2843"/>
      <c r="NXB45" s="2843"/>
      <c r="NXC45" s="2844"/>
      <c r="NXD45" s="2845"/>
      <c r="NXE45" s="2842"/>
      <c r="NXF45" s="2842"/>
      <c r="NXG45" s="2843"/>
      <c r="NXH45" s="2843"/>
      <c r="NXI45" s="2844"/>
      <c r="NXJ45" s="2845"/>
      <c r="NXK45" s="2842"/>
      <c r="NXL45" s="2842"/>
      <c r="NXM45" s="2843"/>
      <c r="NXN45" s="2843"/>
      <c r="NXO45" s="2844"/>
      <c r="NXP45" s="2845"/>
      <c r="NXQ45" s="2842"/>
      <c r="NXR45" s="2842"/>
      <c r="NXS45" s="2843"/>
      <c r="NXT45" s="2843"/>
      <c r="NXU45" s="2844"/>
      <c r="NXV45" s="2845"/>
      <c r="NXW45" s="2842"/>
      <c r="NXX45" s="2842"/>
      <c r="NXY45" s="2843"/>
      <c r="NXZ45" s="2843"/>
      <c r="NYA45" s="2844"/>
      <c r="NYB45" s="2845"/>
      <c r="NYC45" s="2842"/>
      <c r="NYD45" s="2842"/>
      <c r="NYE45" s="2843"/>
      <c r="NYF45" s="2843"/>
      <c r="NYG45" s="2844"/>
      <c r="NYH45" s="2845"/>
      <c r="NYI45" s="2842"/>
      <c r="NYJ45" s="2842"/>
      <c r="NYK45" s="2843"/>
      <c r="NYL45" s="2843"/>
      <c r="NYM45" s="2844"/>
      <c r="NYN45" s="2845"/>
      <c r="NYO45" s="2842"/>
      <c r="NYP45" s="2842"/>
      <c r="NYQ45" s="2843"/>
      <c r="NYR45" s="2843"/>
      <c r="NYS45" s="2844"/>
      <c r="NYT45" s="2845"/>
      <c r="NYU45" s="2842"/>
      <c r="NYV45" s="2842"/>
      <c r="NYW45" s="2843"/>
      <c r="NYX45" s="2843"/>
      <c r="NYY45" s="2844"/>
      <c r="NYZ45" s="2845"/>
      <c r="NZA45" s="2842"/>
      <c r="NZB45" s="2842"/>
      <c r="NZC45" s="2843"/>
      <c r="NZD45" s="2843"/>
      <c r="NZE45" s="2844"/>
      <c r="NZF45" s="2845"/>
      <c r="NZG45" s="2842"/>
      <c r="NZH45" s="2842"/>
      <c r="NZI45" s="2843"/>
      <c r="NZJ45" s="2843"/>
      <c r="NZK45" s="2844"/>
      <c r="NZL45" s="2845"/>
      <c r="NZM45" s="2842"/>
      <c r="NZN45" s="2842"/>
      <c r="NZO45" s="2843"/>
      <c r="NZP45" s="2843"/>
      <c r="NZQ45" s="2844"/>
      <c r="NZR45" s="2845"/>
      <c r="NZS45" s="2842"/>
      <c r="NZT45" s="2842"/>
      <c r="NZU45" s="2843"/>
      <c r="NZV45" s="2843"/>
      <c r="NZW45" s="2844"/>
      <c r="NZX45" s="2845"/>
      <c r="NZY45" s="2842"/>
      <c r="NZZ45" s="2842"/>
      <c r="OAA45" s="2843"/>
      <c r="OAB45" s="2843"/>
      <c r="OAC45" s="2844"/>
      <c r="OAD45" s="2845"/>
      <c r="OAE45" s="2842"/>
      <c r="OAF45" s="2842"/>
      <c r="OAG45" s="2843"/>
      <c r="OAH45" s="2843"/>
      <c r="OAI45" s="2844"/>
      <c r="OAJ45" s="2845"/>
      <c r="OAK45" s="2842"/>
      <c r="OAL45" s="2842"/>
      <c r="OAM45" s="2843"/>
      <c r="OAN45" s="2843"/>
      <c r="OAO45" s="2844"/>
      <c r="OAP45" s="2845"/>
      <c r="OAQ45" s="2842"/>
      <c r="OAR45" s="2842"/>
      <c r="OAS45" s="2843"/>
      <c r="OAT45" s="2843"/>
      <c r="OAU45" s="2844"/>
      <c r="OAV45" s="2845"/>
      <c r="OAW45" s="2842"/>
      <c r="OAX45" s="2842"/>
      <c r="OAY45" s="2843"/>
      <c r="OAZ45" s="2843"/>
      <c r="OBA45" s="2844"/>
      <c r="OBB45" s="2845"/>
      <c r="OBC45" s="2842"/>
      <c r="OBD45" s="2842"/>
      <c r="OBE45" s="2843"/>
      <c r="OBF45" s="2843"/>
      <c r="OBG45" s="2844"/>
      <c r="OBH45" s="2845"/>
      <c r="OBI45" s="2842"/>
      <c r="OBJ45" s="2842"/>
      <c r="OBK45" s="2843"/>
      <c r="OBL45" s="2843"/>
      <c r="OBM45" s="2844"/>
      <c r="OBN45" s="2845"/>
      <c r="OBO45" s="2842"/>
      <c r="OBP45" s="2842"/>
      <c r="OBQ45" s="2843"/>
      <c r="OBR45" s="2843"/>
      <c r="OBS45" s="2844"/>
      <c r="OBT45" s="2845"/>
      <c r="OBU45" s="2842"/>
      <c r="OBV45" s="2842"/>
      <c r="OBW45" s="2843"/>
      <c r="OBX45" s="2843"/>
      <c r="OBY45" s="2844"/>
      <c r="OBZ45" s="2845"/>
      <c r="OCA45" s="2842"/>
      <c r="OCB45" s="2842"/>
      <c r="OCC45" s="2843"/>
      <c r="OCD45" s="2843"/>
      <c r="OCE45" s="2844"/>
      <c r="OCF45" s="2845"/>
      <c r="OCG45" s="2842"/>
      <c r="OCH45" s="2842"/>
      <c r="OCI45" s="2843"/>
      <c r="OCJ45" s="2843"/>
      <c r="OCK45" s="2844"/>
      <c r="OCL45" s="2845"/>
      <c r="OCM45" s="2842"/>
      <c r="OCN45" s="2842"/>
      <c r="OCO45" s="2843"/>
      <c r="OCP45" s="2843"/>
      <c r="OCQ45" s="2844"/>
      <c r="OCR45" s="2845"/>
      <c r="OCS45" s="2842"/>
      <c r="OCT45" s="2842"/>
      <c r="OCU45" s="2843"/>
      <c r="OCV45" s="2843"/>
      <c r="OCW45" s="2844"/>
      <c r="OCX45" s="2845"/>
      <c r="OCY45" s="2842"/>
      <c r="OCZ45" s="2842"/>
      <c r="ODA45" s="2843"/>
      <c r="ODB45" s="2843"/>
      <c r="ODC45" s="2844"/>
      <c r="ODD45" s="2845"/>
      <c r="ODE45" s="2842"/>
      <c r="ODF45" s="2842"/>
      <c r="ODG45" s="2843"/>
      <c r="ODH45" s="2843"/>
      <c r="ODI45" s="2844"/>
      <c r="ODJ45" s="2845"/>
      <c r="ODK45" s="2842"/>
      <c r="ODL45" s="2842"/>
      <c r="ODM45" s="2843"/>
      <c r="ODN45" s="2843"/>
      <c r="ODO45" s="2844"/>
      <c r="ODP45" s="2845"/>
      <c r="ODQ45" s="2842"/>
      <c r="ODR45" s="2842"/>
      <c r="ODS45" s="2843"/>
      <c r="ODT45" s="2843"/>
      <c r="ODU45" s="2844"/>
      <c r="ODV45" s="2845"/>
      <c r="ODW45" s="2842"/>
      <c r="ODX45" s="2842"/>
      <c r="ODY45" s="2843"/>
      <c r="ODZ45" s="2843"/>
      <c r="OEA45" s="2844"/>
      <c r="OEB45" s="2845"/>
      <c r="OEC45" s="2842"/>
      <c r="OED45" s="2842"/>
      <c r="OEE45" s="2843"/>
      <c r="OEF45" s="2843"/>
      <c r="OEG45" s="2844"/>
      <c r="OEH45" s="2845"/>
      <c r="OEI45" s="2842"/>
      <c r="OEJ45" s="2842"/>
      <c r="OEK45" s="2843"/>
      <c r="OEL45" s="2843"/>
      <c r="OEM45" s="2844"/>
      <c r="OEN45" s="2845"/>
      <c r="OEO45" s="2842"/>
      <c r="OEP45" s="2842"/>
      <c r="OEQ45" s="2843"/>
      <c r="OER45" s="2843"/>
      <c r="OES45" s="2844"/>
      <c r="OET45" s="2845"/>
      <c r="OEU45" s="2842"/>
      <c r="OEV45" s="2842"/>
      <c r="OEW45" s="2843"/>
      <c r="OEX45" s="2843"/>
      <c r="OEY45" s="2844"/>
      <c r="OEZ45" s="2845"/>
      <c r="OFA45" s="2842"/>
      <c r="OFB45" s="2842"/>
      <c r="OFC45" s="2843"/>
      <c r="OFD45" s="2843"/>
      <c r="OFE45" s="2844"/>
      <c r="OFF45" s="2845"/>
      <c r="OFG45" s="2842"/>
      <c r="OFH45" s="2842"/>
      <c r="OFI45" s="2843"/>
      <c r="OFJ45" s="2843"/>
      <c r="OFK45" s="2844"/>
      <c r="OFL45" s="2845"/>
      <c r="OFM45" s="2842"/>
      <c r="OFN45" s="2842"/>
      <c r="OFO45" s="2843"/>
      <c r="OFP45" s="2843"/>
      <c r="OFQ45" s="2844"/>
      <c r="OFR45" s="2845"/>
      <c r="OFS45" s="2842"/>
      <c r="OFT45" s="2842"/>
      <c r="OFU45" s="2843"/>
      <c r="OFV45" s="2843"/>
      <c r="OFW45" s="2844"/>
      <c r="OFX45" s="2845"/>
      <c r="OFY45" s="2842"/>
      <c r="OFZ45" s="2842"/>
      <c r="OGA45" s="2843"/>
      <c r="OGB45" s="2843"/>
      <c r="OGC45" s="2844"/>
      <c r="OGD45" s="2845"/>
      <c r="OGE45" s="2842"/>
      <c r="OGF45" s="2842"/>
      <c r="OGG45" s="2843"/>
      <c r="OGH45" s="2843"/>
      <c r="OGI45" s="2844"/>
      <c r="OGJ45" s="2845"/>
      <c r="OGK45" s="2842"/>
      <c r="OGL45" s="2842"/>
      <c r="OGM45" s="2843"/>
      <c r="OGN45" s="2843"/>
      <c r="OGO45" s="2844"/>
      <c r="OGP45" s="2845"/>
      <c r="OGQ45" s="2842"/>
      <c r="OGR45" s="2842"/>
      <c r="OGS45" s="2843"/>
      <c r="OGT45" s="2843"/>
      <c r="OGU45" s="2844"/>
      <c r="OGV45" s="2845"/>
      <c r="OGW45" s="2842"/>
      <c r="OGX45" s="2842"/>
      <c r="OGY45" s="2843"/>
      <c r="OGZ45" s="2843"/>
      <c r="OHA45" s="2844"/>
      <c r="OHB45" s="2845"/>
      <c r="OHC45" s="2842"/>
      <c r="OHD45" s="2842"/>
      <c r="OHE45" s="2843"/>
      <c r="OHF45" s="2843"/>
      <c r="OHG45" s="2844"/>
      <c r="OHH45" s="2845"/>
      <c r="OHI45" s="2842"/>
      <c r="OHJ45" s="2842"/>
      <c r="OHK45" s="2843"/>
      <c r="OHL45" s="2843"/>
      <c r="OHM45" s="2844"/>
      <c r="OHN45" s="2845"/>
      <c r="OHO45" s="2842"/>
      <c r="OHP45" s="2842"/>
      <c r="OHQ45" s="2843"/>
      <c r="OHR45" s="2843"/>
      <c r="OHS45" s="2844"/>
      <c r="OHT45" s="2845"/>
      <c r="OHU45" s="2842"/>
      <c r="OHV45" s="2842"/>
      <c r="OHW45" s="2843"/>
      <c r="OHX45" s="2843"/>
      <c r="OHY45" s="2844"/>
      <c r="OHZ45" s="2845"/>
      <c r="OIA45" s="2842"/>
      <c r="OIB45" s="2842"/>
      <c r="OIC45" s="2843"/>
      <c r="OID45" s="2843"/>
      <c r="OIE45" s="2844"/>
      <c r="OIF45" s="2845"/>
      <c r="OIG45" s="2842"/>
      <c r="OIH45" s="2842"/>
      <c r="OII45" s="2843"/>
      <c r="OIJ45" s="2843"/>
      <c r="OIK45" s="2844"/>
      <c r="OIL45" s="2845"/>
      <c r="OIM45" s="2842"/>
      <c r="OIN45" s="2842"/>
      <c r="OIO45" s="2843"/>
      <c r="OIP45" s="2843"/>
      <c r="OIQ45" s="2844"/>
      <c r="OIR45" s="2845"/>
      <c r="OIS45" s="2842"/>
      <c r="OIT45" s="2842"/>
      <c r="OIU45" s="2843"/>
      <c r="OIV45" s="2843"/>
      <c r="OIW45" s="2844"/>
      <c r="OIX45" s="2845"/>
      <c r="OIY45" s="2842"/>
      <c r="OIZ45" s="2842"/>
      <c r="OJA45" s="2843"/>
      <c r="OJB45" s="2843"/>
      <c r="OJC45" s="2844"/>
      <c r="OJD45" s="2845"/>
      <c r="OJE45" s="2842"/>
      <c r="OJF45" s="2842"/>
      <c r="OJG45" s="2843"/>
      <c r="OJH45" s="2843"/>
      <c r="OJI45" s="2844"/>
      <c r="OJJ45" s="2845"/>
      <c r="OJK45" s="2842"/>
      <c r="OJL45" s="2842"/>
      <c r="OJM45" s="2843"/>
      <c r="OJN45" s="2843"/>
      <c r="OJO45" s="2844"/>
      <c r="OJP45" s="2845"/>
      <c r="OJQ45" s="2842"/>
      <c r="OJR45" s="2842"/>
      <c r="OJS45" s="2843"/>
      <c r="OJT45" s="2843"/>
      <c r="OJU45" s="2844"/>
      <c r="OJV45" s="2845"/>
      <c r="OJW45" s="2842"/>
      <c r="OJX45" s="2842"/>
      <c r="OJY45" s="2843"/>
      <c r="OJZ45" s="2843"/>
      <c r="OKA45" s="2844"/>
      <c r="OKB45" s="2845"/>
      <c r="OKC45" s="2842"/>
      <c r="OKD45" s="2842"/>
      <c r="OKE45" s="2843"/>
      <c r="OKF45" s="2843"/>
      <c r="OKG45" s="2844"/>
      <c r="OKH45" s="2845"/>
      <c r="OKI45" s="2842"/>
      <c r="OKJ45" s="2842"/>
      <c r="OKK45" s="2843"/>
      <c r="OKL45" s="2843"/>
      <c r="OKM45" s="2844"/>
      <c r="OKN45" s="2845"/>
      <c r="OKO45" s="2842"/>
      <c r="OKP45" s="2842"/>
      <c r="OKQ45" s="2843"/>
      <c r="OKR45" s="2843"/>
      <c r="OKS45" s="2844"/>
      <c r="OKT45" s="2845"/>
      <c r="OKU45" s="2842"/>
      <c r="OKV45" s="2842"/>
      <c r="OKW45" s="2843"/>
      <c r="OKX45" s="2843"/>
      <c r="OKY45" s="2844"/>
      <c r="OKZ45" s="2845"/>
      <c r="OLA45" s="2842"/>
      <c r="OLB45" s="2842"/>
      <c r="OLC45" s="2843"/>
      <c r="OLD45" s="2843"/>
      <c r="OLE45" s="2844"/>
      <c r="OLF45" s="2845"/>
      <c r="OLG45" s="2842"/>
      <c r="OLH45" s="2842"/>
      <c r="OLI45" s="2843"/>
      <c r="OLJ45" s="2843"/>
      <c r="OLK45" s="2844"/>
      <c r="OLL45" s="2845"/>
      <c r="OLM45" s="2842"/>
      <c r="OLN45" s="2842"/>
      <c r="OLO45" s="2843"/>
      <c r="OLP45" s="2843"/>
      <c r="OLQ45" s="2844"/>
      <c r="OLR45" s="2845"/>
      <c r="OLS45" s="2842"/>
      <c r="OLT45" s="2842"/>
      <c r="OLU45" s="2843"/>
      <c r="OLV45" s="2843"/>
      <c r="OLW45" s="2844"/>
      <c r="OLX45" s="2845"/>
      <c r="OLY45" s="2842"/>
      <c r="OLZ45" s="2842"/>
      <c r="OMA45" s="2843"/>
      <c r="OMB45" s="2843"/>
      <c r="OMC45" s="2844"/>
      <c r="OMD45" s="2845"/>
      <c r="OME45" s="2842"/>
      <c r="OMF45" s="2842"/>
      <c r="OMG45" s="2843"/>
      <c r="OMH45" s="2843"/>
      <c r="OMI45" s="2844"/>
      <c r="OMJ45" s="2845"/>
      <c r="OMK45" s="2842"/>
      <c r="OML45" s="2842"/>
      <c r="OMM45" s="2843"/>
      <c r="OMN45" s="2843"/>
      <c r="OMO45" s="2844"/>
      <c r="OMP45" s="2845"/>
      <c r="OMQ45" s="2842"/>
      <c r="OMR45" s="2842"/>
      <c r="OMS45" s="2843"/>
      <c r="OMT45" s="2843"/>
      <c r="OMU45" s="2844"/>
      <c r="OMV45" s="2845"/>
      <c r="OMW45" s="2842"/>
      <c r="OMX45" s="2842"/>
      <c r="OMY45" s="2843"/>
      <c r="OMZ45" s="2843"/>
      <c r="ONA45" s="2844"/>
      <c r="ONB45" s="2845"/>
      <c r="ONC45" s="2842"/>
      <c r="OND45" s="2842"/>
      <c r="ONE45" s="2843"/>
      <c r="ONF45" s="2843"/>
      <c r="ONG45" s="2844"/>
      <c r="ONH45" s="2845"/>
      <c r="ONI45" s="2842"/>
      <c r="ONJ45" s="2842"/>
      <c r="ONK45" s="2843"/>
      <c r="ONL45" s="2843"/>
      <c r="ONM45" s="2844"/>
      <c r="ONN45" s="2845"/>
      <c r="ONO45" s="2842"/>
      <c r="ONP45" s="2842"/>
      <c r="ONQ45" s="2843"/>
      <c r="ONR45" s="2843"/>
      <c r="ONS45" s="2844"/>
      <c r="ONT45" s="2845"/>
      <c r="ONU45" s="2842"/>
      <c r="ONV45" s="2842"/>
      <c r="ONW45" s="2843"/>
      <c r="ONX45" s="2843"/>
      <c r="ONY45" s="2844"/>
      <c r="ONZ45" s="2845"/>
      <c r="OOA45" s="2842"/>
      <c r="OOB45" s="2842"/>
      <c r="OOC45" s="2843"/>
      <c r="OOD45" s="2843"/>
      <c r="OOE45" s="2844"/>
      <c r="OOF45" s="2845"/>
      <c r="OOG45" s="2842"/>
      <c r="OOH45" s="2842"/>
      <c r="OOI45" s="2843"/>
      <c r="OOJ45" s="2843"/>
      <c r="OOK45" s="2844"/>
      <c r="OOL45" s="2845"/>
      <c r="OOM45" s="2842"/>
      <c r="OON45" s="2842"/>
      <c r="OOO45" s="2843"/>
      <c r="OOP45" s="2843"/>
      <c r="OOQ45" s="2844"/>
      <c r="OOR45" s="2845"/>
      <c r="OOS45" s="2842"/>
      <c r="OOT45" s="2842"/>
      <c r="OOU45" s="2843"/>
      <c r="OOV45" s="2843"/>
      <c r="OOW45" s="2844"/>
      <c r="OOX45" s="2845"/>
      <c r="OOY45" s="2842"/>
      <c r="OOZ45" s="2842"/>
      <c r="OPA45" s="2843"/>
      <c r="OPB45" s="2843"/>
      <c r="OPC45" s="2844"/>
      <c r="OPD45" s="2845"/>
      <c r="OPE45" s="2842"/>
      <c r="OPF45" s="2842"/>
      <c r="OPG45" s="2843"/>
      <c r="OPH45" s="2843"/>
      <c r="OPI45" s="2844"/>
      <c r="OPJ45" s="2845"/>
      <c r="OPK45" s="2842"/>
      <c r="OPL45" s="2842"/>
      <c r="OPM45" s="2843"/>
      <c r="OPN45" s="2843"/>
      <c r="OPO45" s="2844"/>
      <c r="OPP45" s="2845"/>
      <c r="OPQ45" s="2842"/>
      <c r="OPR45" s="2842"/>
      <c r="OPS45" s="2843"/>
      <c r="OPT45" s="2843"/>
      <c r="OPU45" s="2844"/>
      <c r="OPV45" s="2845"/>
      <c r="OPW45" s="2842"/>
      <c r="OPX45" s="2842"/>
      <c r="OPY45" s="2843"/>
      <c r="OPZ45" s="2843"/>
      <c r="OQA45" s="2844"/>
      <c r="OQB45" s="2845"/>
      <c r="OQC45" s="2842"/>
      <c r="OQD45" s="2842"/>
      <c r="OQE45" s="2843"/>
      <c r="OQF45" s="2843"/>
      <c r="OQG45" s="2844"/>
      <c r="OQH45" s="2845"/>
      <c r="OQI45" s="2842"/>
      <c r="OQJ45" s="2842"/>
      <c r="OQK45" s="2843"/>
      <c r="OQL45" s="2843"/>
      <c r="OQM45" s="2844"/>
      <c r="OQN45" s="2845"/>
      <c r="OQO45" s="2842"/>
      <c r="OQP45" s="2842"/>
      <c r="OQQ45" s="2843"/>
      <c r="OQR45" s="2843"/>
      <c r="OQS45" s="2844"/>
      <c r="OQT45" s="2845"/>
      <c r="OQU45" s="2842"/>
      <c r="OQV45" s="2842"/>
      <c r="OQW45" s="2843"/>
      <c r="OQX45" s="2843"/>
      <c r="OQY45" s="2844"/>
      <c r="OQZ45" s="2845"/>
      <c r="ORA45" s="2842"/>
      <c r="ORB45" s="2842"/>
      <c r="ORC45" s="2843"/>
      <c r="ORD45" s="2843"/>
      <c r="ORE45" s="2844"/>
      <c r="ORF45" s="2845"/>
      <c r="ORG45" s="2842"/>
      <c r="ORH45" s="2842"/>
      <c r="ORI45" s="2843"/>
      <c r="ORJ45" s="2843"/>
      <c r="ORK45" s="2844"/>
      <c r="ORL45" s="2845"/>
      <c r="ORM45" s="2842"/>
      <c r="ORN45" s="2842"/>
      <c r="ORO45" s="2843"/>
      <c r="ORP45" s="2843"/>
      <c r="ORQ45" s="2844"/>
      <c r="ORR45" s="2845"/>
      <c r="ORS45" s="2842"/>
      <c r="ORT45" s="2842"/>
      <c r="ORU45" s="2843"/>
      <c r="ORV45" s="2843"/>
      <c r="ORW45" s="2844"/>
      <c r="ORX45" s="2845"/>
      <c r="ORY45" s="2842"/>
      <c r="ORZ45" s="2842"/>
      <c r="OSA45" s="2843"/>
      <c r="OSB45" s="2843"/>
      <c r="OSC45" s="2844"/>
      <c r="OSD45" s="2845"/>
      <c r="OSE45" s="2842"/>
      <c r="OSF45" s="2842"/>
      <c r="OSG45" s="2843"/>
      <c r="OSH45" s="2843"/>
      <c r="OSI45" s="2844"/>
      <c r="OSJ45" s="2845"/>
      <c r="OSK45" s="2842"/>
      <c r="OSL45" s="2842"/>
      <c r="OSM45" s="2843"/>
      <c r="OSN45" s="2843"/>
      <c r="OSO45" s="2844"/>
      <c r="OSP45" s="2845"/>
      <c r="OSQ45" s="2842"/>
      <c r="OSR45" s="2842"/>
      <c r="OSS45" s="2843"/>
      <c r="OST45" s="2843"/>
      <c r="OSU45" s="2844"/>
      <c r="OSV45" s="2845"/>
      <c r="OSW45" s="2842"/>
      <c r="OSX45" s="2842"/>
      <c r="OSY45" s="2843"/>
      <c r="OSZ45" s="2843"/>
      <c r="OTA45" s="2844"/>
      <c r="OTB45" s="2845"/>
      <c r="OTC45" s="2842"/>
      <c r="OTD45" s="2842"/>
      <c r="OTE45" s="2843"/>
      <c r="OTF45" s="2843"/>
      <c r="OTG45" s="2844"/>
      <c r="OTH45" s="2845"/>
      <c r="OTI45" s="2842"/>
      <c r="OTJ45" s="2842"/>
      <c r="OTK45" s="2843"/>
      <c r="OTL45" s="2843"/>
      <c r="OTM45" s="2844"/>
      <c r="OTN45" s="2845"/>
      <c r="OTO45" s="2842"/>
      <c r="OTP45" s="2842"/>
      <c r="OTQ45" s="2843"/>
      <c r="OTR45" s="2843"/>
      <c r="OTS45" s="2844"/>
      <c r="OTT45" s="2845"/>
      <c r="OTU45" s="2842"/>
      <c r="OTV45" s="2842"/>
      <c r="OTW45" s="2843"/>
      <c r="OTX45" s="2843"/>
      <c r="OTY45" s="2844"/>
      <c r="OTZ45" s="2845"/>
      <c r="OUA45" s="2842"/>
      <c r="OUB45" s="2842"/>
      <c r="OUC45" s="2843"/>
      <c r="OUD45" s="2843"/>
      <c r="OUE45" s="2844"/>
      <c r="OUF45" s="2845"/>
      <c r="OUG45" s="2842"/>
      <c r="OUH45" s="2842"/>
      <c r="OUI45" s="2843"/>
      <c r="OUJ45" s="2843"/>
      <c r="OUK45" s="2844"/>
      <c r="OUL45" s="2845"/>
      <c r="OUM45" s="2842"/>
      <c r="OUN45" s="2842"/>
      <c r="OUO45" s="2843"/>
      <c r="OUP45" s="2843"/>
      <c r="OUQ45" s="2844"/>
      <c r="OUR45" s="2845"/>
      <c r="OUS45" s="2842"/>
      <c r="OUT45" s="2842"/>
      <c r="OUU45" s="2843"/>
      <c r="OUV45" s="2843"/>
      <c r="OUW45" s="2844"/>
      <c r="OUX45" s="2845"/>
      <c r="OUY45" s="2842"/>
      <c r="OUZ45" s="2842"/>
      <c r="OVA45" s="2843"/>
      <c r="OVB45" s="2843"/>
      <c r="OVC45" s="2844"/>
      <c r="OVD45" s="2845"/>
      <c r="OVE45" s="2842"/>
      <c r="OVF45" s="2842"/>
      <c r="OVG45" s="2843"/>
      <c r="OVH45" s="2843"/>
      <c r="OVI45" s="2844"/>
      <c r="OVJ45" s="2845"/>
      <c r="OVK45" s="2842"/>
      <c r="OVL45" s="2842"/>
      <c r="OVM45" s="2843"/>
      <c r="OVN45" s="2843"/>
      <c r="OVO45" s="2844"/>
      <c r="OVP45" s="2845"/>
      <c r="OVQ45" s="2842"/>
      <c r="OVR45" s="2842"/>
      <c r="OVS45" s="2843"/>
      <c r="OVT45" s="2843"/>
      <c r="OVU45" s="2844"/>
      <c r="OVV45" s="2845"/>
      <c r="OVW45" s="2842"/>
      <c r="OVX45" s="2842"/>
      <c r="OVY45" s="2843"/>
      <c r="OVZ45" s="2843"/>
      <c r="OWA45" s="2844"/>
      <c r="OWB45" s="2845"/>
      <c r="OWC45" s="2842"/>
      <c r="OWD45" s="2842"/>
      <c r="OWE45" s="2843"/>
      <c r="OWF45" s="2843"/>
      <c r="OWG45" s="2844"/>
      <c r="OWH45" s="2845"/>
      <c r="OWI45" s="2842"/>
      <c r="OWJ45" s="2842"/>
      <c r="OWK45" s="2843"/>
      <c r="OWL45" s="2843"/>
      <c r="OWM45" s="2844"/>
      <c r="OWN45" s="2845"/>
      <c r="OWO45" s="2842"/>
      <c r="OWP45" s="2842"/>
      <c r="OWQ45" s="2843"/>
      <c r="OWR45" s="2843"/>
      <c r="OWS45" s="2844"/>
      <c r="OWT45" s="2845"/>
      <c r="OWU45" s="2842"/>
      <c r="OWV45" s="2842"/>
      <c r="OWW45" s="2843"/>
      <c r="OWX45" s="2843"/>
      <c r="OWY45" s="2844"/>
      <c r="OWZ45" s="2845"/>
      <c r="OXA45" s="2842"/>
      <c r="OXB45" s="2842"/>
      <c r="OXC45" s="2843"/>
      <c r="OXD45" s="2843"/>
      <c r="OXE45" s="2844"/>
      <c r="OXF45" s="2845"/>
      <c r="OXG45" s="2842"/>
      <c r="OXH45" s="2842"/>
      <c r="OXI45" s="2843"/>
      <c r="OXJ45" s="2843"/>
      <c r="OXK45" s="2844"/>
      <c r="OXL45" s="2845"/>
      <c r="OXM45" s="2842"/>
      <c r="OXN45" s="2842"/>
      <c r="OXO45" s="2843"/>
      <c r="OXP45" s="2843"/>
      <c r="OXQ45" s="2844"/>
      <c r="OXR45" s="2845"/>
      <c r="OXS45" s="2842"/>
      <c r="OXT45" s="2842"/>
      <c r="OXU45" s="2843"/>
      <c r="OXV45" s="2843"/>
      <c r="OXW45" s="2844"/>
      <c r="OXX45" s="2845"/>
      <c r="OXY45" s="2842"/>
      <c r="OXZ45" s="2842"/>
      <c r="OYA45" s="2843"/>
      <c r="OYB45" s="2843"/>
      <c r="OYC45" s="2844"/>
      <c r="OYD45" s="2845"/>
      <c r="OYE45" s="2842"/>
      <c r="OYF45" s="2842"/>
      <c r="OYG45" s="2843"/>
      <c r="OYH45" s="2843"/>
      <c r="OYI45" s="2844"/>
      <c r="OYJ45" s="2845"/>
      <c r="OYK45" s="2842"/>
      <c r="OYL45" s="2842"/>
      <c r="OYM45" s="2843"/>
      <c r="OYN45" s="2843"/>
      <c r="OYO45" s="2844"/>
      <c r="OYP45" s="2845"/>
      <c r="OYQ45" s="2842"/>
      <c r="OYR45" s="2842"/>
      <c r="OYS45" s="2843"/>
      <c r="OYT45" s="2843"/>
      <c r="OYU45" s="2844"/>
      <c r="OYV45" s="2845"/>
      <c r="OYW45" s="2842"/>
      <c r="OYX45" s="2842"/>
      <c r="OYY45" s="2843"/>
      <c r="OYZ45" s="2843"/>
      <c r="OZA45" s="2844"/>
      <c r="OZB45" s="2845"/>
      <c r="OZC45" s="2842"/>
      <c r="OZD45" s="2842"/>
      <c r="OZE45" s="2843"/>
      <c r="OZF45" s="2843"/>
      <c r="OZG45" s="2844"/>
      <c r="OZH45" s="2845"/>
      <c r="OZI45" s="2842"/>
      <c r="OZJ45" s="2842"/>
      <c r="OZK45" s="2843"/>
      <c r="OZL45" s="2843"/>
      <c r="OZM45" s="2844"/>
      <c r="OZN45" s="2845"/>
      <c r="OZO45" s="2842"/>
      <c r="OZP45" s="2842"/>
      <c r="OZQ45" s="2843"/>
      <c r="OZR45" s="2843"/>
      <c r="OZS45" s="2844"/>
      <c r="OZT45" s="2845"/>
      <c r="OZU45" s="2842"/>
      <c r="OZV45" s="2842"/>
      <c r="OZW45" s="2843"/>
      <c r="OZX45" s="2843"/>
      <c r="OZY45" s="2844"/>
      <c r="OZZ45" s="2845"/>
      <c r="PAA45" s="2842"/>
      <c r="PAB45" s="2842"/>
      <c r="PAC45" s="2843"/>
      <c r="PAD45" s="2843"/>
      <c r="PAE45" s="2844"/>
      <c r="PAF45" s="2845"/>
      <c r="PAG45" s="2842"/>
      <c r="PAH45" s="2842"/>
      <c r="PAI45" s="2843"/>
      <c r="PAJ45" s="2843"/>
      <c r="PAK45" s="2844"/>
      <c r="PAL45" s="2845"/>
      <c r="PAM45" s="2842"/>
      <c r="PAN45" s="2842"/>
      <c r="PAO45" s="2843"/>
      <c r="PAP45" s="2843"/>
      <c r="PAQ45" s="2844"/>
      <c r="PAR45" s="2845"/>
      <c r="PAS45" s="2842"/>
      <c r="PAT45" s="2842"/>
      <c r="PAU45" s="2843"/>
      <c r="PAV45" s="2843"/>
      <c r="PAW45" s="2844"/>
      <c r="PAX45" s="2845"/>
      <c r="PAY45" s="2842"/>
      <c r="PAZ45" s="2842"/>
      <c r="PBA45" s="2843"/>
      <c r="PBB45" s="2843"/>
      <c r="PBC45" s="2844"/>
      <c r="PBD45" s="2845"/>
      <c r="PBE45" s="2842"/>
      <c r="PBF45" s="2842"/>
      <c r="PBG45" s="2843"/>
      <c r="PBH45" s="2843"/>
      <c r="PBI45" s="2844"/>
      <c r="PBJ45" s="2845"/>
      <c r="PBK45" s="2842"/>
      <c r="PBL45" s="2842"/>
      <c r="PBM45" s="2843"/>
      <c r="PBN45" s="2843"/>
      <c r="PBO45" s="2844"/>
      <c r="PBP45" s="2845"/>
      <c r="PBQ45" s="2842"/>
      <c r="PBR45" s="2842"/>
      <c r="PBS45" s="2843"/>
      <c r="PBT45" s="2843"/>
      <c r="PBU45" s="2844"/>
      <c r="PBV45" s="2845"/>
      <c r="PBW45" s="2842"/>
      <c r="PBX45" s="2842"/>
      <c r="PBY45" s="2843"/>
      <c r="PBZ45" s="2843"/>
      <c r="PCA45" s="2844"/>
      <c r="PCB45" s="2845"/>
      <c r="PCC45" s="2842"/>
      <c r="PCD45" s="2842"/>
      <c r="PCE45" s="2843"/>
      <c r="PCF45" s="2843"/>
      <c r="PCG45" s="2844"/>
      <c r="PCH45" s="2845"/>
      <c r="PCI45" s="2842"/>
      <c r="PCJ45" s="2842"/>
      <c r="PCK45" s="2843"/>
      <c r="PCL45" s="2843"/>
      <c r="PCM45" s="2844"/>
      <c r="PCN45" s="2845"/>
      <c r="PCO45" s="2842"/>
      <c r="PCP45" s="2842"/>
      <c r="PCQ45" s="2843"/>
      <c r="PCR45" s="2843"/>
      <c r="PCS45" s="2844"/>
      <c r="PCT45" s="2845"/>
      <c r="PCU45" s="2842"/>
      <c r="PCV45" s="2842"/>
      <c r="PCW45" s="2843"/>
      <c r="PCX45" s="2843"/>
      <c r="PCY45" s="2844"/>
      <c r="PCZ45" s="2845"/>
      <c r="PDA45" s="2842"/>
      <c r="PDB45" s="2842"/>
      <c r="PDC45" s="2843"/>
      <c r="PDD45" s="2843"/>
      <c r="PDE45" s="2844"/>
      <c r="PDF45" s="2845"/>
      <c r="PDG45" s="2842"/>
      <c r="PDH45" s="2842"/>
      <c r="PDI45" s="2843"/>
      <c r="PDJ45" s="2843"/>
      <c r="PDK45" s="2844"/>
      <c r="PDL45" s="2845"/>
      <c r="PDM45" s="2842"/>
      <c r="PDN45" s="2842"/>
      <c r="PDO45" s="2843"/>
      <c r="PDP45" s="2843"/>
      <c r="PDQ45" s="2844"/>
      <c r="PDR45" s="2845"/>
      <c r="PDS45" s="2842"/>
      <c r="PDT45" s="2842"/>
      <c r="PDU45" s="2843"/>
      <c r="PDV45" s="2843"/>
      <c r="PDW45" s="2844"/>
      <c r="PDX45" s="2845"/>
      <c r="PDY45" s="2842"/>
      <c r="PDZ45" s="2842"/>
      <c r="PEA45" s="2843"/>
      <c r="PEB45" s="2843"/>
      <c r="PEC45" s="2844"/>
      <c r="PED45" s="2845"/>
      <c r="PEE45" s="2842"/>
      <c r="PEF45" s="2842"/>
      <c r="PEG45" s="2843"/>
      <c r="PEH45" s="2843"/>
      <c r="PEI45" s="2844"/>
      <c r="PEJ45" s="2845"/>
      <c r="PEK45" s="2842"/>
      <c r="PEL45" s="2842"/>
      <c r="PEM45" s="2843"/>
      <c r="PEN45" s="2843"/>
      <c r="PEO45" s="2844"/>
      <c r="PEP45" s="2845"/>
      <c r="PEQ45" s="2842"/>
      <c r="PER45" s="2842"/>
      <c r="PES45" s="2843"/>
      <c r="PET45" s="2843"/>
      <c r="PEU45" s="2844"/>
      <c r="PEV45" s="2845"/>
      <c r="PEW45" s="2842"/>
      <c r="PEX45" s="2842"/>
      <c r="PEY45" s="2843"/>
      <c r="PEZ45" s="2843"/>
      <c r="PFA45" s="2844"/>
      <c r="PFB45" s="2845"/>
      <c r="PFC45" s="2842"/>
      <c r="PFD45" s="2842"/>
      <c r="PFE45" s="2843"/>
      <c r="PFF45" s="2843"/>
      <c r="PFG45" s="2844"/>
      <c r="PFH45" s="2845"/>
      <c r="PFI45" s="2842"/>
      <c r="PFJ45" s="2842"/>
      <c r="PFK45" s="2843"/>
      <c r="PFL45" s="2843"/>
      <c r="PFM45" s="2844"/>
      <c r="PFN45" s="2845"/>
      <c r="PFO45" s="2842"/>
      <c r="PFP45" s="2842"/>
      <c r="PFQ45" s="2843"/>
      <c r="PFR45" s="2843"/>
      <c r="PFS45" s="2844"/>
      <c r="PFT45" s="2845"/>
      <c r="PFU45" s="2842"/>
      <c r="PFV45" s="2842"/>
      <c r="PFW45" s="2843"/>
      <c r="PFX45" s="2843"/>
      <c r="PFY45" s="2844"/>
      <c r="PFZ45" s="2845"/>
      <c r="PGA45" s="2842"/>
      <c r="PGB45" s="2842"/>
      <c r="PGC45" s="2843"/>
      <c r="PGD45" s="2843"/>
      <c r="PGE45" s="2844"/>
      <c r="PGF45" s="2845"/>
      <c r="PGG45" s="2842"/>
      <c r="PGH45" s="2842"/>
      <c r="PGI45" s="2843"/>
      <c r="PGJ45" s="2843"/>
      <c r="PGK45" s="2844"/>
      <c r="PGL45" s="2845"/>
      <c r="PGM45" s="2842"/>
      <c r="PGN45" s="2842"/>
      <c r="PGO45" s="2843"/>
      <c r="PGP45" s="2843"/>
      <c r="PGQ45" s="2844"/>
      <c r="PGR45" s="2845"/>
      <c r="PGS45" s="2842"/>
      <c r="PGT45" s="2842"/>
      <c r="PGU45" s="2843"/>
      <c r="PGV45" s="2843"/>
      <c r="PGW45" s="2844"/>
      <c r="PGX45" s="2845"/>
      <c r="PGY45" s="2842"/>
      <c r="PGZ45" s="2842"/>
      <c r="PHA45" s="2843"/>
      <c r="PHB45" s="2843"/>
      <c r="PHC45" s="2844"/>
      <c r="PHD45" s="2845"/>
      <c r="PHE45" s="2842"/>
      <c r="PHF45" s="2842"/>
      <c r="PHG45" s="2843"/>
      <c r="PHH45" s="2843"/>
      <c r="PHI45" s="2844"/>
      <c r="PHJ45" s="2845"/>
      <c r="PHK45" s="2842"/>
      <c r="PHL45" s="2842"/>
      <c r="PHM45" s="2843"/>
      <c r="PHN45" s="2843"/>
      <c r="PHO45" s="2844"/>
      <c r="PHP45" s="2845"/>
      <c r="PHQ45" s="2842"/>
      <c r="PHR45" s="2842"/>
      <c r="PHS45" s="2843"/>
      <c r="PHT45" s="2843"/>
      <c r="PHU45" s="2844"/>
      <c r="PHV45" s="2845"/>
      <c r="PHW45" s="2842"/>
      <c r="PHX45" s="2842"/>
      <c r="PHY45" s="2843"/>
      <c r="PHZ45" s="2843"/>
      <c r="PIA45" s="2844"/>
      <c r="PIB45" s="2845"/>
      <c r="PIC45" s="2842"/>
      <c r="PID45" s="2842"/>
      <c r="PIE45" s="2843"/>
      <c r="PIF45" s="2843"/>
      <c r="PIG45" s="2844"/>
      <c r="PIH45" s="2845"/>
      <c r="PII45" s="2842"/>
      <c r="PIJ45" s="2842"/>
      <c r="PIK45" s="2843"/>
      <c r="PIL45" s="2843"/>
      <c r="PIM45" s="2844"/>
      <c r="PIN45" s="2845"/>
      <c r="PIO45" s="2842"/>
      <c r="PIP45" s="2842"/>
      <c r="PIQ45" s="2843"/>
      <c r="PIR45" s="2843"/>
      <c r="PIS45" s="2844"/>
      <c r="PIT45" s="2845"/>
      <c r="PIU45" s="2842"/>
      <c r="PIV45" s="2842"/>
      <c r="PIW45" s="2843"/>
      <c r="PIX45" s="2843"/>
      <c r="PIY45" s="2844"/>
      <c r="PIZ45" s="2845"/>
      <c r="PJA45" s="2842"/>
      <c r="PJB45" s="2842"/>
      <c r="PJC45" s="2843"/>
      <c r="PJD45" s="2843"/>
      <c r="PJE45" s="2844"/>
      <c r="PJF45" s="2845"/>
      <c r="PJG45" s="2842"/>
      <c r="PJH45" s="2842"/>
      <c r="PJI45" s="2843"/>
      <c r="PJJ45" s="2843"/>
      <c r="PJK45" s="2844"/>
      <c r="PJL45" s="2845"/>
      <c r="PJM45" s="2842"/>
      <c r="PJN45" s="2842"/>
      <c r="PJO45" s="2843"/>
      <c r="PJP45" s="2843"/>
      <c r="PJQ45" s="2844"/>
      <c r="PJR45" s="2845"/>
      <c r="PJS45" s="2842"/>
      <c r="PJT45" s="2842"/>
      <c r="PJU45" s="2843"/>
      <c r="PJV45" s="2843"/>
      <c r="PJW45" s="2844"/>
      <c r="PJX45" s="2845"/>
      <c r="PJY45" s="2842"/>
      <c r="PJZ45" s="2842"/>
      <c r="PKA45" s="2843"/>
      <c r="PKB45" s="2843"/>
      <c r="PKC45" s="2844"/>
      <c r="PKD45" s="2845"/>
      <c r="PKE45" s="2842"/>
      <c r="PKF45" s="2842"/>
      <c r="PKG45" s="2843"/>
      <c r="PKH45" s="2843"/>
      <c r="PKI45" s="2844"/>
      <c r="PKJ45" s="2845"/>
      <c r="PKK45" s="2842"/>
      <c r="PKL45" s="2842"/>
      <c r="PKM45" s="2843"/>
      <c r="PKN45" s="2843"/>
      <c r="PKO45" s="2844"/>
      <c r="PKP45" s="2845"/>
      <c r="PKQ45" s="2842"/>
      <c r="PKR45" s="2842"/>
      <c r="PKS45" s="2843"/>
      <c r="PKT45" s="2843"/>
      <c r="PKU45" s="2844"/>
      <c r="PKV45" s="2845"/>
      <c r="PKW45" s="2842"/>
      <c r="PKX45" s="2842"/>
      <c r="PKY45" s="2843"/>
      <c r="PKZ45" s="2843"/>
      <c r="PLA45" s="2844"/>
      <c r="PLB45" s="2845"/>
      <c r="PLC45" s="2842"/>
      <c r="PLD45" s="2842"/>
      <c r="PLE45" s="2843"/>
      <c r="PLF45" s="2843"/>
      <c r="PLG45" s="2844"/>
      <c r="PLH45" s="2845"/>
      <c r="PLI45" s="2842"/>
      <c r="PLJ45" s="2842"/>
      <c r="PLK45" s="2843"/>
      <c r="PLL45" s="2843"/>
      <c r="PLM45" s="2844"/>
      <c r="PLN45" s="2845"/>
      <c r="PLO45" s="2842"/>
      <c r="PLP45" s="2842"/>
      <c r="PLQ45" s="2843"/>
      <c r="PLR45" s="2843"/>
      <c r="PLS45" s="2844"/>
      <c r="PLT45" s="2845"/>
      <c r="PLU45" s="2842"/>
      <c r="PLV45" s="2842"/>
      <c r="PLW45" s="2843"/>
      <c r="PLX45" s="2843"/>
      <c r="PLY45" s="2844"/>
      <c r="PLZ45" s="2845"/>
      <c r="PMA45" s="2842"/>
      <c r="PMB45" s="2842"/>
      <c r="PMC45" s="2843"/>
      <c r="PMD45" s="2843"/>
      <c r="PME45" s="2844"/>
      <c r="PMF45" s="2845"/>
      <c r="PMG45" s="2842"/>
      <c r="PMH45" s="2842"/>
      <c r="PMI45" s="2843"/>
      <c r="PMJ45" s="2843"/>
      <c r="PMK45" s="2844"/>
      <c r="PML45" s="2845"/>
      <c r="PMM45" s="2842"/>
      <c r="PMN45" s="2842"/>
      <c r="PMO45" s="2843"/>
      <c r="PMP45" s="2843"/>
      <c r="PMQ45" s="2844"/>
      <c r="PMR45" s="2845"/>
      <c r="PMS45" s="2842"/>
      <c r="PMT45" s="2842"/>
      <c r="PMU45" s="2843"/>
      <c r="PMV45" s="2843"/>
      <c r="PMW45" s="2844"/>
      <c r="PMX45" s="2845"/>
      <c r="PMY45" s="2842"/>
      <c r="PMZ45" s="2842"/>
      <c r="PNA45" s="2843"/>
      <c r="PNB45" s="2843"/>
      <c r="PNC45" s="2844"/>
      <c r="PND45" s="2845"/>
      <c r="PNE45" s="2842"/>
      <c r="PNF45" s="2842"/>
      <c r="PNG45" s="2843"/>
      <c r="PNH45" s="2843"/>
      <c r="PNI45" s="2844"/>
      <c r="PNJ45" s="2845"/>
      <c r="PNK45" s="2842"/>
      <c r="PNL45" s="2842"/>
      <c r="PNM45" s="2843"/>
      <c r="PNN45" s="2843"/>
      <c r="PNO45" s="2844"/>
      <c r="PNP45" s="2845"/>
      <c r="PNQ45" s="2842"/>
      <c r="PNR45" s="2842"/>
      <c r="PNS45" s="2843"/>
      <c r="PNT45" s="2843"/>
      <c r="PNU45" s="2844"/>
      <c r="PNV45" s="2845"/>
      <c r="PNW45" s="2842"/>
      <c r="PNX45" s="2842"/>
      <c r="PNY45" s="2843"/>
      <c r="PNZ45" s="2843"/>
      <c r="POA45" s="2844"/>
      <c r="POB45" s="2845"/>
      <c r="POC45" s="2842"/>
      <c r="POD45" s="2842"/>
      <c r="POE45" s="2843"/>
      <c r="POF45" s="2843"/>
      <c r="POG45" s="2844"/>
      <c r="POH45" s="2845"/>
      <c r="POI45" s="2842"/>
      <c r="POJ45" s="2842"/>
      <c r="POK45" s="2843"/>
      <c r="POL45" s="2843"/>
      <c r="POM45" s="2844"/>
      <c r="PON45" s="2845"/>
      <c r="POO45" s="2842"/>
      <c r="POP45" s="2842"/>
      <c r="POQ45" s="2843"/>
      <c r="POR45" s="2843"/>
      <c r="POS45" s="2844"/>
      <c r="POT45" s="2845"/>
      <c r="POU45" s="2842"/>
      <c r="POV45" s="2842"/>
      <c r="POW45" s="2843"/>
      <c r="POX45" s="2843"/>
      <c r="POY45" s="2844"/>
      <c r="POZ45" s="2845"/>
      <c r="PPA45" s="2842"/>
      <c r="PPB45" s="2842"/>
      <c r="PPC45" s="2843"/>
      <c r="PPD45" s="2843"/>
      <c r="PPE45" s="2844"/>
      <c r="PPF45" s="2845"/>
      <c r="PPG45" s="2842"/>
      <c r="PPH45" s="2842"/>
      <c r="PPI45" s="2843"/>
      <c r="PPJ45" s="2843"/>
      <c r="PPK45" s="2844"/>
      <c r="PPL45" s="2845"/>
      <c r="PPM45" s="2842"/>
      <c r="PPN45" s="2842"/>
      <c r="PPO45" s="2843"/>
      <c r="PPP45" s="2843"/>
      <c r="PPQ45" s="2844"/>
      <c r="PPR45" s="2845"/>
      <c r="PPS45" s="2842"/>
      <c r="PPT45" s="2842"/>
      <c r="PPU45" s="2843"/>
      <c r="PPV45" s="2843"/>
      <c r="PPW45" s="2844"/>
      <c r="PPX45" s="2845"/>
      <c r="PPY45" s="2842"/>
      <c r="PPZ45" s="2842"/>
      <c r="PQA45" s="2843"/>
      <c r="PQB45" s="2843"/>
      <c r="PQC45" s="2844"/>
      <c r="PQD45" s="2845"/>
      <c r="PQE45" s="2842"/>
      <c r="PQF45" s="2842"/>
      <c r="PQG45" s="2843"/>
      <c r="PQH45" s="2843"/>
      <c r="PQI45" s="2844"/>
      <c r="PQJ45" s="2845"/>
      <c r="PQK45" s="2842"/>
      <c r="PQL45" s="2842"/>
      <c r="PQM45" s="2843"/>
      <c r="PQN45" s="2843"/>
      <c r="PQO45" s="2844"/>
      <c r="PQP45" s="2845"/>
      <c r="PQQ45" s="2842"/>
      <c r="PQR45" s="2842"/>
      <c r="PQS45" s="2843"/>
      <c r="PQT45" s="2843"/>
      <c r="PQU45" s="2844"/>
      <c r="PQV45" s="2845"/>
      <c r="PQW45" s="2842"/>
      <c r="PQX45" s="2842"/>
      <c r="PQY45" s="2843"/>
      <c r="PQZ45" s="2843"/>
      <c r="PRA45" s="2844"/>
      <c r="PRB45" s="2845"/>
      <c r="PRC45" s="2842"/>
      <c r="PRD45" s="2842"/>
      <c r="PRE45" s="2843"/>
      <c r="PRF45" s="2843"/>
      <c r="PRG45" s="2844"/>
      <c r="PRH45" s="2845"/>
      <c r="PRI45" s="2842"/>
      <c r="PRJ45" s="2842"/>
      <c r="PRK45" s="2843"/>
      <c r="PRL45" s="2843"/>
      <c r="PRM45" s="2844"/>
      <c r="PRN45" s="2845"/>
      <c r="PRO45" s="2842"/>
      <c r="PRP45" s="2842"/>
      <c r="PRQ45" s="2843"/>
      <c r="PRR45" s="2843"/>
      <c r="PRS45" s="2844"/>
      <c r="PRT45" s="2845"/>
      <c r="PRU45" s="2842"/>
      <c r="PRV45" s="2842"/>
      <c r="PRW45" s="2843"/>
      <c r="PRX45" s="2843"/>
      <c r="PRY45" s="2844"/>
      <c r="PRZ45" s="2845"/>
      <c r="PSA45" s="2842"/>
      <c r="PSB45" s="2842"/>
      <c r="PSC45" s="2843"/>
      <c r="PSD45" s="2843"/>
      <c r="PSE45" s="2844"/>
      <c r="PSF45" s="2845"/>
      <c r="PSG45" s="2842"/>
      <c r="PSH45" s="2842"/>
      <c r="PSI45" s="2843"/>
      <c r="PSJ45" s="2843"/>
      <c r="PSK45" s="2844"/>
      <c r="PSL45" s="2845"/>
      <c r="PSM45" s="2842"/>
      <c r="PSN45" s="2842"/>
      <c r="PSO45" s="2843"/>
      <c r="PSP45" s="2843"/>
      <c r="PSQ45" s="2844"/>
      <c r="PSR45" s="2845"/>
      <c r="PSS45" s="2842"/>
      <c r="PST45" s="2842"/>
      <c r="PSU45" s="2843"/>
      <c r="PSV45" s="2843"/>
      <c r="PSW45" s="2844"/>
      <c r="PSX45" s="2845"/>
      <c r="PSY45" s="2842"/>
      <c r="PSZ45" s="2842"/>
      <c r="PTA45" s="2843"/>
      <c r="PTB45" s="2843"/>
      <c r="PTC45" s="2844"/>
      <c r="PTD45" s="2845"/>
      <c r="PTE45" s="2842"/>
      <c r="PTF45" s="2842"/>
      <c r="PTG45" s="2843"/>
      <c r="PTH45" s="2843"/>
      <c r="PTI45" s="2844"/>
      <c r="PTJ45" s="2845"/>
      <c r="PTK45" s="2842"/>
      <c r="PTL45" s="2842"/>
      <c r="PTM45" s="2843"/>
      <c r="PTN45" s="2843"/>
      <c r="PTO45" s="2844"/>
      <c r="PTP45" s="2845"/>
      <c r="PTQ45" s="2842"/>
      <c r="PTR45" s="2842"/>
      <c r="PTS45" s="2843"/>
      <c r="PTT45" s="2843"/>
      <c r="PTU45" s="2844"/>
      <c r="PTV45" s="2845"/>
      <c r="PTW45" s="2842"/>
      <c r="PTX45" s="2842"/>
      <c r="PTY45" s="2843"/>
      <c r="PTZ45" s="2843"/>
      <c r="PUA45" s="2844"/>
      <c r="PUB45" s="2845"/>
      <c r="PUC45" s="2842"/>
      <c r="PUD45" s="2842"/>
      <c r="PUE45" s="2843"/>
      <c r="PUF45" s="2843"/>
      <c r="PUG45" s="2844"/>
      <c r="PUH45" s="2845"/>
      <c r="PUI45" s="2842"/>
      <c r="PUJ45" s="2842"/>
      <c r="PUK45" s="2843"/>
      <c r="PUL45" s="2843"/>
      <c r="PUM45" s="2844"/>
      <c r="PUN45" s="2845"/>
      <c r="PUO45" s="2842"/>
      <c r="PUP45" s="2842"/>
      <c r="PUQ45" s="2843"/>
      <c r="PUR45" s="2843"/>
      <c r="PUS45" s="2844"/>
      <c r="PUT45" s="2845"/>
      <c r="PUU45" s="2842"/>
      <c r="PUV45" s="2842"/>
      <c r="PUW45" s="2843"/>
      <c r="PUX45" s="2843"/>
      <c r="PUY45" s="2844"/>
      <c r="PUZ45" s="2845"/>
      <c r="PVA45" s="2842"/>
      <c r="PVB45" s="2842"/>
      <c r="PVC45" s="2843"/>
      <c r="PVD45" s="2843"/>
      <c r="PVE45" s="2844"/>
      <c r="PVF45" s="2845"/>
      <c r="PVG45" s="2842"/>
      <c r="PVH45" s="2842"/>
      <c r="PVI45" s="2843"/>
      <c r="PVJ45" s="2843"/>
      <c r="PVK45" s="2844"/>
      <c r="PVL45" s="2845"/>
      <c r="PVM45" s="2842"/>
      <c r="PVN45" s="2842"/>
      <c r="PVO45" s="2843"/>
      <c r="PVP45" s="2843"/>
      <c r="PVQ45" s="2844"/>
      <c r="PVR45" s="2845"/>
      <c r="PVS45" s="2842"/>
      <c r="PVT45" s="2842"/>
      <c r="PVU45" s="2843"/>
      <c r="PVV45" s="2843"/>
      <c r="PVW45" s="2844"/>
      <c r="PVX45" s="2845"/>
      <c r="PVY45" s="2842"/>
      <c r="PVZ45" s="2842"/>
      <c r="PWA45" s="2843"/>
      <c r="PWB45" s="2843"/>
      <c r="PWC45" s="2844"/>
      <c r="PWD45" s="2845"/>
      <c r="PWE45" s="2842"/>
      <c r="PWF45" s="2842"/>
      <c r="PWG45" s="2843"/>
      <c r="PWH45" s="2843"/>
      <c r="PWI45" s="2844"/>
      <c r="PWJ45" s="2845"/>
      <c r="PWK45" s="2842"/>
      <c r="PWL45" s="2842"/>
      <c r="PWM45" s="2843"/>
      <c r="PWN45" s="2843"/>
      <c r="PWO45" s="2844"/>
      <c r="PWP45" s="2845"/>
      <c r="PWQ45" s="2842"/>
      <c r="PWR45" s="2842"/>
      <c r="PWS45" s="2843"/>
      <c r="PWT45" s="2843"/>
      <c r="PWU45" s="2844"/>
      <c r="PWV45" s="2845"/>
      <c r="PWW45" s="2842"/>
      <c r="PWX45" s="2842"/>
      <c r="PWY45" s="2843"/>
      <c r="PWZ45" s="2843"/>
      <c r="PXA45" s="2844"/>
      <c r="PXB45" s="2845"/>
      <c r="PXC45" s="2842"/>
      <c r="PXD45" s="2842"/>
      <c r="PXE45" s="2843"/>
      <c r="PXF45" s="2843"/>
      <c r="PXG45" s="2844"/>
      <c r="PXH45" s="2845"/>
      <c r="PXI45" s="2842"/>
      <c r="PXJ45" s="2842"/>
      <c r="PXK45" s="2843"/>
      <c r="PXL45" s="2843"/>
      <c r="PXM45" s="2844"/>
      <c r="PXN45" s="2845"/>
      <c r="PXO45" s="2842"/>
      <c r="PXP45" s="2842"/>
      <c r="PXQ45" s="2843"/>
      <c r="PXR45" s="2843"/>
      <c r="PXS45" s="2844"/>
      <c r="PXT45" s="2845"/>
      <c r="PXU45" s="2842"/>
      <c r="PXV45" s="2842"/>
      <c r="PXW45" s="2843"/>
      <c r="PXX45" s="2843"/>
      <c r="PXY45" s="2844"/>
      <c r="PXZ45" s="2845"/>
      <c r="PYA45" s="2842"/>
      <c r="PYB45" s="2842"/>
      <c r="PYC45" s="2843"/>
      <c r="PYD45" s="2843"/>
      <c r="PYE45" s="2844"/>
      <c r="PYF45" s="2845"/>
      <c r="PYG45" s="2842"/>
      <c r="PYH45" s="2842"/>
      <c r="PYI45" s="2843"/>
      <c r="PYJ45" s="2843"/>
      <c r="PYK45" s="2844"/>
      <c r="PYL45" s="2845"/>
      <c r="PYM45" s="2842"/>
      <c r="PYN45" s="2842"/>
      <c r="PYO45" s="2843"/>
      <c r="PYP45" s="2843"/>
      <c r="PYQ45" s="2844"/>
      <c r="PYR45" s="2845"/>
      <c r="PYS45" s="2842"/>
      <c r="PYT45" s="2842"/>
      <c r="PYU45" s="2843"/>
      <c r="PYV45" s="2843"/>
      <c r="PYW45" s="2844"/>
      <c r="PYX45" s="2845"/>
      <c r="PYY45" s="2842"/>
      <c r="PYZ45" s="2842"/>
      <c r="PZA45" s="2843"/>
      <c r="PZB45" s="2843"/>
      <c r="PZC45" s="2844"/>
      <c r="PZD45" s="2845"/>
      <c r="PZE45" s="2842"/>
      <c r="PZF45" s="2842"/>
      <c r="PZG45" s="2843"/>
      <c r="PZH45" s="2843"/>
      <c r="PZI45" s="2844"/>
      <c r="PZJ45" s="2845"/>
      <c r="PZK45" s="2842"/>
      <c r="PZL45" s="2842"/>
      <c r="PZM45" s="2843"/>
      <c r="PZN45" s="2843"/>
      <c r="PZO45" s="2844"/>
      <c r="PZP45" s="2845"/>
      <c r="PZQ45" s="2842"/>
      <c r="PZR45" s="2842"/>
      <c r="PZS45" s="2843"/>
      <c r="PZT45" s="2843"/>
      <c r="PZU45" s="2844"/>
      <c r="PZV45" s="2845"/>
      <c r="PZW45" s="2842"/>
      <c r="PZX45" s="2842"/>
      <c r="PZY45" s="2843"/>
      <c r="PZZ45" s="2843"/>
      <c r="QAA45" s="2844"/>
      <c r="QAB45" s="2845"/>
      <c r="QAC45" s="2842"/>
      <c r="QAD45" s="2842"/>
      <c r="QAE45" s="2843"/>
      <c r="QAF45" s="2843"/>
      <c r="QAG45" s="2844"/>
      <c r="QAH45" s="2845"/>
      <c r="QAI45" s="2842"/>
      <c r="QAJ45" s="2842"/>
      <c r="QAK45" s="2843"/>
      <c r="QAL45" s="2843"/>
      <c r="QAM45" s="2844"/>
      <c r="QAN45" s="2845"/>
      <c r="QAO45" s="2842"/>
      <c r="QAP45" s="2842"/>
      <c r="QAQ45" s="2843"/>
      <c r="QAR45" s="2843"/>
      <c r="QAS45" s="2844"/>
      <c r="QAT45" s="2845"/>
      <c r="QAU45" s="2842"/>
      <c r="QAV45" s="2842"/>
      <c r="QAW45" s="2843"/>
      <c r="QAX45" s="2843"/>
      <c r="QAY45" s="2844"/>
      <c r="QAZ45" s="2845"/>
      <c r="QBA45" s="2842"/>
      <c r="QBB45" s="2842"/>
      <c r="QBC45" s="2843"/>
      <c r="QBD45" s="2843"/>
      <c r="QBE45" s="2844"/>
      <c r="QBF45" s="2845"/>
      <c r="QBG45" s="2842"/>
      <c r="QBH45" s="2842"/>
      <c r="QBI45" s="2843"/>
      <c r="QBJ45" s="2843"/>
      <c r="QBK45" s="2844"/>
      <c r="QBL45" s="2845"/>
      <c r="QBM45" s="2842"/>
      <c r="QBN45" s="2842"/>
      <c r="QBO45" s="2843"/>
      <c r="QBP45" s="2843"/>
      <c r="QBQ45" s="2844"/>
      <c r="QBR45" s="2845"/>
      <c r="QBS45" s="2842"/>
      <c r="QBT45" s="2842"/>
      <c r="QBU45" s="2843"/>
      <c r="QBV45" s="2843"/>
      <c r="QBW45" s="2844"/>
      <c r="QBX45" s="2845"/>
      <c r="QBY45" s="2842"/>
      <c r="QBZ45" s="2842"/>
      <c r="QCA45" s="2843"/>
      <c r="QCB45" s="2843"/>
      <c r="QCC45" s="2844"/>
      <c r="QCD45" s="2845"/>
      <c r="QCE45" s="2842"/>
      <c r="QCF45" s="2842"/>
      <c r="QCG45" s="2843"/>
      <c r="QCH45" s="2843"/>
      <c r="QCI45" s="2844"/>
      <c r="QCJ45" s="2845"/>
      <c r="QCK45" s="2842"/>
      <c r="QCL45" s="2842"/>
      <c r="QCM45" s="2843"/>
      <c r="QCN45" s="2843"/>
      <c r="QCO45" s="2844"/>
      <c r="QCP45" s="2845"/>
      <c r="QCQ45" s="2842"/>
      <c r="QCR45" s="2842"/>
      <c r="QCS45" s="2843"/>
      <c r="QCT45" s="2843"/>
      <c r="QCU45" s="2844"/>
      <c r="QCV45" s="2845"/>
      <c r="QCW45" s="2842"/>
      <c r="QCX45" s="2842"/>
      <c r="QCY45" s="2843"/>
      <c r="QCZ45" s="2843"/>
      <c r="QDA45" s="2844"/>
      <c r="QDB45" s="2845"/>
      <c r="QDC45" s="2842"/>
      <c r="QDD45" s="2842"/>
      <c r="QDE45" s="2843"/>
      <c r="QDF45" s="2843"/>
      <c r="QDG45" s="2844"/>
      <c r="QDH45" s="2845"/>
      <c r="QDI45" s="2842"/>
      <c r="QDJ45" s="2842"/>
      <c r="QDK45" s="2843"/>
      <c r="QDL45" s="2843"/>
      <c r="QDM45" s="2844"/>
      <c r="QDN45" s="2845"/>
      <c r="QDO45" s="2842"/>
      <c r="QDP45" s="2842"/>
      <c r="QDQ45" s="2843"/>
      <c r="QDR45" s="2843"/>
      <c r="QDS45" s="2844"/>
      <c r="QDT45" s="2845"/>
      <c r="QDU45" s="2842"/>
      <c r="QDV45" s="2842"/>
      <c r="QDW45" s="2843"/>
      <c r="QDX45" s="2843"/>
      <c r="QDY45" s="2844"/>
      <c r="QDZ45" s="2845"/>
      <c r="QEA45" s="2842"/>
      <c r="QEB45" s="2842"/>
      <c r="QEC45" s="2843"/>
      <c r="QED45" s="2843"/>
      <c r="QEE45" s="2844"/>
      <c r="QEF45" s="2845"/>
      <c r="QEG45" s="2842"/>
      <c r="QEH45" s="2842"/>
      <c r="QEI45" s="2843"/>
      <c r="QEJ45" s="2843"/>
      <c r="QEK45" s="2844"/>
      <c r="QEL45" s="2845"/>
      <c r="QEM45" s="2842"/>
      <c r="QEN45" s="2842"/>
      <c r="QEO45" s="2843"/>
      <c r="QEP45" s="2843"/>
      <c r="QEQ45" s="2844"/>
      <c r="QER45" s="2845"/>
      <c r="QES45" s="2842"/>
      <c r="QET45" s="2842"/>
      <c r="QEU45" s="2843"/>
      <c r="QEV45" s="2843"/>
      <c r="QEW45" s="2844"/>
      <c r="QEX45" s="2845"/>
      <c r="QEY45" s="2842"/>
      <c r="QEZ45" s="2842"/>
      <c r="QFA45" s="2843"/>
      <c r="QFB45" s="2843"/>
      <c r="QFC45" s="2844"/>
      <c r="QFD45" s="2845"/>
      <c r="QFE45" s="2842"/>
      <c r="QFF45" s="2842"/>
      <c r="QFG45" s="2843"/>
      <c r="QFH45" s="2843"/>
      <c r="QFI45" s="2844"/>
      <c r="QFJ45" s="2845"/>
      <c r="QFK45" s="2842"/>
      <c r="QFL45" s="2842"/>
      <c r="QFM45" s="2843"/>
      <c r="QFN45" s="2843"/>
      <c r="QFO45" s="2844"/>
      <c r="QFP45" s="2845"/>
      <c r="QFQ45" s="2842"/>
      <c r="QFR45" s="2842"/>
      <c r="QFS45" s="2843"/>
      <c r="QFT45" s="2843"/>
      <c r="QFU45" s="2844"/>
      <c r="QFV45" s="2845"/>
      <c r="QFW45" s="2842"/>
      <c r="QFX45" s="2842"/>
      <c r="QFY45" s="2843"/>
      <c r="QFZ45" s="2843"/>
      <c r="QGA45" s="2844"/>
      <c r="QGB45" s="2845"/>
      <c r="QGC45" s="2842"/>
      <c r="QGD45" s="2842"/>
      <c r="QGE45" s="2843"/>
      <c r="QGF45" s="2843"/>
      <c r="QGG45" s="2844"/>
      <c r="QGH45" s="2845"/>
      <c r="QGI45" s="2842"/>
      <c r="QGJ45" s="2842"/>
      <c r="QGK45" s="2843"/>
      <c r="QGL45" s="2843"/>
      <c r="QGM45" s="2844"/>
      <c r="QGN45" s="2845"/>
      <c r="QGO45" s="2842"/>
      <c r="QGP45" s="2842"/>
      <c r="QGQ45" s="2843"/>
      <c r="QGR45" s="2843"/>
      <c r="QGS45" s="2844"/>
      <c r="QGT45" s="2845"/>
      <c r="QGU45" s="2842"/>
      <c r="QGV45" s="2842"/>
      <c r="QGW45" s="2843"/>
      <c r="QGX45" s="2843"/>
      <c r="QGY45" s="2844"/>
      <c r="QGZ45" s="2845"/>
      <c r="QHA45" s="2842"/>
      <c r="QHB45" s="2842"/>
      <c r="QHC45" s="2843"/>
      <c r="QHD45" s="2843"/>
      <c r="QHE45" s="2844"/>
      <c r="QHF45" s="2845"/>
      <c r="QHG45" s="2842"/>
      <c r="QHH45" s="2842"/>
      <c r="QHI45" s="2843"/>
      <c r="QHJ45" s="2843"/>
      <c r="QHK45" s="2844"/>
      <c r="QHL45" s="2845"/>
      <c r="QHM45" s="2842"/>
      <c r="QHN45" s="2842"/>
      <c r="QHO45" s="2843"/>
      <c r="QHP45" s="2843"/>
      <c r="QHQ45" s="2844"/>
      <c r="QHR45" s="2845"/>
      <c r="QHS45" s="2842"/>
      <c r="QHT45" s="2842"/>
      <c r="QHU45" s="2843"/>
      <c r="QHV45" s="2843"/>
      <c r="QHW45" s="2844"/>
      <c r="QHX45" s="2845"/>
      <c r="QHY45" s="2842"/>
      <c r="QHZ45" s="2842"/>
      <c r="QIA45" s="2843"/>
      <c r="QIB45" s="2843"/>
      <c r="QIC45" s="2844"/>
      <c r="QID45" s="2845"/>
      <c r="QIE45" s="2842"/>
      <c r="QIF45" s="2842"/>
      <c r="QIG45" s="2843"/>
      <c r="QIH45" s="2843"/>
      <c r="QII45" s="2844"/>
      <c r="QIJ45" s="2845"/>
      <c r="QIK45" s="2842"/>
      <c r="QIL45" s="2842"/>
      <c r="QIM45" s="2843"/>
      <c r="QIN45" s="2843"/>
      <c r="QIO45" s="2844"/>
      <c r="QIP45" s="2845"/>
      <c r="QIQ45" s="2842"/>
      <c r="QIR45" s="2842"/>
      <c r="QIS45" s="2843"/>
      <c r="QIT45" s="2843"/>
      <c r="QIU45" s="2844"/>
      <c r="QIV45" s="2845"/>
      <c r="QIW45" s="2842"/>
      <c r="QIX45" s="2842"/>
      <c r="QIY45" s="2843"/>
      <c r="QIZ45" s="2843"/>
      <c r="QJA45" s="2844"/>
      <c r="QJB45" s="2845"/>
      <c r="QJC45" s="2842"/>
      <c r="QJD45" s="2842"/>
      <c r="QJE45" s="2843"/>
      <c r="QJF45" s="2843"/>
      <c r="QJG45" s="2844"/>
      <c r="QJH45" s="2845"/>
      <c r="QJI45" s="2842"/>
      <c r="QJJ45" s="2842"/>
      <c r="QJK45" s="2843"/>
      <c r="QJL45" s="2843"/>
      <c r="QJM45" s="2844"/>
      <c r="QJN45" s="2845"/>
      <c r="QJO45" s="2842"/>
      <c r="QJP45" s="2842"/>
      <c r="QJQ45" s="2843"/>
      <c r="QJR45" s="2843"/>
      <c r="QJS45" s="2844"/>
      <c r="QJT45" s="2845"/>
      <c r="QJU45" s="2842"/>
      <c r="QJV45" s="2842"/>
      <c r="QJW45" s="2843"/>
      <c r="QJX45" s="2843"/>
      <c r="QJY45" s="2844"/>
      <c r="QJZ45" s="2845"/>
      <c r="QKA45" s="2842"/>
      <c r="QKB45" s="2842"/>
      <c r="QKC45" s="2843"/>
      <c r="QKD45" s="2843"/>
      <c r="QKE45" s="2844"/>
      <c r="QKF45" s="2845"/>
      <c r="QKG45" s="2842"/>
      <c r="QKH45" s="2842"/>
      <c r="QKI45" s="2843"/>
      <c r="QKJ45" s="2843"/>
      <c r="QKK45" s="2844"/>
      <c r="QKL45" s="2845"/>
      <c r="QKM45" s="2842"/>
      <c r="QKN45" s="2842"/>
      <c r="QKO45" s="2843"/>
      <c r="QKP45" s="2843"/>
      <c r="QKQ45" s="2844"/>
      <c r="QKR45" s="2845"/>
      <c r="QKS45" s="2842"/>
      <c r="QKT45" s="2842"/>
      <c r="QKU45" s="2843"/>
      <c r="QKV45" s="2843"/>
      <c r="QKW45" s="2844"/>
      <c r="QKX45" s="2845"/>
      <c r="QKY45" s="2842"/>
      <c r="QKZ45" s="2842"/>
      <c r="QLA45" s="2843"/>
      <c r="QLB45" s="2843"/>
      <c r="QLC45" s="2844"/>
      <c r="QLD45" s="2845"/>
      <c r="QLE45" s="2842"/>
      <c r="QLF45" s="2842"/>
      <c r="QLG45" s="2843"/>
      <c r="QLH45" s="2843"/>
      <c r="QLI45" s="2844"/>
      <c r="QLJ45" s="2845"/>
      <c r="QLK45" s="2842"/>
      <c r="QLL45" s="2842"/>
      <c r="QLM45" s="2843"/>
      <c r="QLN45" s="2843"/>
      <c r="QLO45" s="2844"/>
      <c r="QLP45" s="2845"/>
      <c r="QLQ45" s="2842"/>
      <c r="QLR45" s="2842"/>
      <c r="QLS45" s="2843"/>
      <c r="QLT45" s="2843"/>
      <c r="QLU45" s="2844"/>
      <c r="QLV45" s="2845"/>
      <c r="QLW45" s="2842"/>
      <c r="QLX45" s="2842"/>
      <c r="QLY45" s="2843"/>
      <c r="QLZ45" s="2843"/>
      <c r="QMA45" s="2844"/>
      <c r="QMB45" s="2845"/>
      <c r="QMC45" s="2842"/>
      <c r="QMD45" s="2842"/>
      <c r="QME45" s="2843"/>
      <c r="QMF45" s="2843"/>
      <c r="QMG45" s="2844"/>
      <c r="QMH45" s="2845"/>
      <c r="QMI45" s="2842"/>
      <c r="QMJ45" s="2842"/>
      <c r="QMK45" s="2843"/>
      <c r="QML45" s="2843"/>
      <c r="QMM45" s="2844"/>
      <c r="QMN45" s="2845"/>
      <c r="QMO45" s="2842"/>
      <c r="QMP45" s="2842"/>
      <c r="QMQ45" s="2843"/>
      <c r="QMR45" s="2843"/>
      <c r="QMS45" s="2844"/>
      <c r="QMT45" s="2845"/>
      <c r="QMU45" s="2842"/>
      <c r="QMV45" s="2842"/>
      <c r="QMW45" s="2843"/>
      <c r="QMX45" s="2843"/>
      <c r="QMY45" s="2844"/>
      <c r="QMZ45" s="2845"/>
      <c r="QNA45" s="2842"/>
      <c r="QNB45" s="2842"/>
      <c r="QNC45" s="2843"/>
      <c r="QND45" s="2843"/>
      <c r="QNE45" s="2844"/>
      <c r="QNF45" s="2845"/>
      <c r="QNG45" s="2842"/>
      <c r="QNH45" s="2842"/>
      <c r="QNI45" s="2843"/>
      <c r="QNJ45" s="2843"/>
      <c r="QNK45" s="2844"/>
      <c r="QNL45" s="2845"/>
      <c r="QNM45" s="2842"/>
      <c r="QNN45" s="2842"/>
      <c r="QNO45" s="2843"/>
      <c r="QNP45" s="2843"/>
      <c r="QNQ45" s="2844"/>
      <c r="QNR45" s="2845"/>
      <c r="QNS45" s="2842"/>
      <c r="QNT45" s="2842"/>
      <c r="QNU45" s="2843"/>
      <c r="QNV45" s="2843"/>
      <c r="QNW45" s="2844"/>
      <c r="QNX45" s="2845"/>
      <c r="QNY45" s="2842"/>
      <c r="QNZ45" s="2842"/>
      <c r="QOA45" s="2843"/>
      <c r="QOB45" s="2843"/>
      <c r="QOC45" s="2844"/>
      <c r="QOD45" s="2845"/>
      <c r="QOE45" s="2842"/>
      <c r="QOF45" s="2842"/>
      <c r="QOG45" s="2843"/>
      <c r="QOH45" s="2843"/>
      <c r="QOI45" s="2844"/>
      <c r="QOJ45" s="2845"/>
      <c r="QOK45" s="2842"/>
      <c r="QOL45" s="2842"/>
      <c r="QOM45" s="2843"/>
      <c r="QON45" s="2843"/>
      <c r="QOO45" s="2844"/>
      <c r="QOP45" s="2845"/>
      <c r="QOQ45" s="2842"/>
      <c r="QOR45" s="2842"/>
      <c r="QOS45" s="2843"/>
      <c r="QOT45" s="2843"/>
      <c r="QOU45" s="2844"/>
      <c r="QOV45" s="2845"/>
      <c r="QOW45" s="2842"/>
      <c r="QOX45" s="2842"/>
      <c r="QOY45" s="2843"/>
      <c r="QOZ45" s="2843"/>
      <c r="QPA45" s="2844"/>
      <c r="QPB45" s="2845"/>
      <c r="QPC45" s="2842"/>
      <c r="QPD45" s="2842"/>
      <c r="QPE45" s="2843"/>
      <c r="QPF45" s="2843"/>
      <c r="QPG45" s="2844"/>
      <c r="QPH45" s="2845"/>
      <c r="QPI45" s="2842"/>
      <c r="QPJ45" s="2842"/>
      <c r="QPK45" s="2843"/>
      <c r="QPL45" s="2843"/>
      <c r="QPM45" s="2844"/>
      <c r="QPN45" s="2845"/>
      <c r="QPO45" s="2842"/>
      <c r="QPP45" s="2842"/>
      <c r="QPQ45" s="2843"/>
      <c r="QPR45" s="2843"/>
      <c r="QPS45" s="2844"/>
      <c r="QPT45" s="2845"/>
      <c r="QPU45" s="2842"/>
      <c r="QPV45" s="2842"/>
      <c r="QPW45" s="2843"/>
      <c r="QPX45" s="2843"/>
      <c r="QPY45" s="2844"/>
      <c r="QPZ45" s="2845"/>
      <c r="QQA45" s="2842"/>
      <c r="QQB45" s="2842"/>
      <c r="QQC45" s="2843"/>
      <c r="QQD45" s="2843"/>
      <c r="QQE45" s="2844"/>
      <c r="QQF45" s="2845"/>
      <c r="QQG45" s="2842"/>
      <c r="QQH45" s="2842"/>
      <c r="QQI45" s="2843"/>
      <c r="QQJ45" s="2843"/>
      <c r="QQK45" s="2844"/>
      <c r="QQL45" s="2845"/>
      <c r="QQM45" s="2842"/>
      <c r="QQN45" s="2842"/>
      <c r="QQO45" s="2843"/>
      <c r="QQP45" s="2843"/>
      <c r="QQQ45" s="2844"/>
      <c r="QQR45" s="2845"/>
      <c r="QQS45" s="2842"/>
      <c r="QQT45" s="2842"/>
      <c r="QQU45" s="2843"/>
      <c r="QQV45" s="2843"/>
      <c r="QQW45" s="2844"/>
      <c r="QQX45" s="2845"/>
      <c r="QQY45" s="2842"/>
      <c r="QQZ45" s="2842"/>
      <c r="QRA45" s="2843"/>
      <c r="QRB45" s="2843"/>
      <c r="QRC45" s="2844"/>
      <c r="QRD45" s="2845"/>
      <c r="QRE45" s="2842"/>
      <c r="QRF45" s="2842"/>
      <c r="QRG45" s="2843"/>
      <c r="QRH45" s="2843"/>
      <c r="QRI45" s="2844"/>
      <c r="QRJ45" s="2845"/>
      <c r="QRK45" s="2842"/>
      <c r="QRL45" s="2842"/>
      <c r="QRM45" s="2843"/>
      <c r="QRN45" s="2843"/>
      <c r="QRO45" s="2844"/>
      <c r="QRP45" s="2845"/>
      <c r="QRQ45" s="2842"/>
      <c r="QRR45" s="2842"/>
      <c r="QRS45" s="2843"/>
      <c r="QRT45" s="2843"/>
      <c r="QRU45" s="2844"/>
      <c r="QRV45" s="2845"/>
      <c r="QRW45" s="2842"/>
      <c r="QRX45" s="2842"/>
      <c r="QRY45" s="2843"/>
      <c r="QRZ45" s="2843"/>
      <c r="QSA45" s="2844"/>
      <c r="QSB45" s="2845"/>
      <c r="QSC45" s="2842"/>
      <c r="QSD45" s="2842"/>
      <c r="QSE45" s="2843"/>
      <c r="QSF45" s="2843"/>
      <c r="QSG45" s="2844"/>
      <c r="QSH45" s="2845"/>
      <c r="QSI45" s="2842"/>
      <c r="QSJ45" s="2842"/>
      <c r="QSK45" s="2843"/>
      <c r="QSL45" s="2843"/>
      <c r="QSM45" s="2844"/>
      <c r="QSN45" s="2845"/>
      <c r="QSO45" s="2842"/>
      <c r="QSP45" s="2842"/>
      <c r="QSQ45" s="2843"/>
      <c r="QSR45" s="2843"/>
      <c r="QSS45" s="2844"/>
      <c r="QST45" s="2845"/>
      <c r="QSU45" s="2842"/>
      <c r="QSV45" s="2842"/>
      <c r="QSW45" s="2843"/>
      <c r="QSX45" s="2843"/>
      <c r="QSY45" s="2844"/>
      <c r="QSZ45" s="2845"/>
      <c r="QTA45" s="2842"/>
      <c r="QTB45" s="2842"/>
      <c r="QTC45" s="2843"/>
      <c r="QTD45" s="2843"/>
      <c r="QTE45" s="2844"/>
      <c r="QTF45" s="2845"/>
      <c r="QTG45" s="2842"/>
      <c r="QTH45" s="2842"/>
      <c r="QTI45" s="2843"/>
      <c r="QTJ45" s="2843"/>
      <c r="QTK45" s="2844"/>
      <c r="QTL45" s="2845"/>
      <c r="QTM45" s="2842"/>
      <c r="QTN45" s="2842"/>
      <c r="QTO45" s="2843"/>
      <c r="QTP45" s="2843"/>
      <c r="QTQ45" s="2844"/>
      <c r="QTR45" s="2845"/>
      <c r="QTS45" s="2842"/>
      <c r="QTT45" s="2842"/>
      <c r="QTU45" s="2843"/>
      <c r="QTV45" s="2843"/>
      <c r="QTW45" s="2844"/>
      <c r="QTX45" s="2845"/>
      <c r="QTY45" s="2842"/>
      <c r="QTZ45" s="2842"/>
      <c r="QUA45" s="2843"/>
      <c r="QUB45" s="2843"/>
      <c r="QUC45" s="2844"/>
      <c r="QUD45" s="2845"/>
      <c r="QUE45" s="2842"/>
      <c r="QUF45" s="2842"/>
      <c r="QUG45" s="2843"/>
      <c r="QUH45" s="2843"/>
      <c r="QUI45" s="2844"/>
      <c r="QUJ45" s="2845"/>
      <c r="QUK45" s="2842"/>
      <c r="QUL45" s="2842"/>
      <c r="QUM45" s="2843"/>
      <c r="QUN45" s="2843"/>
      <c r="QUO45" s="2844"/>
      <c r="QUP45" s="2845"/>
      <c r="QUQ45" s="2842"/>
      <c r="QUR45" s="2842"/>
      <c r="QUS45" s="2843"/>
      <c r="QUT45" s="2843"/>
      <c r="QUU45" s="2844"/>
      <c r="QUV45" s="2845"/>
      <c r="QUW45" s="2842"/>
      <c r="QUX45" s="2842"/>
      <c r="QUY45" s="2843"/>
      <c r="QUZ45" s="2843"/>
      <c r="QVA45" s="2844"/>
      <c r="QVB45" s="2845"/>
      <c r="QVC45" s="2842"/>
      <c r="QVD45" s="2842"/>
      <c r="QVE45" s="2843"/>
      <c r="QVF45" s="2843"/>
      <c r="QVG45" s="2844"/>
      <c r="QVH45" s="2845"/>
      <c r="QVI45" s="2842"/>
      <c r="QVJ45" s="2842"/>
      <c r="QVK45" s="2843"/>
      <c r="QVL45" s="2843"/>
      <c r="QVM45" s="2844"/>
      <c r="QVN45" s="2845"/>
      <c r="QVO45" s="2842"/>
      <c r="QVP45" s="2842"/>
      <c r="QVQ45" s="2843"/>
      <c r="QVR45" s="2843"/>
      <c r="QVS45" s="2844"/>
      <c r="QVT45" s="2845"/>
      <c r="QVU45" s="2842"/>
      <c r="QVV45" s="2842"/>
      <c r="QVW45" s="2843"/>
      <c r="QVX45" s="2843"/>
      <c r="QVY45" s="2844"/>
      <c r="QVZ45" s="2845"/>
      <c r="QWA45" s="2842"/>
      <c r="QWB45" s="2842"/>
      <c r="QWC45" s="2843"/>
      <c r="QWD45" s="2843"/>
      <c r="QWE45" s="2844"/>
      <c r="QWF45" s="2845"/>
      <c r="QWG45" s="2842"/>
      <c r="QWH45" s="2842"/>
      <c r="QWI45" s="2843"/>
      <c r="QWJ45" s="2843"/>
      <c r="QWK45" s="2844"/>
      <c r="QWL45" s="2845"/>
      <c r="QWM45" s="2842"/>
      <c r="QWN45" s="2842"/>
      <c r="QWO45" s="2843"/>
      <c r="QWP45" s="2843"/>
      <c r="QWQ45" s="2844"/>
      <c r="QWR45" s="2845"/>
      <c r="QWS45" s="2842"/>
      <c r="QWT45" s="2842"/>
      <c r="QWU45" s="2843"/>
      <c r="QWV45" s="2843"/>
      <c r="QWW45" s="2844"/>
      <c r="QWX45" s="2845"/>
      <c r="QWY45" s="2842"/>
      <c r="QWZ45" s="2842"/>
      <c r="QXA45" s="2843"/>
      <c r="QXB45" s="2843"/>
      <c r="QXC45" s="2844"/>
      <c r="QXD45" s="2845"/>
      <c r="QXE45" s="2842"/>
      <c r="QXF45" s="2842"/>
      <c r="QXG45" s="2843"/>
      <c r="QXH45" s="2843"/>
      <c r="QXI45" s="2844"/>
      <c r="QXJ45" s="2845"/>
      <c r="QXK45" s="2842"/>
      <c r="QXL45" s="2842"/>
      <c r="QXM45" s="2843"/>
      <c r="QXN45" s="2843"/>
      <c r="QXO45" s="2844"/>
      <c r="QXP45" s="2845"/>
      <c r="QXQ45" s="2842"/>
      <c r="QXR45" s="2842"/>
      <c r="QXS45" s="2843"/>
      <c r="QXT45" s="2843"/>
      <c r="QXU45" s="2844"/>
      <c r="QXV45" s="2845"/>
      <c r="QXW45" s="2842"/>
      <c r="QXX45" s="2842"/>
      <c r="QXY45" s="2843"/>
      <c r="QXZ45" s="2843"/>
      <c r="QYA45" s="2844"/>
      <c r="QYB45" s="2845"/>
      <c r="QYC45" s="2842"/>
      <c r="QYD45" s="2842"/>
      <c r="QYE45" s="2843"/>
      <c r="QYF45" s="2843"/>
      <c r="QYG45" s="2844"/>
      <c r="QYH45" s="2845"/>
      <c r="QYI45" s="2842"/>
      <c r="QYJ45" s="2842"/>
      <c r="QYK45" s="2843"/>
      <c r="QYL45" s="2843"/>
      <c r="QYM45" s="2844"/>
      <c r="QYN45" s="2845"/>
      <c r="QYO45" s="2842"/>
      <c r="QYP45" s="2842"/>
      <c r="QYQ45" s="2843"/>
      <c r="QYR45" s="2843"/>
      <c r="QYS45" s="2844"/>
      <c r="QYT45" s="2845"/>
      <c r="QYU45" s="2842"/>
      <c r="QYV45" s="2842"/>
      <c r="QYW45" s="2843"/>
      <c r="QYX45" s="2843"/>
      <c r="QYY45" s="2844"/>
      <c r="QYZ45" s="2845"/>
      <c r="QZA45" s="2842"/>
      <c r="QZB45" s="2842"/>
      <c r="QZC45" s="2843"/>
      <c r="QZD45" s="2843"/>
      <c r="QZE45" s="2844"/>
      <c r="QZF45" s="2845"/>
      <c r="QZG45" s="2842"/>
      <c r="QZH45" s="2842"/>
      <c r="QZI45" s="2843"/>
      <c r="QZJ45" s="2843"/>
      <c r="QZK45" s="2844"/>
      <c r="QZL45" s="2845"/>
      <c r="QZM45" s="2842"/>
      <c r="QZN45" s="2842"/>
      <c r="QZO45" s="2843"/>
      <c r="QZP45" s="2843"/>
      <c r="QZQ45" s="2844"/>
      <c r="QZR45" s="2845"/>
      <c r="QZS45" s="2842"/>
      <c r="QZT45" s="2842"/>
      <c r="QZU45" s="2843"/>
      <c r="QZV45" s="2843"/>
      <c r="QZW45" s="2844"/>
      <c r="QZX45" s="2845"/>
      <c r="QZY45" s="2842"/>
      <c r="QZZ45" s="2842"/>
      <c r="RAA45" s="2843"/>
      <c r="RAB45" s="2843"/>
      <c r="RAC45" s="2844"/>
      <c r="RAD45" s="2845"/>
      <c r="RAE45" s="2842"/>
      <c r="RAF45" s="2842"/>
      <c r="RAG45" s="2843"/>
      <c r="RAH45" s="2843"/>
      <c r="RAI45" s="2844"/>
      <c r="RAJ45" s="2845"/>
      <c r="RAK45" s="2842"/>
      <c r="RAL45" s="2842"/>
      <c r="RAM45" s="2843"/>
      <c r="RAN45" s="2843"/>
      <c r="RAO45" s="2844"/>
      <c r="RAP45" s="2845"/>
      <c r="RAQ45" s="2842"/>
      <c r="RAR45" s="2842"/>
      <c r="RAS45" s="2843"/>
      <c r="RAT45" s="2843"/>
      <c r="RAU45" s="2844"/>
      <c r="RAV45" s="2845"/>
      <c r="RAW45" s="2842"/>
      <c r="RAX45" s="2842"/>
      <c r="RAY45" s="2843"/>
      <c r="RAZ45" s="2843"/>
      <c r="RBA45" s="2844"/>
      <c r="RBB45" s="2845"/>
      <c r="RBC45" s="2842"/>
      <c r="RBD45" s="2842"/>
      <c r="RBE45" s="2843"/>
      <c r="RBF45" s="2843"/>
      <c r="RBG45" s="2844"/>
      <c r="RBH45" s="2845"/>
      <c r="RBI45" s="2842"/>
      <c r="RBJ45" s="2842"/>
      <c r="RBK45" s="2843"/>
      <c r="RBL45" s="2843"/>
      <c r="RBM45" s="2844"/>
      <c r="RBN45" s="2845"/>
      <c r="RBO45" s="2842"/>
      <c r="RBP45" s="2842"/>
      <c r="RBQ45" s="2843"/>
      <c r="RBR45" s="2843"/>
      <c r="RBS45" s="2844"/>
      <c r="RBT45" s="2845"/>
      <c r="RBU45" s="2842"/>
      <c r="RBV45" s="2842"/>
      <c r="RBW45" s="2843"/>
      <c r="RBX45" s="2843"/>
      <c r="RBY45" s="2844"/>
      <c r="RBZ45" s="2845"/>
      <c r="RCA45" s="2842"/>
      <c r="RCB45" s="2842"/>
      <c r="RCC45" s="2843"/>
      <c r="RCD45" s="2843"/>
      <c r="RCE45" s="2844"/>
      <c r="RCF45" s="2845"/>
      <c r="RCG45" s="2842"/>
      <c r="RCH45" s="2842"/>
      <c r="RCI45" s="2843"/>
      <c r="RCJ45" s="2843"/>
      <c r="RCK45" s="2844"/>
      <c r="RCL45" s="2845"/>
      <c r="RCM45" s="2842"/>
      <c r="RCN45" s="2842"/>
      <c r="RCO45" s="2843"/>
      <c r="RCP45" s="2843"/>
      <c r="RCQ45" s="2844"/>
      <c r="RCR45" s="2845"/>
      <c r="RCS45" s="2842"/>
      <c r="RCT45" s="2842"/>
      <c r="RCU45" s="2843"/>
      <c r="RCV45" s="2843"/>
      <c r="RCW45" s="2844"/>
      <c r="RCX45" s="2845"/>
      <c r="RCY45" s="2842"/>
      <c r="RCZ45" s="2842"/>
      <c r="RDA45" s="2843"/>
      <c r="RDB45" s="2843"/>
      <c r="RDC45" s="2844"/>
      <c r="RDD45" s="2845"/>
      <c r="RDE45" s="2842"/>
      <c r="RDF45" s="2842"/>
      <c r="RDG45" s="2843"/>
      <c r="RDH45" s="2843"/>
      <c r="RDI45" s="2844"/>
      <c r="RDJ45" s="2845"/>
      <c r="RDK45" s="2842"/>
      <c r="RDL45" s="2842"/>
      <c r="RDM45" s="2843"/>
      <c r="RDN45" s="2843"/>
      <c r="RDO45" s="2844"/>
      <c r="RDP45" s="2845"/>
      <c r="RDQ45" s="2842"/>
      <c r="RDR45" s="2842"/>
      <c r="RDS45" s="2843"/>
      <c r="RDT45" s="2843"/>
      <c r="RDU45" s="2844"/>
      <c r="RDV45" s="2845"/>
      <c r="RDW45" s="2842"/>
      <c r="RDX45" s="2842"/>
      <c r="RDY45" s="2843"/>
      <c r="RDZ45" s="2843"/>
      <c r="REA45" s="2844"/>
      <c r="REB45" s="2845"/>
      <c r="REC45" s="2842"/>
      <c r="RED45" s="2842"/>
      <c r="REE45" s="2843"/>
      <c r="REF45" s="2843"/>
      <c r="REG45" s="2844"/>
      <c r="REH45" s="2845"/>
      <c r="REI45" s="2842"/>
      <c r="REJ45" s="2842"/>
      <c r="REK45" s="2843"/>
      <c r="REL45" s="2843"/>
      <c r="REM45" s="2844"/>
      <c r="REN45" s="2845"/>
      <c r="REO45" s="2842"/>
      <c r="REP45" s="2842"/>
      <c r="REQ45" s="2843"/>
      <c r="RER45" s="2843"/>
      <c r="RES45" s="2844"/>
      <c r="RET45" s="2845"/>
      <c r="REU45" s="2842"/>
      <c r="REV45" s="2842"/>
      <c r="REW45" s="2843"/>
      <c r="REX45" s="2843"/>
      <c r="REY45" s="2844"/>
      <c r="REZ45" s="2845"/>
      <c r="RFA45" s="2842"/>
      <c r="RFB45" s="2842"/>
      <c r="RFC45" s="2843"/>
      <c r="RFD45" s="2843"/>
      <c r="RFE45" s="2844"/>
      <c r="RFF45" s="2845"/>
      <c r="RFG45" s="2842"/>
      <c r="RFH45" s="2842"/>
      <c r="RFI45" s="2843"/>
      <c r="RFJ45" s="2843"/>
      <c r="RFK45" s="2844"/>
      <c r="RFL45" s="2845"/>
      <c r="RFM45" s="2842"/>
      <c r="RFN45" s="2842"/>
      <c r="RFO45" s="2843"/>
      <c r="RFP45" s="2843"/>
      <c r="RFQ45" s="2844"/>
      <c r="RFR45" s="2845"/>
      <c r="RFS45" s="2842"/>
      <c r="RFT45" s="2842"/>
      <c r="RFU45" s="2843"/>
      <c r="RFV45" s="2843"/>
      <c r="RFW45" s="2844"/>
      <c r="RFX45" s="2845"/>
      <c r="RFY45" s="2842"/>
      <c r="RFZ45" s="2842"/>
      <c r="RGA45" s="2843"/>
      <c r="RGB45" s="2843"/>
      <c r="RGC45" s="2844"/>
      <c r="RGD45" s="2845"/>
      <c r="RGE45" s="2842"/>
      <c r="RGF45" s="2842"/>
      <c r="RGG45" s="2843"/>
      <c r="RGH45" s="2843"/>
      <c r="RGI45" s="2844"/>
      <c r="RGJ45" s="2845"/>
      <c r="RGK45" s="2842"/>
      <c r="RGL45" s="2842"/>
      <c r="RGM45" s="2843"/>
      <c r="RGN45" s="2843"/>
      <c r="RGO45" s="2844"/>
      <c r="RGP45" s="2845"/>
      <c r="RGQ45" s="2842"/>
      <c r="RGR45" s="2842"/>
      <c r="RGS45" s="2843"/>
      <c r="RGT45" s="2843"/>
      <c r="RGU45" s="2844"/>
      <c r="RGV45" s="2845"/>
      <c r="RGW45" s="2842"/>
      <c r="RGX45" s="2842"/>
      <c r="RGY45" s="2843"/>
      <c r="RGZ45" s="2843"/>
      <c r="RHA45" s="2844"/>
      <c r="RHB45" s="2845"/>
      <c r="RHC45" s="2842"/>
      <c r="RHD45" s="2842"/>
      <c r="RHE45" s="2843"/>
      <c r="RHF45" s="2843"/>
      <c r="RHG45" s="2844"/>
      <c r="RHH45" s="2845"/>
      <c r="RHI45" s="2842"/>
      <c r="RHJ45" s="2842"/>
      <c r="RHK45" s="2843"/>
      <c r="RHL45" s="2843"/>
      <c r="RHM45" s="2844"/>
      <c r="RHN45" s="2845"/>
      <c r="RHO45" s="2842"/>
      <c r="RHP45" s="2842"/>
      <c r="RHQ45" s="2843"/>
      <c r="RHR45" s="2843"/>
      <c r="RHS45" s="2844"/>
      <c r="RHT45" s="2845"/>
      <c r="RHU45" s="2842"/>
      <c r="RHV45" s="2842"/>
      <c r="RHW45" s="2843"/>
      <c r="RHX45" s="2843"/>
      <c r="RHY45" s="2844"/>
      <c r="RHZ45" s="2845"/>
      <c r="RIA45" s="2842"/>
      <c r="RIB45" s="2842"/>
      <c r="RIC45" s="2843"/>
      <c r="RID45" s="2843"/>
      <c r="RIE45" s="2844"/>
      <c r="RIF45" s="2845"/>
      <c r="RIG45" s="2842"/>
      <c r="RIH45" s="2842"/>
      <c r="RII45" s="2843"/>
      <c r="RIJ45" s="2843"/>
      <c r="RIK45" s="2844"/>
      <c r="RIL45" s="2845"/>
      <c r="RIM45" s="2842"/>
      <c r="RIN45" s="2842"/>
      <c r="RIO45" s="2843"/>
      <c r="RIP45" s="2843"/>
      <c r="RIQ45" s="2844"/>
      <c r="RIR45" s="2845"/>
      <c r="RIS45" s="2842"/>
      <c r="RIT45" s="2842"/>
      <c r="RIU45" s="2843"/>
      <c r="RIV45" s="2843"/>
      <c r="RIW45" s="2844"/>
      <c r="RIX45" s="2845"/>
      <c r="RIY45" s="2842"/>
      <c r="RIZ45" s="2842"/>
      <c r="RJA45" s="2843"/>
      <c r="RJB45" s="2843"/>
      <c r="RJC45" s="2844"/>
      <c r="RJD45" s="2845"/>
      <c r="RJE45" s="2842"/>
      <c r="RJF45" s="2842"/>
      <c r="RJG45" s="2843"/>
      <c r="RJH45" s="2843"/>
      <c r="RJI45" s="2844"/>
      <c r="RJJ45" s="2845"/>
      <c r="RJK45" s="2842"/>
      <c r="RJL45" s="2842"/>
      <c r="RJM45" s="2843"/>
      <c r="RJN45" s="2843"/>
      <c r="RJO45" s="2844"/>
      <c r="RJP45" s="2845"/>
      <c r="RJQ45" s="2842"/>
      <c r="RJR45" s="2842"/>
      <c r="RJS45" s="2843"/>
      <c r="RJT45" s="2843"/>
      <c r="RJU45" s="2844"/>
      <c r="RJV45" s="2845"/>
      <c r="RJW45" s="2842"/>
      <c r="RJX45" s="2842"/>
      <c r="RJY45" s="2843"/>
      <c r="RJZ45" s="2843"/>
      <c r="RKA45" s="2844"/>
      <c r="RKB45" s="2845"/>
      <c r="RKC45" s="2842"/>
      <c r="RKD45" s="2842"/>
      <c r="RKE45" s="2843"/>
      <c r="RKF45" s="2843"/>
      <c r="RKG45" s="2844"/>
      <c r="RKH45" s="2845"/>
      <c r="RKI45" s="2842"/>
      <c r="RKJ45" s="2842"/>
      <c r="RKK45" s="2843"/>
      <c r="RKL45" s="2843"/>
      <c r="RKM45" s="2844"/>
      <c r="RKN45" s="2845"/>
      <c r="RKO45" s="2842"/>
      <c r="RKP45" s="2842"/>
      <c r="RKQ45" s="2843"/>
      <c r="RKR45" s="2843"/>
      <c r="RKS45" s="2844"/>
      <c r="RKT45" s="2845"/>
      <c r="RKU45" s="2842"/>
      <c r="RKV45" s="2842"/>
      <c r="RKW45" s="2843"/>
      <c r="RKX45" s="2843"/>
      <c r="RKY45" s="2844"/>
      <c r="RKZ45" s="2845"/>
      <c r="RLA45" s="2842"/>
      <c r="RLB45" s="2842"/>
      <c r="RLC45" s="2843"/>
      <c r="RLD45" s="2843"/>
      <c r="RLE45" s="2844"/>
      <c r="RLF45" s="2845"/>
      <c r="RLG45" s="2842"/>
      <c r="RLH45" s="2842"/>
      <c r="RLI45" s="2843"/>
      <c r="RLJ45" s="2843"/>
      <c r="RLK45" s="2844"/>
      <c r="RLL45" s="2845"/>
      <c r="RLM45" s="2842"/>
      <c r="RLN45" s="2842"/>
      <c r="RLO45" s="2843"/>
      <c r="RLP45" s="2843"/>
      <c r="RLQ45" s="2844"/>
      <c r="RLR45" s="2845"/>
      <c r="RLS45" s="2842"/>
      <c r="RLT45" s="2842"/>
      <c r="RLU45" s="2843"/>
      <c r="RLV45" s="2843"/>
      <c r="RLW45" s="2844"/>
      <c r="RLX45" s="2845"/>
      <c r="RLY45" s="2842"/>
      <c r="RLZ45" s="2842"/>
      <c r="RMA45" s="2843"/>
      <c r="RMB45" s="2843"/>
      <c r="RMC45" s="2844"/>
      <c r="RMD45" s="2845"/>
      <c r="RME45" s="2842"/>
      <c r="RMF45" s="2842"/>
      <c r="RMG45" s="2843"/>
      <c r="RMH45" s="2843"/>
      <c r="RMI45" s="2844"/>
      <c r="RMJ45" s="2845"/>
      <c r="RMK45" s="2842"/>
      <c r="RML45" s="2842"/>
      <c r="RMM45" s="2843"/>
      <c r="RMN45" s="2843"/>
      <c r="RMO45" s="2844"/>
      <c r="RMP45" s="2845"/>
      <c r="RMQ45" s="2842"/>
      <c r="RMR45" s="2842"/>
      <c r="RMS45" s="2843"/>
      <c r="RMT45" s="2843"/>
      <c r="RMU45" s="2844"/>
      <c r="RMV45" s="2845"/>
      <c r="RMW45" s="2842"/>
      <c r="RMX45" s="2842"/>
      <c r="RMY45" s="2843"/>
      <c r="RMZ45" s="2843"/>
      <c r="RNA45" s="2844"/>
      <c r="RNB45" s="2845"/>
      <c r="RNC45" s="2842"/>
      <c r="RND45" s="2842"/>
      <c r="RNE45" s="2843"/>
      <c r="RNF45" s="2843"/>
      <c r="RNG45" s="2844"/>
      <c r="RNH45" s="2845"/>
      <c r="RNI45" s="2842"/>
      <c r="RNJ45" s="2842"/>
      <c r="RNK45" s="2843"/>
      <c r="RNL45" s="2843"/>
      <c r="RNM45" s="2844"/>
      <c r="RNN45" s="2845"/>
      <c r="RNO45" s="2842"/>
      <c r="RNP45" s="2842"/>
      <c r="RNQ45" s="2843"/>
      <c r="RNR45" s="2843"/>
      <c r="RNS45" s="2844"/>
      <c r="RNT45" s="2845"/>
      <c r="RNU45" s="2842"/>
      <c r="RNV45" s="2842"/>
      <c r="RNW45" s="2843"/>
      <c r="RNX45" s="2843"/>
      <c r="RNY45" s="2844"/>
      <c r="RNZ45" s="2845"/>
      <c r="ROA45" s="2842"/>
      <c r="ROB45" s="2842"/>
      <c r="ROC45" s="2843"/>
      <c r="ROD45" s="2843"/>
      <c r="ROE45" s="2844"/>
      <c r="ROF45" s="2845"/>
      <c r="ROG45" s="2842"/>
      <c r="ROH45" s="2842"/>
      <c r="ROI45" s="2843"/>
      <c r="ROJ45" s="2843"/>
      <c r="ROK45" s="2844"/>
      <c r="ROL45" s="2845"/>
      <c r="ROM45" s="2842"/>
      <c r="RON45" s="2842"/>
      <c r="ROO45" s="2843"/>
      <c r="ROP45" s="2843"/>
      <c r="ROQ45" s="2844"/>
      <c r="ROR45" s="2845"/>
      <c r="ROS45" s="2842"/>
      <c r="ROT45" s="2842"/>
      <c r="ROU45" s="2843"/>
      <c r="ROV45" s="2843"/>
      <c r="ROW45" s="2844"/>
      <c r="ROX45" s="2845"/>
      <c r="ROY45" s="2842"/>
      <c r="ROZ45" s="2842"/>
      <c r="RPA45" s="2843"/>
      <c r="RPB45" s="2843"/>
      <c r="RPC45" s="2844"/>
      <c r="RPD45" s="2845"/>
      <c r="RPE45" s="2842"/>
      <c r="RPF45" s="2842"/>
      <c r="RPG45" s="2843"/>
      <c r="RPH45" s="2843"/>
      <c r="RPI45" s="2844"/>
      <c r="RPJ45" s="2845"/>
      <c r="RPK45" s="2842"/>
      <c r="RPL45" s="2842"/>
      <c r="RPM45" s="2843"/>
      <c r="RPN45" s="2843"/>
      <c r="RPO45" s="2844"/>
      <c r="RPP45" s="2845"/>
      <c r="RPQ45" s="2842"/>
      <c r="RPR45" s="2842"/>
      <c r="RPS45" s="2843"/>
      <c r="RPT45" s="2843"/>
      <c r="RPU45" s="2844"/>
      <c r="RPV45" s="2845"/>
      <c r="RPW45" s="2842"/>
      <c r="RPX45" s="2842"/>
      <c r="RPY45" s="2843"/>
      <c r="RPZ45" s="2843"/>
      <c r="RQA45" s="2844"/>
      <c r="RQB45" s="2845"/>
      <c r="RQC45" s="2842"/>
      <c r="RQD45" s="2842"/>
      <c r="RQE45" s="2843"/>
      <c r="RQF45" s="2843"/>
      <c r="RQG45" s="2844"/>
      <c r="RQH45" s="2845"/>
      <c r="RQI45" s="2842"/>
      <c r="RQJ45" s="2842"/>
      <c r="RQK45" s="2843"/>
      <c r="RQL45" s="2843"/>
      <c r="RQM45" s="2844"/>
      <c r="RQN45" s="2845"/>
      <c r="RQO45" s="2842"/>
      <c r="RQP45" s="2842"/>
      <c r="RQQ45" s="2843"/>
      <c r="RQR45" s="2843"/>
      <c r="RQS45" s="2844"/>
      <c r="RQT45" s="2845"/>
      <c r="RQU45" s="2842"/>
      <c r="RQV45" s="2842"/>
      <c r="RQW45" s="2843"/>
      <c r="RQX45" s="2843"/>
      <c r="RQY45" s="2844"/>
      <c r="RQZ45" s="2845"/>
      <c r="RRA45" s="2842"/>
      <c r="RRB45" s="2842"/>
      <c r="RRC45" s="2843"/>
      <c r="RRD45" s="2843"/>
      <c r="RRE45" s="2844"/>
      <c r="RRF45" s="2845"/>
      <c r="RRG45" s="2842"/>
      <c r="RRH45" s="2842"/>
      <c r="RRI45" s="2843"/>
      <c r="RRJ45" s="2843"/>
      <c r="RRK45" s="2844"/>
      <c r="RRL45" s="2845"/>
      <c r="RRM45" s="2842"/>
      <c r="RRN45" s="2842"/>
      <c r="RRO45" s="2843"/>
      <c r="RRP45" s="2843"/>
      <c r="RRQ45" s="2844"/>
      <c r="RRR45" s="2845"/>
      <c r="RRS45" s="2842"/>
      <c r="RRT45" s="2842"/>
      <c r="RRU45" s="2843"/>
      <c r="RRV45" s="2843"/>
      <c r="RRW45" s="2844"/>
      <c r="RRX45" s="2845"/>
      <c r="RRY45" s="2842"/>
      <c r="RRZ45" s="2842"/>
      <c r="RSA45" s="2843"/>
      <c r="RSB45" s="2843"/>
      <c r="RSC45" s="2844"/>
      <c r="RSD45" s="2845"/>
      <c r="RSE45" s="2842"/>
      <c r="RSF45" s="2842"/>
      <c r="RSG45" s="2843"/>
      <c r="RSH45" s="2843"/>
      <c r="RSI45" s="2844"/>
      <c r="RSJ45" s="2845"/>
      <c r="RSK45" s="2842"/>
      <c r="RSL45" s="2842"/>
      <c r="RSM45" s="2843"/>
      <c r="RSN45" s="2843"/>
      <c r="RSO45" s="2844"/>
      <c r="RSP45" s="2845"/>
      <c r="RSQ45" s="2842"/>
      <c r="RSR45" s="2842"/>
      <c r="RSS45" s="2843"/>
      <c r="RST45" s="2843"/>
      <c r="RSU45" s="2844"/>
      <c r="RSV45" s="2845"/>
      <c r="RSW45" s="2842"/>
      <c r="RSX45" s="2842"/>
      <c r="RSY45" s="2843"/>
      <c r="RSZ45" s="2843"/>
      <c r="RTA45" s="2844"/>
      <c r="RTB45" s="2845"/>
      <c r="RTC45" s="2842"/>
      <c r="RTD45" s="2842"/>
      <c r="RTE45" s="2843"/>
      <c r="RTF45" s="2843"/>
      <c r="RTG45" s="2844"/>
      <c r="RTH45" s="2845"/>
      <c r="RTI45" s="2842"/>
      <c r="RTJ45" s="2842"/>
      <c r="RTK45" s="2843"/>
      <c r="RTL45" s="2843"/>
      <c r="RTM45" s="2844"/>
      <c r="RTN45" s="2845"/>
      <c r="RTO45" s="2842"/>
      <c r="RTP45" s="2842"/>
      <c r="RTQ45" s="2843"/>
      <c r="RTR45" s="2843"/>
      <c r="RTS45" s="2844"/>
      <c r="RTT45" s="2845"/>
      <c r="RTU45" s="2842"/>
      <c r="RTV45" s="2842"/>
      <c r="RTW45" s="2843"/>
      <c r="RTX45" s="2843"/>
      <c r="RTY45" s="2844"/>
      <c r="RTZ45" s="2845"/>
      <c r="RUA45" s="2842"/>
      <c r="RUB45" s="2842"/>
      <c r="RUC45" s="2843"/>
      <c r="RUD45" s="2843"/>
      <c r="RUE45" s="2844"/>
      <c r="RUF45" s="2845"/>
      <c r="RUG45" s="2842"/>
      <c r="RUH45" s="2842"/>
      <c r="RUI45" s="2843"/>
      <c r="RUJ45" s="2843"/>
      <c r="RUK45" s="2844"/>
      <c r="RUL45" s="2845"/>
      <c r="RUM45" s="2842"/>
      <c r="RUN45" s="2842"/>
      <c r="RUO45" s="2843"/>
      <c r="RUP45" s="2843"/>
      <c r="RUQ45" s="2844"/>
      <c r="RUR45" s="2845"/>
      <c r="RUS45" s="2842"/>
      <c r="RUT45" s="2842"/>
      <c r="RUU45" s="2843"/>
      <c r="RUV45" s="2843"/>
      <c r="RUW45" s="2844"/>
      <c r="RUX45" s="2845"/>
      <c r="RUY45" s="2842"/>
      <c r="RUZ45" s="2842"/>
      <c r="RVA45" s="2843"/>
      <c r="RVB45" s="2843"/>
      <c r="RVC45" s="2844"/>
      <c r="RVD45" s="2845"/>
      <c r="RVE45" s="2842"/>
      <c r="RVF45" s="2842"/>
      <c r="RVG45" s="2843"/>
      <c r="RVH45" s="2843"/>
      <c r="RVI45" s="2844"/>
      <c r="RVJ45" s="2845"/>
      <c r="RVK45" s="2842"/>
      <c r="RVL45" s="2842"/>
      <c r="RVM45" s="2843"/>
      <c r="RVN45" s="2843"/>
      <c r="RVO45" s="2844"/>
      <c r="RVP45" s="2845"/>
      <c r="RVQ45" s="2842"/>
      <c r="RVR45" s="2842"/>
      <c r="RVS45" s="2843"/>
      <c r="RVT45" s="2843"/>
      <c r="RVU45" s="2844"/>
      <c r="RVV45" s="2845"/>
      <c r="RVW45" s="2842"/>
      <c r="RVX45" s="2842"/>
      <c r="RVY45" s="2843"/>
      <c r="RVZ45" s="2843"/>
      <c r="RWA45" s="2844"/>
      <c r="RWB45" s="2845"/>
      <c r="RWC45" s="2842"/>
      <c r="RWD45" s="2842"/>
      <c r="RWE45" s="2843"/>
      <c r="RWF45" s="2843"/>
      <c r="RWG45" s="2844"/>
      <c r="RWH45" s="2845"/>
      <c r="RWI45" s="2842"/>
      <c r="RWJ45" s="2842"/>
      <c r="RWK45" s="2843"/>
      <c r="RWL45" s="2843"/>
      <c r="RWM45" s="2844"/>
      <c r="RWN45" s="2845"/>
      <c r="RWO45" s="2842"/>
      <c r="RWP45" s="2842"/>
      <c r="RWQ45" s="2843"/>
      <c r="RWR45" s="2843"/>
      <c r="RWS45" s="2844"/>
      <c r="RWT45" s="2845"/>
      <c r="RWU45" s="2842"/>
      <c r="RWV45" s="2842"/>
      <c r="RWW45" s="2843"/>
      <c r="RWX45" s="2843"/>
      <c r="RWY45" s="2844"/>
      <c r="RWZ45" s="2845"/>
      <c r="RXA45" s="2842"/>
      <c r="RXB45" s="2842"/>
      <c r="RXC45" s="2843"/>
      <c r="RXD45" s="2843"/>
      <c r="RXE45" s="2844"/>
      <c r="RXF45" s="2845"/>
      <c r="RXG45" s="2842"/>
      <c r="RXH45" s="2842"/>
      <c r="RXI45" s="2843"/>
      <c r="RXJ45" s="2843"/>
      <c r="RXK45" s="2844"/>
      <c r="RXL45" s="2845"/>
      <c r="RXM45" s="2842"/>
      <c r="RXN45" s="2842"/>
      <c r="RXO45" s="2843"/>
      <c r="RXP45" s="2843"/>
      <c r="RXQ45" s="2844"/>
      <c r="RXR45" s="2845"/>
      <c r="RXS45" s="2842"/>
      <c r="RXT45" s="2842"/>
      <c r="RXU45" s="2843"/>
      <c r="RXV45" s="2843"/>
      <c r="RXW45" s="2844"/>
      <c r="RXX45" s="2845"/>
      <c r="RXY45" s="2842"/>
      <c r="RXZ45" s="2842"/>
      <c r="RYA45" s="2843"/>
      <c r="RYB45" s="2843"/>
      <c r="RYC45" s="2844"/>
      <c r="RYD45" s="2845"/>
      <c r="RYE45" s="2842"/>
      <c r="RYF45" s="2842"/>
      <c r="RYG45" s="2843"/>
      <c r="RYH45" s="2843"/>
      <c r="RYI45" s="2844"/>
      <c r="RYJ45" s="2845"/>
      <c r="RYK45" s="2842"/>
      <c r="RYL45" s="2842"/>
      <c r="RYM45" s="2843"/>
      <c r="RYN45" s="2843"/>
      <c r="RYO45" s="2844"/>
      <c r="RYP45" s="2845"/>
      <c r="RYQ45" s="2842"/>
      <c r="RYR45" s="2842"/>
      <c r="RYS45" s="2843"/>
      <c r="RYT45" s="2843"/>
      <c r="RYU45" s="2844"/>
      <c r="RYV45" s="2845"/>
      <c r="RYW45" s="2842"/>
      <c r="RYX45" s="2842"/>
      <c r="RYY45" s="2843"/>
      <c r="RYZ45" s="2843"/>
      <c r="RZA45" s="2844"/>
      <c r="RZB45" s="2845"/>
      <c r="RZC45" s="2842"/>
      <c r="RZD45" s="2842"/>
      <c r="RZE45" s="2843"/>
      <c r="RZF45" s="2843"/>
      <c r="RZG45" s="2844"/>
      <c r="RZH45" s="2845"/>
      <c r="RZI45" s="2842"/>
      <c r="RZJ45" s="2842"/>
      <c r="RZK45" s="2843"/>
      <c r="RZL45" s="2843"/>
      <c r="RZM45" s="2844"/>
      <c r="RZN45" s="2845"/>
      <c r="RZO45" s="2842"/>
      <c r="RZP45" s="2842"/>
      <c r="RZQ45" s="2843"/>
      <c r="RZR45" s="2843"/>
      <c r="RZS45" s="2844"/>
      <c r="RZT45" s="2845"/>
      <c r="RZU45" s="2842"/>
      <c r="RZV45" s="2842"/>
      <c r="RZW45" s="2843"/>
      <c r="RZX45" s="2843"/>
      <c r="RZY45" s="2844"/>
      <c r="RZZ45" s="2845"/>
      <c r="SAA45" s="2842"/>
      <c r="SAB45" s="2842"/>
      <c r="SAC45" s="2843"/>
      <c r="SAD45" s="2843"/>
      <c r="SAE45" s="2844"/>
      <c r="SAF45" s="2845"/>
      <c r="SAG45" s="2842"/>
      <c r="SAH45" s="2842"/>
      <c r="SAI45" s="2843"/>
      <c r="SAJ45" s="2843"/>
      <c r="SAK45" s="2844"/>
      <c r="SAL45" s="2845"/>
      <c r="SAM45" s="2842"/>
      <c r="SAN45" s="2842"/>
      <c r="SAO45" s="2843"/>
      <c r="SAP45" s="2843"/>
      <c r="SAQ45" s="2844"/>
      <c r="SAR45" s="2845"/>
      <c r="SAS45" s="2842"/>
      <c r="SAT45" s="2842"/>
      <c r="SAU45" s="2843"/>
      <c r="SAV45" s="2843"/>
      <c r="SAW45" s="2844"/>
      <c r="SAX45" s="2845"/>
      <c r="SAY45" s="2842"/>
      <c r="SAZ45" s="2842"/>
      <c r="SBA45" s="2843"/>
      <c r="SBB45" s="2843"/>
      <c r="SBC45" s="2844"/>
      <c r="SBD45" s="2845"/>
      <c r="SBE45" s="2842"/>
      <c r="SBF45" s="2842"/>
      <c r="SBG45" s="2843"/>
      <c r="SBH45" s="2843"/>
      <c r="SBI45" s="2844"/>
      <c r="SBJ45" s="2845"/>
      <c r="SBK45" s="2842"/>
      <c r="SBL45" s="2842"/>
      <c r="SBM45" s="2843"/>
      <c r="SBN45" s="2843"/>
      <c r="SBO45" s="2844"/>
      <c r="SBP45" s="2845"/>
      <c r="SBQ45" s="2842"/>
      <c r="SBR45" s="2842"/>
      <c r="SBS45" s="2843"/>
      <c r="SBT45" s="2843"/>
      <c r="SBU45" s="2844"/>
      <c r="SBV45" s="2845"/>
      <c r="SBW45" s="2842"/>
      <c r="SBX45" s="2842"/>
      <c r="SBY45" s="2843"/>
      <c r="SBZ45" s="2843"/>
      <c r="SCA45" s="2844"/>
      <c r="SCB45" s="2845"/>
      <c r="SCC45" s="2842"/>
      <c r="SCD45" s="2842"/>
      <c r="SCE45" s="2843"/>
      <c r="SCF45" s="2843"/>
      <c r="SCG45" s="2844"/>
      <c r="SCH45" s="2845"/>
      <c r="SCI45" s="2842"/>
      <c r="SCJ45" s="2842"/>
      <c r="SCK45" s="2843"/>
      <c r="SCL45" s="2843"/>
      <c r="SCM45" s="2844"/>
      <c r="SCN45" s="2845"/>
      <c r="SCO45" s="2842"/>
      <c r="SCP45" s="2842"/>
      <c r="SCQ45" s="2843"/>
      <c r="SCR45" s="2843"/>
      <c r="SCS45" s="2844"/>
      <c r="SCT45" s="2845"/>
      <c r="SCU45" s="2842"/>
      <c r="SCV45" s="2842"/>
      <c r="SCW45" s="2843"/>
      <c r="SCX45" s="2843"/>
      <c r="SCY45" s="2844"/>
      <c r="SCZ45" s="2845"/>
      <c r="SDA45" s="2842"/>
      <c r="SDB45" s="2842"/>
      <c r="SDC45" s="2843"/>
      <c r="SDD45" s="2843"/>
      <c r="SDE45" s="2844"/>
      <c r="SDF45" s="2845"/>
      <c r="SDG45" s="2842"/>
      <c r="SDH45" s="2842"/>
      <c r="SDI45" s="2843"/>
      <c r="SDJ45" s="2843"/>
      <c r="SDK45" s="2844"/>
      <c r="SDL45" s="2845"/>
      <c r="SDM45" s="2842"/>
      <c r="SDN45" s="2842"/>
      <c r="SDO45" s="2843"/>
      <c r="SDP45" s="2843"/>
      <c r="SDQ45" s="2844"/>
      <c r="SDR45" s="2845"/>
      <c r="SDS45" s="2842"/>
      <c r="SDT45" s="2842"/>
      <c r="SDU45" s="2843"/>
      <c r="SDV45" s="2843"/>
      <c r="SDW45" s="2844"/>
      <c r="SDX45" s="2845"/>
      <c r="SDY45" s="2842"/>
      <c r="SDZ45" s="2842"/>
      <c r="SEA45" s="2843"/>
      <c r="SEB45" s="2843"/>
      <c r="SEC45" s="2844"/>
      <c r="SED45" s="2845"/>
      <c r="SEE45" s="2842"/>
      <c r="SEF45" s="2842"/>
      <c r="SEG45" s="2843"/>
      <c r="SEH45" s="2843"/>
      <c r="SEI45" s="2844"/>
      <c r="SEJ45" s="2845"/>
      <c r="SEK45" s="2842"/>
      <c r="SEL45" s="2842"/>
      <c r="SEM45" s="2843"/>
      <c r="SEN45" s="2843"/>
      <c r="SEO45" s="2844"/>
      <c r="SEP45" s="2845"/>
      <c r="SEQ45" s="2842"/>
      <c r="SER45" s="2842"/>
      <c r="SES45" s="2843"/>
      <c r="SET45" s="2843"/>
      <c r="SEU45" s="2844"/>
      <c r="SEV45" s="2845"/>
      <c r="SEW45" s="2842"/>
      <c r="SEX45" s="2842"/>
      <c r="SEY45" s="2843"/>
      <c r="SEZ45" s="2843"/>
      <c r="SFA45" s="2844"/>
      <c r="SFB45" s="2845"/>
      <c r="SFC45" s="2842"/>
      <c r="SFD45" s="2842"/>
      <c r="SFE45" s="2843"/>
      <c r="SFF45" s="2843"/>
      <c r="SFG45" s="2844"/>
      <c r="SFH45" s="2845"/>
      <c r="SFI45" s="2842"/>
      <c r="SFJ45" s="2842"/>
      <c r="SFK45" s="2843"/>
      <c r="SFL45" s="2843"/>
      <c r="SFM45" s="2844"/>
      <c r="SFN45" s="2845"/>
      <c r="SFO45" s="2842"/>
      <c r="SFP45" s="2842"/>
      <c r="SFQ45" s="2843"/>
      <c r="SFR45" s="2843"/>
      <c r="SFS45" s="2844"/>
      <c r="SFT45" s="2845"/>
      <c r="SFU45" s="2842"/>
      <c r="SFV45" s="2842"/>
      <c r="SFW45" s="2843"/>
      <c r="SFX45" s="2843"/>
      <c r="SFY45" s="2844"/>
      <c r="SFZ45" s="2845"/>
      <c r="SGA45" s="2842"/>
      <c r="SGB45" s="2842"/>
      <c r="SGC45" s="2843"/>
      <c r="SGD45" s="2843"/>
      <c r="SGE45" s="2844"/>
      <c r="SGF45" s="2845"/>
      <c r="SGG45" s="2842"/>
      <c r="SGH45" s="2842"/>
      <c r="SGI45" s="2843"/>
      <c r="SGJ45" s="2843"/>
      <c r="SGK45" s="2844"/>
      <c r="SGL45" s="2845"/>
      <c r="SGM45" s="2842"/>
      <c r="SGN45" s="2842"/>
      <c r="SGO45" s="2843"/>
      <c r="SGP45" s="2843"/>
      <c r="SGQ45" s="2844"/>
      <c r="SGR45" s="2845"/>
      <c r="SGS45" s="2842"/>
      <c r="SGT45" s="2842"/>
      <c r="SGU45" s="2843"/>
      <c r="SGV45" s="2843"/>
      <c r="SGW45" s="2844"/>
      <c r="SGX45" s="2845"/>
      <c r="SGY45" s="2842"/>
      <c r="SGZ45" s="2842"/>
      <c r="SHA45" s="2843"/>
      <c r="SHB45" s="2843"/>
      <c r="SHC45" s="2844"/>
      <c r="SHD45" s="2845"/>
      <c r="SHE45" s="2842"/>
      <c r="SHF45" s="2842"/>
      <c r="SHG45" s="2843"/>
      <c r="SHH45" s="2843"/>
      <c r="SHI45" s="2844"/>
      <c r="SHJ45" s="2845"/>
      <c r="SHK45" s="2842"/>
      <c r="SHL45" s="2842"/>
      <c r="SHM45" s="2843"/>
      <c r="SHN45" s="2843"/>
      <c r="SHO45" s="2844"/>
      <c r="SHP45" s="2845"/>
      <c r="SHQ45" s="2842"/>
      <c r="SHR45" s="2842"/>
      <c r="SHS45" s="2843"/>
      <c r="SHT45" s="2843"/>
      <c r="SHU45" s="2844"/>
      <c r="SHV45" s="2845"/>
      <c r="SHW45" s="2842"/>
      <c r="SHX45" s="2842"/>
      <c r="SHY45" s="2843"/>
      <c r="SHZ45" s="2843"/>
      <c r="SIA45" s="2844"/>
      <c r="SIB45" s="2845"/>
      <c r="SIC45" s="2842"/>
      <c r="SID45" s="2842"/>
      <c r="SIE45" s="2843"/>
      <c r="SIF45" s="2843"/>
      <c r="SIG45" s="2844"/>
      <c r="SIH45" s="2845"/>
      <c r="SII45" s="2842"/>
      <c r="SIJ45" s="2842"/>
      <c r="SIK45" s="2843"/>
      <c r="SIL45" s="2843"/>
      <c r="SIM45" s="2844"/>
      <c r="SIN45" s="2845"/>
      <c r="SIO45" s="2842"/>
      <c r="SIP45" s="2842"/>
      <c r="SIQ45" s="2843"/>
      <c r="SIR45" s="2843"/>
      <c r="SIS45" s="2844"/>
      <c r="SIT45" s="2845"/>
      <c r="SIU45" s="2842"/>
      <c r="SIV45" s="2842"/>
      <c r="SIW45" s="2843"/>
      <c r="SIX45" s="2843"/>
      <c r="SIY45" s="2844"/>
      <c r="SIZ45" s="2845"/>
      <c r="SJA45" s="2842"/>
      <c r="SJB45" s="2842"/>
      <c r="SJC45" s="2843"/>
      <c r="SJD45" s="2843"/>
      <c r="SJE45" s="2844"/>
      <c r="SJF45" s="2845"/>
      <c r="SJG45" s="2842"/>
      <c r="SJH45" s="2842"/>
      <c r="SJI45" s="2843"/>
      <c r="SJJ45" s="2843"/>
      <c r="SJK45" s="2844"/>
      <c r="SJL45" s="2845"/>
      <c r="SJM45" s="2842"/>
      <c r="SJN45" s="2842"/>
      <c r="SJO45" s="2843"/>
      <c r="SJP45" s="2843"/>
      <c r="SJQ45" s="2844"/>
      <c r="SJR45" s="2845"/>
      <c r="SJS45" s="2842"/>
      <c r="SJT45" s="2842"/>
      <c r="SJU45" s="2843"/>
      <c r="SJV45" s="2843"/>
      <c r="SJW45" s="2844"/>
      <c r="SJX45" s="2845"/>
      <c r="SJY45" s="2842"/>
      <c r="SJZ45" s="2842"/>
      <c r="SKA45" s="2843"/>
      <c r="SKB45" s="2843"/>
      <c r="SKC45" s="2844"/>
      <c r="SKD45" s="2845"/>
      <c r="SKE45" s="2842"/>
      <c r="SKF45" s="2842"/>
      <c r="SKG45" s="2843"/>
      <c r="SKH45" s="2843"/>
      <c r="SKI45" s="2844"/>
      <c r="SKJ45" s="2845"/>
      <c r="SKK45" s="2842"/>
      <c r="SKL45" s="2842"/>
      <c r="SKM45" s="2843"/>
      <c r="SKN45" s="2843"/>
      <c r="SKO45" s="2844"/>
      <c r="SKP45" s="2845"/>
      <c r="SKQ45" s="2842"/>
      <c r="SKR45" s="2842"/>
      <c r="SKS45" s="2843"/>
      <c r="SKT45" s="2843"/>
      <c r="SKU45" s="2844"/>
      <c r="SKV45" s="2845"/>
      <c r="SKW45" s="2842"/>
      <c r="SKX45" s="2842"/>
      <c r="SKY45" s="2843"/>
      <c r="SKZ45" s="2843"/>
      <c r="SLA45" s="2844"/>
      <c r="SLB45" s="2845"/>
      <c r="SLC45" s="2842"/>
      <c r="SLD45" s="2842"/>
      <c r="SLE45" s="2843"/>
      <c r="SLF45" s="2843"/>
      <c r="SLG45" s="2844"/>
      <c r="SLH45" s="2845"/>
      <c r="SLI45" s="2842"/>
      <c r="SLJ45" s="2842"/>
      <c r="SLK45" s="2843"/>
      <c r="SLL45" s="2843"/>
      <c r="SLM45" s="2844"/>
      <c r="SLN45" s="2845"/>
      <c r="SLO45" s="2842"/>
      <c r="SLP45" s="2842"/>
      <c r="SLQ45" s="2843"/>
      <c r="SLR45" s="2843"/>
      <c r="SLS45" s="2844"/>
      <c r="SLT45" s="2845"/>
      <c r="SLU45" s="2842"/>
      <c r="SLV45" s="2842"/>
      <c r="SLW45" s="2843"/>
      <c r="SLX45" s="2843"/>
      <c r="SLY45" s="2844"/>
      <c r="SLZ45" s="2845"/>
      <c r="SMA45" s="2842"/>
      <c r="SMB45" s="2842"/>
      <c r="SMC45" s="2843"/>
      <c r="SMD45" s="2843"/>
      <c r="SME45" s="2844"/>
      <c r="SMF45" s="2845"/>
      <c r="SMG45" s="2842"/>
      <c r="SMH45" s="2842"/>
      <c r="SMI45" s="2843"/>
      <c r="SMJ45" s="2843"/>
      <c r="SMK45" s="2844"/>
      <c r="SML45" s="2845"/>
      <c r="SMM45" s="2842"/>
      <c r="SMN45" s="2842"/>
      <c r="SMO45" s="2843"/>
      <c r="SMP45" s="2843"/>
      <c r="SMQ45" s="2844"/>
      <c r="SMR45" s="2845"/>
      <c r="SMS45" s="2842"/>
      <c r="SMT45" s="2842"/>
      <c r="SMU45" s="2843"/>
      <c r="SMV45" s="2843"/>
      <c r="SMW45" s="2844"/>
      <c r="SMX45" s="2845"/>
      <c r="SMY45" s="2842"/>
      <c r="SMZ45" s="2842"/>
      <c r="SNA45" s="2843"/>
      <c r="SNB45" s="2843"/>
      <c r="SNC45" s="2844"/>
      <c r="SND45" s="2845"/>
      <c r="SNE45" s="2842"/>
      <c r="SNF45" s="2842"/>
      <c r="SNG45" s="2843"/>
      <c r="SNH45" s="2843"/>
      <c r="SNI45" s="2844"/>
      <c r="SNJ45" s="2845"/>
      <c r="SNK45" s="2842"/>
      <c r="SNL45" s="2842"/>
      <c r="SNM45" s="2843"/>
      <c r="SNN45" s="2843"/>
      <c r="SNO45" s="2844"/>
      <c r="SNP45" s="2845"/>
      <c r="SNQ45" s="2842"/>
      <c r="SNR45" s="2842"/>
      <c r="SNS45" s="2843"/>
      <c r="SNT45" s="2843"/>
      <c r="SNU45" s="2844"/>
      <c r="SNV45" s="2845"/>
      <c r="SNW45" s="2842"/>
      <c r="SNX45" s="2842"/>
      <c r="SNY45" s="2843"/>
      <c r="SNZ45" s="2843"/>
      <c r="SOA45" s="2844"/>
      <c r="SOB45" s="2845"/>
      <c r="SOC45" s="2842"/>
      <c r="SOD45" s="2842"/>
      <c r="SOE45" s="2843"/>
      <c r="SOF45" s="2843"/>
      <c r="SOG45" s="2844"/>
      <c r="SOH45" s="2845"/>
      <c r="SOI45" s="2842"/>
      <c r="SOJ45" s="2842"/>
      <c r="SOK45" s="2843"/>
      <c r="SOL45" s="2843"/>
      <c r="SOM45" s="2844"/>
      <c r="SON45" s="2845"/>
      <c r="SOO45" s="2842"/>
      <c r="SOP45" s="2842"/>
      <c r="SOQ45" s="2843"/>
      <c r="SOR45" s="2843"/>
      <c r="SOS45" s="2844"/>
      <c r="SOT45" s="2845"/>
      <c r="SOU45" s="2842"/>
      <c r="SOV45" s="2842"/>
      <c r="SOW45" s="2843"/>
      <c r="SOX45" s="2843"/>
      <c r="SOY45" s="2844"/>
      <c r="SOZ45" s="2845"/>
      <c r="SPA45" s="2842"/>
      <c r="SPB45" s="2842"/>
      <c r="SPC45" s="2843"/>
      <c r="SPD45" s="2843"/>
      <c r="SPE45" s="2844"/>
      <c r="SPF45" s="2845"/>
      <c r="SPG45" s="2842"/>
      <c r="SPH45" s="2842"/>
      <c r="SPI45" s="2843"/>
      <c r="SPJ45" s="2843"/>
      <c r="SPK45" s="2844"/>
      <c r="SPL45" s="2845"/>
      <c r="SPM45" s="2842"/>
      <c r="SPN45" s="2842"/>
      <c r="SPO45" s="2843"/>
      <c r="SPP45" s="2843"/>
      <c r="SPQ45" s="2844"/>
      <c r="SPR45" s="2845"/>
      <c r="SPS45" s="2842"/>
      <c r="SPT45" s="2842"/>
      <c r="SPU45" s="2843"/>
      <c r="SPV45" s="2843"/>
      <c r="SPW45" s="2844"/>
      <c r="SPX45" s="2845"/>
      <c r="SPY45" s="2842"/>
      <c r="SPZ45" s="2842"/>
      <c r="SQA45" s="2843"/>
      <c r="SQB45" s="2843"/>
      <c r="SQC45" s="2844"/>
      <c r="SQD45" s="2845"/>
      <c r="SQE45" s="2842"/>
      <c r="SQF45" s="2842"/>
      <c r="SQG45" s="2843"/>
      <c r="SQH45" s="2843"/>
      <c r="SQI45" s="2844"/>
      <c r="SQJ45" s="2845"/>
      <c r="SQK45" s="2842"/>
      <c r="SQL45" s="2842"/>
      <c r="SQM45" s="2843"/>
      <c r="SQN45" s="2843"/>
      <c r="SQO45" s="2844"/>
      <c r="SQP45" s="2845"/>
      <c r="SQQ45" s="2842"/>
      <c r="SQR45" s="2842"/>
      <c r="SQS45" s="2843"/>
      <c r="SQT45" s="2843"/>
      <c r="SQU45" s="2844"/>
      <c r="SQV45" s="2845"/>
      <c r="SQW45" s="2842"/>
      <c r="SQX45" s="2842"/>
      <c r="SQY45" s="2843"/>
      <c r="SQZ45" s="2843"/>
      <c r="SRA45" s="2844"/>
      <c r="SRB45" s="2845"/>
      <c r="SRC45" s="2842"/>
      <c r="SRD45" s="2842"/>
      <c r="SRE45" s="2843"/>
      <c r="SRF45" s="2843"/>
      <c r="SRG45" s="2844"/>
      <c r="SRH45" s="2845"/>
      <c r="SRI45" s="2842"/>
      <c r="SRJ45" s="2842"/>
      <c r="SRK45" s="2843"/>
      <c r="SRL45" s="2843"/>
      <c r="SRM45" s="2844"/>
      <c r="SRN45" s="2845"/>
      <c r="SRO45" s="2842"/>
      <c r="SRP45" s="2842"/>
      <c r="SRQ45" s="2843"/>
      <c r="SRR45" s="2843"/>
      <c r="SRS45" s="2844"/>
      <c r="SRT45" s="2845"/>
      <c r="SRU45" s="2842"/>
      <c r="SRV45" s="2842"/>
      <c r="SRW45" s="2843"/>
      <c r="SRX45" s="2843"/>
      <c r="SRY45" s="2844"/>
      <c r="SRZ45" s="2845"/>
      <c r="SSA45" s="2842"/>
      <c r="SSB45" s="2842"/>
      <c r="SSC45" s="2843"/>
      <c r="SSD45" s="2843"/>
      <c r="SSE45" s="2844"/>
      <c r="SSF45" s="2845"/>
      <c r="SSG45" s="2842"/>
      <c r="SSH45" s="2842"/>
      <c r="SSI45" s="2843"/>
      <c r="SSJ45" s="2843"/>
      <c r="SSK45" s="2844"/>
      <c r="SSL45" s="2845"/>
      <c r="SSM45" s="2842"/>
      <c r="SSN45" s="2842"/>
      <c r="SSO45" s="2843"/>
      <c r="SSP45" s="2843"/>
      <c r="SSQ45" s="2844"/>
      <c r="SSR45" s="2845"/>
      <c r="SSS45" s="2842"/>
      <c r="SST45" s="2842"/>
      <c r="SSU45" s="2843"/>
      <c r="SSV45" s="2843"/>
      <c r="SSW45" s="2844"/>
      <c r="SSX45" s="2845"/>
      <c r="SSY45" s="2842"/>
      <c r="SSZ45" s="2842"/>
      <c r="STA45" s="2843"/>
      <c r="STB45" s="2843"/>
      <c r="STC45" s="2844"/>
      <c r="STD45" s="2845"/>
      <c r="STE45" s="2842"/>
      <c r="STF45" s="2842"/>
      <c r="STG45" s="2843"/>
      <c r="STH45" s="2843"/>
      <c r="STI45" s="2844"/>
      <c r="STJ45" s="2845"/>
      <c r="STK45" s="2842"/>
      <c r="STL45" s="2842"/>
      <c r="STM45" s="2843"/>
      <c r="STN45" s="2843"/>
      <c r="STO45" s="2844"/>
      <c r="STP45" s="2845"/>
      <c r="STQ45" s="2842"/>
      <c r="STR45" s="2842"/>
      <c r="STS45" s="2843"/>
      <c r="STT45" s="2843"/>
      <c r="STU45" s="2844"/>
      <c r="STV45" s="2845"/>
      <c r="STW45" s="2842"/>
      <c r="STX45" s="2842"/>
      <c r="STY45" s="2843"/>
      <c r="STZ45" s="2843"/>
      <c r="SUA45" s="2844"/>
      <c r="SUB45" s="2845"/>
      <c r="SUC45" s="2842"/>
      <c r="SUD45" s="2842"/>
      <c r="SUE45" s="2843"/>
      <c r="SUF45" s="2843"/>
      <c r="SUG45" s="2844"/>
      <c r="SUH45" s="2845"/>
      <c r="SUI45" s="2842"/>
      <c r="SUJ45" s="2842"/>
      <c r="SUK45" s="2843"/>
      <c r="SUL45" s="2843"/>
      <c r="SUM45" s="2844"/>
      <c r="SUN45" s="2845"/>
      <c r="SUO45" s="2842"/>
      <c r="SUP45" s="2842"/>
      <c r="SUQ45" s="2843"/>
      <c r="SUR45" s="2843"/>
      <c r="SUS45" s="2844"/>
      <c r="SUT45" s="2845"/>
      <c r="SUU45" s="2842"/>
      <c r="SUV45" s="2842"/>
      <c r="SUW45" s="2843"/>
      <c r="SUX45" s="2843"/>
      <c r="SUY45" s="2844"/>
      <c r="SUZ45" s="2845"/>
      <c r="SVA45" s="2842"/>
      <c r="SVB45" s="2842"/>
      <c r="SVC45" s="2843"/>
      <c r="SVD45" s="2843"/>
      <c r="SVE45" s="2844"/>
      <c r="SVF45" s="2845"/>
      <c r="SVG45" s="2842"/>
      <c r="SVH45" s="2842"/>
      <c r="SVI45" s="2843"/>
      <c r="SVJ45" s="2843"/>
      <c r="SVK45" s="2844"/>
      <c r="SVL45" s="2845"/>
      <c r="SVM45" s="2842"/>
      <c r="SVN45" s="2842"/>
      <c r="SVO45" s="2843"/>
      <c r="SVP45" s="2843"/>
      <c r="SVQ45" s="2844"/>
      <c r="SVR45" s="2845"/>
      <c r="SVS45" s="2842"/>
      <c r="SVT45" s="2842"/>
      <c r="SVU45" s="2843"/>
      <c r="SVV45" s="2843"/>
      <c r="SVW45" s="2844"/>
      <c r="SVX45" s="2845"/>
      <c r="SVY45" s="2842"/>
      <c r="SVZ45" s="2842"/>
      <c r="SWA45" s="2843"/>
      <c r="SWB45" s="2843"/>
      <c r="SWC45" s="2844"/>
      <c r="SWD45" s="2845"/>
      <c r="SWE45" s="2842"/>
      <c r="SWF45" s="2842"/>
      <c r="SWG45" s="2843"/>
      <c r="SWH45" s="2843"/>
      <c r="SWI45" s="2844"/>
      <c r="SWJ45" s="2845"/>
      <c r="SWK45" s="2842"/>
      <c r="SWL45" s="2842"/>
      <c r="SWM45" s="2843"/>
      <c r="SWN45" s="2843"/>
      <c r="SWO45" s="2844"/>
      <c r="SWP45" s="2845"/>
      <c r="SWQ45" s="2842"/>
      <c r="SWR45" s="2842"/>
      <c r="SWS45" s="2843"/>
      <c r="SWT45" s="2843"/>
      <c r="SWU45" s="2844"/>
      <c r="SWV45" s="2845"/>
      <c r="SWW45" s="2842"/>
      <c r="SWX45" s="2842"/>
      <c r="SWY45" s="2843"/>
      <c r="SWZ45" s="2843"/>
      <c r="SXA45" s="2844"/>
      <c r="SXB45" s="2845"/>
      <c r="SXC45" s="2842"/>
      <c r="SXD45" s="2842"/>
      <c r="SXE45" s="2843"/>
      <c r="SXF45" s="2843"/>
      <c r="SXG45" s="2844"/>
      <c r="SXH45" s="2845"/>
      <c r="SXI45" s="2842"/>
      <c r="SXJ45" s="2842"/>
      <c r="SXK45" s="2843"/>
      <c r="SXL45" s="2843"/>
      <c r="SXM45" s="2844"/>
      <c r="SXN45" s="2845"/>
      <c r="SXO45" s="2842"/>
      <c r="SXP45" s="2842"/>
      <c r="SXQ45" s="2843"/>
      <c r="SXR45" s="2843"/>
      <c r="SXS45" s="2844"/>
      <c r="SXT45" s="2845"/>
      <c r="SXU45" s="2842"/>
      <c r="SXV45" s="2842"/>
      <c r="SXW45" s="2843"/>
      <c r="SXX45" s="2843"/>
      <c r="SXY45" s="2844"/>
      <c r="SXZ45" s="2845"/>
      <c r="SYA45" s="2842"/>
      <c r="SYB45" s="2842"/>
      <c r="SYC45" s="2843"/>
      <c r="SYD45" s="2843"/>
      <c r="SYE45" s="2844"/>
      <c r="SYF45" s="2845"/>
      <c r="SYG45" s="2842"/>
      <c r="SYH45" s="2842"/>
      <c r="SYI45" s="2843"/>
      <c r="SYJ45" s="2843"/>
      <c r="SYK45" s="2844"/>
      <c r="SYL45" s="2845"/>
      <c r="SYM45" s="2842"/>
      <c r="SYN45" s="2842"/>
      <c r="SYO45" s="2843"/>
      <c r="SYP45" s="2843"/>
      <c r="SYQ45" s="2844"/>
      <c r="SYR45" s="2845"/>
      <c r="SYS45" s="2842"/>
      <c r="SYT45" s="2842"/>
      <c r="SYU45" s="2843"/>
      <c r="SYV45" s="2843"/>
      <c r="SYW45" s="2844"/>
      <c r="SYX45" s="2845"/>
      <c r="SYY45" s="2842"/>
      <c r="SYZ45" s="2842"/>
      <c r="SZA45" s="2843"/>
      <c r="SZB45" s="2843"/>
      <c r="SZC45" s="2844"/>
      <c r="SZD45" s="2845"/>
      <c r="SZE45" s="2842"/>
      <c r="SZF45" s="2842"/>
      <c r="SZG45" s="2843"/>
      <c r="SZH45" s="2843"/>
      <c r="SZI45" s="2844"/>
      <c r="SZJ45" s="2845"/>
      <c r="SZK45" s="2842"/>
      <c r="SZL45" s="2842"/>
      <c r="SZM45" s="2843"/>
      <c r="SZN45" s="2843"/>
      <c r="SZO45" s="2844"/>
      <c r="SZP45" s="2845"/>
      <c r="SZQ45" s="2842"/>
      <c r="SZR45" s="2842"/>
      <c r="SZS45" s="2843"/>
      <c r="SZT45" s="2843"/>
      <c r="SZU45" s="2844"/>
      <c r="SZV45" s="2845"/>
      <c r="SZW45" s="2842"/>
      <c r="SZX45" s="2842"/>
      <c r="SZY45" s="2843"/>
      <c r="SZZ45" s="2843"/>
      <c r="TAA45" s="2844"/>
      <c r="TAB45" s="2845"/>
      <c r="TAC45" s="2842"/>
      <c r="TAD45" s="2842"/>
      <c r="TAE45" s="2843"/>
      <c r="TAF45" s="2843"/>
      <c r="TAG45" s="2844"/>
      <c r="TAH45" s="2845"/>
      <c r="TAI45" s="2842"/>
      <c r="TAJ45" s="2842"/>
      <c r="TAK45" s="2843"/>
      <c r="TAL45" s="2843"/>
      <c r="TAM45" s="2844"/>
      <c r="TAN45" s="2845"/>
      <c r="TAO45" s="2842"/>
      <c r="TAP45" s="2842"/>
      <c r="TAQ45" s="2843"/>
      <c r="TAR45" s="2843"/>
      <c r="TAS45" s="2844"/>
      <c r="TAT45" s="2845"/>
      <c r="TAU45" s="2842"/>
      <c r="TAV45" s="2842"/>
      <c r="TAW45" s="2843"/>
      <c r="TAX45" s="2843"/>
      <c r="TAY45" s="2844"/>
      <c r="TAZ45" s="2845"/>
      <c r="TBA45" s="2842"/>
      <c r="TBB45" s="2842"/>
      <c r="TBC45" s="2843"/>
      <c r="TBD45" s="2843"/>
      <c r="TBE45" s="2844"/>
      <c r="TBF45" s="2845"/>
      <c r="TBG45" s="2842"/>
      <c r="TBH45" s="2842"/>
      <c r="TBI45" s="2843"/>
      <c r="TBJ45" s="2843"/>
      <c r="TBK45" s="2844"/>
      <c r="TBL45" s="2845"/>
      <c r="TBM45" s="2842"/>
      <c r="TBN45" s="2842"/>
      <c r="TBO45" s="2843"/>
      <c r="TBP45" s="2843"/>
      <c r="TBQ45" s="2844"/>
      <c r="TBR45" s="2845"/>
      <c r="TBS45" s="2842"/>
      <c r="TBT45" s="2842"/>
      <c r="TBU45" s="2843"/>
      <c r="TBV45" s="2843"/>
      <c r="TBW45" s="2844"/>
      <c r="TBX45" s="2845"/>
      <c r="TBY45" s="2842"/>
      <c r="TBZ45" s="2842"/>
      <c r="TCA45" s="2843"/>
      <c r="TCB45" s="2843"/>
      <c r="TCC45" s="2844"/>
      <c r="TCD45" s="2845"/>
      <c r="TCE45" s="2842"/>
      <c r="TCF45" s="2842"/>
      <c r="TCG45" s="2843"/>
      <c r="TCH45" s="2843"/>
      <c r="TCI45" s="2844"/>
      <c r="TCJ45" s="2845"/>
      <c r="TCK45" s="2842"/>
      <c r="TCL45" s="2842"/>
      <c r="TCM45" s="2843"/>
      <c r="TCN45" s="2843"/>
      <c r="TCO45" s="2844"/>
      <c r="TCP45" s="2845"/>
      <c r="TCQ45" s="2842"/>
      <c r="TCR45" s="2842"/>
      <c r="TCS45" s="2843"/>
      <c r="TCT45" s="2843"/>
      <c r="TCU45" s="2844"/>
      <c r="TCV45" s="2845"/>
      <c r="TCW45" s="2842"/>
      <c r="TCX45" s="2842"/>
      <c r="TCY45" s="2843"/>
      <c r="TCZ45" s="2843"/>
      <c r="TDA45" s="2844"/>
      <c r="TDB45" s="2845"/>
      <c r="TDC45" s="2842"/>
      <c r="TDD45" s="2842"/>
      <c r="TDE45" s="2843"/>
      <c r="TDF45" s="2843"/>
      <c r="TDG45" s="2844"/>
      <c r="TDH45" s="2845"/>
      <c r="TDI45" s="2842"/>
      <c r="TDJ45" s="2842"/>
      <c r="TDK45" s="2843"/>
      <c r="TDL45" s="2843"/>
      <c r="TDM45" s="2844"/>
      <c r="TDN45" s="2845"/>
      <c r="TDO45" s="2842"/>
      <c r="TDP45" s="2842"/>
      <c r="TDQ45" s="2843"/>
      <c r="TDR45" s="2843"/>
      <c r="TDS45" s="2844"/>
      <c r="TDT45" s="2845"/>
      <c r="TDU45" s="2842"/>
      <c r="TDV45" s="2842"/>
      <c r="TDW45" s="2843"/>
      <c r="TDX45" s="2843"/>
      <c r="TDY45" s="2844"/>
      <c r="TDZ45" s="2845"/>
      <c r="TEA45" s="2842"/>
      <c r="TEB45" s="2842"/>
      <c r="TEC45" s="2843"/>
      <c r="TED45" s="2843"/>
      <c r="TEE45" s="2844"/>
      <c r="TEF45" s="2845"/>
      <c r="TEG45" s="2842"/>
      <c r="TEH45" s="2842"/>
      <c r="TEI45" s="2843"/>
      <c r="TEJ45" s="2843"/>
      <c r="TEK45" s="2844"/>
      <c r="TEL45" s="2845"/>
      <c r="TEM45" s="2842"/>
      <c r="TEN45" s="2842"/>
      <c r="TEO45" s="2843"/>
      <c r="TEP45" s="2843"/>
      <c r="TEQ45" s="2844"/>
      <c r="TER45" s="2845"/>
      <c r="TES45" s="2842"/>
      <c r="TET45" s="2842"/>
      <c r="TEU45" s="2843"/>
      <c r="TEV45" s="2843"/>
      <c r="TEW45" s="2844"/>
      <c r="TEX45" s="2845"/>
      <c r="TEY45" s="2842"/>
      <c r="TEZ45" s="2842"/>
      <c r="TFA45" s="2843"/>
      <c r="TFB45" s="2843"/>
      <c r="TFC45" s="2844"/>
      <c r="TFD45" s="2845"/>
      <c r="TFE45" s="2842"/>
      <c r="TFF45" s="2842"/>
      <c r="TFG45" s="2843"/>
      <c r="TFH45" s="2843"/>
      <c r="TFI45" s="2844"/>
      <c r="TFJ45" s="2845"/>
      <c r="TFK45" s="2842"/>
      <c r="TFL45" s="2842"/>
      <c r="TFM45" s="2843"/>
      <c r="TFN45" s="2843"/>
      <c r="TFO45" s="2844"/>
      <c r="TFP45" s="2845"/>
      <c r="TFQ45" s="2842"/>
      <c r="TFR45" s="2842"/>
      <c r="TFS45" s="2843"/>
      <c r="TFT45" s="2843"/>
      <c r="TFU45" s="2844"/>
      <c r="TFV45" s="2845"/>
      <c r="TFW45" s="2842"/>
      <c r="TFX45" s="2842"/>
      <c r="TFY45" s="2843"/>
      <c r="TFZ45" s="2843"/>
      <c r="TGA45" s="2844"/>
      <c r="TGB45" s="2845"/>
      <c r="TGC45" s="2842"/>
      <c r="TGD45" s="2842"/>
      <c r="TGE45" s="2843"/>
      <c r="TGF45" s="2843"/>
      <c r="TGG45" s="2844"/>
      <c r="TGH45" s="2845"/>
      <c r="TGI45" s="2842"/>
      <c r="TGJ45" s="2842"/>
      <c r="TGK45" s="2843"/>
      <c r="TGL45" s="2843"/>
      <c r="TGM45" s="2844"/>
      <c r="TGN45" s="2845"/>
      <c r="TGO45" s="2842"/>
      <c r="TGP45" s="2842"/>
      <c r="TGQ45" s="2843"/>
      <c r="TGR45" s="2843"/>
      <c r="TGS45" s="2844"/>
      <c r="TGT45" s="2845"/>
      <c r="TGU45" s="2842"/>
      <c r="TGV45" s="2842"/>
      <c r="TGW45" s="2843"/>
      <c r="TGX45" s="2843"/>
      <c r="TGY45" s="2844"/>
      <c r="TGZ45" s="2845"/>
      <c r="THA45" s="2842"/>
      <c r="THB45" s="2842"/>
      <c r="THC45" s="2843"/>
      <c r="THD45" s="2843"/>
      <c r="THE45" s="2844"/>
      <c r="THF45" s="2845"/>
      <c r="THG45" s="2842"/>
      <c r="THH45" s="2842"/>
      <c r="THI45" s="2843"/>
      <c r="THJ45" s="2843"/>
      <c r="THK45" s="2844"/>
      <c r="THL45" s="2845"/>
      <c r="THM45" s="2842"/>
      <c r="THN45" s="2842"/>
      <c r="THO45" s="2843"/>
      <c r="THP45" s="2843"/>
      <c r="THQ45" s="2844"/>
      <c r="THR45" s="2845"/>
      <c r="THS45" s="2842"/>
      <c r="THT45" s="2842"/>
      <c r="THU45" s="2843"/>
      <c r="THV45" s="2843"/>
      <c r="THW45" s="2844"/>
      <c r="THX45" s="2845"/>
      <c r="THY45" s="2842"/>
      <c r="THZ45" s="2842"/>
      <c r="TIA45" s="2843"/>
      <c r="TIB45" s="2843"/>
      <c r="TIC45" s="2844"/>
      <c r="TID45" s="2845"/>
      <c r="TIE45" s="2842"/>
      <c r="TIF45" s="2842"/>
      <c r="TIG45" s="2843"/>
      <c r="TIH45" s="2843"/>
      <c r="TII45" s="2844"/>
      <c r="TIJ45" s="2845"/>
      <c r="TIK45" s="2842"/>
      <c r="TIL45" s="2842"/>
      <c r="TIM45" s="2843"/>
      <c r="TIN45" s="2843"/>
      <c r="TIO45" s="2844"/>
      <c r="TIP45" s="2845"/>
      <c r="TIQ45" s="2842"/>
      <c r="TIR45" s="2842"/>
      <c r="TIS45" s="2843"/>
      <c r="TIT45" s="2843"/>
      <c r="TIU45" s="2844"/>
      <c r="TIV45" s="2845"/>
      <c r="TIW45" s="2842"/>
      <c r="TIX45" s="2842"/>
      <c r="TIY45" s="2843"/>
      <c r="TIZ45" s="2843"/>
      <c r="TJA45" s="2844"/>
      <c r="TJB45" s="2845"/>
      <c r="TJC45" s="2842"/>
      <c r="TJD45" s="2842"/>
      <c r="TJE45" s="2843"/>
      <c r="TJF45" s="2843"/>
      <c r="TJG45" s="2844"/>
      <c r="TJH45" s="2845"/>
      <c r="TJI45" s="2842"/>
      <c r="TJJ45" s="2842"/>
      <c r="TJK45" s="2843"/>
      <c r="TJL45" s="2843"/>
      <c r="TJM45" s="2844"/>
      <c r="TJN45" s="2845"/>
      <c r="TJO45" s="2842"/>
      <c r="TJP45" s="2842"/>
      <c r="TJQ45" s="2843"/>
      <c r="TJR45" s="2843"/>
      <c r="TJS45" s="2844"/>
      <c r="TJT45" s="2845"/>
      <c r="TJU45" s="2842"/>
      <c r="TJV45" s="2842"/>
      <c r="TJW45" s="2843"/>
      <c r="TJX45" s="2843"/>
      <c r="TJY45" s="2844"/>
      <c r="TJZ45" s="2845"/>
      <c r="TKA45" s="2842"/>
      <c r="TKB45" s="2842"/>
      <c r="TKC45" s="2843"/>
      <c r="TKD45" s="2843"/>
      <c r="TKE45" s="2844"/>
      <c r="TKF45" s="2845"/>
      <c r="TKG45" s="2842"/>
      <c r="TKH45" s="2842"/>
      <c r="TKI45" s="2843"/>
      <c r="TKJ45" s="2843"/>
      <c r="TKK45" s="2844"/>
      <c r="TKL45" s="2845"/>
      <c r="TKM45" s="2842"/>
      <c r="TKN45" s="2842"/>
      <c r="TKO45" s="2843"/>
      <c r="TKP45" s="2843"/>
      <c r="TKQ45" s="2844"/>
      <c r="TKR45" s="2845"/>
      <c r="TKS45" s="2842"/>
      <c r="TKT45" s="2842"/>
      <c r="TKU45" s="2843"/>
      <c r="TKV45" s="2843"/>
      <c r="TKW45" s="2844"/>
      <c r="TKX45" s="2845"/>
      <c r="TKY45" s="2842"/>
      <c r="TKZ45" s="2842"/>
      <c r="TLA45" s="2843"/>
      <c r="TLB45" s="2843"/>
      <c r="TLC45" s="2844"/>
      <c r="TLD45" s="2845"/>
      <c r="TLE45" s="2842"/>
      <c r="TLF45" s="2842"/>
      <c r="TLG45" s="2843"/>
      <c r="TLH45" s="2843"/>
      <c r="TLI45" s="2844"/>
      <c r="TLJ45" s="2845"/>
      <c r="TLK45" s="2842"/>
      <c r="TLL45" s="2842"/>
      <c r="TLM45" s="2843"/>
      <c r="TLN45" s="2843"/>
      <c r="TLO45" s="2844"/>
      <c r="TLP45" s="2845"/>
      <c r="TLQ45" s="2842"/>
      <c r="TLR45" s="2842"/>
      <c r="TLS45" s="2843"/>
      <c r="TLT45" s="2843"/>
      <c r="TLU45" s="2844"/>
      <c r="TLV45" s="2845"/>
      <c r="TLW45" s="2842"/>
      <c r="TLX45" s="2842"/>
      <c r="TLY45" s="2843"/>
      <c r="TLZ45" s="2843"/>
      <c r="TMA45" s="2844"/>
      <c r="TMB45" s="2845"/>
      <c r="TMC45" s="2842"/>
      <c r="TMD45" s="2842"/>
      <c r="TME45" s="2843"/>
      <c r="TMF45" s="2843"/>
      <c r="TMG45" s="2844"/>
      <c r="TMH45" s="2845"/>
      <c r="TMI45" s="2842"/>
      <c r="TMJ45" s="2842"/>
      <c r="TMK45" s="2843"/>
      <c r="TML45" s="2843"/>
      <c r="TMM45" s="2844"/>
      <c r="TMN45" s="2845"/>
      <c r="TMO45" s="2842"/>
      <c r="TMP45" s="2842"/>
      <c r="TMQ45" s="2843"/>
      <c r="TMR45" s="2843"/>
      <c r="TMS45" s="2844"/>
      <c r="TMT45" s="2845"/>
      <c r="TMU45" s="2842"/>
      <c r="TMV45" s="2842"/>
      <c r="TMW45" s="2843"/>
      <c r="TMX45" s="2843"/>
      <c r="TMY45" s="2844"/>
      <c r="TMZ45" s="2845"/>
      <c r="TNA45" s="2842"/>
      <c r="TNB45" s="2842"/>
      <c r="TNC45" s="2843"/>
      <c r="TND45" s="2843"/>
      <c r="TNE45" s="2844"/>
      <c r="TNF45" s="2845"/>
      <c r="TNG45" s="2842"/>
      <c r="TNH45" s="2842"/>
      <c r="TNI45" s="2843"/>
      <c r="TNJ45" s="2843"/>
      <c r="TNK45" s="2844"/>
      <c r="TNL45" s="2845"/>
      <c r="TNM45" s="2842"/>
      <c r="TNN45" s="2842"/>
      <c r="TNO45" s="2843"/>
      <c r="TNP45" s="2843"/>
      <c r="TNQ45" s="2844"/>
      <c r="TNR45" s="2845"/>
      <c r="TNS45" s="2842"/>
      <c r="TNT45" s="2842"/>
      <c r="TNU45" s="2843"/>
      <c r="TNV45" s="2843"/>
      <c r="TNW45" s="2844"/>
      <c r="TNX45" s="2845"/>
      <c r="TNY45" s="2842"/>
      <c r="TNZ45" s="2842"/>
      <c r="TOA45" s="2843"/>
      <c r="TOB45" s="2843"/>
      <c r="TOC45" s="2844"/>
      <c r="TOD45" s="2845"/>
      <c r="TOE45" s="2842"/>
      <c r="TOF45" s="2842"/>
      <c r="TOG45" s="2843"/>
      <c r="TOH45" s="2843"/>
      <c r="TOI45" s="2844"/>
      <c r="TOJ45" s="2845"/>
      <c r="TOK45" s="2842"/>
      <c r="TOL45" s="2842"/>
      <c r="TOM45" s="2843"/>
      <c r="TON45" s="2843"/>
      <c r="TOO45" s="2844"/>
      <c r="TOP45" s="2845"/>
      <c r="TOQ45" s="2842"/>
      <c r="TOR45" s="2842"/>
      <c r="TOS45" s="2843"/>
      <c r="TOT45" s="2843"/>
      <c r="TOU45" s="2844"/>
      <c r="TOV45" s="2845"/>
      <c r="TOW45" s="2842"/>
      <c r="TOX45" s="2842"/>
      <c r="TOY45" s="2843"/>
      <c r="TOZ45" s="2843"/>
      <c r="TPA45" s="2844"/>
      <c r="TPB45" s="2845"/>
      <c r="TPC45" s="2842"/>
      <c r="TPD45" s="2842"/>
      <c r="TPE45" s="2843"/>
      <c r="TPF45" s="2843"/>
      <c r="TPG45" s="2844"/>
      <c r="TPH45" s="2845"/>
      <c r="TPI45" s="2842"/>
      <c r="TPJ45" s="2842"/>
      <c r="TPK45" s="2843"/>
      <c r="TPL45" s="2843"/>
      <c r="TPM45" s="2844"/>
      <c r="TPN45" s="2845"/>
      <c r="TPO45" s="2842"/>
      <c r="TPP45" s="2842"/>
      <c r="TPQ45" s="2843"/>
      <c r="TPR45" s="2843"/>
      <c r="TPS45" s="2844"/>
      <c r="TPT45" s="2845"/>
      <c r="TPU45" s="2842"/>
      <c r="TPV45" s="2842"/>
      <c r="TPW45" s="2843"/>
      <c r="TPX45" s="2843"/>
      <c r="TPY45" s="2844"/>
      <c r="TPZ45" s="2845"/>
      <c r="TQA45" s="2842"/>
      <c r="TQB45" s="2842"/>
      <c r="TQC45" s="2843"/>
      <c r="TQD45" s="2843"/>
      <c r="TQE45" s="2844"/>
      <c r="TQF45" s="2845"/>
      <c r="TQG45" s="2842"/>
      <c r="TQH45" s="2842"/>
      <c r="TQI45" s="2843"/>
      <c r="TQJ45" s="2843"/>
      <c r="TQK45" s="2844"/>
      <c r="TQL45" s="2845"/>
      <c r="TQM45" s="2842"/>
      <c r="TQN45" s="2842"/>
      <c r="TQO45" s="2843"/>
      <c r="TQP45" s="2843"/>
      <c r="TQQ45" s="2844"/>
      <c r="TQR45" s="2845"/>
      <c r="TQS45" s="2842"/>
      <c r="TQT45" s="2842"/>
      <c r="TQU45" s="2843"/>
      <c r="TQV45" s="2843"/>
      <c r="TQW45" s="2844"/>
      <c r="TQX45" s="2845"/>
      <c r="TQY45" s="2842"/>
      <c r="TQZ45" s="2842"/>
      <c r="TRA45" s="2843"/>
      <c r="TRB45" s="2843"/>
      <c r="TRC45" s="2844"/>
      <c r="TRD45" s="2845"/>
      <c r="TRE45" s="2842"/>
      <c r="TRF45" s="2842"/>
      <c r="TRG45" s="2843"/>
      <c r="TRH45" s="2843"/>
      <c r="TRI45" s="2844"/>
      <c r="TRJ45" s="2845"/>
      <c r="TRK45" s="2842"/>
      <c r="TRL45" s="2842"/>
      <c r="TRM45" s="2843"/>
      <c r="TRN45" s="2843"/>
      <c r="TRO45" s="2844"/>
      <c r="TRP45" s="2845"/>
      <c r="TRQ45" s="2842"/>
      <c r="TRR45" s="2842"/>
      <c r="TRS45" s="2843"/>
      <c r="TRT45" s="2843"/>
      <c r="TRU45" s="2844"/>
      <c r="TRV45" s="2845"/>
      <c r="TRW45" s="2842"/>
      <c r="TRX45" s="2842"/>
      <c r="TRY45" s="2843"/>
      <c r="TRZ45" s="2843"/>
      <c r="TSA45" s="2844"/>
      <c r="TSB45" s="2845"/>
      <c r="TSC45" s="2842"/>
      <c r="TSD45" s="2842"/>
      <c r="TSE45" s="2843"/>
      <c r="TSF45" s="2843"/>
      <c r="TSG45" s="2844"/>
      <c r="TSH45" s="2845"/>
      <c r="TSI45" s="2842"/>
      <c r="TSJ45" s="2842"/>
      <c r="TSK45" s="2843"/>
      <c r="TSL45" s="2843"/>
      <c r="TSM45" s="2844"/>
      <c r="TSN45" s="2845"/>
      <c r="TSO45" s="2842"/>
      <c r="TSP45" s="2842"/>
      <c r="TSQ45" s="2843"/>
      <c r="TSR45" s="2843"/>
      <c r="TSS45" s="2844"/>
      <c r="TST45" s="2845"/>
      <c r="TSU45" s="2842"/>
      <c r="TSV45" s="2842"/>
      <c r="TSW45" s="2843"/>
      <c r="TSX45" s="2843"/>
      <c r="TSY45" s="2844"/>
      <c r="TSZ45" s="2845"/>
      <c r="TTA45" s="2842"/>
      <c r="TTB45" s="2842"/>
      <c r="TTC45" s="2843"/>
      <c r="TTD45" s="2843"/>
      <c r="TTE45" s="2844"/>
      <c r="TTF45" s="2845"/>
      <c r="TTG45" s="2842"/>
      <c r="TTH45" s="2842"/>
      <c r="TTI45" s="2843"/>
      <c r="TTJ45" s="2843"/>
      <c r="TTK45" s="2844"/>
      <c r="TTL45" s="2845"/>
      <c r="TTM45" s="2842"/>
      <c r="TTN45" s="2842"/>
      <c r="TTO45" s="2843"/>
      <c r="TTP45" s="2843"/>
      <c r="TTQ45" s="2844"/>
      <c r="TTR45" s="2845"/>
      <c r="TTS45" s="2842"/>
      <c r="TTT45" s="2842"/>
      <c r="TTU45" s="2843"/>
      <c r="TTV45" s="2843"/>
      <c r="TTW45" s="2844"/>
      <c r="TTX45" s="2845"/>
      <c r="TTY45" s="2842"/>
      <c r="TTZ45" s="2842"/>
      <c r="TUA45" s="2843"/>
      <c r="TUB45" s="2843"/>
      <c r="TUC45" s="2844"/>
      <c r="TUD45" s="2845"/>
      <c r="TUE45" s="2842"/>
      <c r="TUF45" s="2842"/>
      <c r="TUG45" s="2843"/>
      <c r="TUH45" s="2843"/>
      <c r="TUI45" s="2844"/>
      <c r="TUJ45" s="2845"/>
      <c r="TUK45" s="2842"/>
      <c r="TUL45" s="2842"/>
      <c r="TUM45" s="2843"/>
      <c r="TUN45" s="2843"/>
      <c r="TUO45" s="2844"/>
      <c r="TUP45" s="2845"/>
      <c r="TUQ45" s="2842"/>
      <c r="TUR45" s="2842"/>
      <c r="TUS45" s="2843"/>
      <c r="TUT45" s="2843"/>
      <c r="TUU45" s="2844"/>
      <c r="TUV45" s="2845"/>
      <c r="TUW45" s="2842"/>
      <c r="TUX45" s="2842"/>
      <c r="TUY45" s="2843"/>
      <c r="TUZ45" s="2843"/>
      <c r="TVA45" s="2844"/>
      <c r="TVB45" s="2845"/>
      <c r="TVC45" s="2842"/>
      <c r="TVD45" s="2842"/>
      <c r="TVE45" s="2843"/>
      <c r="TVF45" s="2843"/>
      <c r="TVG45" s="2844"/>
      <c r="TVH45" s="2845"/>
      <c r="TVI45" s="2842"/>
      <c r="TVJ45" s="2842"/>
      <c r="TVK45" s="2843"/>
      <c r="TVL45" s="2843"/>
      <c r="TVM45" s="2844"/>
      <c r="TVN45" s="2845"/>
      <c r="TVO45" s="2842"/>
      <c r="TVP45" s="2842"/>
      <c r="TVQ45" s="2843"/>
      <c r="TVR45" s="2843"/>
      <c r="TVS45" s="2844"/>
      <c r="TVT45" s="2845"/>
      <c r="TVU45" s="2842"/>
      <c r="TVV45" s="2842"/>
      <c r="TVW45" s="2843"/>
      <c r="TVX45" s="2843"/>
      <c r="TVY45" s="2844"/>
      <c r="TVZ45" s="2845"/>
      <c r="TWA45" s="2842"/>
      <c r="TWB45" s="2842"/>
      <c r="TWC45" s="2843"/>
      <c r="TWD45" s="2843"/>
      <c r="TWE45" s="2844"/>
      <c r="TWF45" s="2845"/>
      <c r="TWG45" s="2842"/>
      <c r="TWH45" s="2842"/>
      <c r="TWI45" s="2843"/>
      <c r="TWJ45" s="2843"/>
      <c r="TWK45" s="2844"/>
      <c r="TWL45" s="2845"/>
      <c r="TWM45" s="2842"/>
      <c r="TWN45" s="2842"/>
      <c r="TWO45" s="2843"/>
      <c r="TWP45" s="2843"/>
      <c r="TWQ45" s="2844"/>
      <c r="TWR45" s="2845"/>
      <c r="TWS45" s="2842"/>
      <c r="TWT45" s="2842"/>
      <c r="TWU45" s="2843"/>
      <c r="TWV45" s="2843"/>
      <c r="TWW45" s="2844"/>
      <c r="TWX45" s="2845"/>
      <c r="TWY45" s="2842"/>
      <c r="TWZ45" s="2842"/>
      <c r="TXA45" s="2843"/>
      <c r="TXB45" s="2843"/>
      <c r="TXC45" s="2844"/>
      <c r="TXD45" s="2845"/>
      <c r="TXE45" s="2842"/>
      <c r="TXF45" s="2842"/>
      <c r="TXG45" s="2843"/>
      <c r="TXH45" s="2843"/>
      <c r="TXI45" s="2844"/>
      <c r="TXJ45" s="2845"/>
      <c r="TXK45" s="2842"/>
      <c r="TXL45" s="2842"/>
      <c r="TXM45" s="2843"/>
      <c r="TXN45" s="2843"/>
      <c r="TXO45" s="2844"/>
      <c r="TXP45" s="2845"/>
      <c r="TXQ45" s="2842"/>
      <c r="TXR45" s="2842"/>
      <c r="TXS45" s="2843"/>
      <c r="TXT45" s="2843"/>
      <c r="TXU45" s="2844"/>
      <c r="TXV45" s="2845"/>
      <c r="TXW45" s="2842"/>
      <c r="TXX45" s="2842"/>
      <c r="TXY45" s="2843"/>
      <c r="TXZ45" s="2843"/>
      <c r="TYA45" s="2844"/>
      <c r="TYB45" s="2845"/>
      <c r="TYC45" s="2842"/>
      <c r="TYD45" s="2842"/>
      <c r="TYE45" s="2843"/>
      <c r="TYF45" s="2843"/>
      <c r="TYG45" s="2844"/>
      <c r="TYH45" s="2845"/>
      <c r="TYI45" s="2842"/>
      <c r="TYJ45" s="2842"/>
      <c r="TYK45" s="2843"/>
      <c r="TYL45" s="2843"/>
      <c r="TYM45" s="2844"/>
      <c r="TYN45" s="2845"/>
      <c r="TYO45" s="2842"/>
      <c r="TYP45" s="2842"/>
      <c r="TYQ45" s="2843"/>
      <c r="TYR45" s="2843"/>
      <c r="TYS45" s="2844"/>
      <c r="TYT45" s="2845"/>
      <c r="TYU45" s="2842"/>
      <c r="TYV45" s="2842"/>
      <c r="TYW45" s="2843"/>
      <c r="TYX45" s="2843"/>
      <c r="TYY45" s="2844"/>
      <c r="TYZ45" s="2845"/>
      <c r="TZA45" s="2842"/>
      <c r="TZB45" s="2842"/>
      <c r="TZC45" s="2843"/>
      <c r="TZD45" s="2843"/>
      <c r="TZE45" s="2844"/>
      <c r="TZF45" s="2845"/>
      <c r="TZG45" s="2842"/>
      <c r="TZH45" s="2842"/>
      <c r="TZI45" s="2843"/>
      <c r="TZJ45" s="2843"/>
      <c r="TZK45" s="2844"/>
      <c r="TZL45" s="2845"/>
      <c r="TZM45" s="2842"/>
      <c r="TZN45" s="2842"/>
      <c r="TZO45" s="2843"/>
      <c r="TZP45" s="2843"/>
      <c r="TZQ45" s="2844"/>
      <c r="TZR45" s="2845"/>
      <c r="TZS45" s="2842"/>
      <c r="TZT45" s="2842"/>
      <c r="TZU45" s="2843"/>
      <c r="TZV45" s="2843"/>
      <c r="TZW45" s="2844"/>
      <c r="TZX45" s="2845"/>
      <c r="TZY45" s="2842"/>
      <c r="TZZ45" s="2842"/>
      <c r="UAA45" s="2843"/>
      <c r="UAB45" s="2843"/>
      <c r="UAC45" s="2844"/>
      <c r="UAD45" s="2845"/>
      <c r="UAE45" s="2842"/>
      <c r="UAF45" s="2842"/>
      <c r="UAG45" s="2843"/>
      <c r="UAH45" s="2843"/>
      <c r="UAI45" s="2844"/>
      <c r="UAJ45" s="2845"/>
      <c r="UAK45" s="2842"/>
      <c r="UAL45" s="2842"/>
      <c r="UAM45" s="2843"/>
      <c r="UAN45" s="2843"/>
      <c r="UAO45" s="2844"/>
      <c r="UAP45" s="2845"/>
      <c r="UAQ45" s="2842"/>
      <c r="UAR45" s="2842"/>
      <c r="UAS45" s="2843"/>
      <c r="UAT45" s="2843"/>
      <c r="UAU45" s="2844"/>
      <c r="UAV45" s="2845"/>
      <c r="UAW45" s="2842"/>
      <c r="UAX45" s="2842"/>
      <c r="UAY45" s="2843"/>
      <c r="UAZ45" s="2843"/>
      <c r="UBA45" s="2844"/>
      <c r="UBB45" s="2845"/>
      <c r="UBC45" s="2842"/>
      <c r="UBD45" s="2842"/>
      <c r="UBE45" s="2843"/>
      <c r="UBF45" s="2843"/>
      <c r="UBG45" s="2844"/>
      <c r="UBH45" s="2845"/>
      <c r="UBI45" s="2842"/>
      <c r="UBJ45" s="2842"/>
      <c r="UBK45" s="2843"/>
      <c r="UBL45" s="2843"/>
      <c r="UBM45" s="2844"/>
      <c r="UBN45" s="2845"/>
      <c r="UBO45" s="2842"/>
      <c r="UBP45" s="2842"/>
      <c r="UBQ45" s="2843"/>
      <c r="UBR45" s="2843"/>
      <c r="UBS45" s="2844"/>
      <c r="UBT45" s="2845"/>
      <c r="UBU45" s="2842"/>
      <c r="UBV45" s="2842"/>
      <c r="UBW45" s="2843"/>
      <c r="UBX45" s="2843"/>
      <c r="UBY45" s="2844"/>
      <c r="UBZ45" s="2845"/>
      <c r="UCA45" s="2842"/>
      <c r="UCB45" s="2842"/>
      <c r="UCC45" s="2843"/>
      <c r="UCD45" s="2843"/>
      <c r="UCE45" s="2844"/>
      <c r="UCF45" s="2845"/>
      <c r="UCG45" s="2842"/>
      <c r="UCH45" s="2842"/>
      <c r="UCI45" s="2843"/>
      <c r="UCJ45" s="2843"/>
      <c r="UCK45" s="2844"/>
      <c r="UCL45" s="2845"/>
      <c r="UCM45" s="2842"/>
      <c r="UCN45" s="2842"/>
      <c r="UCO45" s="2843"/>
      <c r="UCP45" s="2843"/>
      <c r="UCQ45" s="2844"/>
      <c r="UCR45" s="2845"/>
      <c r="UCS45" s="2842"/>
      <c r="UCT45" s="2842"/>
      <c r="UCU45" s="2843"/>
      <c r="UCV45" s="2843"/>
      <c r="UCW45" s="2844"/>
      <c r="UCX45" s="2845"/>
      <c r="UCY45" s="2842"/>
      <c r="UCZ45" s="2842"/>
      <c r="UDA45" s="2843"/>
      <c r="UDB45" s="2843"/>
      <c r="UDC45" s="2844"/>
      <c r="UDD45" s="2845"/>
      <c r="UDE45" s="2842"/>
      <c r="UDF45" s="2842"/>
      <c r="UDG45" s="2843"/>
      <c r="UDH45" s="2843"/>
      <c r="UDI45" s="2844"/>
      <c r="UDJ45" s="2845"/>
      <c r="UDK45" s="2842"/>
      <c r="UDL45" s="2842"/>
      <c r="UDM45" s="2843"/>
      <c r="UDN45" s="2843"/>
      <c r="UDO45" s="2844"/>
      <c r="UDP45" s="2845"/>
      <c r="UDQ45" s="2842"/>
      <c r="UDR45" s="2842"/>
      <c r="UDS45" s="2843"/>
      <c r="UDT45" s="2843"/>
      <c r="UDU45" s="2844"/>
      <c r="UDV45" s="2845"/>
      <c r="UDW45" s="2842"/>
      <c r="UDX45" s="2842"/>
      <c r="UDY45" s="2843"/>
      <c r="UDZ45" s="2843"/>
      <c r="UEA45" s="2844"/>
      <c r="UEB45" s="2845"/>
      <c r="UEC45" s="2842"/>
      <c r="UED45" s="2842"/>
      <c r="UEE45" s="2843"/>
      <c r="UEF45" s="2843"/>
      <c r="UEG45" s="2844"/>
      <c r="UEH45" s="2845"/>
      <c r="UEI45" s="2842"/>
      <c r="UEJ45" s="2842"/>
      <c r="UEK45" s="2843"/>
      <c r="UEL45" s="2843"/>
      <c r="UEM45" s="2844"/>
      <c r="UEN45" s="2845"/>
      <c r="UEO45" s="2842"/>
      <c r="UEP45" s="2842"/>
      <c r="UEQ45" s="2843"/>
      <c r="UER45" s="2843"/>
      <c r="UES45" s="2844"/>
      <c r="UET45" s="2845"/>
      <c r="UEU45" s="2842"/>
      <c r="UEV45" s="2842"/>
      <c r="UEW45" s="2843"/>
      <c r="UEX45" s="2843"/>
      <c r="UEY45" s="2844"/>
      <c r="UEZ45" s="2845"/>
      <c r="UFA45" s="2842"/>
      <c r="UFB45" s="2842"/>
      <c r="UFC45" s="2843"/>
      <c r="UFD45" s="2843"/>
      <c r="UFE45" s="2844"/>
      <c r="UFF45" s="2845"/>
      <c r="UFG45" s="2842"/>
      <c r="UFH45" s="2842"/>
      <c r="UFI45" s="2843"/>
      <c r="UFJ45" s="2843"/>
      <c r="UFK45" s="2844"/>
      <c r="UFL45" s="2845"/>
      <c r="UFM45" s="2842"/>
      <c r="UFN45" s="2842"/>
      <c r="UFO45" s="2843"/>
      <c r="UFP45" s="2843"/>
      <c r="UFQ45" s="2844"/>
      <c r="UFR45" s="2845"/>
      <c r="UFS45" s="2842"/>
      <c r="UFT45" s="2842"/>
      <c r="UFU45" s="2843"/>
      <c r="UFV45" s="2843"/>
      <c r="UFW45" s="2844"/>
      <c r="UFX45" s="2845"/>
      <c r="UFY45" s="2842"/>
      <c r="UFZ45" s="2842"/>
      <c r="UGA45" s="2843"/>
      <c r="UGB45" s="2843"/>
      <c r="UGC45" s="2844"/>
      <c r="UGD45" s="2845"/>
      <c r="UGE45" s="2842"/>
      <c r="UGF45" s="2842"/>
      <c r="UGG45" s="2843"/>
      <c r="UGH45" s="2843"/>
      <c r="UGI45" s="2844"/>
      <c r="UGJ45" s="2845"/>
      <c r="UGK45" s="2842"/>
      <c r="UGL45" s="2842"/>
      <c r="UGM45" s="2843"/>
      <c r="UGN45" s="2843"/>
      <c r="UGO45" s="2844"/>
      <c r="UGP45" s="2845"/>
      <c r="UGQ45" s="2842"/>
      <c r="UGR45" s="2842"/>
      <c r="UGS45" s="2843"/>
      <c r="UGT45" s="2843"/>
      <c r="UGU45" s="2844"/>
      <c r="UGV45" s="2845"/>
      <c r="UGW45" s="2842"/>
      <c r="UGX45" s="2842"/>
      <c r="UGY45" s="2843"/>
      <c r="UGZ45" s="2843"/>
      <c r="UHA45" s="2844"/>
      <c r="UHB45" s="2845"/>
      <c r="UHC45" s="2842"/>
      <c r="UHD45" s="2842"/>
      <c r="UHE45" s="2843"/>
      <c r="UHF45" s="2843"/>
      <c r="UHG45" s="2844"/>
      <c r="UHH45" s="2845"/>
      <c r="UHI45" s="2842"/>
      <c r="UHJ45" s="2842"/>
      <c r="UHK45" s="2843"/>
      <c r="UHL45" s="2843"/>
      <c r="UHM45" s="2844"/>
      <c r="UHN45" s="2845"/>
      <c r="UHO45" s="2842"/>
      <c r="UHP45" s="2842"/>
      <c r="UHQ45" s="2843"/>
      <c r="UHR45" s="2843"/>
      <c r="UHS45" s="2844"/>
      <c r="UHT45" s="2845"/>
      <c r="UHU45" s="2842"/>
      <c r="UHV45" s="2842"/>
      <c r="UHW45" s="2843"/>
      <c r="UHX45" s="2843"/>
      <c r="UHY45" s="2844"/>
      <c r="UHZ45" s="2845"/>
      <c r="UIA45" s="2842"/>
      <c r="UIB45" s="2842"/>
      <c r="UIC45" s="2843"/>
      <c r="UID45" s="2843"/>
      <c r="UIE45" s="2844"/>
      <c r="UIF45" s="2845"/>
      <c r="UIG45" s="2842"/>
      <c r="UIH45" s="2842"/>
      <c r="UII45" s="2843"/>
      <c r="UIJ45" s="2843"/>
      <c r="UIK45" s="2844"/>
      <c r="UIL45" s="2845"/>
      <c r="UIM45" s="2842"/>
      <c r="UIN45" s="2842"/>
      <c r="UIO45" s="2843"/>
      <c r="UIP45" s="2843"/>
      <c r="UIQ45" s="2844"/>
      <c r="UIR45" s="2845"/>
      <c r="UIS45" s="2842"/>
      <c r="UIT45" s="2842"/>
      <c r="UIU45" s="2843"/>
      <c r="UIV45" s="2843"/>
      <c r="UIW45" s="2844"/>
      <c r="UIX45" s="2845"/>
      <c r="UIY45" s="2842"/>
      <c r="UIZ45" s="2842"/>
      <c r="UJA45" s="2843"/>
      <c r="UJB45" s="2843"/>
      <c r="UJC45" s="2844"/>
      <c r="UJD45" s="2845"/>
      <c r="UJE45" s="2842"/>
      <c r="UJF45" s="2842"/>
      <c r="UJG45" s="2843"/>
      <c r="UJH45" s="2843"/>
      <c r="UJI45" s="2844"/>
      <c r="UJJ45" s="2845"/>
      <c r="UJK45" s="2842"/>
      <c r="UJL45" s="2842"/>
      <c r="UJM45" s="2843"/>
      <c r="UJN45" s="2843"/>
      <c r="UJO45" s="2844"/>
      <c r="UJP45" s="2845"/>
      <c r="UJQ45" s="2842"/>
      <c r="UJR45" s="2842"/>
      <c r="UJS45" s="2843"/>
      <c r="UJT45" s="2843"/>
      <c r="UJU45" s="2844"/>
      <c r="UJV45" s="2845"/>
      <c r="UJW45" s="2842"/>
      <c r="UJX45" s="2842"/>
      <c r="UJY45" s="2843"/>
      <c r="UJZ45" s="2843"/>
      <c r="UKA45" s="2844"/>
      <c r="UKB45" s="2845"/>
      <c r="UKC45" s="2842"/>
      <c r="UKD45" s="2842"/>
      <c r="UKE45" s="2843"/>
      <c r="UKF45" s="2843"/>
      <c r="UKG45" s="2844"/>
      <c r="UKH45" s="2845"/>
      <c r="UKI45" s="2842"/>
      <c r="UKJ45" s="2842"/>
      <c r="UKK45" s="2843"/>
      <c r="UKL45" s="2843"/>
      <c r="UKM45" s="2844"/>
      <c r="UKN45" s="2845"/>
      <c r="UKO45" s="2842"/>
      <c r="UKP45" s="2842"/>
      <c r="UKQ45" s="2843"/>
      <c r="UKR45" s="2843"/>
      <c r="UKS45" s="2844"/>
      <c r="UKT45" s="2845"/>
      <c r="UKU45" s="2842"/>
      <c r="UKV45" s="2842"/>
      <c r="UKW45" s="2843"/>
      <c r="UKX45" s="2843"/>
      <c r="UKY45" s="2844"/>
      <c r="UKZ45" s="2845"/>
      <c r="ULA45" s="2842"/>
      <c r="ULB45" s="2842"/>
      <c r="ULC45" s="2843"/>
      <c r="ULD45" s="2843"/>
      <c r="ULE45" s="2844"/>
      <c r="ULF45" s="2845"/>
      <c r="ULG45" s="2842"/>
      <c r="ULH45" s="2842"/>
      <c r="ULI45" s="2843"/>
      <c r="ULJ45" s="2843"/>
      <c r="ULK45" s="2844"/>
      <c r="ULL45" s="2845"/>
      <c r="ULM45" s="2842"/>
      <c r="ULN45" s="2842"/>
      <c r="ULO45" s="2843"/>
      <c r="ULP45" s="2843"/>
      <c r="ULQ45" s="2844"/>
      <c r="ULR45" s="2845"/>
      <c r="ULS45" s="2842"/>
      <c r="ULT45" s="2842"/>
      <c r="ULU45" s="2843"/>
      <c r="ULV45" s="2843"/>
      <c r="ULW45" s="2844"/>
      <c r="ULX45" s="2845"/>
      <c r="ULY45" s="2842"/>
      <c r="ULZ45" s="2842"/>
      <c r="UMA45" s="2843"/>
      <c r="UMB45" s="2843"/>
      <c r="UMC45" s="2844"/>
      <c r="UMD45" s="2845"/>
      <c r="UME45" s="2842"/>
      <c r="UMF45" s="2842"/>
      <c r="UMG45" s="2843"/>
      <c r="UMH45" s="2843"/>
      <c r="UMI45" s="2844"/>
      <c r="UMJ45" s="2845"/>
      <c r="UMK45" s="2842"/>
      <c r="UML45" s="2842"/>
      <c r="UMM45" s="2843"/>
      <c r="UMN45" s="2843"/>
      <c r="UMO45" s="2844"/>
      <c r="UMP45" s="2845"/>
      <c r="UMQ45" s="2842"/>
      <c r="UMR45" s="2842"/>
      <c r="UMS45" s="2843"/>
      <c r="UMT45" s="2843"/>
      <c r="UMU45" s="2844"/>
      <c r="UMV45" s="2845"/>
      <c r="UMW45" s="2842"/>
      <c r="UMX45" s="2842"/>
      <c r="UMY45" s="2843"/>
      <c r="UMZ45" s="2843"/>
      <c r="UNA45" s="2844"/>
      <c r="UNB45" s="2845"/>
      <c r="UNC45" s="2842"/>
      <c r="UND45" s="2842"/>
      <c r="UNE45" s="2843"/>
      <c r="UNF45" s="2843"/>
      <c r="UNG45" s="2844"/>
      <c r="UNH45" s="2845"/>
      <c r="UNI45" s="2842"/>
      <c r="UNJ45" s="2842"/>
      <c r="UNK45" s="2843"/>
      <c r="UNL45" s="2843"/>
      <c r="UNM45" s="2844"/>
      <c r="UNN45" s="2845"/>
      <c r="UNO45" s="2842"/>
      <c r="UNP45" s="2842"/>
      <c r="UNQ45" s="2843"/>
      <c r="UNR45" s="2843"/>
      <c r="UNS45" s="2844"/>
      <c r="UNT45" s="2845"/>
      <c r="UNU45" s="2842"/>
      <c r="UNV45" s="2842"/>
      <c r="UNW45" s="2843"/>
      <c r="UNX45" s="2843"/>
      <c r="UNY45" s="2844"/>
      <c r="UNZ45" s="2845"/>
      <c r="UOA45" s="2842"/>
      <c r="UOB45" s="2842"/>
      <c r="UOC45" s="2843"/>
      <c r="UOD45" s="2843"/>
      <c r="UOE45" s="2844"/>
      <c r="UOF45" s="2845"/>
      <c r="UOG45" s="2842"/>
      <c r="UOH45" s="2842"/>
      <c r="UOI45" s="2843"/>
      <c r="UOJ45" s="2843"/>
      <c r="UOK45" s="2844"/>
      <c r="UOL45" s="2845"/>
      <c r="UOM45" s="2842"/>
      <c r="UON45" s="2842"/>
      <c r="UOO45" s="2843"/>
      <c r="UOP45" s="2843"/>
      <c r="UOQ45" s="2844"/>
      <c r="UOR45" s="2845"/>
      <c r="UOS45" s="2842"/>
      <c r="UOT45" s="2842"/>
      <c r="UOU45" s="2843"/>
      <c r="UOV45" s="2843"/>
      <c r="UOW45" s="2844"/>
      <c r="UOX45" s="2845"/>
      <c r="UOY45" s="2842"/>
      <c r="UOZ45" s="2842"/>
      <c r="UPA45" s="2843"/>
      <c r="UPB45" s="2843"/>
      <c r="UPC45" s="2844"/>
      <c r="UPD45" s="2845"/>
      <c r="UPE45" s="2842"/>
      <c r="UPF45" s="2842"/>
      <c r="UPG45" s="2843"/>
      <c r="UPH45" s="2843"/>
      <c r="UPI45" s="2844"/>
      <c r="UPJ45" s="2845"/>
      <c r="UPK45" s="2842"/>
      <c r="UPL45" s="2842"/>
      <c r="UPM45" s="2843"/>
      <c r="UPN45" s="2843"/>
      <c r="UPO45" s="2844"/>
      <c r="UPP45" s="2845"/>
      <c r="UPQ45" s="2842"/>
      <c r="UPR45" s="2842"/>
      <c r="UPS45" s="2843"/>
      <c r="UPT45" s="2843"/>
      <c r="UPU45" s="2844"/>
      <c r="UPV45" s="2845"/>
      <c r="UPW45" s="2842"/>
      <c r="UPX45" s="2842"/>
      <c r="UPY45" s="2843"/>
      <c r="UPZ45" s="2843"/>
      <c r="UQA45" s="2844"/>
      <c r="UQB45" s="2845"/>
      <c r="UQC45" s="2842"/>
      <c r="UQD45" s="2842"/>
      <c r="UQE45" s="2843"/>
      <c r="UQF45" s="2843"/>
      <c r="UQG45" s="2844"/>
      <c r="UQH45" s="2845"/>
      <c r="UQI45" s="2842"/>
      <c r="UQJ45" s="2842"/>
      <c r="UQK45" s="2843"/>
      <c r="UQL45" s="2843"/>
      <c r="UQM45" s="2844"/>
      <c r="UQN45" s="2845"/>
      <c r="UQO45" s="2842"/>
      <c r="UQP45" s="2842"/>
      <c r="UQQ45" s="2843"/>
      <c r="UQR45" s="2843"/>
      <c r="UQS45" s="2844"/>
      <c r="UQT45" s="2845"/>
      <c r="UQU45" s="2842"/>
      <c r="UQV45" s="2842"/>
      <c r="UQW45" s="2843"/>
      <c r="UQX45" s="2843"/>
      <c r="UQY45" s="2844"/>
      <c r="UQZ45" s="2845"/>
      <c r="URA45" s="2842"/>
      <c r="URB45" s="2842"/>
      <c r="URC45" s="2843"/>
      <c r="URD45" s="2843"/>
      <c r="URE45" s="2844"/>
      <c r="URF45" s="2845"/>
      <c r="URG45" s="2842"/>
      <c r="URH45" s="2842"/>
      <c r="URI45" s="2843"/>
      <c r="URJ45" s="2843"/>
      <c r="URK45" s="2844"/>
      <c r="URL45" s="2845"/>
      <c r="URM45" s="2842"/>
      <c r="URN45" s="2842"/>
      <c r="URO45" s="2843"/>
      <c r="URP45" s="2843"/>
      <c r="URQ45" s="2844"/>
      <c r="URR45" s="2845"/>
      <c r="URS45" s="2842"/>
      <c r="URT45" s="2842"/>
      <c r="URU45" s="2843"/>
      <c r="URV45" s="2843"/>
      <c r="URW45" s="2844"/>
      <c r="URX45" s="2845"/>
      <c r="URY45" s="2842"/>
      <c r="URZ45" s="2842"/>
      <c r="USA45" s="2843"/>
      <c r="USB45" s="2843"/>
      <c r="USC45" s="2844"/>
      <c r="USD45" s="2845"/>
      <c r="USE45" s="2842"/>
      <c r="USF45" s="2842"/>
      <c r="USG45" s="2843"/>
      <c r="USH45" s="2843"/>
      <c r="USI45" s="2844"/>
      <c r="USJ45" s="2845"/>
      <c r="USK45" s="2842"/>
      <c r="USL45" s="2842"/>
      <c r="USM45" s="2843"/>
      <c r="USN45" s="2843"/>
      <c r="USO45" s="2844"/>
      <c r="USP45" s="2845"/>
      <c r="USQ45" s="2842"/>
      <c r="USR45" s="2842"/>
      <c r="USS45" s="2843"/>
      <c r="UST45" s="2843"/>
      <c r="USU45" s="2844"/>
      <c r="USV45" s="2845"/>
      <c r="USW45" s="2842"/>
      <c r="USX45" s="2842"/>
      <c r="USY45" s="2843"/>
      <c r="USZ45" s="2843"/>
      <c r="UTA45" s="2844"/>
      <c r="UTB45" s="2845"/>
      <c r="UTC45" s="2842"/>
      <c r="UTD45" s="2842"/>
      <c r="UTE45" s="2843"/>
      <c r="UTF45" s="2843"/>
      <c r="UTG45" s="2844"/>
      <c r="UTH45" s="2845"/>
      <c r="UTI45" s="2842"/>
      <c r="UTJ45" s="2842"/>
      <c r="UTK45" s="2843"/>
      <c r="UTL45" s="2843"/>
      <c r="UTM45" s="2844"/>
      <c r="UTN45" s="2845"/>
      <c r="UTO45" s="2842"/>
      <c r="UTP45" s="2842"/>
      <c r="UTQ45" s="2843"/>
      <c r="UTR45" s="2843"/>
      <c r="UTS45" s="2844"/>
      <c r="UTT45" s="2845"/>
      <c r="UTU45" s="2842"/>
      <c r="UTV45" s="2842"/>
      <c r="UTW45" s="2843"/>
      <c r="UTX45" s="2843"/>
      <c r="UTY45" s="2844"/>
      <c r="UTZ45" s="2845"/>
      <c r="UUA45" s="2842"/>
      <c r="UUB45" s="2842"/>
      <c r="UUC45" s="2843"/>
      <c r="UUD45" s="2843"/>
      <c r="UUE45" s="2844"/>
      <c r="UUF45" s="2845"/>
      <c r="UUG45" s="2842"/>
      <c r="UUH45" s="2842"/>
      <c r="UUI45" s="2843"/>
      <c r="UUJ45" s="2843"/>
      <c r="UUK45" s="2844"/>
      <c r="UUL45" s="2845"/>
      <c r="UUM45" s="2842"/>
      <c r="UUN45" s="2842"/>
      <c r="UUO45" s="2843"/>
      <c r="UUP45" s="2843"/>
      <c r="UUQ45" s="2844"/>
      <c r="UUR45" s="2845"/>
      <c r="UUS45" s="2842"/>
      <c r="UUT45" s="2842"/>
      <c r="UUU45" s="2843"/>
      <c r="UUV45" s="2843"/>
      <c r="UUW45" s="2844"/>
      <c r="UUX45" s="2845"/>
      <c r="UUY45" s="2842"/>
      <c r="UUZ45" s="2842"/>
      <c r="UVA45" s="2843"/>
      <c r="UVB45" s="2843"/>
      <c r="UVC45" s="2844"/>
      <c r="UVD45" s="2845"/>
      <c r="UVE45" s="2842"/>
      <c r="UVF45" s="2842"/>
      <c r="UVG45" s="2843"/>
      <c r="UVH45" s="2843"/>
      <c r="UVI45" s="2844"/>
      <c r="UVJ45" s="2845"/>
      <c r="UVK45" s="2842"/>
      <c r="UVL45" s="2842"/>
      <c r="UVM45" s="2843"/>
      <c r="UVN45" s="2843"/>
      <c r="UVO45" s="2844"/>
      <c r="UVP45" s="2845"/>
      <c r="UVQ45" s="2842"/>
      <c r="UVR45" s="2842"/>
      <c r="UVS45" s="2843"/>
      <c r="UVT45" s="2843"/>
      <c r="UVU45" s="2844"/>
      <c r="UVV45" s="2845"/>
      <c r="UVW45" s="2842"/>
      <c r="UVX45" s="2842"/>
      <c r="UVY45" s="2843"/>
      <c r="UVZ45" s="2843"/>
      <c r="UWA45" s="2844"/>
      <c r="UWB45" s="2845"/>
      <c r="UWC45" s="2842"/>
      <c r="UWD45" s="2842"/>
      <c r="UWE45" s="2843"/>
      <c r="UWF45" s="2843"/>
      <c r="UWG45" s="2844"/>
      <c r="UWH45" s="2845"/>
      <c r="UWI45" s="2842"/>
      <c r="UWJ45" s="2842"/>
      <c r="UWK45" s="2843"/>
      <c r="UWL45" s="2843"/>
      <c r="UWM45" s="2844"/>
      <c r="UWN45" s="2845"/>
      <c r="UWO45" s="2842"/>
      <c r="UWP45" s="2842"/>
      <c r="UWQ45" s="2843"/>
      <c r="UWR45" s="2843"/>
      <c r="UWS45" s="2844"/>
      <c r="UWT45" s="2845"/>
      <c r="UWU45" s="2842"/>
      <c r="UWV45" s="2842"/>
      <c r="UWW45" s="2843"/>
      <c r="UWX45" s="2843"/>
      <c r="UWY45" s="2844"/>
      <c r="UWZ45" s="2845"/>
      <c r="UXA45" s="2842"/>
      <c r="UXB45" s="2842"/>
      <c r="UXC45" s="2843"/>
      <c r="UXD45" s="2843"/>
      <c r="UXE45" s="2844"/>
      <c r="UXF45" s="2845"/>
      <c r="UXG45" s="2842"/>
      <c r="UXH45" s="2842"/>
      <c r="UXI45" s="2843"/>
      <c r="UXJ45" s="2843"/>
      <c r="UXK45" s="2844"/>
      <c r="UXL45" s="2845"/>
      <c r="UXM45" s="2842"/>
      <c r="UXN45" s="2842"/>
      <c r="UXO45" s="2843"/>
      <c r="UXP45" s="2843"/>
      <c r="UXQ45" s="2844"/>
      <c r="UXR45" s="2845"/>
      <c r="UXS45" s="2842"/>
      <c r="UXT45" s="2842"/>
      <c r="UXU45" s="2843"/>
      <c r="UXV45" s="2843"/>
      <c r="UXW45" s="2844"/>
      <c r="UXX45" s="2845"/>
      <c r="UXY45" s="2842"/>
      <c r="UXZ45" s="2842"/>
      <c r="UYA45" s="2843"/>
      <c r="UYB45" s="2843"/>
      <c r="UYC45" s="2844"/>
      <c r="UYD45" s="2845"/>
      <c r="UYE45" s="2842"/>
      <c r="UYF45" s="2842"/>
      <c r="UYG45" s="2843"/>
      <c r="UYH45" s="2843"/>
      <c r="UYI45" s="2844"/>
      <c r="UYJ45" s="2845"/>
      <c r="UYK45" s="2842"/>
      <c r="UYL45" s="2842"/>
      <c r="UYM45" s="2843"/>
      <c r="UYN45" s="2843"/>
      <c r="UYO45" s="2844"/>
      <c r="UYP45" s="2845"/>
      <c r="UYQ45" s="2842"/>
      <c r="UYR45" s="2842"/>
      <c r="UYS45" s="2843"/>
      <c r="UYT45" s="2843"/>
      <c r="UYU45" s="2844"/>
      <c r="UYV45" s="2845"/>
      <c r="UYW45" s="2842"/>
      <c r="UYX45" s="2842"/>
      <c r="UYY45" s="2843"/>
      <c r="UYZ45" s="2843"/>
      <c r="UZA45" s="2844"/>
      <c r="UZB45" s="2845"/>
      <c r="UZC45" s="2842"/>
      <c r="UZD45" s="2842"/>
      <c r="UZE45" s="2843"/>
      <c r="UZF45" s="2843"/>
      <c r="UZG45" s="2844"/>
      <c r="UZH45" s="2845"/>
      <c r="UZI45" s="2842"/>
      <c r="UZJ45" s="2842"/>
      <c r="UZK45" s="2843"/>
      <c r="UZL45" s="2843"/>
      <c r="UZM45" s="2844"/>
      <c r="UZN45" s="2845"/>
      <c r="UZO45" s="2842"/>
      <c r="UZP45" s="2842"/>
      <c r="UZQ45" s="2843"/>
      <c r="UZR45" s="2843"/>
      <c r="UZS45" s="2844"/>
      <c r="UZT45" s="2845"/>
      <c r="UZU45" s="2842"/>
      <c r="UZV45" s="2842"/>
      <c r="UZW45" s="2843"/>
      <c r="UZX45" s="2843"/>
      <c r="UZY45" s="2844"/>
      <c r="UZZ45" s="2845"/>
      <c r="VAA45" s="2842"/>
      <c r="VAB45" s="2842"/>
      <c r="VAC45" s="2843"/>
      <c r="VAD45" s="2843"/>
      <c r="VAE45" s="2844"/>
      <c r="VAF45" s="2845"/>
      <c r="VAG45" s="2842"/>
      <c r="VAH45" s="2842"/>
      <c r="VAI45" s="2843"/>
      <c r="VAJ45" s="2843"/>
      <c r="VAK45" s="2844"/>
      <c r="VAL45" s="2845"/>
      <c r="VAM45" s="2842"/>
      <c r="VAN45" s="2842"/>
      <c r="VAO45" s="2843"/>
      <c r="VAP45" s="2843"/>
      <c r="VAQ45" s="2844"/>
      <c r="VAR45" s="2845"/>
      <c r="VAS45" s="2842"/>
      <c r="VAT45" s="2842"/>
      <c r="VAU45" s="2843"/>
      <c r="VAV45" s="2843"/>
      <c r="VAW45" s="2844"/>
      <c r="VAX45" s="2845"/>
      <c r="VAY45" s="2842"/>
      <c r="VAZ45" s="2842"/>
      <c r="VBA45" s="2843"/>
      <c r="VBB45" s="2843"/>
      <c r="VBC45" s="2844"/>
      <c r="VBD45" s="2845"/>
      <c r="VBE45" s="2842"/>
      <c r="VBF45" s="2842"/>
      <c r="VBG45" s="2843"/>
      <c r="VBH45" s="2843"/>
      <c r="VBI45" s="2844"/>
      <c r="VBJ45" s="2845"/>
      <c r="VBK45" s="2842"/>
      <c r="VBL45" s="2842"/>
      <c r="VBM45" s="2843"/>
      <c r="VBN45" s="2843"/>
      <c r="VBO45" s="2844"/>
      <c r="VBP45" s="2845"/>
      <c r="VBQ45" s="2842"/>
      <c r="VBR45" s="2842"/>
      <c r="VBS45" s="2843"/>
      <c r="VBT45" s="2843"/>
      <c r="VBU45" s="2844"/>
      <c r="VBV45" s="2845"/>
      <c r="VBW45" s="2842"/>
      <c r="VBX45" s="2842"/>
      <c r="VBY45" s="2843"/>
      <c r="VBZ45" s="2843"/>
      <c r="VCA45" s="2844"/>
      <c r="VCB45" s="2845"/>
      <c r="VCC45" s="2842"/>
      <c r="VCD45" s="2842"/>
      <c r="VCE45" s="2843"/>
      <c r="VCF45" s="2843"/>
      <c r="VCG45" s="2844"/>
      <c r="VCH45" s="2845"/>
      <c r="VCI45" s="2842"/>
      <c r="VCJ45" s="2842"/>
      <c r="VCK45" s="2843"/>
      <c r="VCL45" s="2843"/>
      <c r="VCM45" s="2844"/>
      <c r="VCN45" s="2845"/>
      <c r="VCO45" s="2842"/>
      <c r="VCP45" s="2842"/>
      <c r="VCQ45" s="2843"/>
      <c r="VCR45" s="2843"/>
      <c r="VCS45" s="2844"/>
      <c r="VCT45" s="2845"/>
      <c r="VCU45" s="2842"/>
      <c r="VCV45" s="2842"/>
      <c r="VCW45" s="2843"/>
      <c r="VCX45" s="2843"/>
      <c r="VCY45" s="2844"/>
      <c r="VCZ45" s="2845"/>
      <c r="VDA45" s="2842"/>
      <c r="VDB45" s="2842"/>
      <c r="VDC45" s="2843"/>
      <c r="VDD45" s="2843"/>
      <c r="VDE45" s="2844"/>
      <c r="VDF45" s="2845"/>
      <c r="VDG45" s="2842"/>
      <c r="VDH45" s="2842"/>
      <c r="VDI45" s="2843"/>
      <c r="VDJ45" s="2843"/>
      <c r="VDK45" s="2844"/>
      <c r="VDL45" s="2845"/>
      <c r="VDM45" s="2842"/>
      <c r="VDN45" s="2842"/>
      <c r="VDO45" s="2843"/>
      <c r="VDP45" s="2843"/>
      <c r="VDQ45" s="2844"/>
      <c r="VDR45" s="2845"/>
      <c r="VDS45" s="2842"/>
      <c r="VDT45" s="2842"/>
      <c r="VDU45" s="2843"/>
      <c r="VDV45" s="2843"/>
      <c r="VDW45" s="2844"/>
      <c r="VDX45" s="2845"/>
      <c r="VDY45" s="2842"/>
      <c r="VDZ45" s="2842"/>
      <c r="VEA45" s="2843"/>
      <c r="VEB45" s="2843"/>
      <c r="VEC45" s="2844"/>
      <c r="VED45" s="2845"/>
      <c r="VEE45" s="2842"/>
      <c r="VEF45" s="2842"/>
      <c r="VEG45" s="2843"/>
      <c r="VEH45" s="2843"/>
      <c r="VEI45" s="2844"/>
      <c r="VEJ45" s="2845"/>
      <c r="VEK45" s="2842"/>
      <c r="VEL45" s="2842"/>
      <c r="VEM45" s="2843"/>
      <c r="VEN45" s="2843"/>
      <c r="VEO45" s="2844"/>
      <c r="VEP45" s="2845"/>
      <c r="VEQ45" s="2842"/>
      <c r="VER45" s="2842"/>
      <c r="VES45" s="2843"/>
      <c r="VET45" s="2843"/>
      <c r="VEU45" s="2844"/>
      <c r="VEV45" s="2845"/>
      <c r="VEW45" s="2842"/>
      <c r="VEX45" s="2842"/>
      <c r="VEY45" s="2843"/>
      <c r="VEZ45" s="2843"/>
      <c r="VFA45" s="2844"/>
      <c r="VFB45" s="2845"/>
      <c r="VFC45" s="2842"/>
      <c r="VFD45" s="2842"/>
      <c r="VFE45" s="2843"/>
      <c r="VFF45" s="2843"/>
      <c r="VFG45" s="2844"/>
      <c r="VFH45" s="2845"/>
      <c r="VFI45" s="2842"/>
      <c r="VFJ45" s="2842"/>
      <c r="VFK45" s="2843"/>
      <c r="VFL45" s="2843"/>
      <c r="VFM45" s="2844"/>
      <c r="VFN45" s="2845"/>
      <c r="VFO45" s="2842"/>
      <c r="VFP45" s="2842"/>
      <c r="VFQ45" s="2843"/>
      <c r="VFR45" s="2843"/>
      <c r="VFS45" s="2844"/>
      <c r="VFT45" s="2845"/>
      <c r="VFU45" s="2842"/>
      <c r="VFV45" s="2842"/>
      <c r="VFW45" s="2843"/>
      <c r="VFX45" s="2843"/>
      <c r="VFY45" s="2844"/>
      <c r="VFZ45" s="2845"/>
      <c r="VGA45" s="2842"/>
      <c r="VGB45" s="2842"/>
      <c r="VGC45" s="2843"/>
      <c r="VGD45" s="2843"/>
      <c r="VGE45" s="2844"/>
      <c r="VGF45" s="2845"/>
      <c r="VGG45" s="2842"/>
      <c r="VGH45" s="2842"/>
      <c r="VGI45" s="2843"/>
      <c r="VGJ45" s="2843"/>
      <c r="VGK45" s="2844"/>
      <c r="VGL45" s="2845"/>
      <c r="VGM45" s="2842"/>
      <c r="VGN45" s="2842"/>
      <c r="VGO45" s="2843"/>
      <c r="VGP45" s="2843"/>
      <c r="VGQ45" s="2844"/>
      <c r="VGR45" s="2845"/>
      <c r="VGS45" s="2842"/>
      <c r="VGT45" s="2842"/>
      <c r="VGU45" s="2843"/>
      <c r="VGV45" s="2843"/>
      <c r="VGW45" s="2844"/>
      <c r="VGX45" s="2845"/>
      <c r="VGY45" s="2842"/>
      <c r="VGZ45" s="2842"/>
      <c r="VHA45" s="2843"/>
      <c r="VHB45" s="2843"/>
      <c r="VHC45" s="2844"/>
      <c r="VHD45" s="2845"/>
      <c r="VHE45" s="2842"/>
      <c r="VHF45" s="2842"/>
      <c r="VHG45" s="2843"/>
      <c r="VHH45" s="2843"/>
      <c r="VHI45" s="2844"/>
      <c r="VHJ45" s="2845"/>
      <c r="VHK45" s="2842"/>
      <c r="VHL45" s="2842"/>
      <c r="VHM45" s="2843"/>
      <c r="VHN45" s="2843"/>
      <c r="VHO45" s="2844"/>
      <c r="VHP45" s="2845"/>
      <c r="VHQ45" s="2842"/>
      <c r="VHR45" s="2842"/>
      <c r="VHS45" s="2843"/>
      <c r="VHT45" s="2843"/>
      <c r="VHU45" s="2844"/>
      <c r="VHV45" s="2845"/>
      <c r="VHW45" s="2842"/>
      <c r="VHX45" s="2842"/>
      <c r="VHY45" s="2843"/>
      <c r="VHZ45" s="2843"/>
      <c r="VIA45" s="2844"/>
      <c r="VIB45" s="2845"/>
      <c r="VIC45" s="2842"/>
      <c r="VID45" s="2842"/>
      <c r="VIE45" s="2843"/>
      <c r="VIF45" s="2843"/>
      <c r="VIG45" s="2844"/>
      <c r="VIH45" s="2845"/>
      <c r="VII45" s="2842"/>
      <c r="VIJ45" s="2842"/>
      <c r="VIK45" s="2843"/>
      <c r="VIL45" s="2843"/>
      <c r="VIM45" s="2844"/>
      <c r="VIN45" s="2845"/>
      <c r="VIO45" s="2842"/>
      <c r="VIP45" s="2842"/>
      <c r="VIQ45" s="2843"/>
      <c r="VIR45" s="2843"/>
      <c r="VIS45" s="2844"/>
      <c r="VIT45" s="2845"/>
      <c r="VIU45" s="2842"/>
      <c r="VIV45" s="2842"/>
      <c r="VIW45" s="2843"/>
      <c r="VIX45" s="2843"/>
      <c r="VIY45" s="2844"/>
      <c r="VIZ45" s="2845"/>
      <c r="VJA45" s="2842"/>
      <c r="VJB45" s="2842"/>
      <c r="VJC45" s="2843"/>
      <c r="VJD45" s="2843"/>
      <c r="VJE45" s="2844"/>
      <c r="VJF45" s="2845"/>
      <c r="VJG45" s="2842"/>
      <c r="VJH45" s="2842"/>
      <c r="VJI45" s="2843"/>
      <c r="VJJ45" s="2843"/>
      <c r="VJK45" s="2844"/>
      <c r="VJL45" s="2845"/>
      <c r="VJM45" s="2842"/>
      <c r="VJN45" s="2842"/>
      <c r="VJO45" s="2843"/>
      <c r="VJP45" s="2843"/>
      <c r="VJQ45" s="2844"/>
      <c r="VJR45" s="2845"/>
      <c r="VJS45" s="2842"/>
      <c r="VJT45" s="2842"/>
      <c r="VJU45" s="2843"/>
      <c r="VJV45" s="2843"/>
      <c r="VJW45" s="2844"/>
      <c r="VJX45" s="2845"/>
      <c r="VJY45" s="2842"/>
      <c r="VJZ45" s="2842"/>
      <c r="VKA45" s="2843"/>
      <c r="VKB45" s="2843"/>
      <c r="VKC45" s="2844"/>
      <c r="VKD45" s="2845"/>
      <c r="VKE45" s="2842"/>
      <c r="VKF45" s="2842"/>
      <c r="VKG45" s="2843"/>
      <c r="VKH45" s="2843"/>
      <c r="VKI45" s="2844"/>
      <c r="VKJ45" s="2845"/>
      <c r="VKK45" s="2842"/>
      <c r="VKL45" s="2842"/>
      <c r="VKM45" s="2843"/>
      <c r="VKN45" s="2843"/>
      <c r="VKO45" s="2844"/>
      <c r="VKP45" s="2845"/>
      <c r="VKQ45" s="2842"/>
      <c r="VKR45" s="2842"/>
      <c r="VKS45" s="2843"/>
      <c r="VKT45" s="2843"/>
      <c r="VKU45" s="2844"/>
      <c r="VKV45" s="2845"/>
      <c r="VKW45" s="2842"/>
      <c r="VKX45" s="2842"/>
      <c r="VKY45" s="2843"/>
      <c r="VKZ45" s="2843"/>
      <c r="VLA45" s="2844"/>
      <c r="VLB45" s="2845"/>
      <c r="VLC45" s="2842"/>
      <c r="VLD45" s="2842"/>
      <c r="VLE45" s="2843"/>
      <c r="VLF45" s="2843"/>
      <c r="VLG45" s="2844"/>
      <c r="VLH45" s="2845"/>
      <c r="VLI45" s="2842"/>
      <c r="VLJ45" s="2842"/>
      <c r="VLK45" s="2843"/>
      <c r="VLL45" s="2843"/>
      <c r="VLM45" s="2844"/>
      <c r="VLN45" s="2845"/>
      <c r="VLO45" s="2842"/>
      <c r="VLP45" s="2842"/>
      <c r="VLQ45" s="2843"/>
      <c r="VLR45" s="2843"/>
      <c r="VLS45" s="2844"/>
      <c r="VLT45" s="2845"/>
      <c r="VLU45" s="2842"/>
      <c r="VLV45" s="2842"/>
      <c r="VLW45" s="2843"/>
      <c r="VLX45" s="2843"/>
      <c r="VLY45" s="2844"/>
      <c r="VLZ45" s="2845"/>
      <c r="VMA45" s="2842"/>
      <c r="VMB45" s="2842"/>
      <c r="VMC45" s="2843"/>
      <c r="VMD45" s="2843"/>
      <c r="VME45" s="2844"/>
      <c r="VMF45" s="2845"/>
      <c r="VMG45" s="2842"/>
      <c r="VMH45" s="2842"/>
      <c r="VMI45" s="2843"/>
      <c r="VMJ45" s="2843"/>
      <c r="VMK45" s="2844"/>
      <c r="VML45" s="2845"/>
      <c r="VMM45" s="2842"/>
      <c r="VMN45" s="2842"/>
      <c r="VMO45" s="2843"/>
      <c r="VMP45" s="2843"/>
      <c r="VMQ45" s="2844"/>
      <c r="VMR45" s="2845"/>
      <c r="VMS45" s="2842"/>
      <c r="VMT45" s="2842"/>
      <c r="VMU45" s="2843"/>
      <c r="VMV45" s="2843"/>
      <c r="VMW45" s="2844"/>
      <c r="VMX45" s="2845"/>
      <c r="VMY45" s="2842"/>
      <c r="VMZ45" s="2842"/>
      <c r="VNA45" s="2843"/>
      <c r="VNB45" s="2843"/>
      <c r="VNC45" s="2844"/>
      <c r="VND45" s="2845"/>
      <c r="VNE45" s="2842"/>
      <c r="VNF45" s="2842"/>
      <c r="VNG45" s="2843"/>
      <c r="VNH45" s="2843"/>
      <c r="VNI45" s="2844"/>
      <c r="VNJ45" s="2845"/>
      <c r="VNK45" s="2842"/>
      <c r="VNL45" s="2842"/>
      <c r="VNM45" s="2843"/>
      <c r="VNN45" s="2843"/>
      <c r="VNO45" s="2844"/>
      <c r="VNP45" s="2845"/>
      <c r="VNQ45" s="2842"/>
      <c r="VNR45" s="2842"/>
      <c r="VNS45" s="2843"/>
      <c r="VNT45" s="2843"/>
      <c r="VNU45" s="2844"/>
      <c r="VNV45" s="2845"/>
      <c r="VNW45" s="2842"/>
      <c r="VNX45" s="2842"/>
      <c r="VNY45" s="2843"/>
      <c r="VNZ45" s="2843"/>
      <c r="VOA45" s="2844"/>
      <c r="VOB45" s="2845"/>
      <c r="VOC45" s="2842"/>
      <c r="VOD45" s="2842"/>
      <c r="VOE45" s="2843"/>
      <c r="VOF45" s="2843"/>
      <c r="VOG45" s="2844"/>
      <c r="VOH45" s="2845"/>
      <c r="VOI45" s="2842"/>
      <c r="VOJ45" s="2842"/>
      <c r="VOK45" s="2843"/>
      <c r="VOL45" s="2843"/>
      <c r="VOM45" s="2844"/>
      <c r="VON45" s="2845"/>
      <c r="VOO45" s="2842"/>
      <c r="VOP45" s="2842"/>
      <c r="VOQ45" s="2843"/>
      <c r="VOR45" s="2843"/>
      <c r="VOS45" s="2844"/>
      <c r="VOT45" s="2845"/>
      <c r="VOU45" s="2842"/>
      <c r="VOV45" s="2842"/>
      <c r="VOW45" s="2843"/>
      <c r="VOX45" s="2843"/>
      <c r="VOY45" s="2844"/>
      <c r="VOZ45" s="2845"/>
      <c r="VPA45" s="2842"/>
      <c r="VPB45" s="2842"/>
      <c r="VPC45" s="2843"/>
      <c r="VPD45" s="2843"/>
      <c r="VPE45" s="2844"/>
      <c r="VPF45" s="2845"/>
      <c r="VPG45" s="2842"/>
      <c r="VPH45" s="2842"/>
      <c r="VPI45" s="2843"/>
      <c r="VPJ45" s="2843"/>
      <c r="VPK45" s="2844"/>
      <c r="VPL45" s="2845"/>
      <c r="VPM45" s="2842"/>
      <c r="VPN45" s="2842"/>
      <c r="VPO45" s="2843"/>
      <c r="VPP45" s="2843"/>
      <c r="VPQ45" s="2844"/>
      <c r="VPR45" s="2845"/>
      <c r="VPS45" s="2842"/>
      <c r="VPT45" s="2842"/>
      <c r="VPU45" s="2843"/>
      <c r="VPV45" s="2843"/>
      <c r="VPW45" s="2844"/>
      <c r="VPX45" s="2845"/>
      <c r="VPY45" s="2842"/>
      <c r="VPZ45" s="2842"/>
      <c r="VQA45" s="2843"/>
      <c r="VQB45" s="2843"/>
      <c r="VQC45" s="2844"/>
      <c r="VQD45" s="2845"/>
      <c r="VQE45" s="2842"/>
      <c r="VQF45" s="2842"/>
      <c r="VQG45" s="2843"/>
      <c r="VQH45" s="2843"/>
      <c r="VQI45" s="2844"/>
      <c r="VQJ45" s="2845"/>
      <c r="VQK45" s="2842"/>
      <c r="VQL45" s="2842"/>
      <c r="VQM45" s="2843"/>
      <c r="VQN45" s="2843"/>
      <c r="VQO45" s="2844"/>
      <c r="VQP45" s="2845"/>
      <c r="VQQ45" s="2842"/>
      <c r="VQR45" s="2842"/>
      <c r="VQS45" s="2843"/>
      <c r="VQT45" s="2843"/>
      <c r="VQU45" s="2844"/>
      <c r="VQV45" s="2845"/>
      <c r="VQW45" s="2842"/>
      <c r="VQX45" s="2842"/>
      <c r="VQY45" s="2843"/>
      <c r="VQZ45" s="2843"/>
      <c r="VRA45" s="2844"/>
      <c r="VRB45" s="2845"/>
      <c r="VRC45" s="2842"/>
      <c r="VRD45" s="2842"/>
      <c r="VRE45" s="2843"/>
      <c r="VRF45" s="2843"/>
      <c r="VRG45" s="2844"/>
      <c r="VRH45" s="2845"/>
      <c r="VRI45" s="2842"/>
      <c r="VRJ45" s="2842"/>
      <c r="VRK45" s="2843"/>
      <c r="VRL45" s="2843"/>
      <c r="VRM45" s="2844"/>
      <c r="VRN45" s="2845"/>
      <c r="VRO45" s="2842"/>
      <c r="VRP45" s="2842"/>
      <c r="VRQ45" s="2843"/>
      <c r="VRR45" s="2843"/>
      <c r="VRS45" s="2844"/>
      <c r="VRT45" s="2845"/>
      <c r="VRU45" s="2842"/>
      <c r="VRV45" s="2842"/>
      <c r="VRW45" s="2843"/>
      <c r="VRX45" s="2843"/>
      <c r="VRY45" s="2844"/>
      <c r="VRZ45" s="2845"/>
      <c r="VSA45" s="2842"/>
      <c r="VSB45" s="2842"/>
      <c r="VSC45" s="2843"/>
      <c r="VSD45" s="2843"/>
      <c r="VSE45" s="2844"/>
      <c r="VSF45" s="2845"/>
      <c r="VSG45" s="2842"/>
      <c r="VSH45" s="2842"/>
      <c r="VSI45" s="2843"/>
      <c r="VSJ45" s="2843"/>
      <c r="VSK45" s="2844"/>
      <c r="VSL45" s="2845"/>
      <c r="VSM45" s="2842"/>
      <c r="VSN45" s="2842"/>
      <c r="VSO45" s="2843"/>
      <c r="VSP45" s="2843"/>
      <c r="VSQ45" s="2844"/>
      <c r="VSR45" s="2845"/>
      <c r="VSS45" s="2842"/>
      <c r="VST45" s="2842"/>
      <c r="VSU45" s="2843"/>
      <c r="VSV45" s="2843"/>
      <c r="VSW45" s="2844"/>
      <c r="VSX45" s="2845"/>
      <c r="VSY45" s="2842"/>
      <c r="VSZ45" s="2842"/>
      <c r="VTA45" s="2843"/>
      <c r="VTB45" s="2843"/>
      <c r="VTC45" s="2844"/>
      <c r="VTD45" s="2845"/>
      <c r="VTE45" s="2842"/>
      <c r="VTF45" s="2842"/>
      <c r="VTG45" s="2843"/>
      <c r="VTH45" s="2843"/>
      <c r="VTI45" s="2844"/>
      <c r="VTJ45" s="2845"/>
      <c r="VTK45" s="2842"/>
      <c r="VTL45" s="2842"/>
      <c r="VTM45" s="2843"/>
      <c r="VTN45" s="2843"/>
      <c r="VTO45" s="2844"/>
      <c r="VTP45" s="2845"/>
      <c r="VTQ45" s="2842"/>
      <c r="VTR45" s="2842"/>
      <c r="VTS45" s="2843"/>
      <c r="VTT45" s="2843"/>
      <c r="VTU45" s="2844"/>
      <c r="VTV45" s="2845"/>
      <c r="VTW45" s="2842"/>
      <c r="VTX45" s="2842"/>
      <c r="VTY45" s="2843"/>
      <c r="VTZ45" s="2843"/>
      <c r="VUA45" s="2844"/>
      <c r="VUB45" s="2845"/>
      <c r="VUC45" s="2842"/>
      <c r="VUD45" s="2842"/>
      <c r="VUE45" s="2843"/>
      <c r="VUF45" s="2843"/>
      <c r="VUG45" s="2844"/>
      <c r="VUH45" s="2845"/>
      <c r="VUI45" s="2842"/>
      <c r="VUJ45" s="2842"/>
      <c r="VUK45" s="2843"/>
      <c r="VUL45" s="2843"/>
      <c r="VUM45" s="2844"/>
      <c r="VUN45" s="2845"/>
      <c r="VUO45" s="2842"/>
      <c r="VUP45" s="2842"/>
      <c r="VUQ45" s="2843"/>
      <c r="VUR45" s="2843"/>
      <c r="VUS45" s="2844"/>
      <c r="VUT45" s="2845"/>
      <c r="VUU45" s="2842"/>
      <c r="VUV45" s="2842"/>
      <c r="VUW45" s="2843"/>
      <c r="VUX45" s="2843"/>
      <c r="VUY45" s="2844"/>
      <c r="VUZ45" s="2845"/>
      <c r="VVA45" s="2842"/>
      <c r="VVB45" s="2842"/>
      <c r="VVC45" s="2843"/>
      <c r="VVD45" s="2843"/>
      <c r="VVE45" s="2844"/>
      <c r="VVF45" s="2845"/>
      <c r="VVG45" s="2842"/>
      <c r="VVH45" s="2842"/>
      <c r="VVI45" s="2843"/>
      <c r="VVJ45" s="2843"/>
      <c r="VVK45" s="2844"/>
      <c r="VVL45" s="2845"/>
      <c r="VVM45" s="2842"/>
      <c r="VVN45" s="2842"/>
      <c r="VVO45" s="2843"/>
      <c r="VVP45" s="2843"/>
      <c r="VVQ45" s="2844"/>
      <c r="VVR45" s="2845"/>
      <c r="VVS45" s="2842"/>
      <c r="VVT45" s="2842"/>
      <c r="VVU45" s="2843"/>
      <c r="VVV45" s="2843"/>
      <c r="VVW45" s="2844"/>
      <c r="VVX45" s="2845"/>
      <c r="VVY45" s="2842"/>
      <c r="VVZ45" s="2842"/>
      <c r="VWA45" s="2843"/>
      <c r="VWB45" s="2843"/>
      <c r="VWC45" s="2844"/>
      <c r="VWD45" s="2845"/>
      <c r="VWE45" s="2842"/>
      <c r="VWF45" s="2842"/>
      <c r="VWG45" s="2843"/>
      <c r="VWH45" s="2843"/>
      <c r="VWI45" s="2844"/>
      <c r="VWJ45" s="2845"/>
      <c r="VWK45" s="2842"/>
      <c r="VWL45" s="2842"/>
      <c r="VWM45" s="2843"/>
      <c r="VWN45" s="2843"/>
      <c r="VWO45" s="2844"/>
      <c r="VWP45" s="2845"/>
      <c r="VWQ45" s="2842"/>
      <c r="VWR45" s="2842"/>
      <c r="VWS45" s="2843"/>
      <c r="VWT45" s="2843"/>
      <c r="VWU45" s="2844"/>
      <c r="VWV45" s="2845"/>
      <c r="VWW45" s="2842"/>
      <c r="VWX45" s="2842"/>
      <c r="VWY45" s="2843"/>
      <c r="VWZ45" s="2843"/>
      <c r="VXA45" s="2844"/>
      <c r="VXB45" s="2845"/>
      <c r="VXC45" s="2842"/>
      <c r="VXD45" s="2842"/>
      <c r="VXE45" s="2843"/>
      <c r="VXF45" s="2843"/>
      <c r="VXG45" s="2844"/>
      <c r="VXH45" s="2845"/>
      <c r="VXI45" s="2842"/>
      <c r="VXJ45" s="2842"/>
      <c r="VXK45" s="2843"/>
      <c r="VXL45" s="2843"/>
      <c r="VXM45" s="2844"/>
      <c r="VXN45" s="2845"/>
      <c r="VXO45" s="2842"/>
      <c r="VXP45" s="2842"/>
      <c r="VXQ45" s="2843"/>
      <c r="VXR45" s="2843"/>
      <c r="VXS45" s="2844"/>
      <c r="VXT45" s="2845"/>
      <c r="VXU45" s="2842"/>
      <c r="VXV45" s="2842"/>
      <c r="VXW45" s="2843"/>
      <c r="VXX45" s="2843"/>
      <c r="VXY45" s="2844"/>
      <c r="VXZ45" s="2845"/>
      <c r="VYA45" s="2842"/>
      <c r="VYB45" s="2842"/>
      <c r="VYC45" s="2843"/>
      <c r="VYD45" s="2843"/>
      <c r="VYE45" s="2844"/>
      <c r="VYF45" s="2845"/>
      <c r="VYG45" s="2842"/>
      <c r="VYH45" s="2842"/>
      <c r="VYI45" s="2843"/>
      <c r="VYJ45" s="2843"/>
      <c r="VYK45" s="2844"/>
      <c r="VYL45" s="2845"/>
      <c r="VYM45" s="2842"/>
      <c r="VYN45" s="2842"/>
      <c r="VYO45" s="2843"/>
      <c r="VYP45" s="2843"/>
      <c r="VYQ45" s="2844"/>
      <c r="VYR45" s="2845"/>
      <c r="VYS45" s="2842"/>
      <c r="VYT45" s="2842"/>
      <c r="VYU45" s="2843"/>
      <c r="VYV45" s="2843"/>
      <c r="VYW45" s="2844"/>
      <c r="VYX45" s="2845"/>
      <c r="VYY45" s="2842"/>
      <c r="VYZ45" s="2842"/>
      <c r="VZA45" s="2843"/>
      <c r="VZB45" s="2843"/>
      <c r="VZC45" s="2844"/>
      <c r="VZD45" s="2845"/>
      <c r="VZE45" s="2842"/>
      <c r="VZF45" s="2842"/>
      <c r="VZG45" s="2843"/>
      <c r="VZH45" s="2843"/>
      <c r="VZI45" s="2844"/>
      <c r="VZJ45" s="2845"/>
      <c r="VZK45" s="2842"/>
      <c r="VZL45" s="2842"/>
      <c r="VZM45" s="2843"/>
      <c r="VZN45" s="2843"/>
      <c r="VZO45" s="2844"/>
      <c r="VZP45" s="2845"/>
      <c r="VZQ45" s="2842"/>
      <c r="VZR45" s="2842"/>
      <c r="VZS45" s="2843"/>
      <c r="VZT45" s="2843"/>
      <c r="VZU45" s="2844"/>
      <c r="VZV45" s="2845"/>
      <c r="VZW45" s="2842"/>
      <c r="VZX45" s="2842"/>
      <c r="VZY45" s="2843"/>
      <c r="VZZ45" s="2843"/>
      <c r="WAA45" s="2844"/>
      <c r="WAB45" s="2845"/>
      <c r="WAC45" s="2842"/>
      <c r="WAD45" s="2842"/>
      <c r="WAE45" s="2843"/>
      <c r="WAF45" s="2843"/>
      <c r="WAG45" s="2844"/>
      <c r="WAH45" s="2845"/>
      <c r="WAI45" s="2842"/>
      <c r="WAJ45" s="2842"/>
      <c r="WAK45" s="2843"/>
      <c r="WAL45" s="2843"/>
      <c r="WAM45" s="2844"/>
      <c r="WAN45" s="2845"/>
      <c r="WAO45" s="2842"/>
      <c r="WAP45" s="2842"/>
      <c r="WAQ45" s="2843"/>
      <c r="WAR45" s="2843"/>
      <c r="WAS45" s="2844"/>
      <c r="WAT45" s="2845"/>
      <c r="WAU45" s="2842"/>
      <c r="WAV45" s="2842"/>
      <c r="WAW45" s="2843"/>
      <c r="WAX45" s="2843"/>
      <c r="WAY45" s="2844"/>
      <c r="WAZ45" s="2845"/>
      <c r="WBA45" s="2842"/>
      <c r="WBB45" s="2842"/>
      <c r="WBC45" s="2843"/>
      <c r="WBD45" s="2843"/>
      <c r="WBE45" s="2844"/>
      <c r="WBF45" s="2845"/>
      <c r="WBG45" s="2842"/>
      <c r="WBH45" s="2842"/>
      <c r="WBI45" s="2843"/>
      <c r="WBJ45" s="2843"/>
      <c r="WBK45" s="2844"/>
      <c r="WBL45" s="2845"/>
      <c r="WBM45" s="2842"/>
      <c r="WBN45" s="2842"/>
      <c r="WBO45" s="2843"/>
      <c r="WBP45" s="2843"/>
      <c r="WBQ45" s="2844"/>
      <c r="WBR45" s="2845"/>
      <c r="WBS45" s="2842"/>
      <c r="WBT45" s="2842"/>
      <c r="WBU45" s="2843"/>
      <c r="WBV45" s="2843"/>
      <c r="WBW45" s="2844"/>
      <c r="WBX45" s="2845"/>
      <c r="WBY45" s="2842"/>
      <c r="WBZ45" s="2842"/>
      <c r="WCA45" s="2843"/>
      <c r="WCB45" s="2843"/>
      <c r="WCC45" s="2844"/>
      <c r="WCD45" s="2845"/>
      <c r="WCE45" s="2842"/>
      <c r="WCF45" s="2842"/>
      <c r="WCG45" s="2843"/>
      <c r="WCH45" s="2843"/>
      <c r="WCI45" s="2844"/>
      <c r="WCJ45" s="2845"/>
      <c r="WCK45" s="2842"/>
      <c r="WCL45" s="2842"/>
      <c r="WCM45" s="2843"/>
      <c r="WCN45" s="2843"/>
      <c r="WCO45" s="2844"/>
      <c r="WCP45" s="2845"/>
      <c r="WCQ45" s="2842"/>
      <c r="WCR45" s="2842"/>
      <c r="WCS45" s="2843"/>
      <c r="WCT45" s="2843"/>
      <c r="WCU45" s="2844"/>
      <c r="WCV45" s="2845"/>
      <c r="WCW45" s="2842"/>
      <c r="WCX45" s="2842"/>
      <c r="WCY45" s="2843"/>
      <c r="WCZ45" s="2843"/>
      <c r="WDA45" s="2844"/>
      <c r="WDB45" s="2845"/>
      <c r="WDC45" s="2842"/>
      <c r="WDD45" s="2842"/>
      <c r="WDE45" s="2843"/>
      <c r="WDF45" s="2843"/>
      <c r="WDG45" s="2844"/>
      <c r="WDH45" s="2845"/>
      <c r="WDI45" s="2842"/>
      <c r="WDJ45" s="2842"/>
      <c r="WDK45" s="2843"/>
      <c r="WDL45" s="2843"/>
      <c r="WDM45" s="2844"/>
      <c r="WDN45" s="2845"/>
      <c r="WDO45" s="2842"/>
      <c r="WDP45" s="2842"/>
      <c r="WDQ45" s="2843"/>
      <c r="WDR45" s="2843"/>
      <c r="WDS45" s="2844"/>
      <c r="WDT45" s="2845"/>
      <c r="WDU45" s="2842"/>
      <c r="WDV45" s="2842"/>
      <c r="WDW45" s="2843"/>
      <c r="WDX45" s="2843"/>
      <c r="WDY45" s="2844"/>
      <c r="WDZ45" s="2845"/>
      <c r="WEA45" s="2842"/>
      <c r="WEB45" s="2842"/>
      <c r="WEC45" s="2843"/>
      <c r="WED45" s="2843"/>
      <c r="WEE45" s="2844"/>
      <c r="WEF45" s="2845"/>
      <c r="WEG45" s="2842"/>
      <c r="WEH45" s="2842"/>
      <c r="WEI45" s="2843"/>
      <c r="WEJ45" s="2843"/>
      <c r="WEK45" s="2844"/>
      <c r="WEL45" s="2845"/>
      <c r="WEM45" s="2842"/>
      <c r="WEN45" s="2842"/>
      <c r="WEO45" s="2843"/>
      <c r="WEP45" s="2843"/>
      <c r="WEQ45" s="2844"/>
      <c r="WER45" s="2845"/>
      <c r="WES45" s="2842"/>
      <c r="WET45" s="2842"/>
      <c r="WEU45" s="2843"/>
      <c r="WEV45" s="2843"/>
      <c r="WEW45" s="2844"/>
      <c r="WEX45" s="2845"/>
      <c r="WEY45" s="2842"/>
      <c r="WEZ45" s="2842"/>
      <c r="WFA45" s="2843"/>
      <c r="WFB45" s="2843"/>
      <c r="WFC45" s="2844"/>
      <c r="WFD45" s="2845"/>
      <c r="WFE45" s="2842"/>
      <c r="WFF45" s="2842"/>
      <c r="WFG45" s="2843"/>
      <c r="WFH45" s="2843"/>
      <c r="WFI45" s="2844"/>
      <c r="WFJ45" s="2845"/>
      <c r="WFK45" s="2842"/>
      <c r="WFL45" s="2842"/>
      <c r="WFM45" s="2843"/>
      <c r="WFN45" s="2843"/>
      <c r="WFO45" s="2844"/>
      <c r="WFP45" s="2845"/>
      <c r="WFQ45" s="2842"/>
      <c r="WFR45" s="2842"/>
      <c r="WFS45" s="2843"/>
      <c r="WFT45" s="2843"/>
      <c r="WFU45" s="2844"/>
      <c r="WFV45" s="2845"/>
      <c r="WFW45" s="2842"/>
      <c r="WFX45" s="2842"/>
      <c r="WFY45" s="2843"/>
      <c r="WFZ45" s="2843"/>
      <c r="WGA45" s="2844"/>
      <c r="WGB45" s="2845"/>
      <c r="WGC45" s="2842"/>
      <c r="WGD45" s="2842"/>
      <c r="WGE45" s="2843"/>
      <c r="WGF45" s="2843"/>
      <c r="WGG45" s="2844"/>
      <c r="WGH45" s="2845"/>
      <c r="WGI45" s="2842"/>
      <c r="WGJ45" s="2842"/>
      <c r="WGK45" s="2843"/>
      <c r="WGL45" s="2843"/>
      <c r="WGM45" s="2844"/>
      <c r="WGN45" s="2845"/>
      <c r="WGO45" s="2842"/>
      <c r="WGP45" s="2842"/>
      <c r="WGQ45" s="2843"/>
      <c r="WGR45" s="2843"/>
      <c r="WGS45" s="2844"/>
      <c r="WGT45" s="2845"/>
      <c r="WGU45" s="2842"/>
      <c r="WGV45" s="2842"/>
      <c r="WGW45" s="2843"/>
      <c r="WGX45" s="2843"/>
      <c r="WGY45" s="2844"/>
      <c r="WGZ45" s="2845"/>
      <c r="WHA45" s="2842"/>
      <c r="WHB45" s="2842"/>
      <c r="WHC45" s="2843"/>
      <c r="WHD45" s="2843"/>
      <c r="WHE45" s="2844"/>
      <c r="WHF45" s="2845"/>
      <c r="WHG45" s="2842"/>
      <c r="WHH45" s="2842"/>
      <c r="WHI45" s="2843"/>
      <c r="WHJ45" s="2843"/>
      <c r="WHK45" s="2844"/>
      <c r="WHL45" s="2845"/>
      <c r="WHM45" s="2842"/>
      <c r="WHN45" s="2842"/>
      <c r="WHO45" s="2843"/>
      <c r="WHP45" s="2843"/>
      <c r="WHQ45" s="2844"/>
      <c r="WHR45" s="2845"/>
      <c r="WHS45" s="2842"/>
      <c r="WHT45" s="2842"/>
      <c r="WHU45" s="2843"/>
      <c r="WHV45" s="2843"/>
      <c r="WHW45" s="2844"/>
      <c r="WHX45" s="2845"/>
      <c r="WHY45" s="2842"/>
      <c r="WHZ45" s="2842"/>
      <c r="WIA45" s="2843"/>
      <c r="WIB45" s="2843"/>
      <c r="WIC45" s="2844"/>
      <c r="WID45" s="2845"/>
      <c r="WIE45" s="2842"/>
      <c r="WIF45" s="2842"/>
      <c r="WIG45" s="2843"/>
      <c r="WIH45" s="2843"/>
      <c r="WII45" s="2844"/>
      <c r="WIJ45" s="2845"/>
      <c r="WIK45" s="2842"/>
      <c r="WIL45" s="2842"/>
      <c r="WIM45" s="2843"/>
      <c r="WIN45" s="2843"/>
      <c r="WIO45" s="2844"/>
      <c r="WIP45" s="2845"/>
      <c r="WIQ45" s="2842"/>
      <c r="WIR45" s="2842"/>
      <c r="WIS45" s="2843"/>
      <c r="WIT45" s="2843"/>
      <c r="WIU45" s="2844"/>
      <c r="WIV45" s="2845"/>
      <c r="WIW45" s="2842"/>
      <c r="WIX45" s="2842"/>
      <c r="WIY45" s="2843"/>
      <c r="WIZ45" s="2843"/>
      <c r="WJA45" s="2844"/>
      <c r="WJB45" s="2845"/>
      <c r="WJC45" s="2842"/>
      <c r="WJD45" s="2842"/>
      <c r="WJE45" s="2843"/>
      <c r="WJF45" s="2843"/>
      <c r="WJG45" s="2844"/>
      <c r="WJH45" s="2845"/>
      <c r="WJI45" s="2842"/>
      <c r="WJJ45" s="2842"/>
      <c r="WJK45" s="2843"/>
      <c r="WJL45" s="2843"/>
      <c r="WJM45" s="2844"/>
      <c r="WJN45" s="2845"/>
      <c r="WJO45" s="2842"/>
      <c r="WJP45" s="2842"/>
      <c r="WJQ45" s="2843"/>
      <c r="WJR45" s="2843"/>
      <c r="WJS45" s="2844"/>
      <c r="WJT45" s="2845"/>
      <c r="WJU45" s="2842"/>
      <c r="WJV45" s="2842"/>
      <c r="WJW45" s="2843"/>
      <c r="WJX45" s="2843"/>
      <c r="WJY45" s="2844"/>
      <c r="WJZ45" s="2845"/>
      <c r="WKA45" s="2842"/>
      <c r="WKB45" s="2842"/>
      <c r="WKC45" s="2843"/>
      <c r="WKD45" s="2843"/>
      <c r="WKE45" s="2844"/>
      <c r="WKF45" s="2845"/>
      <c r="WKG45" s="2842"/>
      <c r="WKH45" s="2842"/>
      <c r="WKI45" s="2843"/>
      <c r="WKJ45" s="2843"/>
      <c r="WKK45" s="2844"/>
      <c r="WKL45" s="2845"/>
      <c r="WKM45" s="2842"/>
      <c r="WKN45" s="2842"/>
      <c r="WKO45" s="2843"/>
      <c r="WKP45" s="2843"/>
      <c r="WKQ45" s="2844"/>
      <c r="WKR45" s="2845"/>
      <c r="WKS45" s="2842"/>
      <c r="WKT45" s="2842"/>
      <c r="WKU45" s="2843"/>
      <c r="WKV45" s="2843"/>
      <c r="WKW45" s="2844"/>
      <c r="WKX45" s="2845"/>
      <c r="WKY45" s="2842"/>
      <c r="WKZ45" s="2842"/>
      <c r="WLA45" s="2843"/>
      <c r="WLB45" s="2843"/>
      <c r="WLC45" s="2844"/>
      <c r="WLD45" s="2845"/>
      <c r="WLE45" s="2842"/>
      <c r="WLF45" s="2842"/>
      <c r="WLG45" s="2843"/>
      <c r="WLH45" s="2843"/>
      <c r="WLI45" s="2844"/>
      <c r="WLJ45" s="2845"/>
      <c r="WLK45" s="2842"/>
      <c r="WLL45" s="2842"/>
      <c r="WLM45" s="2843"/>
      <c r="WLN45" s="2843"/>
      <c r="WLO45" s="2844"/>
      <c r="WLP45" s="2845"/>
      <c r="WLQ45" s="2842"/>
      <c r="WLR45" s="2842"/>
      <c r="WLS45" s="2843"/>
      <c r="WLT45" s="2843"/>
      <c r="WLU45" s="2844"/>
      <c r="WLV45" s="2845"/>
      <c r="WLW45" s="2842"/>
      <c r="WLX45" s="2842"/>
      <c r="WLY45" s="2843"/>
      <c r="WLZ45" s="2843"/>
      <c r="WMA45" s="2844"/>
      <c r="WMB45" s="2845"/>
      <c r="WMC45" s="2842"/>
      <c r="WMD45" s="2842"/>
      <c r="WME45" s="2843"/>
      <c r="WMF45" s="2843"/>
      <c r="WMG45" s="2844"/>
      <c r="WMH45" s="2845"/>
      <c r="WMI45" s="2842"/>
      <c r="WMJ45" s="2842"/>
      <c r="WMK45" s="2843"/>
      <c r="WML45" s="2843"/>
      <c r="WMM45" s="2844"/>
      <c r="WMN45" s="2845"/>
      <c r="WMO45" s="2842"/>
      <c r="WMP45" s="2842"/>
      <c r="WMQ45" s="2843"/>
      <c r="WMR45" s="2843"/>
      <c r="WMS45" s="2844"/>
      <c r="WMT45" s="2845"/>
      <c r="WMU45" s="2842"/>
      <c r="WMV45" s="2842"/>
      <c r="WMW45" s="2843"/>
      <c r="WMX45" s="2843"/>
      <c r="WMY45" s="2844"/>
      <c r="WMZ45" s="2845"/>
      <c r="WNA45" s="2842"/>
      <c r="WNB45" s="2842"/>
      <c r="WNC45" s="2843"/>
      <c r="WND45" s="2843"/>
      <c r="WNE45" s="2844"/>
      <c r="WNF45" s="2845"/>
      <c r="WNG45" s="2842"/>
      <c r="WNH45" s="2842"/>
      <c r="WNI45" s="2843"/>
      <c r="WNJ45" s="2843"/>
      <c r="WNK45" s="2844"/>
      <c r="WNL45" s="2845"/>
      <c r="WNM45" s="2842"/>
      <c r="WNN45" s="2842"/>
      <c r="WNO45" s="2843"/>
      <c r="WNP45" s="2843"/>
      <c r="WNQ45" s="2844"/>
      <c r="WNR45" s="2845"/>
      <c r="WNS45" s="2842"/>
      <c r="WNT45" s="2842"/>
      <c r="WNU45" s="2843"/>
      <c r="WNV45" s="2843"/>
      <c r="WNW45" s="2844"/>
      <c r="WNX45" s="2845"/>
      <c r="WNY45" s="2842"/>
      <c r="WNZ45" s="2842"/>
      <c r="WOA45" s="2843"/>
      <c r="WOB45" s="2843"/>
      <c r="WOC45" s="2844"/>
      <c r="WOD45" s="2845"/>
      <c r="WOE45" s="2842"/>
      <c r="WOF45" s="2842"/>
      <c r="WOG45" s="2843"/>
      <c r="WOH45" s="2843"/>
      <c r="WOI45" s="2844"/>
      <c r="WOJ45" s="2845"/>
      <c r="WOK45" s="2842"/>
      <c r="WOL45" s="2842"/>
      <c r="WOM45" s="2843"/>
      <c r="WON45" s="2843"/>
      <c r="WOO45" s="2844"/>
      <c r="WOP45" s="2845"/>
      <c r="WOQ45" s="2842"/>
      <c r="WOR45" s="2842"/>
      <c r="WOS45" s="2843"/>
      <c r="WOT45" s="2843"/>
      <c r="WOU45" s="2844"/>
      <c r="WOV45" s="2845"/>
      <c r="WOW45" s="2842"/>
      <c r="WOX45" s="2842"/>
      <c r="WOY45" s="2843"/>
      <c r="WOZ45" s="2843"/>
      <c r="WPA45" s="2844"/>
      <c r="WPB45" s="2845"/>
      <c r="WPC45" s="2842"/>
      <c r="WPD45" s="2842"/>
      <c r="WPE45" s="2843"/>
      <c r="WPF45" s="2843"/>
      <c r="WPG45" s="2844"/>
      <c r="WPH45" s="2845"/>
      <c r="WPI45" s="2842"/>
      <c r="WPJ45" s="2842"/>
      <c r="WPK45" s="2843"/>
      <c r="WPL45" s="2843"/>
      <c r="WPM45" s="2844"/>
      <c r="WPN45" s="2845"/>
      <c r="WPO45" s="2842"/>
      <c r="WPP45" s="2842"/>
      <c r="WPQ45" s="2843"/>
      <c r="WPR45" s="2843"/>
      <c r="WPS45" s="2844"/>
      <c r="WPT45" s="2845"/>
      <c r="WPU45" s="2842"/>
      <c r="WPV45" s="2842"/>
      <c r="WPW45" s="2843"/>
      <c r="WPX45" s="2843"/>
      <c r="WPY45" s="2844"/>
      <c r="WPZ45" s="2845"/>
      <c r="WQA45" s="2842"/>
      <c r="WQB45" s="2842"/>
      <c r="WQC45" s="2843"/>
      <c r="WQD45" s="2843"/>
      <c r="WQE45" s="2844"/>
      <c r="WQF45" s="2845"/>
      <c r="WQG45" s="2842"/>
      <c r="WQH45" s="2842"/>
      <c r="WQI45" s="2843"/>
      <c r="WQJ45" s="2843"/>
      <c r="WQK45" s="2844"/>
      <c r="WQL45" s="2845"/>
      <c r="WQM45" s="2842"/>
      <c r="WQN45" s="2842"/>
      <c r="WQO45" s="2843"/>
      <c r="WQP45" s="2843"/>
      <c r="WQQ45" s="2844"/>
      <c r="WQR45" s="2845"/>
      <c r="WQS45" s="2842"/>
      <c r="WQT45" s="2842"/>
      <c r="WQU45" s="2843"/>
      <c r="WQV45" s="2843"/>
      <c r="WQW45" s="2844"/>
      <c r="WQX45" s="2845"/>
      <c r="WQY45" s="2842"/>
      <c r="WQZ45" s="2842"/>
      <c r="WRA45" s="2843"/>
      <c r="WRB45" s="2843"/>
      <c r="WRC45" s="2844"/>
      <c r="WRD45" s="2845"/>
      <c r="WRE45" s="2842"/>
      <c r="WRF45" s="2842"/>
      <c r="WRG45" s="2843"/>
      <c r="WRH45" s="2843"/>
      <c r="WRI45" s="2844"/>
      <c r="WRJ45" s="2845"/>
      <c r="WRK45" s="2842"/>
      <c r="WRL45" s="2842"/>
      <c r="WRM45" s="2843"/>
      <c r="WRN45" s="2843"/>
      <c r="WRO45" s="2844"/>
      <c r="WRP45" s="2845"/>
      <c r="WRQ45" s="2842"/>
      <c r="WRR45" s="2842"/>
      <c r="WRS45" s="2843"/>
      <c r="WRT45" s="2843"/>
      <c r="WRU45" s="2844"/>
      <c r="WRV45" s="2845"/>
      <c r="WRW45" s="2842"/>
      <c r="WRX45" s="2842"/>
      <c r="WRY45" s="2843"/>
      <c r="WRZ45" s="2843"/>
      <c r="WSA45" s="2844"/>
      <c r="WSB45" s="2845"/>
      <c r="WSC45" s="2842"/>
      <c r="WSD45" s="2842"/>
      <c r="WSE45" s="2843"/>
      <c r="WSF45" s="2843"/>
      <c r="WSG45" s="2844"/>
      <c r="WSH45" s="2845"/>
      <c r="WSI45" s="2842"/>
      <c r="WSJ45" s="2842"/>
      <c r="WSK45" s="2843"/>
      <c r="WSL45" s="2843"/>
      <c r="WSM45" s="2844"/>
      <c r="WSN45" s="2845"/>
      <c r="WSO45" s="2842"/>
      <c r="WSP45" s="2842"/>
      <c r="WSQ45" s="2843"/>
      <c r="WSR45" s="2843"/>
      <c r="WSS45" s="2844"/>
      <c r="WST45" s="2845"/>
      <c r="WSU45" s="2842"/>
      <c r="WSV45" s="2842"/>
      <c r="WSW45" s="2843"/>
      <c r="WSX45" s="2843"/>
      <c r="WSY45" s="2844"/>
      <c r="WSZ45" s="2845"/>
      <c r="WTA45" s="2842"/>
      <c r="WTB45" s="2842"/>
      <c r="WTC45" s="2843"/>
      <c r="WTD45" s="2843"/>
      <c r="WTE45" s="2844"/>
      <c r="WTF45" s="2845"/>
      <c r="WTG45" s="2842"/>
      <c r="WTH45" s="2842"/>
      <c r="WTI45" s="2843"/>
      <c r="WTJ45" s="2843"/>
      <c r="WTK45" s="2844"/>
      <c r="WTL45" s="2845"/>
      <c r="WTM45" s="2842"/>
      <c r="WTN45" s="2842"/>
      <c r="WTO45" s="2843"/>
      <c r="WTP45" s="2843"/>
      <c r="WTQ45" s="2844"/>
      <c r="WTR45" s="2845"/>
      <c r="WTS45" s="2842"/>
      <c r="WTT45" s="2842"/>
      <c r="WTU45" s="2843"/>
      <c r="WTV45" s="2843"/>
      <c r="WTW45" s="2844"/>
      <c r="WTX45" s="2845"/>
      <c r="WTY45" s="2842"/>
      <c r="WTZ45" s="2842"/>
      <c r="WUA45" s="2843"/>
      <c r="WUB45" s="2843"/>
      <c r="WUC45" s="2844"/>
      <c r="WUD45" s="2845"/>
      <c r="WUE45" s="2842"/>
      <c r="WUF45" s="2842"/>
      <c r="WUG45" s="2843"/>
      <c r="WUH45" s="2843"/>
      <c r="WUI45" s="2844"/>
      <c r="WUJ45" s="2845"/>
      <c r="WUK45" s="2842"/>
      <c r="WUL45" s="2842"/>
      <c r="WUM45" s="2843"/>
      <c r="WUN45" s="2843"/>
      <c r="WUO45" s="2844"/>
      <c r="WUP45" s="2845"/>
      <c r="WUQ45" s="2842"/>
      <c r="WUR45" s="2842"/>
      <c r="WUS45" s="2843"/>
      <c r="WUT45" s="2843"/>
      <c r="WUU45" s="2844"/>
      <c r="WUV45" s="2845"/>
      <c r="WUW45" s="2842"/>
      <c r="WUX45" s="2842"/>
      <c r="WUY45" s="2843"/>
      <c r="WUZ45" s="2843"/>
      <c r="WVA45" s="2844"/>
      <c r="WVB45" s="2845"/>
      <c r="WVC45" s="2842"/>
      <c r="WVD45" s="2842"/>
      <c r="WVE45" s="2843"/>
      <c r="WVF45" s="2843"/>
      <c r="WVG45" s="2844"/>
      <c r="WVH45" s="2845"/>
      <c r="WVI45" s="2842"/>
      <c r="WVJ45" s="2842"/>
      <c r="WVK45" s="2843"/>
      <c r="WVL45" s="2843"/>
      <c r="WVM45" s="2844"/>
      <c r="WVN45" s="2845"/>
      <c r="WVO45" s="2842"/>
      <c r="WVP45" s="2842"/>
      <c r="WVQ45" s="2843"/>
      <c r="WVR45" s="2843"/>
      <c r="WVS45" s="2844"/>
      <c r="WVT45" s="2845"/>
      <c r="WVU45" s="2842"/>
      <c r="WVV45" s="2842"/>
      <c r="WVW45" s="2843"/>
      <c r="WVX45" s="2843"/>
      <c r="WVY45" s="2844"/>
      <c r="WVZ45" s="2845"/>
      <c r="WWA45" s="2842"/>
      <c r="WWB45" s="2842"/>
      <c r="WWC45" s="2843"/>
      <c r="WWD45" s="2843"/>
      <c r="WWE45" s="2844"/>
      <c r="WWF45" s="2845"/>
      <c r="WWG45" s="2842"/>
      <c r="WWH45" s="2842"/>
      <c r="WWI45" s="2843"/>
      <c r="WWJ45" s="2843"/>
      <c r="WWK45" s="2844"/>
      <c r="WWL45" s="2845"/>
      <c r="WWM45" s="2842"/>
      <c r="WWN45" s="2842"/>
      <c r="WWO45" s="2843"/>
      <c r="WWP45" s="2843"/>
      <c r="WWQ45" s="2844"/>
      <c r="WWR45" s="2845"/>
      <c r="WWS45" s="2842"/>
      <c r="WWT45" s="2842"/>
      <c r="WWU45" s="2843"/>
      <c r="WWV45" s="2843"/>
      <c r="WWW45" s="2844"/>
      <c r="WWX45" s="2845"/>
      <c r="WWY45" s="2842"/>
      <c r="WWZ45" s="2842"/>
      <c r="WXA45" s="2843"/>
      <c r="WXB45" s="2843"/>
      <c r="WXC45" s="2844"/>
      <c r="WXD45" s="2845"/>
      <c r="WXE45" s="2842"/>
      <c r="WXF45" s="2842"/>
      <c r="WXG45" s="2843"/>
      <c r="WXH45" s="2843"/>
      <c r="WXI45" s="2844"/>
      <c r="WXJ45" s="2845"/>
      <c r="WXK45" s="2842"/>
      <c r="WXL45" s="2842"/>
      <c r="WXM45" s="2843"/>
      <c r="WXN45" s="2843"/>
      <c r="WXO45" s="2844"/>
      <c r="WXP45" s="2845"/>
      <c r="WXQ45" s="2842"/>
      <c r="WXR45" s="2842"/>
      <c r="WXS45" s="2843"/>
      <c r="WXT45" s="2843"/>
      <c r="WXU45" s="2844"/>
      <c r="WXV45" s="2845"/>
      <c r="WXW45" s="2842"/>
      <c r="WXX45" s="2842"/>
      <c r="WXY45" s="2843"/>
      <c r="WXZ45" s="2843"/>
      <c r="WYA45" s="2844"/>
      <c r="WYB45" s="2845"/>
      <c r="WYC45" s="2842"/>
      <c r="WYD45" s="2842"/>
      <c r="WYE45" s="2843"/>
      <c r="WYF45" s="2843"/>
      <c r="WYG45" s="2844"/>
      <c r="WYH45" s="2845"/>
      <c r="WYI45" s="2842"/>
      <c r="WYJ45" s="2842"/>
      <c r="WYK45" s="2843"/>
      <c r="WYL45" s="2843"/>
      <c r="WYM45" s="2844"/>
      <c r="WYN45" s="2845"/>
      <c r="WYO45" s="2842"/>
      <c r="WYP45" s="2842"/>
      <c r="WYQ45" s="2843"/>
      <c r="WYR45" s="2843"/>
      <c r="WYS45" s="2844"/>
      <c r="WYT45" s="2845"/>
      <c r="WYU45" s="2842"/>
      <c r="WYV45" s="2842"/>
      <c r="WYW45" s="2843"/>
      <c r="WYX45" s="2843"/>
      <c r="WYY45" s="2844"/>
      <c r="WYZ45" s="2845"/>
      <c r="WZA45" s="2842"/>
      <c r="WZB45" s="2842"/>
      <c r="WZC45" s="2843"/>
      <c r="WZD45" s="2843"/>
      <c r="WZE45" s="2844"/>
      <c r="WZF45" s="2845"/>
      <c r="WZG45" s="2842"/>
      <c r="WZH45" s="2842"/>
      <c r="WZI45" s="2843"/>
      <c r="WZJ45" s="2843"/>
      <c r="WZK45" s="2844"/>
      <c r="WZL45" s="2845"/>
      <c r="WZM45" s="2842"/>
      <c r="WZN45" s="2842"/>
      <c r="WZO45" s="2843"/>
      <c r="WZP45" s="2843"/>
      <c r="WZQ45" s="2844"/>
      <c r="WZR45" s="2845"/>
      <c r="WZS45" s="2842"/>
      <c r="WZT45" s="2842"/>
      <c r="WZU45" s="2843"/>
      <c r="WZV45" s="2843"/>
      <c r="WZW45" s="2844"/>
      <c r="WZX45" s="2845"/>
      <c r="WZY45" s="2842"/>
      <c r="WZZ45" s="2842"/>
      <c r="XAA45" s="2843"/>
      <c r="XAB45" s="2843"/>
      <c r="XAC45" s="2844"/>
      <c r="XAD45" s="2845"/>
      <c r="XAE45" s="2842"/>
      <c r="XAF45" s="2842"/>
      <c r="XAG45" s="2843"/>
      <c r="XAH45" s="2843"/>
      <c r="XAI45" s="2844"/>
      <c r="XAJ45" s="2845"/>
      <c r="XAK45" s="2842"/>
      <c r="XAL45" s="2842"/>
      <c r="XAM45" s="2843"/>
      <c r="XAN45" s="2843"/>
      <c r="XAO45" s="2844"/>
      <c r="XAP45" s="2845"/>
      <c r="XAQ45" s="2842"/>
      <c r="XAR45" s="2842"/>
      <c r="XAS45" s="2843"/>
      <c r="XAT45" s="2843"/>
      <c r="XAU45" s="2844"/>
      <c r="XAV45" s="2845"/>
      <c r="XAW45" s="2842"/>
      <c r="XAX45" s="2842"/>
      <c r="XAY45" s="2843"/>
      <c r="XAZ45" s="2843"/>
      <c r="XBA45" s="2844"/>
      <c r="XBB45" s="2845"/>
      <c r="XBC45" s="2842"/>
      <c r="XBD45" s="2842"/>
      <c r="XBE45" s="2843"/>
      <c r="XBF45" s="2843"/>
      <c r="XBG45" s="2844"/>
      <c r="XBH45" s="2845"/>
      <c r="XBI45" s="2842"/>
      <c r="XBJ45" s="2842"/>
      <c r="XBK45" s="2843"/>
      <c r="XBL45" s="2843"/>
      <c r="XBM45" s="2844"/>
      <c r="XBN45" s="2845"/>
      <c r="XBO45" s="2842"/>
      <c r="XBP45" s="2842"/>
      <c r="XBQ45" s="2843"/>
      <c r="XBR45" s="2843"/>
      <c r="XBS45" s="2844"/>
      <c r="XBT45" s="2845"/>
      <c r="XBU45" s="2842"/>
      <c r="XBV45" s="2842"/>
      <c r="XBW45" s="2843"/>
      <c r="XBX45" s="2843"/>
      <c r="XBY45" s="2844"/>
      <c r="XBZ45" s="2845"/>
      <c r="XCA45" s="2842"/>
      <c r="XCB45" s="2842"/>
      <c r="XCC45" s="2843"/>
      <c r="XCD45" s="2843"/>
      <c r="XCE45" s="2844"/>
      <c r="XCF45" s="2845"/>
      <c r="XCG45" s="2842"/>
      <c r="XCH45" s="2842"/>
      <c r="XCI45" s="2843"/>
      <c r="XCJ45" s="2843"/>
      <c r="XCK45" s="2844"/>
      <c r="XCL45" s="2845"/>
      <c r="XCM45" s="2842"/>
      <c r="XCN45" s="2842"/>
      <c r="XCO45" s="2843"/>
      <c r="XCP45" s="2843"/>
      <c r="XCQ45" s="2844"/>
      <c r="XCR45" s="2845"/>
      <c r="XCS45" s="2842"/>
      <c r="XCT45" s="2842"/>
      <c r="XCU45" s="2843"/>
      <c r="XCV45" s="2843"/>
      <c r="XCW45" s="2844"/>
      <c r="XCX45" s="2845"/>
      <c r="XCY45" s="2842"/>
      <c r="XCZ45" s="2842"/>
      <c r="XDA45" s="2843"/>
      <c r="XDB45" s="2843"/>
      <c r="XDC45" s="2844"/>
      <c r="XDD45" s="2845"/>
      <c r="XDE45" s="2842"/>
      <c r="XDF45" s="2842"/>
      <c r="XDG45" s="2843"/>
      <c r="XDH45" s="2843"/>
      <c r="XDI45" s="2844"/>
      <c r="XDJ45" s="2845"/>
      <c r="XDK45" s="2842"/>
      <c r="XDL45" s="2842"/>
      <c r="XDM45" s="2843"/>
      <c r="XDN45" s="2843"/>
      <c r="XDO45" s="2844"/>
      <c r="XDP45" s="2845"/>
      <c r="XDQ45" s="2842"/>
      <c r="XDR45" s="2842"/>
      <c r="XDS45" s="2843"/>
      <c r="XDT45" s="2843"/>
      <c r="XDU45" s="2844"/>
      <c r="XDV45" s="2845"/>
      <c r="XDW45" s="2842"/>
      <c r="XDX45" s="2842"/>
      <c r="XDY45" s="2843"/>
      <c r="XDZ45" s="2843"/>
      <c r="XEA45" s="2844"/>
      <c r="XEB45" s="2845"/>
      <c r="XEC45" s="2842"/>
      <c r="XED45" s="2842"/>
      <c r="XEE45" s="2843"/>
      <c r="XEF45" s="2843"/>
      <c r="XEG45" s="2844"/>
      <c r="XEH45" s="2845"/>
      <c r="XEI45" s="2842"/>
      <c r="XEJ45" s="2842"/>
      <c r="XEK45" s="2843"/>
      <c r="XEL45" s="2843"/>
      <c r="XEM45" s="2844"/>
      <c r="XEN45" s="2845"/>
      <c r="XEO45" s="2842"/>
      <c r="XEP45" s="2842"/>
      <c r="XEQ45" s="2843"/>
      <c r="XER45" s="2843"/>
      <c r="XES45" s="2844"/>
      <c r="XET45" s="2845"/>
      <c r="XEU45" s="2842"/>
      <c r="XEV45" s="2842"/>
      <c r="XEW45" s="2843"/>
      <c r="XEX45" s="2843"/>
      <c r="XEY45" s="2844"/>
      <c r="XEZ45" s="2845"/>
      <c r="XFA45" s="2842"/>
      <c r="XFB45" s="2842"/>
      <c r="XFC45" s="2843"/>
      <c r="XFD45" s="2843"/>
    </row>
    <row r="46" spans="1:16384" s="2841" customFormat="1" ht="96">
      <c r="A46" s="3124" t="s">
        <v>994</v>
      </c>
      <c r="B46" s="2847" t="s">
        <v>1077</v>
      </c>
      <c r="C46" s="2847" t="s">
        <v>487</v>
      </c>
      <c r="D46" s="2848" t="s">
        <v>1106</v>
      </c>
      <c r="E46" s="2848" t="s">
        <v>1107</v>
      </c>
      <c r="F46" s="2972" t="s">
        <v>1108</v>
      </c>
      <c r="G46" s="2838"/>
      <c r="H46" s="2842"/>
      <c r="I46" s="2843"/>
      <c r="J46" s="2843"/>
      <c r="K46" s="2844"/>
      <c r="L46" s="2845"/>
      <c r="M46" s="2842"/>
      <c r="N46" s="2842"/>
      <c r="O46" s="2843"/>
      <c r="P46" s="2843"/>
      <c r="Q46" s="2844"/>
      <c r="R46" s="2845"/>
      <c r="S46" s="2842"/>
      <c r="T46" s="2842"/>
      <c r="U46" s="2843"/>
      <c r="V46" s="2843"/>
      <c r="W46" s="2844"/>
      <c r="X46" s="2845"/>
      <c r="Y46" s="2842"/>
      <c r="Z46" s="2842"/>
      <c r="AA46" s="2843"/>
      <c r="AB46" s="2843"/>
      <c r="AC46" s="2844"/>
      <c r="AD46" s="2845"/>
      <c r="AE46" s="2842"/>
      <c r="AF46" s="2842"/>
      <c r="AG46" s="2843"/>
      <c r="AH46" s="2843"/>
      <c r="AI46" s="2844"/>
      <c r="AJ46" s="2845"/>
      <c r="AK46" s="2842"/>
      <c r="AL46" s="2842"/>
      <c r="AM46" s="2843"/>
      <c r="AN46" s="2843"/>
      <c r="AO46" s="2844"/>
      <c r="AP46" s="2845"/>
      <c r="AQ46" s="2842"/>
      <c r="AR46" s="2842"/>
      <c r="AS46" s="2843"/>
      <c r="AT46" s="2843"/>
      <c r="AU46" s="2844"/>
      <c r="AV46" s="2845"/>
      <c r="AW46" s="2842"/>
      <c r="AX46" s="2842"/>
      <c r="AY46" s="2843"/>
      <c r="AZ46" s="2843"/>
      <c r="BA46" s="2844"/>
      <c r="BB46" s="2845"/>
      <c r="BC46" s="2842"/>
      <c r="BD46" s="2842"/>
      <c r="BE46" s="2843"/>
      <c r="BF46" s="2843"/>
      <c r="BG46" s="2844"/>
      <c r="BH46" s="2845"/>
      <c r="BI46" s="2842"/>
      <c r="BJ46" s="2842"/>
      <c r="BK46" s="2843"/>
      <c r="BL46" s="2843"/>
      <c r="BM46" s="2844"/>
      <c r="BN46" s="2845"/>
      <c r="BO46" s="2842"/>
      <c r="BP46" s="2842"/>
      <c r="BQ46" s="2843"/>
      <c r="BR46" s="2843"/>
      <c r="BS46" s="2844"/>
      <c r="BT46" s="2845"/>
      <c r="BU46" s="2842"/>
      <c r="BV46" s="2842"/>
      <c r="BW46" s="2843"/>
      <c r="BX46" s="2843"/>
      <c r="BY46" s="2844"/>
      <c r="BZ46" s="2845"/>
      <c r="CA46" s="2842"/>
      <c r="CB46" s="2842"/>
      <c r="CC46" s="2843"/>
      <c r="CD46" s="2843"/>
      <c r="CE46" s="2844"/>
      <c r="CF46" s="2845"/>
      <c r="CG46" s="2842"/>
      <c r="CH46" s="2842"/>
      <c r="CI46" s="2843"/>
      <c r="CJ46" s="2843"/>
      <c r="CK46" s="2844"/>
      <c r="CL46" s="2845"/>
      <c r="CM46" s="2842"/>
      <c r="CN46" s="2842"/>
      <c r="CO46" s="2843"/>
      <c r="CP46" s="2843"/>
      <c r="CQ46" s="2844"/>
      <c r="CR46" s="2845"/>
      <c r="CS46" s="2842"/>
      <c r="CT46" s="2842"/>
      <c r="CU46" s="2843"/>
      <c r="CV46" s="2843"/>
      <c r="CW46" s="2844"/>
      <c r="CX46" s="2845"/>
      <c r="CY46" s="2842"/>
      <c r="CZ46" s="2842"/>
      <c r="DA46" s="2843"/>
      <c r="DB46" s="2843"/>
      <c r="DC46" s="2844"/>
      <c r="DD46" s="2845"/>
      <c r="DE46" s="2842"/>
      <c r="DF46" s="2842"/>
      <c r="DG46" s="2843"/>
      <c r="DH46" s="2843"/>
      <c r="DI46" s="2844"/>
      <c r="DJ46" s="2845"/>
      <c r="DK46" s="2842"/>
      <c r="DL46" s="2842"/>
      <c r="DM46" s="2843"/>
      <c r="DN46" s="2843"/>
      <c r="DO46" s="2844"/>
      <c r="DP46" s="2845"/>
      <c r="DQ46" s="2842"/>
      <c r="DR46" s="2842"/>
      <c r="DS46" s="2843"/>
      <c r="DT46" s="2843"/>
      <c r="DU46" s="2844"/>
      <c r="DV46" s="2845"/>
      <c r="DW46" s="2842"/>
      <c r="DX46" s="2842"/>
      <c r="DY46" s="2843"/>
      <c r="DZ46" s="2843"/>
      <c r="EA46" s="2844"/>
      <c r="EB46" s="2845"/>
      <c r="EC46" s="2842"/>
      <c r="ED46" s="2842"/>
      <c r="EE46" s="2843"/>
      <c r="EF46" s="2843"/>
      <c r="EG46" s="2844"/>
      <c r="EH46" s="2845"/>
      <c r="EI46" s="2842"/>
      <c r="EJ46" s="2842"/>
      <c r="EK46" s="2843"/>
      <c r="EL46" s="2843"/>
      <c r="EM46" s="2844"/>
      <c r="EN46" s="2845"/>
      <c r="EO46" s="2842"/>
      <c r="EP46" s="2842"/>
      <c r="EQ46" s="2843"/>
      <c r="ER46" s="2843"/>
      <c r="ES46" s="2844"/>
      <c r="ET46" s="2845"/>
      <c r="EU46" s="2842"/>
      <c r="EV46" s="2842"/>
      <c r="EW46" s="2843"/>
      <c r="EX46" s="2843"/>
      <c r="EY46" s="2844"/>
      <c r="EZ46" s="2845"/>
      <c r="FA46" s="2842"/>
      <c r="FB46" s="2842"/>
      <c r="FC46" s="2843"/>
      <c r="FD46" s="2843"/>
      <c r="FE46" s="2844"/>
      <c r="FF46" s="2845"/>
      <c r="FG46" s="2842"/>
      <c r="FH46" s="2842"/>
      <c r="FI46" s="2843"/>
      <c r="FJ46" s="2843"/>
      <c r="FK46" s="2844"/>
      <c r="FL46" s="2845"/>
      <c r="FM46" s="2842"/>
      <c r="FN46" s="2842"/>
      <c r="FO46" s="2843"/>
      <c r="FP46" s="2843"/>
      <c r="FQ46" s="2844"/>
      <c r="FR46" s="2845"/>
      <c r="FS46" s="2842"/>
      <c r="FT46" s="2842"/>
      <c r="FU46" s="2843"/>
      <c r="FV46" s="2843"/>
      <c r="FW46" s="2844"/>
      <c r="FX46" s="2845"/>
      <c r="FY46" s="2842"/>
      <c r="FZ46" s="2842"/>
      <c r="GA46" s="2843"/>
      <c r="GB46" s="2843"/>
      <c r="GC46" s="2844"/>
      <c r="GD46" s="2845"/>
      <c r="GE46" s="2842"/>
      <c r="GF46" s="2842"/>
      <c r="GG46" s="2843"/>
      <c r="GH46" s="2843"/>
      <c r="GI46" s="2844"/>
      <c r="GJ46" s="2845"/>
      <c r="GK46" s="2842"/>
      <c r="GL46" s="2842"/>
      <c r="GM46" s="2843"/>
      <c r="GN46" s="2843"/>
      <c r="GO46" s="2844"/>
      <c r="GP46" s="2845"/>
      <c r="GQ46" s="2842"/>
      <c r="GR46" s="2842"/>
      <c r="GS46" s="2843"/>
      <c r="GT46" s="2843"/>
      <c r="GU46" s="2844"/>
      <c r="GV46" s="2845"/>
      <c r="GW46" s="2842"/>
      <c r="GX46" s="2842"/>
      <c r="GY46" s="2843"/>
      <c r="GZ46" s="2843"/>
      <c r="HA46" s="2844"/>
      <c r="HB46" s="2845"/>
      <c r="HC46" s="2842"/>
      <c r="HD46" s="2842"/>
      <c r="HE46" s="2843"/>
      <c r="HF46" s="2843"/>
      <c r="HG46" s="2844"/>
      <c r="HH46" s="2845"/>
      <c r="HI46" s="2842"/>
      <c r="HJ46" s="2842"/>
      <c r="HK46" s="2843"/>
      <c r="HL46" s="2843"/>
      <c r="HM46" s="2844"/>
      <c r="HN46" s="2845"/>
      <c r="HO46" s="2842"/>
      <c r="HP46" s="2842"/>
      <c r="HQ46" s="2843"/>
      <c r="HR46" s="2843"/>
      <c r="HS46" s="2844"/>
      <c r="HT46" s="2845"/>
      <c r="HU46" s="2842"/>
      <c r="HV46" s="2842"/>
      <c r="HW46" s="2843"/>
      <c r="HX46" s="2843"/>
      <c r="HY46" s="2844"/>
      <c r="HZ46" s="2845"/>
      <c r="IA46" s="2842"/>
      <c r="IB46" s="2842"/>
      <c r="IC46" s="2843"/>
      <c r="ID46" s="2843"/>
      <c r="IE46" s="2844"/>
      <c r="IF46" s="2845"/>
      <c r="IG46" s="2842"/>
      <c r="IH46" s="2842"/>
      <c r="II46" s="2843"/>
      <c r="IJ46" s="2843"/>
      <c r="IK46" s="2844"/>
      <c r="IL46" s="2845"/>
      <c r="IM46" s="2842"/>
      <c r="IN46" s="2842"/>
      <c r="IO46" s="2843"/>
      <c r="IP46" s="2843"/>
      <c r="IQ46" s="2844"/>
      <c r="IR46" s="2845"/>
      <c r="IS46" s="2842"/>
      <c r="IT46" s="2842"/>
      <c r="IU46" s="2843"/>
      <c r="IV46" s="2843"/>
      <c r="IW46" s="2844"/>
      <c r="IX46" s="2845"/>
      <c r="IY46" s="2842"/>
      <c r="IZ46" s="2842"/>
      <c r="JA46" s="2843"/>
      <c r="JB46" s="2843"/>
      <c r="JC46" s="2844"/>
      <c r="JD46" s="2845"/>
      <c r="JE46" s="2842"/>
      <c r="JF46" s="2842"/>
      <c r="JG46" s="2843"/>
      <c r="JH46" s="2843"/>
      <c r="JI46" s="2844"/>
      <c r="JJ46" s="2845"/>
      <c r="JK46" s="2842"/>
      <c r="JL46" s="2842"/>
      <c r="JM46" s="2843"/>
      <c r="JN46" s="2843"/>
      <c r="JO46" s="2844"/>
      <c r="JP46" s="2845"/>
      <c r="JQ46" s="2842"/>
      <c r="JR46" s="2842"/>
      <c r="JS46" s="2843"/>
      <c r="JT46" s="2843"/>
      <c r="JU46" s="2844"/>
      <c r="JV46" s="2845"/>
      <c r="JW46" s="2842"/>
      <c r="JX46" s="2842"/>
      <c r="JY46" s="2843"/>
      <c r="JZ46" s="2843"/>
      <c r="KA46" s="2844"/>
      <c r="KB46" s="2845"/>
      <c r="KC46" s="2842"/>
      <c r="KD46" s="2842"/>
      <c r="KE46" s="2843"/>
      <c r="KF46" s="2843"/>
      <c r="KG46" s="2844"/>
      <c r="KH46" s="2845"/>
      <c r="KI46" s="2842"/>
      <c r="KJ46" s="2842"/>
      <c r="KK46" s="2843"/>
      <c r="KL46" s="2843"/>
      <c r="KM46" s="2844"/>
      <c r="KN46" s="2845"/>
      <c r="KO46" s="2842"/>
      <c r="KP46" s="2842"/>
      <c r="KQ46" s="2843"/>
      <c r="KR46" s="2843"/>
      <c r="KS46" s="2844"/>
      <c r="KT46" s="2845"/>
      <c r="KU46" s="2842"/>
      <c r="KV46" s="2842"/>
      <c r="KW46" s="2843"/>
      <c r="KX46" s="2843"/>
      <c r="KY46" s="2844"/>
      <c r="KZ46" s="2845"/>
      <c r="LA46" s="2842"/>
      <c r="LB46" s="2842"/>
      <c r="LC46" s="2843"/>
      <c r="LD46" s="2843"/>
      <c r="LE46" s="2844"/>
      <c r="LF46" s="2845"/>
      <c r="LG46" s="2842"/>
      <c r="LH46" s="2842"/>
      <c r="LI46" s="2843"/>
      <c r="LJ46" s="2843"/>
      <c r="LK46" s="2844"/>
      <c r="LL46" s="2845"/>
      <c r="LM46" s="2842"/>
      <c r="LN46" s="2842"/>
      <c r="LO46" s="2843"/>
      <c r="LP46" s="2843"/>
      <c r="LQ46" s="2844"/>
      <c r="LR46" s="2845"/>
      <c r="LS46" s="2842"/>
      <c r="LT46" s="2842"/>
      <c r="LU46" s="2843"/>
      <c r="LV46" s="2843"/>
      <c r="LW46" s="2844"/>
      <c r="LX46" s="2845"/>
      <c r="LY46" s="2842"/>
      <c r="LZ46" s="2842"/>
      <c r="MA46" s="2843"/>
      <c r="MB46" s="2843"/>
      <c r="MC46" s="2844"/>
      <c r="MD46" s="2845"/>
      <c r="ME46" s="2842"/>
      <c r="MF46" s="2842"/>
      <c r="MG46" s="2843"/>
      <c r="MH46" s="2843"/>
      <c r="MI46" s="2844"/>
      <c r="MJ46" s="2845"/>
      <c r="MK46" s="2842"/>
      <c r="ML46" s="2842"/>
      <c r="MM46" s="2843"/>
      <c r="MN46" s="2843"/>
      <c r="MO46" s="2844"/>
      <c r="MP46" s="2845"/>
      <c r="MQ46" s="2842"/>
      <c r="MR46" s="2842"/>
      <c r="MS46" s="2843"/>
      <c r="MT46" s="2843"/>
      <c r="MU46" s="2844"/>
      <c r="MV46" s="2845"/>
      <c r="MW46" s="2842"/>
      <c r="MX46" s="2842"/>
      <c r="MY46" s="2843"/>
      <c r="MZ46" s="2843"/>
      <c r="NA46" s="2844"/>
      <c r="NB46" s="2845"/>
      <c r="NC46" s="2842"/>
      <c r="ND46" s="2842"/>
      <c r="NE46" s="2843"/>
      <c r="NF46" s="2843"/>
      <c r="NG46" s="2844"/>
      <c r="NH46" s="2845"/>
      <c r="NI46" s="2842"/>
      <c r="NJ46" s="2842"/>
      <c r="NK46" s="2843"/>
      <c r="NL46" s="2843"/>
      <c r="NM46" s="2844"/>
      <c r="NN46" s="2845"/>
      <c r="NO46" s="2842"/>
      <c r="NP46" s="2842"/>
      <c r="NQ46" s="2843"/>
      <c r="NR46" s="2843"/>
      <c r="NS46" s="2844"/>
      <c r="NT46" s="2845"/>
      <c r="NU46" s="2842"/>
      <c r="NV46" s="2842"/>
      <c r="NW46" s="2843"/>
      <c r="NX46" s="2843"/>
      <c r="NY46" s="2844"/>
      <c r="NZ46" s="2845"/>
      <c r="OA46" s="2842"/>
      <c r="OB46" s="2842"/>
      <c r="OC46" s="2843"/>
      <c r="OD46" s="2843"/>
      <c r="OE46" s="2844"/>
      <c r="OF46" s="2845"/>
      <c r="OG46" s="2842"/>
      <c r="OH46" s="2842"/>
      <c r="OI46" s="2843"/>
      <c r="OJ46" s="2843"/>
      <c r="OK46" s="2844"/>
      <c r="OL46" s="2845"/>
      <c r="OM46" s="2842"/>
      <c r="ON46" s="2842"/>
      <c r="OO46" s="2843"/>
      <c r="OP46" s="2843"/>
      <c r="OQ46" s="2844"/>
      <c r="OR46" s="2845"/>
      <c r="OS46" s="2842"/>
      <c r="OT46" s="2842"/>
      <c r="OU46" s="2843"/>
      <c r="OV46" s="2843"/>
      <c r="OW46" s="2844"/>
      <c r="OX46" s="2845"/>
      <c r="OY46" s="2842"/>
      <c r="OZ46" s="2842"/>
      <c r="PA46" s="2843"/>
      <c r="PB46" s="2843"/>
      <c r="PC46" s="2844"/>
      <c r="PD46" s="2845"/>
      <c r="PE46" s="2842"/>
      <c r="PF46" s="2842"/>
      <c r="PG46" s="2843"/>
      <c r="PH46" s="2843"/>
      <c r="PI46" s="2844"/>
      <c r="PJ46" s="2845"/>
      <c r="PK46" s="2842"/>
      <c r="PL46" s="2842"/>
      <c r="PM46" s="2843"/>
      <c r="PN46" s="2843"/>
      <c r="PO46" s="2844"/>
      <c r="PP46" s="2845"/>
      <c r="PQ46" s="2842"/>
      <c r="PR46" s="2842"/>
      <c r="PS46" s="2843"/>
      <c r="PT46" s="2843"/>
      <c r="PU46" s="2844"/>
      <c r="PV46" s="2845"/>
      <c r="PW46" s="2842"/>
      <c r="PX46" s="2842"/>
      <c r="PY46" s="2843"/>
      <c r="PZ46" s="2843"/>
      <c r="QA46" s="2844"/>
      <c r="QB46" s="2845"/>
      <c r="QC46" s="2842"/>
      <c r="QD46" s="2842"/>
      <c r="QE46" s="2843"/>
      <c r="QF46" s="2843"/>
      <c r="QG46" s="2844"/>
      <c r="QH46" s="2845"/>
      <c r="QI46" s="2842"/>
      <c r="QJ46" s="2842"/>
      <c r="QK46" s="2843"/>
      <c r="QL46" s="2843"/>
      <c r="QM46" s="2844"/>
      <c r="QN46" s="2845"/>
      <c r="QO46" s="2842"/>
      <c r="QP46" s="2842"/>
      <c r="QQ46" s="2843"/>
      <c r="QR46" s="2843"/>
      <c r="QS46" s="2844"/>
      <c r="QT46" s="2845"/>
      <c r="QU46" s="2842"/>
      <c r="QV46" s="2842"/>
      <c r="QW46" s="2843"/>
      <c r="QX46" s="2843"/>
      <c r="QY46" s="2844"/>
      <c r="QZ46" s="2845"/>
      <c r="RA46" s="2842"/>
      <c r="RB46" s="2842"/>
      <c r="RC46" s="2843"/>
      <c r="RD46" s="2843"/>
      <c r="RE46" s="2844"/>
      <c r="RF46" s="2845"/>
      <c r="RG46" s="2842"/>
      <c r="RH46" s="2842"/>
      <c r="RI46" s="2843"/>
      <c r="RJ46" s="2843"/>
      <c r="RK46" s="2844"/>
      <c r="RL46" s="2845"/>
      <c r="RM46" s="2842"/>
      <c r="RN46" s="2842"/>
      <c r="RO46" s="2843"/>
      <c r="RP46" s="2843"/>
      <c r="RQ46" s="2844"/>
      <c r="RR46" s="2845"/>
      <c r="RS46" s="2842"/>
      <c r="RT46" s="2842"/>
      <c r="RU46" s="2843"/>
      <c r="RV46" s="2843"/>
      <c r="RW46" s="2844"/>
      <c r="RX46" s="2845"/>
      <c r="RY46" s="2842"/>
      <c r="RZ46" s="2842"/>
      <c r="SA46" s="2843"/>
      <c r="SB46" s="2843"/>
      <c r="SC46" s="2844"/>
      <c r="SD46" s="2845"/>
      <c r="SE46" s="2842"/>
      <c r="SF46" s="2842"/>
      <c r="SG46" s="2843"/>
      <c r="SH46" s="2843"/>
      <c r="SI46" s="2844"/>
      <c r="SJ46" s="2845"/>
      <c r="SK46" s="2842"/>
      <c r="SL46" s="2842"/>
      <c r="SM46" s="2843"/>
      <c r="SN46" s="2843"/>
      <c r="SO46" s="2844"/>
      <c r="SP46" s="2845"/>
      <c r="SQ46" s="2842"/>
      <c r="SR46" s="2842"/>
      <c r="SS46" s="2843"/>
      <c r="ST46" s="2843"/>
      <c r="SU46" s="2844"/>
      <c r="SV46" s="2845"/>
      <c r="SW46" s="2842"/>
      <c r="SX46" s="2842"/>
      <c r="SY46" s="2843"/>
      <c r="SZ46" s="2843"/>
      <c r="TA46" s="2844"/>
      <c r="TB46" s="2845"/>
      <c r="TC46" s="2842"/>
      <c r="TD46" s="2842"/>
      <c r="TE46" s="2843"/>
      <c r="TF46" s="2843"/>
      <c r="TG46" s="2844"/>
      <c r="TH46" s="2845"/>
      <c r="TI46" s="2842"/>
      <c r="TJ46" s="2842"/>
      <c r="TK46" s="2843"/>
      <c r="TL46" s="2843"/>
      <c r="TM46" s="2844"/>
      <c r="TN46" s="2845"/>
      <c r="TO46" s="2842"/>
      <c r="TP46" s="2842"/>
      <c r="TQ46" s="2843"/>
      <c r="TR46" s="2843"/>
      <c r="TS46" s="2844"/>
      <c r="TT46" s="2845"/>
      <c r="TU46" s="2842"/>
      <c r="TV46" s="2842"/>
      <c r="TW46" s="2843"/>
      <c r="TX46" s="2843"/>
      <c r="TY46" s="2844"/>
      <c r="TZ46" s="2845"/>
      <c r="UA46" s="2842"/>
      <c r="UB46" s="2842"/>
      <c r="UC46" s="2843"/>
      <c r="UD46" s="2843"/>
      <c r="UE46" s="2844"/>
      <c r="UF46" s="2845"/>
      <c r="UG46" s="2842"/>
      <c r="UH46" s="2842"/>
      <c r="UI46" s="2843"/>
      <c r="UJ46" s="2843"/>
      <c r="UK46" s="2844"/>
      <c r="UL46" s="2845"/>
      <c r="UM46" s="2842"/>
      <c r="UN46" s="2842"/>
      <c r="UO46" s="2843"/>
      <c r="UP46" s="2843"/>
      <c r="UQ46" s="2844"/>
      <c r="UR46" s="2845"/>
      <c r="US46" s="2842"/>
      <c r="UT46" s="2842"/>
      <c r="UU46" s="2843"/>
      <c r="UV46" s="2843"/>
      <c r="UW46" s="2844"/>
      <c r="UX46" s="2845"/>
      <c r="UY46" s="2842"/>
      <c r="UZ46" s="2842"/>
      <c r="VA46" s="2843"/>
      <c r="VB46" s="2843"/>
      <c r="VC46" s="2844"/>
      <c r="VD46" s="2845"/>
      <c r="VE46" s="2842"/>
      <c r="VF46" s="2842"/>
      <c r="VG46" s="2843"/>
      <c r="VH46" s="2843"/>
      <c r="VI46" s="2844"/>
      <c r="VJ46" s="2845"/>
      <c r="VK46" s="2842"/>
      <c r="VL46" s="2842"/>
      <c r="VM46" s="2843"/>
      <c r="VN46" s="2843"/>
      <c r="VO46" s="2844"/>
      <c r="VP46" s="2845"/>
      <c r="VQ46" s="2842"/>
      <c r="VR46" s="2842"/>
      <c r="VS46" s="2843"/>
      <c r="VT46" s="2843"/>
      <c r="VU46" s="2844"/>
      <c r="VV46" s="2845"/>
      <c r="VW46" s="2842"/>
      <c r="VX46" s="2842"/>
      <c r="VY46" s="2843"/>
      <c r="VZ46" s="2843"/>
      <c r="WA46" s="2844"/>
      <c r="WB46" s="2845"/>
      <c r="WC46" s="2842"/>
      <c r="WD46" s="2842"/>
      <c r="WE46" s="2843"/>
      <c r="WF46" s="2843"/>
      <c r="WG46" s="2844"/>
      <c r="WH46" s="2845"/>
      <c r="WI46" s="2842"/>
      <c r="WJ46" s="2842"/>
      <c r="WK46" s="2843"/>
      <c r="WL46" s="2843"/>
      <c r="WM46" s="2844"/>
      <c r="WN46" s="2845"/>
      <c r="WO46" s="2842"/>
      <c r="WP46" s="2842"/>
      <c r="WQ46" s="2843"/>
      <c r="WR46" s="2843"/>
      <c r="WS46" s="2844"/>
      <c r="WT46" s="2845"/>
      <c r="WU46" s="2842"/>
      <c r="WV46" s="2842"/>
      <c r="WW46" s="2843"/>
      <c r="WX46" s="2843"/>
      <c r="WY46" s="2844"/>
      <c r="WZ46" s="2845"/>
      <c r="XA46" s="2842"/>
      <c r="XB46" s="2842"/>
      <c r="XC46" s="2843"/>
      <c r="XD46" s="2843"/>
      <c r="XE46" s="2844"/>
      <c r="XF46" s="2845"/>
      <c r="XG46" s="2842"/>
      <c r="XH46" s="2842"/>
      <c r="XI46" s="2843"/>
      <c r="XJ46" s="2843"/>
      <c r="XK46" s="2844"/>
      <c r="XL46" s="2845"/>
      <c r="XM46" s="2842"/>
      <c r="XN46" s="2842"/>
      <c r="XO46" s="2843"/>
      <c r="XP46" s="2843"/>
      <c r="XQ46" s="2844"/>
      <c r="XR46" s="2845"/>
      <c r="XS46" s="2842"/>
      <c r="XT46" s="2842"/>
      <c r="XU46" s="2843"/>
      <c r="XV46" s="2843"/>
      <c r="XW46" s="2844"/>
      <c r="XX46" s="2845"/>
      <c r="XY46" s="2842"/>
      <c r="XZ46" s="2842"/>
      <c r="YA46" s="2843"/>
      <c r="YB46" s="2843"/>
      <c r="YC46" s="2844"/>
      <c r="YD46" s="2845"/>
      <c r="YE46" s="2842"/>
      <c r="YF46" s="2842"/>
      <c r="YG46" s="2843"/>
      <c r="YH46" s="2843"/>
      <c r="YI46" s="2844"/>
      <c r="YJ46" s="2845"/>
      <c r="YK46" s="2842"/>
      <c r="YL46" s="2842"/>
      <c r="YM46" s="2843"/>
      <c r="YN46" s="2843"/>
      <c r="YO46" s="2844"/>
      <c r="YP46" s="2845"/>
      <c r="YQ46" s="2842"/>
      <c r="YR46" s="2842"/>
      <c r="YS46" s="2843"/>
      <c r="YT46" s="2843"/>
      <c r="YU46" s="2844"/>
      <c r="YV46" s="2845"/>
      <c r="YW46" s="2842"/>
      <c r="YX46" s="2842"/>
      <c r="YY46" s="2843"/>
      <c r="YZ46" s="2843"/>
      <c r="ZA46" s="2844"/>
      <c r="ZB46" s="2845"/>
      <c r="ZC46" s="2842"/>
      <c r="ZD46" s="2842"/>
      <c r="ZE46" s="2843"/>
      <c r="ZF46" s="2843"/>
      <c r="ZG46" s="2844"/>
      <c r="ZH46" s="2845"/>
      <c r="ZI46" s="2842"/>
      <c r="ZJ46" s="2842"/>
      <c r="ZK46" s="2843"/>
      <c r="ZL46" s="2843"/>
      <c r="ZM46" s="2844"/>
      <c r="ZN46" s="2845"/>
      <c r="ZO46" s="2842"/>
      <c r="ZP46" s="2842"/>
      <c r="ZQ46" s="2843"/>
      <c r="ZR46" s="2843"/>
      <c r="ZS46" s="2844"/>
      <c r="ZT46" s="2845"/>
      <c r="ZU46" s="2842"/>
      <c r="ZV46" s="2842"/>
      <c r="ZW46" s="2843"/>
      <c r="ZX46" s="2843"/>
      <c r="ZY46" s="2844"/>
      <c r="ZZ46" s="2845"/>
      <c r="AAA46" s="2842"/>
      <c r="AAB46" s="2842"/>
      <c r="AAC46" s="2843"/>
      <c r="AAD46" s="2843"/>
      <c r="AAE46" s="2844"/>
      <c r="AAF46" s="2845"/>
      <c r="AAG46" s="2842"/>
      <c r="AAH46" s="2842"/>
      <c r="AAI46" s="2843"/>
      <c r="AAJ46" s="2843"/>
      <c r="AAK46" s="2844"/>
      <c r="AAL46" s="2845"/>
      <c r="AAM46" s="2842"/>
      <c r="AAN46" s="2842"/>
      <c r="AAO46" s="2843"/>
      <c r="AAP46" s="2843"/>
      <c r="AAQ46" s="2844"/>
      <c r="AAR46" s="2845"/>
      <c r="AAS46" s="2842"/>
      <c r="AAT46" s="2842"/>
      <c r="AAU46" s="2843"/>
      <c r="AAV46" s="2843"/>
      <c r="AAW46" s="2844"/>
      <c r="AAX46" s="2845"/>
      <c r="AAY46" s="2842"/>
      <c r="AAZ46" s="2842"/>
      <c r="ABA46" s="2843"/>
      <c r="ABB46" s="2843"/>
      <c r="ABC46" s="2844"/>
      <c r="ABD46" s="2845"/>
      <c r="ABE46" s="2842"/>
      <c r="ABF46" s="2842"/>
      <c r="ABG46" s="2843"/>
      <c r="ABH46" s="2843"/>
      <c r="ABI46" s="2844"/>
      <c r="ABJ46" s="2845"/>
      <c r="ABK46" s="2842"/>
      <c r="ABL46" s="2842"/>
      <c r="ABM46" s="2843"/>
      <c r="ABN46" s="2843"/>
      <c r="ABO46" s="2844"/>
      <c r="ABP46" s="2845"/>
      <c r="ABQ46" s="2842"/>
      <c r="ABR46" s="2842"/>
      <c r="ABS46" s="2843"/>
      <c r="ABT46" s="2843"/>
      <c r="ABU46" s="2844"/>
      <c r="ABV46" s="2845"/>
      <c r="ABW46" s="2842"/>
      <c r="ABX46" s="2842"/>
      <c r="ABY46" s="2843"/>
      <c r="ABZ46" s="2843"/>
      <c r="ACA46" s="2844"/>
      <c r="ACB46" s="2845"/>
      <c r="ACC46" s="2842"/>
      <c r="ACD46" s="2842"/>
      <c r="ACE46" s="2843"/>
      <c r="ACF46" s="2843"/>
      <c r="ACG46" s="2844"/>
      <c r="ACH46" s="2845"/>
      <c r="ACI46" s="2842"/>
      <c r="ACJ46" s="2842"/>
      <c r="ACK46" s="2843"/>
      <c r="ACL46" s="2843"/>
      <c r="ACM46" s="2844"/>
      <c r="ACN46" s="2845"/>
      <c r="ACO46" s="2842"/>
      <c r="ACP46" s="2842"/>
      <c r="ACQ46" s="2843"/>
      <c r="ACR46" s="2843"/>
      <c r="ACS46" s="2844"/>
      <c r="ACT46" s="2845"/>
      <c r="ACU46" s="2842"/>
      <c r="ACV46" s="2842"/>
      <c r="ACW46" s="2843"/>
      <c r="ACX46" s="2843"/>
      <c r="ACY46" s="2844"/>
      <c r="ACZ46" s="2845"/>
      <c r="ADA46" s="2842"/>
      <c r="ADB46" s="2842"/>
      <c r="ADC46" s="2843"/>
      <c r="ADD46" s="2843"/>
      <c r="ADE46" s="2844"/>
      <c r="ADF46" s="2845"/>
      <c r="ADG46" s="2842"/>
      <c r="ADH46" s="2842"/>
      <c r="ADI46" s="2843"/>
      <c r="ADJ46" s="2843"/>
      <c r="ADK46" s="2844"/>
      <c r="ADL46" s="2845"/>
      <c r="ADM46" s="2842"/>
      <c r="ADN46" s="2842"/>
      <c r="ADO46" s="2843"/>
      <c r="ADP46" s="2843"/>
      <c r="ADQ46" s="2844"/>
      <c r="ADR46" s="2845"/>
      <c r="ADS46" s="2842"/>
      <c r="ADT46" s="2842"/>
      <c r="ADU46" s="2843"/>
      <c r="ADV46" s="2843"/>
      <c r="ADW46" s="2844"/>
      <c r="ADX46" s="2845"/>
      <c r="ADY46" s="2842"/>
      <c r="ADZ46" s="2842"/>
      <c r="AEA46" s="2843"/>
      <c r="AEB46" s="2843"/>
      <c r="AEC46" s="2844"/>
      <c r="AED46" s="2845"/>
      <c r="AEE46" s="2842"/>
      <c r="AEF46" s="2842"/>
      <c r="AEG46" s="2843"/>
      <c r="AEH46" s="2843"/>
      <c r="AEI46" s="2844"/>
      <c r="AEJ46" s="2845"/>
      <c r="AEK46" s="2842"/>
      <c r="AEL46" s="2842"/>
      <c r="AEM46" s="2843"/>
      <c r="AEN46" s="2843"/>
      <c r="AEO46" s="2844"/>
      <c r="AEP46" s="2845"/>
      <c r="AEQ46" s="2842"/>
      <c r="AER46" s="2842"/>
      <c r="AES46" s="2843"/>
      <c r="AET46" s="2843"/>
      <c r="AEU46" s="2844"/>
      <c r="AEV46" s="2845"/>
      <c r="AEW46" s="2842"/>
      <c r="AEX46" s="2842"/>
      <c r="AEY46" s="2843"/>
      <c r="AEZ46" s="2843"/>
      <c r="AFA46" s="2844"/>
      <c r="AFB46" s="2845"/>
      <c r="AFC46" s="2842"/>
      <c r="AFD46" s="2842"/>
      <c r="AFE46" s="2843"/>
      <c r="AFF46" s="2843"/>
      <c r="AFG46" s="2844"/>
      <c r="AFH46" s="2845"/>
      <c r="AFI46" s="2842"/>
      <c r="AFJ46" s="2842"/>
      <c r="AFK46" s="2843"/>
      <c r="AFL46" s="2843"/>
      <c r="AFM46" s="2844"/>
      <c r="AFN46" s="2845"/>
      <c r="AFO46" s="2842"/>
      <c r="AFP46" s="2842"/>
      <c r="AFQ46" s="2843"/>
      <c r="AFR46" s="2843"/>
      <c r="AFS46" s="2844"/>
      <c r="AFT46" s="2845"/>
      <c r="AFU46" s="2842"/>
      <c r="AFV46" s="2842"/>
      <c r="AFW46" s="2843"/>
      <c r="AFX46" s="2843"/>
      <c r="AFY46" s="2844"/>
      <c r="AFZ46" s="2845"/>
      <c r="AGA46" s="2842"/>
      <c r="AGB46" s="2842"/>
      <c r="AGC46" s="2843"/>
      <c r="AGD46" s="2843"/>
      <c r="AGE46" s="2844"/>
      <c r="AGF46" s="2845"/>
      <c r="AGG46" s="2842"/>
      <c r="AGH46" s="2842"/>
      <c r="AGI46" s="2843"/>
      <c r="AGJ46" s="2843"/>
      <c r="AGK46" s="2844"/>
      <c r="AGL46" s="2845"/>
      <c r="AGM46" s="2842"/>
      <c r="AGN46" s="2842"/>
      <c r="AGO46" s="2843"/>
      <c r="AGP46" s="2843"/>
      <c r="AGQ46" s="2844"/>
      <c r="AGR46" s="2845"/>
      <c r="AGS46" s="2842"/>
      <c r="AGT46" s="2842"/>
      <c r="AGU46" s="2843"/>
      <c r="AGV46" s="2843"/>
      <c r="AGW46" s="2844"/>
      <c r="AGX46" s="2845"/>
      <c r="AGY46" s="2842"/>
      <c r="AGZ46" s="2842"/>
      <c r="AHA46" s="2843"/>
      <c r="AHB46" s="2843"/>
      <c r="AHC46" s="2844"/>
      <c r="AHD46" s="2845"/>
      <c r="AHE46" s="2842"/>
      <c r="AHF46" s="2842"/>
      <c r="AHG46" s="2843"/>
      <c r="AHH46" s="2843"/>
      <c r="AHI46" s="2844"/>
      <c r="AHJ46" s="2845"/>
      <c r="AHK46" s="2842"/>
      <c r="AHL46" s="2842"/>
      <c r="AHM46" s="2843"/>
      <c r="AHN46" s="2843"/>
      <c r="AHO46" s="2844"/>
      <c r="AHP46" s="2845"/>
      <c r="AHQ46" s="2842"/>
      <c r="AHR46" s="2842"/>
      <c r="AHS46" s="2843"/>
      <c r="AHT46" s="2843"/>
      <c r="AHU46" s="2844"/>
      <c r="AHV46" s="2845"/>
      <c r="AHW46" s="2842"/>
      <c r="AHX46" s="2842"/>
      <c r="AHY46" s="2843"/>
      <c r="AHZ46" s="2843"/>
      <c r="AIA46" s="2844"/>
      <c r="AIB46" s="2845"/>
      <c r="AIC46" s="2842"/>
      <c r="AID46" s="2842"/>
      <c r="AIE46" s="2843"/>
      <c r="AIF46" s="2843"/>
      <c r="AIG46" s="2844"/>
      <c r="AIH46" s="2845"/>
      <c r="AII46" s="2842"/>
      <c r="AIJ46" s="2842"/>
      <c r="AIK46" s="2843"/>
      <c r="AIL46" s="2843"/>
      <c r="AIM46" s="2844"/>
      <c r="AIN46" s="2845"/>
      <c r="AIO46" s="2842"/>
      <c r="AIP46" s="2842"/>
      <c r="AIQ46" s="2843"/>
      <c r="AIR46" s="2843"/>
      <c r="AIS46" s="2844"/>
      <c r="AIT46" s="2845"/>
      <c r="AIU46" s="2842"/>
      <c r="AIV46" s="2842"/>
      <c r="AIW46" s="2843"/>
      <c r="AIX46" s="2843"/>
      <c r="AIY46" s="2844"/>
      <c r="AIZ46" s="2845"/>
      <c r="AJA46" s="2842"/>
      <c r="AJB46" s="2842"/>
      <c r="AJC46" s="2843"/>
      <c r="AJD46" s="2843"/>
      <c r="AJE46" s="2844"/>
      <c r="AJF46" s="2845"/>
      <c r="AJG46" s="2842"/>
      <c r="AJH46" s="2842"/>
      <c r="AJI46" s="2843"/>
      <c r="AJJ46" s="2843"/>
      <c r="AJK46" s="2844"/>
      <c r="AJL46" s="2845"/>
      <c r="AJM46" s="2842"/>
      <c r="AJN46" s="2842"/>
      <c r="AJO46" s="2843"/>
      <c r="AJP46" s="2843"/>
      <c r="AJQ46" s="2844"/>
      <c r="AJR46" s="2845"/>
      <c r="AJS46" s="2842"/>
      <c r="AJT46" s="2842"/>
      <c r="AJU46" s="2843"/>
      <c r="AJV46" s="2843"/>
      <c r="AJW46" s="2844"/>
      <c r="AJX46" s="2845"/>
      <c r="AJY46" s="2842"/>
      <c r="AJZ46" s="2842"/>
      <c r="AKA46" s="2843"/>
      <c r="AKB46" s="2843"/>
      <c r="AKC46" s="2844"/>
      <c r="AKD46" s="2845"/>
      <c r="AKE46" s="2842"/>
      <c r="AKF46" s="2842"/>
      <c r="AKG46" s="2843"/>
      <c r="AKH46" s="2843"/>
      <c r="AKI46" s="2844"/>
      <c r="AKJ46" s="2845"/>
      <c r="AKK46" s="2842"/>
      <c r="AKL46" s="2842"/>
      <c r="AKM46" s="2843"/>
      <c r="AKN46" s="2843"/>
      <c r="AKO46" s="2844"/>
      <c r="AKP46" s="2845"/>
      <c r="AKQ46" s="2842"/>
      <c r="AKR46" s="2842"/>
      <c r="AKS46" s="2843"/>
      <c r="AKT46" s="2843"/>
      <c r="AKU46" s="2844"/>
      <c r="AKV46" s="2845"/>
      <c r="AKW46" s="2842"/>
      <c r="AKX46" s="2842"/>
      <c r="AKY46" s="2843"/>
      <c r="AKZ46" s="2843"/>
      <c r="ALA46" s="2844"/>
      <c r="ALB46" s="2845"/>
      <c r="ALC46" s="2842"/>
      <c r="ALD46" s="2842"/>
      <c r="ALE46" s="2843"/>
      <c r="ALF46" s="2843"/>
      <c r="ALG46" s="2844"/>
      <c r="ALH46" s="2845"/>
      <c r="ALI46" s="2842"/>
      <c r="ALJ46" s="2842"/>
      <c r="ALK46" s="2843"/>
      <c r="ALL46" s="2843"/>
      <c r="ALM46" s="2844"/>
      <c r="ALN46" s="2845"/>
      <c r="ALO46" s="2842"/>
      <c r="ALP46" s="2842"/>
      <c r="ALQ46" s="2843"/>
      <c r="ALR46" s="2843"/>
      <c r="ALS46" s="2844"/>
      <c r="ALT46" s="2845"/>
      <c r="ALU46" s="2842"/>
      <c r="ALV46" s="2842"/>
      <c r="ALW46" s="2843"/>
      <c r="ALX46" s="2843"/>
      <c r="ALY46" s="2844"/>
      <c r="ALZ46" s="2845"/>
      <c r="AMA46" s="2842"/>
      <c r="AMB46" s="2842"/>
      <c r="AMC46" s="2843"/>
      <c r="AMD46" s="2843"/>
      <c r="AME46" s="2844"/>
      <c r="AMF46" s="2845"/>
      <c r="AMG46" s="2842"/>
      <c r="AMH46" s="2842"/>
      <c r="AMI46" s="2843"/>
      <c r="AMJ46" s="2843"/>
      <c r="AMK46" s="2844"/>
      <c r="AML46" s="2845"/>
      <c r="AMM46" s="2842"/>
      <c r="AMN46" s="2842"/>
      <c r="AMO46" s="2843"/>
      <c r="AMP46" s="2843"/>
      <c r="AMQ46" s="2844"/>
      <c r="AMR46" s="2845"/>
      <c r="AMS46" s="2842"/>
      <c r="AMT46" s="2842"/>
      <c r="AMU46" s="2843"/>
      <c r="AMV46" s="2843"/>
      <c r="AMW46" s="2844"/>
      <c r="AMX46" s="2845"/>
      <c r="AMY46" s="2842"/>
      <c r="AMZ46" s="2842"/>
      <c r="ANA46" s="2843"/>
      <c r="ANB46" s="2843"/>
      <c r="ANC46" s="2844"/>
      <c r="AND46" s="2845"/>
      <c r="ANE46" s="2842"/>
      <c r="ANF46" s="2842"/>
      <c r="ANG46" s="2843"/>
      <c r="ANH46" s="2843"/>
      <c r="ANI46" s="2844"/>
      <c r="ANJ46" s="2845"/>
      <c r="ANK46" s="2842"/>
      <c r="ANL46" s="2842"/>
      <c r="ANM46" s="2843"/>
      <c r="ANN46" s="2843"/>
      <c r="ANO46" s="2844"/>
      <c r="ANP46" s="2845"/>
      <c r="ANQ46" s="2842"/>
      <c r="ANR46" s="2842"/>
      <c r="ANS46" s="2843"/>
      <c r="ANT46" s="2843"/>
      <c r="ANU46" s="2844"/>
      <c r="ANV46" s="2845"/>
      <c r="ANW46" s="2842"/>
      <c r="ANX46" s="2842"/>
      <c r="ANY46" s="2843"/>
      <c r="ANZ46" s="2843"/>
      <c r="AOA46" s="2844"/>
      <c r="AOB46" s="2845"/>
      <c r="AOC46" s="2842"/>
      <c r="AOD46" s="2842"/>
      <c r="AOE46" s="2843"/>
      <c r="AOF46" s="2843"/>
      <c r="AOG46" s="2844"/>
      <c r="AOH46" s="2845"/>
      <c r="AOI46" s="2842"/>
      <c r="AOJ46" s="2842"/>
      <c r="AOK46" s="2843"/>
      <c r="AOL46" s="2843"/>
      <c r="AOM46" s="2844"/>
      <c r="AON46" s="2845"/>
      <c r="AOO46" s="2842"/>
      <c r="AOP46" s="2842"/>
      <c r="AOQ46" s="2843"/>
      <c r="AOR46" s="2843"/>
      <c r="AOS46" s="2844"/>
      <c r="AOT46" s="2845"/>
      <c r="AOU46" s="2842"/>
      <c r="AOV46" s="2842"/>
      <c r="AOW46" s="2843"/>
      <c r="AOX46" s="2843"/>
      <c r="AOY46" s="2844"/>
      <c r="AOZ46" s="2845"/>
      <c r="APA46" s="2842"/>
      <c r="APB46" s="2842"/>
      <c r="APC46" s="2843"/>
      <c r="APD46" s="2843"/>
      <c r="APE46" s="2844"/>
      <c r="APF46" s="2845"/>
      <c r="APG46" s="2842"/>
      <c r="APH46" s="2842"/>
      <c r="API46" s="2843"/>
      <c r="APJ46" s="2843"/>
      <c r="APK46" s="2844"/>
      <c r="APL46" s="2845"/>
      <c r="APM46" s="2842"/>
      <c r="APN46" s="2842"/>
      <c r="APO46" s="2843"/>
      <c r="APP46" s="2843"/>
      <c r="APQ46" s="2844"/>
      <c r="APR46" s="2845"/>
      <c r="APS46" s="2842"/>
      <c r="APT46" s="2842"/>
      <c r="APU46" s="2843"/>
      <c r="APV46" s="2843"/>
      <c r="APW46" s="2844"/>
      <c r="APX46" s="2845"/>
      <c r="APY46" s="2842"/>
      <c r="APZ46" s="2842"/>
      <c r="AQA46" s="2843"/>
      <c r="AQB46" s="2843"/>
      <c r="AQC46" s="2844"/>
      <c r="AQD46" s="2845"/>
      <c r="AQE46" s="2842"/>
      <c r="AQF46" s="2842"/>
      <c r="AQG46" s="2843"/>
      <c r="AQH46" s="2843"/>
      <c r="AQI46" s="2844"/>
      <c r="AQJ46" s="2845"/>
      <c r="AQK46" s="2842"/>
      <c r="AQL46" s="2842"/>
      <c r="AQM46" s="2843"/>
      <c r="AQN46" s="2843"/>
      <c r="AQO46" s="2844"/>
      <c r="AQP46" s="2845"/>
      <c r="AQQ46" s="2842"/>
      <c r="AQR46" s="2842"/>
      <c r="AQS46" s="2843"/>
      <c r="AQT46" s="2843"/>
      <c r="AQU46" s="2844"/>
      <c r="AQV46" s="2845"/>
      <c r="AQW46" s="2842"/>
      <c r="AQX46" s="2842"/>
      <c r="AQY46" s="2843"/>
      <c r="AQZ46" s="2843"/>
      <c r="ARA46" s="2844"/>
      <c r="ARB46" s="2845"/>
      <c r="ARC46" s="2842"/>
      <c r="ARD46" s="2842"/>
      <c r="ARE46" s="2843"/>
      <c r="ARF46" s="2843"/>
      <c r="ARG46" s="2844"/>
      <c r="ARH46" s="2845"/>
      <c r="ARI46" s="2842"/>
      <c r="ARJ46" s="2842"/>
      <c r="ARK46" s="2843"/>
      <c r="ARL46" s="2843"/>
      <c r="ARM46" s="2844"/>
      <c r="ARN46" s="2845"/>
      <c r="ARO46" s="2842"/>
      <c r="ARP46" s="2842"/>
      <c r="ARQ46" s="2843"/>
      <c r="ARR46" s="2843"/>
      <c r="ARS46" s="2844"/>
      <c r="ART46" s="2845"/>
      <c r="ARU46" s="2842"/>
      <c r="ARV46" s="2842"/>
      <c r="ARW46" s="2843"/>
      <c r="ARX46" s="2843"/>
      <c r="ARY46" s="2844"/>
      <c r="ARZ46" s="2845"/>
      <c r="ASA46" s="2842"/>
      <c r="ASB46" s="2842"/>
      <c r="ASC46" s="2843"/>
      <c r="ASD46" s="2843"/>
      <c r="ASE46" s="2844"/>
      <c r="ASF46" s="2845"/>
      <c r="ASG46" s="2842"/>
      <c r="ASH46" s="2842"/>
      <c r="ASI46" s="2843"/>
      <c r="ASJ46" s="2843"/>
      <c r="ASK46" s="2844"/>
      <c r="ASL46" s="2845"/>
      <c r="ASM46" s="2842"/>
      <c r="ASN46" s="2842"/>
      <c r="ASO46" s="2843"/>
      <c r="ASP46" s="2843"/>
      <c r="ASQ46" s="2844"/>
      <c r="ASR46" s="2845"/>
      <c r="ASS46" s="2842"/>
      <c r="AST46" s="2842"/>
      <c r="ASU46" s="2843"/>
      <c r="ASV46" s="2843"/>
      <c r="ASW46" s="2844"/>
      <c r="ASX46" s="2845"/>
      <c r="ASY46" s="2842"/>
      <c r="ASZ46" s="2842"/>
      <c r="ATA46" s="2843"/>
      <c r="ATB46" s="2843"/>
      <c r="ATC46" s="2844"/>
      <c r="ATD46" s="2845"/>
      <c r="ATE46" s="2842"/>
      <c r="ATF46" s="2842"/>
      <c r="ATG46" s="2843"/>
      <c r="ATH46" s="2843"/>
      <c r="ATI46" s="2844"/>
      <c r="ATJ46" s="2845"/>
      <c r="ATK46" s="2842"/>
      <c r="ATL46" s="2842"/>
      <c r="ATM46" s="2843"/>
      <c r="ATN46" s="2843"/>
      <c r="ATO46" s="2844"/>
      <c r="ATP46" s="2845"/>
      <c r="ATQ46" s="2842"/>
      <c r="ATR46" s="2842"/>
      <c r="ATS46" s="2843"/>
      <c r="ATT46" s="2843"/>
      <c r="ATU46" s="2844"/>
      <c r="ATV46" s="2845"/>
      <c r="ATW46" s="2842"/>
      <c r="ATX46" s="2842"/>
      <c r="ATY46" s="2843"/>
      <c r="ATZ46" s="2843"/>
      <c r="AUA46" s="2844"/>
      <c r="AUB46" s="2845"/>
      <c r="AUC46" s="2842"/>
      <c r="AUD46" s="2842"/>
      <c r="AUE46" s="2843"/>
      <c r="AUF46" s="2843"/>
      <c r="AUG46" s="2844"/>
      <c r="AUH46" s="2845"/>
      <c r="AUI46" s="2842"/>
      <c r="AUJ46" s="2842"/>
      <c r="AUK46" s="2843"/>
      <c r="AUL46" s="2843"/>
      <c r="AUM46" s="2844"/>
      <c r="AUN46" s="2845"/>
      <c r="AUO46" s="2842"/>
      <c r="AUP46" s="2842"/>
      <c r="AUQ46" s="2843"/>
      <c r="AUR46" s="2843"/>
      <c r="AUS46" s="2844"/>
      <c r="AUT46" s="2845"/>
      <c r="AUU46" s="2842"/>
      <c r="AUV46" s="2842"/>
      <c r="AUW46" s="2843"/>
      <c r="AUX46" s="2843"/>
      <c r="AUY46" s="2844"/>
      <c r="AUZ46" s="2845"/>
      <c r="AVA46" s="2842"/>
      <c r="AVB46" s="2842"/>
      <c r="AVC46" s="2843"/>
      <c r="AVD46" s="2843"/>
      <c r="AVE46" s="2844"/>
      <c r="AVF46" s="2845"/>
      <c r="AVG46" s="2842"/>
      <c r="AVH46" s="2842"/>
      <c r="AVI46" s="2843"/>
      <c r="AVJ46" s="2843"/>
      <c r="AVK46" s="2844"/>
      <c r="AVL46" s="2845"/>
      <c r="AVM46" s="2842"/>
      <c r="AVN46" s="2842"/>
      <c r="AVO46" s="2843"/>
      <c r="AVP46" s="2843"/>
      <c r="AVQ46" s="2844"/>
      <c r="AVR46" s="2845"/>
      <c r="AVS46" s="2842"/>
      <c r="AVT46" s="2842"/>
      <c r="AVU46" s="2843"/>
      <c r="AVV46" s="2843"/>
      <c r="AVW46" s="2844"/>
      <c r="AVX46" s="2845"/>
      <c r="AVY46" s="2842"/>
      <c r="AVZ46" s="2842"/>
      <c r="AWA46" s="2843"/>
      <c r="AWB46" s="2843"/>
      <c r="AWC46" s="2844"/>
      <c r="AWD46" s="2845"/>
      <c r="AWE46" s="2842"/>
      <c r="AWF46" s="2842"/>
      <c r="AWG46" s="2843"/>
      <c r="AWH46" s="2843"/>
      <c r="AWI46" s="2844"/>
      <c r="AWJ46" s="2845"/>
      <c r="AWK46" s="2842"/>
      <c r="AWL46" s="2842"/>
      <c r="AWM46" s="2843"/>
      <c r="AWN46" s="2843"/>
      <c r="AWO46" s="2844"/>
      <c r="AWP46" s="2845"/>
      <c r="AWQ46" s="2842"/>
      <c r="AWR46" s="2842"/>
      <c r="AWS46" s="2843"/>
      <c r="AWT46" s="2843"/>
      <c r="AWU46" s="2844"/>
      <c r="AWV46" s="2845"/>
      <c r="AWW46" s="2842"/>
      <c r="AWX46" s="2842"/>
      <c r="AWY46" s="2843"/>
      <c r="AWZ46" s="2843"/>
      <c r="AXA46" s="2844"/>
      <c r="AXB46" s="2845"/>
      <c r="AXC46" s="2842"/>
      <c r="AXD46" s="2842"/>
      <c r="AXE46" s="2843"/>
      <c r="AXF46" s="2843"/>
      <c r="AXG46" s="2844"/>
      <c r="AXH46" s="2845"/>
      <c r="AXI46" s="2842"/>
      <c r="AXJ46" s="2842"/>
      <c r="AXK46" s="2843"/>
      <c r="AXL46" s="2843"/>
      <c r="AXM46" s="2844"/>
      <c r="AXN46" s="2845"/>
      <c r="AXO46" s="2842"/>
      <c r="AXP46" s="2842"/>
      <c r="AXQ46" s="2843"/>
      <c r="AXR46" s="2843"/>
      <c r="AXS46" s="2844"/>
      <c r="AXT46" s="2845"/>
      <c r="AXU46" s="2842"/>
      <c r="AXV46" s="2842"/>
      <c r="AXW46" s="2843"/>
      <c r="AXX46" s="2843"/>
      <c r="AXY46" s="2844"/>
      <c r="AXZ46" s="2845"/>
      <c r="AYA46" s="2842"/>
      <c r="AYB46" s="2842"/>
      <c r="AYC46" s="2843"/>
      <c r="AYD46" s="2843"/>
      <c r="AYE46" s="2844"/>
      <c r="AYF46" s="2845"/>
      <c r="AYG46" s="2842"/>
      <c r="AYH46" s="2842"/>
      <c r="AYI46" s="2843"/>
      <c r="AYJ46" s="2843"/>
      <c r="AYK46" s="2844"/>
      <c r="AYL46" s="2845"/>
      <c r="AYM46" s="2842"/>
      <c r="AYN46" s="2842"/>
      <c r="AYO46" s="2843"/>
      <c r="AYP46" s="2843"/>
      <c r="AYQ46" s="2844"/>
      <c r="AYR46" s="2845"/>
      <c r="AYS46" s="2842"/>
      <c r="AYT46" s="2842"/>
      <c r="AYU46" s="2843"/>
      <c r="AYV46" s="2843"/>
      <c r="AYW46" s="2844"/>
      <c r="AYX46" s="2845"/>
      <c r="AYY46" s="2842"/>
      <c r="AYZ46" s="2842"/>
      <c r="AZA46" s="2843"/>
      <c r="AZB46" s="2843"/>
      <c r="AZC46" s="2844"/>
      <c r="AZD46" s="2845"/>
      <c r="AZE46" s="2842"/>
      <c r="AZF46" s="2842"/>
      <c r="AZG46" s="2843"/>
      <c r="AZH46" s="2843"/>
      <c r="AZI46" s="2844"/>
      <c r="AZJ46" s="2845"/>
      <c r="AZK46" s="2842"/>
      <c r="AZL46" s="2842"/>
      <c r="AZM46" s="2843"/>
      <c r="AZN46" s="2843"/>
      <c r="AZO46" s="2844"/>
      <c r="AZP46" s="2845"/>
      <c r="AZQ46" s="2842"/>
      <c r="AZR46" s="2842"/>
      <c r="AZS46" s="2843"/>
      <c r="AZT46" s="2843"/>
      <c r="AZU46" s="2844"/>
      <c r="AZV46" s="2845"/>
      <c r="AZW46" s="2842"/>
      <c r="AZX46" s="2842"/>
      <c r="AZY46" s="2843"/>
      <c r="AZZ46" s="2843"/>
      <c r="BAA46" s="2844"/>
      <c r="BAB46" s="2845"/>
      <c r="BAC46" s="2842"/>
      <c r="BAD46" s="2842"/>
      <c r="BAE46" s="2843"/>
      <c r="BAF46" s="2843"/>
      <c r="BAG46" s="2844"/>
      <c r="BAH46" s="2845"/>
      <c r="BAI46" s="2842"/>
      <c r="BAJ46" s="2842"/>
      <c r="BAK46" s="2843"/>
      <c r="BAL46" s="2843"/>
      <c r="BAM46" s="2844"/>
      <c r="BAN46" s="2845"/>
      <c r="BAO46" s="2842"/>
      <c r="BAP46" s="2842"/>
      <c r="BAQ46" s="2843"/>
      <c r="BAR46" s="2843"/>
      <c r="BAS46" s="2844"/>
      <c r="BAT46" s="2845"/>
      <c r="BAU46" s="2842"/>
      <c r="BAV46" s="2842"/>
      <c r="BAW46" s="2843"/>
      <c r="BAX46" s="2843"/>
      <c r="BAY46" s="2844"/>
      <c r="BAZ46" s="2845"/>
      <c r="BBA46" s="2842"/>
      <c r="BBB46" s="2842"/>
      <c r="BBC46" s="2843"/>
      <c r="BBD46" s="2843"/>
      <c r="BBE46" s="2844"/>
      <c r="BBF46" s="2845"/>
      <c r="BBG46" s="2842"/>
      <c r="BBH46" s="2842"/>
      <c r="BBI46" s="2843"/>
      <c r="BBJ46" s="2843"/>
      <c r="BBK46" s="2844"/>
      <c r="BBL46" s="2845"/>
      <c r="BBM46" s="2842"/>
      <c r="BBN46" s="2842"/>
      <c r="BBO46" s="2843"/>
      <c r="BBP46" s="2843"/>
      <c r="BBQ46" s="2844"/>
      <c r="BBR46" s="2845"/>
      <c r="BBS46" s="2842"/>
      <c r="BBT46" s="2842"/>
      <c r="BBU46" s="2843"/>
      <c r="BBV46" s="2843"/>
      <c r="BBW46" s="2844"/>
      <c r="BBX46" s="2845"/>
      <c r="BBY46" s="2842"/>
      <c r="BBZ46" s="2842"/>
      <c r="BCA46" s="2843"/>
      <c r="BCB46" s="2843"/>
      <c r="BCC46" s="2844"/>
      <c r="BCD46" s="2845"/>
      <c r="BCE46" s="2842"/>
      <c r="BCF46" s="2842"/>
      <c r="BCG46" s="2843"/>
      <c r="BCH46" s="2843"/>
      <c r="BCI46" s="2844"/>
      <c r="BCJ46" s="2845"/>
      <c r="BCK46" s="2842"/>
      <c r="BCL46" s="2842"/>
      <c r="BCM46" s="2843"/>
      <c r="BCN46" s="2843"/>
      <c r="BCO46" s="2844"/>
      <c r="BCP46" s="2845"/>
      <c r="BCQ46" s="2842"/>
      <c r="BCR46" s="2842"/>
      <c r="BCS46" s="2843"/>
      <c r="BCT46" s="2843"/>
      <c r="BCU46" s="2844"/>
      <c r="BCV46" s="2845"/>
      <c r="BCW46" s="2842"/>
      <c r="BCX46" s="2842"/>
      <c r="BCY46" s="2843"/>
      <c r="BCZ46" s="2843"/>
      <c r="BDA46" s="2844"/>
      <c r="BDB46" s="2845"/>
      <c r="BDC46" s="2842"/>
      <c r="BDD46" s="2842"/>
      <c r="BDE46" s="2843"/>
      <c r="BDF46" s="2843"/>
      <c r="BDG46" s="2844"/>
      <c r="BDH46" s="2845"/>
      <c r="BDI46" s="2842"/>
      <c r="BDJ46" s="2842"/>
      <c r="BDK46" s="2843"/>
      <c r="BDL46" s="2843"/>
      <c r="BDM46" s="2844"/>
      <c r="BDN46" s="2845"/>
      <c r="BDO46" s="2842"/>
      <c r="BDP46" s="2842"/>
      <c r="BDQ46" s="2843"/>
      <c r="BDR46" s="2843"/>
      <c r="BDS46" s="2844"/>
      <c r="BDT46" s="2845"/>
      <c r="BDU46" s="2842"/>
      <c r="BDV46" s="2842"/>
      <c r="BDW46" s="2843"/>
      <c r="BDX46" s="2843"/>
      <c r="BDY46" s="2844"/>
      <c r="BDZ46" s="2845"/>
      <c r="BEA46" s="2842"/>
      <c r="BEB46" s="2842"/>
      <c r="BEC46" s="2843"/>
      <c r="BED46" s="2843"/>
      <c r="BEE46" s="2844"/>
      <c r="BEF46" s="2845"/>
      <c r="BEG46" s="2842"/>
      <c r="BEH46" s="2842"/>
      <c r="BEI46" s="2843"/>
      <c r="BEJ46" s="2843"/>
      <c r="BEK46" s="2844"/>
      <c r="BEL46" s="2845"/>
      <c r="BEM46" s="2842"/>
      <c r="BEN46" s="2842"/>
      <c r="BEO46" s="2843"/>
      <c r="BEP46" s="2843"/>
      <c r="BEQ46" s="2844"/>
      <c r="BER46" s="2845"/>
      <c r="BES46" s="2842"/>
      <c r="BET46" s="2842"/>
      <c r="BEU46" s="2843"/>
      <c r="BEV46" s="2843"/>
      <c r="BEW46" s="2844"/>
      <c r="BEX46" s="2845"/>
      <c r="BEY46" s="2842"/>
      <c r="BEZ46" s="2842"/>
      <c r="BFA46" s="2843"/>
      <c r="BFB46" s="2843"/>
      <c r="BFC46" s="2844"/>
      <c r="BFD46" s="2845"/>
      <c r="BFE46" s="2842"/>
      <c r="BFF46" s="2842"/>
      <c r="BFG46" s="2843"/>
      <c r="BFH46" s="2843"/>
      <c r="BFI46" s="2844"/>
      <c r="BFJ46" s="2845"/>
      <c r="BFK46" s="2842"/>
      <c r="BFL46" s="2842"/>
      <c r="BFM46" s="2843"/>
      <c r="BFN46" s="2843"/>
      <c r="BFO46" s="2844"/>
      <c r="BFP46" s="2845"/>
      <c r="BFQ46" s="2842"/>
      <c r="BFR46" s="2842"/>
      <c r="BFS46" s="2843"/>
      <c r="BFT46" s="2843"/>
      <c r="BFU46" s="2844"/>
      <c r="BFV46" s="2845"/>
      <c r="BFW46" s="2842"/>
      <c r="BFX46" s="2842"/>
      <c r="BFY46" s="2843"/>
      <c r="BFZ46" s="2843"/>
      <c r="BGA46" s="2844"/>
      <c r="BGB46" s="2845"/>
      <c r="BGC46" s="2842"/>
      <c r="BGD46" s="2842"/>
      <c r="BGE46" s="2843"/>
      <c r="BGF46" s="2843"/>
      <c r="BGG46" s="2844"/>
      <c r="BGH46" s="2845"/>
      <c r="BGI46" s="2842"/>
      <c r="BGJ46" s="2842"/>
      <c r="BGK46" s="2843"/>
      <c r="BGL46" s="2843"/>
      <c r="BGM46" s="2844"/>
      <c r="BGN46" s="2845"/>
      <c r="BGO46" s="2842"/>
      <c r="BGP46" s="2842"/>
      <c r="BGQ46" s="2843"/>
      <c r="BGR46" s="2843"/>
      <c r="BGS46" s="2844"/>
      <c r="BGT46" s="2845"/>
      <c r="BGU46" s="2842"/>
      <c r="BGV46" s="2842"/>
      <c r="BGW46" s="2843"/>
      <c r="BGX46" s="2843"/>
      <c r="BGY46" s="2844"/>
      <c r="BGZ46" s="2845"/>
      <c r="BHA46" s="2842"/>
      <c r="BHB46" s="2842"/>
      <c r="BHC46" s="2843"/>
      <c r="BHD46" s="2843"/>
      <c r="BHE46" s="2844"/>
      <c r="BHF46" s="2845"/>
      <c r="BHG46" s="2842"/>
      <c r="BHH46" s="2842"/>
      <c r="BHI46" s="2843"/>
      <c r="BHJ46" s="2843"/>
      <c r="BHK46" s="2844"/>
      <c r="BHL46" s="2845"/>
      <c r="BHM46" s="2842"/>
      <c r="BHN46" s="2842"/>
      <c r="BHO46" s="2843"/>
      <c r="BHP46" s="2843"/>
      <c r="BHQ46" s="2844"/>
      <c r="BHR46" s="2845"/>
      <c r="BHS46" s="2842"/>
      <c r="BHT46" s="2842"/>
      <c r="BHU46" s="2843"/>
      <c r="BHV46" s="2843"/>
      <c r="BHW46" s="2844"/>
      <c r="BHX46" s="2845"/>
      <c r="BHY46" s="2842"/>
      <c r="BHZ46" s="2842"/>
      <c r="BIA46" s="2843"/>
      <c r="BIB46" s="2843"/>
      <c r="BIC46" s="2844"/>
      <c r="BID46" s="2845"/>
      <c r="BIE46" s="2842"/>
      <c r="BIF46" s="2842"/>
      <c r="BIG46" s="2843"/>
      <c r="BIH46" s="2843"/>
      <c r="BII46" s="2844"/>
      <c r="BIJ46" s="2845"/>
      <c r="BIK46" s="2842"/>
      <c r="BIL46" s="2842"/>
      <c r="BIM46" s="2843"/>
      <c r="BIN46" s="2843"/>
      <c r="BIO46" s="2844"/>
      <c r="BIP46" s="2845"/>
      <c r="BIQ46" s="2842"/>
      <c r="BIR46" s="2842"/>
      <c r="BIS46" s="2843"/>
      <c r="BIT46" s="2843"/>
      <c r="BIU46" s="2844"/>
      <c r="BIV46" s="2845"/>
      <c r="BIW46" s="2842"/>
      <c r="BIX46" s="2842"/>
      <c r="BIY46" s="2843"/>
      <c r="BIZ46" s="2843"/>
      <c r="BJA46" s="2844"/>
      <c r="BJB46" s="2845"/>
      <c r="BJC46" s="2842"/>
      <c r="BJD46" s="2842"/>
      <c r="BJE46" s="2843"/>
      <c r="BJF46" s="2843"/>
      <c r="BJG46" s="2844"/>
      <c r="BJH46" s="2845"/>
      <c r="BJI46" s="2842"/>
      <c r="BJJ46" s="2842"/>
      <c r="BJK46" s="2843"/>
      <c r="BJL46" s="2843"/>
      <c r="BJM46" s="2844"/>
      <c r="BJN46" s="2845"/>
      <c r="BJO46" s="2842"/>
      <c r="BJP46" s="2842"/>
      <c r="BJQ46" s="2843"/>
      <c r="BJR46" s="2843"/>
      <c r="BJS46" s="2844"/>
      <c r="BJT46" s="2845"/>
      <c r="BJU46" s="2842"/>
      <c r="BJV46" s="2842"/>
      <c r="BJW46" s="2843"/>
      <c r="BJX46" s="2843"/>
      <c r="BJY46" s="2844"/>
      <c r="BJZ46" s="2845"/>
      <c r="BKA46" s="2842"/>
      <c r="BKB46" s="2842"/>
      <c r="BKC46" s="2843"/>
      <c r="BKD46" s="2843"/>
      <c r="BKE46" s="2844"/>
      <c r="BKF46" s="2845"/>
      <c r="BKG46" s="2842"/>
      <c r="BKH46" s="2842"/>
      <c r="BKI46" s="2843"/>
      <c r="BKJ46" s="2843"/>
      <c r="BKK46" s="2844"/>
      <c r="BKL46" s="2845"/>
      <c r="BKM46" s="2842"/>
      <c r="BKN46" s="2842"/>
      <c r="BKO46" s="2843"/>
      <c r="BKP46" s="2843"/>
      <c r="BKQ46" s="2844"/>
      <c r="BKR46" s="2845"/>
      <c r="BKS46" s="2842"/>
      <c r="BKT46" s="2842"/>
      <c r="BKU46" s="2843"/>
      <c r="BKV46" s="2843"/>
      <c r="BKW46" s="2844"/>
      <c r="BKX46" s="2845"/>
      <c r="BKY46" s="2842"/>
      <c r="BKZ46" s="2842"/>
      <c r="BLA46" s="2843"/>
      <c r="BLB46" s="2843"/>
      <c r="BLC46" s="2844"/>
      <c r="BLD46" s="2845"/>
      <c r="BLE46" s="2842"/>
      <c r="BLF46" s="2842"/>
      <c r="BLG46" s="2843"/>
      <c r="BLH46" s="2843"/>
      <c r="BLI46" s="2844"/>
      <c r="BLJ46" s="2845"/>
      <c r="BLK46" s="2842"/>
      <c r="BLL46" s="2842"/>
      <c r="BLM46" s="2843"/>
      <c r="BLN46" s="2843"/>
      <c r="BLO46" s="2844"/>
      <c r="BLP46" s="2845"/>
      <c r="BLQ46" s="2842"/>
      <c r="BLR46" s="2842"/>
      <c r="BLS46" s="2843"/>
      <c r="BLT46" s="2843"/>
      <c r="BLU46" s="2844"/>
      <c r="BLV46" s="2845"/>
      <c r="BLW46" s="2842"/>
      <c r="BLX46" s="2842"/>
      <c r="BLY46" s="2843"/>
      <c r="BLZ46" s="2843"/>
      <c r="BMA46" s="2844"/>
      <c r="BMB46" s="2845"/>
      <c r="BMC46" s="2842"/>
      <c r="BMD46" s="2842"/>
      <c r="BME46" s="2843"/>
      <c r="BMF46" s="2843"/>
      <c r="BMG46" s="2844"/>
      <c r="BMH46" s="2845"/>
      <c r="BMI46" s="2842"/>
      <c r="BMJ46" s="2842"/>
      <c r="BMK46" s="2843"/>
      <c r="BML46" s="2843"/>
      <c r="BMM46" s="2844"/>
      <c r="BMN46" s="2845"/>
      <c r="BMO46" s="2842"/>
      <c r="BMP46" s="2842"/>
      <c r="BMQ46" s="2843"/>
      <c r="BMR46" s="2843"/>
      <c r="BMS46" s="2844"/>
      <c r="BMT46" s="2845"/>
      <c r="BMU46" s="2842"/>
      <c r="BMV46" s="2842"/>
      <c r="BMW46" s="2843"/>
      <c r="BMX46" s="2843"/>
      <c r="BMY46" s="2844"/>
      <c r="BMZ46" s="2845"/>
      <c r="BNA46" s="2842"/>
      <c r="BNB46" s="2842"/>
      <c r="BNC46" s="2843"/>
      <c r="BND46" s="2843"/>
      <c r="BNE46" s="2844"/>
      <c r="BNF46" s="2845"/>
      <c r="BNG46" s="2842"/>
      <c r="BNH46" s="2842"/>
      <c r="BNI46" s="2843"/>
      <c r="BNJ46" s="2843"/>
      <c r="BNK46" s="2844"/>
      <c r="BNL46" s="2845"/>
      <c r="BNM46" s="2842"/>
      <c r="BNN46" s="2842"/>
      <c r="BNO46" s="2843"/>
      <c r="BNP46" s="2843"/>
      <c r="BNQ46" s="2844"/>
      <c r="BNR46" s="2845"/>
      <c r="BNS46" s="2842"/>
      <c r="BNT46" s="2842"/>
      <c r="BNU46" s="2843"/>
      <c r="BNV46" s="2843"/>
      <c r="BNW46" s="2844"/>
      <c r="BNX46" s="2845"/>
      <c r="BNY46" s="2842"/>
      <c r="BNZ46" s="2842"/>
      <c r="BOA46" s="2843"/>
      <c r="BOB46" s="2843"/>
      <c r="BOC46" s="2844"/>
      <c r="BOD46" s="2845"/>
      <c r="BOE46" s="2842"/>
      <c r="BOF46" s="2842"/>
      <c r="BOG46" s="2843"/>
      <c r="BOH46" s="2843"/>
      <c r="BOI46" s="2844"/>
      <c r="BOJ46" s="2845"/>
      <c r="BOK46" s="2842"/>
      <c r="BOL46" s="2842"/>
      <c r="BOM46" s="2843"/>
      <c r="BON46" s="2843"/>
      <c r="BOO46" s="2844"/>
      <c r="BOP46" s="2845"/>
      <c r="BOQ46" s="2842"/>
      <c r="BOR46" s="2842"/>
      <c r="BOS46" s="2843"/>
      <c r="BOT46" s="2843"/>
      <c r="BOU46" s="2844"/>
      <c r="BOV46" s="2845"/>
      <c r="BOW46" s="2842"/>
      <c r="BOX46" s="2842"/>
      <c r="BOY46" s="2843"/>
      <c r="BOZ46" s="2843"/>
      <c r="BPA46" s="2844"/>
      <c r="BPB46" s="2845"/>
      <c r="BPC46" s="2842"/>
      <c r="BPD46" s="2842"/>
      <c r="BPE46" s="2843"/>
      <c r="BPF46" s="2843"/>
      <c r="BPG46" s="2844"/>
      <c r="BPH46" s="2845"/>
      <c r="BPI46" s="2842"/>
      <c r="BPJ46" s="2842"/>
      <c r="BPK46" s="2843"/>
      <c r="BPL46" s="2843"/>
      <c r="BPM46" s="2844"/>
      <c r="BPN46" s="2845"/>
      <c r="BPO46" s="2842"/>
      <c r="BPP46" s="2842"/>
      <c r="BPQ46" s="2843"/>
      <c r="BPR46" s="2843"/>
      <c r="BPS46" s="2844"/>
      <c r="BPT46" s="2845"/>
      <c r="BPU46" s="2842"/>
      <c r="BPV46" s="2842"/>
      <c r="BPW46" s="2843"/>
      <c r="BPX46" s="2843"/>
      <c r="BPY46" s="2844"/>
      <c r="BPZ46" s="2845"/>
      <c r="BQA46" s="2842"/>
      <c r="BQB46" s="2842"/>
      <c r="BQC46" s="2843"/>
      <c r="BQD46" s="2843"/>
      <c r="BQE46" s="2844"/>
      <c r="BQF46" s="2845"/>
      <c r="BQG46" s="2842"/>
      <c r="BQH46" s="2842"/>
      <c r="BQI46" s="2843"/>
      <c r="BQJ46" s="2843"/>
      <c r="BQK46" s="2844"/>
      <c r="BQL46" s="2845"/>
      <c r="BQM46" s="2842"/>
      <c r="BQN46" s="2842"/>
      <c r="BQO46" s="2843"/>
      <c r="BQP46" s="2843"/>
      <c r="BQQ46" s="2844"/>
      <c r="BQR46" s="2845"/>
      <c r="BQS46" s="2842"/>
      <c r="BQT46" s="2842"/>
      <c r="BQU46" s="2843"/>
      <c r="BQV46" s="2843"/>
      <c r="BQW46" s="2844"/>
      <c r="BQX46" s="2845"/>
      <c r="BQY46" s="2842"/>
      <c r="BQZ46" s="2842"/>
      <c r="BRA46" s="2843"/>
      <c r="BRB46" s="2843"/>
      <c r="BRC46" s="2844"/>
      <c r="BRD46" s="2845"/>
      <c r="BRE46" s="2842"/>
      <c r="BRF46" s="2842"/>
      <c r="BRG46" s="2843"/>
      <c r="BRH46" s="2843"/>
      <c r="BRI46" s="2844"/>
      <c r="BRJ46" s="2845"/>
      <c r="BRK46" s="2842"/>
      <c r="BRL46" s="2842"/>
      <c r="BRM46" s="2843"/>
      <c r="BRN46" s="2843"/>
      <c r="BRO46" s="2844"/>
      <c r="BRP46" s="2845"/>
      <c r="BRQ46" s="2842"/>
      <c r="BRR46" s="2842"/>
      <c r="BRS46" s="2843"/>
      <c r="BRT46" s="2843"/>
      <c r="BRU46" s="2844"/>
      <c r="BRV46" s="2845"/>
      <c r="BRW46" s="2842"/>
      <c r="BRX46" s="2842"/>
      <c r="BRY46" s="2843"/>
      <c r="BRZ46" s="2843"/>
      <c r="BSA46" s="2844"/>
      <c r="BSB46" s="2845"/>
      <c r="BSC46" s="2842"/>
      <c r="BSD46" s="2842"/>
      <c r="BSE46" s="2843"/>
      <c r="BSF46" s="2843"/>
      <c r="BSG46" s="2844"/>
      <c r="BSH46" s="2845"/>
      <c r="BSI46" s="2842"/>
      <c r="BSJ46" s="2842"/>
      <c r="BSK46" s="2843"/>
      <c r="BSL46" s="2843"/>
      <c r="BSM46" s="2844"/>
      <c r="BSN46" s="2845"/>
      <c r="BSO46" s="2842"/>
      <c r="BSP46" s="2842"/>
      <c r="BSQ46" s="2843"/>
      <c r="BSR46" s="2843"/>
      <c r="BSS46" s="2844"/>
      <c r="BST46" s="2845"/>
      <c r="BSU46" s="2842"/>
      <c r="BSV46" s="2842"/>
      <c r="BSW46" s="2843"/>
      <c r="BSX46" s="2843"/>
      <c r="BSY46" s="2844"/>
      <c r="BSZ46" s="2845"/>
      <c r="BTA46" s="2842"/>
      <c r="BTB46" s="2842"/>
      <c r="BTC46" s="2843"/>
      <c r="BTD46" s="2843"/>
      <c r="BTE46" s="2844"/>
      <c r="BTF46" s="2845"/>
      <c r="BTG46" s="2842"/>
      <c r="BTH46" s="2842"/>
      <c r="BTI46" s="2843"/>
      <c r="BTJ46" s="2843"/>
      <c r="BTK46" s="2844"/>
      <c r="BTL46" s="2845"/>
      <c r="BTM46" s="2842"/>
      <c r="BTN46" s="2842"/>
      <c r="BTO46" s="2843"/>
      <c r="BTP46" s="2843"/>
      <c r="BTQ46" s="2844"/>
      <c r="BTR46" s="2845"/>
      <c r="BTS46" s="2842"/>
      <c r="BTT46" s="2842"/>
      <c r="BTU46" s="2843"/>
      <c r="BTV46" s="2843"/>
      <c r="BTW46" s="2844"/>
      <c r="BTX46" s="2845"/>
      <c r="BTY46" s="2842"/>
      <c r="BTZ46" s="2842"/>
      <c r="BUA46" s="2843"/>
      <c r="BUB46" s="2843"/>
      <c r="BUC46" s="2844"/>
      <c r="BUD46" s="2845"/>
      <c r="BUE46" s="2842"/>
      <c r="BUF46" s="2842"/>
      <c r="BUG46" s="2843"/>
      <c r="BUH46" s="2843"/>
      <c r="BUI46" s="2844"/>
      <c r="BUJ46" s="2845"/>
      <c r="BUK46" s="2842"/>
      <c r="BUL46" s="2842"/>
      <c r="BUM46" s="2843"/>
      <c r="BUN46" s="2843"/>
      <c r="BUO46" s="2844"/>
      <c r="BUP46" s="2845"/>
      <c r="BUQ46" s="2842"/>
      <c r="BUR46" s="2842"/>
      <c r="BUS46" s="2843"/>
      <c r="BUT46" s="2843"/>
      <c r="BUU46" s="2844"/>
      <c r="BUV46" s="2845"/>
      <c r="BUW46" s="2842"/>
      <c r="BUX46" s="2842"/>
      <c r="BUY46" s="2843"/>
      <c r="BUZ46" s="2843"/>
      <c r="BVA46" s="2844"/>
      <c r="BVB46" s="2845"/>
      <c r="BVC46" s="2842"/>
      <c r="BVD46" s="2842"/>
      <c r="BVE46" s="2843"/>
      <c r="BVF46" s="2843"/>
      <c r="BVG46" s="2844"/>
      <c r="BVH46" s="2845"/>
      <c r="BVI46" s="2842"/>
      <c r="BVJ46" s="2842"/>
      <c r="BVK46" s="2843"/>
      <c r="BVL46" s="2843"/>
      <c r="BVM46" s="2844"/>
      <c r="BVN46" s="2845"/>
      <c r="BVO46" s="2842"/>
      <c r="BVP46" s="2842"/>
      <c r="BVQ46" s="2843"/>
      <c r="BVR46" s="2843"/>
      <c r="BVS46" s="2844"/>
      <c r="BVT46" s="2845"/>
      <c r="BVU46" s="2842"/>
      <c r="BVV46" s="2842"/>
      <c r="BVW46" s="2843"/>
      <c r="BVX46" s="2843"/>
      <c r="BVY46" s="2844"/>
      <c r="BVZ46" s="2845"/>
      <c r="BWA46" s="2842"/>
      <c r="BWB46" s="2842"/>
      <c r="BWC46" s="2843"/>
      <c r="BWD46" s="2843"/>
      <c r="BWE46" s="2844"/>
      <c r="BWF46" s="2845"/>
      <c r="BWG46" s="2842"/>
      <c r="BWH46" s="2842"/>
      <c r="BWI46" s="2843"/>
      <c r="BWJ46" s="2843"/>
      <c r="BWK46" s="2844"/>
      <c r="BWL46" s="2845"/>
      <c r="BWM46" s="2842"/>
      <c r="BWN46" s="2842"/>
      <c r="BWO46" s="2843"/>
      <c r="BWP46" s="2843"/>
      <c r="BWQ46" s="2844"/>
      <c r="BWR46" s="2845"/>
      <c r="BWS46" s="2842"/>
      <c r="BWT46" s="2842"/>
      <c r="BWU46" s="2843"/>
      <c r="BWV46" s="2843"/>
      <c r="BWW46" s="2844"/>
      <c r="BWX46" s="2845"/>
      <c r="BWY46" s="2842"/>
      <c r="BWZ46" s="2842"/>
      <c r="BXA46" s="2843"/>
      <c r="BXB46" s="2843"/>
      <c r="BXC46" s="2844"/>
      <c r="BXD46" s="2845"/>
      <c r="BXE46" s="2842"/>
      <c r="BXF46" s="2842"/>
      <c r="BXG46" s="2843"/>
      <c r="BXH46" s="2843"/>
      <c r="BXI46" s="2844"/>
      <c r="BXJ46" s="2845"/>
      <c r="BXK46" s="2842"/>
      <c r="BXL46" s="2842"/>
      <c r="BXM46" s="2843"/>
      <c r="BXN46" s="2843"/>
      <c r="BXO46" s="2844"/>
      <c r="BXP46" s="2845"/>
      <c r="BXQ46" s="2842"/>
      <c r="BXR46" s="2842"/>
      <c r="BXS46" s="2843"/>
      <c r="BXT46" s="2843"/>
      <c r="BXU46" s="2844"/>
      <c r="BXV46" s="2845"/>
      <c r="BXW46" s="2842"/>
      <c r="BXX46" s="2842"/>
      <c r="BXY46" s="2843"/>
      <c r="BXZ46" s="2843"/>
      <c r="BYA46" s="2844"/>
      <c r="BYB46" s="2845"/>
      <c r="BYC46" s="2842"/>
      <c r="BYD46" s="2842"/>
      <c r="BYE46" s="2843"/>
      <c r="BYF46" s="2843"/>
      <c r="BYG46" s="2844"/>
      <c r="BYH46" s="2845"/>
      <c r="BYI46" s="2842"/>
      <c r="BYJ46" s="2842"/>
      <c r="BYK46" s="2843"/>
      <c r="BYL46" s="2843"/>
      <c r="BYM46" s="2844"/>
      <c r="BYN46" s="2845"/>
      <c r="BYO46" s="2842"/>
      <c r="BYP46" s="2842"/>
      <c r="BYQ46" s="2843"/>
      <c r="BYR46" s="2843"/>
      <c r="BYS46" s="2844"/>
      <c r="BYT46" s="2845"/>
      <c r="BYU46" s="2842"/>
      <c r="BYV46" s="2842"/>
      <c r="BYW46" s="2843"/>
      <c r="BYX46" s="2843"/>
      <c r="BYY46" s="2844"/>
      <c r="BYZ46" s="2845"/>
      <c r="BZA46" s="2842"/>
      <c r="BZB46" s="2842"/>
      <c r="BZC46" s="2843"/>
      <c r="BZD46" s="2843"/>
      <c r="BZE46" s="2844"/>
      <c r="BZF46" s="2845"/>
      <c r="BZG46" s="2842"/>
      <c r="BZH46" s="2842"/>
      <c r="BZI46" s="2843"/>
      <c r="BZJ46" s="2843"/>
      <c r="BZK46" s="2844"/>
      <c r="BZL46" s="2845"/>
      <c r="BZM46" s="2842"/>
      <c r="BZN46" s="2842"/>
      <c r="BZO46" s="2843"/>
      <c r="BZP46" s="2843"/>
      <c r="BZQ46" s="2844"/>
      <c r="BZR46" s="2845"/>
      <c r="BZS46" s="2842"/>
      <c r="BZT46" s="2842"/>
      <c r="BZU46" s="2843"/>
      <c r="BZV46" s="2843"/>
      <c r="BZW46" s="2844"/>
      <c r="BZX46" s="2845"/>
      <c r="BZY46" s="2842"/>
      <c r="BZZ46" s="2842"/>
      <c r="CAA46" s="2843"/>
      <c r="CAB46" s="2843"/>
      <c r="CAC46" s="2844"/>
      <c r="CAD46" s="2845"/>
      <c r="CAE46" s="2842"/>
      <c r="CAF46" s="2842"/>
      <c r="CAG46" s="2843"/>
      <c r="CAH46" s="2843"/>
      <c r="CAI46" s="2844"/>
      <c r="CAJ46" s="2845"/>
      <c r="CAK46" s="2842"/>
      <c r="CAL46" s="2842"/>
      <c r="CAM46" s="2843"/>
      <c r="CAN46" s="2843"/>
      <c r="CAO46" s="2844"/>
      <c r="CAP46" s="2845"/>
      <c r="CAQ46" s="2842"/>
      <c r="CAR46" s="2842"/>
      <c r="CAS46" s="2843"/>
      <c r="CAT46" s="2843"/>
      <c r="CAU46" s="2844"/>
      <c r="CAV46" s="2845"/>
      <c r="CAW46" s="2842"/>
      <c r="CAX46" s="2842"/>
      <c r="CAY46" s="2843"/>
      <c r="CAZ46" s="2843"/>
      <c r="CBA46" s="2844"/>
      <c r="CBB46" s="2845"/>
      <c r="CBC46" s="2842"/>
      <c r="CBD46" s="2842"/>
      <c r="CBE46" s="2843"/>
      <c r="CBF46" s="2843"/>
      <c r="CBG46" s="2844"/>
      <c r="CBH46" s="2845"/>
      <c r="CBI46" s="2842"/>
      <c r="CBJ46" s="2842"/>
      <c r="CBK46" s="2843"/>
      <c r="CBL46" s="2843"/>
      <c r="CBM46" s="2844"/>
      <c r="CBN46" s="2845"/>
      <c r="CBO46" s="2842"/>
      <c r="CBP46" s="2842"/>
      <c r="CBQ46" s="2843"/>
      <c r="CBR46" s="2843"/>
      <c r="CBS46" s="2844"/>
      <c r="CBT46" s="2845"/>
      <c r="CBU46" s="2842"/>
      <c r="CBV46" s="2842"/>
      <c r="CBW46" s="2843"/>
      <c r="CBX46" s="2843"/>
      <c r="CBY46" s="2844"/>
      <c r="CBZ46" s="2845"/>
      <c r="CCA46" s="2842"/>
      <c r="CCB46" s="2842"/>
      <c r="CCC46" s="2843"/>
      <c r="CCD46" s="2843"/>
      <c r="CCE46" s="2844"/>
      <c r="CCF46" s="2845"/>
      <c r="CCG46" s="2842"/>
      <c r="CCH46" s="2842"/>
      <c r="CCI46" s="2843"/>
      <c r="CCJ46" s="2843"/>
      <c r="CCK46" s="2844"/>
      <c r="CCL46" s="2845"/>
      <c r="CCM46" s="2842"/>
      <c r="CCN46" s="2842"/>
      <c r="CCO46" s="2843"/>
      <c r="CCP46" s="2843"/>
      <c r="CCQ46" s="2844"/>
      <c r="CCR46" s="2845"/>
      <c r="CCS46" s="2842"/>
      <c r="CCT46" s="2842"/>
      <c r="CCU46" s="2843"/>
      <c r="CCV46" s="2843"/>
      <c r="CCW46" s="2844"/>
      <c r="CCX46" s="2845"/>
      <c r="CCY46" s="2842"/>
      <c r="CCZ46" s="2842"/>
      <c r="CDA46" s="2843"/>
      <c r="CDB46" s="2843"/>
      <c r="CDC46" s="2844"/>
      <c r="CDD46" s="2845"/>
      <c r="CDE46" s="2842"/>
      <c r="CDF46" s="2842"/>
      <c r="CDG46" s="2843"/>
      <c r="CDH46" s="2843"/>
      <c r="CDI46" s="2844"/>
      <c r="CDJ46" s="2845"/>
      <c r="CDK46" s="2842"/>
      <c r="CDL46" s="2842"/>
      <c r="CDM46" s="2843"/>
      <c r="CDN46" s="2843"/>
      <c r="CDO46" s="2844"/>
      <c r="CDP46" s="2845"/>
      <c r="CDQ46" s="2842"/>
      <c r="CDR46" s="2842"/>
      <c r="CDS46" s="2843"/>
      <c r="CDT46" s="2843"/>
      <c r="CDU46" s="2844"/>
      <c r="CDV46" s="2845"/>
      <c r="CDW46" s="2842"/>
      <c r="CDX46" s="2842"/>
      <c r="CDY46" s="2843"/>
      <c r="CDZ46" s="2843"/>
      <c r="CEA46" s="2844"/>
      <c r="CEB46" s="2845"/>
      <c r="CEC46" s="2842"/>
      <c r="CED46" s="2842"/>
      <c r="CEE46" s="2843"/>
      <c r="CEF46" s="2843"/>
      <c r="CEG46" s="2844"/>
      <c r="CEH46" s="2845"/>
      <c r="CEI46" s="2842"/>
      <c r="CEJ46" s="2842"/>
      <c r="CEK46" s="2843"/>
      <c r="CEL46" s="2843"/>
      <c r="CEM46" s="2844"/>
      <c r="CEN46" s="2845"/>
      <c r="CEO46" s="2842"/>
      <c r="CEP46" s="2842"/>
      <c r="CEQ46" s="2843"/>
      <c r="CER46" s="2843"/>
      <c r="CES46" s="2844"/>
      <c r="CET46" s="2845"/>
      <c r="CEU46" s="2842"/>
      <c r="CEV46" s="2842"/>
      <c r="CEW46" s="2843"/>
      <c r="CEX46" s="2843"/>
      <c r="CEY46" s="2844"/>
      <c r="CEZ46" s="2845"/>
      <c r="CFA46" s="2842"/>
      <c r="CFB46" s="2842"/>
      <c r="CFC46" s="2843"/>
      <c r="CFD46" s="2843"/>
      <c r="CFE46" s="2844"/>
      <c r="CFF46" s="2845"/>
      <c r="CFG46" s="2842"/>
      <c r="CFH46" s="2842"/>
      <c r="CFI46" s="2843"/>
      <c r="CFJ46" s="2843"/>
      <c r="CFK46" s="2844"/>
      <c r="CFL46" s="2845"/>
      <c r="CFM46" s="2842"/>
      <c r="CFN46" s="2842"/>
      <c r="CFO46" s="2843"/>
      <c r="CFP46" s="2843"/>
      <c r="CFQ46" s="2844"/>
      <c r="CFR46" s="2845"/>
      <c r="CFS46" s="2842"/>
      <c r="CFT46" s="2842"/>
      <c r="CFU46" s="2843"/>
      <c r="CFV46" s="2843"/>
      <c r="CFW46" s="2844"/>
      <c r="CFX46" s="2845"/>
      <c r="CFY46" s="2842"/>
      <c r="CFZ46" s="2842"/>
      <c r="CGA46" s="2843"/>
      <c r="CGB46" s="2843"/>
      <c r="CGC46" s="2844"/>
      <c r="CGD46" s="2845"/>
      <c r="CGE46" s="2842"/>
      <c r="CGF46" s="2842"/>
      <c r="CGG46" s="2843"/>
      <c r="CGH46" s="2843"/>
      <c r="CGI46" s="2844"/>
      <c r="CGJ46" s="2845"/>
      <c r="CGK46" s="2842"/>
      <c r="CGL46" s="2842"/>
      <c r="CGM46" s="2843"/>
      <c r="CGN46" s="2843"/>
      <c r="CGO46" s="2844"/>
      <c r="CGP46" s="2845"/>
      <c r="CGQ46" s="2842"/>
      <c r="CGR46" s="2842"/>
      <c r="CGS46" s="2843"/>
      <c r="CGT46" s="2843"/>
      <c r="CGU46" s="2844"/>
      <c r="CGV46" s="2845"/>
      <c r="CGW46" s="2842"/>
      <c r="CGX46" s="2842"/>
      <c r="CGY46" s="2843"/>
      <c r="CGZ46" s="2843"/>
      <c r="CHA46" s="2844"/>
      <c r="CHB46" s="2845"/>
      <c r="CHC46" s="2842"/>
      <c r="CHD46" s="2842"/>
      <c r="CHE46" s="2843"/>
      <c r="CHF46" s="2843"/>
      <c r="CHG46" s="2844"/>
      <c r="CHH46" s="2845"/>
      <c r="CHI46" s="2842"/>
      <c r="CHJ46" s="2842"/>
      <c r="CHK46" s="2843"/>
      <c r="CHL46" s="2843"/>
      <c r="CHM46" s="2844"/>
      <c r="CHN46" s="2845"/>
      <c r="CHO46" s="2842"/>
      <c r="CHP46" s="2842"/>
      <c r="CHQ46" s="2843"/>
      <c r="CHR46" s="2843"/>
      <c r="CHS46" s="2844"/>
      <c r="CHT46" s="2845"/>
      <c r="CHU46" s="2842"/>
      <c r="CHV46" s="2842"/>
      <c r="CHW46" s="2843"/>
      <c r="CHX46" s="2843"/>
      <c r="CHY46" s="2844"/>
      <c r="CHZ46" s="2845"/>
      <c r="CIA46" s="2842"/>
      <c r="CIB46" s="2842"/>
      <c r="CIC46" s="2843"/>
      <c r="CID46" s="2843"/>
      <c r="CIE46" s="2844"/>
      <c r="CIF46" s="2845"/>
      <c r="CIG46" s="2842"/>
      <c r="CIH46" s="2842"/>
      <c r="CII46" s="2843"/>
      <c r="CIJ46" s="2843"/>
      <c r="CIK46" s="2844"/>
      <c r="CIL46" s="2845"/>
      <c r="CIM46" s="2842"/>
      <c r="CIN46" s="2842"/>
      <c r="CIO46" s="2843"/>
      <c r="CIP46" s="2843"/>
      <c r="CIQ46" s="2844"/>
      <c r="CIR46" s="2845"/>
      <c r="CIS46" s="2842"/>
      <c r="CIT46" s="2842"/>
      <c r="CIU46" s="2843"/>
      <c r="CIV46" s="2843"/>
      <c r="CIW46" s="2844"/>
      <c r="CIX46" s="2845"/>
      <c r="CIY46" s="2842"/>
      <c r="CIZ46" s="2842"/>
      <c r="CJA46" s="2843"/>
      <c r="CJB46" s="2843"/>
      <c r="CJC46" s="2844"/>
      <c r="CJD46" s="2845"/>
      <c r="CJE46" s="2842"/>
      <c r="CJF46" s="2842"/>
      <c r="CJG46" s="2843"/>
      <c r="CJH46" s="2843"/>
      <c r="CJI46" s="2844"/>
      <c r="CJJ46" s="2845"/>
      <c r="CJK46" s="2842"/>
      <c r="CJL46" s="2842"/>
      <c r="CJM46" s="2843"/>
      <c r="CJN46" s="2843"/>
      <c r="CJO46" s="2844"/>
      <c r="CJP46" s="2845"/>
      <c r="CJQ46" s="2842"/>
      <c r="CJR46" s="2842"/>
      <c r="CJS46" s="2843"/>
      <c r="CJT46" s="2843"/>
      <c r="CJU46" s="2844"/>
      <c r="CJV46" s="2845"/>
      <c r="CJW46" s="2842"/>
      <c r="CJX46" s="2842"/>
      <c r="CJY46" s="2843"/>
      <c r="CJZ46" s="2843"/>
      <c r="CKA46" s="2844"/>
      <c r="CKB46" s="2845"/>
      <c r="CKC46" s="2842"/>
      <c r="CKD46" s="2842"/>
      <c r="CKE46" s="2843"/>
      <c r="CKF46" s="2843"/>
      <c r="CKG46" s="2844"/>
      <c r="CKH46" s="2845"/>
      <c r="CKI46" s="2842"/>
      <c r="CKJ46" s="2842"/>
      <c r="CKK46" s="2843"/>
      <c r="CKL46" s="2843"/>
      <c r="CKM46" s="2844"/>
      <c r="CKN46" s="2845"/>
      <c r="CKO46" s="2842"/>
      <c r="CKP46" s="2842"/>
      <c r="CKQ46" s="2843"/>
      <c r="CKR46" s="2843"/>
      <c r="CKS46" s="2844"/>
      <c r="CKT46" s="2845"/>
      <c r="CKU46" s="2842"/>
      <c r="CKV46" s="2842"/>
      <c r="CKW46" s="2843"/>
      <c r="CKX46" s="2843"/>
      <c r="CKY46" s="2844"/>
      <c r="CKZ46" s="2845"/>
      <c r="CLA46" s="2842"/>
      <c r="CLB46" s="2842"/>
      <c r="CLC46" s="2843"/>
      <c r="CLD46" s="2843"/>
      <c r="CLE46" s="2844"/>
      <c r="CLF46" s="2845"/>
      <c r="CLG46" s="2842"/>
      <c r="CLH46" s="2842"/>
      <c r="CLI46" s="2843"/>
      <c r="CLJ46" s="2843"/>
      <c r="CLK46" s="2844"/>
      <c r="CLL46" s="2845"/>
      <c r="CLM46" s="2842"/>
      <c r="CLN46" s="2842"/>
      <c r="CLO46" s="2843"/>
      <c r="CLP46" s="2843"/>
      <c r="CLQ46" s="2844"/>
      <c r="CLR46" s="2845"/>
      <c r="CLS46" s="2842"/>
      <c r="CLT46" s="2842"/>
      <c r="CLU46" s="2843"/>
      <c r="CLV46" s="2843"/>
      <c r="CLW46" s="2844"/>
      <c r="CLX46" s="2845"/>
      <c r="CLY46" s="2842"/>
      <c r="CLZ46" s="2842"/>
      <c r="CMA46" s="2843"/>
      <c r="CMB46" s="2843"/>
      <c r="CMC46" s="2844"/>
      <c r="CMD46" s="2845"/>
      <c r="CME46" s="2842"/>
      <c r="CMF46" s="2842"/>
      <c r="CMG46" s="2843"/>
      <c r="CMH46" s="2843"/>
      <c r="CMI46" s="2844"/>
      <c r="CMJ46" s="2845"/>
      <c r="CMK46" s="2842"/>
      <c r="CML46" s="2842"/>
      <c r="CMM46" s="2843"/>
      <c r="CMN46" s="2843"/>
      <c r="CMO46" s="2844"/>
      <c r="CMP46" s="2845"/>
      <c r="CMQ46" s="2842"/>
      <c r="CMR46" s="2842"/>
      <c r="CMS46" s="2843"/>
      <c r="CMT46" s="2843"/>
      <c r="CMU46" s="2844"/>
      <c r="CMV46" s="2845"/>
      <c r="CMW46" s="2842"/>
      <c r="CMX46" s="2842"/>
      <c r="CMY46" s="2843"/>
      <c r="CMZ46" s="2843"/>
      <c r="CNA46" s="2844"/>
      <c r="CNB46" s="2845"/>
      <c r="CNC46" s="2842"/>
      <c r="CND46" s="2842"/>
      <c r="CNE46" s="2843"/>
      <c r="CNF46" s="2843"/>
      <c r="CNG46" s="2844"/>
      <c r="CNH46" s="2845"/>
      <c r="CNI46" s="2842"/>
      <c r="CNJ46" s="2842"/>
      <c r="CNK46" s="2843"/>
      <c r="CNL46" s="2843"/>
      <c r="CNM46" s="2844"/>
      <c r="CNN46" s="2845"/>
      <c r="CNO46" s="2842"/>
      <c r="CNP46" s="2842"/>
      <c r="CNQ46" s="2843"/>
      <c r="CNR46" s="2843"/>
      <c r="CNS46" s="2844"/>
      <c r="CNT46" s="2845"/>
      <c r="CNU46" s="2842"/>
      <c r="CNV46" s="2842"/>
      <c r="CNW46" s="2843"/>
      <c r="CNX46" s="2843"/>
      <c r="CNY46" s="2844"/>
      <c r="CNZ46" s="2845"/>
      <c r="COA46" s="2842"/>
      <c r="COB46" s="2842"/>
      <c r="COC46" s="2843"/>
      <c r="COD46" s="2843"/>
      <c r="COE46" s="2844"/>
      <c r="COF46" s="2845"/>
      <c r="COG46" s="2842"/>
      <c r="COH46" s="2842"/>
      <c r="COI46" s="2843"/>
      <c r="COJ46" s="2843"/>
      <c r="COK46" s="2844"/>
      <c r="COL46" s="2845"/>
      <c r="COM46" s="2842"/>
      <c r="CON46" s="2842"/>
      <c r="COO46" s="2843"/>
      <c r="COP46" s="2843"/>
      <c r="COQ46" s="2844"/>
      <c r="COR46" s="2845"/>
      <c r="COS46" s="2842"/>
      <c r="COT46" s="2842"/>
      <c r="COU46" s="2843"/>
      <c r="COV46" s="2843"/>
      <c r="COW46" s="2844"/>
      <c r="COX46" s="2845"/>
      <c r="COY46" s="2842"/>
      <c r="COZ46" s="2842"/>
      <c r="CPA46" s="2843"/>
      <c r="CPB46" s="2843"/>
      <c r="CPC46" s="2844"/>
      <c r="CPD46" s="2845"/>
      <c r="CPE46" s="2842"/>
      <c r="CPF46" s="2842"/>
      <c r="CPG46" s="2843"/>
      <c r="CPH46" s="2843"/>
      <c r="CPI46" s="2844"/>
      <c r="CPJ46" s="2845"/>
      <c r="CPK46" s="2842"/>
      <c r="CPL46" s="2842"/>
      <c r="CPM46" s="2843"/>
      <c r="CPN46" s="2843"/>
      <c r="CPO46" s="2844"/>
      <c r="CPP46" s="2845"/>
      <c r="CPQ46" s="2842"/>
      <c r="CPR46" s="2842"/>
      <c r="CPS46" s="2843"/>
      <c r="CPT46" s="2843"/>
      <c r="CPU46" s="2844"/>
      <c r="CPV46" s="2845"/>
      <c r="CPW46" s="2842"/>
      <c r="CPX46" s="2842"/>
      <c r="CPY46" s="2843"/>
      <c r="CPZ46" s="2843"/>
      <c r="CQA46" s="2844"/>
      <c r="CQB46" s="2845"/>
      <c r="CQC46" s="2842"/>
      <c r="CQD46" s="2842"/>
      <c r="CQE46" s="2843"/>
      <c r="CQF46" s="2843"/>
      <c r="CQG46" s="2844"/>
      <c r="CQH46" s="2845"/>
      <c r="CQI46" s="2842"/>
      <c r="CQJ46" s="2842"/>
      <c r="CQK46" s="2843"/>
      <c r="CQL46" s="2843"/>
      <c r="CQM46" s="2844"/>
      <c r="CQN46" s="2845"/>
      <c r="CQO46" s="2842"/>
      <c r="CQP46" s="2842"/>
      <c r="CQQ46" s="2843"/>
      <c r="CQR46" s="2843"/>
      <c r="CQS46" s="2844"/>
      <c r="CQT46" s="2845"/>
      <c r="CQU46" s="2842"/>
      <c r="CQV46" s="2842"/>
      <c r="CQW46" s="2843"/>
      <c r="CQX46" s="2843"/>
      <c r="CQY46" s="2844"/>
      <c r="CQZ46" s="2845"/>
      <c r="CRA46" s="2842"/>
      <c r="CRB46" s="2842"/>
      <c r="CRC46" s="2843"/>
      <c r="CRD46" s="2843"/>
      <c r="CRE46" s="2844"/>
      <c r="CRF46" s="2845"/>
      <c r="CRG46" s="2842"/>
      <c r="CRH46" s="2842"/>
      <c r="CRI46" s="2843"/>
      <c r="CRJ46" s="2843"/>
      <c r="CRK46" s="2844"/>
      <c r="CRL46" s="2845"/>
      <c r="CRM46" s="2842"/>
      <c r="CRN46" s="2842"/>
      <c r="CRO46" s="2843"/>
      <c r="CRP46" s="2843"/>
      <c r="CRQ46" s="2844"/>
      <c r="CRR46" s="2845"/>
      <c r="CRS46" s="2842"/>
      <c r="CRT46" s="2842"/>
      <c r="CRU46" s="2843"/>
      <c r="CRV46" s="2843"/>
      <c r="CRW46" s="2844"/>
      <c r="CRX46" s="2845"/>
      <c r="CRY46" s="2842"/>
      <c r="CRZ46" s="2842"/>
      <c r="CSA46" s="2843"/>
      <c r="CSB46" s="2843"/>
      <c r="CSC46" s="2844"/>
      <c r="CSD46" s="2845"/>
      <c r="CSE46" s="2842"/>
      <c r="CSF46" s="2842"/>
      <c r="CSG46" s="2843"/>
      <c r="CSH46" s="2843"/>
      <c r="CSI46" s="2844"/>
      <c r="CSJ46" s="2845"/>
      <c r="CSK46" s="2842"/>
      <c r="CSL46" s="2842"/>
      <c r="CSM46" s="2843"/>
      <c r="CSN46" s="2843"/>
      <c r="CSO46" s="2844"/>
      <c r="CSP46" s="2845"/>
      <c r="CSQ46" s="2842"/>
      <c r="CSR46" s="2842"/>
      <c r="CSS46" s="2843"/>
      <c r="CST46" s="2843"/>
      <c r="CSU46" s="2844"/>
      <c r="CSV46" s="2845"/>
      <c r="CSW46" s="2842"/>
      <c r="CSX46" s="2842"/>
      <c r="CSY46" s="2843"/>
      <c r="CSZ46" s="2843"/>
      <c r="CTA46" s="2844"/>
      <c r="CTB46" s="2845"/>
      <c r="CTC46" s="2842"/>
      <c r="CTD46" s="2842"/>
      <c r="CTE46" s="2843"/>
      <c r="CTF46" s="2843"/>
      <c r="CTG46" s="2844"/>
      <c r="CTH46" s="2845"/>
      <c r="CTI46" s="2842"/>
      <c r="CTJ46" s="2842"/>
      <c r="CTK46" s="2843"/>
      <c r="CTL46" s="2843"/>
      <c r="CTM46" s="2844"/>
      <c r="CTN46" s="2845"/>
      <c r="CTO46" s="2842"/>
      <c r="CTP46" s="2842"/>
      <c r="CTQ46" s="2843"/>
      <c r="CTR46" s="2843"/>
      <c r="CTS46" s="2844"/>
      <c r="CTT46" s="2845"/>
      <c r="CTU46" s="2842"/>
      <c r="CTV46" s="2842"/>
      <c r="CTW46" s="2843"/>
      <c r="CTX46" s="2843"/>
      <c r="CTY46" s="2844"/>
      <c r="CTZ46" s="2845"/>
      <c r="CUA46" s="2842"/>
      <c r="CUB46" s="2842"/>
      <c r="CUC46" s="2843"/>
      <c r="CUD46" s="2843"/>
      <c r="CUE46" s="2844"/>
      <c r="CUF46" s="2845"/>
      <c r="CUG46" s="2842"/>
      <c r="CUH46" s="2842"/>
      <c r="CUI46" s="2843"/>
      <c r="CUJ46" s="2843"/>
      <c r="CUK46" s="2844"/>
      <c r="CUL46" s="2845"/>
      <c r="CUM46" s="2842"/>
      <c r="CUN46" s="2842"/>
      <c r="CUO46" s="2843"/>
      <c r="CUP46" s="2843"/>
      <c r="CUQ46" s="2844"/>
      <c r="CUR46" s="2845"/>
      <c r="CUS46" s="2842"/>
      <c r="CUT46" s="2842"/>
      <c r="CUU46" s="2843"/>
      <c r="CUV46" s="2843"/>
      <c r="CUW46" s="2844"/>
      <c r="CUX46" s="2845"/>
      <c r="CUY46" s="2842"/>
      <c r="CUZ46" s="2842"/>
      <c r="CVA46" s="2843"/>
      <c r="CVB46" s="2843"/>
      <c r="CVC46" s="2844"/>
      <c r="CVD46" s="2845"/>
      <c r="CVE46" s="2842"/>
      <c r="CVF46" s="2842"/>
      <c r="CVG46" s="2843"/>
      <c r="CVH46" s="2843"/>
      <c r="CVI46" s="2844"/>
      <c r="CVJ46" s="2845"/>
      <c r="CVK46" s="2842"/>
      <c r="CVL46" s="2842"/>
      <c r="CVM46" s="2843"/>
      <c r="CVN46" s="2843"/>
      <c r="CVO46" s="2844"/>
      <c r="CVP46" s="2845"/>
      <c r="CVQ46" s="2842"/>
      <c r="CVR46" s="2842"/>
      <c r="CVS46" s="2843"/>
      <c r="CVT46" s="2843"/>
      <c r="CVU46" s="2844"/>
      <c r="CVV46" s="2845"/>
      <c r="CVW46" s="2842"/>
      <c r="CVX46" s="2842"/>
      <c r="CVY46" s="2843"/>
      <c r="CVZ46" s="2843"/>
      <c r="CWA46" s="2844"/>
      <c r="CWB46" s="2845"/>
      <c r="CWC46" s="2842"/>
      <c r="CWD46" s="2842"/>
      <c r="CWE46" s="2843"/>
      <c r="CWF46" s="2843"/>
      <c r="CWG46" s="2844"/>
      <c r="CWH46" s="2845"/>
      <c r="CWI46" s="2842"/>
      <c r="CWJ46" s="2842"/>
      <c r="CWK46" s="2843"/>
      <c r="CWL46" s="2843"/>
      <c r="CWM46" s="2844"/>
      <c r="CWN46" s="2845"/>
      <c r="CWO46" s="2842"/>
      <c r="CWP46" s="2842"/>
      <c r="CWQ46" s="2843"/>
      <c r="CWR46" s="2843"/>
      <c r="CWS46" s="2844"/>
      <c r="CWT46" s="2845"/>
      <c r="CWU46" s="2842"/>
      <c r="CWV46" s="2842"/>
      <c r="CWW46" s="2843"/>
      <c r="CWX46" s="2843"/>
      <c r="CWY46" s="2844"/>
      <c r="CWZ46" s="2845"/>
      <c r="CXA46" s="2842"/>
      <c r="CXB46" s="2842"/>
      <c r="CXC46" s="2843"/>
      <c r="CXD46" s="2843"/>
      <c r="CXE46" s="2844"/>
      <c r="CXF46" s="2845"/>
      <c r="CXG46" s="2842"/>
      <c r="CXH46" s="2842"/>
      <c r="CXI46" s="2843"/>
      <c r="CXJ46" s="2843"/>
      <c r="CXK46" s="2844"/>
      <c r="CXL46" s="2845"/>
      <c r="CXM46" s="2842"/>
      <c r="CXN46" s="2842"/>
      <c r="CXO46" s="2843"/>
      <c r="CXP46" s="2843"/>
      <c r="CXQ46" s="2844"/>
      <c r="CXR46" s="2845"/>
      <c r="CXS46" s="2842"/>
      <c r="CXT46" s="2842"/>
      <c r="CXU46" s="2843"/>
      <c r="CXV46" s="2843"/>
      <c r="CXW46" s="2844"/>
      <c r="CXX46" s="2845"/>
      <c r="CXY46" s="2842"/>
      <c r="CXZ46" s="2842"/>
      <c r="CYA46" s="2843"/>
      <c r="CYB46" s="2843"/>
      <c r="CYC46" s="2844"/>
      <c r="CYD46" s="2845"/>
      <c r="CYE46" s="2842"/>
      <c r="CYF46" s="2842"/>
      <c r="CYG46" s="2843"/>
      <c r="CYH46" s="2843"/>
      <c r="CYI46" s="2844"/>
      <c r="CYJ46" s="2845"/>
      <c r="CYK46" s="2842"/>
      <c r="CYL46" s="2842"/>
      <c r="CYM46" s="2843"/>
      <c r="CYN46" s="2843"/>
      <c r="CYO46" s="2844"/>
      <c r="CYP46" s="2845"/>
      <c r="CYQ46" s="2842"/>
      <c r="CYR46" s="2842"/>
      <c r="CYS46" s="2843"/>
      <c r="CYT46" s="2843"/>
      <c r="CYU46" s="2844"/>
      <c r="CYV46" s="2845"/>
      <c r="CYW46" s="2842"/>
      <c r="CYX46" s="2842"/>
      <c r="CYY46" s="2843"/>
      <c r="CYZ46" s="2843"/>
      <c r="CZA46" s="2844"/>
      <c r="CZB46" s="2845"/>
      <c r="CZC46" s="2842"/>
      <c r="CZD46" s="2842"/>
      <c r="CZE46" s="2843"/>
      <c r="CZF46" s="2843"/>
      <c r="CZG46" s="2844"/>
      <c r="CZH46" s="2845"/>
      <c r="CZI46" s="2842"/>
      <c r="CZJ46" s="2842"/>
      <c r="CZK46" s="2843"/>
      <c r="CZL46" s="2843"/>
      <c r="CZM46" s="2844"/>
      <c r="CZN46" s="2845"/>
      <c r="CZO46" s="2842"/>
      <c r="CZP46" s="2842"/>
      <c r="CZQ46" s="2843"/>
      <c r="CZR46" s="2843"/>
      <c r="CZS46" s="2844"/>
      <c r="CZT46" s="2845"/>
      <c r="CZU46" s="2842"/>
      <c r="CZV46" s="2842"/>
      <c r="CZW46" s="2843"/>
      <c r="CZX46" s="2843"/>
      <c r="CZY46" s="2844"/>
      <c r="CZZ46" s="2845"/>
      <c r="DAA46" s="2842"/>
      <c r="DAB46" s="2842"/>
      <c r="DAC46" s="2843"/>
      <c r="DAD46" s="2843"/>
      <c r="DAE46" s="2844"/>
      <c r="DAF46" s="2845"/>
      <c r="DAG46" s="2842"/>
      <c r="DAH46" s="2842"/>
      <c r="DAI46" s="2843"/>
      <c r="DAJ46" s="2843"/>
      <c r="DAK46" s="2844"/>
      <c r="DAL46" s="2845"/>
      <c r="DAM46" s="2842"/>
      <c r="DAN46" s="2842"/>
      <c r="DAO46" s="2843"/>
      <c r="DAP46" s="2843"/>
      <c r="DAQ46" s="2844"/>
      <c r="DAR46" s="2845"/>
      <c r="DAS46" s="2842"/>
      <c r="DAT46" s="2842"/>
      <c r="DAU46" s="2843"/>
      <c r="DAV46" s="2843"/>
      <c r="DAW46" s="2844"/>
      <c r="DAX46" s="2845"/>
      <c r="DAY46" s="2842"/>
      <c r="DAZ46" s="2842"/>
      <c r="DBA46" s="2843"/>
      <c r="DBB46" s="2843"/>
      <c r="DBC46" s="2844"/>
      <c r="DBD46" s="2845"/>
      <c r="DBE46" s="2842"/>
      <c r="DBF46" s="2842"/>
      <c r="DBG46" s="2843"/>
      <c r="DBH46" s="2843"/>
      <c r="DBI46" s="2844"/>
      <c r="DBJ46" s="2845"/>
      <c r="DBK46" s="2842"/>
      <c r="DBL46" s="2842"/>
      <c r="DBM46" s="2843"/>
      <c r="DBN46" s="2843"/>
      <c r="DBO46" s="2844"/>
      <c r="DBP46" s="2845"/>
      <c r="DBQ46" s="2842"/>
      <c r="DBR46" s="2842"/>
      <c r="DBS46" s="2843"/>
      <c r="DBT46" s="2843"/>
      <c r="DBU46" s="2844"/>
      <c r="DBV46" s="2845"/>
      <c r="DBW46" s="2842"/>
      <c r="DBX46" s="2842"/>
      <c r="DBY46" s="2843"/>
      <c r="DBZ46" s="2843"/>
      <c r="DCA46" s="2844"/>
      <c r="DCB46" s="2845"/>
      <c r="DCC46" s="2842"/>
      <c r="DCD46" s="2842"/>
      <c r="DCE46" s="2843"/>
      <c r="DCF46" s="2843"/>
      <c r="DCG46" s="2844"/>
      <c r="DCH46" s="2845"/>
      <c r="DCI46" s="2842"/>
      <c r="DCJ46" s="2842"/>
      <c r="DCK46" s="2843"/>
      <c r="DCL46" s="2843"/>
      <c r="DCM46" s="2844"/>
      <c r="DCN46" s="2845"/>
      <c r="DCO46" s="2842"/>
      <c r="DCP46" s="2842"/>
      <c r="DCQ46" s="2843"/>
      <c r="DCR46" s="2843"/>
      <c r="DCS46" s="2844"/>
      <c r="DCT46" s="2845"/>
      <c r="DCU46" s="2842"/>
      <c r="DCV46" s="2842"/>
      <c r="DCW46" s="2843"/>
      <c r="DCX46" s="2843"/>
      <c r="DCY46" s="2844"/>
      <c r="DCZ46" s="2845"/>
      <c r="DDA46" s="2842"/>
      <c r="DDB46" s="2842"/>
      <c r="DDC46" s="2843"/>
      <c r="DDD46" s="2843"/>
      <c r="DDE46" s="2844"/>
      <c r="DDF46" s="2845"/>
      <c r="DDG46" s="2842"/>
      <c r="DDH46" s="2842"/>
      <c r="DDI46" s="2843"/>
      <c r="DDJ46" s="2843"/>
      <c r="DDK46" s="2844"/>
      <c r="DDL46" s="2845"/>
      <c r="DDM46" s="2842"/>
      <c r="DDN46" s="2842"/>
      <c r="DDO46" s="2843"/>
      <c r="DDP46" s="2843"/>
      <c r="DDQ46" s="2844"/>
      <c r="DDR46" s="2845"/>
      <c r="DDS46" s="2842"/>
      <c r="DDT46" s="2842"/>
      <c r="DDU46" s="2843"/>
      <c r="DDV46" s="2843"/>
      <c r="DDW46" s="2844"/>
      <c r="DDX46" s="2845"/>
      <c r="DDY46" s="2842"/>
      <c r="DDZ46" s="2842"/>
      <c r="DEA46" s="2843"/>
      <c r="DEB46" s="2843"/>
      <c r="DEC46" s="2844"/>
      <c r="DED46" s="2845"/>
      <c r="DEE46" s="2842"/>
      <c r="DEF46" s="2842"/>
      <c r="DEG46" s="2843"/>
      <c r="DEH46" s="2843"/>
      <c r="DEI46" s="2844"/>
      <c r="DEJ46" s="2845"/>
      <c r="DEK46" s="2842"/>
      <c r="DEL46" s="2842"/>
      <c r="DEM46" s="2843"/>
      <c r="DEN46" s="2843"/>
      <c r="DEO46" s="2844"/>
      <c r="DEP46" s="2845"/>
      <c r="DEQ46" s="2842"/>
      <c r="DER46" s="2842"/>
      <c r="DES46" s="2843"/>
      <c r="DET46" s="2843"/>
      <c r="DEU46" s="2844"/>
      <c r="DEV46" s="2845"/>
      <c r="DEW46" s="2842"/>
      <c r="DEX46" s="2842"/>
      <c r="DEY46" s="2843"/>
      <c r="DEZ46" s="2843"/>
      <c r="DFA46" s="2844"/>
      <c r="DFB46" s="2845"/>
      <c r="DFC46" s="2842"/>
      <c r="DFD46" s="2842"/>
      <c r="DFE46" s="2843"/>
      <c r="DFF46" s="2843"/>
      <c r="DFG46" s="2844"/>
      <c r="DFH46" s="2845"/>
      <c r="DFI46" s="2842"/>
      <c r="DFJ46" s="2842"/>
      <c r="DFK46" s="2843"/>
      <c r="DFL46" s="2843"/>
      <c r="DFM46" s="2844"/>
      <c r="DFN46" s="2845"/>
      <c r="DFO46" s="2842"/>
      <c r="DFP46" s="2842"/>
      <c r="DFQ46" s="2843"/>
      <c r="DFR46" s="2843"/>
      <c r="DFS46" s="2844"/>
      <c r="DFT46" s="2845"/>
      <c r="DFU46" s="2842"/>
      <c r="DFV46" s="2842"/>
      <c r="DFW46" s="2843"/>
      <c r="DFX46" s="2843"/>
      <c r="DFY46" s="2844"/>
      <c r="DFZ46" s="2845"/>
      <c r="DGA46" s="2842"/>
      <c r="DGB46" s="2842"/>
      <c r="DGC46" s="2843"/>
      <c r="DGD46" s="2843"/>
      <c r="DGE46" s="2844"/>
      <c r="DGF46" s="2845"/>
      <c r="DGG46" s="2842"/>
      <c r="DGH46" s="2842"/>
      <c r="DGI46" s="2843"/>
      <c r="DGJ46" s="2843"/>
      <c r="DGK46" s="2844"/>
      <c r="DGL46" s="2845"/>
      <c r="DGM46" s="2842"/>
      <c r="DGN46" s="2842"/>
      <c r="DGO46" s="2843"/>
      <c r="DGP46" s="2843"/>
      <c r="DGQ46" s="2844"/>
      <c r="DGR46" s="2845"/>
      <c r="DGS46" s="2842"/>
      <c r="DGT46" s="2842"/>
      <c r="DGU46" s="2843"/>
      <c r="DGV46" s="2843"/>
      <c r="DGW46" s="2844"/>
      <c r="DGX46" s="2845"/>
      <c r="DGY46" s="2842"/>
      <c r="DGZ46" s="2842"/>
      <c r="DHA46" s="2843"/>
      <c r="DHB46" s="2843"/>
      <c r="DHC46" s="2844"/>
      <c r="DHD46" s="2845"/>
      <c r="DHE46" s="2842"/>
      <c r="DHF46" s="2842"/>
      <c r="DHG46" s="2843"/>
      <c r="DHH46" s="2843"/>
      <c r="DHI46" s="2844"/>
      <c r="DHJ46" s="2845"/>
      <c r="DHK46" s="2842"/>
      <c r="DHL46" s="2842"/>
      <c r="DHM46" s="2843"/>
      <c r="DHN46" s="2843"/>
      <c r="DHO46" s="2844"/>
      <c r="DHP46" s="2845"/>
      <c r="DHQ46" s="2842"/>
      <c r="DHR46" s="2842"/>
      <c r="DHS46" s="2843"/>
      <c r="DHT46" s="2843"/>
      <c r="DHU46" s="2844"/>
      <c r="DHV46" s="2845"/>
      <c r="DHW46" s="2842"/>
      <c r="DHX46" s="2842"/>
      <c r="DHY46" s="2843"/>
      <c r="DHZ46" s="2843"/>
      <c r="DIA46" s="2844"/>
      <c r="DIB46" s="2845"/>
      <c r="DIC46" s="2842"/>
      <c r="DID46" s="2842"/>
      <c r="DIE46" s="2843"/>
      <c r="DIF46" s="2843"/>
      <c r="DIG46" s="2844"/>
      <c r="DIH46" s="2845"/>
      <c r="DII46" s="2842"/>
      <c r="DIJ46" s="2842"/>
      <c r="DIK46" s="2843"/>
      <c r="DIL46" s="2843"/>
      <c r="DIM46" s="2844"/>
      <c r="DIN46" s="2845"/>
      <c r="DIO46" s="2842"/>
      <c r="DIP46" s="2842"/>
      <c r="DIQ46" s="2843"/>
      <c r="DIR46" s="2843"/>
      <c r="DIS46" s="2844"/>
      <c r="DIT46" s="2845"/>
      <c r="DIU46" s="2842"/>
      <c r="DIV46" s="2842"/>
      <c r="DIW46" s="2843"/>
      <c r="DIX46" s="2843"/>
      <c r="DIY46" s="2844"/>
      <c r="DIZ46" s="2845"/>
      <c r="DJA46" s="2842"/>
      <c r="DJB46" s="2842"/>
      <c r="DJC46" s="2843"/>
      <c r="DJD46" s="2843"/>
      <c r="DJE46" s="2844"/>
      <c r="DJF46" s="2845"/>
      <c r="DJG46" s="2842"/>
      <c r="DJH46" s="2842"/>
      <c r="DJI46" s="2843"/>
      <c r="DJJ46" s="2843"/>
      <c r="DJK46" s="2844"/>
      <c r="DJL46" s="2845"/>
      <c r="DJM46" s="2842"/>
      <c r="DJN46" s="2842"/>
      <c r="DJO46" s="2843"/>
      <c r="DJP46" s="2843"/>
      <c r="DJQ46" s="2844"/>
      <c r="DJR46" s="2845"/>
      <c r="DJS46" s="2842"/>
      <c r="DJT46" s="2842"/>
      <c r="DJU46" s="2843"/>
      <c r="DJV46" s="2843"/>
      <c r="DJW46" s="2844"/>
      <c r="DJX46" s="2845"/>
      <c r="DJY46" s="2842"/>
      <c r="DJZ46" s="2842"/>
      <c r="DKA46" s="2843"/>
      <c r="DKB46" s="2843"/>
      <c r="DKC46" s="2844"/>
      <c r="DKD46" s="2845"/>
      <c r="DKE46" s="2842"/>
      <c r="DKF46" s="2842"/>
      <c r="DKG46" s="2843"/>
      <c r="DKH46" s="2843"/>
      <c r="DKI46" s="2844"/>
      <c r="DKJ46" s="2845"/>
      <c r="DKK46" s="2842"/>
      <c r="DKL46" s="2842"/>
      <c r="DKM46" s="2843"/>
      <c r="DKN46" s="2843"/>
      <c r="DKO46" s="2844"/>
      <c r="DKP46" s="2845"/>
      <c r="DKQ46" s="2842"/>
      <c r="DKR46" s="2842"/>
      <c r="DKS46" s="2843"/>
      <c r="DKT46" s="2843"/>
      <c r="DKU46" s="2844"/>
      <c r="DKV46" s="2845"/>
      <c r="DKW46" s="2842"/>
      <c r="DKX46" s="2842"/>
      <c r="DKY46" s="2843"/>
      <c r="DKZ46" s="2843"/>
      <c r="DLA46" s="2844"/>
      <c r="DLB46" s="2845"/>
      <c r="DLC46" s="2842"/>
      <c r="DLD46" s="2842"/>
      <c r="DLE46" s="2843"/>
      <c r="DLF46" s="2843"/>
      <c r="DLG46" s="2844"/>
      <c r="DLH46" s="2845"/>
      <c r="DLI46" s="2842"/>
      <c r="DLJ46" s="2842"/>
      <c r="DLK46" s="2843"/>
      <c r="DLL46" s="2843"/>
      <c r="DLM46" s="2844"/>
      <c r="DLN46" s="2845"/>
      <c r="DLO46" s="2842"/>
      <c r="DLP46" s="2842"/>
      <c r="DLQ46" s="2843"/>
      <c r="DLR46" s="2843"/>
      <c r="DLS46" s="2844"/>
      <c r="DLT46" s="2845"/>
      <c r="DLU46" s="2842"/>
      <c r="DLV46" s="2842"/>
      <c r="DLW46" s="2843"/>
      <c r="DLX46" s="2843"/>
      <c r="DLY46" s="2844"/>
      <c r="DLZ46" s="2845"/>
      <c r="DMA46" s="2842"/>
      <c r="DMB46" s="2842"/>
      <c r="DMC46" s="2843"/>
      <c r="DMD46" s="2843"/>
      <c r="DME46" s="2844"/>
      <c r="DMF46" s="2845"/>
      <c r="DMG46" s="2842"/>
      <c r="DMH46" s="2842"/>
      <c r="DMI46" s="2843"/>
      <c r="DMJ46" s="2843"/>
      <c r="DMK46" s="2844"/>
      <c r="DML46" s="2845"/>
      <c r="DMM46" s="2842"/>
      <c r="DMN46" s="2842"/>
      <c r="DMO46" s="2843"/>
      <c r="DMP46" s="2843"/>
      <c r="DMQ46" s="2844"/>
      <c r="DMR46" s="2845"/>
      <c r="DMS46" s="2842"/>
      <c r="DMT46" s="2842"/>
      <c r="DMU46" s="2843"/>
      <c r="DMV46" s="2843"/>
      <c r="DMW46" s="2844"/>
      <c r="DMX46" s="2845"/>
      <c r="DMY46" s="2842"/>
      <c r="DMZ46" s="2842"/>
      <c r="DNA46" s="2843"/>
      <c r="DNB46" s="2843"/>
      <c r="DNC46" s="2844"/>
      <c r="DND46" s="2845"/>
      <c r="DNE46" s="2842"/>
      <c r="DNF46" s="2842"/>
      <c r="DNG46" s="2843"/>
      <c r="DNH46" s="2843"/>
      <c r="DNI46" s="2844"/>
      <c r="DNJ46" s="2845"/>
      <c r="DNK46" s="2842"/>
      <c r="DNL46" s="2842"/>
      <c r="DNM46" s="2843"/>
      <c r="DNN46" s="2843"/>
      <c r="DNO46" s="2844"/>
      <c r="DNP46" s="2845"/>
      <c r="DNQ46" s="2842"/>
      <c r="DNR46" s="2842"/>
      <c r="DNS46" s="2843"/>
      <c r="DNT46" s="2843"/>
      <c r="DNU46" s="2844"/>
      <c r="DNV46" s="2845"/>
      <c r="DNW46" s="2842"/>
      <c r="DNX46" s="2842"/>
      <c r="DNY46" s="2843"/>
      <c r="DNZ46" s="2843"/>
      <c r="DOA46" s="2844"/>
      <c r="DOB46" s="2845"/>
      <c r="DOC46" s="2842"/>
      <c r="DOD46" s="2842"/>
      <c r="DOE46" s="2843"/>
      <c r="DOF46" s="2843"/>
      <c r="DOG46" s="2844"/>
      <c r="DOH46" s="2845"/>
      <c r="DOI46" s="2842"/>
      <c r="DOJ46" s="2842"/>
      <c r="DOK46" s="2843"/>
      <c r="DOL46" s="2843"/>
      <c r="DOM46" s="2844"/>
      <c r="DON46" s="2845"/>
      <c r="DOO46" s="2842"/>
      <c r="DOP46" s="2842"/>
      <c r="DOQ46" s="2843"/>
      <c r="DOR46" s="2843"/>
      <c r="DOS46" s="2844"/>
      <c r="DOT46" s="2845"/>
      <c r="DOU46" s="2842"/>
      <c r="DOV46" s="2842"/>
      <c r="DOW46" s="2843"/>
      <c r="DOX46" s="2843"/>
      <c r="DOY46" s="2844"/>
      <c r="DOZ46" s="2845"/>
      <c r="DPA46" s="2842"/>
      <c r="DPB46" s="2842"/>
      <c r="DPC46" s="2843"/>
      <c r="DPD46" s="2843"/>
      <c r="DPE46" s="2844"/>
      <c r="DPF46" s="2845"/>
      <c r="DPG46" s="2842"/>
      <c r="DPH46" s="2842"/>
      <c r="DPI46" s="2843"/>
      <c r="DPJ46" s="2843"/>
      <c r="DPK46" s="2844"/>
      <c r="DPL46" s="2845"/>
      <c r="DPM46" s="2842"/>
      <c r="DPN46" s="2842"/>
      <c r="DPO46" s="2843"/>
      <c r="DPP46" s="2843"/>
      <c r="DPQ46" s="2844"/>
      <c r="DPR46" s="2845"/>
      <c r="DPS46" s="2842"/>
      <c r="DPT46" s="2842"/>
      <c r="DPU46" s="2843"/>
      <c r="DPV46" s="2843"/>
      <c r="DPW46" s="2844"/>
      <c r="DPX46" s="2845"/>
      <c r="DPY46" s="2842"/>
      <c r="DPZ46" s="2842"/>
      <c r="DQA46" s="2843"/>
      <c r="DQB46" s="2843"/>
      <c r="DQC46" s="2844"/>
      <c r="DQD46" s="2845"/>
      <c r="DQE46" s="2842"/>
      <c r="DQF46" s="2842"/>
      <c r="DQG46" s="2843"/>
      <c r="DQH46" s="2843"/>
      <c r="DQI46" s="2844"/>
      <c r="DQJ46" s="2845"/>
      <c r="DQK46" s="2842"/>
      <c r="DQL46" s="2842"/>
      <c r="DQM46" s="2843"/>
      <c r="DQN46" s="2843"/>
      <c r="DQO46" s="2844"/>
      <c r="DQP46" s="2845"/>
      <c r="DQQ46" s="2842"/>
      <c r="DQR46" s="2842"/>
      <c r="DQS46" s="2843"/>
      <c r="DQT46" s="2843"/>
      <c r="DQU46" s="2844"/>
      <c r="DQV46" s="2845"/>
      <c r="DQW46" s="2842"/>
      <c r="DQX46" s="2842"/>
      <c r="DQY46" s="2843"/>
      <c r="DQZ46" s="2843"/>
      <c r="DRA46" s="2844"/>
      <c r="DRB46" s="2845"/>
      <c r="DRC46" s="2842"/>
      <c r="DRD46" s="2842"/>
      <c r="DRE46" s="2843"/>
      <c r="DRF46" s="2843"/>
      <c r="DRG46" s="2844"/>
      <c r="DRH46" s="2845"/>
      <c r="DRI46" s="2842"/>
      <c r="DRJ46" s="2842"/>
      <c r="DRK46" s="2843"/>
      <c r="DRL46" s="2843"/>
      <c r="DRM46" s="2844"/>
      <c r="DRN46" s="2845"/>
      <c r="DRO46" s="2842"/>
      <c r="DRP46" s="2842"/>
      <c r="DRQ46" s="2843"/>
      <c r="DRR46" s="2843"/>
      <c r="DRS46" s="2844"/>
      <c r="DRT46" s="2845"/>
      <c r="DRU46" s="2842"/>
      <c r="DRV46" s="2842"/>
      <c r="DRW46" s="2843"/>
      <c r="DRX46" s="2843"/>
      <c r="DRY46" s="2844"/>
      <c r="DRZ46" s="2845"/>
      <c r="DSA46" s="2842"/>
      <c r="DSB46" s="2842"/>
      <c r="DSC46" s="2843"/>
      <c r="DSD46" s="2843"/>
      <c r="DSE46" s="2844"/>
      <c r="DSF46" s="2845"/>
      <c r="DSG46" s="2842"/>
      <c r="DSH46" s="2842"/>
      <c r="DSI46" s="2843"/>
      <c r="DSJ46" s="2843"/>
      <c r="DSK46" s="2844"/>
      <c r="DSL46" s="2845"/>
      <c r="DSM46" s="2842"/>
      <c r="DSN46" s="2842"/>
      <c r="DSO46" s="2843"/>
      <c r="DSP46" s="2843"/>
      <c r="DSQ46" s="2844"/>
      <c r="DSR46" s="2845"/>
      <c r="DSS46" s="2842"/>
      <c r="DST46" s="2842"/>
      <c r="DSU46" s="2843"/>
      <c r="DSV46" s="2843"/>
      <c r="DSW46" s="2844"/>
      <c r="DSX46" s="2845"/>
      <c r="DSY46" s="2842"/>
      <c r="DSZ46" s="2842"/>
      <c r="DTA46" s="2843"/>
      <c r="DTB46" s="2843"/>
      <c r="DTC46" s="2844"/>
      <c r="DTD46" s="2845"/>
      <c r="DTE46" s="2842"/>
      <c r="DTF46" s="2842"/>
      <c r="DTG46" s="2843"/>
      <c r="DTH46" s="2843"/>
      <c r="DTI46" s="2844"/>
      <c r="DTJ46" s="2845"/>
      <c r="DTK46" s="2842"/>
      <c r="DTL46" s="2842"/>
      <c r="DTM46" s="2843"/>
      <c r="DTN46" s="2843"/>
      <c r="DTO46" s="2844"/>
      <c r="DTP46" s="2845"/>
      <c r="DTQ46" s="2842"/>
      <c r="DTR46" s="2842"/>
      <c r="DTS46" s="2843"/>
      <c r="DTT46" s="2843"/>
      <c r="DTU46" s="2844"/>
      <c r="DTV46" s="2845"/>
      <c r="DTW46" s="2842"/>
      <c r="DTX46" s="2842"/>
      <c r="DTY46" s="2843"/>
      <c r="DTZ46" s="2843"/>
      <c r="DUA46" s="2844"/>
      <c r="DUB46" s="2845"/>
      <c r="DUC46" s="2842"/>
      <c r="DUD46" s="2842"/>
      <c r="DUE46" s="2843"/>
      <c r="DUF46" s="2843"/>
      <c r="DUG46" s="2844"/>
      <c r="DUH46" s="2845"/>
      <c r="DUI46" s="2842"/>
      <c r="DUJ46" s="2842"/>
      <c r="DUK46" s="2843"/>
      <c r="DUL46" s="2843"/>
      <c r="DUM46" s="2844"/>
      <c r="DUN46" s="2845"/>
      <c r="DUO46" s="2842"/>
      <c r="DUP46" s="2842"/>
      <c r="DUQ46" s="2843"/>
      <c r="DUR46" s="2843"/>
      <c r="DUS46" s="2844"/>
      <c r="DUT46" s="2845"/>
      <c r="DUU46" s="2842"/>
      <c r="DUV46" s="2842"/>
      <c r="DUW46" s="2843"/>
      <c r="DUX46" s="2843"/>
      <c r="DUY46" s="2844"/>
      <c r="DUZ46" s="2845"/>
      <c r="DVA46" s="2842"/>
      <c r="DVB46" s="2842"/>
      <c r="DVC46" s="2843"/>
      <c r="DVD46" s="2843"/>
      <c r="DVE46" s="2844"/>
      <c r="DVF46" s="2845"/>
      <c r="DVG46" s="2842"/>
      <c r="DVH46" s="2842"/>
      <c r="DVI46" s="2843"/>
      <c r="DVJ46" s="2843"/>
      <c r="DVK46" s="2844"/>
      <c r="DVL46" s="2845"/>
      <c r="DVM46" s="2842"/>
      <c r="DVN46" s="2842"/>
      <c r="DVO46" s="2843"/>
      <c r="DVP46" s="2843"/>
      <c r="DVQ46" s="2844"/>
      <c r="DVR46" s="2845"/>
      <c r="DVS46" s="2842"/>
      <c r="DVT46" s="2842"/>
      <c r="DVU46" s="2843"/>
      <c r="DVV46" s="2843"/>
      <c r="DVW46" s="2844"/>
      <c r="DVX46" s="2845"/>
      <c r="DVY46" s="2842"/>
      <c r="DVZ46" s="2842"/>
      <c r="DWA46" s="2843"/>
      <c r="DWB46" s="2843"/>
      <c r="DWC46" s="2844"/>
      <c r="DWD46" s="2845"/>
      <c r="DWE46" s="2842"/>
      <c r="DWF46" s="2842"/>
      <c r="DWG46" s="2843"/>
      <c r="DWH46" s="2843"/>
      <c r="DWI46" s="2844"/>
      <c r="DWJ46" s="2845"/>
      <c r="DWK46" s="2842"/>
      <c r="DWL46" s="2842"/>
      <c r="DWM46" s="2843"/>
      <c r="DWN46" s="2843"/>
      <c r="DWO46" s="2844"/>
      <c r="DWP46" s="2845"/>
      <c r="DWQ46" s="2842"/>
      <c r="DWR46" s="2842"/>
      <c r="DWS46" s="2843"/>
      <c r="DWT46" s="2843"/>
      <c r="DWU46" s="2844"/>
      <c r="DWV46" s="2845"/>
      <c r="DWW46" s="2842"/>
      <c r="DWX46" s="2842"/>
      <c r="DWY46" s="2843"/>
      <c r="DWZ46" s="2843"/>
      <c r="DXA46" s="2844"/>
      <c r="DXB46" s="2845"/>
      <c r="DXC46" s="2842"/>
      <c r="DXD46" s="2842"/>
      <c r="DXE46" s="2843"/>
      <c r="DXF46" s="2843"/>
      <c r="DXG46" s="2844"/>
      <c r="DXH46" s="2845"/>
      <c r="DXI46" s="2842"/>
      <c r="DXJ46" s="2842"/>
      <c r="DXK46" s="2843"/>
      <c r="DXL46" s="2843"/>
      <c r="DXM46" s="2844"/>
      <c r="DXN46" s="2845"/>
      <c r="DXO46" s="2842"/>
      <c r="DXP46" s="2842"/>
      <c r="DXQ46" s="2843"/>
      <c r="DXR46" s="2843"/>
      <c r="DXS46" s="2844"/>
      <c r="DXT46" s="2845"/>
      <c r="DXU46" s="2842"/>
      <c r="DXV46" s="2842"/>
      <c r="DXW46" s="2843"/>
      <c r="DXX46" s="2843"/>
      <c r="DXY46" s="2844"/>
      <c r="DXZ46" s="2845"/>
      <c r="DYA46" s="2842"/>
      <c r="DYB46" s="2842"/>
      <c r="DYC46" s="2843"/>
      <c r="DYD46" s="2843"/>
      <c r="DYE46" s="2844"/>
      <c r="DYF46" s="2845"/>
      <c r="DYG46" s="2842"/>
      <c r="DYH46" s="2842"/>
      <c r="DYI46" s="2843"/>
      <c r="DYJ46" s="2843"/>
      <c r="DYK46" s="2844"/>
      <c r="DYL46" s="2845"/>
      <c r="DYM46" s="2842"/>
      <c r="DYN46" s="2842"/>
      <c r="DYO46" s="2843"/>
      <c r="DYP46" s="2843"/>
      <c r="DYQ46" s="2844"/>
      <c r="DYR46" s="2845"/>
      <c r="DYS46" s="2842"/>
      <c r="DYT46" s="2842"/>
      <c r="DYU46" s="2843"/>
      <c r="DYV46" s="2843"/>
      <c r="DYW46" s="2844"/>
      <c r="DYX46" s="2845"/>
      <c r="DYY46" s="2842"/>
      <c r="DYZ46" s="2842"/>
      <c r="DZA46" s="2843"/>
      <c r="DZB46" s="2843"/>
      <c r="DZC46" s="2844"/>
      <c r="DZD46" s="2845"/>
      <c r="DZE46" s="2842"/>
      <c r="DZF46" s="2842"/>
      <c r="DZG46" s="2843"/>
      <c r="DZH46" s="2843"/>
      <c r="DZI46" s="2844"/>
      <c r="DZJ46" s="2845"/>
      <c r="DZK46" s="2842"/>
      <c r="DZL46" s="2842"/>
      <c r="DZM46" s="2843"/>
      <c r="DZN46" s="2843"/>
      <c r="DZO46" s="2844"/>
      <c r="DZP46" s="2845"/>
      <c r="DZQ46" s="2842"/>
      <c r="DZR46" s="2842"/>
      <c r="DZS46" s="2843"/>
      <c r="DZT46" s="2843"/>
      <c r="DZU46" s="2844"/>
      <c r="DZV46" s="2845"/>
      <c r="DZW46" s="2842"/>
      <c r="DZX46" s="2842"/>
      <c r="DZY46" s="2843"/>
      <c r="DZZ46" s="2843"/>
      <c r="EAA46" s="2844"/>
      <c r="EAB46" s="2845"/>
      <c r="EAC46" s="2842"/>
      <c r="EAD46" s="2842"/>
      <c r="EAE46" s="2843"/>
      <c r="EAF46" s="2843"/>
      <c r="EAG46" s="2844"/>
      <c r="EAH46" s="2845"/>
      <c r="EAI46" s="2842"/>
      <c r="EAJ46" s="2842"/>
      <c r="EAK46" s="2843"/>
      <c r="EAL46" s="2843"/>
      <c r="EAM46" s="2844"/>
      <c r="EAN46" s="2845"/>
      <c r="EAO46" s="2842"/>
      <c r="EAP46" s="2842"/>
      <c r="EAQ46" s="2843"/>
      <c r="EAR46" s="2843"/>
      <c r="EAS46" s="2844"/>
      <c r="EAT46" s="2845"/>
      <c r="EAU46" s="2842"/>
      <c r="EAV46" s="2842"/>
      <c r="EAW46" s="2843"/>
      <c r="EAX46" s="2843"/>
      <c r="EAY46" s="2844"/>
      <c r="EAZ46" s="2845"/>
      <c r="EBA46" s="2842"/>
      <c r="EBB46" s="2842"/>
      <c r="EBC46" s="2843"/>
      <c r="EBD46" s="2843"/>
      <c r="EBE46" s="2844"/>
      <c r="EBF46" s="2845"/>
      <c r="EBG46" s="2842"/>
      <c r="EBH46" s="2842"/>
      <c r="EBI46" s="2843"/>
      <c r="EBJ46" s="2843"/>
      <c r="EBK46" s="2844"/>
      <c r="EBL46" s="2845"/>
      <c r="EBM46" s="2842"/>
      <c r="EBN46" s="2842"/>
      <c r="EBO46" s="2843"/>
      <c r="EBP46" s="2843"/>
      <c r="EBQ46" s="2844"/>
      <c r="EBR46" s="2845"/>
      <c r="EBS46" s="2842"/>
      <c r="EBT46" s="2842"/>
      <c r="EBU46" s="2843"/>
      <c r="EBV46" s="2843"/>
      <c r="EBW46" s="2844"/>
      <c r="EBX46" s="2845"/>
      <c r="EBY46" s="2842"/>
      <c r="EBZ46" s="2842"/>
      <c r="ECA46" s="2843"/>
      <c r="ECB46" s="2843"/>
      <c r="ECC46" s="2844"/>
      <c r="ECD46" s="2845"/>
      <c r="ECE46" s="2842"/>
      <c r="ECF46" s="2842"/>
      <c r="ECG46" s="2843"/>
      <c r="ECH46" s="2843"/>
      <c r="ECI46" s="2844"/>
      <c r="ECJ46" s="2845"/>
      <c r="ECK46" s="2842"/>
      <c r="ECL46" s="2842"/>
      <c r="ECM46" s="2843"/>
      <c r="ECN46" s="2843"/>
      <c r="ECO46" s="2844"/>
      <c r="ECP46" s="2845"/>
      <c r="ECQ46" s="2842"/>
      <c r="ECR46" s="2842"/>
      <c r="ECS46" s="2843"/>
      <c r="ECT46" s="2843"/>
      <c r="ECU46" s="2844"/>
      <c r="ECV46" s="2845"/>
      <c r="ECW46" s="2842"/>
      <c r="ECX46" s="2842"/>
      <c r="ECY46" s="2843"/>
      <c r="ECZ46" s="2843"/>
      <c r="EDA46" s="2844"/>
      <c r="EDB46" s="2845"/>
      <c r="EDC46" s="2842"/>
      <c r="EDD46" s="2842"/>
      <c r="EDE46" s="2843"/>
      <c r="EDF46" s="2843"/>
      <c r="EDG46" s="2844"/>
      <c r="EDH46" s="2845"/>
      <c r="EDI46" s="2842"/>
      <c r="EDJ46" s="2842"/>
      <c r="EDK46" s="2843"/>
      <c r="EDL46" s="2843"/>
      <c r="EDM46" s="2844"/>
      <c r="EDN46" s="2845"/>
      <c r="EDO46" s="2842"/>
      <c r="EDP46" s="2842"/>
      <c r="EDQ46" s="2843"/>
      <c r="EDR46" s="2843"/>
      <c r="EDS46" s="2844"/>
      <c r="EDT46" s="2845"/>
      <c r="EDU46" s="2842"/>
      <c r="EDV46" s="2842"/>
      <c r="EDW46" s="2843"/>
      <c r="EDX46" s="2843"/>
      <c r="EDY46" s="2844"/>
      <c r="EDZ46" s="2845"/>
      <c r="EEA46" s="2842"/>
      <c r="EEB46" s="2842"/>
      <c r="EEC46" s="2843"/>
      <c r="EED46" s="2843"/>
      <c r="EEE46" s="2844"/>
      <c r="EEF46" s="2845"/>
      <c r="EEG46" s="2842"/>
      <c r="EEH46" s="2842"/>
      <c r="EEI46" s="2843"/>
      <c r="EEJ46" s="2843"/>
      <c r="EEK46" s="2844"/>
      <c r="EEL46" s="2845"/>
      <c r="EEM46" s="2842"/>
      <c r="EEN46" s="2842"/>
      <c r="EEO46" s="2843"/>
      <c r="EEP46" s="2843"/>
      <c r="EEQ46" s="2844"/>
      <c r="EER46" s="2845"/>
      <c r="EES46" s="2842"/>
      <c r="EET46" s="2842"/>
      <c r="EEU46" s="2843"/>
      <c r="EEV46" s="2843"/>
      <c r="EEW46" s="2844"/>
      <c r="EEX46" s="2845"/>
      <c r="EEY46" s="2842"/>
      <c r="EEZ46" s="2842"/>
      <c r="EFA46" s="2843"/>
      <c r="EFB46" s="2843"/>
      <c r="EFC46" s="2844"/>
      <c r="EFD46" s="2845"/>
      <c r="EFE46" s="2842"/>
      <c r="EFF46" s="2842"/>
      <c r="EFG46" s="2843"/>
      <c r="EFH46" s="2843"/>
      <c r="EFI46" s="2844"/>
      <c r="EFJ46" s="2845"/>
      <c r="EFK46" s="2842"/>
      <c r="EFL46" s="2842"/>
      <c r="EFM46" s="2843"/>
      <c r="EFN46" s="2843"/>
      <c r="EFO46" s="2844"/>
      <c r="EFP46" s="2845"/>
      <c r="EFQ46" s="2842"/>
      <c r="EFR46" s="2842"/>
      <c r="EFS46" s="2843"/>
      <c r="EFT46" s="2843"/>
      <c r="EFU46" s="2844"/>
      <c r="EFV46" s="2845"/>
      <c r="EFW46" s="2842"/>
      <c r="EFX46" s="2842"/>
      <c r="EFY46" s="2843"/>
      <c r="EFZ46" s="2843"/>
      <c r="EGA46" s="2844"/>
      <c r="EGB46" s="2845"/>
      <c r="EGC46" s="2842"/>
      <c r="EGD46" s="2842"/>
      <c r="EGE46" s="2843"/>
      <c r="EGF46" s="2843"/>
      <c r="EGG46" s="2844"/>
      <c r="EGH46" s="2845"/>
      <c r="EGI46" s="2842"/>
      <c r="EGJ46" s="2842"/>
      <c r="EGK46" s="2843"/>
      <c r="EGL46" s="2843"/>
      <c r="EGM46" s="2844"/>
      <c r="EGN46" s="2845"/>
      <c r="EGO46" s="2842"/>
      <c r="EGP46" s="2842"/>
      <c r="EGQ46" s="2843"/>
      <c r="EGR46" s="2843"/>
      <c r="EGS46" s="2844"/>
      <c r="EGT46" s="2845"/>
      <c r="EGU46" s="2842"/>
      <c r="EGV46" s="2842"/>
      <c r="EGW46" s="2843"/>
      <c r="EGX46" s="2843"/>
      <c r="EGY46" s="2844"/>
      <c r="EGZ46" s="2845"/>
      <c r="EHA46" s="2842"/>
      <c r="EHB46" s="2842"/>
      <c r="EHC46" s="2843"/>
      <c r="EHD46" s="2843"/>
      <c r="EHE46" s="2844"/>
      <c r="EHF46" s="2845"/>
      <c r="EHG46" s="2842"/>
      <c r="EHH46" s="2842"/>
      <c r="EHI46" s="2843"/>
      <c r="EHJ46" s="2843"/>
      <c r="EHK46" s="2844"/>
      <c r="EHL46" s="2845"/>
      <c r="EHM46" s="2842"/>
      <c r="EHN46" s="2842"/>
      <c r="EHO46" s="2843"/>
      <c r="EHP46" s="2843"/>
      <c r="EHQ46" s="2844"/>
      <c r="EHR46" s="2845"/>
      <c r="EHS46" s="2842"/>
      <c r="EHT46" s="2842"/>
      <c r="EHU46" s="2843"/>
      <c r="EHV46" s="2843"/>
      <c r="EHW46" s="2844"/>
      <c r="EHX46" s="2845"/>
      <c r="EHY46" s="2842"/>
      <c r="EHZ46" s="2842"/>
      <c r="EIA46" s="2843"/>
      <c r="EIB46" s="2843"/>
      <c r="EIC46" s="2844"/>
      <c r="EID46" s="2845"/>
      <c r="EIE46" s="2842"/>
      <c r="EIF46" s="2842"/>
      <c r="EIG46" s="2843"/>
      <c r="EIH46" s="2843"/>
      <c r="EII46" s="2844"/>
      <c r="EIJ46" s="2845"/>
      <c r="EIK46" s="2842"/>
      <c r="EIL46" s="2842"/>
      <c r="EIM46" s="2843"/>
      <c r="EIN46" s="2843"/>
      <c r="EIO46" s="2844"/>
      <c r="EIP46" s="2845"/>
      <c r="EIQ46" s="2842"/>
      <c r="EIR46" s="2842"/>
      <c r="EIS46" s="2843"/>
      <c r="EIT46" s="2843"/>
      <c r="EIU46" s="2844"/>
      <c r="EIV46" s="2845"/>
      <c r="EIW46" s="2842"/>
      <c r="EIX46" s="2842"/>
      <c r="EIY46" s="2843"/>
      <c r="EIZ46" s="2843"/>
      <c r="EJA46" s="2844"/>
      <c r="EJB46" s="2845"/>
      <c r="EJC46" s="2842"/>
      <c r="EJD46" s="2842"/>
      <c r="EJE46" s="2843"/>
      <c r="EJF46" s="2843"/>
      <c r="EJG46" s="2844"/>
      <c r="EJH46" s="2845"/>
      <c r="EJI46" s="2842"/>
      <c r="EJJ46" s="2842"/>
      <c r="EJK46" s="2843"/>
      <c r="EJL46" s="2843"/>
      <c r="EJM46" s="2844"/>
      <c r="EJN46" s="2845"/>
      <c r="EJO46" s="2842"/>
      <c r="EJP46" s="2842"/>
      <c r="EJQ46" s="2843"/>
      <c r="EJR46" s="2843"/>
      <c r="EJS46" s="2844"/>
      <c r="EJT46" s="2845"/>
      <c r="EJU46" s="2842"/>
      <c r="EJV46" s="2842"/>
      <c r="EJW46" s="2843"/>
      <c r="EJX46" s="2843"/>
      <c r="EJY46" s="2844"/>
      <c r="EJZ46" s="2845"/>
      <c r="EKA46" s="2842"/>
      <c r="EKB46" s="2842"/>
      <c r="EKC46" s="2843"/>
      <c r="EKD46" s="2843"/>
      <c r="EKE46" s="2844"/>
      <c r="EKF46" s="2845"/>
      <c r="EKG46" s="2842"/>
      <c r="EKH46" s="2842"/>
      <c r="EKI46" s="2843"/>
      <c r="EKJ46" s="2843"/>
      <c r="EKK46" s="2844"/>
      <c r="EKL46" s="2845"/>
      <c r="EKM46" s="2842"/>
      <c r="EKN46" s="2842"/>
      <c r="EKO46" s="2843"/>
      <c r="EKP46" s="2843"/>
      <c r="EKQ46" s="2844"/>
      <c r="EKR46" s="2845"/>
      <c r="EKS46" s="2842"/>
      <c r="EKT46" s="2842"/>
      <c r="EKU46" s="2843"/>
      <c r="EKV46" s="2843"/>
      <c r="EKW46" s="2844"/>
      <c r="EKX46" s="2845"/>
      <c r="EKY46" s="2842"/>
      <c r="EKZ46" s="2842"/>
      <c r="ELA46" s="2843"/>
      <c r="ELB46" s="2843"/>
      <c r="ELC46" s="2844"/>
      <c r="ELD46" s="2845"/>
      <c r="ELE46" s="2842"/>
      <c r="ELF46" s="2842"/>
      <c r="ELG46" s="2843"/>
      <c r="ELH46" s="2843"/>
      <c r="ELI46" s="2844"/>
      <c r="ELJ46" s="2845"/>
      <c r="ELK46" s="2842"/>
      <c r="ELL46" s="2842"/>
      <c r="ELM46" s="2843"/>
      <c r="ELN46" s="2843"/>
      <c r="ELO46" s="2844"/>
      <c r="ELP46" s="2845"/>
      <c r="ELQ46" s="2842"/>
      <c r="ELR46" s="2842"/>
      <c r="ELS46" s="2843"/>
      <c r="ELT46" s="2843"/>
      <c r="ELU46" s="2844"/>
      <c r="ELV46" s="2845"/>
      <c r="ELW46" s="2842"/>
      <c r="ELX46" s="2842"/>
      <c r="ELY46" s="2843"/>
      <c r="ELZ46" s="2843"/>
      <c r="EMA46" s="2844"/>
      <c r="EMB46" s="2845"/>
      <c r="EMC46" s="2842"/>
      <c r="EMD46" s="2842"/>
      <c r="EME46" s="2843"/>
      <c r="EMF46" s="2843"/>
      <c r="EMG46" s="2844"/>
      <c r="EMH46" s="2845"/>
      <c r="EMI46" s="2842"/>
      <c r="EMJ46" s="2842"/>
      <c r="EMK46" s="2843"/>
      <c r="EML46" s="2843"/>
      <c r="EMM46" s="2844"/>
      <c r="EMN46" s="2845"/>
      <c r="EMO46" s="2842"/>
      <c r="EMP46" s="2842"/>
      <c r="EMQ46" s="2843"/>
      <c r="EMR46" s="2843"/>
      <c r="EMS46" s="2844"/>
      <c r="EMT46" s="2845"/>
      <c r="EMU46" s="2842"/>
      <c r="EMV46" s="2842"/>
      <c r="EMW46" s="2843"/>
      <c r="EMX46" s="2843"/>
      <c r="EMY46" s="2844"/>
      <c r="EMZ46" s="2845"/>
      <c r="ENA46" s="2842"/>
      <c r="ENB46" s="2842"/>
      <c r="ENC46" s="2843"/>
      <c r="END46" s="2843"/>
      <c r="ENE46" s="2844"/>
      <c r="ENF46" s="2845"/>
      <c r="ENG46" s="2842"/>
      <c r="ENH46" s="2842"/>
      <c r="ENI46" s="2843"/>
      <c r="ENJ46" s="2843"/>
      <c r="ENK46" s="2844"/>
      <c r="ENL46" s="2845"/>
      <c r="ENM46" s="2842"/>
      <c r="ENN46" s="2842"/>
      <c r="ENO46" s="2843"/>
      <c r="ENP46" s="2843"/>
      <c r="ENQ46" s="2844"/>
      <c r="ENR46" s="2845"/>
      <c r="ENS46" s="2842"/>
      <c r="ENT46" s="2842"/>
      <c r="ENU46" s="2843"/>
      <c r="ENV46" s="2843"/>
      <c r="ENW46" s="2844"/>
      <c r="ENX46" s="2845"/>
      <c r="ENY46" s="2842"/>
      <c r="ENZ46" s="2842"/>
      <c r="EOA46" s="2843"/>
      <c r="EOB46" s="2843"/>
      <c r="EOC46" s="2844"/>
      <c r="EOD46" s="2845"/>
      <c r="EOE46" s="2842"/>
      <c r="EOF46" s="2842"/>
      <c r="EOG46" s="2843"/>
      <c r="EOH46" s="2843"/>
      <c r="EOI46" s="2844"/>
      <c r="EOJ46" s="2845"/>
      <c r="EOK46" s="2842"/>
      <c r="EOL46" s="2842"/>
      <c r="EOM46" s="2843"/>
      <c r="EON46" s="2843"/>
      <c r="EOO46" s="2844"/>
      <c r="EOP46" s="2845"/>
      <c r="EOQ46" s="2842"/>
      <c r="EOR46" s="2842"/>
      <c r="EOS46" s="2843"/>
      <c r="EOT46" s="2843"/>
      <c r="EOU46" s="2844"/>
      <c r="EOV46" s="2845"/>
      <c r="EOW46" s="2842"/>
      <c r="EOX46" s="2842"/>
      <c r="EOY46" s="2843"/>
      <c r="EOZ46" s="2843"/>
      <c r="EPA46" s="2844"/>
      <c r="EPB46" s="2845"/>
      <c r="EPC46" s="2842"/>
      <c r="EPD46" s="2842"/>
      <c r="EPE46" s="2843"/>
      <c r="EPF46" s="2843"/>
      <c r="EPG46" s="2844"/>
      <c r="EPH46" s="2845"/>
      <c r="EPI46" s="2842"/>
      <c r="EPJ46" s="2842"/>
      <c r="EPK46" s="2843"/>
      <c r="EPL46" s="2843"/>
      <c r="EPM46" s="2844"/>
      <c r="EPN46" s="2845"/>
      <c r="EPO46" s="2842"/>
      <c r="EPP46" s="2842"/>
      <c r="EPQ46" s="2843"/>
      <c r="EPR46" s="2843"/>
      <c r="EPS46" s="2844"/>
      <c r="EPT46" s="2845"/>
      <c r="EPU46" s="2842"/>
      <c r="EPV46" s="2842"/>
      <c r="EPW46" s="2843"/>
      <c r="EPX46" s="2843"/>
      <c r="EPY46" s="2844"/>
      <c r="EPZ46" s="2845"/>
      <c r="EQA46" s="2842"/>
      <c r="EQB46" s="2842"/>
      <c r="EQC46" s="2843"/>
      <c r="EQD46" s="2843"/>
      <c r="EQE46" s="2844"/>
      <c r="EQF46" s="2845"/>
      <c r="EQG46" s="2842"/>
      <c r="EQH46" s="2842"/>
      <c r="EQI46" s="2843"/>
      <c r="EQJ46" s="2843"/>
      <c r="EQK46" s="2844"/>
      <c r="EQL46" s="2845"/>
      <c r="EQM46" s="2842"/>
      <c r="EQN46" s="2842"/>
      <c r="EQO46" s="2843"/>
      <c r="EQP46" s="2843"/>
      <c r="EQQ46" s="2844"/>
      <c r="EQR46" s="2845"/>
      <c r="EQS46" s="2842"/>
      <c r="EQT46" s="2842"/>
      <c r="EQU46" s="2843"/>
      <c r="EQV46" s="2843"/>
      <c r="EQW46" s="2844"/>
      <c r="EQX46" s="2845"/>
      <c r="EQY46" s="2842"/>
      <c r="EQZ46" s="2842"/>
      <c r="ERA46" s="2843"/>
      <c r="ERB46" s="2843"/>
      <c r="ERC46" s="2844"/>
      <c r="ERD46" s="2845"/>
      <c r="ERE46" s="2842"/>
      <c r="ERF46" s="2842"/>
      <c r="ERG46" s="2843"/>
      <c r="ERH46" s="2843"/>
      <c r="ERI46" s="2844"/>
      <c r="ERJ46" s="2845"/>
      <c r="ERK46" s="2842"/>
      <c r="ERL46" s="2842"/>
      <c r="ERM46" s="2843"/>
      <c r="ERN46" s="2843"/>
      <c r="ERO46" s="2844"/>
      <c r="ERP46" s="2845"/>
      <c r="ERQ46" s="2842"/>
      <c r="ERR46" s="2842"/>
      <c r="ERS46" s="2843"/>
      <c r="ERT46" s="2843"/>
      <c r="ERU46" s="2844"/>
      <c r="ERV46" s="2845"/>
      <c r="ERW46" s="2842"/>
      <c r="ERX46" s="2842"/>
      <c r="ERY46" s="2843"/>
      <c r="ERZ46" s="2843"/>
      <c r="ESA46" s="2844"/>
      <c r="ESB46" s="2845"/>
      <c r="ESC46" s="2842"/>
      <c r="ESD46" s="2842"/>
      <c r="ESE46" s="2843"/>
      <c r="ESF46" s="2843"/>
      <c r="ESG46" s="2844"/>
      <c r="ESH46" s="2845"/>
      <c r="ESI46" s="2842"/>
      <c r="ESJ46" s="2842"/>
      <c r="ESK46" s="2843"/>
      <c r="ESL46" s="2843"/>
      <c r="ESM46" s="2844"/>
      <c r="ESN46" s="2845"/>
      <c r="ESO46" s="2842"/>
      <c r="ESP46" s="2842"/>
      <c r="ESQ46" s="2843"/>
      <c r="ESR46" s="2843"/>
      <c r="ESS46" s="2844"/>
      <c r="EST46" s="2845"/>
      <c r="ESU46" s="2842"/>
      <c r="ESV46" s="2842"/>
      <c r="ESW46" s="2843"/>
      <c r="ESX46" s="2843"/>
      <c r="ESY46" s="2844"/>
      <c r="ESZ46" s="2845"/>
      <c r="ETA46" s="2842"/>
      <c r="ETB46" s="2842"/>
      <c r="ETC46" s="2843"/>
      <c r="ETD46" s="2843"/>
      <c r="ETE46" s="2844"/>
      <c r="ETF46" s="2845"/>
      <c r="ETG46" s="2842"/>
      <c r="ETH46" s="2842"/>
      <c r="ETI46" s="2843"/>
      <c r="ETJ46" s="2843"/>
      <c r="ETK46" s="2844"/>
      <c r="ETL46" s="2845"/>
      <c r="ETM46" s="2842"/>
      <c r="ETN46" s="2842"/>
      <c r="ETO46" s="2843"/>
      <c r="ETP46" s="2843"/>
      <c r="ETQ46" s="2844"/>
      <c r="ETR46" s="2845"/>
      <c r="ETS46" s="2842"/>
      <c r="ETT46" s="2842"/>
      <c r="ETU46" s="2843"/>
      <c r="ETV46" s="2843"/>
      <c r="ETW46" s="2844"/>
      <c r="ETX46" s="2845"/>
      <c r="ETY46" s="2842"/>
      <c r="ETZ46" s="2842"/>
      <c r="EUA46" s="2843"/>
      <c r="EUB46" s="2843"/>
      <c r="EUC46" s="2844"/>
      <c r="EUD46" s="2845"/>
      <c r="EUE46" s="2842"/>
      <c r="EUF46" s="2842"/>
      <c r="EUG46" s="2843"/>
      <c r="EUH46" s="2843"/>
      <c r="EUI46" s="2844"/>
      <c r="EUJ46" s="2845"/>
      <c r="EUK46" s="2842"/>
      <c r="EUL46" s="2842"/>
      <c r="EUM46" s="2843"/>
      <c r="EUN46" s="2843"/>
      <c r="EUO46" s="2844"/>
      <c r="EUP46" s="2845"/>
      <c r="EUQ46" s="2842"/>
      <c r="EUR46" s="2842"/>
      <c r="EUS46" s="2843"/>
      <c r="EUT46" s="2843"/>
      <c r="EUU46" s="2844"/>
      <c r="EUV46" s="2845"/>
      <c r="EUW46" s="2842"/>
      <c r="EUX46" s="2842"/>
      <c r="EUY46" s="2843"/>
      <c r="EUZ46" s="2843"/>
      <c r="EVA46" s="2844"/>
      <c r="EVB46" s="2845"/>
      <c r="EVC46" s="2842"/>
      <c r="EVD46" s="2842"/>
      <c r="EVE46" s="2843"/>
      <c r="EVF46" s="2843"/>
      <c r="EVG46" s="2844"/>
      <c r="EVH46" s="2845"/>
      <c r="EVI46" s="2842"/>
      <c r="EVJ46" s="2842"/>
      <c r="EVK46" s="2843"/>
      <c r="EVL46" s="2843"/>
      <c r="EVM46" s="2844"/>
      <c r="EVN46" s="2845"/>
      <c r="EVO46" s="2842"/>
      <c r="EVP46" s="2842"/>
      <c r="EVQ46" s="2843"/>
      <c r="EVR46" s="2843"/>
      <c r="EVS46" s="2844"/>
      <c r="EVT46" s="2845"/>
      <c r="EVU46" s="2842"/>
      <c r="EVV46" s="2842"/>
      <c r="EVW46" s="2843"/>
      <c r="EVX46" s="2843"/>
      <c r="EVY46" s="2844"/>
      <c r="EVZ46" s="2845"/>
      <c r="EWA46" s="2842"/>
      <c r="EWB46" s="2842"/>
      <c r="EWC46" s="2843"/>
      <c r="EWD46" s="2843"/>
      <c r="EWE46" s="2844"/>
      <c r="EWF46" s="2845"/>
      <c r="EWG46" s="2842"/>
      <c r="EWH46" s="2842"/>
      <c r="EWI46" s="2843"/>
      <c r="EWJ46" s="2843"/>
      <c r="EWK46" s="2844"/>
      <c r="EWL46" s="2845"/>
      <c r="EWM46" s="2842"/>
      <c r="EWN46" s="2842"/>
      <c r="EWO46" s="2843"/>
      <c r="EWP46" s="2843"/>
      <c r="EWQ46" s="2844"/>
      <c r="EWR46" s="2845"/>
      <c r="EWS46" s="2842"/>
      <c r="EWT46" s="2842"/>
      <c r="EWU46" s="2843"/>
      <c r="EWV46" s="2843"/>
      <c r="EWW46" s="2844"/>
      <c r="EWX46" s="2845"/>
      <c r="EWY46" s="2842"/>
      <c r="EWZ46" s="2842"/>
      <c r="EXA46" s="2843"/>
      <c r="EXB46" s="2843"/>
      <c r="EXC46" s="2844"/>
      <c r="EXD46" s="2845"/>
      <c r="EXE46" s="2842"/>
      <c r="EXF46" s="2842"/>
      <c r="EXG46" s="2843"/>
      <c r="EXH46" s="2843"/>
      <c r="EXI46" s="2844"/>
      <c r="EXJ46" s="2845"/>
      <c r="EXK46" s="2842"/>
      <c r="EXL46" s="2842"/>
      <c r="EXM46" s="2843"/>
      <c r="EXN46" s="2843"/>
      <c r="EXO46" s="2844"/>
      <c r="EXP46" s="2845"/>
      <c r="EXQ46" s="2842"/>
      <c r="EXR46" s="2842"/>
      <c r="EXS46" s="2843"/>
      <c r="EXT46" s="2843"/>
      <c r="EXU46" s="2844"/>
      <c r="EXV46" s="2845"/>
      <c r="EXW46" s="2842"/>
      <c r="EXX46" s="2842"/>
      <c r="EXY46" s="2843"/>
      <c r="EXZ46" s="2843"/>
      <c r="EYA46" s="2844"/>
      <c r="EYB46" s="2845"/>
      <c r="EYC46" s="2842"/>
      <c r="EYD46" s="2842"/>
      <c r="EYE46" s="2843"/>
      <c r="EYF46" s="2843"/>
      <c r="EYG46" s="2844"/>
      <c r="EYH46" s="2845"/>
      <c r="EYI46" s="2842"/>
      <c r="EYJ46" s="2842"/>
      <c r="EYK46" s="2843"/>
      <c r="EYL46" s="2843"/>
      <c r="EYM46" s="2844"/>
      <c r="EYN46" s="2845"/>
      <c r="EYO46" s="2842"/>
      <c r="EYP46" s="2842"/>
      <c r="EYQ46" s="2843"/>
      <c r="EYR46" s="2843"/>
      <c r="EYS46" s="2844"/>
      <c r="EYT46" s="2845"/>
      <c r="EYU46" s="2842"/>
      <c r="EYV46" s="2842"/>
      <c r="EYW46" s="2843"/>
      <c r="EYX46" s="2843"/>
      <c r="EYY46" s="2844"/>
      <c r="EYZ46" s="2845"/>
      <c r="EZA46" s="2842"/>
      <c r="EZB46" s="2842"/>
      <c r="EZC46" s="2843"/>
      <c r="EZD46" s="2843"/>
      <c r="EZE46" s="2844"/>
      <c r="EZF46" s="2845"/>
      <c r="EZG46" s="2842"/>
      <c r="EZH46" s="2842"/>
      <c r="EZI46" s="2843"/>
      <c r="EZJ46" s="2843"/>
      <c r="EZK46" s="2844"/>
      <c r="EZL46" s="2845"/>
      <c r="EZM46" s="2842"/>
      <c r="EZN46" s="2842"/>
      <c r="EZO46" s="2843"/>
      <c r="EZP46" s="2843"/>
      <c r="EZQ46" s="2844"/>
      <c r="EZR46" s="2845"/>
      <c r="EZS46" s="2842"/>
      <c r="EZT46" s="2842"/>
      <c r="EZU46" s="2843"/>
      <c r="EZV46" s="2843"/>
      <c r="EZW46" s="2844"/>
      <c r="EZX46" s="2845"/>
      <c r="EZY46" s="2842"/>
      <c r="EZZ46" s="2842"/>
      <c r="FAA46" s="2843"/>
      <c r="FAB46" s="2843"/>
      <c r="FAC46" s="2844"/>
      <c r="FAD46" s="2845"/>
      <c r="FAE46" s="2842"/>
      <c r="FAF46" s="2842"/>
      <c r="FAG46" s="2843"/>
      <c r="FAH46" s="2843"/>
      <c r="FAI46" s="2844"/>
      <c r="FAJ46" s="2845"/>
      <c r="FAK46" s="2842"/>
      <c r="FAL46" s="2842"/>
      <c r="FAM46" s="2843"/>
      <c r="FAN46" s="2843"/>
      <c r="FAO46" s="2844"/>
      <c r="FAP46" s="2845"/>
      <c r="FAQ46" s="2842"/>
      <c r="FAR46" s="2842"/>
      <c r="FAS46" s="2843"/>
      <c r="FAT46" s="2843"/>
      <c r="FAU46" s="2844"/>
      <c r="FAV46" s="2845"/>
      <c r="FAW46" s="2842"/>
      <c r="FAX46" s="2842"/>
      <c r="FAY46" s="2843"/>
      <c r="FAZ46" s="2843"/>
      <c r="FBA46" s="2844"/>
      <c r="FBB46" s="2845"/>
      <c r="FBC46" s="2842"/>
      <c r="FBD46" s="2842"/>
      <c r="FBE46" s="2843"/>
      <c r="FBF46" s="2843"/>
      <c r="FBG46" s="2844"/>
      <c r="FBH46" s="2845"/>
      <c r="FBI46" s="2842"/>
      <c r="FBJ46" s="2842"/>
      <c r="FBK46" s="2843"/>
      <c r="FBL46" s="2843"/>
      <c r="FBM46" s="2844"/>
      <c r="FBN46" s="2845"/>
      <c r="FBO46" s="2842"/>
      <c r="FBP46" s="2842"/>
      <c r="FBQ46" s="2843"/>
      <c r="FBR46" s="2843"/>
      <c r="FBS46" s="2844"/>
      <c r="FBT46" s="2845"/>
      <c r="FBU46" s="2842"/>
      <c r="FBV46" s="2842"/>
      <c r="FBW46" s="2843"/>
      <c r="FBX46" s="2843"/>
      <c r="FBY46" s="2844"/>
      <c r="FBZ46" s="2845"/>
      <c r="FCA46" s="2842"/>
      <c r="FCB46" s="2842"/>
      <c r="FCC46" s="2843"/>
      <c r="FCD46" s="2843"/>
      <c r="FCE46" s="2844"/>
      <c r="FCF46" s="2845"/>
      <c r="FCG46" s="2842"/>
      <c r="FCH46" s="2842"/>
      <c r="FCI46" s="2843"/>
      <c r="FCJ46" s="2843"/>
      <c r="FCK46" s="2844"/>
      <c r="FCL46" s="2845"/>
      <c r="FCM46" s="2842"/>
      <c r="FCN46" s="2842"/>
      <c r="FCO46" s="2843"/>
      <c r="FCP46" s="2843"/>
      <c r="FCQ46" s="2844"/>
      <c r="FCR46" s="2845"/>
      <c r="FCS46" s="2842"/>
      <c r="FCT46" s="2842"/>
      <c r="FCU46" s="2843"/>
      <c r="FCV46" s="2843"/>
      <c r="FCW46" s="2844"/>
      <c r="FCX46" s="2845"/>
      <c r="FCY46" s="2842"/>
      <c r="FCZ46" s="2842"/>
      <c r="FDA46" s="2843"/>
      <c r="FDB46" s="2843"/>
      <c r="FDC46" s="2844"/>
      <c r="FDD46" s="2845"/>
      <c r="FDE46" s="2842"/>
      <c r="FDF46" s="2842"/>
      <c r="FDG46" s="2843"/>
      <c r="FDH46" s="2843"/>
      <c r="FDI46" s="2844"/>
      <c r="FDJ46" s="2845"/>
      <c r="FDK46" s="2842"/>
      <c r="FDL46" s="2842"/>
      <c r="FDM46" s="2843"/>
      <c r="FDN46" s="2843"/>
      <c r="FDO46" s="2844"/>
      <c r="FDP46" s="2845"/>
      <c r="FDQ46" s="2842"/>
      <c r="FDR46" s="2842"/>
      <c r="FDS46" s="2843"/>
      <c r="FDT46" s="2843"/>
      <c r="FDU46" s="2844"/>
      <c r="FDV46" s="2845"/>
      <c r="FDW46" s="2842"/>
      <c r="FDX46" s="2842"/>
      <c r="FDY46" s="2843"/>
      <c r="FDZ46" s="2843"/>
      <c r="FEA46" s="2844"/>
      <c r="FEB46" s="2845"/>
      <c r="FEC46" s="2842"/>
      <c r="FED46" s="2842"/>
      <c r="FEE46" s="2843"/>
      <c r="FEF46" s="2843"/>
      <c r="FEG46" s="2844"/>
      <c r="FEH46" s="2845"/>
      <c r="FEI46" s="2842"/>
      <c r="FEJ46" s="2842"/>
      <c r="FEK46" s="2843"/>
      <c r="FEL46" s="2843"/>
      <c r="FEM46" s="2844"/>
      <c r="FEN46" s="2845"/>
      <c r="FEO46" s="2842"/>
      <c r="FEP46" s="2842"/>
      <c r="FEQ46" s="2843"/>
      <c r="FER46" s="2843"/>
      <c r="FES46" s="2844"/>
      <c r="FET46" s="2845"/>
      <c r="FEU46" s="2842"/>
      <c r="FEV46" s="2842"/>
      <c r="FEW46" s="2843"/>
      <c r="FEX46" s="2843"/>
      <c r="FEY46" s="2844"/>
      <c r="FEZ46" s="2845"/>
      <c r="FFA46" s="2842"/>
      <c r="FFB46" s="2842"/>
      <c r="FFC46" s="2843"/>
      <c r="FFD46" s="2843"/>
      <c r="FFE46" s="2844"/>
      <c r="FFF46" s="2845"/>
      <c r="FFG46" s="2842"/>
      <c r="FFH46" s="2842"/>
      <c r="FFI46" s="2843"/>
      <c r="FFJ46" s="2843"/>
      <c r="FFK46" s="2844"/>
      <c r="FFL46" s="2845"/>
      <c r="FFM46" s="2842"/>
      <c r="FFN46" s="2842"/>
      <c r="FFO46" s="2843"/>
      <c r="FFP46" s="2843"/>
      <c r="FFQ46" s="2844"/>
      <c r="FFR46" s="2845"/>
      <c r="FFS46" s="2842"/>
      <c r="FFT46" s="2842"/>
      <c r="FFU46" s="2843"/>
      <c r="FFV46" s="2843"/>
      <c r="FFW46" s="2844"/>
      <c r="FFX46" s="2845"/>
      <c r="FFY46" s="2842"/>
      <c r="FFZ46" s="2842"/>
      <c r="FGA46" s="2843"/>
      <c r="FGB46" s="2843"/>
      <c r="FGC46" s="2844"/>
      <c r="FGD46" s="2845"/>
      <c r="FGE46" s="2842"/>
      <c r="FGF46" s="2842"/>
      <c r="FGG46" s="2843"/>
      <c r="FGH46" s="2843"/>
      <c r="FGI46" s="2844"/>
      <c r="FGJ46" s="2845"/>
      <c r="FGK46" s="2842"/>
      <c r="FGL46" s="2842"/>
      <c r="FGM46" s="2843"/>
      <c r="FGN46" s="2843"/>
      <c r="FGO46" s="2844"/>
      <c r="FGP46" s="2845"/>
      <c r="FGQ46" s="2842"/>
      <c r="FGR46" s="2842"/>
      <c r="FGS46" s="2843"/>
      <c r="FGT46" s="2843"/>
      <c r="FGU46" s="2844"/>
      <c r="FGV46" s="2845"/>
      <c r="FGW46" s="2842"/>
      <c r="FGX46" s="2842"/>
      <c r="FGY46" s="2843"/>
      <c r="FGZ46" s="2843"/>
      <c r="FHA46" s="2844"/>
      <c r="FHB46" s="2845"/>
      <c r="FHC46" s="2842"/>
      <c r="FHD46" s="2842"/>
      <c r="FHE46" s="2843"/>
      <c r="FHF46" s="2843"/>
      <c r="FHG46" s="2844"/>
      <c r="FHH46" s="2845"/>
      <c r="FHI46" s="2842"/>
      <c r="FHJ46" s="2842"/>
      <c r="FHK46" s="2843"/>
      <c r="FHL46" s="2843"/>
      <c r="FHM46" s="2844"/>
      <c r="FHN46" s="2845"/>
      <c r="FHO46" s="2842"/>
      <c r="FHP46" s="2842"/>
      <c r="FHQ46" s="2843"/>
      <c r="FHR46" s="2843"/>
      <c r="FHS46" s="2844"/>
      <c r="FHT46" s="2845"/>
      <c r="FHU46" s="2842"/>
      <c r="FHV46" s="2842"/>
      <c r="FHW46" s="2843"/>
      <c r="FHX46" s="2843"/>
      <c r="FHY46" s="2844"/>
      <c r="FHZ46" s="2845"/>
      <c r="FIA46" s="2842"/>
      <c r="FIB46" s="2842"/>
      <c r="FIC46" s="2843"/>
      <c r="FID46" s="2843"/>
      <c r="FIE46" s="2844"/>
      <c r="FIF46" s="2845"/>
      <c r="FIG46" s="2842"/>
      <c r="FIH46" s="2842"/>
      <c r="FII46" s="2843"/>
      <c r="FIJ46" s="2843"/>
      <c r="FIK46" s="2844"/>
      <c r="FIL46" s="2845"/>
      <c r="FIM46" s="2842"/>
      <c r="FIN46" s="2842"/>
      <c r="FIO46" s="2843"/>
      <c r="FIP46" s="2843"/>
      <c r="FIQ46" s="2844"/>
      <c r="FIR46" s="2845"/>
      <c r="FIS46" s="2842"/>
      <c r="FIT46" s="2842"/>
      <c r="FIU46" s="2843"/>
      <c r="FIV46" s="2843"/>
      <c r="FIW46" s="2844"/>
      <c r="FIX46" s="2845"/>
      <c r="FIY46" s="2842"/>
      <c r="FIZ46" s="2842"/>
      <c r="FJA46" s="2843"/>
      <c r="FJB46" s="2843"/>
      <c r="FJC46" s="2844"/>
      <c r="FJD46" s="2845"/>
      <c r="FJE46" s="2842"/>
      <c r="FJF46" s="2842"/>
      <c r="FJG46" s="2843"/>
      <c r="FJH46" s="2843"/>
      <c r="FJI46" s="2844"/>
      <c r="FJJ46" s="2845"/>
      <c r="FJK46" s="2842"/>
      <c r="FJL46" s="2842"/>
      <c r="FJM46" s="2843"/>
      <c r="FJN46" s="2843"/>
      <c r="FJO46" s="2844"/>
      <c r="FJP46" s="2845"/>
      <c r="FJQ46" s="2842"/>
      <c r="FJR46" s="2842"/>
      <c r="FJS46" s="2843"/>
      <c r="FJT46" s="2843"/>
      <c r="FJU46" s="2844"/>
      <c r="FJV46" s="2845"/>
      <c r="FJW46" s="2842"/>
      <c r="FJX46" s="2842"/>
      <c r="FJY46" s="2843"/>
      <c r="FJZ46" s="2843"/>
      <c r="FKA46" s="2844"/>
      <c r="FKB46" s="2845"/>
      <c r="FKC46" s="2842"/>
      <c r="FKD46" s="2842"/>
      <c r="FKE46" s="2843"/>
      <c r="FKF46" s="2843"/>
      <c r="FKG46" s="2844"/>
      <c r="FKH46" s="2845"/>
      <c r="FKI46" s="2842"/>
      <c r="FKJ46" s="2842"/>
      <c r="FKK46" s="2843"/>
      <c r="FKL46" s="2843"/>
      <c r="FKM46" s="2844"/>
      <c r="FKN46" s="2845"/>
      <c r="FKO46" s="2842"/>
      <c r="FKP46" s="2842"/>
      <c r="FKQ46" s="2843"/>
      <c r="FKR46" s="2843"/>
      <c r="FKS46" s="2844"/>
      <c r="FKT46" s="2845"/>
      <c r="FKU46" s="2842"/>
      <c r="FKV46" s="2842"/>
      <c r="FKW46" s="2843"/>
      <c r="FKX46" s="2843"/>
      <c r="FKY46" s="2844"/>
      <c r="FKZ46" s="2845"/>
      <c r="FLA46" s="2842"/>
      <c r="FLB46" s="2842"/>
      <c r="FLC46" s="2843"/>
      <c r="FLD46" s="2843"/>
      <c r="FLE46" s="2844"/>
      <c r="FLF46" s="2845"/>
      <c r="FLG46" s="2842"/>
      <c r="FLH46" s="2842"/>
      <c r="FLI46" s="2843"/>
      <c r="FLJ46" s="2843"/>
      <c r="FLK46" s="2844"/>
      <c r="FLL46" s="2845"/>
      <c r="FLM46" s="2842"/>
      <c r="FLN46" s="2842"/>
      <c r="FLO46" s="2843"/>
      <c r="FLP46" s="2843"/>
      <c r="FLQ46" s="2844"/>
      <c r="FLR46" s="2845"/>
      <c r="FLS46" s="2842"/>
      <c r="FLT46" s="2842"/>
      <c r="FLU46" s="2843"/>
      <c r="FLV46" s="2843"/>
      <c r="FLW46" s="2844"/>
      <c r="FLX46" s="2845"/>
      <c r="FLY46" s="2842"/>
      <c r="FLZ46" s="2842"/>
      <c r="FMA46" s="2843"/>
      <c r="FMB46" s="2843"/>
      <c r="FMC46" s="2844"/>
      <c r="FMD46" s="2845"/>
      <c r="FME46" s="2842"/>
      <c r="FMF46" s="2842"/>
      <c r="FMG46" s="2843"/>
      <c r="FMH46" s="2843"/>
      <c r="FMI46" s="2844"/>
      <c r="FMJ46" s="2845"/>
      <c r="FMK46" s="2842"/>
      <c r="FML46" s="2842"/>
      <c r="FMM46" s="2843"/>
      <c r="FMN46" s="2843"/>
      <c r="FMO46" s="2844"/>
      <c r="FMP46" s="2845"/>
      <c r="FMQ46" s="2842"/>
      <c r="FMR46" s="2842"/>
      <c r="FMS46" s="2843"/>
      <c r="FMT46" s="2843"/>
      <c r="FMU46" s="2844"/>
      <c r="FMV46" s="2845"/>
      <c r="FMW46" s="2842"/>
      <c r="FMX46" s="2842"/>
      <c r="FMY46" s="2843"/>
      <c r="FMZ46" s="2843"/>
      <c r="FNA46" s="2844"/>
      <c r="FNB46" s="2845"/>
      <c r="FNC46" s="2842"/>
      <c r="FND46" s="2842"/>
      <c r="FNE46" s="2843"/>
      <c r="FNF46" s="2843"/>
      <c r="FNG46" s="2844"/>
      <c r="FNH46" s="2845"/>
      <c r="FNI46" s="2842"/>
      <c r="FNJ46" s="2842"/>
      <c r="FNK46" s="2843"/>
      <c r="FNL46" s="2843"/>
      <c r="FNM46" s="2844"/>
      <c r="FNN46" s="2845"/>
      <c r="FNO46" s="2842"/>
      <c r="FNP46" s="2842"/>
      <c r="FNQ46" s="2843"/>
      <c r="FNR46" s="2843"/>
      <c r="FNS46" s="2844"/>
      <c r="FNT46" s="2845"/>
      <c r="FNU46" s="2842"/>
      <c r="FNV46" s="2842"/>
      <c r="FNW46" s="2843"/>
      <c r="FNX46" s="2843"/>
      <c r="FNY46" s="2844"/>
      <c r="FNZ46" s="2845"/>
      <c r="FOA46" s="2842"/>
      <c r="FOB46" s="2842"/>
      <c r="FOC46" s="2843"/>
      <c r="FOD46" s="2843"/>
      <c r="FOE46" s="2844"/>
      <c r="FOF46" s="2845"/>
      <c r="FOG46" s="2842"/>
      <c r="FOH46" s="2842"/>
      <c r="FOI46" s="2843"/>
      <c r="FOJ46" s="2843"/>
      <c r="FOK46" s="2844"/>
      <c r="FOL46" s="2845"/>
      <c r="FOM46" s="2842"/>
      <c r="FON46" s="2842"/>
      <c r="FOO46" s="2843"/>
      <c r="FOP46" s="2843"/>
      <c r="FOQ46" s="2844"/>
      <c r="FOR46" s="2845"/>
      <c r="FOS46" s="2842"/>
      <c r="FOT46" s="2842"/>
      <c r="FOU46" s="2843"/>
      <c r="FOV46" s="2843"/>
      <c r="FOW46" s="2844"/>
      <c r="FOX46" s="2845"/>
      <c r="FOY46" s="2842"/>
      <c r="FOZ46" s="2842"/>
      <c r="FPA46" s="2843"/>
      <c r="FPB46" s="2843"/>
      <c r="FPC46" s="2844"/>
      <c r="FPD46" s="2845"/>
      <c r="FPE46" s="2842"/>
      <c r="FPF46" s="2842"/>
      <c r="FPG46" s="2843"/>
      <c r="FPH46" s="2843"/>
      <c r="FPI46" s="2844"/>
      <c r="FPJ46" s="2845"/>
      <c r="FPK46" s="2842"/>
      <c r="FPL46" s="2842"/>
      <c r="FPM46" s="2843"/>
      <c r="FPN46" s="2843"/>
      <c r="FPO46" s="2844"/>
      <c r="FPP46" s="2845"/>
      <c r="FPQ46" s="2842"/>
      <c r="FPR46" s="2842"/>
      <c r="FPS46" s="2843"/>
      <c r="FPT46" s="2843"/>
      <c r="FPU46" s="2844"/>
      <c r="FPV46" s="2845"/>
      <c r="FPW46" s="2842"/>
      <c r="FPX46" s="2842"/>
      <c r="FPY46" s="2843"/>
      <c r="FPZ46" s="2843"/>
      <c r="FQA46" s="2844"/>
      <c r="FQB46" s="2845"/>
      <c r="FQC46" s="2842"/>
      <c r="FQD46" s="2842"/>
      <c r="FQE46" s="2843"/>
      <c r="FQF46" s="2843"/>
      <c r="FQG46" s="2844"/>
      <c r="FQH46" s="2845"/>
      <c r="FQI46" s="2842"/>
      <c r="FQJ46" s="2842"/>
      <c r="FQK46" s="2843"/>
      <c r="FQL46" s="2843"/>
      <c r="FQM46" s="2844"/>
      <c r="FQN46" s="2845"/>
      <c r="FQO46" s="2842"/>
      <c r="FQP46" s="2842"/>
      <c r="FQQ46" s="2843"/>
      <c r="FQR46" s="2843"/>
      <c r="FQS46" s="2844"/>
      <c r="FQT46" s="2845"/>
      <c r="FQU46" s="2842"/>
      <c r="FQV46" s="2842"/>
      <c r="FQW46" s="2843"/>
      <c r="FQX46" s="2843"/>
      <c r="FQY46" s="2844"/>
      <c r="FQZ46" s="2845"/>
      <c r="FRA46" s="2842"/>
      <c r="FRB46" s="2842"/>
      <c r="FRC46" s="2843"/>
      <c r="FRD46" s="2843"/>
      <c r="FRE46" s="2844"/>
      <c r="FRF46" s="2845"/>
      <c r="FRG46" s="2842"/>
      <c r="FRH46" s="2842"/>
      <c r="FRI46" s="2843"/>
      <c r="FRJ46" s="2843"/>
      <c r="FRK46" s="2844"/>
      <c r="FRL46" s="2845"/>
      <c r="FRM46" s="2842"/>
      <c r="FRN46" s="2842"/>
      <c r="FRO46" s="2843"/>
      <c r="FRP46" s="2843"/>
      <c r="FRQ46" s="2844"/>
      <c r="FRR46" s="2845"/>
      <c r="FRS46" s="2842"/>
      <c r="FRT46" s="2842"/>
      <c r="FRU46" s="2843"/>
      <c r="FRV46" s="2843"/>
      <c r="FRW46" s="2844"/>
      <c r="FRX46" s="2845"/>
      <c r="FRY46" s="2842"/>
      <c r="FRZ46" s="2842"/>
      <c r="FSA46" s="2843"/>
      <c r="FSB46" s="2843"/>
      <c r="FSC46" s="2844"/>
      <c r="FSD46" s="2845"/>
      <c r="FSE46" s="2842"/>
      <c r="FSF46" s="2842"/>
      <c r="FSG46" s="2843"/>
      <c r="FSH46" s="2843"/>
      <c r="FSI46" s="2844"/>
      <c r="FSJ46" s="2845"/>
      <c r="FSK46" s="2842"/>
      <c r="FSL46" s="2842"/>
      <c r="FSM46" s="2843"/>
      <c r="FSN46" s="2843"/>
      <c r="FSO46" s="2844"/>
      <c r="FSP46" s="2845"/>
      <c r="FSQ46" s="2842"/>
      <c r="FSR46" s="2842"/>
      <c r="FSS46" s="2843"/>
      <c r="FST46" s="2843"/>
      <c r="FSU46" s="2844"/>
      <c r="FSV46" s="2845"/>
      <c r="FSW46" s="2842"/>
      <c r="FSX46" s="2842"/>
      <c r="FSY46" s="2843"/>
      <c r="FSZ46" s="2843"/>
      <c r="FTA46" s="2844"/>
      <c r="FTB46" s="2845"/>
      <c r="FTC46" s="2842"/>
      <c r="FTD46" s="2842"/>
      <c r="FTE46" s="2843"/>
      <c r="FTF46" s="2843"/>
      <c r="FTG46" s="2844"/>
      <c r="FTH46" s="2845"/>
      <c r="FTI46" s="2842"/>
      <c r="FTJ46" s="2842"/>
      <c r="FTK46" s="2843"/>
      <c r="FTL46" s="2843"/>
      <c r="FTM46" s="2844"/>
      <c r="FTN46" s="2845"/>
      <c r="FTO46" s="2842"/>
      <c r="FTP46" s="2842"/>
      <c r="FTQ46" s="2843"/>
      <c r="FTR46" s="2843"/>
      <c r="FTS46" s="2844"/>
      <c r="FTT46" s="2845"/>
      <c r="FTU46" s="2842"/>
      <c r="FTV46" s="2842"/>
      <c r="FTW46" s="2843"/>
      <c r="FTX46" s="2843"/>
      <c r="FTY46" s="2844"/>
      <c r="FTZ46" s="2845"/>
      <c r="FUA46" s="2842"/>
      <c r="FUB46" s="2842"/>
      <c r="FUC46" s="2843"/>
      <c r="FUD46" s="2843"/>
      <c r="FUE46" s="2844"/>
      <c r="FUF46" s="2845"/>
      <c r="FUG46" s="2842"/>
      <c r="FUH46" s="2842"/>
      <c r="FUI46" s="2843"/>
      <c r="FUJ46" s="2843"/>
      <c r="FUK46" s="2844"/>
      <c r="FUL46" s="2845"/>
      <c r="FUM46" s="2842"/>
      <c r="FUN46" s="2842"/>
      <c r="FUO46" s="2843"/>
      <c r="FUP46" s="2843"/>
      <c r="FUQ46" s="2844"/>
      <c r="FUR46" s="2845"/>
      <c r="FUS46" s="2842"/>
      <c r="FUT46" s="2842"/>
      <c r="FUU46" s="2843"/>
      <c r="FUV46" s="2843"/>
      <c r="FUW46" s="2844"/>
      <c r="FUX46" s="2845"/>
      <c r="FUY46" s="2842"/>
      <c r="FUZ46" s="2842"/>
      <c r="FVA46" s="2843"/>
      <c r="FVB46" s="2843"/>
      <c r="FVC46" s="2844"/>
      <c r="FVD46" s="2845"/>
      <c r="FVE46" s="2842"/>
      <c r="FVF46" s="2842"/>
      <c r="FVG46" s="2843"/>
      <c r="FVH46" s="2843"/>
      <c r="FVI46" s="2844"/>
      <c r="FVJ46" s="2845"/>
      <c r="FVK46" s="2842"/>
      <c r="FVL46" s="2842"/>
      <c r="FVM46" s="2843"/>
      <c r="FVN46" s="2843"/>
      <c r="FVO46" s="2844"/>
      <c r="FVP46" s="2845"/>
      <c r="FVQ46" s="2842"/>
      <c r="FVR46" s="2842"/>
      <c r="FVS46" s="2843"/>
      <c r="FVT46" s="2843"/>
      <c r="FVU46" s="2844"/>
      <c r="FVV46" s="2845"/>
      <c r="FVW46" s="2842"/>
      <c r="FVX46" s="2842"/>
      <c r="FVY46" s="2843"/>
      <c r="FVZ46" s="2843"/>
      <c r="FWA46" s="2844"/>
      <c r="FWB46" s="2845"/>
      <c r="FWC46" s="2842"/>
      <c r="FWD46" s="2842"/>
      <c r="FWE46" s="2843"/>
      <c r="FWF46" s="2843"/>
      <c r="FWG46" s="2844"/>
      <c r="FWH46" s="2845"/>
      <c r="FWI46" s="2842"/>
      <c r="FWJ46" s="2842"/>
      <c r="FWK46" s="2843"/>
      <c r="FWL46" s="2843"/>
      <c r="FWM46" s="2844"/>
      <c r="FWN46" s="2845"/>
      <c r="FWO46" s="2842"/>
      <c r="FWP46" s="2842"/>
      <c r="FWQ46" s="2843"/>
      <c r="FWR46" s="2843"/>
      <c r="FWS46" s="2844"/>
      <c r="FWT46" s="2845"/>
      <c r="FWU46" s="2842"/>
      <c r="FWV46" s="2842"/>
      <c r="FWW46" s="2843"/>
      <c r="FWX46" s="2843"/>
      <c r="FWY46" s="2844"/>
      <c r="FWZ46" s="2845"/>
      <c r="FXA46" s="2842"/>
      <c r="FXB46" s="2842"/>
      <c r="FXC46" s="2843"/>
      <c r="FXD46" s="2843"/>
      <c r="FXE46" s="2844"/>
      <c r="FXF46" s="2845"/>
      <c r="FXG46" s="2842"/>
      <c r="FXH46" s="2842"/>
      <c r="FXI46" s="2843"/>
      <c r="FXJ46" s="2843"/>
      <c r="FXK46" s="2844"/>
      <c r="FXL46" s="2845"/>
      <c r="FXM46" s="2842"/>
      <c r="FXN46" s="2842"/>
      <c r="FXO46" s="2843"/>
      <c r="FXP46" s="2843"/>
      <c r="FXQ46" s="2844"/>
      <c r="FXR46" s="2845"/>
      <c r="FXS46" s="2842"/>
      <c r="FXT46" s="2842"/>
      <c r="FXU46" s="2843"/>
      <c r="FXV46" s="2843"/>
      <c r="FXW46" s="2844"/>
      <c r="FXX46" s="2845"/>
      <c r="FXY46" s="2842"/>
      <c r="FXZ46" s="2842"/>
      <c r="FYA46" s="2843"/>
      <c r="FYB46" s="2843"/>
      <c r="FYC46" s="2844"/>
      <c r="FYD46" s="2845"/>
      <c r="FYE46" s="2842"/>
      <c r="FYF46" s="2842"/>
      <c r="FYG46" s="2843"/>
      <c r="FYH46" s="2843"/>
      <c r="FYI46" s="2844"/>
      <c r="FYJ46" s="2845"/>
      <c r="FYK46" s="2842"/>
      <c r="FYL46" s="2842"/>
      <c r="FYM46" s="2843"/>
      <c r="FYN46" s="2843"/>
      <c r="FYO46" s="2844"/>
      <c r="FYP46" s="2845"/>
      <c r="FYQ46" s="2842"/>
      <c r="FYR46" s="2842"/>
      <c r="FYS46" s="2843"/>
      <c r="FYT46" s="2843"/>
      <c r="FYU46" s="2844"/>
      <c r="FYV46" s="2845"/>
      <c r="FYW46" s="2842"/>
      <c r="FYX46" s="2842"/>
      <c r="FYY46" s="2843"/>
      <c r="FYZ46" s="2843"/>
      <c r="FZA46" s="2844"/>
      <c r="FZB46" s="2845"/>
      <c r="FZC46" s="2842"/>
      <c r="FZD46" s="2842"/>
      <c r="FZE46" s="2843"/>
      <c r="FZF46" s="2843"/>
      <c r="FZG46" s="2844"/>
      <c r="FZH46" s="2845"/>
      <c r="FZI46" s="2842"/>
      <c r="FZJ46" s="2842"/>
      <c r="FZK46" s="2843"/>
      <c r="FZL46" s="2843"/>
      <c r="FZM46" s="2844"/>
      <c r="FZN46" s="2845"/>
      <c r="FZO46" s="2842"/>
      <c r="FZP46" s="2842"/>
      <c r="FZQ46" s="2843"/>
      <c r="FZR46" s="2843"/>
      <c r="FZS46" s="2844"/>
      <c r="FZT46" s="2845"/>
      <c r="FZU46" s="2842"/>
      <c r="FZV46" s="2842"/>
      <c r="FZW46" s="2843"/>
      <c r="FZX46" s="2843"/>
      <c r="FZY46" s="2844"/>
      <c r="FZZ46" s="2845"/>
      <c r="GAA46" s="2842"/>
      <c r="GAB46" s="2842"/>
      <c r="GAC46" s="2843"/>
      <c r="GAD46" s="2843"/>
      <c r="GAE46" s="2844"/>
      <c r="GAF46" s="2845"/>
      <c r="GAG46" s="2842"/>
      <c r="GAH46" s="2842"/>
      <c r="GAI46" s="2843"/>
      <c r="GAJ46" s="2843"/>
      <c r="GAK46" s="2844"/>
      <c r="GAL46" s="2845"/>
      <c r="GAM46" s="2842"/>
      <c r="GAN46" s="2842"/>
      <c r="GAO46" s="2843"/>
      <c r="GAP46" s="2843"/>
      <c r="GAQ46" s="2844"/>
      <c r="GAR46" s="2845"/>
      <c r="GAS46" s="2842"/>
      <c r="GAT46" s="2842"/>
      <c r="GAU46" s="2843"/>
      <c r="GAV46" s="2843"/>
      <c r="GAW46" s="2844"/>
      <c r="GAX46" s="2845"/>
      <c r="GAY46" s="2842"/>
      <c r="GAZ46" s="2842"/>
      <c r="GBA46" s="2843"/>
      <c r="GBB46" s="2843"/>
      <c r="GBC46" s="2844"/>
      <c r="GBD46" s="2845"/>
      <c r="GBE46" s="2842"/>
      <c r="GBF46" s="2842"/>
      <c r="GBG46" s="2843"/>
      <c r="GBH46" s="2843"/>
      <c r="GBI46" s="2844"/>
      <c r="GBJ46" s="2845"/>
      <c r="GBK46" s="2842"/>
      <c r="GBL46" s="2842"/>
      <c r="GBM46" s="2843"/>
      <c r="GBN46" s="2843"/>
      <c r="GBO46" s="2844"/>
      <c r="GBP46" s="2845"/>
      <c r="GBQ46" s="2842"/>
      <c r="GBR46" s="2842"/>
      <c r="GBS46" s="2843"/>
      <c r="GBT46" s="2843"/>
      <c r="GBU46" s="2844"/>
      <c r="GBV46" s="2845"/>
      <c r="GBW46" s="2842"/>
      <c r="GBX46" s="2842"/>
      <c r="GBY46" s="2843"/>
      <c r="GBZ46" s="2843"/>
      <c r="GCA46" s="2844"/>
      <c r="GCB46" s="2845"/>
      <c r="GCC46" s="2842"/>
      <c r="GCD46" s="2842"/>
      <c r="GCE46" s="2843"/>
      <c r="GCF46" s="2843"/>
      <c r="GCG46" s="2844"/>
      <c r="GCH46" s="2845"/>
      <c r="GCI46" s="2842"/>
      <c r="GCJ46" s="2842"/>
      <c r="GCK46" s="2843"/>
      <c r="GCL46" s="2843"/>
      <c r="GCM46" s="2844"/>
      <c r="GCN46" s="2845"/>
      <c r="GCO46" s="2842"/>
      <c r="GCP46" s="2842"/>
      <c r="GCQ46" s="2843"/>
      <c r="GCR46" s="2843"/>
      <c r="GCS46" s="2844"/>
      <c r="GCT46" s="2845"/>
      <c r="GCU46" s="2842"/>
      <c r="GCV46" s="2842"/>
      <c r="GCW46" s="2843"/>
      <c r="GCX46" s="2843"/>
      <c r="GCY46" s="2844"/>
      <c r="GCZ46" s="2845"/>
      <c r="GDA46" s="2842"/>
      <c r="GDB46" s="2842"/>
      <c r="GDC46" s="2843"/>
      <c r="GDD46" s="2843"/>
      <c r="GDE46" s="2844"/>
      <c r="GDF46" s="2845"/>
      <c r="GDG46" s="2842"/>
      <c r="GDH46" s="2842"/>
      <c r="GDI46" s="2843"/>
      <c r="GDJ46" s="2843"/>
      <c r="GDK46" s="2844"/>
      <c r="GDL46" s="2845"/>
      <c r="GDM46" s="2842"/>
      <c r="GDN46" s="2842"/>
      <c r="GDO46" s="2843"/>
      <c r="GDP46" s="2843"/>
      <c r="GDQ46" s="2844"/>
      <c r="GDR46" s="2845"/>
      <c r="GDS46" s="2842"/>
      <c r="GDT46" s="2842"/>
      <c r="GDU46" s="2843"/>
      <c r="GDV46" s="2843"/>
      <c r="GDW46" s="2844"/>
      <c r="GDX46" s="2845"/>
      <c r="GDY46" s="2842"/>
      <c r="GDZ46" s="2842"/>
      <c r="GEA46" s="2843"/>
      <c r="GEB46" s="2843"/>
      <c r="GEC46" s="2844"/>
      <c r="GED46" s="2845"/>
      <c r="GEE46" s="2842"/>
      <c r="GEF46" s="2842"/>
      <c r="GEG46" s="2843"/>
      <c r="GEH46" s="2843"/>
      <c r="GEI46" s="2844"/>
      <c r="GEJ46" s="2845"/>
      <c r="GEK46" s="2842"/>
      <c r="GEL46" s="2842"/>
      <c r="GEM46" s="2843"/>
      <c r="GEN46" s="2843"/>
      <c r="GEO46" s="2844"/>
      <c r="GEP46" s="2845"/>
      <c r="GEQ46" s="2842"/>
      <c r="GER46" s="2842"/>
      <c r="GES46" s="2843"/>
      <c r="GET46" s="2843"/>
      <c r="GEU46" s="2844"/>
      <c r="GEV46" s="2845"/>
      <c r="GEW46" s="2842"/>
      <c r="GEX46" s="2842"/>
      <c r="GEY46" s="2843"/>
      <c r="GEZ46" s="2843"/>
      <c r="GFA46" s="2844"/>
      <c r="GFB46" s="2845"/>
      <c r="GFC46" s="2842"/>
      <c r="GFD46" s="2842"/>
      <c r="GFE46" s="2843"/>
      <c r="GFF46" s="2843"/>
      <c r="GFG46" s="2844"/>
      <c r="GFH46" s="2845"/>
      <c r="GFI46" s="2842"/>
      <c r="GFJ46" s="2842"/>
      <c r="GFK46" s="2843"/>
      <c r="GFL46" s="2843"/>
      <c r="GFM46" s="2844"/>
      <c r="GFN46" s="2845"/>
      <c r="GFO46" s="2842"/>
      <c r="GFP46" s="2842"/>
      <c r="GFQ46" s="2843"/>
      <c r="GFR46" s="2843"/>
      <c r="GFS46" s="2844"/>
      <c r="GFT46" s="2845"/>
      <c r="GFU46" s="2842"/>
      <c r="GFV46" s="2842"/>
      <c r="GFW46" s="2843"/>
      <c r="GFX46" s="2843"/>
      <c r="GFY46" s="2844"/>
      <c r="GFZ46" s="2845"/>
      <c r="GGA46" s="2842"/>
      <c r="GGB46" s="2842"/>
      <c r="GGC46" s="2843"/>
      <c r="GGD46" s="2843"/>
      <c r="GGE46" s="2844"/>
      <c r="GGF46" s="2845"/>
      <c r="GGG46" s="2842"/>
      <c r="GGH46" s="2842"/>
      <c r="GGI46" s="2843"/>
      <c r="GGJ46" s="2843"/>
      <c r="GGK46" s="2844"/>
      <c r="GGL46" s="2845"/>
      <c r="GGM46" s="2842"/>
      <c r="GGN46" s="2842"/>
      <c r="GGO46" s="2843"/>
      <c r="GGP46" s="2843"/>
      <c r="GGQ46" s="2844"/>
      <c r="GGR46" s="2845"/>
      <c r="GGS46" s="2842"/>
      <c r="GGT46" s="2842"/>
      <c r="GGU46" s="2843"/>
      <c r="GGV46" s="2843"/>
      <c r="GGW46" s="2844"/>
      <c r="GGX46" s="2845"/>
      <c r="GGY46" s="2842"/>
      <c r="GGZ46" s="2842"/>
      <c r="GHA46" s="2843"/>
      <c r="GHB46" s="2843"/>
      <c r="GHC46" s="2844"/>
      <c r="GHD46" s="2845"/>
      <c r="GHE46" s="2842"/>
      <c r="GHF46" s="2842"/>
      <c r="GHG46" s="2843"/>
      <c r="GHH46" s="2843"/>
      <c r="GHI46" s="2844"/>
      <c r="GHJ46" s="2845"/>
      <c r="GHK46" s="2842"/>
      <c r="GHL46" s="2842"/>
      <c r="GHM46" s="2843"/>
      <c r="GHN46" s="2843"/>
      <c r="GHO46" s="2844"/>
      <c r="GHP46" s="2845"/>
      <c r="GHQ46" s="2842"/>
      <c r="GHR46" s="2842"/>
      <c r="GHS46" s="2843"/>
      <c r="GHT46" s="2843"/>
      <c r="GHU46" s="2844"/>
      <c r="GHV46" s="2845"/>
      <c r="GHW46" s="2842"/>
      <c r="GHX46" s="2842"/>
      <c r="GHY46" s="2843"/>
      <c r="GHZ46" s="2843"/>
      <c r="GIA46" s="2844"/>
      <c r="GIB46" s="2845"/>
      <c r="GIC46" s="2842"/>
      <c r="GID46" s="2842"/>
      <c r="GIE46" s="2843"/>
      <c r="GIF46" s="2843"/>
      <c r="GIG46" s="2844"/>
      <c r="GIH46" s="2845"/>
      <c r="GII46" s="2842"/>
      <c r="GIJ46" s="2842"/>
      <c r="GIK46" s="2843"/>
      <c r="GIL46" s="2843"/>
      <c r="GIM46" s="2844"/>
      <c r="GIN46" s="2845"/>
      <c r="GIO46" s="2842"/>
      <c r="GIP46" s="2842"/>
      <c r="GIQ46" s="2843"/>
      <c r="GIR46" s="2843"/>
      <c r="GIS46" s="2844"/>
      <c r="GIT46" s="2845"/>
      <c r="GIU46" s="2842"/>
      <c r="GIV46" s="2842"/>
      <c r="GIW46" s="2843"/>
      <c r="GIX46" s="2843"/>
      <c r="GIY46" s="2844"/>
      <c r="GIZ46" s="2845"/>
      <c r="GJA46" s="2842"/>
      <c r="GJB46" s="2842"/>
      <c r="GJC46" s="2843"/>
      <c r="GJD46" s="2843"/>
      <c r="GJE46" s="2844"/>
      <c r="GJF46" s="2845"/>
      <c r="GJG46" s="2842"/>
      <c r="GJH46" s="2842"/>
      <c r="GJI46" s="2843"/>
      <c r="GJJ46" s="2843"/>
      <c r="GJK46" s="2844"/>
      <c r="GJL46" s="2845"/>
      <c r="GJM46" s="2842"/>
      <c r="GJN46" s="2842"/>
      <c r="GJO46" s="2843"/>
      <c r="GJP46" s="2843"/>
      <c r="GJQ46" s="2844"/>
      <c r="GJR46" s="2845"/>
      <c r="GJS46" s="2842"/>
      <c r="GJT46" s="2842"/>
      <c r="GJU46" s="2843"/>
      <c r="GJV46" s="2843"/>
      <c r="GJW46" s="2844"/>
      <c r="GJX46" s="2845"/>
      <c r="GJY46" s="2842"/>
      <c r="GJZ46" s="2842"/>
      <c r="GKA46" s="2843"/>
      <c r="GKB46" s="2843"/>
      <c r="GKC46" s="2844"/>
      <c r="GKD46" s="2845"/>
      <c r="GKE46" s="2842"/>
      <c r="GKF46" s="2842"/>
      <c r="GKG46" s="2843"/>
      <c r="GKH46" s="2843"/>
      <c r="GKI46" s="2844"/>
      <c r="GKJ46" s="2845"/>
      <c r="GKK46" s="2842"/>
      <c r="GKL46" s="2842"/>
      <c r="GKM46" s="2843"/>
      <c r="GKN46" s="2843"/>
      <c r="GKO46" s="2844"/>
      <c r="GKP46" s="2845"/>
      <c r="GKQ46" s="2842"/>
      <c r="GKR46" s="2842"/>
      <c r="GKS46" s="2843"/>
      <c r="GKT46" s="2843"/>
      <c r="GKU46" s="2844"/>
      <c r="GKV46" s="2845"/>
      <c r="GKW46" s="2842"/>
      <c r="GKX46" s="2842"/>
      <c r="GKY46" s="2843"/>
      <c r="GKZ46" s="2843"/>
      <c r="GLA46" s="2844"/>
      <c r="GLB46" s="2845"/>
      <c r="GLC46" s="2842"/>
      <c r="GLD46" s="2842"/>
      <c r="GLE46" s="2843"/>
      <c r="GLF46" s="2843"/>
      <c r="GLG46" s="2844"/>
      <c r="GLH46" s="2845"/>
      <c r="GLI46" s="2842"/>
      <c r="GLJ46" s="2842"/>
      <c r="GLK46" s="2843"/>
      <c r="GLL46" s="2843"/>
      <c r="GLM46" s="2844"/>
      <c r="GLN46" s="2845"/>
      <c r="GLO46" s="2842"/>
      <c r="GLP46" s="2842"/>
      <c r="GLQ46" s="2843"/>
      <c r="GLR46" s="2843"/>
      <c r="GLS46" s="2844"/>
      <c r="GLT46" s="2845"/>
      <c r="GLU46" s="2842"/>
      <c r="GLV46" s="2842"/>
      <c r="GLW46" s="2843"/>
      <c r="GLX46" s="2843"/>
      <c r="GLY46" s="2844"/>
      <c r="GLZ46" s="2845"/>
      <c r="GMA46" s="2842"/>
      <c r="GMB46" s="2842"/>
      <c r="GMC46" s="2843"/>
      <c r="GMD46" s="2843"/>
      <c r="GME46" s="2844"/>
      <c r="GMF46" s="2845"/>
      <c r="GMG46" s="2842"/>
      <c r="GMH46" s="2842"/>
      <c r="GMI46" s="2843"/>
      <c r="GMJ46" s="2843"/>
      <c r="GMK46" s="2844"/>
      <c r="GML46" s="2845"/>
      <c r="GMM46" s="2842"/>
      <c r="GMN46" s="2842"/>
      <c r="GMO46" s="2843"/>
      <c r="GMP46" s="2843"/>
      <c r="GMQ46" s="2844"/>
      <c r="GMR46" s="2845"/>
      <c r="GMS46" s="2842"/>
      <c r="GMT46" s="2842"/>
      <c r="GMU46" s="2843"/>
      <c r="GMV46" s="2843"/>
      <c r="GMW46" s="2844"/>
      <c r="GMX46" s="2845"/>
      <c r="GMY46" s="2842"/>
      <c r="GMZ46" s="2842"/>
      <c r="GNA46" s="2843"/>
      <c r="GNB46" s="2843"/>
      <c r="GNC46" s="2844"/>
      <c r="GND46" s="2845"/>
      <c r="GNE46" s="2842"/>
      <c r="GNF46" s="2842"/>
      <c r="GNG46" s="2843"/>
      <c r="GNH46" s="2843"/>
      <c r="GNI46" s="2844"/>
      <c r="GNJ46" s="2845"/>
      <c r="GNK46" s="2842"/>
      <c r="GNL46" s="2842"/>
      <c r="GNM46" s="2843"/>
      <c r="GNN46" s="2843"/>
      <c r="GNO46" s="2844"/>
      <c r="GNP46" s="2845"/>
      <c r="GNQ46" s="2842"/>
      <c r="GNR46" s="2842"/>
      <c r="GNS46" s="2843"/>
      <c r="GNT46" s="2843"/>
      <c r="GNU46" s="2844"/>
      <c r="GNV46" s="2845"/>
      <c r="GNW46" s="2842"/>
      <c r="GNX46" s="2842"/>
      <c r="GNY46" s="2843"/>
      <c r="GNZ46" s="2843"/>
      <c r="GOA46" s="2844"/>
      <c r="GOB46" s="2845"/>
      <c r="GOC46" s="2842"/>
      <c r="GOD46" s="2842"/>
      <c r="GOE46" s="2843"/>
      <c r="GOF46" s="2843"/>
      <c r="GOG46" s="2844"/>
      <c r="GOH46" s="2845"/>
      <c r="GOI46" s="2842"/>
      <c r="GOJ46" s="2842"/>
      <c r="GOK46" s="2843"/>
      <c r="GOL46" s="2843"/>
      <c r="GOM46" s="2844"/>
      <c r="GON46" s="2845"/>
      <c r="GOO46" s="2842"/>
      <c r="GOP46" s="2842"/>
      <c r="GOQ46" s="2843"/>
      <c r="GOR46" s="2843"/>
      <c r="GOS46" s="2844"/>
      <c r="GOT46" s="2845"/>
      <c r="GOU46" s="2842"/>
      <c r="GOV46" s="2842"/>
      <c r="GOW46" s="2843"/>
      <c r="GOX46" s="2843"/>
      <c r="GOY46" s="2844"/>
      <c r="GOZ46" s="2845"/>
      <c r="GPA46" s="2842"/>
      <c r="GPB46" s="2842"/>
      <c r="GPC46" s="2843"/>
      <c r="GPD46" s="2843"/>
      <c r="GPE46" s="2844"/>
      <c r="GPF46" s="2845"/>
      <c r="GPG46" s="2842"/>
      <c r="GPH46" s="2842"/>
      <c r="GPI46" s="2843"/>
      <c r="GPJ46" s="2843"/>
      <c r="GPK46" s="2844"/>
      <c r="GPL46" s="2845"/>
      <c r="GPM46" s="2842"/>
      <c r="GPN46" s="2842"/>
      <c r="GPO46" s="2843"/>
      <c r="GPP46" s="2843"/>
      <c r="GPQ46" s="2844"/>
      <c r="GPR46" s="2845"/>
      <c r="GPS46" s="2842"/>
      <c r="GPT46" s="2842"/>
      <c r="GPU46" s="2843"/>
      <c r="GPV46" s="2843"/>
      <c r="GPW46" s="2844"/>
      <c r="GPX46" s="2845"/>
      <c r="GPY46" s="2842"/>
      <c r="GPZ46" s="2842"/>
      <c r="GQA46" s="2843"/>
      <c r="GQB46" s="2843"/>
      <c r="GQC46" s="2844"/>
      <c r="GQD46" s="2845"/>
      <c r="GQE46" s="2842"/>
      <c r="GQF46" s="2842"/>
      <c r="GQG46" s="2843"/>
      <c r="GQH46" s="2843"/>
      <c r="GQI46" s="2844"/>
      <c r="GQJ46" s="2845"/>
      <c r="GQK46" s="2842"/>
      <c r="GQL46" s="2842"/>
      <c r="GQM46" s="2843"/>
      <c r="GQN46" s="2843"/>
      <c r="GQO46" s="2844"/>
      <c r="GQP46" s="2845"/>
      <c r="GQQ46" s="2842"/>
      <c r="GQR46" s="2842"/>
      <c r="GQS46" s="2843"/>
      <c r="GQT46" s="2843"/>
      <c r="GQU46" s="2844"/>
      <c r="GQV46" s="2845"/>
      <c r="GQW46" s="2842"/>
      <c r="GQX46" s="2842"/>
      <c r="GQY46" s="2843"/>
      <c r="GQZ46" s="2843"/>
      <c r="GRA46" s="2844"/>
      <c r="GRB46" s="2845"/>
      <c r="GRC46" s="2842"/>
      <c r="GRD46" s="2842"/>
      <c r="GRE46" s="2843"/>
      <c r="GRF46" s="2843"/>
      <c r="GRG46" s="2844"/>
      <c r="GRH46" s="2845"/>
      <c r="GRI46" s="2842"/>
      <c r="GRJ46" s="2842"/>
      <c r="GRK46" s="2843"/>
      <c r="GRL46" s="2843"/>
      <c r="GRM46" s="2844"/>
      <c r="GRN46" s="2845"/>
      <c r="GRO46" s="2842"/>
      <c r="GRP46" s="2842"/>
      <c r="GRQ46" s="2843"/>
      <c r="GRR46" s="2843"/>
      <c r="GRS46" s="2844"/>
      <c r="GRT46" s="2845"/>
      <c r="GRU46" s="2842"/>
      <c r="GRV46" s="2842"/>
      <c r="GRW46" s="2843"/>
      <c r="GRX46" s="2843"/>
      <c r="GRY46" s="2844"/>
      <c r="GRZ46" s="2845"/>
      <c r="GSA46" s="2842"/>
      <c r="GSB46" s="2842"/>
      <c r="GSC46" s="2843"/>
      <c r="GSD46" s="2843"/>
      <c r="GSE46" s="2844"/>
      <c r="GSF46" s="2845"/>
      <c r="GSG46" s="2842"/>
      <c r="GSH46" s="2842"/>
      <c r="GSI46" s="2843"/>
      <c r="GSJ46" s="2843"/>
      <c r="GSK46" s="2844"/>
      <c r="GSL46" s="2845"/>
      <c r="GSM46" s="2842"/>
      <c r="GSN46" s="2842"/>
      <c r="GSO46" s="2843"/>
      <c r="GSP46" s="2843"/>
      <c r="GSQ46" s="2844"/>
      <c r="GSR46" s="2845"/>
      <c r="GSS46" s="2842"/>
      <c r="GST46" s="2842"/>
      <c r="GSU46" s="2843"/>
      <c r="GSV46" s="2843"/>
      <c r="GSW46" s="2844"/>
      <c r="GSX46" s="2845"/>
      <c r="GSY46" s="2842"/>
      <c r="GSZ46" s="2842"/>
      <c r="GTA46" s="2843"/>
      <c r="GTB46" s="2843"/>
      <c r="GTC46" s="2844"/>
      <c r="GTD46" s="2845"/>
      <c r="GTE46" s="2842"/>
      <c r="GTF46" s="2842"/>
      <c r="GTG46" s="2843"/>
      <c r="GTH46" s="2843"/>
      <c r="GTI46" s="2844"/>
      <c r="GTJ46" s="2845"/>
      <c r="GTK46" s="2842"/>
      <c r="GTL46" s="2842"/>
      <c r="GTM46" s="2843"/>
      <c r="GTN46" s="2843"/>
      <c r="GTO46" s="2844"/>
      <c r="GTP46" s="2845"/>
      <c r="GTQ46" s="2842"/>
      <c r="GTR46" s="2842"/>
      <c r="GTS46" s="2843"/>
      <c r="GTT46" s="2843"/>
      <c r="GTU46" s="2844"/>
      <c r="GTV46" s="2845"/>
      <c r="GTW46" s="2842"/>
      <c r="GTX46" s="2842"/>
      <c r="GTY46" s="2843"/>
      <c r="GTZ46" s="2843"/>
      <c r="GUA46" s="2844"/>
      <c r="GUB46" s="2845"/>
      <c r="GUC46" s="2842"/>
      <c r="GUD46" s="2842"/>
      <c r="GUE46" s="2843"/>
      <c r="GUF46" s="2843"/>
      <c r="GUG46" s="2844"/>
      <c r="GUH46" s="2845"/>
      <c r="GUI46" s="2842"/>
      <c r="GUJ46" s="2842"/>
      <c r="GUK46" s="2843"/>
      <c r="GUL46" s="2843"/>
      <c r="GUM46" s="2844"/>
      <c r="GUN46" s="2845"/>
      <c r="GUO46" s="2842"/>
      <c r="GUP46" s="2842"/>
      <c r="GUQ46" s="2843"/>
      <c r="GUR46" s="2843"/>
      <c r="GUS46" s="2844"/>
      <c r="GUT46" s="2845"/>
      <c r="GUU46" s="2842"/>
      <c r="GUV46" s="2842"/>
      <c r="GUW46" s="2843"/>
      <c r="GUX46" s="2843"/>
      <c r="GUY46" s="2844"/>
      <c r="GUZ46" s="2845"/>
      <c r="GVA46" s="2842"/>
      <c r="GVB46" s="2842"/>
      <c r="GVC46" s="2843"/>
      <c r="GVD46" s="2843"/>
      <c r="GVE46" s="2844"/>
      <c r="GVF46" s="2845"/>
      <c r="GVG46" s="2842"/>
      <c r="GVH46" s="2842"/>
      <c r="GVI46" s="2843"/>
      <c r="GVJ46" s="2843"/>
      <c r="GVK46" s="2844"/>
      <c r="GVL46" s="2845"/>
      <c r="GVM46" s="2842"/>
      <c r="GVN46" s="2842"/>
      <c r="GVO46" s="2843"/>
      <c r="GVP46" s="2843"/>
      <c r="GVQ46" s="2844"/>
      <c r="GVR46" s="2845"/>
      <c r="GVS46" s="2842"/>
      <c r="GVT46" s="2842"/>
      <c r="GVU46" s="2843"/>
      <c r="GVV46" s="2843"/>
      <c r="GVW46" s="2844"/>
      <c r="GVX46" s="2845"/>
      <c r="GVY46" s="2842"/>
      <c r="GVZ46" s="2842"/>
      <c r="GWA46" s="2843"/>
      <c r="GWB46" s="2843"/>
      <c r="GWC46" s="2844"/>
      <c r="GWD46" s="2845"/>
      <c r="GWE46" s="2842"/>
      <c r="GWF46" s="2842"/>
      <c r="GWG46" s="2843"/>
      <c r="GWH46" s="2843"/>
      <c r="GWI46" s="2844"/>
      <c r="GWJ46" s="2845"/>
      <c r="GWK46" s="2842"/>
      <c r="GWL46" s="2842"/>
      <c r="GWM46" s="2843"/>
      <c r="GWN46" s="2843"/>
      <c r="GWO46" s="2844"/>
      <c r="GWP46" s="2845"/>
      <c r="GWQ46" s="2842"/>
      <c r="GWR46" s="2842"/>
      <c r="GWS46" s="2843"/>
      <c r="GWT46" s="2843"/>
      <c r="GWU46" s="2844"/>
      <c r="GWV46" s="2845"/>
      <c r="GWW46" s="2842"/>
      <c r="GWX46" s="2842"/>
      <c r="GWY46" s="2843"/>
      <c r="GWZ46" s="2843"/>
      <c r="GXA46" s="2844"/>
      <c r="GXB46" s="2845"/>
      <c r="GXC46" s="2842"/>
      <c r="GXD46" s="2842"/>
      <c r="GXE46" s="2843"/>
      <c r="GXF46" s="2843"/>
      <c r="GXG46" s="2844"/>
      <c r="GXH46" s="2845"/>
      <c r="GXI46" s="2842"/>
      <c r="GXJ46" s="2842"/>
      <c r="GXK46" s="2843"/>
      <c r="GXL46" s="2843"/>
      <c r="GXM46" s="2844"/>
      <c r="GXN46" s="2845"/>
      <c r="GXO46" s="2842"/>
      <c r="GXP46" s="2842"/>
      <c r="GXQ46" s="2843"/>
      <c r="GXR46" s="2843"/>
      <c r="GXS46" s="2844"/>
      <c r="GXT46" s="2845"/>
      <c r="GXU46" s="2842"/>
      <c r="GXV46" s="2842"/>
      <c r="GXW46" s="2843"/>
      <c r="GXX46" s="2843"/>
      <c r="GXY46" s="2844"/>
      <c r="GXZ46" s="2845"/>
      <c r="GYA46" s="2842"/>
      <c r="GYB46" s="2842"/>
      <c r="GYC46" s="2843"/>
      <c r="GYD46" s="2843"/>
      <c r="GYE46" s="2844"/>
      <c r="GYF46" s="2845"/>
      <c r="GYG46" s="2842"/>
      <c r="GYH46" s="2842"/>
      <c r="GYI46" s="2843"/>
      <c r="GYJ46" s="2843"/>
      <c r="GYK46" s="2844"/>
      <c r="GYL46" s="2845"/>
      <c r="GYM46" s="2842"/>
      <c r="GYN46" s="2842"/>
      <c r="GYO46" s="2843"/>
      <c r="GYP46" s="2843"/>
      <c r="GYQ46" s="2844"/>
      <c r="GYR46" s="2845"/>
      <c r="GYS46" s="2842"/>
      <c r="GYT46" s="2842"/>
      <c r="GYU46" s="2843"/>
      <c r="GYV46" s="2843"/>
      <c r="GYW46" s="2844"/>
      <c r="GYX46" s="2845"/>
      <c r="GYY46" s="2842"/>
      <c r="GYZ46" s="2842"/>
      <c r="GZA46" s="2843"/>
      <c r="GZB46" s="2843"/>
      <c r="GZC46" s="2844"/>
      <c r="GZD46" s="2845"/>
      <c r="GZE46" s="2842"/>
      <c r="GZF46" s="2842"/>
      <c r="GZG46" s="2843"/>
      <c r="GZH46" s="2843"/>
      <c r="GZI46" s="2844"/>
      <c r="GZJ46" s="2845"/>
      <c r="GZK46" s="2842"/>
      <c r="GZL46" s="2842"/>
      <c r="GZM46" s="2843"/>
      <c r="GZN46" s="2843"/>
      <c r="GZO46" s="2844"/>
      <c r="GZP46" s="2845"/>
      <c r="GZQ46" s="2842"/>
      <c r="GZR46" s="2842"/>
      <c r="GZS46" s="2843"/>
      <c r="GZT46" s="2843"/>
      <c r="GZU46" s="2844"/>
      <c r="GZV46" s="2845"/>
      <c r="GZW46" s="2842"/>
      <c r="GZX46" s="2842"/>
      <c r="GZY46" s="2843"/>
      <c r="GZZ46" s="2843"/>
      <c r="HAA46" s="2844"/>
      <c r="HAB46" s="2845"/>
      <c r="HAC46" s="2842"/>
      <c r="HAD46" s="2842"/>
      <c r="HAE46" s="2843"/>
      <c r="HAF46" s="2843"/>
      <c r="HAG46" s="2844"/>
      <c r="HAH46" s="2845"/>
      <c r="HAI46" s="2842"/>
      <c r="HAJ46" s="2842"/>
      <c r="HAK46" s="2843"/>
      <c r="HAL46" s="2843"/>
      <c r="HAM46" s="2844"/>
      <c r="HAN46" s="2845"/>
      <c r="HAO46" s="2842"/>
      <c r="HAP46" s="2842"/>
      <c r="HAQ46" s="2843"/>
      <c r="HAR46" s="2843"/>
      <c r="HAS46" s="2844"/>
      <c r="HAT46" s="2845"/>
      <c r="HAU46" s="2842"/>
      <c r="HAV46" s="2842"/>
      <c r="HAW46" s="2843"/>
      <c r="HAX46" s="2843"/>
      <c r="HAY46" s="2844"/>
      <c r="HAZ46" s="2845"/>
      <c r="HBA46" s="2842"/>
      <c r="HBB46" s="2842"/>
      <c r="HBC46" s="2843"/>
      <c r="HBD46" s="2843"/>
      <c r="HBE46" s="2844"/>
      <c r="HBF46" s="2845"/>
      <c r="HBG46" s="2842"/>
      <c r="HBH46" s="2842"/>
      <c r="HBI46" s="2843"/>
      <c r="HBJ46" s="2843"/>
      <c r="HBK46" s="2844"/>
      <c r="HBL46" s="2845"/>
      <c r="HBM46" s="2842"/>
      <c r="HBN46" s="2842"/>
      <c r="HBO46" s="2843"/>
      <c r="HBP46" s="2843"/>
      <c r="HBQ46" s="2844"/>
      <c r="HBR46" s="2845"/>
      <c r="HBS46" s="2842"/>
      <c r="HBT46" s="2842"/>
      <c r="HBU46" s="2843"/>
      <c r="HBV46" s="2843"/>
      <c r="HBW46" s="2844"/>
      <c r="HBX46" s="2845"/>
      <c r="HBY46" s="2842"/>
      <c r="HBZ46" s="2842"/>
      <c r="HCA46" s="2843"/>
      <c r="HCB46" s="2843"/>
      <c r="HCC46" s="2844"/>
      <c r="HCD46" s="2845"/>
      <c r="HCE46" s="2842"/>
      <c r="HCF46" s="2842"/>
      <c r="HCG46" s="2843"/>
      <c r="HCH46" s="2843"/>
      <c r="HCI46" s="2844"/>
      <c r="HCJ46" s="2845"/>
      <c r="HCK46" s="2842"/>
      <c r="HCL46" s="2842"/>
      <c r="HCM46" s="2843"/>
      <c r="HCN46" s="2843"/>
      <c r="HCO46" s="2844"/>
      <c r="HCP46" s="2845"/>
      <c r="HCQ46" s="2842"/>
      <c r="HCR46" s="2842"/>
      <c r="HCS46" s="2843"/>
      <c r="HCT46" s="2843"/>
      <c r="HCU46" s="2844"/>
      <c r="HCV46" s="2845"/>
      <c r="HCW46" s="2842"/>
      <c r="HCX46" s="2842"/>
      <c r="HCY46" s="2843"/>
      <c r="HCZ46" s="2843"/>
      <c r="HDA46" s="2844"/>
      <c r="HDB46" s="2845"/>
      <c r="HDC46" s="2842"/>
      <c r="HDD46" s="2842"/>
      <c r="HDE46" s="2843"/>
      <c r="HDF46" s="2843"/>
      <c r="HDG46" s="2844"/>
      <c r="HDH46" s="2845"/>
      <c r="HDI46" s="2842"/>
      <c r="HDJ46" s="2842"/>
      <c r="HDK46" s="2843"/>
      <c r="HDL46" s="2843"/>
      <c r="HDM46" s="2844"/>
      <c r="HDN46" s="2845"/>
      <c r="HDO46" s="2842"/>
      <c r="HDP46" s="2842"/>
      <c r="HDQ46" s="2843"/>
      <c r="HDR46" s="2843"/>
      <c r="HDS46" s="2844"/>
      <c r="HDT46" s="2845"/>
      <c r="HDU46" s="2842"/>
      <c r="HDV46" s="2842"/>
      <c r="HDW46" s="2843"/>
      <c r="HDX46" s="2843"/>
      <c r="HDY46" s="2844"/>
      <c r="HDZ46" s="2845"/>
      <c r="HEA46" s="2842"/>
      <c r="HEB46" s="2842"/>
      <c r="HEC46" s="2843"/>
      <c r="HED46" s="2843"/>
      <c r="HEE46" s="2844"/>
      <c r="HEF46" s="2845"/>
      <c r="HEG46" s="2842"/>
      <c r="HEH46" s="2842"/>
      <c r="HEI46" s="2843"/>
      <c r="HEJ46" s="2843"/>
      <c r="HEK46" s="2844"/>
      <c r="HEL46" s="2845"/>
      <c r="HEM46" s="2842"/>
      <c r="HEN46" s="2842"/>
      <c r="HEO46" s="2843"/>
      <c r="HEP46" s="2843"/>
      <c r="HEQ46" s="2844"/>
      <c r="HER46" s="2845"/>
      <c r="HES46" s="2842"/>
      <c r="HET46" s="2842"/>
      <c r="HEU46" s="2843"/>
      <c r="HEV46" s="2843"/>
      <c r="HEW46" s="2844"/>
      <c r="HEX46" s="2845"/>
      <c r="HEY46" s="2842"/>
      <c r="HEZ46" s="2842"/>
      <c r="HFA46" s="2843"/>
      <c r="HFB46" s="2843"/>
      <c r="HFC46" s="2844"/>
      <c r="HFD46" s="2845"/>
      <c r="HFE46" s="2842"/>
      <c r="HFF46" s="2842"/>
      <c r="HFG46" s="2843"/>
      <c r="HFH46" s="2843"/>
      <c r="HFI46" s="2844"/>
      <c r="HFJ46" s="2845"/>
      <c r="HFK46" s="2842"/>
      <c r="HFL46" s="2842"/>
      <c r="HFM46" s="2843"/>
      <c r="HFN46" s="2843"/>
      <c r="HFO46" s="2844"/>
      <c r="HFP46" s="2845"/>
      <c r="HFQ46" s="2842"/>
      <c r="HFR46" s="2842"/>
      <c r="HFS46" s="2843"/>
      <c r="HFT46" s="2843"/>
      <c r="HFU46" s="2844"/>
      <c r="HFV46" s="2845"/>
      <c r="HFW46" s="2842"/>
      <c r="HFX46" s="2842"/>
      <c r="HFY46" s="2843"/>
      <c r="HFZ46" s="2843"/>
      <c r="HGA46" s="2844"/>
      <c r="HGB46" s="2845"/>
      <c r="HGC46" s="2842"/>
      <c r="HGD46" s="2842"/>
      <c r="HGE46" s="2843"/>
      <c r="HGF46" s="2843"/>
      <c r="HGG46" s="2844"/>
      <c r="HGH46" s="2845"/>
      <c r="HGI46" s="2842"/>
      <c r="HGJ46" s="2842"/>
      <c r="HGK46" s="2843"/>
      <c r="HGL46" s="2843"/>
      <c r="HGM46" s="2844"/>
      <c r="HGN46" s="2845"/>
      <c r="HGO46" s="2842"/>
      <c r="HGP46" s="2842"/>
      <c r="HGQ46" s="2843"/>
      <c r="HGR46" s="2843"/>
      <c r="HGS46" s="2844"/>
      <c r="HGT46" s="2845"/>
      <c r="HGU46" s="2842"/>
      <c r="HGV46" s="2842"/>
      <c r="HGW46" s="2843"/>
      <c r="HGX46" s="2843"/>
      <c r="HGY46" s="2844"/>
      <c r="HGZ46" s="2845"/>
      <c r="HHA46" s="2842"/>
      <c r="HHB46" s="2842"/>
      <c r="HHC46" s="2843"/>
      <c r="HHD46" s="2843"/>
      <c r="HHE46" s="2844"/>
      <c r="HHF46" s="2845"/>
      <c r="HHG46" s="2842"/>
      <c r="HHH46" s="2842"/>
      <c r="HHI46" s="2843"/>
      <c r="HHJ46" s="2843"/>
      <c r="HHK46" s="2844"/>
      <c r="HHL46" s="2845"/>
      <c r="HHM46" s="2842"/>
      <c r="HHN46" s="2842"/>
      <c r="HHO46" s="2843"/>
      <c r="HHP46" s="2843"/>
      <c r="HHQ46" s="2844"/>
      <c r="HHR46" s="2845"/>
      <c r="HHS46" s="2842"/>
      <c r="HHT46" s="2842"/>
      <c r="HHU46" s="2843"/>
      <c r="HHV46" s="2843"/>
      <c r="HHW46" s="2844"/>
      <c r="HHX46" s="2845"/>
      <c r="HHY46" s="2842"/>
      <c r="HHZ46" s="2842"/>
      <c r="HIA46" s="2843"/>
      <c r="HIB46" s="2843"/>
      <c r="HIC46" s="2844"/>
      <c r="HID46" s="2845"/>
      <c r="HIE46" s="2842"/>
      <c r="HIF46" s="2842"/>
      <c r="HIG46" s="2843"/>
      <c r="HIH46" s="2843"/>
      <c r="HII46" s="2844"/>
      <c r="HIJ46" s="2845"/>
      <c r="HIK46" s="2842"/>
      <c r="HIL46" s="2842"/>
      <c r="HIM46" s="2843"/>
      <c r="HIN46" s="2843"/>
      <c r="HIO46" s="2844"/>
      <c r="HIP46" s="2845"/>
      <c r="HIQ46" s="2842"/>
      <c r="HIR46" s="2842"/>
      <c r="HIS46" s="2843"/>
      <c r="HIT46" s="2843"/>
      <c r="HIU46" s="2844"/>
      <c r="HIV46" s="2845"/>
      <c r="HIW46" s="2842"/>
      <c r="HIX46" s="2842"/>
      <c r="HIY46" s="2843"/>
      <c r="HIZ46" s="2843"/>
      <c r="HJA46" s="2844"/>
      <c r="HJB46" s="2845"/>
      <c r="HJC46" s="2842"/>
      <c r="HJD46" s="2842"/>
      <c r="HJE46" s="2843"/>
      <c r="HJF46" s="2843"/>
      <c r="HJG46" s="2844"/>
      <c r="HJH46" s="2845"/>
      <c r="HJI46" s="2842"/>
      <c r="HJJ46" s="2842"/>
      <c r="HJK46" s="2843"/>
      <c r="HJL46" s="2843"/>
      <c r="HJM46" s="2844"/>
      <c r="HJN46" s="2845"/>
      <c r="HJO46" s="2842"/>
      <c r="HJP46" s="2842"/>
      <c r="HJQ46" s="2843"/>
      <c r="HJR46" s="2843"/>
      <c r="HJS46" s="2844"/>
      <c r="HJT46" s="2845"/>
      <c r="HJU46" s="2842"/>
      <c r="HJV46" s="2842"/>
      <c r="HJW46" s="2843"/>
      <c r="HJX46" s="2843"/>
      <c r="HJY46" s="2844"/>
      <c r="HJZ46" s="2845"/>
      <c r="HKA46" s="2842"/>
      <c r="HKB46" s="2842"/>
      <c r="HKC46" s="2843"/>
      <c r="HKD46" s="2843"/>
      <c r="HKE46" s="2844"/>
      <c r="HKF46" s="2845"/>
      <c r="HKG46" s="2842"/>
      <c r="HKH46" s="2842"/>
      <c r="HKI46" s="2843"/>
      <c r="HKJ46" s="2843"/>
      <c r="HKK46" s="2844"/>
      <c r="HKL46" s="2845"/>
      <c r="HKM46" s="2842"/>
      <c r="HKN46" s="2842"/>
      <c r="HKO46" s="2843"/>
      <c r="HKP46" s="2843"/>
      <c r="HKQ46" s="2844"/>
      <c r="HKR46" s="2845"/>
      <c r="HKS46" s="2842"/>
      <c r="HKT46" s="2842"/>
      <c r="HKU46" s="2843"/>
      <c r="HKV46" s="2843"/>
      <c r="HKW46" s="2844"/>
      <c r="HKX46" s="2845"/>
      <c r="HKY46" s="2842"/>
      <c r="HKZ46" s="2842"/>
      <c r="HLA46" s="2843"/>
      <c r="HLB46" s="2843"/>
      <c r="HLC46" s="2844"/>
      <c r="HLD46" s="2845"/>
      <c r="HLE46" s="2842"/>
      <c r="HLF46" s="2842"/>
      <c r="HLG46" s="2843"/>
      <c r="HLH46" s="2843"/>
      <c r="HLI46" s="2844"/>
      <c r="HLJ46" s="2845"/>
      <c r="HLK46" s="2842"/>
      <c r="HLL46" s="2842"/>
      <c r="HLM46" s="2843"/>
      <c r="HLN46" s="2843"/>
      <c r="HLO46" s="2844"/>
      <c r="HLP46" s="2845"/>
      <c r="HLQ46" s="2842"/>
      <c r="HLR46" s="2842"/>
      <c r="HLS46" s="2843"/>
      <c r="HLT46" s="2843"/>
      <c r="HLU46" s="2844"/>
      <c r="HLV46" s="2845"/>
      <c r="HLW46" s="2842"/>
      <c r="HLX46" s="2842"/>
      <c r="HLY46" s="2843"/>
      <c r="HLZ46" s="2843"/>
      <c r="HMA46" s="2844"/>
      <c r="HMB46" s="2845"/>
      <c r="HMC46" s="2842"/>
      <c r="HMD46" s="2842"/>
      <c r="HME46" s="2843"/>
      <c r="HMF46" s="2843"/>
      <c r="HMG46" s="2844"/>
      <c r="HMH46" s="2845"/>
      <c r="HMI46" s="2842"/>
      <c r="HMJ46" s="2842"/>
      <c r="HMK46" s="2843"/>
      <c r="HML46" s="2843"/>
      <c r="HMM46" s="2844"/>
      <c r="HMN46" s="2845"/>
      <c r="HMO46" s="2842"/>
      <c r="HMP46" s="2842"/>
      <c r="HMQ46" s="2843"/>
      <c r="HMR46" s="2843"/>
      <c r="HMS46" s="2844"/>
      <c r="HMT46" s="2845"/>
      <c r="HMU46" s="2842"/>
      <c r="HMV46" s="2842"/>
      <c r="HMW46" s="2843"/>
      <c r="HMX46" s="2843"/>
      <c r="HMY46" s="2844"/>
      <c r="HMZ46" s="2845"/>
      <c r="HNA46" s="2842"/>
      <c r="HNB46" s="2842"/>
      <c r="HNC46" s="2843"/>
      <c r="HND46" s="2843"/>
      <c r="HNE46" s="2844"/>
      <c r="HNF46" s="2845"/>
      <c r="HNG46" s="2842"/>
      <c r="HNH46" s="2842"/>
      <c r="HNI46" s="2843"/>
      <c r="HNJ46" s="2843"/>
      <c r="HNK46" s="2844"/>
      <c r="HNL46" s="2845"/>
      <c r="HNM46" s="2842"/>
      <c r="HNN46" s="2842"/>
      <c r="HNO46" s="2843"/>
      <c r="HNP46" s="2843"/>
      <c r="HNQ46" s="2844"/>
      <c r="HNR46" s="2845"/>
      <c r="HNS46" s="2842"/>
      <c r="HNT46" s="2842"/>
      <c r="HNU46" s="2843"/>
      <c r="HNV46" s="2843"/>
      <c r="HNW46" s="2844"/>
      <c r="HNX46" s="2845"/>
      <c r="HNY46" s="2842"/>
      <c r="HNZ46" s="2842"/>
      <c r="HOA46" s="2843"/>
      <c r="HOB46" s="2843"/>
      <c r="HOC46" s="2844"/>
      <c r="HOD46" s="2845"/>
      <c r="HOE46" s="2842"/>
      <c r="HOF46" s="2842"/>
      <c r="HOG46" s="2843"/>
      <c r="HOH46" s="2843"/>
      <c r="HOI46" s="2844"/>
      <c r="HOJ46" s="2845"/>
      <c r="HOK46" s="2842"/>
      <c r="HOL46" s="2842"/>
      <c r="HOM46" s="2843"/>
      <c r="HON46" s="2843"/>
      <c r="HOO46" s="2844"/>
      <c r="HOP46" s="2845"/>
      <c r="HOQ46" s="2842"/>
      <c r="HOR46" s="2842"/>
      <c r="HOS46" s="2843"/>
      <c r="HOT46" s="2843"/>
      <c r="HOU46" s="2844"/>
      <c r="HOV46" s="2845"/>
      <c r="HOW46" s="2842"/>
      <c r="HOX46" s="2842"/>
      <c r="HOY46" s="2843"/>
      <c r="HOZ46" s="2843"/>
      <c r="HPA46" s="2844"/>
      <c r="HPB46" s="2845"/>
      <c r="HPC46" s="2842"/>
      <c r="HPD46" s="2842"/>
      <c r="HPE46" s="2843"/>
      <c r="HPF46" s="2843"/>
      <c r="HPG46" s="2844"/>
      <c r="HPH46" s="2845"/>
      <c r="HPI46" s="2842"/>
      <c r="HPJ46" s="2842"/>
      <c r="HPK46" s="2843"/>
      <c r="HPL46" s="2843"/>
      <c r="HPM46" s="2844"/>
      <c r="HPN46" s="2845"/>
      <c r="HPO46" s="2842"/>
      <c r="HPP46" s="2842"/>
      <c r="HPQ46" s="2843"/>
      <c r="HPR46" s="2843"/>
      <c r="HPS46" s="2844"/>
      <c r="HPT46" s="2845"/>
      <c r="HPU46" s="2842"/>
      <c r="HPV46" s="2842"/>
      <c r="HPW46" s="2843"/>
      <c r="HPX46" s="2843"/>
      <c r="HPY46" s="2844"/>
      <c r="HPZ46" s="2845"/>
      <c r="HQA46" s="2842"/>
      <c r="HQB46" s="2842"/>
      <c r="HQC46" s="2843"/>
      <c r="HQD46" s="2843"/>
      <c r="HQE46" s="2844"/>
      <c r="HQF46" s="2845"/>
      <c r="HQG46" s="2842"/>
      <c r="HQH46" s="2842"/>
      <c r="HQI46" s="2843"/>
      <c r="HQJ46" s="2843"/>
      <c r="HQK46" s="2844"/>
      <c r="HQL46" s="2845"/>
      <c r="HQM46" s="2842"/>
      <c r="HQN46" s="2842"/>
      <c r="HQO46" s="2843"/>
      <c r="HQP46" s="2843"/>
      <c r="HQQ46" s="2844"/>
      <c r="HQR46" s="2845"/>
      <c r="HQS46" s="2842"/>
      <c r="HQT46" s="2842"/>
      <c r="HQU46" s="2843"/>
      <c r="HQV46" s="2843"/>
      <c r="HQW46" s="2844"/>
      <c r="HQX46" s="2845"/>
      <c r="HQY46" s="2842"/>
      <c r="HQZ46" s="2842"/>
      <c r="HRA46" s="2843"/>
      <c r="HRB46" s="2843"/>
      <c r="HRC46" s="2844"/>
      <c r="HRD46" s="2845"/>
      <c r="HRE46" s="2842"/>
      <c r="HRF46" s="2842"/>
      <c r="HRG46" s="2843"/>
      <c r="HRH46" s="2843"/>
      <c r="HRI46" s="2844"/>
      <c r="HRJ46" s="2845"/>
      <c r="HRK46" s="2842"/>
      <c r="HRL46" s="2842"/>
      <c r="HRM46" s="2843"/>
      <c r="HRN46" s="2843"/>
      <c r="HRO46" s="2844"/>
      <c r="HRP46" s="2845"/>
      <c r="HRQ46" s="2842"/>
      <c r="HRR46" s="2842"/>
      <c r="HRS46" s="2843"/>
      <c r="HRT46" s="2843"/>
      <c r="HRU46" s="2844"/>
      <c r="HRV46" s="2845"/>
      <c r="HRW46" s="2842"/>
      <c r="HRX46" s="2842"/>
      <c r="HRY46" s="2843"/>
      <c r="HRZ46" s="2843"/>
      <c r="HSA46" s="2844"/>
      <c r="HSB46" s="2845"/>
      <c r="HSC46" s="2842"/>
      <c r="HSD46" s="2842"/>
      <c r="HSE46" s="2843"/>
      <c r="HSF46" s="2843"/>
      <c r="HSG46" s="2844"/>
      <c r="HSH46" s="2845"/>
      <c r="HSI46" s="2842"/>
      <c r="HSJ46" s="2842"/>
      <c r="HSK46" s="2843"/>
      <c r="HSL46" s="2843"/>
      <c r="HSM46" s="2844"/>
      <c r="HSN46" s="2845"/>
      <c r="HSO46" s="2842"/>
      <c r="HSP46" s="2842"/>
      <c r="HSQ46" s="2843"/>
      <c r="HSR46" s="2843"/>
      <c r="HSS46" s="2844"/>
      <c r="HST46" s="2845"/>
      <c r="HSU46" s="2842"/>
      <c r="HSV46" s="2842"/>
      <c r="HSW46" s="2843"/>
      <c r="HSX46" s="2843"/>
      <c r="HSY46" s="2844"/>
      <c r="HSZ46" s="2845"/>
      <c r="HTA46" s="2842"/>
      <c r="HTB46" s="2842"/>
      <c r="HTC46" s="2843"/>
      <c r="HTD46" s="2843"/>
      <c r="HTE46" s="2844"/>
      <c r="HTF46" s="2845"/>
      <c r="HTG46" s="2842"/>
      <c r="HTH46" s="2842"/>
      <c r="HTI46" s="2843"/>
      <c r="HTJ46" s="2843"/>
      <c r="HTK46" s="2844"/>
      <c r="HTL46" s="2845"/>
      <c r="HTM46" s="2842"/>
      <c r="HTN46" s="2842"/>
      <c r="HTO46" s="2843"/>
      <c r="HTP46" s="2843"/>
      <c r="HTQ46" s="2844"/>
      <c r="HTR46" s="2845"/>
      <c r="HTS46" s="2842"/>
      <c r="HTT46" s="2842"/>
      <c r="HTU46" s="2843"/>
      <c r="HTV46" s="2843"/>
      <c r="HTW46" s="2844"/>
      <c r="HTX46" s="2845"/>
      <c r="HTY46" s="2842"/>
      <c r="HTZ46" s="2842"/>
      <c r="HUA46" s="2843"/>
      <c r="HUB46" s="2843"/>
      <c r="HUC46" s="2844"/>
      <c r="HUD46" s="2845"/>
      <c r="HUE46" s="2842"/>
      <c r="HUF46" s="2842"/>
      <c r="HUG46" s="2843"/>
      <c r="HUH46" s="2843"/>
      <c r="HUI46" s="2844"/>
      <c r="HUJ46" s="2845"/>
      <c r="HUK46" s="2842"/>
      <c r="HUL46" s="2842"/>
      <c r="HUM46" s="2843"/>
      <c r="HUN46" s="2843"/>
      <c r="HUO46" s="2844"/>
      <c r="HUP46" s="2845"/>
      <c r="HUQ46" s="2842"/>
      <c r="HUR46" s="2842"/>
      <c r="HUS46" s="2843"/>
      <c r="HUT46" s="2843"/>
      <c r="HUU46" s="2844"/>
      <c r="HUV46" s="2845"/>
      <c r="HUW46" s="2842"/>
      <c r="HUX46" s="2842"/>
      <c r="HUY46" s="2843"/>
      <c r="HUZ46" s="2843"/>
      <c r="HVA46" s="2844"/>
      <c r="HVB46" s="2845"/>
      <c r="HVC46" s="2842"/>
      <c r="HVD46" s="2842"/>
      <c r="HVE46" s="2843"/>
      <c r="HVF46" s="2843"/>
      <c r="HVG46" s="2844"/>
      <c r="HVH46" s="2845"/>
      <c r="HVI46" s="2842"/>
      <c r="HVJ46" s="2842"/>
      <c r="HVK46" s="2843"/>
      <c r="HVL46" s="2843"/>
      <c r="HVM46" s="2844"/>
      <c r="HVN46" s="2845"/>
      <c r="HVO46" s="2842"/>
      <c r="HVP46" s="2842"/>
      <c r="HVQ46" s="2843"/>
      <c r="HVR46" s="2843"/>
      <c r="HVS46" s="2844"/>
      <c r="HVT46" s="2845"/>
      <c r="HVU46" s="2842"/>
      <c r="HVV46" s="2842"/>
      <c r="HVW46" s="2843"/>
      <c r="HVX46" s="2843"/>
      <c r="HVY46" s="2844"/>
      <c r="HVZ46" s="2845"/>
      <c r="HWA46" s="2842"/>
      <c r="HWB46" s="2842"/>
      <c r="HWC46" s="2843"/>
      <c r="HWD46" s="2843"/>
      <c r="HWE46" s="2844"/>
      <c r="HWF46" s="2845"/>
      <c r="HWG46" s="2842"/>
      <c r="HWH46" s="2842"/>
      <c r="HWI46" s="2843"/>
      <c r="HWJ46" s="2843"/>
      <c r="HWK46" s="2844"/>
      <c r="HWL46" s="2845"/>
      <c r="HWM46" s="2842"/>
      <c r="HWN46" s="2842"/>
      <c r="HWO46" s="2843"/>
      <c r="HWP46" s="2843"/>
      <c r="HWQ46" s="2844"/>
      <c r="HWR46" s="2845"/>
      <c r="HWS46" s="2842"/>
      <c r="HWT46" s="2842"/>
      <c r="HWU46" s="2843"/>
      <c r="HWV46" s="2843"/>
      <c r="HWW46" s="2844"/>
      <c r="HWX46" s="2845"/>
      <c r="HWY46" s="2842"/>
      <c r="HWZ46" s="2842"/>
      <c r="HXA46" s="2843"/>
      <c r="HXB46" s="2843"/>
      <c r="HXC46" s="2844"/>
      <c r="HXD46" s="2845"/>
      <c r="HXE46" s="2842"/>
      <c r="HXF46" s="2842"/>
      <c r="HXG46" s="2843"/>
      <c r="HXH46" s="2843"/>
      <c r="HXI46" s="2844"/>
      <c r="HXJ46" s="2845"/>
      <c r="HXK46" s="2842"/>
      <c r="HXL46" s="2842"/>
      <c r="HXM46" s="2843"/>
      <c r="HXN46" s="2843"/>
      <c r="HXO46" s="2844"/>
      <c r="HXP46" s="2845"/>
      <c r="HXQ46" s="2842"/>
      <c r="HXR46" s="2842"/>
      <c r="HXS46" s="2843"/>
      <c r="HXT46" s="2843"/>
      <c r="HXU46" s="2844"/>
      <c r="HXV46" s="2845"/>
      <c r="HXW46" s="2842"/>
      <c r="HXX46" s="2842"/>
      <c r="HXY46" s="2843"/>
      <c r="HXZ46" s="2843"/>
      <c r="HYA46" s="2844"/>
      <c r="HYB46" s="2845"/>
      <c r="HYC46" s="2842"/>
      <c r="HYD46" s="2842"/>
      <c r="HYE46" s="2843"/>
      <c r="HYF46" s="2843"/>
      <c r="HYG46" s="2844"/>
      <c r="HYH46" s="2845"/>
      <c r="HYI46" s="2842"/>
      <c r="HYJ46" s="2842"/>
      <c r="HYK46" s="2843"/>
      <c r="HYL46" s="2843"/>
      <c r="HYM46" s="2844"/>
      <c r="HYN46" s="2845"/>
      <c r="HYO46" s="2842"/>
      <c r="HYP46" s="2842"/>
      <c r="HYQ46" s="2843"/>
      <c r="HYR46" s="2843"/>
      <c r="HYS46" s="2844"/>
      <c r="HYT46" s="2845"/>
      <c r="HYU46" s="2842"/>
      <c r="HYV46" s="2842"/>
      <c r="HYW46" s="2843"/>
      <c r="HYX46" s="2843"/>
      <c r="HYY46" s="2844"/>
      <c r="HYZ46" s="2845"/>
      <c r="HZA46" s="2842"/>
      <c r="HZB46" s="2842"/>
      <c r="HZC46" s="2843"/>
      <c r="HZD46" s="2843"/>
      <c r="HZE46" s="2844"/>
      <c r="HZF46" s="2845"/>
      <c r="HZG46" s="2842"/>
      <c r="HZH46" s="2842"/>
      <c r="HZI46" s="2843"/>
      <c r="HZJ46" s="2843"/>
      <c r="HZK46" s="2844"/>
      <c r="HZL46" s="2845"/>
      <c r="HZM46" s="2842"/>
      <c r="HZN46" s="2842"/>
      <c r="HZO46" s="2843"/>
      <c r="HZP46" s="2843"/>
      <c r="HZQ46" s="2844"/>
      <c r="HZR46" s="2845"/>
      <c r="HZS46" s="2842"/>
      <c r="HZT46" s="2842"/>
      <c r="HZU46" s="2843"/>
      <c r="HZV46" s="2843"/>
      <c r="HZW46" s="2844"/>
      <c r="HZX46" s="2845"/>
      <c r="HZY46" s="2842"/>
      <c r="HZZ46" s="2842"/>
      <c r="IAA46" s="2843"/>
      <c r="IAB46" s="2843"/>
      <c r="IAC46" s="2844"/>
      <c r="IAD46" s="2845"/>
      <c r="IAE46" s="2842"/>
      <c r="IAF46" s="2842"/>
      <c r="IAG46" s="2843"/>
      <c r="IAH46" s="2843"/>
      <c r="IAI46" s="2844"/>
      <c r="IAJ46" s="2845"/>
      <c r="IAK46" s="2842"/>
      <c r="IAL46" s="2842"/>
      <c r="IAM46" s="2843"/>
      <c r="IAN46" s="2843"/>
      <c r="IAO46" s="2844"/>
      <c r="IAP46" s="2845"/>
      <c r="IAQ46" s="2842"/>
      <c r="IAR46" s="2842"/>
      <c r="IAS46" s="2843"/>
      <c r="IAT46" s="2843"/>
      <c r="IAU46" s="2844"/>
      <c r="IAV46" s="2845"/>
      <c r="IAW46" s="2842"/>
      <c r="IAX46" s="2842"/>
      <c r="IAY46" s="2843"/>
      <c r="IAZ46" s="2843"/>
      <c r="IBA46" s="2844"/>
      <c r="IBB46" s="2845"/>
      <c r="IBC46" s="2842"/>
      <c r="IBD46" s="2842"/>
      <c r="IBE46" s="2843"/>
      <c r="IBF46" s="2843"/>
      <c r="IBG46" s="2844"/>
      <c r="IBH46" s="2845"/>
      <c r="IBI46" s="2842"/>
      <c r="IBJ46" s="2842"/>
      <c r="IBK46" s="2843"/>
      <c r="IBL46" s="2843"/>
      <c r="IBM46" s="2844"/>
      <c r="IBN46" s="2845"/>
      <c r="IBO46" s="2842"/>
      <c r="IBP46" s="2842"/>
      <c r="IBQ46" s="2843"/>
      <c r="IBR46" s="2843"/>
      <c r="IBS46" s="2844"/>
      <c r="IBT46" s="2845"/>
      <c r="IBU46" s="2842"/>
      <c r="IBV46" s="2842"/>
      <c r="IBW46" s="2843"/>
      <c r="IBX46" s="2843"/>
      <c r="IBY46" s="2844"/>
      <c r="IBZ46" s="2845"/>
      <c r="ICA46" s="2842"/>
      <c r="ICB46" s="2842"/>
      <c r="ICC46" s="2843"/>
      <c r="ICD46" s="2843"/>
      <c r="ICE46" s="2844"/>
      <c r="ICF46" s="2845"/>
      <c r="ICG46" s="2842"/>
      <c r="ICH46" s="2842"/>
      <c r="ICI46" s="2843"/>
      <c r="ICJ46" s="2843"/>
      <c r="ICK46" s="2844"/>
      <c r="ICL46" s="2845"/>
      <c r="ICM46" s="2842"/>
      <c r="ICN46" s="2842"/>
      <c r="ICO46" s="2843"/>
      <c r="ICP46" s="2843"/>
      <c r="ICQ46" s="2844"/>
      <c r="ICR46" s="2845"/>
      <c r="ICS46" s="2842"/>
      <c r="ICT46" s="2842"/>
      <c r="ICU46" s="2843"/>
      <c r="ICV46" s="2843"/>
      <c r="ICW46" s="2844"/>
      <c r="ICX46" s="2845"/>
      <c r="ICY46" s="2842"/>
      <c r="ICZ46" s="2842"/>
      <c r="IDA46" s="2843"/>
      <c r="IDB46" s="2843"/>
      <c r="IDC46" s="2844"/>
      <c r="IDD46" s="2845"/>
      <c r="IDE46" s="2842"/>
      <c r="IDF46" s="2842"/>
      <c r="IDG46" s="2843"/>
      <c r="IDH46" s="2843"/>
      <c r="IDI46" s="2844"/>
      <c r="IDJ46" s="2845"/>
      <c r="IDK46" s="2842"/>
      <c r="IDL46" s="2842"/>
      <c r="IDM46" s="2843"/>
      <c r="IDN46" s="2843"/>
      <c r="IDO46" s="2844"/>
      <c r="IDP46" s="2845"/>
      <c r="IDQ46" s="2842"/>
      <c r="IDR46" s="2842"/>
      <c r="IDS46" s="2843"/>
      <c r="IDT46" s="2843"/>
      <c r="IDU46" s="2844"/>
      <c r="IDV46" s="2845"/>
      <c r="IDW46" s="2842"/>
      <c r="IDX46" s="2842"/>
      <c r="IDY46" s="2843"/>
      <c r="IDZ46" s="2843"/>
      <c r="IEA46" s="2844"/>
      <c r="IEB46" s="2845"/>
      <c r="IEC46" s="2842"/>
      <c r="IED46" s="2842"/>
      <c r="IEE46" s="2843"/>
      <c r="IEF46" s="2843"/>
      <c r="IEG46" s="2844"/>
      <c r="IEH46" s="2845"/>
      <c r="IEI46" s="2842"/>
      <c r="IEJ46" s="2842"/>
      <c r="IEK46" s="2843"/>
      <c r="IEL46" s="2843"/>
      <c r="IEM46" s="2844"/>
      <c r="IEN46" s="2845"/>
      <c r="IEO46" s="2842"/>
      <c r="IEP46" s="2842"/>
      <c r="IEQ46" s="2843"/>
      <c r="IER46" s="2843"/>
      <c r="IES46" s="2844"/>
      <c r="IET46" s="2845"/>
      <c r="IEU46" s="2842"/>
      <c r="IEV46" s="2842"/>
      <c r="IEW46" s="2843"/>
      <c r="IEX46" s="2843"/>
      <c r="IEY46" s="2844"/>
      <c r="IEZ46" s="2845"/>
      <c r="IFA46" s="2842"/>
      <c r="IFB46" s="2842"/>
      <c r="IFC46" s="2843"/>
      <c r="IFD46" s="2843"/>
      <c r="IFE46" s="2844"/>
      <c r="IFF46" s="2845"/>
      <c r="IFG46" s="2842"/>
      <c r="IFH46" s="2842"/>
      <c r="IFI46" s="2843"/>
      <c r="IFJ46" s="2843"/>
      <c r="IFK46" s="2844"/>
      <c r="IFL46" s="2845"/>
      <c r="IFM46" s="2842"/>
      <c r="IFN46" s="2842"/>
      <c r="IFO46" s="2843"/>
      <c r="IFP46" s="2843"/>
      <c r="IFQ46" s="2844"/>
      <c r="IFR46" s="2845"/>
      <c r="IFS46" s="2842"/>
      <c r="IFT46" s="2842"/>
      <c r="IFU46" s="2843"/>
      <c r="IFV46" s="2843"/>
      <c r="IFW46" s="2844"/>
      <c r="IFX46" s="2845"/>
      <c r="IFY46" s="2842"/>
      <c r="IFZ46" s="2842"/>
      <c r="IGA46" s="2843"/>
      <c r="IGB46" s="2843"/>
      <c r="IGC46" s="2844"/>
      <c r="IGD46" s="2845"/>
      <c r="IGE46" s="2842"/>
      <c r="IGF46" s="2842"/>
      <c r="IGG46" s="2843"/>
      <c r="IGH46" s="2843"/>
      <c r="IGI46" s="2844"/>
      <c r="IGJ46" s="2845"/>
      <c r="IGK46" s="2842"/>
      <c r="IGL46" s="2842"/>
      <c r="IGM46" s="2843"/>
      <c r="IGN46" s="2843"/>
      <c r="IGO46" s="2844"/>
      <c r="IGP46" s="2845"/>
      <c r="IGQ46" s="2842"/>
      <c r="IGR46" s="2842"/>
      <c r="IGS46" s="2843"/>
      <c r="IGT46" s="2843"/>
      <c r="IGU46" s="2844"/>
      <c r="IGV46" s="2845"/>
      <c r="IGW46" s="2842"/>
      <c r="IGX46" s="2842"/>
      <c r="IGY46" s="2843"/>
      <c r="IGZ46" s="2843"/>
      <c r="IHA46" s="2844"/>
      <c r="IHB46" s="2845"/>
      <c r="IHC46" s="2842"/>
      <c r="IHD46" s="2842"/>
      <c r="IHE46" s="2843"/>
      <c r="IHF46" s="2843"/>
      <c r="IHG46" s="2844"/>
      <c r="IHH46" s="2845"/>
      <c r="IHI46" s="2842"/>
      <c r="IHJ46" s="2842"/>
      <c r="IHK46" s="2843"/>
      <c r="IHL46" s="2843"/>
      <c r="IHM46" s="2844"/>
      <c r="IHN46" s="2845"/>
      <c r="IHO46" s="2842"/>
      <c r="IHP46" s="2842"/>
      <c r="IHQ46" s="2843"/>
      <c r="IHR46" s="2843"/>
      <c r="IHS46" s="2844"/>
      <c r="IHT46" s="2845"/>
      <c r="IHU46" s="2842"/>
      <c r="IHV46" s="2842"/>
      <c r="IHW46" s="2843"/>
      <c r="IHX46" s="2843"/>
      <c r="IHY46" s="2844"/>
      <c r="IHZ46" s="2845"/>
      <c r="IIA46" s="2842"/>
      <c r="IIB46" s="2842"/>
      <c r="IIC46" s="2843"/>
      <c r="IID46" s="2843"/>
      <c r="IIE46" s="2844"/>
      <c r="IIF46" s="2845"/>
      <c r="IIG46" s="2842"/>
      <c r="IIH46" s="2842"/>
      <c r="III46" s="2843"/>
      <c r="IIJ46" s="2843"/>
      <c r="IIK46" s="2844"/>
      <c r="IIL46" s="2845"/>
      <c r="IIM46" s="2842"/>
      <c r="IIN46" s="2842"/>
      <c r="IIO46" s="2843"/>
      <c r="IIP46" s="2843"/>
      <c r="IIQ46" s="2844"/>
      <c r="IIR46" s="2845"/>
      <c r="IIS46" s="2842"/>
      <c r="IIT46" s="2842"/>
      <c r="IIU46" s="2843"/>
      <c r="IIV46" s="2843"/>
      <c r="IIW46" s="2844"/>
      <c r="IIX46" s="2845"/>
      <c r="IIY46" s="2842"/>
      <c r="IIZ46" s="2842"/>
      <c r="IJA46" s="2843"/>
      <c r="IJB46" s="2843"/>
      <c r="IJC46" s="2844"/>
      <c r="IJD46" s="2845"/>
      <c r="IJE46" s="2842"/>
      <c r="IJF46" s="2842"/>
      <c r="IJG46" s="2843"/>
      <c r="IJH46" s="2843"/>
      <c r="IJI46" s="2844"/>
      <c r="IJJ46" s="2845"/>
      <c r="IJK46" s="2842"/>
      <c r="IJL46" s="2842"/>
      <c r="IJM46" s="2843"/>
      <c r="IJN46" s="2843"/>
      <c r="IJO46" s="2844"/>
      <c r="IJP46" s="2845"/>
      <c r="IJQ46" s="2842"/>
      <c r="IJR46" s="2842"/>
      <c r="IJS46" s="2843"/>
      <c r="IJT46" s="2843"/>
      <c r="IJU46" s="2844"/>
      <c r="IJV46" s="2845"/>
      <c r="IJW46" s="2842"/>
      <c r="IJX46" s="2842"/>
      <c r="IJY46" s="2843"/>
      <c r="IJZ46" s="2843"/>
      <c r="IKA46" s="2844"/>
      <c r="IKB46" s="2845"/>
      <c r="IKC46" s="2842"/>
      <c r="IKD46" s="2842"/>
      <c r="IKE46" s="2843"/>
      <c r="IKF46" s="2843"/>
      <c r="IKG46" s="2844"/>
      <c r="IKH46" s="2845"/>
      <c r="IKI46" s="2842"/>
      <c r="IKJ46" s="2842"/>
      <c r="IKK46" s="2843"/>
      <c r="IKL46" s="2843"/>
      <c r="IKM46" s="2844"/>
      <c r="IKN46" s="2845"/>
      <c r="IKO46" s="2842"/>
      <c r="IKP46" s="2842"/>
      <c r="IKQ46" s="2843"/>
      <c r="IKR46" s="2843"/>
      <c r="IKS46" s="2844"/>
      <c r="IKT46" s="2845"/>
      <c r="IKU46" s="2842"/>
      <c r="IKV46" s="2842"/>
      <c r="IKW46" s="2843"/>
      <c r="IKX46" s="2843"/>
      <c r="IKY46" s="2844"/>
      <c r="IKZ46" s="2845"/>
      <c r="ILA46" s="2842"/>
      <c r="ILB46" s="2842"/>
      <c r="ILC46" s="2843"/>
      <c r="ILD46" s="2843"/>
      <c r="ILE46" s="2844"/>
      <c r="ILF46" s="2845"/>
      <c r="ILG46" s="2842"/>
      <c r="ILH46" s="2842"/>
      <c r="ILI46" s="2843"/>
      <c r="ILJ46" s="2843"/>
      <c r="ILK46" s="2844"/>
      <c r="ILL46" s="2845"/>
      <c r="ILM46" s="2842"/>
      <c r="ILN46" s="2842"/>
      <c r="ILO46" s="2843"/>
      <c r="ILP46" s="2843"/>
      <c r="ILQ46" s="2844"/>
      <c r="ILR46" s="2845"/>
      <c r="ILS46" s="2842"/>
      <c r="ILT46" s="2842"/>
      <c r="ILU46" s="2843"/>
      <c r="ILV46" s="2843"/>
      <c r="ILW46" s="2844"/>
      <c r="ILX46" s="2845"/>
      <c r="ILY46" s="2842"/>
      <c r="ILZ46" s="2842"/>
      <c r="IMA46" s="2843"/>
      <c r="IMB46" s="2843"/>
      <c r="IMC46" s="2844"/>
      <c r="IMD46" s="2845"/>
      <c r="IME46" s="2842"/>
      <c r="IMF46" s="2842"/>
      <c r="IMG46" s="2843"/>
      <c r="IMH46" s="2843"/>
      <c r="IMI46" s="2844"/>
      <c r="IMJ46" s="2845"/>
      <c r="IMK46" s="2842"/>
      <c r="IML46" s="2842"/>
      <c r="IMM46" s="2843"/>
      <c r="IMN46" s="2843"/>
      <c r="IMO46" s="2844"/>
      <c r="IMP46" s="2845"/>
      <c r="IMQ46" s="2842"/>
      <c r="IMR46" s="2842"/>
      <c r="IMS46" s="2843"/>
      <c r="IMT46" s="2843"/>
      <c r="IMU46" s="2844"/>
      <c r="IMV46" s="2845"/>
      <c r="IMW46" s="2842"/>
      <c r="IMX46" s="2842"/>
      <c r="IMY46" s="2843"/>
      <c r="IMZ46" s="2843"/>
      <c r="INA46" s="2844"/>
      <c r="INB46" s="2845"/>
      <c r="INC46" s="2842"/>
      <c r="IND46" s="2842"/>
      <c r="INE46" s="2843"/>
      <c r="INF46" s="2843"/>
      <c r="ING46" s="2844"/>
      <c r="INH46" s="2845"/>
      <c r="INI46" s="2842"/>
      <c r="INJ46" s="2842"/>
      <c r="INK46" s="2843"/>
      <c r="INL46" s="2843"/>
      <c r="INM46" s="2844"/>
      <c r="INN46" s="2845"/>
      <c r="INO46" s="2842"/>
      <c r="INP46" s="2842"/>
      <c r="INQ46" s="2843"/>
      <c r="INR46" s="2843"/>
      <c r="INS46" s="2844"/>
      <c r="INT46" s="2845"/>
      <c r="INU46" s="2842"/>
      <c r="INV46" s="2842"/>
      <c r="INW46" s="2843"/>
      <c r="INX46" s="2843"/>
      <c r="INY46" s="2844"/>
      <c r="INZ46" s="2845"/>
      <c r="IOA46" s="2842"/>
      <c r="IOB46" s="2842"/>
      <c r="IOC46" s="2843"/>
      <c r="IOD46" s="2843"/>
      <c r="IOE46" s="2844"/>
      <c r="IOF46" s="2845"/>
      <c r="IOG46" s="2842"/>
      <c r="IOH46" s="2842"/>
      <c r="IOI46" s="2843"/>
      <c r="IOJ46" s="2843"/>
      <c r="IOK46" s="2844"/>
      <c r="IOL46" s="2845"/>
      <c r="IOM46" s="2842"/>
      <c r="ION46" s="2842"/>
      <c r="IOO46" s="2843"/>
      <c r="IOP46" s="2843"/>
      <c r="IOQ46" s="2844"/>
      <c r="IOR46" s="2845"/>
      <c r="IOS46" s="2842"/>
      <c r="IOT46" s="2842"/>
      <c r="IOU46" s="2843"/>
      <c r="IOV46" s="2843"/>
      <c r="IOW46" s="2844"/>
      <c r="IOX46" s="2845"/>
      <c r="IOY46" s="2842"/>
      <c r="IOZ46" s="2842"/>
      <c r="IPA46" s="2843"/>
      <c r="IPB46" s="2843"/>
      <c r="IPC46" s="2844"/>
      <c r="IPD46" s="2845"/>
      <c r="IPE46" s="2842"/>
      <c r="IPF46" s="2842"/>
      <c r="IPG46" s="2843"/>
      <c r="IPH46" s="2843"/>
      <c r="IPI46" s="2844"/>
      <c r="IPJ46" s="2845"/>
      <c r="IPK46" s="2842"/>
      <c r="IPL46" s="2842"/>
      <c r="IPM46" s="2843"/>
      <c r="IPN46" s="2843"/>
      <c r="IPO46" s="2844"/>
      <c r="IPP46" s="2845"/>
      <c r="IPQ46" s="2842"/>
      <c r="IPR46" s="2842"/>
      <c r="IPS46" s="2843"/>
      <c r="IPT46" s="2843"/>
      <c r="IPU46" s="2844"/>
      <c r="IPV46" s="2845"/>
      <c r="IPW46" s="2842"/>
      <c r="IPX46" s="2842"/>
      <c r="IPY46" s="2843"/>
      <c r="IPZ46" s="2843"/>
      <c r="IQA46" s="2844"/>
      <c r="IQB46" s="2845"/>
      <c r="IQC46" s="2842"/>
      <c r="IQD46" s="2842"/>
      <c r="IQE46" s="2843"/>
      <c r="IQF46" s="2843"/>
      <c r="IQG46" s="2844"/>
      <c r="IQH46" s="2845"/>
      <c r="IQI46" s="2842"/>
      <c r="IQJ46" s="2842"/>
      <c r="IQK46" s="2843"/>
      <c r="IQL46" s="2843"/>
      <c r="IQM46" s="2844"/>
      <c r="IQN46" s="2845"/>
      <c r="IQO46" s="2842"/>
      <c r="IQP46" s="2842"/>
      <c r="IQQ46" s="2843"/>
      <c r="IQR46" s="2843"/>
      <c r="IQS46" s="2844"/>
      <c r="IQT46" s="2845"/>
      <c r="IQU46" s="2842"/>
      <c r="IQV46" s="2842"/>
      <c r="IQW46" s="2843"/>
      <c r="IQX46" s="2843"/>
      <c r="IQY46" s="2844"/>
      <c r="IQZ46" s="2845"/>
      <c r="IRA46" s="2842"/>
      <c r="IRB46" s="2842"/>
      <c r="IRC46" s="2843"/>
      <c r="IRD46" s="2843"/>
      <c r="IRE46" s="2844"/>
      <c r="IRF46" s="2845"/>
      <c r="IRG46" s="2842"/>
      <c r="IRH46" s="2842"/>
      <c r="IRI46" s="2843"/>
      <c r="IRJ46" s="2843"/>
      <c r="IRK46" s="2844"/>
      <c r="IRL46" s="2845"/>
      <c r="IRM46" s="2842"/>
      <c r="IRN46" s="2842"/>
      <c r="IRO46" s="2843"/>
      <c r="IRP46" s="2843"/>
      <c r="IRQ46" s="2844"/>
      <c r="IRR46" s="2845"/>
      <c r="IRS46" s="2842"/>
      <c r="IRT46" s="2842"/>
      <c r="IRU46" s="2843"/>
      <c r="IRV46" s="2843"/>
      <c r="IRW46" s="2844"/>
      <c r="IRX46" s="2845"/>
      <c r="IRY46" s="2842"/>
      <c r="IRZ46" s="2842"/>
      <c r="ISA46" s="2843"/>
      <c r="ISB46" s="2843"/>
      <c r="ISC46" s="2844"/>
      <c r="ISD46" s="2845"/>
      <c r="ISE46" s="2842"/>
      <c r="ISF46" s="2842"/>
      <c r="ISG46" s="2843"/>
      <c r="ISH46" s="2843"/>
      <c r="ISI46" s="2844"/>
      <c r="ISJ46" s="2845"/>
      <c r="ISK46" s="2842"/>
      <c r="ISL46" s="2842"/>
      <c r="ISM46" s="2843"/>
      <c r="ISN46" s="2843"/>
      <c r="ISO46" s="2844"/>
      <c r="ISP46" s="2845"/>
      <c r="ISQ46" s="2842"/>
      <c r="ISR46" s="2842"/>
      <c r="ISS46" s="2843"/>
      <c r="IST46" s="2843"/>
      <c r="ISU46" s="2844"/>
      <c r="ISV46" s="2845"/>
      <c r="ISW46" s="2842"/>
      <c r="ISX46" s="2842"/>
      <c r="ISY46" s="2843"/>
      <c r="ISZ46" s="2843"/>
      <c r="ITA46" s="2844"/>
      <c r="ITB46" s="2845"/>
      <c r="ITC46" s="2842"/>
      <c r="ITD46" s="2842"/>
      <c r="ITE46" s="2843"/>
      <c r="ITF46" s="2843"/>
      <c r="ITG46" s="2844"/>
      <c r="ITH46" s="2845"/>
      <c r="ITI46" s="2842"/>
      <c r="ITJ46" s="2842"/>
      <c r="ITK46" s="2843"/>
      <c r="ITL46" s="2843"/>
      <c r="ITM46" s="2844"/>
      <c r="ITN46" s="2845"/>
      <c r="ITO46" s="2842"/>
      <c r="ITP46" s="2842"/>
      <c r="ITQ46" s="2843"/>
      <c r="ITR46" s="2843"/>
      <c r="ITS46" s="2844"/>
      <c r="ITT46" s="2845"/>
      <c r="ITU46" s="2842"/>
      <c r="ITV46" s="2842"/>
      <c r="ITW46" s="2843"/>
      <c r="ITX46" s="2843"/>
      <c r="ITY46" s="2844"/>
      <c r="ITZ46" s="2845"/>
      <c r="IUA46" s="2842"/>
      <c r="IUB46" s="2842"/>
      <c r="IUC46" s="2843"/>
      <c r="IUD46" s="2843"/>
      <c r="IUE46" s="2844"/>
      <c r="IUF46" s="2845"/>
      <c r="IUG46" s="2842"/>
      <c r="IUH46" s="2842"/>
      <c r="IUI46" s="2843"/>
      <c r="IUJ46" s="2843"/>
      <c r="IUK46" s="2844"/>
      <c r="IUL46" s="2845"/>
      <c r="IUM46" s="2842"/>
      <c r="IUN46" s="2842"/>
      <c r="IUO46" s="2843"/>
      <c r="IUP46" s="2843"/>
      <c r="IUQ46" s="2844"/>
      <c r="IUR46" s="2845"/>
      <c r="IUS46" s="2842"/>
      <c r="IUT46" s="2842"/>
      <c r="IUU46" s="2843"/>
      <c r="IUV46" s="2843"/>
      <c r="IUW46" s="2844"/>
      <c r="IUX46" s="2845"/>
      <c r="IUY46" s="2842"/>
      <c r="IUZ46" s="2842"/>
      <c r="IVA46" s="2843"/>
      <c r="IVB46" s="2843"/>
      <c r="IVC46" s="2844"/>
      <c r="IVD46" s="2845"/>
      <c r="IVE46" s="2842"/>
      <c r="IVF46" s="2842"/>
      <c r="IVG46" s="2843"/>
      <c r="IVH46" s="2843"/>
      <c r="IVI46" s="2844"/>
      <c r="IVJ46" s="2845"/>
      <c r="IVK46" s="2842"/>
      <c r="IVL46" s="2842"/>
      <c r="IVM46" s="2843"/>
      <c r="IVN46" s="2843"/>
      <c r="IVO46" s="2844"/>
      <c r="IVP46" s="2845"/>
      <c r="IVQ46" s="2842"/>
      <c r="IVR46" s="2842"/>
      <c r="IVS46" s="2843"/>
      <c r="IVT46" s="2843"/>
      <c r="IVU46" s="2844"/>
      <c r="IVV46" s="2845"/>
      <c r="IVW46" s="2842"/>
      <c r="IVX46" s="2842"/>
      <c r="IVY46" s="2843"/>
      <c r="IVZ46" s="2843"/>
      <c r="IWA46" s="2844"/>
      <c r="IWB46" s="2845"/>
      <c r="IWC46" s="2842"/>
      <c r="IWD46" s="2842"/>
      <c r="IWE46" s="2843"/>
      <c r="IWF46" s="2843"/>
      <c r="IWG46" s="2844"/>
      <c r="IWH46" s="2845"/>
      <c r="IWI46" s="2842"/>
      <c r="IWJ46" s="2842"/>
      <c r="IWK46" s="2843"/>
      <c r="IWL46" s="2843"/>
      <c r="IWM46" s="2844"/>
      <c r="IWN46" s="2845"/>
      <c r="IWO46" s="2842"/>
      <c r="IWP46" s="2842"/>
      <c r="IWQ46" s="2843"/>
      <c r="IWR46" s="2843"/>
      <c r="IWS46" s="2844"/>
      <c r="IWT46" s="2845"/>
      <c r="IWU46" s="2842"/>
      <c r="IWV46" s="2842"/>
      <c r="IWW46" s="2843"/>
      <c r="IWX46" s="2843"/>
      <c r="IWY46" s="2844"/>
      <c r="IWZ46" s="2845"/>
      <c r="IXA46" s="2842"/>
      <c r="IXB46" s="2842"/>
      <c r="IXC46" s="2843"/>
      <c r="IXD46" s="2843"/>
      <c r="IXE46" s="2844"/>
      <c r="IXF46" s="2845"/>
      <c r="IXG46" s="2842"/>
      <c r="IXH46" s="2842"/>
      <c r="IXI46" s="2843"/>
      <c r="IXJ46" s="2843"/>
      <c r="IXK46" s="2844"/>
      <c r="IXL46" s="2845"/>
      <c r="IXM46" s="2842"/>
      <c r="IXN46" s="2842"/>
      <c r="IXO46" s="2843"/>
      <c r="IXP46" s="2843"/>
      <c r="IXQ46" s="2844"/>
      <c r="IXR46" s="2845"/>
      <c r="IXS46" s="2842"/>
      <c r="IXT46" s="2842"/>
      <c r="IXU46" s="2843"/>
      <c r="IXV46" s="2843"/>
      <c r="IXW46" s="2844"/>
      <c r="IXX46" s="2845"/>
      <c r="IXY46" s="2842"/>
      <c r="IXZ46" s="2842"/>
      <c r="IYA46" s="2843"/>
      <c r="IYB46" s="2843"/>
      <c r="IYC46" s="2844"/>
      <c r="IYD46" s="2845"/>
      <c r="IYE46" s="2842"/>
      <c r="IYF46" s="2842"/>
      <c r="IYG46" s="2843"/>
      <c r="IYH46" s="2843"/>
      <c r="IYI46" s="2844"/>
      <c r="IYJ46" s="2845"/>
      <c r="IYK46" s="2842"/>
      <c r="IYL46" s="2842"/>
      <c r="IYM46" s="2843"/>
      <c r="IYN46" s="2843"/>
      <c r="IYO46" s="2844"/>
      <c r="IYP46" s="2845"/>
      <c r="IYQ46" s="2842"/>
      <c r="IYR46" s="2842"/>
      <c r="IYS46" s="2843"/>
      <c r="IYT46" s="2843"/>
      <c r="IYU46" s="2844"/>
      <c r="IYV46" s="2845"/>
      <c r="IYW46" s="2842"/>
      <c r="IYX46" s="2842"/>
      <c r="IYY46" s="2843"/>
      <c r="IYZ46" s="2843"/>
      <c r="IZA46" s="2844"/>
      <c r="IZB46" s="2845"/>
      <c r="IZC46" s="2842"/>
      <c r="IZD46" s="2842"/>
      <c r="IZE46" s="2843"/>
      <c r="IZF46" s="2843"/>
      <c r="IZG46" s="2844"/>
      <c r="IZH46" s="2845"/>
      <c r="IZI46" s="2842"/>
      <c r="IZJ46" s="2842"/>
      <c r="IZK46" s="2843"/>
      <c r="IZL46" s="2843"/>
      <c r="IZM46" s="2844"/>
      <c r="IZN46" s="2845"/>
      <c r="IZO46" s="2842"/>
      <c r="IZP46" s="2842"/>
      <c r="IZQ46" s="2843"/>
      <c r="IZR46" s="2843"/>
      <c r="IZS46" s="2844"/>
      <c r="IZT46" s="2845"/>
      <c r="IZU46" s="2842"/>
      <c r="IZV46" s="2842"/>
      <c r="IZW46" s="2843"/>
      <c r="IZX46" s="2843"/>
      <c r="IZY46" s="2844"/>
      <c r="IZZ46" s="2845"/>
      <c r="JAA46" s="2842"/>
      <c r="JAB46" s="2842"/>
      <c r="JAC46" s="2843"/>
      <c r="JAD46" s="2843"/>
      <c r="JAE46" s="2844"/>
      <c r="JAF46" s="2845"/>
      <c r="JAG46" s="2842"/>
      <c r="JAH46" s="2842"/>
      <c r="JAI46" s="2843"/>
      <c r="JAJ46" s="2843"/>
      <c r="JAK46" s="2844"/>
      <c r="JAL46" s="2845"/>
      <c r="JAM46" s="2842"/>
      <c r="JAN46" s="2842"/>
      <c r="JAO46" s="2843"/>
      <c r="JAP46" s="2843"/>
      <c r="JAQ46" s="2844"/>
      <c r="JAR46" s="2845"/>
      <c r="JAS46" s="2842"/>
      <c r="JAT46" s="2842"/>
      <c r="JAU46" s="2843"/>
      <c r="JAV46" s="2843"/>
      <c r="JAW46" s="2844"/>
      <c r="JAX46" s="2845"/>
      <c r="JAY46" s="2842"/>
      <c r="JAZ46" s="2842"/>
      <c r="JBA46" s="2843"/>
      <c r="JBB46" s="2843"/>
      <c r="JBC46" s="2844"/>
      <c r="JBD46" s="2845"/>
      <c r="JBE46" s="2842"/>
      <c r="JBF46" s="2842"/>
      <c r="JBG46" s="2843"/>
      <c r="JBH46" s="2843"/>
      <c r="JBI46" s="2844"/>
      <c r="JBJ46" s="2845"/>
      <c r="JBK46" s="2842"/>
      <c r="JBL46" s="2842"/>
      <c r="JBM46" s="2843"/>
      <c r="JBN46" s="2843"/>
      <c r="JBO46" s="2844"/>
      <c r="JBP46" s="2845"/>
      <c r="JBQ46" s="2842"/>
      <c r="JBR46" s="2842"/>
      <c r="JBS46" s="2843"/>
      <c r="JBT46" s="2843"/>
      <c r="JBU46" s="2844"/>
      <c r="JBV46" s="2845"/>
      <c r="JBW46" s="2842"/>
      <c r="JBX46" s="2842"/>
      <c r="JBY46" s="2843"/>
      <c r="JBZ46" s="2843"/>
      <c r="JCA46" s="2844"/>
      <c r="JCB46" s="2845"/>
      <c r="JCC46" s="2842"/>
      <c r="JCD46" s="2842"/>
      <c r="JCE46" s="2843"/>
      <c r="JCF46" s="2843"/>
      <c r="JCG46" s="2844"/>
      <c r="JCH46" s="2845"/>
      <c r="JCI46" s="2842"/>
      <c r="JCJ46" s="2842"/>
      <c r="JCK46" s="2843"/>
      <c r="JCL46" s="2843"/>
      <c r="JCM46" s="2844"/>
      <c r="JCN46" s="2845"/>
      <c r="JCO46" s="2842"/>
      <c r="JCP46" s="2842"/>
      <c r="JCQ46" s="2843"/>
      <c r="JCR46" s="2843"/>
      <c r="JCS46" s="2844"/>
      <c r="JCT46" s="2845"/>
      <c r="JCU46" s="2842"/>
      <c r="JCV46" s="2842"/>
      <c r="JCW46" s="2843"/>
      <c r="JCX46" s="2843"/>
      <c r="JCY46" s="2844"/>
      <c r="JCZ46" s="2845"/>
      <c r="JDA46" s="2842"/>
      <c r="JDB46" s="2842"/>
      <c r="JDC46" s="2843"/>
      <c r="JDD46" s="2843"/>
      <c r="JDE46" s="2844"/>
      <c r="JDF46" s="2845"/>
      <c r="JDG46" s="2842"/>
      <c r="JDH46" s="2842"/>
      <c r="JDI46" s="2843"/>
      <c r="JDJ46" s="2843"/>
      <c r="JDK46" s="2844"/>
      <c r="JDL46" s="2845"/>
      <c r="JDM46" s="2842"/>
      <c r="JDN46" s="2842"/>
      <c r="JDO46" s="2843"/>
      <c r="JDP46" s="2843"/>
      <c r="JDQ46" s="2844"/>
      <c r="JDR46" s="2845"/>
      <c r="JDS46" s="2842"/>
      <c r="JDT46" s="2842"/>
      <c r="JDU46" s="2843"/>
      <c r="JDV46" s="2843"/>
      <c r="JDW46" s="2844"/>
      <c r="JDX46" s="2845"/>
      <c r="JDY46" s="2842"/>
      <c r="JDZ46" s="2842"/>
      <c r="JEA46" s="2843"/>
      <c r="JEB46" s="2843"/>
      <c r="JEC46" s="2844"/>
      <c r="JED46" s="2845"/>
      <c r="JEE46" s="2842"/>
      <c r="JEF46" s="2842"/>
      <c r="JEG46" s="2843"/>
      <c r="JEH46" s="2843"/>
      <c r="JEI46" s="2844"/>
      <c r="JEJ46" s="2845"/>
      <c r="JEK46" s="2842"/>
      <c r="JEL46" s="2842"/>
      <c r="JEM46" s="2843"/>
      <c r="JEN46" s="2843"/>
      <c r="JEO46" s="2844"/>
      <c r="JEP46" s="2845"/>
      <c r="JEQ46" s="2842"/>
      <c r="JER46" s="2842"/>
      <c r="JES46" s="2843"/>
      <c r="JET46" s="2843"/>
      <c r="JEU46" s="2844"/>
      <c r="JEV46" s="2845"/>
      <c r="JEW46" s="2842"/>
      <c r="JEX46" s="2842"/>
      <c r="JEY46" s="2843"/>
      <c r="JEZ46" s="2843"/>
      <c r="JFA46" s="2844"/>
      <c r="JFB46" s="2845"/>
      <c r="JFC46" s="2842"/>
      <c r="JFD46" s="2842"/>
      <c r="JFE46" s="2843"/>
      <c r="JFF46" s="2843"/>
      <c r="JFG46" s="2844"/>
      <c r="JFH46" s="2845"/>
      <c r="JFI46" s="2842"/>
      <c r="JFJ46" s="2842"/>
      <c r="JFK46" s="2843"/>
      <c r="JFL46" s="2843"/>
      <c r="JFM46" s="2844"/>
      <c r="JFN46" s="2845"/>
      <c r="JFO46" s="2842"/>
      <c r="JFP46" s="2842"/>
      <c r="JFQ46" s="2843"/>
      <c r="JFR46" s="2843"/>
      <c r="JFS46" s="2844"/>
      <c r="JFT46" s="2845"/>
      <c r="JFU46" s="2842"/>
      <c r="JFV46" s="2842"/>
      <c r="JFW46" s="2843"/>
      <c r="JFX46" s="2843"/>
      <c r="JFY46" s="2844"/>
      <c r="JFZ46" s="2845"/>
      <c r="JGA46" s="2842"/>
      <c r="JGB46" s="2842"/>
      <c r="JGC46" s="2843"/>
      <c r="JGD46" s="2843"/>
      <c r="JGE46" s="2844"/>
      <c r="JGF46" s="2845"/>
      <c r="JGG46" s="2842"/>
      <c r="JGH46" s="2842"/>
      <c r="JGI46" s="2843"/>
      <c r="JGJ46" s="2843"/>
      <c r="JGK46" s="2844"/>
      <c r="JGL46" s="2845"/>
      <c r="JGM46" s="2842"/>
      <c r="JGN46" s="2842"/>
      <c r="JGO46" s="2843"/>
      <c r="JGP46" s="2843"/>
      <c r="JGQ46" s="2844"/>
      <c r="JGR46" s="2845"/>
      <c r="JGS46" s="2842"/>
      <c r="JGT46" s="2842"/>
      <c r="JGU46" s="2843"/>
      <c r="JGV46" s="2843"/>
      <c r="JGW46" s="2844"/>
      <c r="JGX46" s="2845"/>
      <c r="JGY46" s="2842"/>
      <c r="JGZ46" s="2842"/>
      <c r="JHA46" s="2843"/>
      <c r="JHB46" s="2843"/>
      <c r="JHC46" s="2844"/>
      <c r="JHD46" s="2845"/>
      <c r="JHE46" s="2842"/>
      <c r="JHF46" s="2842"/>
      <c r="JHG46" s="2843"/>
      <c r="JHH46" s="2843"/>
      <c r="JHI46" s="2844"/>
      <c r="JHJ46" s="2845"/>
      <c r="JHK46" s="2842"/>
      <c r="JHL46" s="2842"/>
      <c r="JHM46" s="2843"/>
      <c r="JHN46" s="2843"/>
      <c r="JHO46" s="2844"/>
      <c r="JHP46" s="2845"/>
      <c r="JHQ46" s="2842"/>
      <c r="JHR46" s="2842"/>
      <c r="JHS46" s="2843"/>
      <c r="JHT46" s="2843"/>
      <c r="JHU46" s="2844"/>
      <c r="JHV46" s="2845"/>
      <c r="JHW46" s="2842"/>
      <c r="JHX46" s="2842"/>
      <c r="JHY46" s="2843"/>
      <c r="JHZ46" s="2843"/>
      <c r="JIA46" s="2844"/>
      <c r="JIB46" s="2845"/>
      <c r="JIC46" s="2842"/>
      <c r="JID46" s="2842"/>
      <c r="JIE46" s="2843"/>
      <c r="JIF46" s="2843"/>
      <c r="JIG46" s="2844"/>
      <c r="JIH46" s="2845"/>
      <c r="JII46" s="2842"/>
      <c r="JIJ46" s="2842"/>
      <c r="JIK46" s="2843"/>
      <c r="JIL46" s="2843"/>
      <c r="JIM46" s="2844"/>
      <c r="JIN46" s="2845"/>
      <c r="JIO46" s="2842"/>
      <c r="JIP46" s="2842"/>
      <c r="JIQ46" s="2843"/>
      <c r="JIR46" s="2843"/>
      <c r="JIS46" s="2844"/>
      <c r="JIT46" s="2845"/>
      <c r="JIU46" s="2842"/>
      <c r="JIV46" s="2842"/>
      <c r="JIW46" s="2843"/>
      <c r="JIX46" s="2843"/>
      <c r="JIY46" s="2844"/>
      <c r="JIZ46" s="2845"/>
      <c r="JJA46" s="2842"/>
      <c r="JJB46" s="2842"/>
      <c r="JJC46" s="2843"/>
      <c r="JJD46" s="2843"/>
      <c r="JJE46" s="2844"/>
      <c r="JJF46" s="2845"/>
      <c r="JJG46" s="2842"/>
      <c r="JJH46" s="2842"/>
      <c r="JJI46" s="2843"/>
      <c r="JJJ46" s="2843"/>
      <c r="JJK46" s="2844"/>
      <c r="JJL46" s="2845"/>
      <c r="JJM46" s="2842"/>
      <c r="JJN46" s="2842"/>
      <c r="JJO46" s="2843"/>
      <c r="JJP46" s="2843"/>
      <c r="JJQ46" s="2844"/>
      <c r="JJR46" s="2845"/>
      <c r="JJS46" s="2842"/>
      <c r="JJT46" s="2842"/>
      <c r="JJU46" s="2843"/>
      <c r="JJV46" s="2843"/>
      <c r="JJW46" s="2844"/>
      <c r="JJX46" s="2845"/>
      <c r="JJY46" s="2842"/>
      <c r="JJZ46" s="2842"/>
      <c r="JKA46" s="2843"/>
      <c r="JKB46" s="2843"/>
      <c r="JKC46" s="2844"/>
      <c r="JKD46" s="2845"/>
      <c r="JKE46" s="2842"/>
      <c r="JKF46" s="2842"/>
      <c r="JKG46" s="2843"/>
      <c r="JKH46" s="2843"/>
      <c r="JKI46" s="2844"/>
      <c r="JKJ46" s="2845"/>
      <c r="JKK46" s="2842"/>
      <c r="JKL46" s="2842"/>
      <c r="JKM46" s="2843"/>
      <c r="JKN46" s="2843"/>
      <c r="JKO46" s="2844"/>
      <c r="JKP46" s="2845"/>
      <c r="JKQ46" s="2842"/>
      <c r="JKR46" s="2842"/>
      <c r="JKS46" s="2843"/>
      <c r="JKT46" s="2843"/>
      <c r="JKU46" s="2844"/>
      <c r="JKV46" s="2845"/>
      <c r="JKW46" s="2842"/>
      <c r="JKX46" s="2842"/>
      <c r="JKY46" s="2843"/>
      <c r="JKZ46" s="2843"/>
      <c r="JLA46" s="2844"/>
      <c r="JLB46" s="2845"/>
      <c r="JLC46" s="2842"/>
      <c r="JLD46" s="2842"/>
      <c r="JLE46" s="2843"/>
      <c r="JLF46" s="2843"/>
      <c r="JLG46" s="2844"/>
      <c r="JLH46" s="2845"/>
      <c r="JLI46" s="2842"/>
      <c r="JLJ46" s="2842"/>
      <c r="JLK46" s="2843"/>
      <c r="JLL46" s="2843"/>
      <c r="JLM46" s="2844"/>
      <c r="JLN46" s="2845"/>
      <c r="JLO46" s="2842"/>
      <c r="JLP46" s="2842"/>
      <c r="JLQ46" s="2843"/>
      <c r="JLR46" s="2843"/>
      <c r="JLS46" s="2844"/>
      <c r="JLT46" s="2845"/>
      <c r="JLU46" s="2842"/>
      <c r="JLV46" s="2842"/>
      <c r="JLW46" s="2843"/>
      <c r="JLX46" s="2843"/>
      <c r="JLY46" s="2844"/>
      <c r="JLZ46" s="2845"/>
      <c r="JMA46" s="2842"/>
      <c r="JMB46" s="2842"/>
      <c r="JMC46" s="2843"/>
      <c r="JMD46" s="2843"/>
      <c r="JME46" s="2844"/>
      <c r="JMF46" s="2845"/>
      <c r="JMG46" s="2842"/>
      <c r="JMH46" s="2842"/>
      <c r="JMI46" s="2843"/>
      <c r="JMJ46" s="2843"/>
      <c r="JMK46" s="2844"/>
      <c r="JML46" s="2845"/>
      <c r="JMM46" s="2842"/>
      <c r="JMN46" s="2842"/>
      <c r="JMO46" s="2843"/>
      <c r="JMP46" s="2843"/>
      <c r="JMQ46" s="2844"/>
      <c r="JMR46" s="2845"/>
      <c r="JMS46" s="2842"/>
      <c r="JMT46" s="2842"/>
      <c r="JMU46" s="2843"/>
      <c r="JMV46" s="2843"/>
      <c r="JMW46" s="2844"/>
      <c r="JMX46" s="2845"/>
      <c r="JMY46" s="2842"/>
      <c r="JMZ46" s="2842"/>
      <c r="JNA46" s="2843"/>
      <c r="JNB46" s="2843"/>
      <c r="JNC46" s="2844"/>
      <c r="JND46" s="2845"/>
      <c r="JNE46" s="2842"/>
      <c r="JNF46" s="2842"/>
      <c r="JNG46" s="2843"/>
      <c r="JNH46" s="2843"/>
      <c r="JNI46" s="2844"/>
      <c r="JNJ46" s="2845"/>
      <c r="JNK46" s="2842"/>
      <c r="JNL46" s="2842"/>
      <c r="JNM46" s="2843"/>
      <c r="JNN46" s="2843"/>
      <c r="JNO46" s="2844"/>
      <c r="JNP46" s="2845"/>
      <c r="JNQ46" s="2842"/>
      <c r="JNR46" s="2842"/>
      <c r="JNS46" s="2843"/>
      <c r="JNT46" s="2843"/>
      <c r="JNU46" s="2844"/>
      <c r="JNV46" s="2845"/>
      <c r="JNW46" s="2842"/>
      <c r="JNX46" s="2842"/>
      <c r="JNY46" s="2843"/>
      <c r="JNZ46" s="2843"/>
      <c r="JOA46" s="2844"/>
      <c r="JOB46" s="2845"/>
      <c r="JOC46" s="2842"/>
      <c r="JOD46" s="2842"/>
      <c r="JOE46" s="2843"/>
      <c r="JOF46" s="2843"/>
      <c r="JOG46" s="2844"/>
      <c r="JOH46" s="2845"/>
      <c r="JOI46" s="2842"/>
      <c r="JOJ46" s="2842"/>
      <c r="JOK46" s="2843"/>
      <c r="JOL46" s="2843"/>
      <c r="JOM46" s="2844"/>
      <c r="JON46" s="2845"/>
      <c r="JOO46" s="2842"/>
      <c r="JOP46" s="2842"/>
      <c r="JOQ46" s="2843"/>
      <c r="JOR46" s="2843"/>
      <c r="JOS46" s="2844"/>
      <c r="JOT46" s="2845"/>
      <c r="JOU46" s="2842"/>
      <c r="JOV46" s="2842"/>
      <c r="JOW46" s="2843"/>
      <c r="JOX46" s="2843"/>
      <c r="JOY46" s="2844"/>
      <c r="JOZ46" s="2845"/>
      <c r="JPA46" s="2842"/>
      <c r="JPB46" s="2842"/>
      <c r="JPC46" s="2843"/>
      <c r="JPD46" s="2843"/>
      <c r="JPE46" s="2844"/>
      <c r="JPF46" s="2845"/>
      <c r="JPG46" s="2842"/>
      <c r="JPH46" s="2842"/>
      <c r="JPI46" s="2843"/>
      <c r="JPJ46" s="2843"/>
      <c r="JPK46" s="2844"/>
      <c r="JPL46" s="2845"/>
      <c r="JPM46" s="2842"/>
      <c r="JPN46" s="2842"/>
      <c r="JPO46" s="2843"/>
      <c r="JPP46" s="2843"/>
      <c r="JPQ46" s="2844"/>
      <c r="JPR46" s="2845"/>
      <c r="JPS46" s="2842"/>
      <c r="JPT46" s="2842"/>
      <c r="JPU46" s="2843"/>
      <c r="JPV46" s="2843"/>
      <c r="JPW46" s="2844"/>
      <c r="JPX46" s="2845"/>
      <c r="JPY46" s="2842"/>
      <c r="JPZ46" s="2842"/>
      <c r="JQA46" s="2843"/>
      <c r="JQB46" s="2843"/>
      <c r="JQC46" s="2844"/>
      <c r="JQD46" s="2845"/>
      <c r="JQE46" s="2842"/>
      <c r="JQF46" s="2842"/>
      <c r="JQG46" s="2843"/>
      <c r="JQH46" s="2843"/>
      <c r="JQI46" s="2844"/>
      <c r="JQJ46" s="2845"/>
      <c r="JQK46" s="2842"/>
      <c r="JQL46" s="2842"/>
      <c r="JQM46" s="2843"/>
      <c r="JQN46" s="2843"/>
      <c r="JQO46" s="2844"/>
      <c r="JQP46" s="2845"/>
      <c r="JQQ46" s="2842"/>
      <c r="JQR46" s="2842"/>
      <c r="JQS46" s="2843"/>
      <c r="JQT46" s="2843"/>
      <c r="JQU46" s="2844"/>
      <c r="JQV46" s="2845"/>
      <c r="JQW46" s="2842"/>
      <c r="JQX46" s="2842"/>
      <c r="JQY46" s="2843"/>
      <c r="JQZ46" s="2843"/>
      <c r="JRA46" s="2844"/>
      <c r="JRB46" s="2845"/>
      <c r="JRC46" s="2842"/>
      <c r="JRD46" s="2842"/>
      <c r="JRE46" s="2843"/>
      <c r="JRF46" s="2843"/>
      <c r="JRG46" s="2844"/>
      <c r="JRH46" s="2845"/>
      <c r="JRI46" s="2842"/>
      <c r="JRJ46" s="2842"/>
      <c r="JRK46" s="2843"/>
      <c r="JRL46" s="2843"/>
      <c r="JRM46" s="2844"/>
      <c r="JRN46" s="2845"/>
      <c r="JRO46" s="2842"/>
      <c r="JRP46" s="2842"/>
      <c r="JRQ46" s="2843"/>
      <c r="JRR46" s="2843"/>
      <c r="JRS46" s="2844"/>
      <c r="JRT46" s="2845"/>
      <c r="JRU46" s="2842"/>
      <c r="JRV46" s="2842"/>
      <c r="JRW46" s="2843"/>
      <c r="JRX46" s="2843"/>
      <c r="JRY46" s="2844"/>
      <c r="JRZ46" s="2845"/>
      <c r="JSA46" s="2842"/>
      <c r="JSB46" s="2842"/>
      <c r="JSC46" s="2843"/>
      <c r="JSD46" s="2843"/>
      <c r="JSE46" s="2844"/>
      <c r="JSF46" s="2845"/>
      <c r="JSG46" s="2842"/>
      <c r="JSH46" s="2842"/>
      <c r="JSI46" s="2843"/>
      <c r="JSJ46" s="2843"/>
      <c r="JSK46" s="2844"/>
      <c r="JSL46" s="2845"/>
      <c r="JSM46" s="2842"/>
      <c r="JSN46" s="2842"/>
      <c r="JSO46" s="2843"/>
      <c r="JSP46" s="2843"/>
      <c r="JSQ46" s="2844"/>
      <c r="JSR46" s="2845"/>
      <c r="JSS46" s="2842"/>
      <c r="JST46" s="2842"/>
      <c r="JSU46" s="2843"/>
      <c r="JSV46" s="2843"/>
      <c r="JSW46" s="2844"/>
      <c r="JSX46" s="2845"/>
      <c r="JSY46" s="2842"/>
      <c r="JSZ46" s="2842"/>
      <c r="JTA46" s="2843"/>
      <c r="JTB46" s="2843"/>
      <c r="JTC46" s="2844"/>
      <c r="JTD46" s="2845"/>
      <c r="JTE46" s="2842"/>
      <c r="JTF46" s="2842"/>
      <c r="JTG46" s="2843"/>
      <c r="JTH46" s="2843"/>
      <c r="JTI46" s="2844"/>
      <c r="JTJ46" s="2845"/>
      <c r="JTK46" s="2842"/>
      <c r="JTL46" s="2842"/>
      <c r="JTM46" s="2843"/>
      <c r="JTN46" s="2843"/>
      <c r="JTO46" s="2844"/>
      <c r="JTP46" s="2845"/>
      <c r="JTQ46" s="2842"/>
      <c r="JTR46" s="2842"/>
      <c r="JTS46" s="2843"/>
      <c r="JTT46" s="2843"/>
      <c r="JTU46" s="2844"/>
      <c r="JTV46" s="2845"/>
      <c r="JTW46" s="2842"/>
      <c r="JTX46" s="2842"/>
      <c r="JTY46" s="2843"/>
      <c r="JTZ46" s="2843"/>
      <c r="JUA46" s="2844"/>
      <c r="JUB46" s="2845"/>
      <c r="JUC46" s="2842"/>
      <c r="JUD46" s="2842"/>
      <c r="JUE46" s="2843"/>
      <c r="JUF46" s="2843"/>
      <c r="JUG46" s="2844"/>
      <c r="JUH46" s="2845"/>
      <c r="JUI46" s="2842"/>
      <c r="JUJ46" s="2842"/>
      <c r="JUK46" s="2843"/>
      <c r="JUL46" s="2843"/>
      <c r="JUM46" s="2844"/>
      <c r="JUN46" s="2845"/>
      <c r="JUO46" s="2842"/>
      <c r="JUP46" s="2842"/>
      <c r="JUQ46" s="2843"/>
      <c r="JUR46" s="2843"/>
      <c r="JUS46" s="2844"/>
      <c r="JUT46" s="2845"/>
      <c r="JUU46" s="2842"/>
      <c r="JUV46" s="2842"/>
      <c r="JUW46" s="2843"/>
      <c r="JUX46" s="2843"/>
      <c r="JUY46" s="2844"/>
      <c r="JUZ46" s="2845"/>
      <c r="JVA46" s="2842"/>
      <c r="JVB46" s="2842"/>
      <c r="JVC46" s="2843"/>
      <c r="JVD46" s="2843"/>
      <c r="JVE46" s="2844"/>
      <c r="JVF46" s="2845"/>
      <c r="JVG46" s="2842"/>
      <c r="JVH46" s="2842"/>
      <c r="JVI46" s="2843"/>
      <c r="JVJ46" s="2843"/>
      <c r="JVK46" s="2844"/>
      <c r="JVL46" s="2845"/>
      <c r="JVM46" s="2842"/>
      <c r="JVN46" s="2842"/>
      <c r="JVO46" s="2843"/>
      <c r="JVP46" s="2843"/>
      <c r="JVQ46" s="2844"/>
      <c r="JVR46" s="2845"/>
      <c r="JVS46" s="2842"/>
      <c r="JVT46" s="2842"/>
      <c r="JVU46" s="2843"/>
      <c r="JVV46" s="2843"/>
      <c r="JVW46" s="2844"/>
      <c r="JVX46" s="2845"/>
      <c r="JVY46" s="2842"/>
      <c r="JVZ46" s="2842"/>
      <c r="JWA46" s="2843"/>
      <c r="JWB46" s="2843"/>
      <c r="JWC46" s="2844"/>
      <c r="JWD46" s="2845"/>
      <c r="JWE46" s="2842"/>
      <c r="JWF46" s="2842"/>
      <c r="JWG46" s="2843"/>
      <c r="JWH46" s="2843"/>
      <c r="JWI46" s="2844"/>
      <c r="JWJ46" s="2845"/>
      <c r="JWK46" s="2842"/>
      <c r="JWL46" s="2842"/>
      <c r="JWM46" s="2843"/>
      <c r="JWN46" s="2843"/>
      <c r="JWO46" s="2844"/>
      <c r="JWP46" s="2845"/>
      <c r="JWQ46" s="2842"/>
      <c r="JWR46" s="2842"/>
      <c r="JWS46" s="2843"/>
      <c r="JWT46" s="2843"/>
      <c r="JWU46" s="2844"/>
      <c r="JWV46" s="2845"/>
      <c r="JWW46" s="2842"/>
      <c r="JWX46" s="2842"/>
      <c r="JWY46" s="2843"/>
      <c r="JWZ46" s="2843"/>
      <c r="JXA46" s="2844"/>
      <c r="JXB46" s="2845"/>
      <c r="JXC46" s="2842"/>
      <c r="JXD46" s="2842"/>
      <c r="JXE46" s="2843"/>
      <c r="JXF46" s="2843"/>
      <c r="JXG46" s="2844"/>
      <c r="JXH46" s="2845"/>
      <c r="JXI46" s="2842"/>
      <c r="JXJ46" s="2842"/>
      <c r="JXK46" s="2843"/>
      <c r="JXL46" s="2843"/>
      <c r="JXM46" s="2844"/>
      <c r="JXN46" s="2845"/>
      <c r="JXO46" s="2842"/>
      <c r="JXP46" s="2842"/>
      <c r="JXQ46" s="2843"/>
      <c r="JXR46" s="2843"/>
      <c r="JXS46" s="2844"/>
      <c r="JXT46" s="2845"/>
      <c r="JXU46" s="2842"/>
      <c r="JXV46" s="2842"/>
      <c r="JXW46" s="2843"/>
      <c r="JXX46" s="2843"/>
      <c r="JXY46" s="2844"/>
      <c r="JXZ46" s="2845"/>
      <c r="JYA46" s="2842"/>
      <c r="JYB46" s="2842"/>
      <c r="JYC46" s="2843"/>
      <c r="JYD46" s="2843"/>
      <c r="JYE46" s="2844"/>
      <c r="JYF46" s="2845"/>
      <c r="JYG46" s="2842"/>
      <c r="JYH46" s="2842"/>
      <c r="JYI46" s="2843"/>
      <c r="JYJ46" s="2843"/>
      <c r="JYK46" s="2844"/>
      <c r="JYL46" s="2845"/>
      <c r="JYM46" s="2842"/>
      <c r="JYN46" s="2842"/>
      <c r="JYO46" s="2843"/>
      <c r="JYP46" s="2843"/>
      <c r="JYQ46" s="2844"/>
      <c r="JYR46" s="2845"/>
      <c r="JYS46" s="2842"/>
      <c r="JYT46" s="2842"/>
      <c r="JYU46" s="2843"/>
      <c r="JYV46" s="2843"/>
      <c r="JYW46" s="2844"/>
      <c r="JYX46" s="2845"/>
      <c r="JYY46" s="2842"/>
      <c r="JYZ46" s="2842"/>
      <c r="JZA46" s="2843"/>
      <c r="JZB46" s="2843"/>
      <c r="JZC46" s="2844"/>
      <c r="JZD46" s="2845"/>
      <c r="JZE46" s="2842"/>
      <c r="JZF46" s="2842"/>
      <c r="JZG46" s="2843"/>
      <c r="JZH46" s="2843"/>
      <c r="JZI46" s="2844"/>
      <c r="JZJ46" s="2845"/>
      <c r="JZK46" s="2842"/>
      <c r="JZL46" s="2842"/>
      <c r="JZM46" s="2843"/>
      <c r="JZN46" s="2843"/>
      <c r="JZO46" s="2844"/>
      <c r="JZP46" s="2845"/>
      <c r="JZQ46" s="2842"/>
      <c r="JZR46" s="2842"/>
      <c r="JZS46" s="2843"/>
      <c r="JZT46" s="2843"/>
      <c r="JZU46" s="2844"/>
      <c r="JZV46" s="2845"/>
      <c r="JZW46" s="2842"/>
      <c r="JZX46" s="2842"/>
      <c r="JZY46" s="2843"/>
      <c r="JZZ46" s="2843"/>
      <c r="KAA46" s="2844"/>
      <c r="KAB46" s="2845"/>
      <c r="KAC46" s="2842"/>
      <c r="KAD46" s="2842"/>
      <c r="KAE46" s="2843"/>
      <c r="KAF46" s="2843"/>
      <c r="KAG46" s="2844"/>
      <c r="KAH46" s="2845"/>
      <c r="KAI46" s="2842"/>
      <c r="KAJ46" s="2842"/>
      <c r="KAK46" s="2843"/>
      <c r="KAL46" s="2843"/>
      <c r="KAM46" s="2844"/>
      <c r="KAN46" s="2845"/>
      <c r="KAO46" s="2842"/>
      <c r="KAP46" s="2842"/>
      <c r="KAQ46" s="2843"/>
      <c r="KAR46" s="2843"/>
      <c r="KAS46" s="2844"/>
      <c r="KAT46" s="2845"/>
      <c r="KAU46" s="2842"/>
      <c r="KAV46" s="2842"/>
      <c r="KAW46" s="2843"/>
      <c r="KAX46" s="2843"/>
      <c r="KAY46" s="2844"/>
      <c r="KAZ46" s="2845"/>
      <c r="KBA46" s="2842"/>
      <c r="KBB46" s="2842"/>
      <c r="KBC46" s="2843"/>
      <c r="KBD46" s="2843"/>
      <c r="KBE46" s="2844"/>
      <c r="KBF46" s="2845"/>
      <c r="KBG46" s="2842"/>
      <c r="KBH46" s="2842"/>
      <c r="KBI46" s="2843"/>
      <c r="KBJ46" s="2843"/>
      <c r="KBK46" s="2844"/>
      <c r="KBL46" s="2845"/>
      <c r="KBM46" s="2842"/>
      <c r="KBN46" s="2842"/>
      <c r="KBO46" s="2843"/>
      <c r="KBP46" s="2843"/>
      <c r="KBQ46" s="2844"/>
      <c r="KBR46" s="2845"/>
      <c r="KBS46" s="2842"/>
      <c r="KBT46" s="2842"/>
      <c r="KBU46" s="2843"/>
      <c r="KBV46" s="2843"/>
      <c r="KBW46" s="2844"/>
      <c r="KBX46" s="2845"/>
      <c r="KBY46" s="2842"/>
      <c r="KBZ46" s="2842"/>
      <c r="KCA46" s="2843"/>
      <c r="KCB46" s="2843"/>
      <c r="KCC46" s="2844"/>
      <c r="KCD46" s="2845"/>
      <c r="KCE46" s="2842"/>
      <c r="KCF46" s="2842"/>
      <c r="KCG46" s="2843"/>
      <c r="KCH46" s="2843"/>
      <c r="KCI46" s="2844"/>
      <c r="KCJ46" s="2845"/>
      <c r="KCK46" s="2842"/>
      <c r="KCL46" s="2842"/>
      <c r="KCM46" s="2843"/>
      <c r="KCN46" s="2843"/>
      <c r="KCO46" s="2844"/>
      <c r="KCP46" s="2845"/>
      <c r="KCQ46" s="2842"/>
      <c r="KCR46" s="2842"/>
      <c r="KCS46" s="2843"/>
      <c r="KCT46" s="2843"/>
      <c r="KCU46" s="2844"/>
      <c r="KCV46" s="2845"/>
      <c r="KCW46" s="2842"/>
      <c r="KCX46" s="2842"/>
      <c r="KCY46" s="2843"/>
      <c r="KCZ46" s="2843"/>
      <c r="KDA46" s="2844"/>
      <c r="KDB46" s="2845"/>
      <c r="KDC46" s="2842"/>
      <c r="KDD46" s="2842"/>
      <c r="KDE46" s="2843"/>
      <c r="KDF46" s="2843"/>
      <c r="KDG46" s="2844"/>
      <c r="KDH46" s="2845"/>
      <c r="KDI46" s="2842"/>
      <c r="KDJ46" s="2842"/>
      <c r="KDK46" s="2843"/>
      <c r="KDL46" s="2843"/>
      <c r="KDM46" s="2844"/>
      <c r="KDN46" s="2845"/>
      <c r="KDO46" s="2842"/>
      <c r="KDP46" s="2842"/>
      <c r="KDQ46" s="2843"/>
      <c r="KDR46" s="2843"/>
      <c r="KDS46" s="2844"/>
      <c r="KDT46" s="2845"/>
      <c r="KDU46" s="2842"/>
      <c r="KDV46" s="2842"/>
      <c r="KDW46" s="2843"/>
      <c r="KDX46" s="2843"/>
      <c r="KDY46" s="2844"/>
      <c r="KDZ46" s="2845"/>
      <c r="KEA46" s="2842"/>
      <c r="KEB46" s="2842"/>
      <c r="KEC46" s="2843"/>
      <c r="KED46" s="2843"/>
      <c r="KEE46" s="2844"/>
      <c r="KEF46" s="2845"/>
      <c r="KEG46" s="2842"/>
      <c r="KEH46" s="2842"/>
      <c r="KEI46" s="2843"/>
      <c r="KEJ46" s="2843"/>
      <c r="KEK46" s="2844"/>
      <c r="KEL46" s="2845"/>
      <c r="KEM46" s="2842"/>
      <c r="KEN46" s="2842"/>
      <c r="KEO46" s="2843"/>
      <c r="KEP46" s="2843"/>
      <c r="KEQ46" s="2844"/>
      <c r="KER46" s="2845"/>
      <c r="KES46" s="2842"/>
      <c r="KET46" s="2842"/>
      <c r="KEU46" s="2843"/>
      <c r="KEV46" s="2843"/>
      <c r="KEW46" s="2844"/>
      <c r="KEX46" s="2845"/>
      <c r="KEY46" s="2842"/>
      <c r="KEZ46" s="2842"/>
      <c r="KFA46" s="2843"/>
      <c r="KFB46" s="2843"/>
      <c r="KFC46" s="2844"/>
      <c r="KFD46" s="2845"/>
      <c r="KFE46" s="2842"/>
      <c r="KFF46" s="2842"/>
      <c r="KFG46" s="2843"/>
      <c r="KFH46" s="2843"/>
      <c r="KFI46" s="2844"/>
      <c r="KFJ46" s="2845"/>
      <c r="KFK46" s="2842"/>
      <c r="KFL46" s="2842"/>
      <c r="KFM46" s="2843"/>
      <c r="KFN46" s="2843"/>
      <c r="KFO46" s="2844"/>
      <c r="KFP46" s="2845"/>
      <c r="KFQ46" s="2842"/>
      <c r="KFR46" s="2842"/>
      <c r="KFS46" s="2843"/>
      <c r="KFT46" s="2843"/>
      <c r="KFU46" s="2844"/>
      <c r="KFV46" s="2845"/>
      <c r="KFW46" s="2842"/>
      <c r="KFX46" s="2842"/>
      <c r="KFY46" s="2843"/>
      <c r="KFZ46" s="2843"/>
      <c r="KGA46" s="2844"/>
      <c r="KGB46" s="2845"/>
      <c r="KGC46" s="2842"/>
      <c r="KGD46" s="2842"/>
      <c r="KGE46" s="2843"/>
      <c r="KGF46" s="2843"/>
      <c r="KGG46" s="2844"/>
      <c r="KGH46" s="2845"/>
      <c r="KGI46" s="2842"/>
      <c r="KGJ46" s="2842"/>
      <c r="KGK46" s="2843"/>
      <c r="KGL46" s="2843"/>
      <c r="KGM46" s="2844"/>
      <c r="KGN46" s="2845"/>
      <c r="KGO46" s="2842"/>
      <c r="KGP46" s="2842"/>
      <c r="KGQ46" s="2843"/>
      <c r="KGR46" s="2843"/>
      <c r="KGS46" s="2844"/>
      <c r="KGT46" s="2845"/>
      <c r="KGU46" s="2842"/>
      <c r="KGV46" s="2842"/>
      <c r="KGW46" s="2843"/>
      <c r="KGX46" s="2843"/>
      <c r="KGY46" s="2844"/>
      <c r="KGZ46" s="2845"/>
      <c r="KHA46" s="2842"/>
      <c r="KHB46" s="2842"/>
      <c r="KHC46" s="2843"/>
      <c r="KHD46" s="2843"/>
      <c r="KHE46" s="2844"/>
      <c r="KHF46" s="2845"/>
      <c r="KHG46" s="2842"/>
      <c r="KHH46" s="2842"/>
      <c r="KHI46" s="2843"/>
      <c r="KHJ46" s="2843"/>
      <c r="KHK46" s="2844"/>
      <c r="KHL46" s="2845"/>
      <c r="KHM46" s="2842"/>
      <c r="KHN46" s="2842"/>
      <c r="KHO46" s="2843"/>
      <c r="KHP46" s="2843"/>
      <c r="KHQ46" s="2844"/>
      <c r="KHR46" s="2845"/>
      <c r="KHS46" s="2842"/>
      <c r="KHT46" s="2842"/>
      <c r="KHU46" s="2843"/>
      <c r="KHV46" s="2843"/>
      <c r="KHW46" s="2844"/>
      <c r="KHX46" s="2845"/>
      <c r="KHY46" s="2842"/>
      <c r="KHZ46" s="2842"/>
      <c r="KIA46" s="2843"/>
      <c r="KIB46" s="2843"/>
      <c r="KIC46" s="2844"/>
      <c r="KID46" s="2845"/>
      <c r="KIE46" s="2842"/>
      <c r="KIF46" s="2842"/>
      <c r="KIG46" s="2843"/>
      <c r="KIH46" s="2843"/>
      <c r="KII46" s="2844"/>
      <c r="KIJ46" s="2845"/>
      <c r="KIK46" s="2842"/>
      <c r="KIL46" s="2842"/>
      <c r="KIM46" s="2843"/>
      <c r="KIN46" s="2843"/>
      <c r="KIO46" s="2844"/>
      <c r="KIP46" s="2845"/>
      <c r="KIQ46" s="2842"/>
      <c r="KIR46" s="2842"/>
      <c r="KIS46" s="2843"/>
      <c r="KIT46" s="2843"/>
      <c r="KIU46" s="2844"/>
      <c r="KIV46" s="2845"/>
      <c r="KIW46" s="2842"/>
      <c r="KIX46" s="2842"/>
      <c r="KIY46" s="2843"/>
      <c r="KIZ46" s="2843"/>
      <c r="KJA46" s="2844"/>
      <c r="KJB46" s="2845"/>
      <c r="KJC46" s="2842"/>
      <c r="KJD46" s="2842"/>
      <c r="KJE46" s="2843"/>
      <c r="KJF46" s="2843"/>
      <c r="KJG46" s="2844"/>
      <c r="KJH46" s="2845"/>
      <c r="KJI46" s="2842"/>
      <c r="KJJ46" s="2842"/>
      <c r="KJK46" s="2843"/>
      <c r="KJL46" s="2843"/>
      <c r="KJM46" s="2844"/>
      <c r="KJN46" s="2845"/>
      <c r="KJO46" s="2842"/>
      <c r="KJP46" s="2842"/>
      <c r="KJQ46" s="2843"/>
      <c r="KJR46" s="2843"/>
      <c r="KJS46" s="2844"/>
      <c r="KJT46" s="2845"/>
      <c r="KJU46" s="2842"/>
      <c r="KJV46" s="2842"/>
      <c r="KJW46" s="2843"/>
      <c r="KJX46" s="2843"/>
      <c r="KJY46" s="2844"/>
      <c r="KJZ46" s="2845"/>
      <c r="KKA46" s="2842"/>
      <c r="KKB46" s="2842"/>
      <c r="KKC46" s="2843"/>
      <c r="KKD46" s="2843"/>
      <c r="KKE46" s="2844"/>
      <c r="KKF46" s="2845"/>
      <c r="KKG46" s="2842"/>
      <c r="KKH46" s="2842"/>
      <c r="KKI46" s="2843"/>
      <c r="KKJ46" s="2843"/>
      <c r="KKK46" s="2844"/>
      <c r="KKL46" s="2845"/>
      <c r="KKM46" s="2842"/>
      <c r="KKN46" s="2842"/>
      <c r="KKO46" s="2843"/>
      <c r="KKP46" s="2843"/>
      <c r="KKQ46" s="2844"/>
      <c r="KKR46" s="2845"/>
      <c r="KKS46" s="2842"/>
      <c r="KKT46" s="2842"/>
      <c r="KKU46" s="2843"/>
      <c r="KKV46" s="2843"/>
      <c r="KKW46" s="2844"/>
      <c r="KKX46" s="2845"/>
      <c r="KKY46" s="2842"/>
      <c r="KKZ46" s="2842"/>
      <c r="KLA46" s="2843"/>
      <c r="KLB46" s="2843"/>
      <c r="KLC46" s="2844"/>
      <c r="KLD46" s="2845"/>
      <c r="KLE46" s="2842"/>
      <c r="KLF46" s="2842"/>
      <c r="KLG46" s="2843"/>
      <c r="KLH46" s="2843"/>
      <c r="KLI46" s="2844"/>
      <c r="KLJ46" s="2845"/>
      <c r="KLK46" s="2842"/>
      <c r="KLL46" s="2842"/>
      <c r="KLM46" s="2843"/>
      <c r="KLN46" s="2843"/>
      <c r="KLO46" s="2844"/>
      <c r="KLP46" s="2845"/>
      <c r="KLQ46" s="2842"/>
      <c r="KLR46" s="2842"/>
      <c r="KLS46" s="2843"/>
      <c r="KLT46" s="2843"/>
      <c r="KLU46" s="2844"/>
      <c r="KLV46" s="2845"/>
      <c r="KLW46" s="2842"/>
      <c r="KLX46" s="2842"/>
      <c r="KLY46" s="2843"/>
      <c r="KLZ46" s="2843"/>
      <c r="KMA46" s="2844"/>
      <c r="KMB46" s="2845"/>
      <c r="KMC46" s="2842"/>
      <c r="KMD46" s="2842"/>
      <c r="KME46" s="2843"/>
      <c r="KMF46" s="2843"/>
      <c r="KMG46" s="2844"/>
      <c r="KMH46" s="2845"/>
      <c r="KMI46" s="2842"/>
      <c r="KMJ46" s="2842"/>
      <c r="KMK46" s="2843"/>
      <c r="KML46" s="2843"/>
      <c r="KMM46" s="2844"/>
      <c r="KMN46" s="2845"/>
      <c r="KMO46" s="2842"/>
      <c r="KMP46" s="2842"/>
      <c r="KMQ46" s="2843"/>
      <c r="KMR46" s="2843"/>
      <c r="KMS46" s="2844"/>
      <c r="KMT46" s="2845"/>
      <c r="KMU46" s="2842"/>
      <c r="KMV46" s="2842"/>
      <c r="KMW46" s="2843"/>
      <c r="KMX46" s="2843"/>
      <c r="KMY46" s="2844"/>
      <c r="KMZ46" s="2845"/>
      <c r="KNA46" s="2842"/>
      <c r="KNB46" s="2842"/>
      <c r="KNC46" s="2843"/>
      <c r="KND46" s="2843"/>
      <c r="KNE46" s="2844"/>
      <c r="KNF46" s="2845"/>
      <c r="KNG46" s="2842"/>
      <c r="KNH46" s="2842"/>
      <c r="KNI46" s="2843"/>
      <c r="KNJ46" s="2843"/>
      <c r="KNK46" s="2844"/>
      <c r="KNL46" s="2845"/>
      <c r="KNM46" s="2842"/>
      <c r="KNN46" s="2842"/>
      <c r="KNO46" s="2843"/>
      <c r="KNP46" s="2843"/>
      <c r="KNQ46" s="2844"/>
      <c r="KNR46" s="2845"/>
      <c r="KNS46" s="2842"/>
      <c r="KNT46" s="2842"/>
      <c r="KNU46" s="2843"/>
      <c r="KNV46" s="2843"/>
      <c r="KNW46" s="2844"/>
      <c r="KNX46" s="2845"/>
      <c r="KNY46" s="2842"/>
      <c r="KNZ46" s="2842"/>
      <c r="KOA46" s="2843"/>
      <c r="KOB46" s="2843"/>
      <c r="KOC46" s="2844"/>
      <c r="KOD46" s="2845"/>
      <c r="KOE46" s="2842"/>
      <c r="KOF46" s="2842"/>
      <c r="KOG46" s="2843"/>
      <c r="KOH46" s="2843"/>
      <c r="KOI46" s="2844"/>
      <c r="KOJ46" s="2845"/>
      <c r="KOK46" s="2842"/>
      <c r="KOL46" s="2842"/>
      <c r="KOM46" s="2843"/>
      <c r="KON46" s="2843"/>
      <c r="KOO46" s="2844"/>
      <c r="KOP46" s="2845"/>
      <c r="KOQ46" s="2842"/>
      <c r="KOR46" s="2842"/>
      <c r="KOS46" s="2843"/>
      <c r="KOT46" s="2843"/>
      <c r="KOU46" s="2844"/>
      <c r="KOV46" s="2845"/>
      <c r="KOW46" s="2842"/>
      <c r="KOX46" s="2842"/>
      <c r="KOY46" s="2843"/>
      <c r="KOZ46" s="2843"/>
      <c r="KPA46" s="2844"/>
      <c r="KPB46" s="2845"/>
      <c r="KPC46" s="2842"/>
      <c r="KPD46" s="2842"/>
      <c r="KPE46" s="2843"/>
      <c r="KPF46" s="2843"/>
      <c r="KPG46" s="2844"/>
      <c r="KPH46" s="2845"/>
      <c r="KPI46" s="2842"/>
      <c r="KPJ46" s="2842"/>
      <c r="KPK46" s="2843"/>
      <c r="KPL46" s="2843"/>
      <c r="KPM46" s="2844"/>
      <c r="KPN46" s="2845"/>
      <c r="KPO46" s="2842"/>
      <c r="KPP46" s="2842"/>
      <c r="KPQ46" s="2843"/>
      <c r="KPR46" s="2843"/>
      <c r="KPS46" s="2844"/>
      <c r="KPT46" s="2845"/>
      <c r="KPU46" s="2842"/>
      <c r="KPV46" s="2842"/>
      <c r="KPW46" s="2843"/>
      <c r="KPX46" s="2843"/>
      <c r="KPY46" s="2844"/>
      <c r="KPZ46" s="2845"/>
      <c r="KQA46" s="2842"/>
      <c r="KQB46" s="2842"/>
      <c r="KQC46" s="2843"/>
      <c r="KQD46" s="2843"/>
      <c r="KQE46" s="2844"/>
      <c r="KQF46" s="2845"/>
      <c r="KQG46" s="2842"/>
      <c r="KQH46" s="2842"/>
      <c r="KQI46" s="2843"/>
      <c r="KQJ46" s="2843"/>
      <c r="KQK46" s="2844"/>
      <c r="KQL46" s="2845"/>
      <c r="KQM46" s="2842"/>
      <c r="KQN46" s="2842"/>
      <c r="KQO46" s="2843"/>
      <c r="KQP46" s="2843"/>
      <c r="KQQ46" s="2844"/>
      <c r="KQR46" s="2845"/>
      <c r="KQS46" s="2842"/>
      <c r="KQT46" s="2842"/>
      <c r="KQU46" s="2843"/>
      <c r="KQV46" s="2843"/>
      <c r="KQW46" s="2844"/>
      <c r="KQX46" s="2845"/>
      <c r="KQY46" s="2842"/>
      <c r="KQZ46" s="2842"/>
      <c r="KRA46" s="2843"/>
      <c r="KRB46" s="2843"/>
      <c r="KRC46" s="2844"/>
      <c r="KRD46" s="2845"/>
      <c r="KRE46" s="2842"/>
      <c r="KRF46" s="2842"/>
      <c r="KRG46" s="2843"/>
      <c r="KRH46" s="2843"/>
      <c r="KRI46" s="2844"/>
      <c r="KRJ46" s="2845"/>
      <c r="KRK46" s="2842"/>
      <c r="KRL46" s="2842"/>
      <c r="KRM46" s="2843"/>
      <c r="KRN46" s="2843"/>
      <c r="KRO46" s="2844"/>
      <c r="KRP46" s="2845"/>
      <c r="KRQ46" s="2842"/>
      <c r="KRR46" s="2842"/>
      <c r="KRS46" s="2843"/>
      <c r="KRT46" s="2843"/>
      <c r="KRU46" s="2844"/>
      <c r="KRV46" s="2845"/>
      <c r="KRW46" s="2842"/>
      <c r="KRX46" s="2842"/>
      <c r="KRY46" s="2843"/>
      <c r="KRZ46" s="2843"/>
      <c r="KSA46" s="2844"/>
      <c r="KSB46" s="2845"/>
      <c r="KSC46" s="2842"/>
      <c r="KSD46" s="2842"/>
      <c r="KSE46" s="2843"/>
      <c r="KSF46" s="2843"/>
      <c r="KSG46" s="2844"/>
      <c r="KSH46" s="2845"/>
      <c r="KSI46" s="2842"/>
      <c r="KSJ46" s="2842"/>
      <c r="KSK46" s="2843"/>
      <c r="KSL46" s="2843"/>
      <c r="KSM46" s="2844"/>
      <c r="KSN46" s="2845"/>
      <c r="KSO46" s="2842"/>
      <c r="KSP46" s="2842"/>
      <c r="KSQ46" s="2843"/>
      <c r="KSR46" s="2843"/>
      <c r="KSS46" s="2844"/>
      <c r="KST46" s="2845"/>
      <c r="KSU46" s="2842"/>
      <c r="KSV46" s="2842"/>
      <c r="KSW46" s="2843"/>
      <c r="KSX46" s="2843"/>
      <c r="KSY46" s="2844"/>
      <c r="KSZ46" s="2845"/>
      <c r="KTA46" s="2842"/>
      <c r="KTB46" s="2842"/>
      <c r="KTC46" s="2843"/>
      <c r="KTD46" s="2843"/>
      <c r="KTE46" s="2844"/>
      <c r="KTF46" s="2845"/>
      <c r="KTG46" s="2842"/>
      <c r="KTH46" s="2842"/>
      <c r="KTI46" s="2843"/>
      <c r="KTJ46" s="2843"/>
      <c r="KTK46" s="2844"/>
      <c r="KTL46" s="2845"/>
      <c r="KTM46" s="2842"/>
      <c r="KTN46" s="2842"/>
      <c r="KTO46" s="2843"/>
      <c r="KTP46" s="2843"/>
      <c r="KTQ46" s="2844"/>
      <c r="KTR46" s="2845"/>
      <c r="KTS46" s="2842"/>
      <c r="KTT46" s="2842"/>
      <c r="KTU46" s="2843"/>
      <c r="KTV46" s="2843"/>
      <c r="KTW46" s="2844"/>
      <c r="KTX46" s="2845"/>
      <c r="KTY46" s="2842"/>
      <c r="KTZ46" s="2842"/>
      <c r="KUA46" s="2843"/>
      <c r="KUB46" s="2843"/>
      <c r="KUC46" s="2844"/>
      <c r="KUD46" s="2845"/>
      <c r="KUE46" s="2842"/>
      <c r="KUF46" s="2842"/>
      <c r="KUG46" s="2843"/>
      <c r="KUH46" s="2843"/>
      <c r="KUI46" s="2844"/>
      <c r="KUJ46" s="2845"/>
      <c r="KUK46" s="2842"/>
      <c r="KUL46" s="2842"/>
      <c r="KUM46" s="2843"/>
      <c r="KUN46" s="2843"/>
      <c r="KUO46" s="2844"/>
      <c r="KUP46" s="2845"/>
      <c r="KUQ46" s="2842"/>
      <c r="KUR46" s="2842"/>
      <c r="KUS46" s="2843"/>
      <c r="KUT46" s="2843"/>
      <c r="KUU46" s="2844"/>
      <c r="KUV46" s="2845"/>
      <c r="KUW46" s="2842"/>
      <c r="KUX46" s="2842"/>
      <c r="KUY46" s="2843"/>
      <c r="KUZ46" s="2843"/>
      <c r="KVA46" s="2844"/>
      <c r="KVB46" s="2845"/>
      <c r="KVC46" s="2842"/>
      <c r="KVD46" s="2842"/>
      <c r="KVE46" s="2843"/>
      <c r="KVF46" s="2843"/>
      <c r="KVG46" s="2844"/>
      <c r="KVH46" s="2845"/>
      <c r="KVI46" s="2842"/>
      <c r="KVJ46" s="2842"/>
      <c r="KVK46" s="2843"/>
      <c r="KVL46" s="2843"/>
      <c r="KVM46" s="2844"/>
      <c r="KVN46" s="2845"/>
      <c r="KVO46" s="2842"/>
      <c r="KVP46" s="2842"/>
      <c r="KVQ46" s="2843"/>
      <c r="KVR46" s="2843"/>
      <c r="KVS46" s="2844"/>
      <c r="KVT46" s="2845"/>
      <c r="KVU46" s="2842"/>
      <c r="KVV46" s="2842"/>
      <c r="KVW46" s="2843"/>
      <c r="KVX46" s="2843"/>
      <c r="KVY46" s="2844"/>
      <c r="KVZ46" s="2845"/>
      <c r="KWA46" s="2842"/>
      <c r="KWB46" s="2842"/>
      <c r="KWC46" s="2843"/>
      <c r="KWD46" s="2843"/>
      <c r="KWE46" s="2844"/>
      <c r="KWF46" s="2845"/>
      <c r="KWG46" s="2842"/>
      <c r="KWH46" s="2842"/>
      <c r="KWI46" s="2843"/>
      <c r="KWJ46" s="2843"/>
      <c r="KWK46" s="2844"/>
      <c r="KWL46" s="2845"/>
      <c r="KWM46" s="2842"/>
      <c r="KWN46" s="2842"/>
      <c r="KWO46" s="2843"/>
      <c r="KWP46" s="2843"/>
      <c r="KWQ46" s="2844"/>
      <c r="KWR46" s="2845"/>
      <c r="KWS46" s="2842"/>
      <c r="KWT46" s="2842"/>
      <c r="KWU46" s="2843"/>
      <c r="KWV46" s="2843"/>
      <c r="KWW46" s="2844"/>
      <c r="KWX46" s="2845"/>
      <c r="KWY46" s="2842"/>
      <c r="KWZ46" s="2842"/>
      <c r="KXA46" s="2843"/>
      <c r="KXB46" s="2843"/>
      <c r="KXC46" s="2844"/>
      <c r="KXD46" s="2845"/>
      <c r="KXE46" s="2842"/>
      <c r="KXF46" s="2842"/>
      <c r="KXG46" s="2843"/>
      <c r="KXH46" s="2843"/>
      <c r="KXI46" s="2844"/>
      <c r="KXJ46" s="2845"/>
      <c r="KXK46" s="2842"/>
      <c r="KXL46" s="2842"/>
      <c r="KXM46" s="2843"/>
      <c r="KXN46" s="2843"/>
      <c r="KXO46" s="2844"/>
      <c r="KXP46" s="2845"/>
      <c r="KXQ46" s="2842"/>
      <c r="KXR46" s="2842"/>
      <c r="KXS46" s="2843"/>
      <c r="KXT46" s="2843"/>
      <c r="KXU46" s="2844"/>
      <c r="KXV46" s="2845"/>
      <c r="KXW46" s="2842"/>
      <c r="KXX46" s="2842"/>
      <c r="KXY46" s="2843"/>
      <c r="KXZ46" s="2843"/>
      <c r="KYA46" s="2844"/>
      <c r="KYB46" s="2845"/>
      <c r="KYC46" s="2842"/>
      <c r="KYD46" s="2842"/>
      <c r="KYE46" s="2843"/>
      <c r="KYF46" s="2843"/>
      <c r="KYG46" s="2844"/>
      <c r="KYH46" s="2845"/>
      <c r="KYI46" s="2842"/>
      <c r="KYJ46" s="2842"/>
      <c r="KYK46" s="2843"/>
      <c r="KYL46" s="2843"/>
      <c r="KYM46" s="2844"/>
      <c r="KYN46" s="2845"/>
      <c r="KYO46" s="2842"/>
      <c r="KYP46" s="2842"/>
      <c r="KYQ46" s="2843"/>
      <c r="KYR46" s="2843"/>
      <c r="KYS46" s="2844"/>
      <c r="KYT46" s="2845"/>
      <c r="KYU46" s="2842"/>
      <c r="KYV46" s="2842"/>
      <c r="KYW46" s="2843"/>
      <c r="KYX46" s="2843"/>
      <c r="KYY46" s="2844"/>
      <c r="KYZ46" s="2845"/>
      <c r="KZA46" s="2842"/>
      <c r="KZB46" s="2842"/>
      <c r="KZC46" s="2843"/>
      <c r="KZD46" s="2843"/>
      <c r="KZE46" s="2844"/>
      <c r="KZF46" s="2845"/>
      <c r="KZG46" s="2842"/>
      <c r="KZH46" s="2842"/>
      <c r="KZI46" s="2843"/>
      <c r="KZJ46" s="2843"/>
      <c r="KZK46" s="2844"/>
      <c r="KZL46" s="2845"/>
      <c r="KZM46" s="2842"/>
      <c r="KZN46" s="2842"/>
      <c r="KZO46" s="2843"/>
      <c r="KZP46" s="2843"/>
      <c r="KZQ46" s="2844"/>
      <c r="KZR46" s="2845"/>
      <c r="KZS46" s="2842"/>
      <c r="KZT46" s="2842"/>
      <c r="KZU46" s="2843"/>
      <c r="KZV46" s="2843"/>
      <c r="KZW46" s="2844"/>
      <c r="KZX46" s="2845"/>
      <c r="KZY46" s="2842"/>
      <c r="KZZ46" s="2842"/>
      <c r="LAA46" s="2843"/>
      <c r="LAB46" s="2843"/>
      <c r="LAC46" s="2844"/>
      <c r="LAD46" s="2845"/>
      <c r="LAE46" s="2842"/>
      <c r="LAF46" s="2842"/>
      <c r="LAG46" s="2843"/>
      <c r="LAH46" s="2843"/>
      <c r="LAI46" s="2844"/>
      <c r="LAJ46" s="2845"/>
      <c r="LAK46" s="2842"/>
      <c r="LAL46" s="2842"/>
      <c r="LAM46" s="2843"/>
      <c r="LAN46" s="2843"/>
      <c r="LAO46" s="2844"/>
      <c r="LAP46" s="2845"/>
      <c r="LAQ46" s="2842"/>
      <c r="LAR46" s="2842"/>
      <c r="LAS46" s="2843"/>
      <c r="LAT46" s="2843"/>
      <c r="LAU46" s="2844"/>
      <c r="LAV46" s="2845"/>
      <c r="LAW46" s="2842"/>
      <c r="LAX46" s="2842"/>
      <c r="LAY46" s="2843"/>
      <c r="LAZ46" s="2843"/>
      <c r="LBA46" s="2844"/>
      <c r="LBB46" s="2845"/>
      <c r="LBC46" s="2842"/>
      <c r="LBD46" s="2842"/>
      <c r="LBE46" s="2843"/>
      <c r="LBF46" s="2843"/>
      <c r="LBG46" s="2844"/>
      <c r="LBH46" s="2845"/>
      <c r="LBI46" s="2842"/>
      <c r="LBJ46" s="2842"/>
      <c r="LBK46" s="2843"/>
      <c r="LBL46" s="2843"/>
      <c r="LBM46" s="2844"/>
      <c r="LBN46" s="2845"/>
      <c r="LBO46" s="2842"/>
      <c r="LBP46" s="2842"/>
      <c r="LBQ46" s="2843"/>
      <c r="LBR46" s="2843"/>
      <c r="LBS46" s="2844"/>
      <c r="LBT46" s="2845"/>
      <c r="LBU46" s="2842"/>
      <c r="LBV46" s="2842"/>
      <c r="LBW46" s="2843"/>
      <c r="LBX46" s="2843"/>
      <c r="LBY46" s="2844"/>
      <c r="LBZ46" s="2845"/>
      <c r="LCA46" s="2842"/>
      <c r="LCB46" s="2842"/>
      <c r="LCC46" s="2843"/>
      <c r="LCD46" s="2843"/>
      <c r="LCE46" s="2844"/>
      <c r="LCF46" s="2845"/>
      <c r="LCG46" s="2842"/>
      <c r="LCH46" s="2842"/>
      <c r="LCI46" s="2843"/>
      <c r="LCJ46" s="2843"/>
      <c r="LCK46" s="2844"/>
      <c r="LCL46" s="2845"/>
      <c r="LCM46" s="2842"/>
      <c r="LCN46" s="2842"/>
      <c r="LCO46" s="2843"/>
      <c r="LCP46" s="2843"/>
      <c r="LCQ46" s="2844"/>
      <c r="LCR46" s="2845"/>
      <c r="LCS46" s="2842"/>
      <c r="LCT46" s="2842"/>
      <c r="LCU46" s="2843"/>
      <c r="LCV46" s="2843"/>
      <c r="LCW46" s="2844"/>
      <c r="LCX46" s="2845"/>
      <c r="LCY46" s="2842"/>
      <c r="LCZ46" s="2842"/>
      <c r="LDA46" s="2843"/>
      <c r="LDB46" s="2843"/>
      <c r="LDC46" s="2844"/>
      <c r="LDD46" s="2845"/>
      <c r="LDE46" s="2842"/>
      <c r="LDF46" s="2842"/>
      <c r="LDG46" s="2843"/>
      <c r="LDH46" s="2843"/>
      <c r="LDI46" s="2844"/>
      <c r="LDJ46" s="2845"/>
      <c r="LDK46" s="2842"/>
      <c r="LDL46" s="2842"/>
      <c r="LDM46" s="2843"/>
      <c r="LDN46" s="2843"/>
      <c r="LDO46" s="2844"/>
      <c r="LDP46" s="2845"/>
      <c r="LDQ46" s="2842"/>
      <c r="LDR46" s="2842"/>
      <c r="LDS46" s="2843"/>
      <c r="LDT46" s="2843"/>
      <c r="LDU46" s="2844"/>
      <c r="LDV46" s="2845"/>
      <c r="LDW46" s="2842"/>
      <c r="LDX46" s="2842"/>
      <c r="LDY46" s="2843"/>
      <c r="LDZ46" s="2843"/>
      <c r="LEA46" s="2844"/>
      <c r="LEB46" s="2845"/>
      <c r="LEC46" s="2842"/>
      <c r="LED46" s="2842"/>
      <c r="LEE46" s="2843"/>
      <c r="LEF46" s="2843"/>
      <c r="LEG46" s="2844"/>
      <c r="LEH46" s="2845"/>
      <c r="LEI46" s="2842"/>
      <c r="LEJ46" s="2842"/>
      <c r="LEK46" s="2843"/>
      <c r="LEL46" s="2843"/>
      <c r="LEM46" s="2844"/>
      <c r="LEN46" s="2845"/>
      <c r="LEO46" s="2842"/>
      <c r="LEP46" s="2842"/>
      <c r="LEQ46" s="2843"/>
      <c r="LER46" s="2843"/>
      <c r="LES46" s="2844"/>
      <c r="LET46" s="2845"/>
      <c r="LEU46" s="2842"/>
      <c r="LEV46" s="2842"/>
      <c r="LEW46" s="2843"/>
      <c r="LEX46" s="2843"/>
      <c r="LEY46" s="2844"/>
      <c r="LEZ46" s="2845"/>
      <c r="LFA46" s="2842"/>
      <c r="LFB46" s="2842"/>
      <c r="LFC46" s="2843"/>
      <c r="LFD46" s="2843"/>
      <c r="LFE46" s="2844"/>
      <c r="LFF46" s="2845"/>
      <c r="LFG46" s="2842"/>
      <c r="LFH46" s="2842"/>
      <c r="LFI46" s="2843"/>
      <c r="LFJ46" s="2843"/>
      <c r="LFK46" s="2844"/>
      <c r="LFL46" s="2845"/>
      <c r="LFM46" s="2842"/>
      <c r="LFN46" s="2842"/>
      <c r="LFO46" s="2843"/>
      <c r="LFP46" s="2843"/>
      <c r="LFQ46" s="2844"/>
      <c r="LFR46" s="2845"/>
      <c r="LFS46" s="2842"/>
      <c r="LFT46" s="2842"/>
      <c r="LFU46" s="2843"/>
      <c r="LFV46" s="2843"/>
      <c r="LFW46" s="2844"/>
      <c r="LFX46" s="2845"/>
      <c r="LFY46" s="2842"/>
      <c r="LFZ46" s="2842"/>
      <c r="LGA46" s="2843"/>
      <c r="LGB46" s="2843"/>
      <c r="LGC46" s="2844"/>
      <c r="LGD46" s="2845"/>
      <c r="LGE46" s="2842"/>
      <c r="LGF46" s="2842"/>
      <c r="LGG46" s="2843"/>
      <c r="LGH46" s="2843"/>
      <c r="LGI46" s="2844"/>
      <c r="LGJ46" s="2845"/>
      <c r="LGK46" s="2842"/>
      <c r="LGL46" s="2842"/>
      <c r="LGM46" s="2843"/>
      <c r="LGN46" s="2843"/>
      <c r="LGO46" s="2844"/>
      <c r="LGP46" s="2845"/>
      <c r="LGQ46" s="2842"/>
      <c r="LGR46" s="2842"/>
      <c r="LGS46" s="2843"/>
      <c r="LGT46" s="2843"/>
      <c r="LGU46" s="2844"/>
      <c r="LGV46" s="2845"/>
      <c r="LGW46" s="2842"/>
      <c r="LGX46" s="2842"/>
      <c r="LGY46" s="2843"/>
      <c r="LGZ46" s="2843"/>
      <c r="LHA46" s="2844"/>
      <c r="LHB46" s="2845"/>
      <c r="LHC46" s="2842"/>
      <c r="LHD46" s="2842"/>
      <c r="LHE46" s="2843"/>
      <c r="LHF46" s="2843"/>
      <c r="LHG46" s="2844"/>
      <c r="LHH46" s="2845"/>
      <c r="LHI46" s="2842"/>
      <c r="LHJ46" s="2842"/>
      <c r="LHK46" s="2843"/>
      <c r="LHL46" s="2843"/>
      <c r="LHM46" s="2844"/>
      <c r="LHN46" s="2845"/>
      <c r="LHO46" s="2842"/>
      <c r="LHP46" s="2842"/>
      <c r="LHQ46" s="2843"/>
      <c r="LHR46" s="2843"/>
      <c r="LHS46" s="2844"/>
      <c r="LHT46" s="2845"/>
      <c r="LHU46" s="2842"/>
      <c r="LHV46" s="2842"/>
      <c r="LHW46" s="2843"/>
      <c r="LHX46" s="2843"/>
      <c r="LHY46" s="2844"/>
      <c r="LHZ46" s="2845"/>
      <c r="LIA46" s="2842"/>
      <c r="LIB46" s="2842"/>
      <c r="LIC46" s="2843"/>
      <c r="LID46" s="2843"/>
      <c r="LIE46" s="2844"/>
      <c r="LIF46" s="2845"/>
      <c r="LIG46" s="2842"/>
      <c r="LIH46" s="2842"/>
      <c r="LII46" s="2843"/>
      <c r="LIJ46" s="2843"/>
      <c r="LIK46" s="2844"/>
      <c r="LIL46" s="2845"/>
      <c r="LIM46" s="2842"/>
      <c r="LIN46" s="2842"/>
      <c r="LIO46" s="2843"/>
      <c r="LIP46" s="2843"/>
      <c r="LIQ46" s="2844"/>
      <c r="LIR46" s="2845"/>
      <c r="LIS46" s="2842"/>
      <c r="LIT46" s="2842"/>
      <c r="LIU46" s="2843"/>
      <c r="LIV46" s="2843"/>
      <c r="LIW46" s="2844"/>
      <c r="LIX46" s="2845"/>
      <c r="LIY46" s="2842"/>
      <c r="LIZ46" s="2842"/>
      <c r="LJA46" s="2843"/>
      <c r="LJB46" s="2843"/>
      <c r="LJC46" s="2844"/>
      <c r="LJD46" s="2845"/>
      <c r="LJE46" s="2842"/>
      <c r="LJF46" s="2842"/>
      <c r="LJG46" s="2843"/>
      <c r="LJH46" s="2843"/>
      <c r="LJI46" s="2844"/>
      <c r="LJJ46" s="2845"/>
      <c r="LJK46" s="2842"/>
      <c r="LJL46" s="2842"/>
      <c r="LJM46" s="2843"/>
      <c r="LJN46" s="2843"/>
      <c r="LJO46" s="2844"/>
      <c r="LJP46" s="2845"/>
      <c r="LJQ46" s="2842"/>
      <c r="LJR46" s="2842"/>
      <c r="LJS46" s="2843"/>
      <c r="LJT46" s="2843"/>
      <c r="LJU46" s="2844"/>
      <c r="LJV46" s="2845"/>
      <c r="LJW46" s="2842"/>
      <c r="LJX46" s="2842"/>
      <c r="LJY46" s="2843"/>
      <c r="LJZ46" s="2843"/>
      <c r="LKA46" s="2844"/>
      <c r="LKB46" s="2845"/>
      <c r="LKC46" s="2842"/>
      <c r="LKD46" s="2842"/>
      <c r="LKE46" s="2843"/>
      <c r="LKF46" s="2843"/>
      <c r="LKG46" s="2844"/>
      <c r="LKH46" s="2845"/>
      <c r="LKI46" s="2842"/>
      <c r="LKJ46" s="2842"/>
      <c r="LKK46" s="2843"/>
      <c r="LKL46" s="2843"/>
      <c r="LKM46" s="2844"/>
      <c r="LKN46" s="2845"/>
      <c r="LKO46" s="2842"/>
      <c r="LKP46" s="2842"/>
      <c r="LKQ46" s="2843"/>
      <c r="LKR46" s="2843"/>
      <c r="LKS46" s="2844"/>
      <c r="LKT46" s="2845"/>
      <c r="LKU46" s="2842"/>
      <c r="LKV46" s="2842"/>
      <c r="LKW46" s="2843"/>
      <c r="LKX46" s="2843"/>
      <c r="LKY46" s="2844"/>
      <c r="LKZ46" s="2845"/>
      <c r="LLA46" s="2842"/>
      <c r="LLB46" s="2842"/>
      <c r="LLC46" s="2843"/>
      <c r="LLD46" s="2843"/>
      <c r="LLE46" s="2844"/>
      <c r="LLF46" s="2845"/>
      <c r="LLG46" s="2842"/>
      <c r="LLH46" s="2842"/>
      <c r="LLI46" s="2843"/>
      <c r="LLJ46" s="2843"/>
      <c r="LLK46" s="2844"/>
      <c r="LLL46" s="2845"/>
      <c r="LLM46" s="2842"/>
      <c r="LLN46" s="2842"/>
      <c r="LLO46" s="2843"/>
      <c r="LLP46" s="2843"/>
      <c r="LLQ46" s="2844"/>
      <c r="LLR46" s="2845"/>
      <c r="LLS46" s="2842"/>
      <c r="LLT46" s="2842"/>
      <c r="LLU46" s="2843"/>
      <c r="LLV46" s="2843"/>
      <c r="LLW46" s="2844"/>
      <c r="LLX46" s="2845"/>
      <c r="LLY46" s="2842"/>
      <c r="LLZ46" s="2842"/>
      <c r="LMA46" s="2843"/>
      <c r="LMB46" s="2843"/>
      <c r="LMC46" s="2844"/>
      <c r="LMD46" s="2845"/>
      <c r="LME46" s="2842"/>
      <c r="LMF46" s="2842"/>
      <c r="LMG46" s="2843"/>
      <c r="LMH46" s="2843"/>
      <c r="LMI46" s="2844"/>
      <c r="LMJ46" s="2845"/>
      <c r="LMK46" s="2842"/>
      <c r="LML46" s="2842"/>
      <c r="LMM46" s="2843"/>
      <c r="LMN46" s="2843"/>
      <c r="LMO46" s="2844"/>
      <c r="LMP46" s="2845"/>
      <c r="LMQ46" s="2842"/>
      <c r="LMR46" s="2842"/>
      <c r="LMS46" s="2843"/>
      <c r="LMT46" s="2843"/>
      <c r="LMU46" s="2844"/>
      <c r="LMV46" s="2845"/>
      <c r="LMW46" s="2842"/>
      <c r="LMX46" s="2842"/>
      <c r="LMY46" s="2843"/>
      <c r="LMZ46" s="2843"/>
      <c r="LNA46" s="2844"/>
      <c r="LNB46" s="2845"/>
      <c r="LNC46" s="2842"/>
      <c r="LND46" s="2842"/>
      <c r="LNE46" s="2843"/>
      <c r="LNF46" s="2843"/>
      <c r="LNG46" s="2844"/>
      <c r="LNH46" s="2845"/>
      <c r="LNI46" s="2842"/>
      <c r="LNJ46" s="2842"/>
      <c r="LNK46" s="2843"/>
      <c r="LNL46" s="2843"/>
      <c r="LNM46" s="2844"/>
      <c r="LNN46" s="2845"/>
      <c r="LNO46" s="2842"/>
      <c r="LNP46" s="2842"/>
      <c r="LNQ46" s="2843"/>
      <c r="LNR46" s="2843"/>
      <c r="LNS46" s="2844"/>
      <c r="LNT46" s="2845"/>
      <c r="LNU46" s="2842"/>
      <c r="LNV46" s="2842"/>
      <c r="LNW46" s="2843"/>
      <c r="LNX46" s="2843"/>
      <c r="LNY46" s="2844"/>
      <c r="LNZ46" s="2845"/>
      <c r="LOA46" s="2842"/>
      <c r="LOB46" s="2842"/>
      <c r="LOC46" s="2843"/>
      <c r="LOD46" s="2843"/>
      <c r="LOE46" s="2844"/>
      <c r="LOF46" s="2845"/>
      <c r="LOG46" s="2842"/>
      <c r="LOH46" s="2842"/>
      <c r="LOI46" s="2843"/>
      <c r="LOJ46" s="2843"/>
      <c r="LOK46" s="2844"/>
      <c r="LOL46" s="2845"/>
      <c r="LOM46" s="2842"/>
      <c r="LON46" s="2842"/>
      <c r="LOO46" s="2843"/>
      <c r="LOP46" s="2843"/>
      <c r="LOQ46" s="2844"/>
      <c r="LOR46" s="2845"/>
      <c r="LOS46" s="2842"/>
      <c r="LOT46" s="2842"/>
      <c r="LOU46" s="2843"/>
      <c r="LOV46" s="2843"/>
      <c r="LOW46" s="2844"/>
      <c r="LOX46" s="2845"/>
      <c r="LOY46" s="2842"/>
      <c r="LOZ46" s="2842"/>
      <c r="LPA46" s="2843"/>
      <c r="LPB46" s="2843"/>
      <c r="LPC46" s="2844"/>
      <c r="LPD46" s="2845"/>
      <c r="LPE46" s="2842"/>
      <c r="LPF46" s="2842"/>
      <c r="LPG46" s="2843"/>
      <c r="LPH46" s="2843"/>
      <c r="LPI46" s="2844"/>
      <c r="LPJ46" s="2845"/>
      <c r="LPK46" s="2842"/>
      <c r="LPL46" s="2842"/>
      <c r="LPM46" s="2843"/>
      <c r="LPN46" s="2843"/>
      <c r="LPO46" s="2844"/>
      <c r="LPP46" s="2845"/>
      <c r="LPQ46" s="2842"/>
      <c r="LPR46" s="2842"/>
      <c r="LPS46" s="2843"/>
      <c r="LPT46" s="2843"/>
      <c r="LPU46" s="2844"/>
      <c r="LPV46" s="2845"/>
      <c r="LPW46" s="2842"/>
      <c r="LPX46" s="2842"/>
      <c r="LPY46" s="2843"/>
      <c r="LPZ46" s="2843"/>
      <c r="LQA46" s="2844"/>
      <c r="LQB46" s="2845"/>
      <c r="LQC46" s="2842"/>
      <c r="LQD46" s="2842"/>
      <c r="LQE46" s="2843"/>
      <c r="LQF46" s="2843"/>
      <c r="LQG46" s="2844"/>
      <c r="LQH46" s="2845"/>
      <c r="LQI46" s="2842"/>
      <c r="LQJ46" s="2842"/>
      <c r="LQK46" s="2843"/>
      <c r="LQL46" s="2843"/>
      <c r="LQM46" s="2844"/>
      <c r="LQN46" s="2845"/>
      <c r="LQO46" s="2842"/>
      <c r="LQP46" s="2842"/>
      <c r="LQQ46" s="2843"/>
      <c r="LQR46" s="2843"/>
      <c r="LQS46" s="2844"/>
      <c r="LQT46" s="2845"/>
      <c r="LQU46" s="2842"/>
      <c r="LQV46" s="2842"/>
      <c r="LQW46" s="2843"/>
      <c r="LQX46" s="2843"/>
      <c r="LQY46" s="2844"/>
      <c r="LQZ46" s="2845"/>
      <c r="LRA46" s="2842"/>
      <c r="LRB46" s="2842"/>
      <c r="LRC46" s="2843"/>
      <c r="LRD46" s="2843"/>
      <c r="LRE46" s="2844"/>
      <c r="LRF46" s="2845"/>
      <c r="LRG46" s="2842"/>
      <c r="LRH46" s="2842"/>
      <c r="LRI46" s="2843"/>
      <c r="LRJ46" s="2843"/>
      <c r="LRK46" s="2844"/>
      <c r="LRL46" s="2845"/>
      <c r="LRM46" s="2842"/>
      <c r="LRN46" s="2842"/>
      <c r="LRO46" s="2843"/>
      <c r="LRP46" s="2843"/>
      <c r="LRQ46" s="2844"/>
      <c r="LRR46" s="2845"/>
      <c r="LRS46" s="2842"/>
      <c r="LRT46" s="2842"/>
      <c r="LRU46" s="2843"/>
      <c r="LRV46" s="2843"/>
      <c r="LRW46" s="2844"/>
      <c r="LRX46" s="2845"/>
      <c r="LRY46" s="2842"/>
      <c r="LRZ46" s="2842"/>
      <c r="LSA46" s="2843"/>
      <c r="LSB46" s="2843"/>
      <c r="LSC46" s="2844"/>
      <c r="LSD46" s="2845"/>
      <c r="LSE46" s="2842"/>
      <c r="LSF46" s="2842"/>
      <c r="LSG46" s="2843"/>
      <c r="LSH46" s="2843"/>
      <c r="LSI46" s="2844"/>
      <c r="LSJ46" s="2845"/>
      <c r="LSK46" s="2842"/>
      <c r="LSL46" s="2842"/>
      <c r="LSM46" s="2843"/>
      <c r="LSN46" s="2843"/>
      <c r="LSO46" s="2844"/>
      <c r="LSP46" s="2845"/>
      <c r="LSQ46" s="2842"/>
      <c r="LSR46" s="2842"/>
      <c r="LSS46" s="2843"/>
      <c r="LST46" s="2843"/>
      <c r="LSU46" s="2844"/>
      <c r="LSV46" s="2845"/>
      <c r="LSW46" s="2842"/>
      <c r="LSX46" s="2842"/>
      <c r="LSY46" s="2843"/>
      <c r="LSZ46" s="2843"/>
      <c r="LTA46" s="2844"/>
      <c r="LTB46" s="2845"/>
      <c r="LTC46" s="2842"/>
      <c r="LTD46" s="2842"/>
      <c r="LTE46" s="2843"/>
      <c r="LTF46" s="2843"/>
      <c r="LTG46" s="2844"/>
      <c r="LTH46" s="2845"/>
      <c r="LTI46" s="2842"/>
      <c r="LTJ46" s="2842"/>
      <c r="LTK46" s="2843"/>
      <c r="LTL46" s="2843"/>
      <c r="LTM46" s="2844"/>
      <c r="LTN46" s="2845"/>
      <c r="LTO46" s="2842"/>
      <c r="LTP46" s="2842"/>
      <c r="LTQ46" s="2843"/>
      <c r="LTR46" s="2843"/>
      <c r="LTS46" s="2844"/>
      <c r="LTT46" s="2845"/>
      <c r="LTU46" s="2842"/>
      <c r="LTV46" s="2842"/>
      <c r="LTW46" s="2843"/>
      <c r="LTX46" s="2843"/>
      <c r="LTY46" s="2844"/>
      <c r="LTZ46" s="2845"/>
      <c r="LUA46" s="2842"/>
      <c r="LUB46" s="2842"/>
      <c r="LUC46" s="2843"/>
      <c r="LUD46" s="2843"/>
      <c r="LUE46" s="2844"/>
      <c r="LUF46" s="2845"/>
      <c r="LUG46" s="2842"/>
      <c r="LUH46" s="2842"/>
      <c r="LUI46" s="2843"/>
      <c r="LUJ46" s="2843"/>
      <c r="LUK46" s="2844"/>
      <c r="LUL46" s="2845"/>
      <c r="LUM46" s="2842"/>
      <c r="LUN46" s="2842"/>
      <c r="LUO46" s="2843"/>
      <c r="LUP46" s="2843"/>
      <c r="LUQ46" s="2844"/>
      <c r="LUR46" s="2845"/>
      <c r="LUS46" s="2842"/>
      <c r="LUT46" s="2842"/>
      <c r="LUU46" s="2843"/>
      <c r="LUV46" s="2843"/>
      <c r="LUW46" s="2844"/>
      <c r="LUX46" s="2845"/>
      <c r="LUY46" s="2842"/>
      <c r="LUZ46" s="2842"/>
      <c r="LVA46" s="2843"/>
      <c r="LVB46" s="2843"/>
      <c r="LVC46" s="2844"/>
      <c r="LVD46" s="2845"/>
      <c r="LVE46" s="2842"/>
      <c r="LVF46" s="2842"/>
      <c r="LVG46" s="2843"/>
      <c r="LVH46" s="2843"/>
      <c r="LVI46" s="2844"/>
      <c r="LVJ46" s="2845"/>
      <c r="LVK46" s="2842"/>
      <c r="LVL46" s="2842"/>
      <c r="LVM46" s="2843"/>
      <c r="LVN46" s="2843"/>
      <c r="LVO46" s="2844"/>
      <c r="LVP46" s="2845"/>
      <c r="LVQ46" s="2842"/>
      <c r="LVR46" s="2842"/>
      <c r="LVS46" s="2843"/>
      <c r="LVT46" s="2843"/>
      <c r="LVU46" s="2844"/>
      <c r="LVV46" s="2845"/>
      <c r="LVW46" s="2842"/>
      <c r="LVX46" s="2842"/>
      <c r="LVY46" s="2843"/>
      <c r="LVZ46" s="2843"/>
      <c r="LWA46" s="2844"/>
      <c r="LWB46" s="2845"/>
      <c r="LWC46" s="2842"/>
      <c r="LWD46" s="2842"/>
      <c r="LWE46" s="2843"/>
      <c r="LWF46" s="2843"/>
      <c r="LWG46" s="2844"/>
      <c r="LWH46" s="2845"/>
      <c r="LWI46" s="2842"/>
      <c r="LWJ46" s="2842"/>
      <c r="LWK46" s="2843"/>
      <c r="LWL46" s="2843"/>
      <c r="LWM46" s="2844"/>
      <c r="LWN46" s="2845"/>
      <c r="LWO46" s="2842"/>
      <c r="LWP46" s="2842"/>
      <c r="LWQ46" s="2843"/>
      <c r="LWR46" s="2843"/>
      <c r="LWS46" s="2844"/>
      <c r="LWT46" s="2845"/>
      <c r="LWU46" s="2842"/>
      <c r="LWV46" s="2842"/>
      <c r="LWW46" s="2843"/>
      <c r="LWX46" s="2843"/>
      <c r="LWY46" s="2844"/>
      <c r="LWZ46" s="2845"/>
      <c r="LXA46" s="2842"/>
      <c r="LXB46" s="2842"/>
      <c r="LXC46" s="2843"/>
      <c r="LXD46" s="2843"/>
      <c r="LXE46" s="2844"/>
      <c r="LXF46" s="2845"/>
      <c r="LXG46" s="2842"/>
      <c r="LXH46" s="2842"/>
      <c r="LXI46" s="2843"/>
      <c r="LXJ46" s="2843"/>
      <c r="LXK46" s="2844"/>
      <c r="LXL46" s="2845"/>
      <c r="LXM46" s="2842"/>
      <c r="LXN46" s="2842"/>
      <c r="LXO46" s="2843"/>
      <c r="LXP46" s="2843"/>
      <c r="LXQ46" s="2844"/>
      <c r="LXR46" s="2845"/>
      <c r="LXS46" s="2842"/>
      <c r="LXT46" s="2842"/>
      <c r="LXU46" s="2843"/>
      <c r="LXV46" s="2843"/>
      <c r="LXW46" s="2844"/>
      <c r="LXX46" s="2845"/>
      <c r="LXY46" s="2842"/>
      <c r="LXZ46" s="2842"/>
      <c r="LYA46" s="2843"/>
      <c r="LYB46" s="2843"/>
      <c r="LYC46" s="2844"/>
      <c r="LYD46" s="2845"/>
      <c r="LYE46" s="2842"/>
      <c r="LYF46" s="2842"/>
      <c r="LYG46" s="2843"/>
      <c r="LYH46" s="2843"/>
      <c r="LYI46" s="2844"/>
      <c r="LYJ46" s="2845"/>
      <c r="LYK46" s="2842"/>
      <c r="LYL46" s="2842"/>
      <c r="LYM46" s="2843"/>
      <c r="LYN46" s="2843"/>
      <c r="LYO46" s="2844"/>
      <c r="LYP46" s="2845"/>
      <c r="LYQ46" s="2842"/>
      <c r="LYR46" s="2842"/>
      <c r="LYS46" s="2843"/>
      <c r="LYT46" s="2843"/>
      <c r="LYU46" s="2844"/>
      <c r="LYV46" s="2845"/>
      <c r="LYW46" s="2842"/>
      <c r="LYX46" s="2842"/>
      <c r="LYY46" s="2843"/>
      <c r="LYZ46" s="2843"/>
      <c r="LZA46" s="2844"/>
      <c r="LZB46" s="2845"/>
      <c r="LZC46" s="2842"/>
      <c r="LZD46" s="2842"/>
      <c r="LZE46" s="2843"/>
      <c r="LZF46" s="2843"/>
      <c r="LZG46" s="2844"/>
      <c r="LZH46" s="2845"/>
      <c r="LZI46" s="2842"/>
      <c r="LZJ46" s="2842"/>
      <c r="LZK46" s="2843"/>
      <c r="LZL46" s="2843"/>
      <c r="LZM46" s="2844"/>
      <c r="LZN46" s="2845"/>
      <c r="LZO46" s="2842"/>
      <c r="LZP46" s="2842"/>
      <c r="LZQ46" s="2843"/>
      <c r="LZR46" s="2843"/>
      <c r="LZS46" s="2844"/>
      <c r="LZT46" s="2845"/>
      <c r="LZU46" s="2842"/>
      <c r="LZV46" s="2842"/>
      <c r="LZW46" s="2843"/>
      <c r="LZX46" s="2843"/>
      <c r="LZY46" s="2844"/>
      <c r="LZZ46" s="2845"/>
      <c r="MAA46" s="2842"/>
      <c r="MAB46" s="2842"/>
      <c r="MAC46" s="2843"/>
      <c r="MAD46" s="2843"/>
      <c r="MAE46" s="2844"/>
      <c r="MAF46" s="2845"/>
      <c r="MAG46" s="2842"/>
      <c r="MAH46" s="2842"/>
      <c r="MAI46" s="2843"/>
      <c r="MAJ46" s="2843"/>
      <c r="MAK46" s="2844"/>
      <c r="MAL46" s="2845"/>
      <c r="MAM46" s="2842"/>
      <c r="MAN46" s="2842"/>
      <c r="MAO46" s="2843"/>
      <c r="MAP46" s="2843"/>
      <c r="MAQ46" s="2844"/>
      <c r="MAR46" s="2845"/>
      <c r="MAS46" s="2842"/>
      <c r="MAT46" s="2842"/>
      <c r="MAU46" s="2843"/>
      <c r="MAV46" s="2843"/>
      <c r="MAW46" s="2844"/>
      <c r="MAX46" s="2845"/>
      <c r="MAY46" s="2842"/>
      <c r="MAZ46" s="2842"/>
      <c r="MBA46" s="2843"/>
      <c r="MBB46" s="2843"/>
      <c r="MBC46" s="2844"/>
      <c r="MBD46" s="2845"/>
      <c r="MBE46" s="2842"/>
      <c r="MBF46" s="2842"/>
      <c r="MBG46" s="2843"/>
      <c r="MBH46" s="2843"/>
      <c r="MBI46" s="2844"/>
      <c r="MBJ46" s="2845"/>
      <c r="MBK46" s="2842"/>
      <c r="MBL46" s="2842"/>
      <c r="MBM46" s="2843"/>
      <c r="MBN46" s="2843"/>
      <c r="MBO46" s="2844"/>
      <c r="MBP46" s="2845"/>
      <c r="MBQ46" s="2842"/>
      <c r="MBR46" s="2842"/>
      <c r="MBS46" s="2843"/>
      <c r="MBT46" s="2843"/>
      <c r="MBU46" s="2844"/>
      <c r="MBV46" s="2845"/>
      <c r="MBW46" s="2842"/>
      <c r="MBX46" s="2842"/>
      <c r="MBY46" s="2843"/>
      <c r="MBZ46" s="2843"/>
      <c r="MCA46" s="2844"/>
      <c r="MCB46" s="2845"/>
      <c r="MCC46" s="2842"/>
      <c r="MCD46" s="2842"/>
      <c r="MCE46" s="2843"/>
      <c r="MCF46" s="2843"/>
      <c r="MCG46" s="2844"/>
      <c r="MCH46" s="2845"/>
      <c r="MCI46" s="2842"/>
      <c r="MCJ46" s="2842"/>
      <c r="MCK46" s="2843"/>
      <c r="MCL46" s="2843"/>
      <c r="MCM46" s="2844"/>
      <c r="MCN46" s="2845"/>
      <c r="MCO46" s="2842"/>
      <c r="MCP46" s="2842"/>
      <c r="MCQ46" s="2843"/>
      <c r="MCR46" s="2843"/>
      <c r="MCS46" s="2844"/>
      <c r="MCT46" s="2845"/>
      <c r="MCU46" s="2842"/>
      <c r="MCV46" s="2842"/>
      <c r="MCW46" s="2843"/>
      <c r="MCX46" s="2843"/>
      <c r="MCY46" s="2844"/>
      <c r="MCZ46" s="2845"/>
      <c r="MDA46" s="2842"/>
      <c r="MDB46" s="2842"/>
      <c r="MDC46" s="2843"/>
      <c r="MDD46" s="2843"/>
      <c r="MDE46" s="2844"/>
      <c r="MDF46" s="2845"/>
      <c r="MDG46" s="2842"/>
      <c r="MDH46" s="2842"/>
      <c r="MDI46" s="2843"/>
      <c r="MDJ46" s="2843"/>
      <c r="MDK46" s="2844"/>
      <c r="MDL46" s="2845"/>
      <c r="MDM46" s="2842"/>
      <c r="MDN46" s="2842"/>
      <c r="MDO46" s="2843"/>
      <c r="MDP46" s="2843"/>
      <c r="MDQ46" s="2844"/>
      <c r="MDR46" s="2845"/>
      <c r="MDS46" s="2842"/>
      <c r="MDT46" s="2842"/>
      <c r="MDU46" s="2843"/>
      <c r="MDV46" s="2843"/>
      <c r="MDW46" s="2844"/>
      <c r="MDX46" s="2845"/>
      <c r="MDY46" s="2842"/>
      <c r="MDZ46" s="2842"/>
      <c r="MEA46" s="2843"/>
      <c r="MEB46" s="2843"/>
      <c r="MEC46" s="2844"/>
      <c r="MED46" s="2845"/>
      <c r="MEE46" s="2842"/>
      <c r="MEF46" s="2842"/>
      <c r="MEG46" s="2843"/>
      <c r="MEH46" s="2843"/>
      <c r="MEI46" s="2844"/>
      <c r="MEJ46" s="2845"/>
      <c r="MEK46" s="2842"/>
      <c r="MEL46" s="2842"/>
      <c r="MEM46" s="2843"/>
      <c r="MEN46" s="2843"/>
      <c r="MEO46" s="2844"/>
      <c r="MEP46" s="2845"/>
      <c r="MEQ46" s="2842"/>
      <c r="MER46" s="2842"/>
      <c r="MES46" s="2843"/>
      <c r="MET46" s="2843"/>
      <c r="MEU46" s="2844"/>
      <c r="MEV46" s="2845"/>
      <c r="MEW46" s="2842"/>
      <c r="MEX46" s="2842"/>
      <c r="MEY46" s="2843"/>
      <c r="MEZ46" s="2843"/>
      <c r="MFA46" s="2844"/>
      <c r="MFB46" s="2845"/>
      <c r="MFC46" s="2842"/>
      <c r="MFD46" s="2842"/>
      <c r="MFE46" s="2843"/>
      <c r="MFF46" s="2843"/>
      <c r="MFG46" s="2844"/>
      <c r="MFH46" s="2845"/>
      <c r="MFI46" s="2842"/>
      <c r="MFJ46" s="2842"/>
      <c r="MFK46" s="2843"/>
      <c r="MFL46" s="2843"/>
      <c r="MFM46" s="2844"/>
      <c r="MFN46" s="2845"/>
      <c r="MFO46" s="2842"/>
      <c r="MFP46" s="2842"/>
      <c r="MFQ46" s="2843"/>
      <c r="MFR46" s="2843"/>
      <c r="MFS46" s="2844"/>
      <c r="MFT46" s="2845"/>
      <c r="MFU46" s="2842"/>
      <c r="MFV46" s="2842"/>
      <c r="MFW46" s="2843"/>
      <c r="MFX46" s="2843"/>
      <c r="MFY46" s="2844"/>
      <c r="MFZ46" s="2845"/>
      <c r="MGA46" s="2842"/>
      <c r="MGB46" s="2842"/>
      <c r="MGC46" s="2843"/>
      <c r="MGD46" s="2843"/>
      <c r="MGE46" s="2844"/>
      <c r="MGF46" s="2845"/>
      <c r="MGG46" s="2842"/>
      <c r="MGH46" s="2842"/>
      <c r="MGI46" s="2843"/>
      <c r="MGJ46" s="2843"/>
      <c r="MGK46" s="2844"/>
      <c r="MGL46" s="2845"/>
      <c r="MGM46" s="2842"/>
      <c r="MGN46" s="2842"/>
      <c r="MGO46" s="2843"/>
      <c r="MGP46" s="2843"/>
      <c r="MGQ46" s="2844"/>
      <c r="MGR46" s="2845"/>
      <c r="MGS46" s="2842"/>
      <c r="MGT46" s="2842"/>
      <c r="MGU46" s="2843"/>
      <c r="MGV46" s="2843"/>
      <c r="MGW46" s="2844"/>
      <c r="MGX46" s="2845"/>
      <c r="MGY46" s="2842"/>
      <c r="MGZ46" s="2842"/>
      <c r="MHA46" s="2843"/>
      <c r="MHB46" s="2843"/>
      <c r="MHC46" s="2844"/>
      <c r="MHD46" s="2845"/>
      <c r="MHE46" s="2842"/>
      <c r="MHF46" s="2842"/>
      <c r="MHG46" s="2843"/>
      <c r="MHH46" s="2843"/>
      <c r="MHI46" s="2844"/>
      <c r="MHJ46" s="2845"/>
      <c r="MHK46" s="2842"/>
      <c r="MHL46" s="2842"/>
      <c r="MHM46" s="2843"/>
      <c r="MHN46" s="2843"/>
      <c r="MHO46" s="2844"/>
      <c r="MHP46" s="2845"/>
      <c r="MHQ46" s="2842"/>
      <c r="MHR46" s="2842"/>
      <c r="MHS46" s="2843"/>
      <c r="MHT46" s="2843"/>
      <c r="MHU46" s="2844"/>
      <c r="MHV46" s="2845"/>
      <c r="MHW46" s="2842"/>
      <c r="MHX46" s="2842"/>
      <c r="MHY46" s="2843"/>
      <c r="MHZ46" s="2843"/>
      <c r="MIA46" s="2844"/>
      <c r="MIB46" s="2845"/>
      <c r="MIC46" s="2842"/>
      <c r="MID46" s="2842"/>
      <c r="MIE46" s="2843"/>
      <c r="MIF46" s="2843"/>
      <c r="MIG46" s="2844"/>
      <c r="MIH46" s="2845"/>
      <c r="MII46" s="2842"/>
      <c r="MIJ46" s="2842"/>
      <c r="MIK46" s="2843"/>
      <c r="MIL46" s="2843"/>
      <c r="MIM46" s="2844"/>
      <c r="MIN46" s="2845"/>
      <c r="MIO46" s="2842"/>
      <c r="MIP46" s="2842"/>
      <c r="MIQ46" s="2843"/>
      <c r="MIR46" s="2843"/>
      <c r="MIS46" s="2844"/>
      <c r="MIT46" s="2845"/>
      <c r="MIU46" s="2842"/>
      <c r="MIV46" s="2842"/>
      <c r="MIW46" s="2843"/>
      <c r="MIX46" s="2843"/>
      <c r="MIY46" s="2844"/>
      <c r="MIZ46" s="2845"/>
      <c r="MJA46" s="2842"/>
      <c r="MJB46" s="2842"/>
      <c r="MJC46" s="2843"/>
      <c r="MJD46" s="2843"/>
      <c r="MJE46" s="2844"/>
      <c r="MJF46" s="2845"/>
      <c r="MJG46" s="2842"/>
      <c r="MJH46" s="2842"/>
      <c r="MJI46" s="2843"/>
      <c r="MJJ46" s="2843"/>
      <c r="MJK46" s="2844"/>
      <c r="MJL46" s="2845"/>
      <c r="MJM46" s="2842"/>
      <c r="MJN46" s="2842"/>
      <c r="MJO46" s="2843"/>
      <c r="MJP46" s="2843"/>
      <c r="MJQ46" s="2844"/>
      <c r="MJR46" s="2845"/>
      <c r="MJS46" s="2842"/>
      <c r="MJT46" s="2842"/>
      <c r="MJU46" s="2843"/>
      <c r="MJV46" s="2843"/>
      <c r="MJW46" s="2844"/>
      <c r="MJX46" s="2845"/>
      <c r="MJY46" s="2842"/>
      <c r="MJZ46" s="2842"/>
      <c r="MKA46" s="2843"/>
      <c r="MKB46" s="2843"/>
      <c r="MKC46" s="2844"/>
      <c r="MKD46" s="2845"/>
      <c r="MKE46" s="2842"/>
      <c r="MKF46" s="2842"/>
      <c r="MKG46" s="2843"/>
      <c r="MKH46" s="2843"/>
      <c r="MKI46" s="2844"/>
      <c r="MKJ46" s="2845"/>
      <c r="MKK46" s="2842"/>
      <c r="MKL46" s="2842"/>
      <c r="MKM46" s="2843"/>
      <c r="MKN46" s="2843"/>
      <c r="MKO46" s="2844"/>
      <c r="MKP46" s="2845"/>
      <c r="MKQ46" s="2842"/>
      <c r="MKR46" s="2842"/>
      <c r="MKS46" s="2843"/>
      <c r="MKT46" s="2843"/>
      <c r="MKU46" s="2844"/>
      <c r="MKV46" s="2845"/>
      <c r="MKW46" s="2842"/>
      <c r="MKX46" s="2842"/>
      <c r="MKY46" s="2843"/>
      <c r="MKZ46" s="2843"/>
      <c r="MLA46" s="2844"/>
      <c r="MLB46" s="2845"/>
      <c r="MLC46" s="2842"/>
      <c r="MLD46" s="2842"/>
      <c r="MLE46" s="2843"/>
      <c r="MLF46" s="2843"/>
      <c r="MLG46" s="2844"/>
      <c r="MLH46" s="2845"/>
      <c r="MLI46" s="2842"/>
      <c r="MLJ46" s="2842"/>
      <c r="MLK46" s="2843"/>
      <c r="MLL46" s="2843"/>
      <c r="MLM46" s="2844"/>
      <c r="MLN46" s="2845"/>
      <c r="MLO46" s="2842"/>
      <c r="MLP46" s="2842"/>
      <c r="MLQ46" s="2843"/>
      <c r="MLR46" s="2843"/>
      <c r="MLS46" s="2844"/>
      <c r="MLT46" s="2845"/>
      <c r="MLU46" s="2842"/>
      <c r="MLV46" s="2842"/>
      <c r="MLW46" s="2843"/>
      <c r="MLX46" s="2843"/>
      <c r="MLY46" s="2844"/>
      <c r="MLZ46" s="2845"/>
      <c r="MMA46" s="2842"/>
      <c r="MMB46" s="2842"/>
      <c r="MMC46" s="2843"/>
      <c r="MMD46" s="2843"/>
      <c r="MME46" s="2844"/>
      <c r="MMF46" s="2845"/>
      <c r="MMG46" s="2842"/>
      <c r="MMH46" s="2842"/>
      <c r="MMI46" s="2843"/>
      <c r="MMJ46" s="2843"/>
      <c r="MMK46" s="2844"/>
      <c r="MML46" s="2845"/>
      <c r="MMM46" s="2842"/>
      <c r="MMN46" s="2842"/>
      <c r="MMO46" s="2843"/>
      <c r="MMP46" s="2843"/>
      <c r="MMQ46" s="2844"/>
      <c r="MMR46" s="2845"/>
      <c r="MMS46" s="2842"/>
      <c r="MMT46" s="2842"/>
      <c r="MMU46" s="2843"/>
      <c r="MMV46" s="2843"/>
      <c r="MMW46" s="2844"/>
      <c r="MMX46" s="2845"/>
      <c r="MMY46" s="2842"/>
      <c r="MMZ46" s="2842"/>
      <c r="MNA46" s="2843"/>
      <c r="MNB46" s="2843"/>
      <c r="MNC46" s="2844"/>
      <c r="MND46" s="2845"/>
      <c r="MNE46" s="2842"/>
      <c r="MNF46" s="2842"/>
      <c r="MNG46" s="2843"/>
      <c r="MNH46" s="2843"/>
      <c r="MNI46" s="2844"/>
      <c r="MNJ46" s="2845"/>
      <c r="MNK46" s="2842"/>
      <c r="MNL46" s="2842"/>
      <c r="MNM46" s="2843"/>
      <c r="MNN46" s="2843"/>
      <c r="MNO46" s="2844"/>
      <c r="MNP46" s="2845"/>
      <c r="MNQ46" s="2842"/>
      <c r="MNR46" s="2842"/>
      <c r="MNS46" s="2843"/>
      <c r="MNT46" s="2843"/>
      <c r="MNU46" s="2844"/>
      <c r="MNV46" s="2845"/>
      <c r="MNW46" s="2842"/>
      <c r="MNX46" s="2842"/>
      <c r="MNY46" s="2843"/>
      <c r="MNZ46" s="2843"/>
      <c r="MOA46" s="2844"/>
      <c r="MOB46" s="2845"/>
      <c r="MOC46" s="2842"/>
      <c r="MOD46" s="2842"/>
      <c r="MOE46" s="2843"/>
      <c r="MOF46" s="2843"/>
      <c r="MOG46" s="2844"/>
      <c r="MOH46" s="2845"/>
      <c r="MOI46" s="2842"/>
      <c r="MOJ46" s="2842"/>
      <c r="MOK46" s="2843"/>
      <c r="MOL46" s="2843"/>
      <c r="MOM46" s="2844"/>
      <c r="MON46" s="2845"/>
      <c r="MOO46" s="2842"/>
      <c r="MOP46" s="2842"/>
      <c r="MOQ46" s="2843"/>
      <c r="MOR46" s="2843"/>
      <c r="MOS46" s="2844"/>
      <c r="MOT46" s="2845"/>
      <c r="MOU46" s="2842"/>
      <c r="MOV46" s="2842"/>
      <c r="MOW46" s="2843"/>
      <c r="MOX46" s="2843"/>
      <c r="MOY46" s="2844"/>
      <c r="MOZ46" s="2845"/>
      <c r="MPA46" s="2842"/>
      <c r="MPB46" s="2842"/>
      <c r="MPC46" s="2843"/>
      <c r="MPD46" s="2843"/>
      <c r="MPE46" s="2844"/>
      <c r="MPF46" s="2845"/>
      <c r="MPG46" s="2842"/>
      <c r="MPH46" s="2842"/>
      <c r="MPI46" s="2843"/>
      <c r="MPJ46" s="2843"/>
      <c r="MPK46" s="2844"/>
      <c r="MPL46" s="2845"/>
      <c r="MPM46" s="2842"/>
      <c r="MPN46" s="2842"/>
      <c r="MPO46" s="2843"/>
      <c r="MPP46" s="2843"/>
      <c r="MPQ46" s="2844"/>
      <c r="MPR46" s="2845"/>
      <c r="MPS46" s="2842"/>
      <c r="MPT46" s="2842"/>
      <c r="MPU46" s="2843"/>
      <c r="MPV46" s="2843"/>
      <c r="MPW46" s="2844"/>
      <c r="MPX46" s="2845"/>
      <c r="MPY46" s="2842"/>
      <c r="MPZ46" s="2842"/>
      <c r="MQA46" s="2843"/>
      <c r="MQB46" s="2843"/>
      <c r="MQC46" s="2844"/>
      <c r="MQD46" s="2845"/>
      <c r="MQE46" s="2842"/>
      <c r="MQF46" s="2842"/>
      <c r="MQG46" s="2843"/>
      <c r="MQH46" s="2843"/>
      <c r="MQI46" s="2844"/>
      <c r="MQJ46" s="2845"/>
      <c r="MQK46" s="2842"/>
      <c r="MQL46" s="2842"/>
      <c r="MQM46" s="2843"/>
      <c r="MQN46" s="2843"/>
      <c r="MQO46" s="2844"/>
      <c r="MQP46" s="2845"/>
      <c r="MQQ46" s="2842"/>
      <c r="MQR46" s="2842"/>
      <c r="MQS46" s="2843"/>
      <c r="MQT46" s="2843"/>
      <c r="MQU46" s="2844"/>
      <c r="MQV46" s="2845"/>
      <c r="MQW46" s="2842"/>
      <c r="MQX46" s="2842"/>
      <c r="MQY46" s="2843"/>
      <c r="MQZ46" s="2843"/>
      <c r="MRA46" s="2844"/>
      <c r="MRB46" s="2845"/>
      <c r="MRC46" s="2842"/>
      <c r="MRD46" s="2842"/>
      <c r="MRE46" s="2843"/>
      <c r="MRF46" s="2843"/>
      <c r="MRG46" s="2844"/>
      <c r="MRH46" s="2845"/>
      <c r="MRI46" s="2842"/>
      <c r="MRJ46" s="2842"/>
      <c r="MRK46" s="2843"/>
      <c r="MRL46" s="2843"/>
      <c r="MRM46" s="2844"/>
      <c r="MRN46" s="2845"/>
      <c r="MRO46" s="2842"/>
      <c r="MRP46" s="2842"/>
      <c r="MRQ46" s="2843"/>
      <c r="MRR46" s="2843"/>
      <c r="MRS46" s="2844"/>
      <c r="MRT46" s="2845"/>
      <c r="MRU46" s="2842"/>
      <c r="MRV46" s="2842"/>
      <c r="MRW46" s="2843"/>
      <c r="MRX46" s="2843"/>
      <c r="MRY46" s="2844"/>
      <c r="MRZ46" s="2845"/>
      <c r="MSA46" s="2842"/>
      <c r="MSB46" s="2842"/>
      <c r="MSC46" s="2843"/>
      <c r="MSD46" s="2843"/>
      <c r="MSE46" s="2844"/>
      <c r="MSF46" s="2845"/>
      <c r="MSG46" s="2842"/>
      <c r="MSH46" s="2842"/>
      <c r="MSI46" s="2843"/>
      <c r="MSJ46" s="2843"/>
      <c r="MSK46" s="2844"/>
      <c r="MSL46" s="2845"/>
      <c r="MSM46" s="2842"/>
      <c r="MSN46" s="2842"/>
      <c r="MSO46" s="2843"/>
      <c r="MSP46" s="2843"/>
      <c r="MSQ46" s="2844"/>
      <c r="MSR46" s="2845"/>
      <c r="MSS46" s="2842"/>
      <c r="MST46" s="2842"/>
      <c r="MSU46" s="2843"/>
      <c r="MSV46" s="2843"/>
      <c r="MSW46" s="2844"/>
      <c r="MSX46" s="2845"/>
      <c r="MSY46" s="2842"/>
      <c r="MSZ46" s="2842"/>
      <c r="MTA46" s="2843"/>
      <c r="MTB46" s="2843"/>
      <c r="MTC46" s="2844"/>
      <c r="MTD46" s="2845"/>
      <c r="MTE46" s="2842"/>
      <c r="MTF46" s="2842"/>
      <c r="MTG46" s="2843"/>
      <c r="MTH46" s="2843"/>
      <c r="MTI46" s="2844"/>
      <c r="MTJ46" s="2845"/>
      <c r="MTK46" s="2842"/>
      <c r="MTL46" s="2842"/>
      <c r="MTM46" s="2843"/>
      <c r="MTN46" s="2843"/>
      <c r="MTO46" s="2844"/>
      <c r="MTP46" s="2845"/>
      <c r="MTQ46" s="2842"/>
      <c r="MTR46" s="2842"/>
      <c r="MTS46" s="2843"/>
      <c r="MTT46" s="2843"/>
      <c r="MTU46" s="2844"/>
      <c r="MTV46" s="2845"/>
      <c r="MTW46" s="2842"/>
      <c r="MTX46" s="2842"/>
      <c r="MTY46" s="2843"/>
      <c r="MTZ46" s="2843"/>
      <c r="MUA46" s="2844"/>
      <c r="MUB46" s="2845"/>
      <c r="MUC46" s="2842"/>
      <c r="MUD46" s="2842"/>
      <c r="MUE46" s="2843"/>
      <c r="MUF46" s="2843"/>
      <c r="MUG46" s="2844"/>
      <c r="MUH46" s="2845"/>
      <c r="MUI46" s="2842"/>
      <c r="MUJ46" s="2842"/>
      <c r="MUK46" s="2843"/>
      <c r="MUL46" s="2843"/>
      <c r="MUM46" s="2844"/>
      <c r="MUN46" s="2845"/>
      <c r="MUO46" s="2842"/>
      <c r="MUP46" s="2842"/>
      <c r="MUQ46" s="2843"/>
      <c r="MUR46" s="2843"/>
      <c r="MUS46" s="2844"/>
      <c r="MUT46" s="2845"/>
      <c r="MUU46" s="2842"/>
      <c r="MUV46" s="2842"/>
      <c r="MUW46" s="2843"/>
      <c r="MUX46" s="2843"/>
      <c r="MUY46" s="2844"/>
      <c r="MUZ46" s="2845"/>
      <c r="MVA46" s="2842"/>
      <c r="MVB46" s="2842"/>
      <c r="MVC46" s="2843"/>
      <c r="MVD46" s="2843"/>
      <c r="MVE46" s="2844"/>
      <c r="MVF46" s="2845"/>
      <c r="MVG46" s="2842"/>
      <c r="MVH46" s="2842"/>
      <c r="MVI46" s="2843"/>
      <c r="MVJ46" s="2843"/>
      <c r="MVK46" s="2844"/>
      <c r="MVL46" s="2845"/>
      <c r="MVM46" s="2842"/>
      <c r="MVN46" s="2842"/>
      <c r="MVO46" s="2843"/>
      <c r="MVP46" s="2843"/>
      <c r="MVQ46" s="2844"/>
      <c r="MVR46" s="2845"/>
      <c r="MVS46" s="2842"/>
      <c r="MVT46" s="2842"/>
      <c r="MVU46" s="2843"/>
      <c r="MVV46" s="2843"/>
      <c r="MVW46" s="2844"/>
      <c r="MVX46" s="2845"/>
      <c r="MVY46" s="2842"/>
      <c r="MVZ46" s="2842"/>
      <c r="MWA46" s="2843"/>
      <c r="MWB46" s="2843"/>
      <c r="MWC46" s="2844"/>
      <c r="MWD46" s="2845"/>
      <c r="MWE46" s="2842"/>
      <c r="MWF46" s="2842"/>
      <c r="MWG46" s="2843"/>
      <c r="MWH46" s="2843"/>
      <c r="MWI46" s="2844"/>
      <c r="MWJ46" s="2845"/>
      <c r="MWK46" s="2842"/>
      <c r="MWL46" s="2842"/>
      <c r="MWM46" s="2843"/>
      <c r="MWN46" s="2843"/>
      <c r="MWO46" s="2844"/>
      <c r="MWP46" s="2845"/>
      <c r="MWQ46" s="2842"/>
      <c r="MWR46" s="2842"/>
      <c r="MWS46" s="2843"/>
      <c r="MWT46" s="2843"/>
      <c r="MWU46" s="2844"/>
      <c r="MWV46" s="2845"/>
      <c r="MWW46" s="2842"/>
      <c r="MWX46" s="2842"/>
      <c r="MWY46" s="2843"/>
      <c r="MWZ46" s="2843"/>
      <c r="MXA46" s="2844"/>
      <c r="MXB46" s="2845"/>
      <c r="MXC46" s="2842"/>
      <c r="MXD46" s="2842"/>
      <c r="MXE46" s="2843"/>
      <c r="MXF46" s="2843"/>
      <c r="MXG46" s="2844"/>
      <c r="MXH46" s="2845"/>
      <c r="MXI46" s="2842"/>
      <c r="MXJ46" s="2842"/>
      <c r="MXK46" s="2843"/>
      <c r="MXL46" s="2843"/>
      <c r="MXM46" s="2844"/>
      <c r="MXN46" s="2845"/>
      <c r="MXO46" s="2842"/>
      <c r="MXP46" s="2842"/>
      <c r="MXQ46" s="2843"/>
      <c r="MXR46" s="2843"/>
      <c r="MXS46" s="2844"/>
      <c r="MXT46" s="2845"/>
      <c r="MXU46" s="2842"/>
      <c r="MXV46" s="2842"/>
      <c r="MXW46" s="2843"/>
      <c r="MXX46" s="2843"/>
      <c r="MXY46" s="2844"/>
      <c r="MXZ46" s="2845"/>
      <c r="MYA46" s="2842"/>
      <c r="MYB46" s="2842"/>
      <c r="MYC46" s="2843"/>
      <c r="MYD46" s="2843"/>
      <c r="MYE46" s="2844"/>
      <c r="MYF46" s="2845"/>
      <c r="MYG46" s="2842"/>
      <c r="MYH46" s="2842"/>
      <c r="MYI46" s="2843"/>
      <c r="MYJ46" s="2843"/>
      <c r="MYK46" s="2844"/>
      <c r="MYL46" s="2845"/>
      <c r="MYM46" s="2842"/>
      <c r="MYN46" s="2842"/>
      <c r="MYO46" s="2843"/>
      <c r="MYP46" s="2843"/>
      <c r="MYQ46" s="2844"/>
      <c r="MYR46" s="2845"/>
      <c r="MYS46" s="2842"/>
      <c r="MYT46" s="2842"/>
      <c r="MYU46" s="2843"/>
      <c r="MYV46" s="2843"/>
      <c r="MYW46" s="2844"/>
      <c r="MYX46" s="2845"/>
      <c r="MYY46" s="2842"/>
      <c r="MYZ46" s="2842"/>
      <c r="MZA46" s="2843"/>
      <c r="MZB46" s="2843"/>
      <c r="MZC46" s="2844"/>
      <c r="MZD46" s="2845"/>
      <c r="MZE46" s="2842"/>
      <c r="MZF46" s="2842"/>
      <c r="MZG46" s="2843"/>
      <c r="MZH46" s="2843"/>
      <c r="MZI46" s="2844"/>
      <c r="MZJ46" s="2845"/>
      <c r="MZK46" s="2842"/>
      <c r="MZL46" s="2842"/>
      <c r="MZM46" s="2843"/>
      <c r="MZN46" s="2843"/>
      <c r="MZO46" s="2844"/>
      <c r="MZP46" s="2845"/>
      <c r="MZQ46" s="2842"/>
      <c r="MZR46" s="2842"/>
      <c r="MZS46" s="2843"/>
      <c r="MZT46" s="2843"/>
      <c r="MZU46" s="2844"/>
      <c r="MZV46" s="2845"/>
      <c r="MZW46" s="2842"/>
      <c r="MZX46" s="2842"/>
      <c r="MZY46" s="2843"/>
      <c r="MZZ46" s="2843"/>
      <c r="NAA46" s="2844"/>
      <c r="NAB46" s="2845"/>
      <c r="NAC46" s="2842"/>
      <c r="NAD46" s="2842"/>
      <c r="NAE46" s="2843"/>
      <c r="NAF46" s="2843"/>
      <c r="NAG46" s="2844"/>
      <c r="NAH46" s="2845"/>
      <c r="NAI46" s="2842"/>
      <c r="NAJ46" s="2842"/>
      <c r="NAK46" s="2843"/>
      <c r="NAL46" s="2843"/>
      <c r="NAM46" s="2844"/>
      <c r="NAN46" s="2845"/>
      <c r="NAO46" s="2842"/>
      <c r="NAP46" s="2842"/>
      <c r="NAQ46" s="2843"/>
      <c r="NAR46" s="2843"/>
      <c r="NAS46" s="2844"/>
      <c r="NAT46" s="2845"/>
      <c r="NAU46" s="2842"/>
      <c r="NAV46" s="2842"/>
      <c r="NAW46" s="2843"/>
      <c r="NAX46" s="2843"/>
      <c r="NAY46" s="2844"/>
      <c r="NAZ46" s="2845"/>
      <c r="NBA46" s="2842"/>
      <c r="NBB46" s="2842"/>
      <c r="NBC46" s="2843"/>
      <c r="NBD46" s="2843"/>
      <c r="NBE46" s="2844"/>
      <c r="NBF46" s="2845"/>
      <c r="NBG46" s="2842"/>
      <c r="NBH46" s="2842"/>
      <c r="NBI46" s="2843"/>
      <c r="NBJ46" s="2843"/>
      <c r="NBK46" s="2844"/>
      <c r="NBL46" s="2845"/>
      <c r="NBM46" s="2842"/>
      <c r="NBN46" s="2842"/>
      <c r="NBO46" s="2843"/>
      <c r="NBP46" s="2843"/>
      <c r="NBQ46" s="2844"/>
      <c r="NBR46" s="2845"/>
      <c r="NBS46" s="2842"/>
      <c r="NBT46" s="2842"/>
      <c r="NBU46" s="2843"/>
      <c r="NBV46" s="2843"/>
      <c r="NBW46" s="2844"/>
      <c r="NBX46" s="2845"/>
      <c r="NBY46" s="2842"/>
      <c r="NBZ46" s="2842"/>
      <c r="NCA46" s="2843"/>
      <c r="NCB46" s="2843"/>
      <c r="NCC46" s="2844"/>
      <c r="NCD46" s="2845"/>
      <c r="NCE46" s="2842"/>
      <c r="NCF46" s="2842"/>
      <c r="NCG46" s="2843"/>
      <c r="NCH46" s="2843"/>
      <c r="NCI46" s="2844"/>
      <c r="NCJ46" s="2845"/>
      <c r="NCK46" s="2842"/>
      <c r="NCL46" s="2842"/>
      <c r="NCM46" s="2843"/>
      <c r="NCN46" s="2843"/>
      <c r="NCO46" s="2844"/>
      <c r="NCP46" s="2845"/>
      <c r="NCQ46" s="2842"/>
      <c r="NCR46" s="2842"/>
      <c r="NCS46" s="2843"/>
      <c r="NCT46" s="2843"/>
      <c r="NCU46" s="2844"/>
      <c r="NCV46" s="2845"/>
      <c r="NCW46" s="2842"/>
      <c r="NCX46" s="2842"/>
      <c r="NCY46" s="2843"/>
      <c r="NCZ46" s="2843"/>
      <c r="NDA46" s="2844"/>
      <c r="NDB46" s="2845"/>
      <c r="NDC46" s="2842"/>
      <c r="NDD46" s="2842"/>
      <c r="NDE46" s="2843"/>
      <c r="NDF46" s="2843"/>
      <c r="NDG46" s="2844"/>
      <c r="NDH46" s="2845"/>
      <c r="NDI46" s="2842"/>
      <c r="NDJ46" s="2842"/>
      <c r="NDK46" s="2843"/>
      <c r="NDL46" s="2843"/>
      <c r="NDM46" s="2844"/>
      <c r="NDN46" s="2845"/>
      <c r="NDO46" s="2842"/>
      <c r="NDP46" s="2842"/>
      <c r="NDQ46" s="2843"/>
      <c r="NDR46" s="2843"/>
      <c r="NDS46" s="2844"/>
      <c r="NDT46" s="2845"/>
      <c r="NDU46" s="2842"/>
      <c r="NDV46" s="2842"/>
      <c r="NDW46" s="2843"/>
      <c r="NDX46" s="2843"/>
      <c r="NDY46" s="2844"/>
      <c r="NDZ46" s="2845"/>
      <c r="NEA46" s="2842"/>
      <c r="NEB46" s="2842"/>
      <c r="NEC46" s="2843"/>
      <c r="NED46" s="2843"/>
      <c r="NEE46" s="2844"/>
      <c r="NEF46" s="2845"/>
      <c r="NEG46" s="2842"/>
      <c r="NEH46" s="2842"/>
      <c r="NEI46" s="2843"/>
      <c r="NEJ46" s="2843"/>
      <c r="NEK46" s="2844"/>
      <c r="NEL46" s="2845"/>
      <c r="NEM46" s="2842"/>
      <c r="NEN46" s="2842"/>
      <c r="NEO46" s="2843"/>
      <c r="NEP46" s="2843"/>
      <c r="NEQ46" s="2844"/>
      <c r="NER46" s="2845"/>
      <c r="NES46" s="2842"/>
      <c r="NET46" s="2842"/>
      <c r="NEU46" s="2843"/>
      <c r="NEV46" s="2843"/>
      <c r="NEW46" s="2844"/>
      <c r="NEX46" s="2845"/>
      <c r="NEY46" s="2842"/>
      <c r="NEZ46" s="2842"/>
      <c r="NFA46" s="2843"/>
      <c r="NFB46" s="2843"/>
      <c r="NFC46" s="2844"/>
      <c r="NFD46" s="2845"/>
      <c r="NFE46" s="2842"/>
      <c r="NFF46" s="2842"/>
      <c r="NFG46" s="2843"/>
      <c r="NFH46" s="2843"/>
      <c r="NFI46" s="2844"/>
      <c r="NFJ46" s="2845"/>
      <c r="NFK46" s="2842"/>
      <c r="NFL46" s="2842"/>
      <c r="NFM46" s="2843"/>
      <c r="NFN46" s="2843"/>
      <c r="NFO46" s="2844"/>
      <c r="NFP46" s="2845"/>
      <c r="NFQ46" s="2842"/>
      <c r="NFR46" s="2842"/>
      <c r="NFS46" s="2843"/>
      <c r="NFT46" s="2843"/>
      <c r="NFU46" s="2844"/>
      <c r="NFV46" s="2845"/>
      <c r="NFW46" s="2842"/>
      <c r="NFX46" s="2842"/>
      <c r="NFY46" s="2843"/>
      <c r="NFZ46" s="2843"/>
      <c r="NGA46" s="2844"/>
      <c r="NGB46" s="2845"/>
      <c r="NGC46" s="2842"/>
      <c r="NGD46" s="2842"/>
      <c r="NGE46" s="2843"/>
      <c r="NGF46" s="2843"/>
      <c r="NGG46" s="2844"/>
      <c r="NGH46" s="2845"/>
      <c r="NGI46" s="2842"/>
      <c r="NGJ46" s="2842"/>
      <c r="NGK46" s="2843"/>
      <c r="NGL46" s="2843"/>
      <c r="NGM46" s="2844"/>
      <c r="NGN46" s="2845"/>
      <c r="NGO46" s="2842"/>
      <c r="NGP46" s="2842"/>
      <c r="NGQ46" s="2843"/>
      <c r="NGR46" s="2843"/>
      <c r="NGS46" s="2844"/>
      <c r="NGT46" s="2845"/>
      <c r="NGU46" s="2842"/>
      <c r="NGV46" s="2842"/>
      <c r="NGW46" s="2843"/>
      <c r="NGX46" s="2843"/>
      <c r="NGY46" s="2844"/>
      <c r="NGZ46" s="2845"/>
      <c r="NHA46" s="2842"/>
      <c r="NHB46" s="2842"/>
      <c r="NHC46" s="2843"/>
      <c r="NHD46" s="2843"/>
      <c r="NHE46" s="2844"/>
      <c r="NHF46" s="2845"/>
      <c r="NHG46" s="2842"/>
      <c r="NHH46" s="2842"/>
      <c r="NHI46" s="2843"/>
      <c r="NHJ46" s="2843"/>
      <c r="NHK46" s="2844"/>
      <c r="NHL46" s="2845"/>
      <c r="NHM46" s="2842"/>
      <c r="NHN46" s="2842"/>
      <c r="NHO46" s="2843"/>
      <c r="NHP46" s="2843"/>
      <c r="NHQ46" s="2844"/>
      <c r="NHR46" s="2845"/>
      <c r="NHS46" s="2842"/>
      <c r="NHT46" s="2842"/>
      <c r="NHU46" s="2843"/>
      <c r="NHV46" s="2843"/>
      <c r="NHW46" s="2844"/>
      <c r="NHX46" s="2845"/>
      <c r="NHY46" s="2842"/>
      <c r="NHZ46" s="2842"/>
      <c r="NIA46" s="2843"/>
      <c r="NIB46" s="2843"/>
      <c r="NIC46" s="2844"/>
      <c r="NID46" s="2845"/>
      <c r="NIE46" s="2842"/>
      <c r="NIF46" s="2842"/>
      <c r="NIG46" s="2843"/>
      <c r="NIH46" s="2843"/>
      <c r="NII46" s="2844"/>
      <c r="NIJ46" s="2845"/>
      <c r="NIK46" s="2842"/>
      <c r="NIL46" s="2842"/>
      <c r="NIM46" s="2843"/>
      <c r="NIN46" s="2843"/>
      <c r="NIO46" s="2844"/>
      <c r="NIP46" s="2845"/>
      <c r="NIQ46" s="2842"/>
      <c r="NIR46" s="2842"/>
      <c r="NIS46" s="2843"/>
      <c r="NIT46" s="2843"/>
      <c r="NIU46" s="2844"/>
      <c r="NIV46" s="2845"/>
      <c r="NIW46" s="2842"/>
      <c r="NIX46" s="2842"/>
      <c r="NIY46" s="2843"/>
      <c r="NIZ46" s="2843"/>
      <c r="NJA46" s="2844"/>
      <c r="NJB46" s="2845"/>
      <c r="NJC46" s="2842"/>
      <c r="NJD46" s="2842"/>
      <c r="NJE46" s="2843"/>
      <c r="NJF46" s="2843"/>
      <c r="NJG46" s="2844"/>
      <c r="NJH46" s="2845"/>
      <c r="NJI46" s="2842"/>
      <c r="NJJ46" s="2842"/>
      <c r="NJK46" s="2843"/>
      <c r="NJL46" s="2843"/>
      <c r="NJM46" s="2844"/>
      <c r="NJN46" s="2845"/>
      <c r="NJO46" s="2842"/>
      <c r="NJP46" s="2842"/>
      <c r="NJQ46" s="2843"/>
      <c r="NJR46" s="2843"/>
      <c r="NJS46" s="2844"/>
      <c r="NJT46" s="2845"/>
      <c r="NJU46" s="2842"/>
      <c r="NJV46" s="2842"/>
      <c r="NJW46" s="2843"/>
      <c r="NJX46" s="2843"/>
      <c r="NJY46" s="2844"/>
      <c r="NJZ46" s="2845"/>
      <c r="NKA46" s="2842"/>
      <c r="NKB46" s="2842"/>
      <c r="NKC46" s="2843"/>
      <c r="NKD46" s="2843"/>
      <c r="NKE46" s="2844"/>
      <c r="NKF46" s="2845"/>
      <c r="NKG46" s="2842"/>
      <c r="NKH46" s="2842"/>
      <c r="NKI46" s="2843"/>
      <c r="NKJ46" s="2843"/>
      <c r="NKK46" s="2844"/>
      <c r="NKL46" s="2845"/>
      <c r="NKM46" s="2842"/>
      <c r="NKN46" s="2842"/>
      <c r="NKO46" s="2843"/>
      <c r="NKP46" s="2843"/>
      <c r="NKQ46" s="2844"/>
      <c r="NKR46" s="2845"/>
      <c r="NKS46" s="2842"/>
      <c r="NKT46" s="2842"/>
      <c r="NKU46" s="2843"/>
      <c r="NKV46" s="2843"/>
      <c r="NKW46" s="2844"/>
      <c r="NKX46" s="2845"/>
      <c r="NKY46" s="2842"/>
      <c r="NKZ46" s="2842"/>
      <c r="NLA46" s="2843"/>
      <c r="NLB46" s="2843"/>
      <c r="NLC46" s="2844"/>
      <c r="NLD46" s="2845"/>
      <c r="NLE46" s="2842"/>
      <c r="NLF46" s="2842"/>
      <c r="NLG46" s="2843"/>
      <c r="NLH46" s="2843"/>
      <c r="NLI46" s="2844"/>
      <c r="NLJ46" s="2845"/>
      <c r="NLK46" s="2842"/>
      <c r="NLL46" s="2842"/>
      <c r="NLM46" s="2843"/>
      <c r="NLN46" s="2843"/>
      <c r="NLO46" s="2844"/>
      <c r="NLP46" s="2845"/>
      <c r="NLQ46" s="2842"/>
      <c r="NLR46" s="2842"/>
      <c r="NLS46" s="2843"/>
      <c r="NLT46" s="2843"/>
      <c r="NLU46" s="2844"/>
      <c r="NLV46" s="2845"/>
      <c r="NLW46" s="2842"/>
      <c r="NLX46" s="2842"/>
      <c r="NLY46" s="2843"/>
      <c r="NLZ46" s="2843"/>
      <c r="NMA46" s="2844"/>
      <c r="NMB46" s="2845"/>
      <c r="NMC46" s="2842"/>
      <c r="NMD46" s="2842"/>
      <c r="NME46" s="2843"/>
      <c r="NMF46" s="2843"/>
      <c r="NMG46" s="2844"/>
      <c r="NMH46" s="2845"/>
      <c r="NMI46" s="2842"/>
      <c r="NMJ46" s="2842"/>
      <c r="NMK46" s="2843"/>
      <c r="NML46" s="2843"/>
      <c r="NMM46" s="2844"/>
      <c r="NMN46" s="2845"/>
      <c r="NMO46" s="2842"/>
      <c r="NMP46" s="2842"/>
      <c r="NMQ46" s="2843"/>
      <c r="NMR46" s="2843"/>
      <c r="NMS46" s="2844"/>
      <c r="NMT46" s="2845"/>
      <c r="NMU46" s="2842"/>
      <c r="NMV46" s="2842"/>
      <c r="NMW46" s="2843"/>
      <c r="NMX46" s="2843"/>
      <c r="NMY46" s="2844"/>
      <c r="NMZ46" s="2845"/>
      <c r="NNA46" s="2842"/>
      <c r="NNB46" s="2842"/>
      <c r="NNC46" s="2843"/>
      <c r="NND46" s="2843"/>
      <c r="NNE46" s="2844"/>
      <c r="NNF46" s="2845"/>
      <c r="NNG46" s="2842"/>
      <c r="NNH46" s="2842"/>
      <c r="NNI46" s="2843"/>
      <c r="NNJ46" s="2843"/>
      <c r="NNK46" s="2844"/>
      <c r="NNL46" s="2845"/>
      <c r="NNM46" s="2842"/>
      <c r="NNN46" s="2842"/>
      <c r="NNO46" s="2843"/>
      <c r="NNP46" s="2843"/>
      <c r="NNQ46" s="2844"/>
      <c r="NNR46" s="2845"/>
      <c r="NNS46" s="2842"/>
      <c r="NNT46" s="2842"/>
      <c r="NNU46" s="2843"/>
      <c r="NNV46" s="2843"/>
      <c r="NNW46" s="2844"/>
      <c r="NNX46" s="2845"/>
      <c r="NNY46" s="2842"/>
      <c r="NNZ46" s="2842"/>
      <c r="NOA46" s="2843"/>
      <c r="NOB46" s="2843"/>
      <c r="NOC46" s="2844"/>
      <c r="NOD46" s="2845"/>
      <c r="NOE46" s="2842"/>
      <c r="NOF46" s="2842"/>
      <c r="NOG46" s="2843"/>
      <c r="NOH46" s="2843"/>
      <c r="NOI46" s="2844"/>
      <c r="NOJ46" s="2845"/>
      <c r="NOK46" s="2842"/>
      <c r="NOL46" s="2842"/>
      <c r="NOM46" s="2843"/>
      <c r="NON46" s="2843"/>
      <c r="NOO46" s="2844"/>
      <c r="NOP46" s="2845"/>
      <c r="NOQ46" s="2842"/>
      <c r="NOR46" s="2842"/>
      <c r="NOS46" s="2843"/>
      <c r="NOT46" s="2843"/>
      <c r="NOU46" s="2844"/>
      <c r="NOV46" s="2845"/>
      <c r="NOW46" s="2842"/>
      <c r="NOX46" s="2842"/>
      <c r="NOY46" s="2843"/>
      <c r="NOZ46" s="2843"/>
      <c r="NPA46" s="2844"/>
      <c r="NPB46" s="2845"/>
      <c r="NPC46" s="2842"/>
      <c r="NPD46" s="2842"/>
      <c r="NPE46" s="2843"/>
      <c r="NPF46" s="2843"/>
      <c r="NPG46" s="2844"/>
      <c r="NPH46" s="2845"/>
      <c r="NPI46" s="2842"/>
      <c r="NPJ46" s="2842"/>
      <c r="NPK46" s="2843"/>
      <c r="NPL46" s="2843"/>
      <c r="NPM46" s="2844"/>
      <c r="NPN46" s="2845"/>
      <c r="NPO46" s="2842"/>
      <c r="NPP46" s="2842"/>
      <c r="NPQ46" s="2843"/>
      <c r="NPR46" s="2843"/>
      <c r="NPS46" s="2844"/>
      <c r="NPT46" s="2845"/>
      <c r="NPU46" s="2842"/>
      <c r="NPV46" s="2842"/>
      <c r="NPW46" s="2843"/>
      <c r="NPX46" s="2843"/>
      <c r="NPY46" s="2844"/>
      <c r="NPZ46" s="2845"/>
      <c r="NQA46" s="2842"/>
      <c r="NQB46" s="2842"/>
      <c r="NQC46" s="2843"/>
      <c r="NQD46" s="2843"/>
      <c r="NQE46" s="2844"/>
      <c r="NQF46" s="2845"/>
      <c r="NQG46" s="2842"/>
      <c r="NQH46" s="2842"/>
      <c r="NQI46" s="2843"/>
      <c r="NQJ46" s="2843"/>
      <c r="NQK46" s="2844"/>
      <c r="NQL46" s="2845"/>
      <c r="NQM46" s="2842"/>
      <c r="NQN46" s="2842"/>
      <c r="NQO46" s="2843"/>
      <c r="NQP46" s="2843"/>
      <c r="NQQ46" s="2844"/>
      <c r="NQR46" s="2845"/>
      <c r="NQS46" s="2842"/>
      <c r="NQT46" s="2842"/>
      <c r="NQU46" s="2843"/>
      <c r="NQV46" s="2843"/>
      <c r="NQW46" s="2844"/>
      <c r="NQX46" s="2845"/>
      <c r="NQY46" s="2842"/>
      <c r="NQZ46" s="2842"/>
      <c r="NRA46" s="2843"/>
      <c r="NRB46" s="2843"/>
      <c r="NRC46" s="2844"/>
      <c r="NRD46" s="2845"/>
      <c r="NRE46" s="2842"/>
      <c r="NRF46" s="2842"/>
      <c r="NRG46" s="2843"/>
      <c r="NRH46" s="2843"/>
      <c r="NRI46" s="2844"/>
      <c r="NRJ46" s="2845"/>
      <c r="NRK46" s="2842"/>
      <c r="NRL46" s="2842"/>
      <c r="NRM46" s="2843"/>
      <c r="NRN46" s="2843"/>
      <c r="NRO46" s="2844"/>
      <c r="NRP46" s="2845"/>
      <c r="NRQ46" s="2842"/>
      <c r="NRR46" s="2842"/>
      <c r="NRS46" s="2843"/>
      <c r="NRT46" s="2843"/>
      <c r="NRU46" s="2844"/>
      <c r="NRV46" s="2845"/>
      <c r="NRW46" s="2842"/>
      <c r="NRX46" s="2842"/>
      <c r="NRY46" s="2843"/>
      <c r="NRZ46" s="2843"/>
      <c r="NSA46" s="2844"/>
      <c r="NSB46" s="2845"/>
      <c r="NSC46" s="2842"/>
      <c r="NSD46" s="2842"/>
      <c r="NSE46" s="2843"/>
      <c r="NSF46" s="2843"/>
      <c r="NSG46" s="2844"/>
      <c r="NSH46" s="2845"/>
      <c r="NSI46" s="2842"/>
      <c r="NSJ46" s="2842"/>
      <c r="NSK46" s="2843"/>
      <c r="NSL46" s="2843"/>
      <c r="NSM46" s="2844"/>
      <c r="NSN46" s="2845"/>
      <c r="NSO46" s="2842"/>
      <c r="NSP46" s="2842"/>
      <c r="NSQ46" s="2843"/>
      <c r="NSR46" s="2843"/>
      <c r="NSS46" s="2844"/>
      <c r="NST46" s="2845"/>
      <c r="NSU46" s="2842"/>
      <c r="NSV46" s="2842"/>
      <c r="NSW46" s="2843"/>
      <c r="NSX46" s="2843"/>
      <c r="NSY46" s="2844"/>
      <c r="NSZ46" s="2845"/>
      <c r="NTA46" s="2842"/>
      <c r="NTB46" s="2842"/>
      <c r="NTC46" s="2843"/>
      <c r="NTD46" s="2843"/>
      <c r="NTE46" s="2844"/>
      <c r="NTF46" s="2845"/>
      <c r="NTG46" s="2842"/>
      <c r="NTH46" s="2842"/>
      <c r="NTI46" s="2843"/>
      <c r="NTJ46" s="2843"/>
      <c r="NTK46" s="2844"/>
      <c r="NTL46" s="2845"/>
      <c r="NTM46" s="2842"/>
      <c r="NTN46" s="2842"/>
      <c r="NTO46" s="2843"/>
      <c r="NTP46" s="2843"/>
      <c r="NTQ46" s="2844"/>
      <c r="NTR46" s="2845"/>
      <c r="NTS46" s="2842"/>
      <c r="NTT46" s="2842"/>
      <c r="NTU46" s="2843"/>
      <c r="NTV46" s="2843"/>
      <c r="NTW46" s="2844"/>
      <c r="NTX46" s="2845"/>
      <c r="NTY46" s="2842"/>
      <c r="NTZ46" s="2842"/>
      <c r="NUA46" s="2843"/>
      <c r="NUB46" s="2843"/>
      <c r="NUC46" s="2844"/>
      <c r="NUD46" s="2845"/>
      <c r="NUE46" s="2842"/>
      <c r="NUF46" s="2842"/>
      <c r="NUG46" s="2843"/>
      <c r="NUH46" s="2843"/>
      <c r="NUI46" s="2844"/>
      <c r="NUJ46" s="2845"/>
      <c r="NUK46" s="2842"/>
      <c r="NUL46" s="2842"/>
      <c r="NUM46" s="2843"/>
      <c r="NUN46" s="2843"/>
      <c r="NUO46" s="2844"/>
      <c r="NUP46" s="2845"/>
      <c r="NUQ46" s="2842"/>
      <c r="NUR46" s="2842"/>
      <c r="NUS46" s="2843"/>
      <c r="NUT46" s="2843"/>
      <c r="NUU46" s="2844"/>
      <c r="NUV46" s="2845"/>
      <c r="NUW46" s="2842"/>
      <c r="NUX46" s="2842"/>
      <c r="NUY46" s="2843"/>
      <c r="NUZ46" s="2843"/>
      <c r="NVA46" s="2844"/>
      <c r="NVB46" s="2845"/>
      <c r="NVC46" s="2842"/>
      <c r="NVD46" s="2842"/>
      <c r="NVE46" s="2843"/>
      <c r="NVF46" s="2843"/>
      <c r="NVG46" s="2844"/>
      <c r="NVH46" s="2845"/>
      <c r="NVI46" s="2842"/>
      <c r="NVJ46" s="2842"/>
      <c r="NVK46" s="2843"/>
      <c r="NVL46" s="2843"/>
      <c r="NVM46" s="2844"/>
      <c r="NVN46" s="2845"/>
      <c r="NVO46" s="2842"/>
      <c r="NVP46" s="2842"/>
      <c r="NVQ46" s="2843"/>
      <c r="NVR46" s="2843"/>
      <c r="NVS46" s="2844"/>
      <c r="NVT46" s="2845"/>
      <c r="NVU46" s="2842"/>
      <c r="NVV46" s="2842"/>
      <c r="NVW46" s="2843"/>
      <c r="NVX46" s="2843"/>
      <c r="NVY46" s="2844"/>
      <c r="NVZ46" s="2845"/>
      <c r="NWA46" s="2842"/>
      <c r="NWB46" s="2842"/>
      <c r="NWC46" s="2843"/>
      <c r="NWD46" s="2843"/>
      <c r="NWE46" s="2844"/>
      <c r="NWF46" s="2845"/>
      <c r="NWG46" s="2842"/>
      <c r="NWH46" s="2842"/>
      <c r="NWI46" s="2843"/>
      <c r="NWJ46" s="2843"/>
      <c r="NWK46" s="2844"/>
      <c r="NWL46" s="2845"/>
      <c r="NWM46" s="2842"/>
      <c r="NWN46" s="2842"/>
      <c r="NWO46" s="2843"/>
      <c r="NWP46" s="2843"/>
      <c r="NWQ46" s="2844"/>
      <c r="NWR46" s="2845"/>
      <c r="NWS46" s="2842"/>
      <c r="NWT46" s="2842"/>
      <c r="NWU46" s="2843"/>
      <c r="NWV46" s="2843"/>
      <c r="NWW46" s="2844"/>
      <c r="NWX46" s="2845"/>
      <c r="NWY46" s="2842"/>
      <c r="NWZ46" s="2842"/>
      <c r="NXA46" s="2843"/>
      <c r="NXB46" s="2843"/>
      <c r="NXC46" s="2844"/>
      <c r="NXD46" s="2845"/>
      <c r="NXE46" s="2842"/>
      <c r="NXF46" s="2842"/>
      <c r="NXG46" s="2843"/>
      <c r="NXH46" s="2843"/>
      <c r="NXI46" s="2844"/>
      <c r="NXJ46" s="2845"/>
      <c r="NXK46" s="2842"/>
      <c r="NXL46" s="2842"/>
      <c r="NXM46" s="2843"/>
      <c r="NXN46" s="2843"/>
      <c r="NXO46" s="2844"/>
      <c r="NXP46" s="2845"/>
      <c r="NXQ46" s="2842"/>
      <c r="NXR46" s="2842"/>
      <c r="NXS46" s="2843"/>
      <c r="NXT46" s="2843"/>
      <c r="NXU46" s="2844"/>
      <c r="NXV46" s="2845"/>
      <c r="NXW46" s="2842"/>
      <c r="NXX46" s="2842"/>
      <c r="NXY46" s="2843"/>
      <c r="NXZ46" s="2843"/>
      <c r="NYA46" s="2844"/>
      <c r="NYB46" s="2845"/>
      <c r="NYC46" s="2842"/>
      <c r="NYD46" s="2842"/>
      <c r="NYE46" s="2843"/>
      <c r="NYF46" s="2843"/>
      <c r="NYG46" s="2844"/>
      <c r="NYH46" s="2845"/>
      <c r="NYI46" s="2842"/>
      <c r="NYJ46" s="2842"/>
      <c r="NYK46" s="2843"/>
      <c r="NYL46" s="2843"/>
      <c r="NYM46" s="2844"/>
      <c r="NYN46" s="2845"/>
      <c r="NYO46" s="2842"/>
      <c r="NYP46" s="2842"/>
      <c r="NYQ46" s="2843"/>
      <c r="NYR46" s="2843"/>
      <c r="NYS46" s="2844"/>
      <c r="NYT46" s="2845"/>
      <c r="NYU46" s="2842"/>
      <c r="NYV46" s="2842"/>
      <c r="NYW46" s="2843"/>
      <c r="NYX46" s="2843"/>
      <c r="NYY46" s="2844"/>
      <c r="NYZ46" s="2845"/>
      <c r="NZA46" s="2842"/>
      <c r="NZB46" s="2842"/>
      <c r="NZC46" s="2843"/>
      <c r="NZD46" s="2843"/>
      <c r="NZE46" s="2844"/>
      <c r="NZF46" s="2845"/>
      <c r="NZG46" s="2842"/>
      <c r="NZH46" s="2842"/>
      <c r="NZI46" s="2843"/>
      <c r="NZJ46" s="2843"/>
      <c r="NZK46" s="2844"/>
      <c r="NZL46" s="2845"/>
      <c r="NZM46" s="2842"/>
      <c r="NZN46" s="2842"/>
      <c r="NZO46" s="2843"/>
      <c r="NZP46" s="2843"/>
      <c r="NZQ46" s="2844"/>
      <c r="NZR46" s="2845"/>
      <c r="NZS46" s="2842"/>
      <c r="NZT46" s="2842"/>
      <c r="NZU46" s="2843"/>
      <c r="NZV46" s="2843"/>
      <c r="NZW46" s="2844"/>
      <c r="NZX46" s="2845"/>
      <c r="NZY46" s="2842"/>
      <c r="NZZ46" s="2842"/>
      <c r="OAA46" s="2843"/>
      <c r="OAB46" s="2843"/>
      <c r="OAC46" s="2844"/>
      <c r="OAD46" s="2845"/>
      <c r="OAE46" s="2842"/>
      <c r="OAF46" s="2842"/>
      <c r="OAG46" s="2843"/>
      <c r="OAH46" s="2843"/>
      <c r="OAI46" s="2844"/>
      <c r="OAJ46" s="2845"/>
      <c r="OAK46" s="2842"/>
      <c r="OAL46" s="2842"/>
      <c r="OAM46" s="2843"/>
      <c r="OAN46" s="2843"/>
      <c r="OAO46" s="2844"/>
      <c r="OAP46" s="2845"/>
      <c r="OAQ46" s="2842"/>
      <c r="OAR46" s="2842"/>
      <c r="OAS46" s="2843"/>
      <c r="OAT46" s="2843"/>
      <c r="OAU46" s="2844"/>
      <c r="OAV46" s="2845"/>
      <c r="OAW46" s="2842"/>
      <c r="OAX46" s="2842"/>
      <c r="OAY46" s="2843"/>
      <c r="OAZ46" s="2843"/>
      <c r="OBA46" s="2844"/>
      <c r="OBB46" s="2845"/>
      <c r="OBC46" s="2842"/>
      <c r="OBD46" s="2842"/>
      <c r="OBE46" s="2843"/>
      <c r="OBF46" s="2843"/>
      <c r="OBG46" s="2844"/>
      <c r="OBH46" s="2845"/>
      <c r="OBI46" s="2842"/>
      <c r="OBJ46" s="2842"/>
      <c r="OBK46" s="2843"/>
      <c r="OBL46" s="2843"/>
      <c r="OBM46" s="2844"/>
      <c r="OBN46" s="2845"/>
      <c r="OBO46" s="2842"/>
      <c r="OBP46" s="2842"/>
      <c r="OBQ46" s="2843"/>
      <c r="OBR46" s="2843"/>
      <c r="OBS46" s="2844"/>
      <c r="OBT46" s="2845"/>
      <c r="OBU46" s="2842"/>
      <c r="OBV46" s="2842"/>
      <c r="OBW46" s="2843"/>
      <c r="OBX46" s="2843"/>
      <c r="OBY46" s="2844"/>
      <c r="OBZ46" s="2845"/>
      <c r="OCA46" s="2842"/>
      <c r="OCB46" s="2842"/>
      <c r="OCC46" s="2843"/>
      <c r="OCD46" s="2843"/>
      <c r="OCE46" s="2844"/>
      <c r="OCF46" s="2845"/>
      <c r="OCG46" s="2842"/>
      <c r="OCH46" s="2842"/>
      <c r="OCI46" s="2843"/>
      <c r="OCJ46" s="2843"/>
      <c r="OCK46" s="2844"/>
      <c r="OCL46" s="2845"/>
      <c r="OCM46" s="2842"/>
      <c r="OCN46" s="2842"/>
      <c r="OCO46" s="2843"/>
      <c r="OCP46" s="2843"/>
      <c r="OCQ46" s="2844"/>
      <c r="OCR46" s="2845"/>
      <c r="OCS46" s="2842"/>
      <c r="OCT46" s="2842"/>
      <c r="OCU46" s="2843"/>
      <c r="OCV46" s="2843"/>
      <c r="OCW46" s="2844"/>
      <c r="OCX46" s="2845"/>
      <c r="OCY46" s="2842"/>
      <c r="OCZ46" s="2842"/>
      <c r="ODA46" s="2843"/>
      <c r="ODB46" s="2843"/>
      <c r="ODC46" s="2844"/>
      <c r="ODD46" s="2845"/>
      <c r="ODE46" s="2842"/>
      <c r="ODF46" s="2842"/>
      <c r="ODG46" s="2843"/>
      <c r="ODH46" s="2843"/>
      <c r="ODI46" s="2844"/>
      <c r="ODJ46" s="2845"/>
      <c r="ODK46" s="2842"/>
      <c r="ODL46" s="2842"/>
      <c r="ODM46" s="2843"/>
      <c r="ODN46" s="2843"/>
      <c r="ODO46" s="2844"/>
      <c r="ODP46" s="2845"/>
      <c r="ODQ46" s="2842"/>
      <c r="ODR46" s="2842"/>
      <c r="ODS46" s="2843"/>
      <c r="ODT46" s="2843"/>
      <c r="ODU46" s="2844"/>
      <c r="ODV46" s="2845"/>
      <c r="ODW46" s="2842"/>
      <c r="ODX46" s="2842"/>
      <c r="ODY46" s="2843"/>
      <c r="ODZ46" s="2843"/>
      <c r="OEA46" s="2844"/>
      <c r="OEB46" s="2845"/>
      <c r="OEC46" s="2842"/>
      <c r="OED46" s="2842"/>
      <c r="OEE46" s="2843"/>
      <c r="OEF46" s="2843"/>
      <c r="OEG46" s="2844"/>
      <c r="OEH46" s="2845"/>
      <c r="OEI46" s="2842"/>
      <c r="OEJ46" s="2842"/>
      <c r="OEK46" s="2843"/>
      <c r="OEL46" s="2843"/>
      <c r="OEM46" s="2844"/>
      <c r="OEN46" s="2845"/>
      <c r="OEO46" s="2842"/>
      <c r="OEP46" s="2842"/>
      <c r="OEQ46" s="2843"/>
      <c r="OER46" s="2843"/>
      <c r="OES46" s="2844"/>
      <c r="OET46" s="2845"/>
      <c r="OEU46" s="2842"/>
      <c r="OEV46" s="2842"/>
      <c r="OEW46" s="2843"/>
      <c r="OEX46" s="2843"/>
      <c r="OEY46" s="2844"/>
      <c r="OEZ46" s="2845"/>
      <c r="OFA46" s="2842"/>
      <c r="OFB46" s="2842"/>
      <c r="OFC46" s="2843"/>
      <c r="OFD46" s="2843"/>
      <c r="OFE46" s="2844"/>
      <c r="OFF46" s="2845"/>
      <c r="OFG46" s="2842"/>
      <c r="OFH46" s="2842"/>
      <c r="OFI46" s="2843"/>
      <c r="OFJ46" s="2843"/>
      <c r="OFK46" s="2844"/>
      <c r="OFL46" s="2845"/>
      <c r="OFM46" s="2842"/>
      <c r="OFN46" s="2842"/>
      <c r="OFO46" s="2843"/>
      <c r="OFP46" s="2843"/>
      <c r="OFQ46" s="2844"/>
      <c r="OFR46" s="2845"/>
      <c r="OFS46" s="2842"/>
      <c r="OFT46" s="2842"/>
      <c r="OFU46" s="2843"/>
      <c r="OFV46" s="2843"/>
      <c r="OFW46" s="2844"/>
      <c r="OFX46" s="2845"/>
      <c r="OFY46" s="2842"/>
      <c r="OFZ46" s="2842"/>
      <c r="OGA46" s="2843"/>
      <c r="OGB46" s="2843"/>
      <c r="OGC46" s="2844"/>
      <c r="OGD46" s="2845"/>
      <c r="OGE46" s="2842"/>
      <c r="OGF46" s="2842"/>
      <c r="OGG46" s="2843"/>
      <c r="OGH46" s="2843"/>
      <c r="OGI46" s="2844"/>
      <c r="OGJ46" s="2845"/>
      <c r="OGK46" s="2842"/>
      <c r="OGL46" s="2842"/>
      <c r="OGM46" s="2843"/>
      <c r="OGN46" s="2843"/>
      <c r="OGO46" s="2844"/>
      <c r="OGP46" s="2845"/>
      <c r="OGQ46" s="2842"/>
      <c r="OGR46" s="2842"/>
      <c r="OGS46" s="2843"/>
      <c r="OGT46" s="2843"/>
      <c r="OGU46" s="2844"/>
      <c r="OGV46" s="2845"/>
      <c r="OGW46" s="2842"/>
      <c r="OGX46" s="2842"/>
      <c r="OGY46" s="2843"/>
      <c r="OGZ46" s="2843"/>
      <c r="OHA46" s="2844"/>
      <c r="OHB46" s="2845"/>
      <c r="OHC46" s="2842"/>
      <c r="OHD46" s="2842"/>
      <c r="OHE46" s="2843"/>
      <c r="OHF46" s="2843"/>
      <c r="OHG46" s="2844"/>
      <c r="OHH46" s="2845"/>
      <c r="OHI46" s="2842"/>
      <c r="OHJ46" s="2842"/>
      <c r="OHK46" s="2843"/>
      <c r="OHL46" s="2843"/>
      <c r="OHM46" s="2844"/>
      <c r="OHN46" s="2845"/>
      <c r="OHO46" s="2842"/>
      <c r="OHP46" s="2842"/>
      <c r="OHQ46" s="2843"/>
      <c r="OHR46" s="2843"/>
      <c r="OHS46" s="2844"/>
      <c r="OHT46" s="2845"/>
      <c r="OHU46" s="2842"/>
      <c r="OHV46" s="2842"/>
      <c r="OHW46" s="2843"/>
      <c r="OHX46" s="2843"/>
      <c r="OHY46" s="2844"/>
      <c r="OHZ46" s="2845"/>
      <c r="OIA46" s="2842"/>
      <c r="OIB46" s="2842"/>
      <c r="OIC46" s="2843"/>
      <c r="OID46" s="2843"/>
      <c r="OIE46" s="2844"/>
      <c r="OIF46" s="2845"/>
      <c r="OIG46" s="2842"/>
      <c r="OIH46" s="2842"/>
      <c r="OII46" s="2843"/>
      <c r="OIJ46" s="2843"/>
      <c r="OIK46" s="2844"/>
      <c r="OIL46" s="2845"/>
      <c r="OIM46" s="2842"/>
      <c r="OIN46" s="2842"/>
      <c r="OIO46" s="2843"/>
      <c r="OIP46" s="2843"/>
      <c r="OIQ46" s="2844"/>
      <c r="OIR46" s="2845"/>
      <c r="OIS46" s="2842"/>
      <c r="OIT46" s="2842"/>
      <c r="OIU46" s="2843"/>
      <c r="OIV46" s="2843"/>
      <c r="OIW46" s="2844"/>
      <c r="OIX46" s="2845"/>
      <c r="OIY46" s="2842"/>
      <c r="OIZ46" s="2842"/>
      <c r="OJA46" s="2843"/>
      <c r="OJB46" s="2843"/>
      <c r="OJC46" s="2844"/>
      <c r="OJD46" s="2845"/>
      <c r="OJE46" s="2842"/>
      <c r="OJF46" s="2842"/>
      <c r="OJG46" s="2843"/>
      <c r="OJH46" s="2843"/>
      <c r="OJI46" s="2844"/>
      <c r="OJJ46" s="2845"/>
      <c r="OJK46" s="2842"/>
      <c r="OJL46" s="2842"/>
      <c r="OJM46" s="2843"/>
      <c r="OJN46" s="2843"/>
      <c r="OJO46" s="2844"/>
      <c r="OJP46" s="2845"/>
      <c r="OJQ46" s="2842"/>
      <c r="OJR46" s="2842"/>
      <c r="OJS46" s="2843"/>
      <c r="OJT46" s="2843"/>
      <c r="OJU46" s="2844"/>
      <c r="OJV46" s="2845"/>
      <c r="OJW46" s="2842"/>
      <c r="OJX46" s="2842"/>
      <c r="OJY46" s="2843"/>
      <c r="OJZ46" s="2843"/>
      <c r="OKA46" s="2844"/>
      <c r="OKB46" s="2845"/>
      <c r="OKC46" s="2842"/>
      <c r="OKD46" s="2842"/>
      <c r="OKE46" s="2843"/>
      <c r="OKF46" s="2843"/>
      <c r="OKG46" s="2844"/>
      <c r="OKH46" s="2845"/>
      <c r="OKI46" s="2842"/>
      <c r="OKJ46" s="2842"/>
      <c r="OKK46" s="2843"/>
      <c r="OKL46" s="2843"/>
      <c r="OKM46" s="2844"/>
      <c r="OKN46" s="2845"/>
      <c r="OKO46" s="2842"/>
      <c r="OKP46" s="2842"/>
      <c r="OKQ46" s="2843"/>
      <c r="OKR46" s="2843"/>
      <c r="OKS46" s="2844"/>
      <c r="OKT46" s="2845"/>
      <c r="OKU46" s="2842"/>
      <c r="OKV46" s="2842"/>
      <c r="OKW46" s="2843"/>
      <c r="OKX46" s="2843"/>
      <c r="OKY46" s="2844"/>
      <c r="OKZ46" s="2845"/>
      <c r="OLA46" s="2842"/>
      <c r="OLB46" s="2842"/>
      <c r="OLC46" s="2843"/>
      <c r="OLD46" s="2843"/>
      <c r="OLE46" s="2844"/>
      <c r="OLF46" s="2845"/>
      <c r="OLG46" s="2842"/>
      <c r="OLH46" s="2842"/>
      <c r="OLI46" s="2843"/>
      <c r="OLJ46" s="2843"/>
      <c r="OLK46" s="2844"/>
      <c r="OLL46" s="2845"/>
      <c r="OLM46" s="2842"/>
      <c r="OLN46" s="2842"/>
      <c r="OLO46" s="2843"/>
      <c r="OLP46" s="2843"/>
      <c r="OLQ46" s="2844"/>
      <c r="OLR46" s="2845"/>
      <c r="OLS46" s="2842"/>
      <c r="OLT46" s="2842"/>
      <c r="OLU46" s="2843"/>
      <c r="OLV46" s="2843"/>
      <c r="OLW46" s="2844"/>
      <c r="OLX46" s="2845"/>
      <c r="OLY46" s="2842"/>
      <c r="OLZ46" s="2842"/>
      <c r="OMA46" s="2843"/>
      <c r="OMB46" s="2843"/>
      <c r="OMC46" s="2844"/>
      <c r="OMD46" s="2845"/>
      <c r="OME46" s="2842"/>
      <c r="OMF46" s="2842"/>
      <c r="OMG46" s="2843"/>
      <c r="OMH46" s="2843"/>
      <c r="OMI46" s="2844"/>
      <c r="OMJ46" s="2845"/>
      <c r="OMK46" s="2842"/>
      <c r="OML46" s="2842"/>
      <c r="OMM46" s="2843"/>
      <c r="OMN46" s="2843"/>
      <c r="OMO46" s="2844"/>
      <c r="OMP46" s="2845"/>
      <c r="OMQ46" s="2842"/>
      <c r="OMR46" s="2842"/>
      <c r="OMS46" s="2843"/>
      <c r="OMT46" s="2843"/>
      <c r="OMU46" s="2844"/>
      <c r="OMV46" s="2845"/>
      <c r="OMW46" s="2842"/>
      <c r="OMX46" s="2842"/>
      <c r="OMY46" s="2843"/>
      <c r="OMZ46" s="2843"/>
      <c r="ONA46" s="2844"/>
      <c r="ONB46" s="2845"/>
      <c r="ONC46" s="2842"/>
      <c r="OND46" s="2842"/>
      <c r="ONE46" s="2843"/>
      <c r="ONF46" s="2843"/>
      <c r="ONG46" s="2844"/>
      <c r="ONH46" s="2845"/>
      <c r="ONI46" s="2842"/>
      <c r="ONJ46" s="2842"/>
      <c r="ONK46" s="2843"/>
      <c r="ONL46" s="2843"/>
      <c r="ONM46" s="2844"/>
      <c r="ONN46" s="2845"/>
      <c r="ONO46" s="2842"/>
      <c r="ONP46" s="2842"/>
      <c r="ONQ46" s="2843"/>
      <c r="ONR46" s="2843"/>
      <c r="ONS46" s="2844"/>
      <c r="ONT46" s="2845"/>
      <c r="ONU46" s="2842"/>
      <c r="ONV46" s="2842"/>
      <c r="ONW46" s="2843"/>
      <c r="ONX46" s="2843"/>
      <c r="ONY46" s="2844"/>
      <c r="ONZ46" s="2845"/>
      <c r="OOA46" s="2842"/>
      <c r="OOB46" s="2842"/>
      <c r="OOC46" s="2843"/>
      <c r="OOD46" s="2843"/>
      <c r="OOE46" s="2844"/>
      <c r="OOF46" s="2845"/>
      <c r="OOG46" s="2842"/>
      <c r="OOH46" s="2842"/>
      <c r="OOI46" s="2843"/>
      <c r="OOJ46" s="2843"/>
      <c r="OOK46" s="2844"/>
      <c r="OOL46" s="2845"/>
      <c r="OOM46" s="2842"/>
      <c r="OON46" s="2842"/>
      <c r="OOO46" s="2843"/>
      <c r="OOP46" s="2843"/>
      <c r="OOQ46" s="2844"/>
      <c r="OOR46" s="2845"/>
      <c r="OOS46" s="2842"/>
      <c r="OOT46" s="2842"/>
      <c r="OOU46" s="2843"/>
      <c r="OOV46" s="2843"/>
      <c r="OOW46" s="2844"/>
      <c r="OOX46" s="2845"/>
      <c r="OOY46" s="2842"/>
      <c r="OOZ46" s="2842"/>
      <c r="OPA46" s="2843"/>
      <c r="OPB46" s="2843"/>
      <c r="OPC46" s="2844"/>
      <c r="OPD46" s="2845"/>
      <c r="OPE46" s="2842"/>
      <c r="OPF46" s="2842"/>
      <c r="OPG46" s="2843"/>
      <c r="OPH46" s="2843"/>
      <c r="OPI46" s="2844"/>
      <c r="OPJ46" s="2845"/>
      <c r="OPK46" s="2842"/>
      <c r="OPL46" s="2842"/>
      <c r="OPM46" s="2843"/>
      <c r="OPN46" s="2843"/>
      <c r="OPO46" s="2844"/>
      <c r="OPP46" s="2845"/>
      <c r="OPQ46" s="2842"/>
      <c r="OPR46" s="2842"/>
      <c r="OPS46" s="2843"/>
      <c r="OPT46" s="2843"/>
      <c r="OPU46" s="2844"/>
      <c r="OPV46" s="2845"/>
      <c r="OPW46" s="2842"/>
      <c r="OPX46" s="2842"/>
      <c r="OPY46" s="2843"/>
      <c r="OPZ46" s="2843"/>
      <c r="OQA46" s="2844"/>
      <c r="OQB46" s="2845"/>
      <c r="OQC46" s="2842"/>
      <c r="OQD46" s="2842"/>
      <c r="OQE46" s="2843"/>
      <c r="OQF46" s="2843"/>
      <c r="OQG46" s="2844"/>
      <c r="OQH46" s="2845"/>
      <c r="OQI46" s="2842"/>
      <c r="OQJ46" s="2842"/>
      <c r="OQK46" s="2843"/>
      <c r="OQL46" s="2843"/>
      <c r="OQM46" s="2844"/>
      <c r="OQN46" s="2845"/>
      <c r="OQO46" s="2842"/>
      <c r="OQP46" s="2842"/>
      <c r="OQQ46" s="2843"/>
      <c r="OQR46" s="2843"/>
      <c r="OQS46" s="2844"/>
      <c r="OQT46" s="2845"/>
      <c r="OQU46" s="2842"/>
      <c r="OQV46" s="2842"/>
      <c r="OQW46" s="2843"/>
      <c r="OQX46" s="2843"/>
      <c r="OQY46" s="2844"/>
      <c r="OQZ46" s="2845"/>
      <c r="ORA46" s="2842"/>
      <c r="ORB46" s="2842"/>
      <c r="ORC46" s="2843"/>
      <c r="ORD46" s="2843"/>
      <c r="ORE46" s="2844"/>
      <c r="ORF46" s="2845"/>
      <c r="ORG46" s="2842"/>
      <c r="ORH46" s="2842"/>
      <c r="ORI46" s="2843"/>
      <c r="ORJ46" s="2843"/>
      <c r="ORK46" s="2844"/>
      <c r="ORL46" s="2845"/>
      <c r="ORM46" s="2842"/>
      <c r="ORN46" s="2842"/>
      <c r="ORO46" s="2843"/>
      <c r="ORP46" s="2843"/>
      <c r="ORQ46" s="2844"/>
      <c r="ORR46" s="2845"/>
      <c r="ORS46" s="2842"/>
      <c r="ORT46" s="2842"/>
      <c r="ORU46" s="2843"/>
      <c r="ORV46" s="2843"/>
      <c r="ORW46" s="2844"/>
      <c r="ORX46" s="2845"/>
      <c r="ORY46" s="2842"/>
      <c r="ORZ46" s="2842"/>
      <c r="OSA46" s="2843"/>
      <c r="OSB46" s="2843"/>
      <c r="OSC46" s="2844"/>
      <c r="OSD46" s="2845"/>
      <c r="OSE46" s="2842"/>
      <c r="OSF46" s="2842"/>
      <c r="OSG46" s="2843"/>
      <c r="OSH46" s="2843"/>
      <c r="OSI46" s="2844"/>
      <c r="OSJ46" s="2845"/>
      <c r="OSK46" s="2842"/>
      <c r="OSL46" s="2842"/>
      <c r="OSM46" s="2843"/>
      <c r="OSN46" s="2843"/>
      <c r="OSO46" s="2844"/>
      <c r="OSP46" s="2845"/>
      <c r="OSQ46" s="2842"/>
      <c r="OSR46" s="2842"/>
      <c r="OSS46" s="2843"/>
      <c r="OST46" s="2843"/>
      <c r="OSU46" s="2844"/>
      <c r="OSV46" s="2845"/>
      <c r="OSW46" s="2842"/>
      <c r="OSX46" s="2842"/>
      <c r="OSY46" s="2843"/>
      <c r="OSZ46" s="2843"/>
      <c r="OTA46" s="2844"/>
      <c r="OTB46" s="2845"/>
      <c r="OTC46" s="2842"/>
      <c r="OTD46" s="2842"/>
      <c r="OTE46" s="2843"/>
      <c r="OTF46" s="2843"/>
      <c r="OTG46" s="2844"/>
      <c r="OTH46" s="2845"/>
      <c r="OTI46" s="2842"/>
      <c r="OTJ46" s="2842"/>
      <c r="OTK46" s="2843"/>
      <c r="OTL46" s="2843"/>
      <c r="OTM46" s="2844"/>
      <c r="OTN46" s="2845"/>
      <c r="OTO46" s="2842"/>
      <c r="OTP46" s="2842"/>
      <c r="OTQ46" s="2843"/>
      <c r="OTR46" s="2843"/>
      <c r="OTS46" s="2844"/>
      <c r="OTT46" s="2845"/>
      <c r="OTU46" s="2842"/>
      <c r="OTV46" s="2842"/>
      <c r="OTW46" s="2843"/>
      <c r="OTX46" s="2843"/>
      <c r="OTY46" s="2844"/>
      <c r="OTZ46" s="2845"/>
      <c r="OUA46" s="2842"/>
      <c r="OUB46" s="2842"/>
      <c r="OUC46" s="2843"/>
      <c r="OUD46" s="2843"/>
      <c r="OUE46" s="2844"/>
      <c r="OUF46" s="2845"/>
      <c r="OUG46" s="2842"/>
      <c r="OUH46" s="2842"/>
      <c r="OUI46" s="2843"/>
      <c r="OUJ46" s="2843"/>
      <c r="OUK46" s="2844"/>
      <c r="OUL46" s="2845"/>
      <c r="OUM46" s="2842"/>
      <c r="OUN46" s="2842"/>
      <c r="OUO46" s="2843"/>
      <c r="OUP46" s="2843"/>
      <c r="OUQ46" s="2844"/>
      <c r="OUR46" s="2845"/>
      <c r="OUS46" s="2842"/>
      <c r="OUT46" s="2842"/>
      <c r="OUU46" s="2843"/>
      <c r="OUV46" s="2843"/>
      <c r="OUW46" s="2844"/>
      <c r="OUX46" s="2845"/>
      <c r="OUY46" s="2842"/>
      <c r="OUZ46" s="2842"/>
      <c r="OVA46" s="2843"/>
      <c r="OVB46" s="2843"/>
      <c r="OVC46" s="2844"/>
      <c r="OVD46" s="2845"/>
      <c r="OVE46" s="2842"/>
      <c r="OVF46" s="2842"/>
      <c r="OVG46" s="2843"/>
      <c r="OVH46" s="2843"/>
      <c r="OVI46" s="2844"/>
      <c r="OVJ46" s="2845"/>
      <c r="OVK46" s="2842"/>
      <c r="OVL46" s="2842"/>
      <c r="OVM46" s="2843"/>
      <c r="OVN46" s="2843"/>
      <c r="OVO46" s="2844"/>
      <c r="OVP46" s="2845"/>
      <c r="OVQ46" s="2842"/>
      <c r="OVR46" s="2842"/>
      <c r="OVS46" s="2843"/>
      <c r="OVT46" s="2843"/>
      <c r="OVU46" s="2844"/>
      <c r="OVV46" s="2845"/>
      <c r="OVW46" s="2842"/>
      <c r="OVX46" s="2842"/>
      <c r="OVY46" s="2843"/>
      <c r="OVZ46" s="2843"/>
      <c r="OWA46" s="2844"/>
      <c r="OWB46" s="2845"/>
      <c r="OWC46" s="2842"/>
      <c r="OWD46" s="2842"/>
      <c r="OWE46" s="2843"/>
      <c r="OWF46" s="2843"/>
      <c r="OWG46" s="2844"/>
      <c r="OWH46" s="2845"/>
      <c r="OWI46" s="2842"/>
      <c r="OWJ46" s="2842"/>
      <c r="OWK46" s="2843"/>
      <c r="OWL46" s="2843"/>
      <c r="OWM46" s="2844"/>
      <c r="OWN46" s="2845"/>
      <c r="OWO46" s="2842"/>
      <c r="OWP46" s="2842"/>
      <c r="OWQ46" s="2843"/>
      <c r="OWR46" s="2843"/>
      <c r="OWS46" s="2844"/>
      <c r="OWT46" s="2845"/>
      <c r="OWU46" s="2842"/>
      <c r="OWV46" s="2842"/>
      <c r="OWW46" s="2843"/>
      <c r="OWX46" s="2843"/>
      <c r="OWY46" s="2844"/>
      <c r="OWZ46" s="2845"/>
      <c r="OXA46" s="2842"/>
      <c r="OXB46" s="2842"/>
      <c r="OXC46" s="2843"/>
      <c r="OXD46" s="2843"/>
      <c r="OXE46" s="2844"/>
      <c r="OXF46" s="2845"/>
      <c r="OXG46" s="2842"/>
      <c r="OXH46" s="2842"/>
      <c r="OXI46" s="2843"/>
      <c r="OXJ46" s="2843"/>
      <c r="OXK46" s="2844"/>
      <c r="OXL46" s="2845"/>
      <c r="OXM46" s="2842"/>
      <c r="OXN46" s="2842"/>
      <c r="OXO46" s="2843"/>
      <c r="OXP46" s="2843"/>
      <c r="OXQ46" s="2844"/>
      <c r="OXR46" s="2845"/>
      <c r="OXS46" s="2842"/>
      <c r="OXT46" s="2842"/>
      <c r="OXU46" s="2843"/>
      <c r="OXV46" s="2843"/>
      <c r="OXW46" s="2844"/>
      <c r="OXX46" s="2845"/>
      <c r="OXY46" s="2842"/>
      <c r="OXZ46" s="2842"/>
      <c r="OYA46" s="2843"/>
      <c r="OYB46" s="2843"/>
      <c r="OYC46" s="2844"/>
      <c r="OYD46" s="2845"/>
      <c r="OYE46" s="2842"/>
      <c r="OYF46" s="2842"/>
      <c r="OYG46" s="2843"/>
      <c r="OYH46" s="2843"/>
      <c r="OYI46" s="2844"/>
      <c r="OYJ46" s="2845"/>
      <c r="OYK46" s="2842"/>
      <c r="OYL46" s="2842"/>
      <c r="OYM46" s="2843"/>
      <c r="OYN46" s="2843"/>
      <c r="OYO46" s="2844"/>
      <c r="OYP46" s="2845"/>
      <c r="OYQ46" s="2842"/>
      <c r="OYR46" s="2842"/>
      <c r="OYS46" s="2843"/>
      <c r="OYT46" s="2843"/>
      <c r="OYU46" s="2844"/>
      <c r="OYV46" s="2845"/>
      <c r="OYW46" s="2842"/>
      <c r="OYX46" s="2842"/>
      <c r="OYY46" s="2843"/>
      <c r="OYZ46" s="2843"/>
      <c r="OZA46" s="2844"/>
      <c r="OZB46" s="2845"/>
      <c r="OZC46" s="2842"/>
      <c r="OZD46" s="2842"/>
      <c r="OZE46" s="2843"/>
      <c r="OZF46" s="2843"/>
      <c r="OZG46" s="2844"/>
      <c r="OZH46" s="2845"/>
      <c r="OZI46" s="2842"/>
      <c r="OZJ46" s="2842"/>
      <c r="OZK46" s="2843"/>
      <c r="OZL46" s="2843"/>
      <c r="OZM46" s="2844"/>
      <c r="OZN46" s="2845"/>
      <c r="OZO46" s="2842"/>
      <c r="OZP46" s="2842"/>
      <c r="OZQ46" s="2843"/>
      <c r="OZR46" s="2843"/>
      <c r="OZS46" s="2844"/>
      <c r="OZT46" s="2845"/>
      <c r="OZU46" s="2842"/>
      <c r="OZV46" s="2842"/>
      <c r="OZW46" s="2843"/>
      <c r="OZX46" s="2843"/>
      <c r="OZY46" s="2844"/>
      <c r="OZZ46" s="2845"/>
      <c r="PAA46" s="2842"/>
      <c r="PAB46" s="2842"/>
      <c r="PAC46" s="2843"/>
      <c r="PAD46" s="2843"/>
      <c r="PAE46" s="2844"/>
      <c r="PAF46" s="2845"/>
      <c r="PAG46" s="2842"/>
      <c r="PAH46" s="2842"/>
      <c r="PAI46" s="2843"/>
      <c r="PAJ46" s="2843"/>
      <c r="PAK46" s="2844"/>
      <c r="PAL46" s="2845"/>
      <c r="PAM46" s="2842"/>
      <c r="PAN46" s="2842"/>
      <c r="PAO46" s="2843"/>
      <c r="PAP46" s="2843"/>
      <c r="PAQ46" s="2844"/>
      <c r="PAR46" s="2845"/>
      <c r="PAS46" s="2842"/>
      <c r="PAT46" s="2842"/>
      <c r="PAU46" s="2843"/>
      <c r="PAV46" s="2843"/>
      <c r="PAW46" s="2844"/>
      <c r="PAX46" s="2845"/>
      <c r="PAY46" s="2842"/>
      <c r="PAZ46" s="2842"/>
      <c r="PBA46" s="2843"/>
      <c r="PBB46" s="2843"/>
      <c r="PBC46" s="2844"/>
      <c r="PBD46" s="2845"/>
      <c r="PBE46" s="2842"/>
      <c r="PBF46" s="2842"/>
      <c r="PBG46" s="2843"/>
      <c r="PBH46" s="2843"/>
      <c r="PBI46" s="2844"/>
      <c r="PBJ46" s="2845"/>
      <c r="PBK46" s="2842"/>
      <c r="PBL46" s="2842"/>
      <c r="PBM46" s="2843"/>
      <c r="PBN46" s="2843"/>
      <c r="PBO46" s="2844"/>
      <c r="PBP46" s="2845"/>
      <c r="PBQ46" s="2842"/>
      <c r="PBR46" s="2842"/>
      <c r="PBS46" s="2843"/>
      <c r="PBT46" s="2843"/>
      <c r="PBU46" s="2844"/>
      <c r="PBV46" s="2845"/>
      <c r="PBW46" s="2842"/>
      <c r="PBX46" s="2842"/>
      <c r="PBY46" s="2843"/>
      <c r="PBZ46" s="2843"/>
      <c r="PCA46" s="2844"/>
      <c r="PCB46" s="2845"/>
      <c r="PCC46" s="2842"/>
      <c r="PCD46" s="2842"/>
      <c r="PCE46" s="2843"/>
      <c r="PCF46" s="2843"/>
      <c r="PCG46" s="2844"/>
      <c r="PCH46" s="2845"/>
      <c r="PCI46" s="2842"/>
      <c r="PCJ46" s="2842"/>
      <c r="PCK46" s="2843"/>
      <c r="PCL46" s="2843"/>
      <c r="PCM46" s="2844"/>
      <c r="PCN46" s="2845"/>
      <c r="PCO46" s="2842"/>
      <c r="PCP46" s="2842"/>
      <c r="PCQ46" s="2843"/>
      <c r="PCR46" s="2843"/>
      <c r="PCS46" s="2844"/>
      <c r="PCT46" s="2845"/>
      <c r="PCU46" s="2842"/>
      <c r="PCV46" s="2842"/>
      <c r="PCW46" s="2843"/>
      <c r="PCX46" s="2843"/>
      <c r="PCY46" s="2844"/>
      <c r="PCZ46" s="2845"/>
      <c r="PDA46" s="2842"/>
      <c r="PDB46" s="2842"/>
      <c r="PDC46" s="2843"/>
      <c r="PDD46" s="2843"/>
      <c r="PDE46" s="2844"/>
      <c r="PDF46" s="2845"/>
      <c r="PDG46" s="2842"/>
      <c r="PDH46" s="2842"/>
      <c r="PDI46" s="2843"/>
      <c r="PDJ46" s="2843"/>
      <c r="PDK46" s="2844"/>
      <c r="PDL46" s="2845"/>
      <c r="PDM46" s="2842"/>
      <c r="PDN46" s="2842"/>
      <c r="PDO46" s="2843"/>
      <c r="PDP46" s="2843"/>
      <c r="PDQ46" s="2844"/>
      <c r="PDR46" s="2845"/>
      <c r="PDS46" s="2842"/>
      <c r="PDT46" s="2842"/>
      <c r="PDU46" s="2843"/>
      <c r="PDV46" s="2843"/>
      <c r="PDW46" s="2844"/>
      <c r="PDX46" s="2845"/>
      <c r="PDY46" s="2842"/>
      <c r="PDZ46" s="2842"/>
      <c r="PEA46" s="2843"/>
      <c r="PEB46" s="2843"/>
      <c r="PEC46" s="2844"/>
      <c r="PED46" s="2845"/>
      <c r="PEE46" s="2842"/>
      <c r="PEF46" s="2842"/>
      <c r="PEG46" s="2843"/>
      <c r="PEH46" s="2843"/>
      <c r="PEI46" s="2844"/>
      <c r="PEJ46" s="2845"/>
      <c r="PEK46" s="2842"/>
      <c r="PEL46" s="2842"/>
      <c r="PEM46" s="2843"/>
      <c r="PEN46" s="2843"/>
      <c r="PEO46" s="2844"/>
      <c r="PEP46" s="2845"/>
      <c r="PEQ46" s="2842"/>
      <c r="PER46" s="2842"/>
      <c r="PES46" s="2843"/>
      <c r="PET46" s="2843"/>
      <c r="PEU46" s="2844"/>
      <c r="PEV46" s="2845"/>
      <c r="PEW46" s="2842"/>
      <c r="PEX46" s="2842"/>
      <c r="PEY46" s="2843"/>
      <c r="PEZ46" s="2843"/>
      <c r="PFA46" s="2844"/>
      <c r="PFB46" s="2845"/>
      <c r="PFC46" s="2842"/>
      <c r="PFD46" s="2842"/>
      <c r="PFE46" s="2843"/>
      <c r="PFF46" s="2843"/>
      <c r="PFG46" s="2844"/>
      <c r="PFH46" s="2845"/>
      <c r="PFI46" s="2842"/>
      <c r="PFJ46" s="2842"/>
      <c r="PFK46" s="2843"/>
      <c r="PFL46" s="2843"/>
      <c r="PFM46" s="2844"/>
      <c r="PFN46" s="2845"/>
      <c r="PFO46" s="2842"/>
      <c r="PFP46" s="2842"/>
      <c r="PFQ46" s="2843"/>
      <c r="PFR46" s="2843"/>
      <c r="PFS46" s="2844"/>
      <c r="PFT46" s="2845"/>
      <c r="PFU46" s="2842"/>
      <c r="PFV46" s="2842"/>
      <c r="PFW46" s="2843"/>
      <c r="PFX46" s="2843"/>
      <c r="PFY46" s="2844"/>
      <c r="PFZ46" s="2845"/>
      <c r="PGA46" s="2842"/>
      <c r="PGB46" s="2842"/>
      <c r="PGC46" s="2843"/>
      <c r="PGD46" s="2843"/>
      <c r="PGE46" s="2844"/>
      <c r="PGF46" s="2845"/>
      <c r="PGG46" s="2842"/>
      <c r="PGH46" s="2842"/>
      <c r="PGI46" s="2843"/>
      <c r="PGJ46" s="2843"/>
      <c r="PGK46" s="2844"/>
      <c r="PGL46" s="2845"/>
      <c r="PGM46" s="2842"/>
      <c r="PGN46" s="2842"/>
      <c r="PGO46" s="2843"/>
      <c r="PGP46" s="2843"/>
      <c r="PGQ46" s="2844"/>
      <c r="PGR46" s="2845"/>
      <c r="PGS46" s="2842"/>
      <c r="PGT46" s="2842"/>
      <c r="PGU46" s="2843"/>
      <c r="PGV46" s="2843"/>
      <c r="PGW46" s="2844"/>
      <c r="PGX46" s="2845"/>
      <c r="PGY46" s="2842"/>
      <c r="PGZ46" s="2842"/>
      <c r="PHA46" s="2843"/>
      <c r="PHB46" s="2843"/>
      <c r="PHC46" s="2844"/>
      <c r="PHD46" s="2845"/>
      <c r="PHE46" s="2842"/>
      <c r="PHF46" s="2842"/>
      <c r="PHG46" s="2843"/>
      <c r="PHH46" s="2843"/>
      <c r="PHI46" s="2844"/>
      <c r="PHJ46" s="2845"/>
      <c r="PHK46" s="2842"/>
      <c r="PHL46" s="2842"/>
      <c r="PHM46" s="2843"/>
      <c r="PHN46" s="2843"/>
      <c r="PHO46" s="2844"/>
      <c r="PHP46" s="2845"/>
      <c r="PHQ46" s="2842"/>
      <c r="PHR46" s="2842"/>
      <c r="PHS46" s="2843"/>
      <c r="PHT46" s="2843"/>
      <c r="PHU46" s="2844"/>
      <c r="PHV46" s="2845"/>
      <c r="PHW46" s="2842"/>
      <c r="PHX46" s="2842"/>
      <c r="PHY46" s="2843"/>
      <c r="PHZ46" s="2843"/>
      <c r="PIA46" s="2844"/>
      <c r="PIB46" s="2845"/>
      <c r="PIC46" s="2842"/>
      <c r="PID46" s="2842"/>
      <c r="PIE46" s="2843"/>
      <c r="PIF46" s="2843"/>
      <c r="PIG46" s="2844"/>
      <c r="PIH46" s="2845"/>
      <c r="PII46" s="2842"/>
      <c r="PIJ46" s="2842"/>
      <c r="PIK46" s="2843"/>
      <c r="PIL46" s="2843"/>
      <c r="PIM46" s="2844"/>
      <c r="PIN46" s="2845"/>
      <c r="PIO46" s="2842"/>
      <c r="PIP46" s="2842"/>
      <c r="PIQ46" s="2843"/>
      <c r="PIR46" s="2843"/>
      <c r="PIS46" s="2844"/>
      <c r="PIT46" s="2845"/>
      <c r="PIU46" s="2842"/>
      <c r="PIV46" s="2842"/>
      <c r="PIW46" s="2843"/>
      <c r="PIX46" s="2843"/>
      <c r="PIY46" s="2844"/>
      <c r="PIZ46" s="2845"/>
      <c r="PJA46" s="2842"/>
      <c r="PJB46" s="2842"/>
      <c r="PJC46" s="2843"/>
      <c r="PJD46" s="2843"/>
      <c r="PJE46" s="2844"/>
      <c r="PJF46" s="2845"/>
      <c r="PJG46" s="2842"/>
      <c r="PJH46" s="2842"/>
      <c r="PJI46" s="2843"/>
      <c r="PJJ46" s="2843"/>
      <c r="PJK46" s="2844"/>
      <c r="PJL46" s="2845"/>
      <c r="PJM46" s="2842"/>
      <c r="PJN46" s="2842"/>
      <c r="PJO46" s="2843"/>
      <c r="PJP46" s="2843"/>
      <c r="PJQ46" s="2844"/>
      <c r="PJR46" s="2845"/>
      <c r="PJS46" s="2842"/>
      <c r="PJT46" s="2842"/>
      <c r="PJU46" s="2843"/>
      <c r="PJV46" s="2843"/>
      <c r="PJW46" s="2844"/>
      <c r="PJX46" s="2845"/>
      <c r="PJY46" s="2842"/>
      <c r="PJZ46" s="2842"/>
      <c r="PKA46" s="2843"/>
      <c r="PKB46" s="2843"/>
      <c r="PKC46" s="2844"/>
      <c r="PKD46" s="2845"/>
      <c r="PKE46" s="2842"/>
      <c r="PKF46" s="2842"/>
      <c r="PKG46" s="2843"/>
      <c r="PKH46" s="2843"/>
      <c r="PKI46" s="2844"/>
      <c r="PKJ46" s="2845"/>
      <c r="PKK46" s="2842"/>
      <c r="PKL46" s="2842"/>
      <c r="PKM46" s="2843"/>
      <c r="PKN46" s="2843"/>
      <c r="PKO46" s="2844"/>
      <c r="PKP46" s="2845"/>
      <c r="PKQ46" s="2842"/>
      <c r="PKR46" s="2842"/>
      <c r="PKS46" s="2843"/>
      <c r="PKT46" s="2843"/>
      <c r="PKU46" s="2844"/>
      <c r="PKV46" s="2845"/>
      <c r="PKW46" s="2842"/>
      <c r="PKX46" s="2842"/>
      <c r="PKY46" s="2843"/>
      <c r="PKZ46" s="2843"/>
      <c r="PLA46" s="2844"/>
      <c r="PLB46" s="2845"/>
      <c r="PLC46" s="2842"/>
      <c r="PLD46" s="2842"/>
      <c r="PLE46" s="2843"/>
      <c r="PLF46" s="2843"/>
      <c r="PLG46" s="2844"/>
      <c r="PLH46" s="2845"/>
      <c r="PLI46" s="2842"/>
      <c r="PLJ46" s="2842"/>
      <c r="PLK46" s="2843"/>
      <c r="PLL46" s="2843"/>
      <c r="PLM46" s="2844"/>
      <c r="PLN46" s="2845"/>
      <c r="PLO46" s="2842"/>
      <c r="PLP46" s="2842"/>
      <c r="PLQ46" s="2843"/>
      <c r="PLR46" s="2843"/>
      <c r="PLS46" s="2844"/>
      <c r="PLT46" s="2845"/>
      <c r="PLU46" s="2842"/>
      <c r="PLV46" s="2842"/>
      <c r="PLW46" s="2843"/>
      <c r="PLX46" s="2843"/>
      <c r="PLY46" s="2844"/>
      <c r="PLZ46" s="2845"/>
      <c r="PMA46" s="2842"/>
      <c r="PMB46" s="2842"/>
      <c r="PMC46" s="2843"/>
      <c r="PMD46" s="2843"/>
      <c r="PME46" s="2844"/>
      <c r="PMF46" s="2845"/>
      <c r="PMG46" s="2842"/>
      <c r="PMH46" s="2842"/>
      <c r="PMI46" s="2843"/>
      <c r="PMJ46" s="2843"/>
      <c r="PMK46" s="2844"/>
      <c r="PML46" s="2845"/>
      <c r="PMM46" s="2842"/>
      <c r="PMN46" s="2842"/>
      <c r="PMO46" s="2843"/>
      <c r="PMP46" s="2843"/>
      <c r="PMQ46" s="2844"/>
      <c r="PMR46" s="2845"/>
      <c r="PMS46" s="2842"/>
      <c r="PMT46" s="2842"/>
      <c r="PMU46" s="2843"/>
      <c r="PMV46" s="2843"/>
      <c r="PMW46" s="2844"/>
      <c r="PMX46" s="2845"/>
      <c r="PMY46" s="2842"/>
      <c r="PMZ46" s="2842"/>
      <c r="PNA46" s="2843"/>
      <c r="PNB46" s="2843"/>
      <c r="PNC46" s="2844"/>
      <c r="PND46" s="2845"/>
      <c r="PNE46" s="2842"/>
      <c r="PNF46" s="2842"/>
      <c r="PNG46" s="2843"/>
      <c r="PNH46" s="2843"/>
      <c r="PNI46" s="2844"/>
      <c r="PNJ46" s="2845"/>
      <c r="PNK46" s="2842"/>
      <c r="PNL46" s="2842"/>
      <c r="PNM46" s="2843"/>
      <c r="PNN46" s="2843"/>
      <c r="PNO46" s="2844"/>
      <c r="PNP46" s="2845"/>
      <c r="PNQ46" s="2842"/>
      <c r="PNR46" s="2842"/>
      <c r="PNS46" s="2843"/>
      <c r="PNT46" s="2843"/>
      <c r="PNU46" s="2844"/>
      <c r="PNV46" s="2845"/>
      <c r="PNW46" s="2842"/>
      <c r="PNX46" s="2842"/>
      <c r="PNY46" s="2843"/>
      <c r="PNZ46" s="2843"/>
      <c r="POA46" s="2844"/>
      <c r="POB46" s="2845"/>
      <c r="POC46" s="2842"/>
      <c r="POD46" s="2842"/>
      <c r="POE46" s="2843"/>
      <c r="POF46" s="2843"/>
      <c r="POG46" s="2844"/>
      <c r="POH46" s="2845"/>
      <c r="POI46" s="2842"/>
      <c r="POJ46" s="2842"/>
      <c r="POK46" s="2843"/>
      <c r="POL46" s="2843"/>
      <c r="POM46" s="2844"/>
      <c r="PON46" s="2845"/>
      <c r="POO46" s="2842"/>
      <c r="POP46" s="2842"/>
      <c r="POQ46" s="2843"/>
      <c r="POR46" s="2843"/>
      <c r="POS46" s="2844"/>
      <c r="POT46" s="2845"/>
      <c r="POU46" s="2842"/>
      <c r="POV46" s="2842"/>
      <c r="POW46" s="2843"/>
      <c r="POX46" s="2843"/>
      <c r="POY46" s="2844"/>
      <c r="POZ46" s="2845"/>
      <c r="PPA46" s="2842"/>
      <c r="PPB46" s="2842"/>
      <c r="PPC46" s="2843"/>
      <c r="PPD46" s="2843"/>
      <c r="PPE46" s="2844"/>
      <c r="PPF46" s="2845"/>
      <c r="PPG46" s="2842"/>
      <c r="PPH46" s="2842"/>
      <c r="PPI46" s="2843"/>
      <c r="PPJ46" s="2843"/>
      <c r="PPK46" s="2844"/>
      <c r="PPL46" s="2845"/>
      <c r="PPM46" s="2842"/>
      <c r="PPN46" s="2842"/>
      <c r="PPO46" s="2843"/>
      <c r="PPP46" s="2843"/>
      <c r="PPQ46" s="2844"/>
      <c r="PPR46" s="2845"/>
      <c r="PPS46" s="2842"/>
      <c r="PPT46" s="2842"/>
      <c r="PPU46" s="2843"/>
      <c r="PPV46" s="2843"/>
      <c r="PPW46" s="2844"/>
      <c r="PPX46" s="2845"/>
      <c r="PPY46" s="2842"/>
      <c r="PPZ46" s="2842"/>
      <c r="PQA46" s="2843"/>
      <c r="PQB46" s="2843"/>
      <c r="PQC46" s="2844"/>
      <c r="PQD46" s="2845"/>
      <c r="PQE46" s="2842"/>
      <c r="PQF46" s="2842"/>
      <c r="PQG46" s="2843"/>
      <c r="PQH46" s="2843"/>
      <c r="PQI46" s="2844"/>
      <c r="PQJ46" s="2845"/>
      <c r="PQK46" s="2842"/>
      <c r="PQL46" s="2842"/>
      <c r="PQM46" s="2843"/>
      <c r="PQN46" s="2843"/>
      <c r="PQO46" s="2844"/>
      <c r="PQP46" s="2845"/>
      <c r="PQQ46" s="2842"/>
      <c r="PQR46" s="2842"/>
      <c r="PQS46" s="2843"/>
      <c r="PQT46" s="2843"/>
      <c r="PQU46" s="2844"/>
      <c r="PQV46" s="2845"/>
      <c r="PQW46" s="2842"/>
      <c r="PQX46" s="2842"/>
      <c r="PQY46" s="2843"/>
      <c r="PQZ46" s="2843"/>
      <c r="PRA46" s="2844"/>
      <c r="PRB46" s="2845"/>
      <c r="PRC46" s="2842"/>
      <c r="PRD46" s="2842"/>
      <c r="PRE46" s="2843"/>
      <c r="PRF46" s="2843"/>
      <c r="PRG46" s="2844"/>
      <c r="PRH46" s="2845"/>
      <c r="PRI46" s="2842"/>
      <c r="PRJ46" s="2842"/>
      <c r="PRK46" s="2843"/>
      <c r="PRL46" s="2843"/>
      <c r="PRM46" s="2844"/>
      <c r="PRN46" s="2845"/>
      <c r="PRO46" s="2842"/>
      <c r="PRP46" s="2842"/>
      <c r="PRQ46" s="2843"/>
      <c r="PRR46" s="2843"/>
      <c r="PRS46" s="2844"/>
      <c r="PRT46" s="2845"/>
      <c r="PRU46" s="2842"/>
      <c r="PRV46" s="2842"/>
      <c r="PRW46" s="2843"/>
      <c r="PRX46" s="2843"/>
      <c r="PRY46" s="2844"/>
      <c r="PRZ46" s="2845"/>
      <c r="PSA46" s="2842"/>
      <c r="PSB46" s="2842"/>
      <c r="PSC46" s="2843"/>
      <c r="PSD46" s="2843"/>
      <c r="PSE46" s="2844"/>
      <c r="PSF46" s="2845"/>
      <c r="PSG46" s="2842"/>
      <c r="PSH46" s="2842"/>
      <c r="PSI46" s="2843"/>
      <c r="PSJ46" s="2843"/>
      <c r="PSK46" s="2844"/>
      <c r="PSL46" s="2845"/>
      <c r="PSM46" s="2842"/>
      <c r="PSN46" s="2842"/>
      <c r="PSO46" s="2843"/>
      <c r="PSP46" s="2843"/>
      <c r="PSQ46" s="2844"/>
      <c r="PSR46" s="2845"/>
      <c r="PSS46" s="2842"/>
      <c r="PST46" s="2842"/>
      <c r="PSU46" s="2843"/>
      <c r="PSV46" s="2843"/>
      <c r="PSW46" s="2844"/>
      <c r="PSX46" s="2845"/>
      <c r="PSY46" s="2842"/>
      <c r="PSZ46" s="2842"/>
      <c r="PTA46" s="2843"/>
      <c r="PTB46" s="2843"/>
      <c r="PTC46" s="2844"/>
      <c r="PTD46" s="2845"/>
      <c r="PTE46" s="2842"/>
      <c r="PTF46" s="2842"/>
      <c r="PTG46" s="2843"/>
      <c r="PTH46" s="2843"/>
      <c r="PTI46" s="2844"/>
      <c r="PTJ46" s="2845"/>
      <c r="PTK46" s="2842"/>
      <c r="PTL46" s="2842"/>
      <c r="PTM46" s="2843"/>
      <c r="PTN46" s="2843"/>
      <c r="PTO46" s="2844"/>
      <c r="PTP46" s="2845"/>
      <c r="PTQ46" s="2842"/>
      <c r="PTR46" s="2842"/>
      <c r="PTS46" s="2843"/>
      <c r="PTT46" s="2843"/>
      <c r="PTU46" s="2844"/>
      <c r="PTV46" s="2845"/>
      <c r="PTW46" s="2842"/>
      <c r="PTX46" s="2842"/>
      <c r="PTY46" s="2843"/>
      <c r="PTZ46" s="2843"/>
      <c r="PUA46" s="2844"/>
      <c r="PUB46" s="2845"/>
      <c r="PUC46" s="2842"/>
      <c r="PUD46" s="2842"/>
      <c r="PUE46" s="2843"/>
      <c r="PUF46" s="2843"/>
      <c r="PUG46" s="2844"/>
      <c r="PUH46" s="2845"/>
      <c r="PUI46" s="2842"/>
      <c r="PUJ46" s="2842"/>
      <c r="PUK46" s="2843"/>
      <c r="PUL46" s="2843"/>
      <c r="PUM46" s="2844"/>
      <c r="PUN46" s="2845"/>
      <c r="PUO46" s="2842"/>
      <c r="PUP46" s="2842"/>
      <c r="PUQ46" s="2843"/>
      <c r="PUR46" s="2843"/>
      <c r="PUS46" s="2844"/>
      <c r="PUT46" s="2845"/>
      <c r="PUU46" s="2842"/>
      <c r="PUV46" s="2842"/>
      <c r="PUW46" s="2843"/>
      <c r="PUX46" s="2843"/>
      <c r="PUY46" s="2844"/>
      <c r="PUZ46" s="2845"/>
      <c r="PVA46" s="2842"/>
      <c r="PVB46" s="2842"/>
      <c r="PVC46" s="2843"/>
      <c r="PVD46" s="2843"/>
      <c r="PVE46" s="2844"/>
      <c r="PVF46" s="2845"/>
      <c r="PVG46" s="2842"/>
      <c r="PVH46" s="2842"/>
      <c r="PVI46" s="2843"/>
      <c r="PVJ46" s="2843"/>
      <c r="PVK46" s="2844"/>
      <c r="PVL46" s="2845"/>
      <c r="PVM46" s="2842"/>
      <c r="PVN46" s="2842"/>
      <c r="PVO46" s="2843"/>
      <c r="PVP46" s="2843"/>
      <c r="PVQ46" s="2844"/>
      <c r="PVR46" s="2845"/>
      <c r="PVS46" s="2842"/>
      <c r="PVT46" s="2842"/>
      <c r="PVU46" s="2843"/>
      <c r="PVV46" s="2843"/>
      <c r="PVW46" s="2844"/>
      <c r="PVX46" s="2845"/>
      <c r="PVY46" s="2842"/>
      <c r="PVZ46" s="2842"/>
      <c r="PWA46" s="2843"/>
      <c r="PWB46" s="2843"/>
      <c r="PWC46" s="2844"/>
      <c r="PWD46" s="2845"/>
      <c r="PWE46" s="2842"/>
      <c r="PWF46" s="2842"/>
      <c r="PWG46" s="2843"/>
      <c r="PWH46" s="2843"/>
      <c r="PWI46" s="2844"/>
      <c r="PWJ46" s="2845"/>
      <c r="PWK46" s="2842"/>
      <c r="PWL46" s="2842"/>
      <c r="PWM46" s="2843"/>
      <c r="PWN46" s="2843"/>
      <c r="PWO46" s="2844"/>
      <c r="PWP46" s="2845"/>
      <c r="PWQ46" s="2842"/>
      <c r="PWR46" s="2842"/>
      <c r="PWS46" s="2843"/>
      <c r="PWT46" s="2843"/>
      <c r="PWU46" s="2844"/>
      <c r="PWV46" s="2845"/>
      <c r="PWW46" s="2842"/>
      <c r="PWX46" s="2842"/>
      <c r="PWY46" s="2843"/>
      <c r="PWZ46" s="2843"/>
      <c r="PXA46" s="2844"/>
      <c r="PXB46" s="2845"/>
      <c r="PXC46" s="2842"/>
      <c r="PXD46" s="2842"/>
      <c r="PXE46" s="2843"/>
      <c r="PXF46" s="2843"/>
      <c r="PXG46" s="2844"/>
      <c r="PXH46" s="2845"/>
      <c r="PXI46" s="2842"/>
      <c r="PXJ46" s="2842"/>
      <c r="PXK46" s="2843"/>
      <c r="PXL46" s="2843"/>
      <c r="PXM46" s="2844"/>
      <c r="PXN46" s="2845"/>
      <c r="PXO46" s="2842"/>
      <c r="PXP46" s="2842"/>
      <c r="PXQ46" s="2843"/>
      <c r="PXR46" s="2843"/>
      <c r="PXS46" s="2844"/>
      <c r="PXT46" s="2845"/>
      <c r="PXU46" s="2842"/>
      <c r="PXV46" s="2842"/>
      <c r="PXW46" s="2843"/>
      <c r="PXX46" s="2843"/>
      <c r="PXY46" s="2844"/>
      <c r="PXZ46" s="2845"/>
      <c r="PYA46" s="2842"/>
      <c r="PYB46" s="2842"/>
      <c r="PYC46" s="2843"/>
      <c r="PYD46" s="2843"/>
      <c r="PYE46" s="2844"/>
      <c r="PYF46" s="2845"/>
      <c r="PYG46" s="2842"/>
      <c r="PYH46" s="2842"/>
      <c r="PYI46" s="2843"/>
      <c r="PYJ46" s="2843"/>
      <c r="PYK46" s="2844"/>
      <c r="PYL46" s="2845"/>
      <c r="PYM46" s="2842"/>
      <c r="PYN46" s="2842"/>
      <c r="PYO46" s="2843"/>
      <c r="PYP46" s="2843"/>
      <c r="PYQ46" s="2844"/>
      <c r="PYR46" s="2845"/>
      <c r="PYS46" s="2842"/>
      <c r="PYT46" s="2842"/>
      <c r="PYU46" s="2843"/>
      <c r="PYV46" s="2843"/>
      <c r="PYW46" s="2844"/>
      <c r="PYX46" s="2845"/>
      <c r="PYY46" s="2842"/>
      <c r="PYZ46" s="2842"/>
      <c r="PZA46" s="2843"/>
      <c r="PZB46" s="2843"/>
      <c r="PZC46" s="2844"/>
      <c r="PZD46" s="2845"/>
      <c r="PZE46" s="2842"/>
      <c r="PZF46" s="2842"/>
      <c r="PZG46" s="2843"/>
      <c r="PZH46" s="2843"/>
      <c r="PZI46" s="2844"/>
      <c r="PZJ46" s="2845"/>
      <c r="PZK46" s="2842"/>
      <c r="PZL46" s="2842"/>
      <c r="PZM46" s="2843"/>
      <c r="PZN46" s="2843"/>
      <c r="PZO46" s="2844"/>
      <c r="PZP46" s="2845"/>
      <c r="PZQ46" s="2842"/>
      <c r="PZR46" s="2842"/>
      <c r="PZS46" s="2843"/>
      <c r="PZT46" s="2843"/>
      <c r="PZU46" s="2844"/>
      <c r="PZV46" s="2845"/>
      <c r="PZW46" s="2842"/>
      <c r="PZX46" s="2842"/>
      <c r="PZY46" s="2843"/>
      <c r="PZZ46" s="2843"/>
      <c r="QAA46" s="2844"/>
      <c r="QAB46" s="2845"/>
      <c r="QAC46" s="2842"/>
      <c r="QAD46" s="2842"/>
      <c r="QAE46" s="2843"/>
      <c r="QAF46" s="2843"/>
      <c r="QAG46" s="2844"/>
      <c r="QAH46" s="2845"/>
      <c r="QAI46" s="2842"/>
      <c r="QAJ46" s="2842"/>
      <c r="QAK46" s="2843"/>
      <c r="QAL46" s="2843"/>
      <c r="QAM46" s="2844"/>
      <c r="QAN46" s="2845"/>
      <c r="QAO46" s="2842"/>
      <c r="QAP46" s="2842"/>
      <c r="QAQ46" s="2843"/>
      <c r="QAR46" s="2843"/>
      <c r="QAS46" s="2844"/>
      <c r="QAT46" s="2845"/>
      <c r="QAU46" s="2842"/>
      <c r="QAV46" s="2842"/>
      <c r="QAW46" s="2843"/>
      <c r="QAX46" s="2843"/>
      <c r="QAY46" s="2844"/>
      <c r="QAZ46" s="2845"/>
      <c r="QBA46" s="2842"/>
      <c r="QBB46" s="2842"/>
      <c r="QBC46" s="2843"/>
      <c r="QBD46" s="2843"/>
      <c r="QBE46" s="2844"/>
      <c r="QBF46" s="2845"/>
      <c r="QBG46" s="2842"/>
      <c r="QBH46" s="2842"/>
      <c r="QBI46" s="2843"/>
      <c r="QBJ46" s="2843"/>
      <c r="QBK46" s="2844"/>
      <c r="QBL46" s="2845"/>
      <c r="QBM46" s="2842"/>
      <c r="QBN46" s="2842"/>
      <c r="QBO46" s="2843"/>
      <c r="QBP46" s="2843"/>
      <c r="QBQ46" s="2844"/>
      <c r="QBR46" s="2845"/>
      <c r="QBS46" s="2842"/>
      <c r="QBT46" s="2842"/>
      <c r="QBU46" s="2843"/>
      <c r="QBV46" s="2843"/>
      <c r="QBW46" s="2844"/>
      <c r="QBX46" s="2845"/>
      <c r="QBY46" s="2842"/>
      <c r="QBZ46" s="2842"/>
      <c r="QCA46" s="2843"/>
      <c r="QCB46" s="2843"/>
      <c r="QCC46" s="2844"/>
      <c r="QCD46" s="2845"/>
      <c r="QCE46" s="2842"/>
      <c r="QCF46" s="2842"/>
      <c r="QCG46" s="2843"/>
      <c r="QCH46" s="2843"/>
      <c r="QCI46" s="2844"/>
      <c r="QCJ46" s="2845"/>
      <c r="QCK46" s="2842"/>
      <c r="QCL46" s="2842"/>
      <c r="QCM46" s="2843"/>
      <c r="QCN46" s="2843"/>
      <c r="QCO46" s="2844"/>
      <c r="QCP46" s="2845"/>
      <c r="QCQ46" s="2842"/>
      <c r="QCR46" s="2842"/>
      <c r="QCS46" s="2843"/>
      <c r="QCT46" s="2843"/>
      <c r="QCU46" s="2844"/>
      <c r="QCV46" s="2845"/>
      <c r="QCW46" s="2842"/>
      <c r="QCX46" s="2842"/>
      <c r="QCY46" s="2843"/>
      <c r="QCZ46" s="2843"/>
      <c r="QDA46" s="2844"/>
      <c r="QDB46" s="2845"/>
      <c r="QDC46" s="2842"/>
      <c r="QDD46" s="2842"/>
      <c r="QDE46" s="2843"/>
      <c r="QDF46" s="2843"/>
      <c r="QDG46" s="2844"/>
      <c r="QDH46" s="2845"/>
      <c r="QDI46" s="2842"/>
      <c r="QDJ46" s="2842"/>
      <c r="QDK46" s="2843"/>
      <c r="QDL46" s="2843"/>
      <c r="QDM46" s="2844"/>
      <c r="QDN46" s="2845"/>
      <c r="QDO46" s="2842"/>
      <c r="QDP46" s="2842"/>
      <c r="QDQ46" s="2843"/>
      <c r="QDR46" s="2843"/>
      <c r="QDS46" s="2844"/>
      <c r="QDT46" s="2845"/>
      <c r="QDU46" s="2842"/>
      <c r="QDV46" s="2842"/>
      <c r="QDW46" s="2843"/>
      <c r="QDX46" s="2843"/>
      <c r="QDY46" s="2844"/>
      <c r="QDZ46" s="2845"/>
      <c r="QEA46" s="2842"/>
      <c r="QEB46" s="2842"/>
      <c r="QEC46" s="2843"/>
      <c r="QED46" s="2843"/>
      <c r="QEE46" s="2844"/>
      <c r="QEF46" s="2845"/>
      <c r="QEG46" s="2842"/>
      <c r="QEH46" s="2842"/>
      <c r="QEI46" s="2843"/>
      <c r="QEJ46" s="2843"/>
      <c r="QEK46" s="2844"/>
      <c r="QEL46" s="2845"/>
      <c r="QEM46" s="2842"/>
      <c r="QEN46" s="2842"/>
      <c r="QEO46" s="2843"/>
      <c r="QEP46" s="2843"/>
      <c r="QEQ46" s="2844"/>
      <c r="QER46" s="2845"/>
      <c r="QES46" s="2842"/>
      <c r="QET46" s="2842"/>
      <c r="QEU46" s="2843"/>
      <c r="QEV46" s="2843"/>
      <c r="QEW46" s="2844"/>
      <c r="QEX46" s="2845"/>
      <c r="QEY46" s="2842"/>
      <c r="QEZ46" s="2842"/>
      <c r="QFA46" s="2843"/>
      <c r="QFB46" s="2843"/>
      <c r="QFC46" s="2844"/>
      <c r="QFD46" s="2845"/>
      <c r="QFE46" s="2842"/>
      <c r="QFF46" s="2842"/>
      <c r="QFG46" s="2843"/>
      <c r="QFH46" s="2843"/>
      <c r="QFI46" s="2844"/>
      <c r="QFJ46" s="2845"/>
      <c r="QFK46" s="2842"/>
      <c r="QFL46" s="2842"/>
      <c r="QFM46" s="2843"/>
      <c r="QFN46" s="2843"/>
      <c r="QFO46" s="2844"/>
      <c r="QFP46" s="2845"/>
      <c r="QFQ46" s="2842"/>
      <c r="QFR46" s="2842"/>
      <c r="QFS46" s="2843"/>
      <c r="QFT46" s="2843"/>
      <c r="QFU46" s="2844"/>
      <c r="QFV46" s="2845"/>
      <c r="QFW46" s="2842"/>
      <c r="QFX46" s="2842"/>
      <c r="QFY46" s="2843"/>
      <c r="QFZ46" s="2843"/>
      <c r="QGA46" s="2844"/>
      <c r="QGB46" s="2845"/>
      <c r="QGC46" s="2842"/>
      <c r="QGD46" s="2842"/>
      <c r="QGE46" s="2843"/>
      <c r="QGF46" s="2843"/>
      <c r="QGG46" s="2844"/>
      <c r="QGH46" s="2845"/>
      <c r="QGI46" s="2842"/>
      <c r="QGJ46" s="2842"/>
      <c r="QGK46" s="2843"/>
      <c r="QGL46" s="2843"/>
      <c r="QGM46" s="2844"/>
      <c r="QGN46" s="2845"/>
      <c r="QGO46" s="2842"/>
      <c r="QGP46" s="2842"/>
      <c r="QGQ46" s="2843"/>
      <c r="QGR46" s="2843"/>
      <c r="QGS46" s="2844"/>
      <c r="QGT46" s="2845"/>
      <c r="QGU46" s="2842"/>
      <c r="QGV46" s="2842"/>
      <c r="QGW46" s="2843"/>
      <c r="QGX46" s="2843"/>
      <c r="QGY46" s="2844"/>
      <c r="QGZ46" s="2845"/>
      <c r="QHA46" s="2842"/>
      <c r="QHB46" s="2842"/>
      <c r="QHC46" s="2843"/>
      <c r="QHD46" s="2843"/>
      <c r="QHE46" s="2844"/>
      <c r="QHF46" s="2845"/>
      <c r="QHG46" s="2842"/>
      <c r="QHH46" s="2842"/>
      <c r="QHI46" s="2843"/>
      <c r="QHJ46" s="2843"/>
      <c r="QHK46" s="2844"/>
      <c r="QHL46" s="2845"/>
      <c r="QHM46" s="2842"/>
      <c r="QHN46" s="2842"/>
      <c r="QHO46" s="2843"/>
      <c r="QHP46" s="2843"/>
      <c r="QHQ46" s="2844"/>
      <c r="QHR46" s="2845"/>
      <c r="QHS46" s="2842"/>
      <c r="QHT46" s="2842"/>
      <c r="QHU46" s="2843"/>
      <c r="QHV46" s="2843"/>
      <c r="QHW46" s="2844"/>
      <c r="QHX46" s="2845"/>
      <c r="QHY46" s="2842"/>
      <c r="QHZ46" s="2842"/>
      <c r="QIA46" s="2843"/>
      <c r="QIB46" s="2843"/>
      <c r="QIC46" s="2844"/>
      <c r="QID46" s="2845"/>
      <c r="QIE46" s="2842"/>
      <c r="QIF46" s="2842"/>
      <c r="QIG46" s="2843"/>
      <c r="QIH46" s="2843"/>
      <c r="QII46" s="2844"/>
      <c r="QIJ46" s="2845"/>
      <c r="QIK46" s="2842"/>
      <c r="QIL46" s="2842"/>
      <c r="QIM46" s="2843"/>
      <c r="QIN46" s="2843"/>
      <c r="QIO46" s="2844"/>
      <c r="QIP46" s="2845"/>
      <c r="QIQ46" s="2842"/>
      <c r="QIR46" s="2842"/>
      <c r="QIS46" s="2843"/>
      <c r="QIT46" s="2843"/>
      <c r="QIU46" s="2844"/>
      <c r="QIV46" s="2845"/>
      <c r="QIW46" s="2842"/>
      <c r="QIX46" s="2842"/>
      <c r="QIY46" s="2843"/>
      <c r="QIZ46" s="2843"/>
      <c r="QJA46" s="2844"/>
      <c r="QJB46" s="2845"/>
      <c r="QJC46" s="2842"/>
      <c r="QJD46" s="2842"/>
      <c r="QJE46" s="2843"/>
      <c r="QJF46" s="2843"/>
      <c r="QJG46" s="2844"/>
      <c r="QJH46" s="2845"/>
      <c r="QJI46" s="2842"/>
      <c r="QJJ46" s="2842"/>
      <c r="QJK46" s="2843"/>
      <c r="QJL46" s="2843"/>
      <c r="QJM46" s="2844"/>
      <c r="QJN46" s="2845"/>
      <c r="QJO46" s="2842"/>
      <c r="QJP46" s="2842"/>
      <c r="QJQ46" s="2843"/>
      <c r="QJR46" s="2843"/>
      <c r="QJS46" s="2844"/>
      <c r="QJT46" s="2845"/>
      <c r="QJU46" s="2842"/>
      <c r="QJV46" s="2842"/>
      <c r="QJW46" s="2843"/>
      <c r="QJX46" s="2843"/>
      <c r="QJY46" s="2844"/>
      <c r="QJZ46" s="2845"/>
      <c r="QKA46" s="2842"/>
      <c r="QKB46" s="2842"/>
      <c r="QKC46" s="2843"/>
      <c r="QKD46" s="2843"/>
      <c r="QKE46" s="2844"/>
      <c r="QKF46" s="2845"/>
      <c r="QKG46" s="2842"/>
      <c r="QKH46" s="2842"/>
      <c r="QKI46" s="2843"/>
      <c r="QKJ46" s="2843"/>
      <c r="QKK46" s="2844"/>
      <c r="QKL46" s="2845"/>
      <c r="QKM46" s="2842"/>
      <c r="QKN46" s="2842"/>
      <c r="QKO46" s="2843"/>
      <c r="QKP46" s="2843"/>
      <c r="QKQ46" s="2844"/>
      <c r="QKR46" s="2845"/>
      <c r="QKS46" s="2842"/>
      <c r="QKT46" s="2842"/>
      <c r="QKU46" s="2843"/>
      <c r="QKV46" s="2843"/>
      <c r="QKW46" s="2844"/>
      <c r="QKX46" s="2845"/>
      <c r="QKY46" s="2842"/>
      <c r="QKZ46" s="2842"/>
      <c r="QLA46" s="2843"/>
      <c r="QLB46" s="2843"/>
      <c r="QLC46" s="2844"/>
      <c r="QLD46" s="2845"/>
      <c r="QLE46" s="2842"/>
      <c r="QLF46" s="2842"/>
      <c r="QLG46" s="2843"/>
      <c r="QLH46" s="2843"/>
      <c r="QLI46" s="2844"/>
      <c r="QLJ46" s="2845"/>
      <c r="QLK46" s="2842"/>
      <c r="QLL46" s="2842"/>
      <c r="QLM46" s="2843"/>
      <c r="QLN46" s="2843"/>
      <c r="QLO46" s="2844"/>
      <c r="QLP46" s="2845"/>
      <c r="QLQ46" s="2842"/>
      <c r="QLR46" s="2842"/>
      <c r="QLS46" s="2843"/>
      <c r="QLT46" s="2843"/>
      <c r="QLU46" s="2844"/>
      <c r="QLV46" s="2845"/>
      <c r="QLW46" s="2842"/>
      <c r="QLX46" s="2842"/>
      <c r="QLY46" s="2843"/>
      <c r="QLZ46" s="2843"/>
      <c r="QMA46" s="2844"/>
      <c r="QMB46" s="2845"/>
      <c r="QMC46" s="2842"/>
      <c r="QMD46" s="2842"/>
      <c r="QME46" s="2843"/>
      <c r="QMF46" s="2843"/>
      <c r="QMG46" s="2844"/>
      <c r="QMH46" s="2845"/>
      <c r="QMI46" s="2842"/>
      <c r="QMJ46" s="2842"/>
      <c r="QMK46" s="2843"/>
      <c r="QML46" s="2843"/>
      <c r="QMM46" s="2844"/>
      <c r="QMN46" s="2845"/>
      <c r="QMO46" s="2842"/>
      <c r="QMP46" s="2842"/>
      <c r="QMQ46" s="2843"/>
      <c r="QMR46" s="2843"/>
      <c r="QMS46" s="2844"/>
      <c r="QMT46" s="2845"/>
      <c r="QMU46" s="2842"/>
      <c r="QMV46" s="2842"/>
      <c r="QMW46" s="2843"/>
      <c r="QMX46" s="2843"/>
      <c r="QMY46" s="2844"/>
      <c r="QMZ46" s="2845"/>
      <c r="QNA46" s="2842"/>
      <c r="QNB46" s="2842"/>
      <c r="QNC46" s="2843"/>
      <c r="QND46" s="2843"/>
      <c r="QNE46" s="2844"/>
      <c r="QNF46" s="2845"/>
      <c r="QNG46" s="2842"/>
      <c r="QNH46" s="2842"/>
      <c r="QNI46" s="2843"/>
      <c r="QNJ46" s="2843"/>
      <c r="QNK46" s="2844"/>
      <c r="QNL46" s="2845"/>
      <c r="QNM46" s="2842"/>
      <c r="QNN46" s="2842"/>
      <c r="QNO46" s="2843"/>
      <c r="QNP46" s="2843"/>
      <c r="QNQ46" s="2844"/>
      <c r="QNR46" s="2845"/>
      <c r="QNS46" s="2842"/>
      <c r="QNT46" s="2842"/>
      <c r="QNU46" s="2843"/>
      <c r="QNV46" s="2843"/>
      <c r="QNW46" s="2844"/>
      <c r="QNX46" s="2845"/>
      <c r="QNY46" s="2842"/>
      <c r="QNZ46" s="2842"/>
      <c r="QOA46" s="2843"/>
      <c r="QOB46" s="2843"/>
      <c r="QOC46" s="2844"/>
      <c r="QOD46" s="2845"/>
      <c r="QOE46" s="2842"/>
      <c r="QOF46" s="2842"/>
      <c r="QOG46" s="2843"/>
      <c r="QOH46" s="2843"/>
      <c r="QOI46" s="2844"/>
      <c r="QOJ46" s="2845"/>
      <c r="QOK46" s="2842"/>
      <c r="QOL46" s="2842"/>
      <c r="QOM46" s="2843"/>
      <c r="QON46" s="2843"/>
      <c r="QOO46" s="2844"/>
      <c r="QOP46" s="2845"/>
      <c r="QOQ46" s="2842"/>
      <c r="QOR46" s="2842"/>
      <c r="QOS46" s="2843"/>
      <c r="QOT46" s="2843"/>
      <c r="QOU46" s="2844"/>
      <c r="QOV46" s="2845"/>
      <c r="QOW46" s="2842"/>
      <c r="QOX46" s="2842"/>
      <c r="QOY46" s="2843"/>
      <c r="QOZ46" s="2843"/>
      <c r="QPA46" s="2844"/>
      <c r="QPB46" s="2845"/>
      <c r="QPC46" s="2842"/>
      <c r="QPD46" s="2842"/>
      <c r="QPE46" s="2843"/>
      <c r="QPF46" s="2843"/>
      <c r="QPG46" s="2844"/>
      <c r="QPH46" s="2845"/>
      <c r="QPI46" s="2842"/>
      <c r="QPJ46" s="2842"/>
      <c r="QPK46" s="2843"/>
      <c r="QPL46" s="2843"/>
      <c r="QPM46" s="2844"/>
      <c r="QPN46" s="2845"/>
      <c r="QPO46" s="2842"/>
      <c r="QPP46" s="2842"/>
      <c r="QPQ46" s="2843"/>
      <c r="QPR46" s="2843"/>
      <c r="QPS46" s="2844"/>
      <c r="QPT46" s="2845"/>
      <c r="QPU46" s="2842"/>
      <c r="QPV46" s="2842"/>
      <c r="QPW46" s="2843"/>
      <c r="QPX46" s="2843"/>
      <c r="QPY46" s="2844"/>
      <c r="QPZ46" s="2845"/>
      <c r="QQA46" s="2842"/>
      <c r="QQB46" s="2842"/>
      <c r="QQC46" s="2843"/>
      <c r="QQD46" s="2843"/>
      <c r="QQE46" s="2844"/>
      <c r="QQF46" s="2845"/>
      <c r="QQG46" s="2842"/>
      <c r="QQH46" s="2842"/>
      <c r="QQI46" s="2843"/>
      <c r="QQJ46" s="2843"/>
      <c r="QQK46" s="2844"/>
      <c r="QQL46" s="2845"/>
      <c r="QQM46" s="2842"/>
      <c r="QQN46" s="2842"/>
      <c r="QQO46" s="2843"/>
      <c r="QQP46" s="2843"/>
      <c r="QQQ46" s="2844"/>
      <c r="QQR46" s="2845"/>
      <c r="QQS46" s="2842"/>
      <c r="QQT46" s="2842"/>
      <c r="QQU46" s="2843"/>
      <c r="QQV46" s="2843"/>
      <c r="QQW46" s="2844"/>
      <c r="QQX46" s="2845"/>
      <c r="QQY46" s="2842"/>
      <c r="QQZ46" s="2842"/>
      <c r="QRA46" s="2843"/>
      <c r="QRB46" s="2843"/>
      <c r="QRC46" s="2844"/>
      <c r="QRD46" s="2845"/>
      <c r="QRE46" s="2842"/>
      <c r="QRF46" s="2842"/>
      <c r="QRG46" s="2843"/>
      <c r="QRH46" s="2843"/>
      <c r="QRI46" s="2844"/>
      <c r="QRJ46" s="2845"/>
      <c r="QRK46" s="2842"/>
      <c r="QRL46" s="2842"/>
      <c r="QRM46" s="2843"/>
      <c r="QRN46" s="2843"/>
      <c r="QRO46" s="2844"/>
      <c r="QRP46" s="2845"/>
      <c r="QRQ46" s="2842"/>
      <c r="QRR46" s="2842"/>
      <c r="QRS46" s="2843"/>
      <c r="QRT46" s="2843"/>
      <c r="QRU46" s="2844"/>
      <c r="QRV46" s="2845"/>
      <c r="QRW46" s="2842"/>
      <c r="QRX46" s="2842"/>
      <c r="QRY46" s="2843"/>
      <c r="QRZ46" s="2843"/>
      <c r="QSA46" s="2844"/>
      <c r="QSB46" s="2845"/>
      <c r="QSC46" s="2842"/>
      <c r="QSD46" s="2842"/>
      <c r="QSE46" s="2843"/>
      <c r="QSF46" s="2843"/>
      <c r="QSG46" s="2844"/>
      <c r="QSH46" s="2845"/>
      <c r="QSI46" s="2842"/>
      <c r="QSJ46" s="2842"/>
      <c r="QSK46" s="2843"/>
      <c r="QSL46" s="2843"/>
      <c r="QSM46" s="2844"/>
      <c r="QSN46" s="2845"/>
      <c r="QSO46" s="2842"/>
      <c r="QSP46" s="2842"/>
      <c r="QSQ46" s="2843"/>
      <c r="QSR46" s="2843"/>
      <c r="QSS46" s="2844"/>
      <c r="QST46" s="2845"/>
      <c r="QSU46" s="2842"/>
      <c r="QSV46" s="2842"/>
      <c r="QSW46" s="2843"/>
      <c r="QSX46" s="2843"/>
      <c r="QSY46" s="2844"/>
      <c r="QSZ46" s="2845"/>
      <c r="QTA46" s="2842"/>
      <c r="QTB46" s="2842"/>
      <c r="QTC46" s="2843"/>
      <c r="QTD46" s="2843"/>
      <c r="QTE46" s="2844"/>
      <c r="QTF46" s="2845"/>
      <c r="QTG46" s="2842"/>
      <c r="QTH46" s="2842"/>
      <c r="QTI46" s="2843"/>
      <c r="QTJ46" s="2843"/>
      <c r="QTK46" s="2844"/>
      <c r="QTL46" s="2845"/>
      <c r="QTM46" s="2842"/>
      <c r="QTN46" s="2842"/>
      <c r="QTO46" s="2843"/>
      <c r="QTP46" s="2843"/>
      <c r="QTQ46" s="2844"/>
      <c r="QTR46" s="2845"/>
      <c r="QTS46" s="2842"/>
      <c r="QTT46" s="2842"/>
      <c r="QTU46" s="2843"/>
      <c r="QTV46" s="2843"/>
      <c r="QTW46" s="2844"/>
      <c r="QTX46" s="2845"/>
      <c r="QTY46" s="2842"/>
      <c r="QTZ46" s="2842"/>
      <c r="QUA46" s="2843"/>
      <c r="QUB46" s="2843"/>
      <c r="QUC46" s="2844"/>
      <c r="QUD46" s="2845"/>
      <c r="QUE46" s="2842"/>
      <c r="QUF46" s="2842"/>
      <c r="QUG46" s="2843"/>
      <c r="QUH46" s="2843"/>
      <c r="QUI46" s="2844"/>
      <c r="QUJ46" s="2845"/>
      <c r="QUK46" s="2842"/>
      <c r="QUL46" s="2842"/>
      <c r="QUM46" s="2843"/>
      <c r="QUN46" s="2843"/>
      <c r="QUO46" s="2844"/>
      <c r="QUP46" s="2845"/>
      <c r="QUQ46" s="2842"/>
      <c r="QUR46" s="2842"/>
      <c r="QUS46" s="2843"/>
      <c r="QUT46" s="2843"/>
      <c r="QUU46" s="2844"/>
      <c r="QUV46" s="2845"/>
      <c r="QUW46" s="2842"/>
      <c r="QUX46" s="2842"/>
      <c r="QUY46" s="2843"/>
      <c r="QUZ46" s="2843"/>
      <c r="QVA46" s="2844"/>
      <c r="QVB46" s="2845"/>
      <c r="QVC46" s="2842"/>
      <c r="QVD46" s="2842"/>
      <c r="QVE46" s="2843"/>
      <c r="QVF46" s="2843"/>
      <c r="QVG46" s="2844"/>
      <c r="QVH46" s="2845"/>
      <c r="QVI46" s="2842"/>
      <c r="QVJ46" s="2842"/>
      <c r="QVK46" s="2843"/>
      <c r="QVL46" s="2843"/>
      <c r="QVM46" s="2844"/>
      <c r="QVN46" s="2845"/>
      <c r="QVO46" s="2842"/>
      <c r="QVP46" s="2842"/>
      <c r="QVQ46" s="2843"/>
      <c r="QVR46" s="2843"/>
      <c r="QVS46" s="2844"/>
      <c r="QVT46" s="2845"/>
      <c r="QVU46" s="2842"/>
      <c r="QVV46" s="2842"/>
      <c r="QVW46" s="2843"/>
      <c r="QVX46" s="2843"/>
      <c r="QVY46" s="2844"/>
      <c r="QVZ46" s="2845"/>
      <c r="QWA46" s="2842"/>
      <c r="QWB46" s="2842"/>
      <c r="QWC46" s="2843"/>
      <c r="QWD46" s="2843"/>
      <c r="QWE46" s="2844"/>
      <c r="QWF46" s="2845"/>
      <c r="QWG46" s="2842"/>
      <c r="QWH46" s="2842"/>
      <c r="QWI46" s="2843"/>
      <c r="QWJ46" s="2843"/>
      <c r="QWK46" s="2844"/>
      <c r="QWL46" s="2845"/>
      <c r="QWM46" s="2842"/>
      <c r="QWN46" s="2842"/>
      <c r="QWO46" s="2843"/>
      <c r="QWP46" s="2843"/>
      <c r="QWQ46" s="2844"/>
      <c r="QWR46" s="2845"/>
      <c r="QWS46" s="2842"/>
      <c r="QWT46" s="2842"/>
      <c r="QWU46" s="2843"/>
      <c r="QWV46" s="2843"/>
      <c r="QWW46" s="2844"/>
      <c r="QWX46" s="2845"/>
      <c r="QWY46" s="2842"/>
      <c r="QWZ46" s="2842"/>
      <c r="QXA46" s="2843"/>
      <c r="QXB46" s="2843"/>
      <c r="QXC46" s="2844"/>
      <c r="QXD46" s="2845"/>
      <c r="QXE46" s="2842"/>
      <c r="QXF46" s="2842"/>
      <c r="QXG46" s="2843"/>
      <c r="QXH46" s="2843"/>
      <c r="QXI46" s="2844"/>
      <c r="QXJ46" s="2845"/>
      <c r="QXK46" s="2842"/>
      <c r="QXL46" s="2842"/>
      <c r="QXM46" s="2843"/>
      <c r="QXN46" s="2843"/>
      <c r="QXO46" s="2844"/>
      <c r="QXP46" s="2845"/>
      <c r="QXQ46" s="2842"/>
      <c r="QXR46" s="2842"/>
      <c r="QXS46" s="2843"/>
      <c r="QXT46" s="2843"/>
      <c r="QXU46" s="2844"/>
      <c r="QXV46" s="2845"/>
      <c r="QXW46" s="2842"/>
      <c r="QXX46" s="2842"/>
      <c r="QXY46" s="2843"/>
      <c r="QXZ46" s="2843"/>
      <c r="QYA46" s="2844"/>
      <c r="QYB46" s="2845"/>
      <c r="QYC46" s="2842"/>
      <c r="QYD46" s="2842"/>
      <c r="QYE46" s="2843"/>
      <c r="QYF46" s="2843"/>
      <c r="QYG46" s="2844"/>
      <c r="QYH46" s="2845"/>
      <c r="QYI46" s="2842"/>
      <c r="QYJ46" s="2842"/>
      <c r="QYK46" s="2843"/>
      <c r="QYL46" s="2843"/>
      <c r="QYM46" s="2844"/>
      <c r="QYN46" s="2845"/>
      <c r="QYO46" s="2842"/>
      <c r="QYP46" s="2842"/>
      <c r="QYQ46" s="2843"/>
      <c r="QYR46" s="2843"/>
      <c r="QYS46" s="2844"/>
      <c r="QYT46" s="2845"/>
      <c r="QYU46" s="2842"/>
      <c r="QYV46" s="2842"/>
      <c r="QYW46" s="2843"/>
      <c r="QYX46" s="2843"/>
      <c r="QYY46" s="2844"/>
      <c r="QYZ46" s="2845"/>
      <c r="QZA46" s="2842"/>
      <c r="QZB46" s="2842"/>
      <c r="QZC46" s="2843"/>
      <c r="QZD46" s="2843"/>
      <c r="QZE46" s="2844"/>
      <c r="QZF46" s="2845"/>
      <c r="QZG46" s="2842"/>
      <c r="QZH46" s="2842"/>
      <c r="QZI46" s="2843"/>
      <c r="QZJ46" s="2843"/>
      <c r="QZK46" s="2844"/>
      <c r="QZL46" s="2845"/>
      <c r="QZM46" s="2842"/>
      <c r="QZN46" s="2842"/>
      <c r="QZO46" s="2843"/>
      <c r="QZP46" s="2843"/>
      <c r="QZQ46" s="2844"/>
      <c r="QZR46" s="2845"/>
      <c r="QZS46" s="2842"/>
      <c r="QZT46" s="2842"/>
      <c r="QZU46" s="2843"/>
      <c r="QZV46" s="2843"/>
      <c r="QZW46" s="2844"/>
      <c r="QZX46" s="2845"/>
      <c r="QZY46" s="2842"/>
      <c r="QZZ46" s="2842"/>
      <c r="RAA46" s="2843"/>
      <c r="RAB46" s="2843"/>
      <c r="RAC46" s="2844"/>
      <c r="RAD46" s="2845"/>
      <c r="RAE46" s="2842"/>
      <c r="RAF46" s="2842"/>
      <c r="RAG46" s="2843"/>
      <c r="RAH46" s="2843"/>
      <c r="RAI46" s="2844"/>
      <c r="RAJ46" s="2845"/>
      <c r="RAK46" s="2842"/>
      <c r="RAL46" s="2842"/>
      <c r="RAM46" s="2843"/>
      <c r="RAN46" s="2843"/>
      <c r="RAO46" s="2844"/>
      <c r="RAP46" s="2845"/>
      <c r="RAQ46" s="2842"/>
      <c r="RAR46" s="2842"/>
      <c r="RAS46" s="2843"/>
      <c r="RAT46" s="2843"/>
      <c r="RAU46" s="2844"/>
      <c r="RAV46" s="2845"/>
      <c r="RAW46" s="2842"/>
      <c r="RAX46" s="2842"/>
      <c r="RAY46" s="2843"/>
      <c r="RAZ46" s="2843"/>
      <c r="RBA46" s="2844"/>
      <c r="RBB46" s="2845"/>
      <c r="RBC46" s="2842"/>
      <c r="RBD46" s="2842"/>
      <c r="RBE46" s="2843"/>
      <c r="RBF46" s="2843"/>
      <c r="RBG46" s="2844"/>
      <c r="RBH46" s="2845"/>
      <c r="RBI46" s="2842"/>
      <c r="RBJ46" s="2842"/>
      <c r="RBK46" s="2843"/>
      <c r="RBL46" s="2843"/>
      <c r="RBM46" s="2844"/>
      <c r="RBN46" s="2845"/>
      <c r="RBO46" s="2842"/>
      <c r="RBP46" s="2842"/>
      <c r="RBQ46" s="2843"/>
      <c r="RBR46" s="2843"/>
      <c r="RBS46" s="2844"/>
      <c r="RBT46" s="2845"/>
      <c r="RBU46" s="2842"/>
      <c r="RBV46" s="2842"/>
      <c r="RBW46" s="2843"/>
      <c r="RBX46" s="2843"/>
      <c r="RBY46" s="2844"/>
      <c r="RBZ46" s="2845"/>
      <c r="RCA46" s="2842"/>
      <c r="RCB46" s="2842"/>
      <c r="RCC46" s="2843"/>
      <c r="RCD46" s="2843"/>
      <c r="RCE46" s="2844"/>
      <c r="RCF46" s="2845"/>
      <c r="RCG46" s="2842"/>
      <c r="RCH46" s="2842"/>
      <c r="RCI46" s="2843"/>
      <c r="RCJ46" s="2843"/>
      <c r="RCK46" s="2844"/>
      <c r="RCL46" s="2845"/>
      <c r="RCM46" s="2842"/>
      <c r="RCN46" s="2842"/>
      <c r="RCO46" s="2843"/>
      <c r="RCP46" s="2843"/>
      <c r="RCQ46" s="2844"/>
      <c r="RCR46" s="2845"/>
      <c r="RCS46" s="2842"/>
      <c r="RCT46" s="2842"/>
      <c r="RCU46" s="2843"/>
      <c r="RCV46" s="2843"/>
      <c r="RCW46" s="2844"/>
      <c r="RCX46" s="2845"/>
      <c r="RCY46" s="2842"/>
      <c r="RCZ46" s="2842"/>
      <c r="RDA46" s="2843"/>
      <c r="RDB46" s="2843"/>
      <c r="RDC46" s="2844"/>
      <c r="RDD46" s="2845"/>
      <c r="RDE46" s="2842"/>
      <c r="RDF46" s="2842"/>
      <c r="RDG46" s="2843"/>
      <c r="RDH46" s="2843"/>
      <c r="RDI46" s="2844"/>
      <c r="RDJ46" s="2845"/>
      <c r="RDK46" s="2842"/>
      <c r="RDL46" s="2842"/>
      <c r="RDM46" s="2843"/>
      <c r="RDN46" s="2843"/>
      <c r="RDO46" s="2844"/>
      <c r="RDP46" s="2845"/>
      <c r="RDQ46" s="2842"/>
      <c r="RDR46" s="2842"/>
      <c r="RDS46" s="2843"/>
      <c r="RDT46" s="2843"/>
      <c r="RDU46" s="2844"/>
      <c r="RDV46" s="2845"/>
      <c r="RDW46" s="2842"/>
      <c r="RDX46" s="2842"/>
      <c r="RDY46" s="2843"/>
      <c r="RDZ46" s="2843"/>
      <c r="REA46" s="2844"/>
      <c r="REB46" s="2845"/>
      <c r="REC46" s="2842"/>
      <c r="RED46" s="2842"/>
      <c r="REE46" s="2843"/>
      <c r="REF46" s="2843"/>
      <c r="REG46" s="2844"/>
      <c r="REH46" s="2845"/>
      <c r="REI46" s="2842"/>
      <c r="REJ46" s="2842"/>
      <c r="REK46" s="2843"/>
      <c r="REL46" s="2843"/>
      <c r="REM46" s="2844"/>
      <c r="REN46" s="2845"/>
      <c r="REO46" s="2842"/>
      <c r="REP46" s="2842"/>
      <c r="REQ46" s="2843"/>
      <c r="RER46" s="2843"/>
      <c r="RES46" s="2844"/>
      <c r="RET46" s="2845"/>
      <c r="REU46" s="2842"/>
      <c r="REV46" s="2842"/>
      <c r="REW46" s="2843"/>
      <c r="REX46" s="2843"/>
      <c r="REY46" s="2844"/>
      <c r="REZ46" s="2845"/>
      <c r="RFA46" s="2842"/>
      <c r="RFB46" s="2842"/>
      <c r="RFC46" s="2843"/>
      <c r="RFD46" s="2843"/>
      <c r="RFE46" s="2844"/>
      <c r="RFF46" s="2845"/>
      <c r="RFG46" s="2842"/>
      <c r="RFH46" s="2842"/>
      <c r="RFI46" s="2843"/>
      <c r="RFJ46" s="2843"/>
      <c r="RFK46" s="2844"/>
      <c r="RFL46" s="2845"/>
      <c r="RFM46" s="2842"/>
      <c r="RFN46" s="2842"/>
      <c r="RFO46" s="2843"/>
      <c r="RFP46" s="2843"/>
      <c r="RFQ46" s="2844"/>
      <c r="RFR46" s="2845"/>
      <c r="RFS46" s="2842"/>
      <c r="RFT46" s="2842"/>
      <c r="RFU46" s="2843"/>
      <c r="RFV46" s="2843"/>
      <c r="RFW46" s="2844"/>
      <c r="RFX46" s="2845"/>
      <c r="RFY46" s="2842"/>
      <c r="RFZ46" s="2842"/>
      <c r="RGA46" s="2843"/>
      <c r="RGB46" s="2843"/>
      <c r="RGC46" s="2844"/>
      <c r="RGD46" s="2845"/>
      <c r="RGE46" s="2842"/>
      <c r="RGF46" s="2842"/>
      <c r="RGG46" s="2843"/>
      <c r="RGH46" s="2843"/>
      <c r="RGI46" s="2844"/>
      <c r="RGJ46" s="2845"/>
      <c r="RGK46" s="2842"/>
      <c r="RGL46" s="2842"/>
      <c r="RGM46" s="2843"/>
      <c r="RGN46" s="2843"/>
      <c r="RGO46" s="2844"/>
      <c r="RGP46" s="2845"/>
      <c r="RGQ46" s="2842"/>
      <c r="RGR46" s="2842"/>
      <c r="RGS46" s="2843"/>
      <c r="RGT46" s="2843"/>
      <c r="RGU46" s="2844"/>
      <c r="RGV46" s="2845"/>
      <c r="RGW46" s="2842"/>
      <c r="RGX46" s="2842"/>
      <c r="RGY46" s="2843"/>
      <c r="RGZ46" s="2843"/>
      <c r="RHA46" s="2844"/>
      <c r="RHB46" s="2845"/>
      <c r="RHC46" s="2842"/>
      <c r="RHD46" s="2842"/>
      <c r="RHE46" s="2843"/>
      <c r="RHF46" s="2843"/>
      <c r="RHG46" s="2844"/>
      <c r="RHH46" s="2845"/>
      <c r="RHI46" s="2842"/>
      <c r="RHJ46" s="2842"/>
      <c r="RHK46" s="2843"/>
      <c r="RHL46" s="2843"/>
      <c r="RHM46" s="2844"/>
      <c r="RHN46" s="2845"/>
      <c r="RHO46" s="2842"/>
      <c r="RHP46" s="2842"/>
      <c r="RHQ46" s="2843"/>
      <c r="RHR46" s="2843"/>
      <c r="RHS46" s="2844"/>
      <c r="RHT46" s="2845"/>
      <c r="RHU46" s="2842"/>
      <c r="RHV46" s="2842"/>
      <c r="RHW46" s="2843"/>
      <c r="RHX46" s="2843"/>
      <c r="RHY46" s="2844"/>
      <c r="RHZ46" s="2845"/>
      <c r="RIA46" s="2842"/>
      <c r="RIB46" s="2842"/>
      <c r="RIC46" s="2843"/>
      <c r="RID46" s="2843"/>
      <c r="RIE46" s="2844"/>
      <c r="RIF46" s="2845"/>
      <c r="RIG46" s="2842"/>
      <c r="RIH46" s="2842"/>
      <c r="RII46" s="2843"/>
      <c r="RIJ46" s="2843"/>
      <c r="RIK46" s="2844"/>
      <c r="RIL46" s="2845"/>
      <c r="RIM46" s="2842"/>
      <c r="RIN46" s="2842"/>
      <c r="RIO46" s="2843"/>
      <c r="RIP46" s="2843"/>
      <c r="RIQ46" s="2844"/>
      <c r="RIR46" s="2845"/>
      <c r="RIS46" s="2842"/>
      <c r="RIT46" s="2842"/>
      <c r="RIU46" s="2843"/>
      <c r="RIV46" s="2843"/>
      <c r="RIW46" s="2844"/>
      <c r="RIX46" s="2845"/>
      <c r="RIY46" s="2842"/>
      <c r="RIZ46" s="2842"/>
      <c r="RJA46" s="2843"/>
      <c r="RJB46" s="2843"/>
      <c r="RJC46" s="2844"/>
      <c r="RJD46" s="2845"/>
      <c r="RJE46" s="2842"/>
      <c r="RJF46" s="2842"/>
      <c r="RJG46" s="2843"/>
      <c r="RJH46" s="2843"/>
      <c r="RJI46" s="2844"/>
      <c r="RJJ46" s="2845"/>
      <c r="RJK46" s="2842"/>
      <c r="RJL46" s="2842"/>
      <c r="RJM46" s="2843"/>
      <c r="RJN46" s="2843"/>
      <c r="RJO46" s="2844"/>
      <c r="RJP46" s="2845"/>
      <c r="RJQ46" s="2842"/>
      <c r="RJR46" s="2842"/>
      <c r="RJS46" s="2843"/>
      <c r="RJT46" s="2843"/>
      <c r="RJU46" s="2844"/>
      <c r="RJV46" s="2845"/>
      <c r="RJW46" s="2842"/>
      <c r="RJX46" s="2842"/>
      <c r="RJY46" s="2843"/>
      <c r="RJZ46" s="2843"/>
      <c r="RKA46" s="2844"/>
      <c r="RKB46" s="2845"/>
      <c r="RKC46" s="2842"/>
      <c r="RKD46" s="2842"/>
      <c r="RKE46" s="2843"/>
      <c r="RKF46" s="2843"/>
      <c r="RKG46" s="2844"/>
      <c r="RKH46" s="2845"/>
      <c r="RKI46" s="2842"/>
      <c r="RKJ46" s="2842"/>
      <c r="RKK46" s="2843"/>
      <c r="RKL46" s="2843"/>
      <c r="RKM46" s="2844"/>
      <c r="RKN46" s="2845"/>
      <c r="RKO46" s="2842"/>
      <c r="RKP46" s="2842"/>
      <c r="RKQ46" s="2843"/>
      <c r="RKR46" s="2843"/>
      <c r="RKS46" s="2844"/>
      <c r="RKT46" s="2845"/>
      <c r="RKU46" s="2842"/>
      <c r="RKV46" s="2842"/>
      <c r="RKW46" s="2843"/>
      <c r="RKX46" s="2843"/>
      <c r="RKY46" s="2844"/>
      <c r="RKZ46" s="2845"/>
      <c r="RLA46" s="2842"/>
      <c r="RLB46" s="2842"/>
      <c r="RLC46" s="2843"/>
      <c r="RLD46" s="2843"/>
      <c r="RLE46" s="2844"/>
      <c r="RLF46" s="2845"/>
      <c r="RLG46" s="2842"/>
      <c r="RLH46" s="2842"/>
      <c r="RLI46" s="2843"/>
      <c r="RLJ46" s="2843"/>
      <c r="RLK46" s="2844"/>
      <c r="RLL46" s="2845"/>
      <c r="RLM46" s="2842"/>
      <c r="RLN46" s="2842"/>
      <c r="RLO46" s="2843"/>
      <c r="RLP46" s="2843"/>
      <c r="RLQ46" s="2844"/>
      <c r="RLR46" s="2845"/>
      <c r="RLS46" s="2842"/>
      <c r="RLT46" s="2842"/>
      <c r="RLU46" s="2843"/>
      <c r="RLV46" s="2843"/>
      <c r="RLW46" s="2844"/>
      <c r="RLX46" s="2845"/>
      <c r="RLY46" s="2842"/>
      <c r="RLZ46" s="2842"/>
      <c r="RMA46" s="2843"/>
      <c r="RMB46" s="2843"/>
      <c r="RMC46" s="2844"/>
      <c r="RMD46" s="2845"/>
      <c r="RME46" s="2842"/>
      <c r="RMF46" s="2842"/>
      <c r="RMG46" s="2843"/>
      <c r="RMH46" s="2843"/>
      <c r="RMI46" s="2844"/>
      <c r="RMJ46" s="2845"/>
      <c r="RMK46" s="2842"/>
      <c r="RML46" s="2842"/>
      <c r="RMM46" s="2843"/>
      <c r="RMN46" s="2843"/>
      <c r="RMO46" s="2844"/>
      <c r="RMP46" s="2845"/>
      <c r="RMQ46" s="2842"/>
      <c r="RMR46" s="2842"/>
      <c r="RMS46" s="2843"/>
      <c r="RMT46" s="2843"/>
      <c r="RMU46" s="2844"/>
      <c r="RMV46" s="2845"/>
      <c r="RMW46" s="2842"/>
      <c r="RMX46" s="2842"/>
      <c r="RMY46" s="2843"/>
      <c r="RMZ46" s="2843"/>
      <c r="RNA46" s="2844"/>
      <c r="RNB46" s="2845"/>
      <c r="RNC46" s="2842"/>
      <c r="RND46" s="2842"/>
      <c r="RNE46" s="2843"/>
      <c r="RNF46" s="2843"/>
      <c r="RNG46" s="2844"/>
      <c r="RNH46" s="2845"/>
      <c r="RNI46" s="2842"/>
      <c r="RNJ46" s="2842"/>
      <c r="RNK46" s="2843"/>
      <c r="RNL46" s="2843"/>
      <c r="RNM46" s="2844"/>
      <c r="RNN46" s="2845"/>
      <c r="RNO46" s="2842"/>
      <c r="RNP46" s="2842"/>
      <c r="RNQ46" s="2843"/>
      <c r="RNR46" s="2843"/>
      <c r="RNS46" s="2844"/>
      <c r="RNT46" s="2845"/>
      <c r="RNU46" s="2842"/>
      <c r="RNV46" s="2842"/>
      <c r="RNW46" s="2843"/>
      <c r="RNX46" s="2843"/>
      <c r="RNY46" s="2844"/>
      <c r="RNZ46" s="2845"/>
      <c r="ROA46" s="2842"/>
      <c r="ROB46" s="2842"/>
      <c r="ROC46" s="2843"/>
      <c r="ROD46" s="2843"/>
      <c r="ROE46" s="2844"/>
      <c r="ROF46" s="2845"/>
      <c r="ROG46" s="2842"/>
      <c r="ROH46" s="2842"/>
      <c r="ROI46" s="2843"/>
      <c r="ROJ46" s="2843"/>
      <c r="ROK46" s="2844"/>
      <c r="ROL46" s="2845"/>
      <c r="ROM46" s="2842"/>
      <c r="RON46" s="2842"/>
      <c r="ROO46" s="2843"/>
      <c r="ROP46" s="2843"/>
      <c r="ROQ46" s="2844"/>
      <c r="ROR46" s="2845"/>
      <c r="ROS46" s="2842"/>
      <c r="ROT46" s="2842"/>
      <c r="ROU46" s="2843"/>
      <c r="ROV46" s="2843"/>
      <c r="ROW46" s="2844"/>
      <c r="ROX46" s="2845"/>
      <c r="ROY46" s="2842"/>
      <c r="ROZ46" s="2842"/>
      <c r="RPA46" s="2843"/>
      <c r="RPB46" s="2843"/>
      <c r="RPC46" s="2844"/>
      <c r="RPD46" s="2845"/>
      <c r="RPE46" s="2842"/>
      <c r="RPF46" s="2842"/>
      <c r="RPG46" s="2843"/>
      <c r="RPH46" s="2843"/>
      <c r="RPI46" s="2844"/>
      <c r="RPJ46" s="2845"/>
      <c r="RPK46" s="2842"/>
      <c r="RPL46" s="2842"/>
      <c r="RPM46" s="2843"/>
      <c r="RPN46" s="2843"/>
      <c r="RPO46" s="2844"/>
      <c r="RPP46" s="2845"/>
      <c r="RPQ46" s="2842"/>
      <c r="RPR46" s="2842"/>
      <c r="RPS46" s="2843"/>
      <c r="RPT46" s="2843"/>
      <c r="RPU46" s="2844"/>
      <c r="RPV46" s="2845"/>
      <c r="RPW46" s="2842"/>
      <c r="RPX46" s="2842"/>
      <c r="RPY46" s="2843"/>
      <c r="RPZ46" s="2843"/>
      <c r="RQA46" s="2844"/>
      <c r="RQB46" s="2845"/>
      <c r="RQC46" s="2842"/>
      <c r="RQD46" s="2842"/>
      <c r="RQE46" s="2843"/>
      <c r="RQF46" s="2843"/>
      <c r="RQG46" s="2844"/>
      <c r="RQH46" s="2845"/>
      <c r="RQI46" s="2842"/>
      <c r="RQJ46" s="2842"/>
      <c r="RQK46" s="2843"/>
      <c r="RQL46" s="2843"/>
      <c r="RQM46" s="2844"/>
      <c r="RQN46" s="2845"/>
      <c r="RQO46" s="2842"/>
      <c r="RQP46" s="2842"/>
      <c r="RQQ46" s="2843"/>
      <c r="RQR46" s="2843"/>
      <c r="RQS46" s="2844"/>
      <c r="RQT46" s="2845"/>
      <c r="RQU46" s="2842"/>
      <c r="RQV46" s="2842"/>
      <c r="RQW46" s="2843"/>
      <c r="RQX46" s="2843"/>
      <c r="RQY46" s="2844"/>
      <c r="RQZ46" s="2845"/>
      <c r="RRA46" s="2842"/>
      <c r="RRB46" s="2842"/>
      <c r="RRC46" s="2843"/>
      <c r="RRD46" s="2843"/>
      <c r="RRE46" s="2844"/>
      <c r="RRF46" s="2845"/>
      <c r="RRG46" s="2842"/>
      <c r="RRH46" s="2842"/>
      <c r="RRI46" s="2843"/>
      <c r="RRJ46" s="2843"/>
      <c r="RRK46" s="2844"/>
      <c r="RRL46" s="2845"/>
      <c r="RRM46" s="2842"/>
      <c r="RRN46" s="2842"/>
      <c r="RRO46" s="2843"/>
      <c r="RRP46" s="2843"/>
      <c r="RRQ46" s="2844"/>
      <c r="RRR46" s="2845"/>
      <c r="RRS46" s="2842"/>
      <c r="RRT46" s="2842"/>
      <c r="RRU46" s="2843"/>
      <c r="RRV46" s="2843"/>
      <c r="RRW46" s="2844"/>
      <c r="RRX46" s="2845"/>
      <c r="RRY46" s="2842"/>
      <c r="RRZ46" s="2842"/>
      <c r="RSA46" s="2843"/>
      <c r="RSB46" s="2843"/>
      <c r="RSC46" s="2844"/>
      <c r="RSD46" s="2845"/>
      <c r="RSE46" s="2842"/>
      <c r="RSF46" s="2842"/>
      <c r="RSG46" s="2843"/>
      <c r="RSH46" s="2843"/>
      <c r="RSI46" s="2844"/>
      <c r="RSJ46" s="2845"/>
      <c r="RSK46" s="2842"/>
      <c r="RSL46" s="2842"/>
      <c r="RSM46" s="2843"/>
      <c r="RSN46" s="2843"/>
      <c r="RSO46" s="2844"/>
      <c r="RSP46" s="2845"/>
      <c r="RSQ46" s="2842"/>
      <c r="RSR46" s="2842"/>
      <c r="RSS46" s="2843"/>
      <c r="RST46" s="2843"/>
      <c r="RSU46" s="2844"/>
      <c r="RSV46" s="2845"/>
      <c r="RSW46" s="2842"/>
      <c r="RSX46" s="2842"/>
      <c r="RSY46" s="2843"/>
      <c r="RSZ46" s="2843"/>
      <c r="RTA46" s="2844"/>
      <c r="RTB46" s="2845"/>
      <c r="RTC46" s="2842"/>
      <c r="RTD46" s="2842"/>
      <c r="RTE46" s="2843"/>
      <c r="RTF46" s="2843"/>
      <c r="RTG46" s="2844"/>
      <c r="RTH46" s="2845"/>
      <c r="RTI46" s="2842"/>
      <c r="RTJ46" s="2842"/>
      <c r="RTK46" s="2843"/>
      <c r="RTL46" s="2843"/>
      <c r="RTM46" s="2844"/>
      <c r="RTN46" s="2845"/>
      <c r="RTO46" s="2842"/>
      <c r="RTP46" s="2842"/>
      <c r="RTQ46" s="2843"/>
      <c r="RTR46" s="2843"/>
      <c r="RTS46" s="2844"/>
      <c r="RTT46" s="2845"/>
      <c r="RTU46" s="2842"/>
      <c r="RTV46" s="2842"/>
      <c r="RTW46" s="2843"/>
      <c r="RTX46" s="2843"/>
      <c r="RTY46" s="2844"/>
      <c r="RTZ46" s="2845"/>
      <c r="RUA46" s="2842"/>
      <c r="RUB46" s="2842"/>
      <c r="RUC46" s="2843"/>
      <c r="RUD46" s="2843"/>
      <c r="RUE46" s="2844"/>
      <c r="RUF46" s="2845"/>
      <c r="RUG46" s="2842"/>
      <c r="RUH46" s="2842"/>
      <c r="RUI46" s="2843"/>
      <c r="RUJ46" s="2843"/>
      <c r="RUK46" s="2844"/>
      <c r="RUL46" s="2845"/>
      <c r="RUM46" s="2842"/>
      <c r="RUN46" s="2842"/>
      <c r="RUO46" s="2843"/>
      <c r="RUP46" s="2843"/>
      <c r="RUQ46" s="2844"/>
      <c r="RUR46" s="2845"/>
      <c r="RUS46" s="2842"/>
      <c r="RUT46" s="2842"/>
      <c r="RUU46" s="2843"/>
      <c r="RUV46" s="2843"/>
      <c r="RUW46" s="2844"/>
      <c r="RUX46" s="2845"/>
      <c r="RUY46" s="2842"/>
      <c r="RUZ46" s="2842"/>
      <c r="RVA46" s="2843"/>
      <c r="RVB46" s="2843"/>
      <c r="RVC46" s="2844"/>
      <c r="RVD46" s="2845"/>
      <c r="RVE46" s="2842"/>
      <c r="RVF46" s="2842"/>
      <c r="RVG46" s="2843"/>
      <c r="RVH46" s="2843"/>
      <c r="RVI46" s="2844"/>
      <c r="RVJ46" s="2845"/>
      <c r="RVK46" s="2842"/>
      <c r="RVL46" s="2842"/>
      <c r="RVM46" s="2843"/>
      <c r="RVN46" s="2843"/>
      <c r="RVO46" s="2844"/>
      <c r="RVP46" s="2845"/>
      <c r="RVQ46" s="2842"/>
      <c r="RVR46" s="2842"/>
      <c r="RVS46" s="2843"/>
      <c r="RVT46" s="2843"/>
      <c r="RVU46" s="2844"/>
      <c r="RVV46" s="2845"/>
      <c r="RVW46" s="2842"/>
      <c r="RVX46" s="2842"/>
      <c r="RVY46" s="2843"/>
      <c r="RVZ46" s="2843"/>
      <c r="RWA46" s="2844"/>
      <c r="RWB46" s="2845"/>
      <c r="RWC46" s="2842"/>
      <c r="RWD46" s="2842"/>
      <c r="RWE46" s="2843"/>
      <c r="RWF46" s="2843"/>
      <c r="RWG46" s="2844"/>
      <c r="RWH46" s="2845"/>
      <c r="RWI46" s="2842"/>
      <c r="RWJ46" s="2842"/>
      <c r="RWK46" s="2843"/>
      <c r="RWL46" s="2843"/>
      <c r="RWM46" s="2844"/>
      <c r="RWN46" s="2845"/>
      <c r="RWO46" s="2842"/>
      <c r="RWP46" s="2842"/>
      <c r="RWQ46" s="2843"/>
      <c r="RWR46" s="2843"/>
      <c r="RWS46" s="2844"/>
      <c r="RWT46" s="2845"/>
      <c r="RWU46" s="2842"/>
      <c r="RWV46" s="2842"/>
      <c r="RWW46" s="2843"/>
      <c r="RWX46" s="2843"/>
      <c r="RWY46" s="2844"/>
      <c r="RWZ46" s="2845"/>
      <c r="RXA46" s="2842"/>
      <c r="RXB46" s="2842"/>
      <c r="RXC46" s="2843"/>
      <c r="RXD46" s="2843"/>
      <c r="RXE46" s="2844"/>
      <c r="RXF46" s="2845"/>
      <c r="RXG46" s="2842"/>
      <c r="RXH46" s="2842"/>
      <c r="RXI46" s="2843"/>
      <c r="RXJ46" s="2843"/>
      <c r="RXK46" s="2844"/>
      <c r="RXL46" s="2845"/>
      <c r="RXM46" s="2842"/>
      <c r="RXN46" s="2842"/>
      <c r="RXO46" s="2843"/>
      <c r="RXP46" s="2843"/>
      <c r="RXQ46" s="2844"/>
      <c r="RXR46" s="2845"/>
      <c r="RXS46" s="2842"/>
      <c r="RXT46" s="2842"/>
      <c r="RXU46" s="2843"/>
      <c r="RXV46" s="2843"/>
      <c r="RXW46" s="2844"/>
      <c r="RXX46" s="2845"/>
      <c r="RXY46" s="2842"/>
      <c r="RXZ46" s="2842"/>
      <c r="RYA46" s="2843"/>
      <c r="RYB46" s="2843"/>
      <c r="RYC46" s="2844"/>
      <c r="RYD46" s="2845"/>
      <c r="RYE46" s="2842"/>
      <c r="RYF46" s="2842"/>
      <c r="RYG46" s="2843"/>
      <c r="RYH46" s="2843"/>
      <c r="RYI46" s="2844"/>
      <c r="RYJ46" s="2845"/>
      <c r="RYK46" s="2842"/>
      <c r="RYL46" s="2842"/>
      <c r="RYM46" s="2843"/>
      <c r="RYN46" s="2843"/>
      <c r="RYO46" s="2844"/>
      <c r="RYP46" s="2845"/>
      <c r="RYQ46" s="2842"/>
      <c r="RYR46" s="2842"/>
      <c r="RYS46" s="2843"/>
      <c r="RYT46" s="2843"/>
      <c r="RYU46" s="2844"/>
      <c r="RYV46" s="2845"/>
      <c r="RYW46" s="2842"/>
      <c r="RYX46" s="2842"/>
      <c r="RYY46" s="2843"/>
      <c r="RYZ46" s="2843"/>
      <c r="RZA46" s="2844"/>
      <c r="RZB46" s="2845"/>
      <c r="RZC46" s="2842"/>
      <c r="RZD46" s="2842"/>
      <c r="RZE46" s="2843"/>
      <c r="RZF46" s="2843"/>
      <c r="RZG46" s="2844"/>
      <c r="RZH46" s="2845"/>
      <c r="RZI46" s="2842"/>
      <c r="RZJ46" s="2842"/>
      <c r="RZK46" s="2843"/>
      <c r="RZL46" s="2843"/>
      <c r="RZM46" s="2844"/>
      <c r="RZN46" s="2845"/>
      <c r="RZO46" s="2842"/>
      <c r="RZP46" s="2842"/>
      <c r="RZQ46" s="2843"/>
      <c r="RZR46" s="2843"/>
      <c r="RZS46" s="2844"/>
      <c r="RZT46" s="2845"/>
      <c r="RZU46" s="2842"/>
      <c r="RZV46" s="2842"/>
      <c r="RZW46" s="2843"/>
      <c r="RZX46" s="2843"/>
      <c r="RZY46" s="2844"/>
      <c r="RZZ46" s="2845"/>
      <c r="SAA46" s="2842"/>
      <c r="SAB46" s="2842"/>
      <c r="SAC46" s="2843"/>
      <c r="SAD46" s="2843"/>
      <c r="SAE46" s="2844"/>
      <c r="SAF46" s="2845"/>
      <c r="SAG46" s="2842"/>
      <c r="SAH46" s="2842"/>
      <c r="SAI46" s="2843"/>
      <c r="SAJ46" s="2843"/>
      <c r="SAK46" s="2844"/>
      <c r="SAL46" s="2845"/>
      <c r="SAM46" s="2842"/>
      <c r="SAN46" s="2842"/>
      <c r="SAO46" s="2843"/>
      <c r="SAP46" s="2843"/>
      <c r="SAQ46" s="2844"/>
      <c r="SAR46" s="2845"/>
      <c r="SAS46" s="2842"/>
      <c r="SAT46" s="2842"/>
      <c r="SAU46" s="2843"/>
      <c r="SAV46" s="2843"/>
      <c r="SAW46" s="2844"/>
      <c r="SAX46" s="2845"/>
      <c r="SAY46" s="2842"/>
      <c r="SAZ46" s="2842"/>
      <c r="SBA46" s="2843"/>
      <c r="SBB46" s="2843"/>
      <c r="SBC46" s="2844"/>
      <c r="SBD46" s="2845"/>
      <c r="SBE46" s="2842"/>
      <c r="SBF46" s="2842"/>
      <c r="SBG46" s="2843"/>
      <c r="SBH46" s="2843"/>
      <c r="SBI46" s="2844"/>
      <c r="SBJ46" s="2845"/>
      <c r="SBK46" s="2842"/>
      <c r="SBL46" s="2842"/>
      <c r="SBM46" s="2843"/>
      <c r="SBN46" s="2843"/>
      <c r="SBO46" s="2844"/>
      <c r="SBP46" s="2845"/>
      <c r="SBQ46" s="2842"/>
      <c r="SBR46" s="2842"/>
      <c r="SBS46" s="2843"/>
      <c r="SBT46" s="2843"/>
      <c r="SBU46" s="2844"/>
      <c r="SBV46" s="2845"/>
      <c r="SBW46" s="2842"/>
      <c r="SBX46" s="2842"/>
      <c r="SBY46" s="2843"/>
      <c r="SBZ46" s="2843"/>
      <c r="SCA46" s="2844"/>
      <c r="SCB46" s="2845"/>
      <c r="SCC46" s="2842"/>
      <c r="SCD46" s="2842"/>
      <c r="SCE46" s="2843"/>
      <c r="SCF46" s="2843"/>
      <c r="SCG46" s="2844"/>
      <c r="SCH46" s="2845"/>
      <c r="SCI46" s="2842"/>
      <c r="SCJ46" s="2842"/>
      <c r="SCK46" s="2843"/>
      <c r="SCL46" s="2843"/>
      <c r="SCM46" s="2844"/>
      <c r="SCN46" s="2845"/>
      <c r="SCO46" s="2842"/>
      <c r="SCP46" s="2842"/>
      <c r="SCQ46" s="2843"/>
      <c r="SCR46" s="2843"/>
      <c r="SCS46" s="2844"/>
      <c r="SCT46" s="2845"/>
      <c r="SCU46" s="2842"/>
      <c r="SCV46" s="2842"/>
      <c r="SCW46" s="2843"/>
      <c r="SCX46" s="2843"/>
      <c r="SCY46" s="2844"/>
      <c r="SCZ46" s="2845"/>
      <c r="SDA46" s="2842"/>
      <c r="SDB46" s="2842"/>
      <c r="SDC46" s="2843"/>
      <c r="SDD46" s="2843"/>
      <c r="SDE46" s="2844"/>
      <c r="SDF46" s="2845"/>
      <c r="SDG46" s="2842"/>
      <c r="SDH46" s="2842"/>
      <c r="SDI46" s="2843"/>
      <c r="SDJ46" s="2843"/>
      <c r="SDK46" s="2844"/>
      <c r="SDL46" s="2845"/>
      <c r="SDM46" s="2842"/>
      <c r="SDN46" s="2842"/>
      <c r="SDO46" s="2843"/>
      <c r="SDP46" s="2843"/>
      <c r="SDQ46" s="2844"/>
      <c r="SDR46" s="2845"/>
      <c r="SDS46" s="2842"/>
      <c r="SDT46" s="2842"/>
      <c r="SDU46" s="2843"/>
      <c r="SDV46" s="2843"/>
      <c r="SDW46" s="2844"/>
      <c r="SDX46" s="2845"/>
      <c r="SDY46" s="2842"/>
      <c r="SDZ46" s="2842"/>
      <c r="SEA46" s="2843"/>
      <c r="SEB46" s="2843"/>
      <c r="SEC46" s="2844"/>
      <c r="SED46" s="2845"/>
      <c r="SEE46" s="2842"/>
      <c r="SEF46" s="2842"/>
      <c r="SEG46" s="2843"/>
      <c r="SEH46" s="2843"/>
      <c r="SEI46" s="2844"/>
      <c r="SEJ46" s="2845"/>
      <c r="SEK46" s="2842"/>
      <c r="SEL46" s="2842"/>
      <c r="SEM46" s="2843"/>
      <c r="SEN46" s="2843"/>
      <c r="SEO46" s="2844"/>
      <c r="SEP46" s="2845"/>
      <c r="SEQ46" s="2842"/>
      <c r="SER46" s="2842"/>
      <c r="SES46" s="2843"/>
      <c r="SET46" s="2843"/>
      <c r="SEU46" s="2844"/>
      <c r="SEV46" s="2845"/>
      <c r="SEW46" s="2842"/>
      <c r="SEX46" s="2842"/>
      <c r="SEY46" s="2843"/>
      <c r="SEZ46" s="2843"/>
      <c r="SFA46" s="2844"/>
      <c r="SFB46" s="2845"/>
      <c r="SFC46" s="2842"/>
      <c r="SFD46" s="2842"/>
      <c r="SFE46" s="2843"/>
      <c r="SFF46" s="2843"/>
      <c r="SFG46" s="2844"/>
      <c r="SFH46" s="2845"/>
      <c r="SFI46" s="2842"/>
      <c r="SFJ46" s="2842"/>
      <c r="SFK46" s="2843"/>
      <c r="SFL46" s="2843"/>
      <c r="SFM46" s="2844"/>
      <c r="SFN46" s="2845"/>
      <c r="SFO46" s="2842"/>
      <c r="SFP46" s="2842"/>
      <c r="SFQ46" s="2843"/>
      <c r="SFR46" s="2843"/>
      <c r="SFS46" s="2844"/>
      <c r="SFT46" s="2845"/>
      <c r="SFU46" s="2842"/>
      <c r="SFV46" s="2842"/>
      <c r="SFW46" s="2843"/>
      <c r="SFX46" s="2843"/>
      <c r="SFY46" s="2844"/>
      <c r="SFZ46" s="2845"/>
      <c r="SGA46" s="2842"/>
      <c r="SGB46" s="2842"/>
      <c r="SGC46" s="2843"/>
      <c r="SGD46" s="2843"/>
      <c r="SGE46" s="2844"/>
      <c r="SGF46" s="2845"/>
      <c r="SGG46" s="2842"/>
      <c r="SGH46" s="2842"/>
      <c r="SGI46" s="2843"/>
      <c r="SGJ46" s="2843"/>
      <c r="SGK46" s="2844"/>
      <c r="SGL46" s="2845"/>
      <c r="SGM46" s="2842"/>
      <c r="SGN46" s="2842"/>
      <c r="SGO46" s="2843"/>
      <c r="SGP46" s="2843"/>
      <c r="SGQ46" s="2844"/>
      <c r="SGR46" s="2845"/>
      <c r="SGS46" s="2842"/>
      <c r="SGT46" s="2842"/>
      <c r="SGU46" s="2843"/>
      <c r="SGV46" s="2843"/>
      <c r="SGW46" s="2844"/>
      <c r="SGX46" s="2845"/>
      <c r="SGY46" s="2842"/>
      <c r="SGZ46" s="2842"/>
      <c r="SHA46" s="2843"/>
      <c r="SHB46" s="2843"/>
      <c r="SHC46" s="2844"/>
      <c r="SHD46" s="2845"/>
      <c r="SHE46" s="2842"/>
      <c r="SHF46" s="2842"/>
      <c r="SHG46" s="2843"/>
      <c r="SHH46" s="2843"/>
      <c r="SHI46" s="2844"/>
      <c r="SHJ46" s="2845"/>
      <c r="SHK46" s="2842"/>
      <c r="SHL46" s="2842"/>
      <c r="SHM46" s="2843"/>
      <c r="SHN46" s="2843"/>
      <c r="SHO46" s="2844"/>
      <c r="SHP46" s="2845"/>
      <c r="SHQ46" s="2842"/>
      <c r="SHR46" s="2842"/>
      <c r="SHS46" s="2843"/>
      <c r="SHT46" s="2843"/>
      <c r="SHU46" s="2844"/>
      <c r="SHV46" s="2845"/>
      <c r="SHW46" s="2842"/>
      <c r="SHX46" s="2842"/>
      <c r="SHY46" s="2843"/>
      <c r="SHZ46" s="2843"/>
      <c r="SIA46" s="2844"/>
      <c r="SIB46" s="2845"/>
      <c r="SIC46" s="2842"/>
      <c r="SID46" s="2842"/>
      <c r="SIE46" s="2843"/>
      <c r="SIF46" s="2843"/>
      <c r="SIG46" s="2844"/>
      <c r="SIH46" s="2845"/>
      <c r="SII46" s="2842"/>
      <c r="SIJ46" s="2842"/>
      <c r="SIK46" s="2843"/>
      <c r="SIL46" s="2843"/>
      <c r="SIM46" s="2844"/>
      <c r="SIN46" s="2845"/>
      <c r="SIO46" s="2842"/>
      <c r="SIP46" s="2842"/>
      <c r="SIQ46" s="2843"/>
      <c r="SIR46" s="2843"/>
      <c r="SIS46" s="2844"/>
      <c r="SIT46" s="2845"/>
      <c r="SIU46" s="2842"/>
      <c r="SIV46" s="2842"/>
      <c r="SIW46" s="2843"/>
      <c r="SIX46" s="2843"/>
      <c r="SIY46" s="2844"/>
      <c r="SIZ46" s="2845"/>
      <c r="SJA46" s="2842"/>
      <c r="SJB46" s="2842"/>
      <c r="SJC46" s="2843"/>
      <c r="SJD46" s="2843"/>
      <c r="SJE46" s="2844"/>
      <c r="SJF46" s="2845"/>
      <c r="SJG46" s="2842"/>
      <c r="SJH46" s="2842"/>
      <c r="SJI46" s="2843"/>
      <c r="SJJ46" s="2843"/>
      <c r="SJK46" s="2844"/>
      <c r="SJL46" s="2845"/>
      <c r="SJM46" s="2842"/>
      <c r="SJN46" s="2842"/>
      <c r="SJO46" s="2843"/>
      <c r="SJP46" s="2843"/>
      <c r="SJQ46" s="2844"/>
      <c r="SJR46" s="2845"/>
      <c r="SJS46" s="2842"/>
      <c r="SJT46" s="2842"/>
      <c r="SJU46" s="2843"/>
      <c r="SJV46" s="2843"/>
      <c r="SJW46" s="2844"/>
      <c r="SJX46" s="2845"/>
      <c r="SJY46" s="2842"/>
      <c r="SJZ46" s="2842"/>
      <c r="SKA46" s="2843"/>
      <c r="SKB46" s="2843"/>
      <c r="SKC46" s="2844"/>
      <c r="SKD46" s="2845"/>
      <c r="SKE46" s="2842"/>
      <c r="SKF46" s="2842"/>
      <c r="SKG46" s="2843"/>
      <c r="SKH46" s="2843"/>
      <c r="SKI46" s="2844"/>
      <c r="SKJ46" s="2845"/>
      <c r="SKK46" s="2842"/>
      <c r="SKL46" s="2842"/>
      <c r="SKM46" s="2843"/>
      <c r="SKN46" s="2843"/>
      <c r="SKO46" s="2844"/>
      <c r="SKP46" s="2845"/>
      <c r="SKQ46" s="2842"/>
      <c r="SKR46" s="2842"/>
      <c r="SKS46" s="2843"/>
      <c r="SKT46" s="2843"/>
      <c r="SKU46" s="2844"/>
      <c r="SKV46" s="2845"/>
      <c r="SKW46" s="2842"/>
      <c r="SKX46" s="2842"/>
      <c r="SKY46" s="2843"/>
      <c r="SKZ46" s="2843"/>
      <c r="SLA46" s="2844"/>
      <c r="SLB46" s="2845"/>
      <c r="SLC46" s="2842"/>
      <c r="SLD46" s="2842"/>
      <c r="SLE46" s="2843"/>
      <c r="SLF46" s="2843"/>
      <c r="SLG46" s="2844"/>
      <c r="SLH46" s="2845"/>
      <c r="SLI46" s="2842"/>
      <c r="SLJ46" s="2842"/>
      <c r="SLK46" s="2843"/>
      <c r="SLL46" s="2843"/>
      <c r="SLM46" s="2844"/>
      <c r="SLN46" s="2845"/>
      <c r="SLO46" s="2842"/>
      <c r="SLP46" s="2842"/>
      <c r="SLQ46" s="2843"/>
      <c r="SLR46" s="2843"/>
      <c r="SLS46" s="2844"/>
      <c r="SLT46" s="2845"/>
      <c r="SLU46" s="2842"/>
      <c r="SLV46" s="2842"/>
      <c r="SLW46" s="2843"/>
      <c r="SLX46" s="2843"/>
      <c r="SLY46" s="2844"/>
      <c r="SLZ46" s="2845"/>
      <c r="SMA46" s="2842"/>
      <c r="SMB46" s="2842"/>
      <c r="SMC46" s="2843"/>
      <c r="SMD46" s="2843"/>
      <c r="SME46" s="2844"/>
      <c r="SMF46" s="2845"/>
      <c r="SMG46" s="2842"/>
      <c r="SMH46" s="2842"/>
      <c r="SMI46" s="2843"/>
      <c r="SMJ46" s="2843"/>
      <c r="SMK46" s="2844"/>
      <c r="SML46" s="2845"/>
      <c r="SMM46" s="2842"/>
      <c r="SMN46" s="2842"/>
      <c r="SMO46" s="2843"/>
      <c r="SMP46" s="2843"/>
      <c r="SMQ46" s="2844"/>
      <c r="SMR46" s="2845"/>
      <c r="SMS46" s="2842"/>
      <c r="SMT46" s="2842"/>
      <c r="SMU46" s="2843"/>
      <c r="SMV46" s="2843"/>
      <c r="SMW46" s="2844"/>
      <c r="SMX46" s="2845"/>
      <c r="SMY46" s="2842"/>
      <c r="SMZ46" s="2842"/>
      <c r="SNA46" s="2843"/>
      <c r="SNB46" s="2843"/>
      <c r="SNC46" s="2844"/>
      <c r="SND46" s="2845"/>
      <c r="SNE46" s="2842"/>
      <c r="SNF46" s="2842"/>
      <c r="SNG46" s="2843"/>
      <c r="SNH46" s="2843"/>
      <c r="SNI46" s="2844"/>
      <c r="SNJ46" s="2845"/>
      <c r="SNK46" s="2842"/>
      <c r="SNL46" s="2842"/>
      <c r="SNM46" s="2843"/>
      <c r="SNN46" s="2843"/>
      <c r="SNO46" s="2844"/>
      <c r="SNP46" s="2845"/>
      <c r="SNQ46" s="2842"/>
      <c r="SNR46" s="2842"/>
      <c r="SNS46" s="2843"/>
      <c r="SNT46" s="2843"/>
      <c r="SNU46" s="2844"/>
      <c r="SNV46" s="2845"/>
      <c r="SNW46" s="2842"/>
      <c r="SNX46" s="2842"/>
      <c r="SNY46" s="2843"/>
      <c r="SNZ46" s="2843"/>
      <c r="SOA46" s="2844"/>
      <c r="SOB46" s="2845"/>
      <c r="SOC46" s="2842"/>
      <c r="SOD46" s="2842"/>
      <c r="SOE46" s="2843"/>
      <c r="SOF46" s="2843"/>
      <c r="SOG46" s="2844"/>
      <c r="SOH46" s="2845"/>
      <c r="SOI46" s="2842"/>
      <c r="SOJ46" s="2842"/>
      <c r="SOK46" s="2843"/>
      <c r="SOL46" s="2843"/>
      <c r="SOM46" s="2844"/>
      <c r="SON46" s="2845"/>
      <c r="SOO46" s="2842"/>
      <c r="SOP46" s="2842"/>
      <c r="SOQ46" s="2843"/>
      <c r="SOR46" s="2843"/>
      <c r="SOS46" s="2844"/>
      <c r="SOT46" s="2845"/>
      <c r="SOU46" s="2842"/>
      <c r="SOV46" s="2842"/>
      <c r="SOW46" s="2843"/>
      <c r="SOX46" s="2843"/>
      <c r="SOY46" s="2844"/>
      <c r="SOZ46" s="2845"/>
      <c r="SPA46" s="2842"/>
      <c r="SPB46" s="2842"/>
      <c r="SPC46" s="2843"/>
      <c r="SPD46" s="2843"/>
      <c r="SPE46" s="2844"/>
      <c r="SPF46" s="2845"/>
      <c r="SPG46" s="2842"/>
      <c r="SPH46" s="2842"/>
      <c r="SPI46" s="2843"/>
      <c r="SPJ46" s="2843"/>
      <c r="SPK46" s="2844"/>
      <c r="SPL46" s="2845"/>
      <c r="SPM46" s="2842"/>
      <c r="SPN46" s="2842"/>
      <c r="SPO46" s="2843"/>
      <c r="SPP46" s="2843"/>
      <c r="SPQ46" s="2844"/>
      <c r="SPR46" s="2845"/>
      <c r="SPS46" s="2842"/>
      <c r="SPT46" s="2842"/>
      <c r="SPU46" s="2843"/>
      <c r="SPV46" s="2843"/>
      <c r="SPW46" s="2844"/>
      <c r="SPX46" s="2845"/>
      <c r="SPY46" s="2842"/>
      <c r="SPZ46" s="2842"/>
      <c r="SQA46" s="2843"/>
      <c r="SQB46" s="2843"/>
      <c r="SQC46" s="2844"/>
      <c r="SQD46" s="2845"/>
      <c r="SQE46" s="2842"/>
      <c r="SQF46" s="2842"/>
      <c r="SQG46" s="2843"/>
      <c r="SQH46" s="2843"/>
      <c r="SQI46" s="2844"/>
      <c r="SQJ46" s="2845"/>
      <c r="SQK46" s="2842"/>
      <c r="SQL46" s="2842"/>
      <c r="SQM46" s="2843"/>
      <c r="SQN46" s="2843"/>
      <c r="SQO46" s="2844"/>
      <c r="SQP46" s="2845"/>
      <c r="SQQ46" s="2842"/>
      <c r="SQR46" s="2842"/>
      <c r="SQS46" s="2843"/>
      <c r="SQT46" s="2843"/>
      <c r="SQU46" s="2844"/>
      <c r="SQV46" s="2845"/>
      <c r="SQW46" s="2842"/>
      <c r="SQX46" s="2842"/>
      <c r="SQY46" s="2843"/>
      <c r="SQZ46" s="2843"/>
      <c r="SRA46" s="2844"/>
      <c r="SRB46" s="2845"/>
      <c r="SRC46" s="2842"/>
      <c r="SRD46" s="2842"/>
      <c r="SRE46" s="2843"/>
      <c r="SRF46" s="2843"/>
      <c r="SRG46" s="2844"/>
      <c r="SRH46" s="2845"/>
      <c r="SRI46" s="2842"/>
      <c r="SRJ46" s="2842"/>
      <c r="SRK46" s="2843"/>
      <c r="SRL46" s="2843"/>
      <c r="SRM46" s="2844"/>
      <c r="SRN46" s="2845"/>
      <c r="SRO46" s="2842"/>
      <c r="SRP46" s="2842"/>
      <c r="SRQ46" s="2843"/>
      <c r="SRR46" s="2843"/>
      <c r="SRS46" s="2844"/>
      <c r="SRT46" s="2845"/>
      <c r="SRU46" s="2842"/>
      <c r="SRV46" s="2842"/>
      <c r="SRW46" s="2843"/>
      <c r="SRX46" s="2843"/>
      <c r="SRY46" s="2844"/>
      <c r="SRZ46" s="2845"/>
      <c r="SSA46" s="2842"/>
      <c r="SSB46" s="2842"/>
      <c r="SSC46" s="2843"/>
      <c r="SSD46" s="2843"/>
      <c r="SSE46" s="2844"/>
      <c r="SSF46" s="2845"/>
      <c r="SSG46" s="2842"/>
      <c r="SSH46" s="2842"/>
      <c r="SSI46" s="2843"/>
      <c r="SSJ46" s="2843"/>
      <c r="SSK46" s="2844"/>
      <c r="SSL46" s="2845"/>
      <c r="SSM46" s="2842"/>
      <c r="SSN46" s="2842"/>
      <c r="SSO46" s="2843"/>
      <c r="SSP46" s="2843"/>
      <c r="SSQ46" s="2844"/>
      <c r="SSR46" s="2845"/>
      <c r="SSS46" s="2842"/>
      <c r="SST46" s="2842"/>
      <c r="SSU46" s="2843"/>
      <c r="SSV46" s="2843"/>
      <c r="SSW46" s="2844"/>
      <c r="SSX46" s="2845"/>
      <c r="SSY46" s="2842"/>
      <c r="SSZ46" s="2842"/>
      <c r="STA46" s="2843"/>
      <c r="STB46" s="2843"/>
      <c r="STC46" s="2844"/>
      <c r="STD46" s="2845"/>
      <c r="STE46" s="2842"/>
      <c r="STF46" s="2842"/>
      <c r="STG46" s="2843"/>
      <c r="STH46" s="2843"/>
      <c r="STI46" s="2844"/>
      <c r="STJ46" s="2845"/>
      <c r="STK46" s="2842"/>
      <c r="STL46" s="2842"/>
      <c r="STM46" s="2843"/>
      <c r="STN46" s="2843"/>
      <c r="STO46" s="2844"/>
      <c r="STP46" s="2845"/>
      <c r="STQ46" s="2842"/>
      <c r="STR46" s="2842"/>
      <c r="STS46" s="2843"/>
      <c r="STT46" s="2843"/>
      <c r="STU46" s="2844"/>
      <c r="STV46" s="2845"/>
      <c r="STW46" s="2842"/>
      <c r="STX46" s="2842"/>
      <c r="STY46" s="2843"/>
      <c r="STZ46" s="2843"/>
      <c r="SUA46" s="2844"/>
      <c r="SUB46" s="2845"/>
      <c r="SUC46" s="2842"/>
      <c r="SUD46" s="2842"/>
      <c r="SUE46" s="2843"/>
      <c r="SUF46" s="2843"/>
      <c r="SUG46" s="2844"/>
      <c r="SUH46" s="2845"/>
      <c r="SUI46" s="2842"/>
      <c r="SUJ46" s="2842"/>
      <c r="SUK46" s="2843"/>
      <c r="SUL46" s="2843"/>
      <c r="SUM46" s="2844"/>
      <c r="SUN46" s="2845"/>
      <c r="SUO46" s="2842"/>
      <c r="SUP46" s="2842"/>
      <c r="SUQ46" s="2843"/>
      <c r="SUR46" s="2843"/>
      <c r="SUS46" s="2844"/>
      <c r="SUT46" s="2845"/>
      <c r="SUU46" s="2842"/>
      <c r="SUV46" s="2842"/>
      <c r="SUW46" s="2843"/>
      <c r="SUX46" s="2843"/>
      <c r="SUY46" s="2844"/>
      <c r="SUZ46" s="2845"/>
      <c r="SVA46" s="2842"/>
      <c r="SVB46" s="2842"/>
      <c r="SVC46" s="2843"/>
      <c r="SVD46" s="2843"/>
      <c r="SVE46" s="2844"/>
      <c r="SVF46" s="2845"/>
      <c r="SVG46" s="2842"/>
      <c r="SVH46" s="2842"/>
      <c r="SVI46" s="2843"/>
      <c r="SVJ46" s="2843"/>
      <c r="SVK46" s="2844"/>
      <c r="SVL46" s="2845"/>
      <c r="SVM46" s="2842"/>
      <c r="SVN46" s="2842"/>
      <c r="SVO46" s="2843"/>
      <c r="SVP46" s="2843"/>
      <c r="SVQ46" s="2844"/>
      <c r="SVR46" s="2845"/>
      <c r="SVS46" s="2842"/>
      <c r="SVT46" s="2842"/>
      <c r="SVU46" s="2843"/>
      <c r="SVV46" s="2843"/>
      <c r="SVW46" s="2844"/>
      <c r="SVX46" s="2845"/>
      <c r="SVY46" s="2842"/>
      <c r="SVZ46" s="2842"/>
      <c r="SWA46" s="2843"/>
      <c r="SWB46" s="2843"/>
      <c r="SWC46" s="2844"/>
      <c r="SWD46" s="2845"/>
      <c r="SWE46" s="2842"/>
      <c r="SWF46" s="2842"/>
      <c r="SWG46" s="2843"/>
      <c r="SWH46" s="2843"/>
      <c r="SWI46" s="2844"/>
      <c r="SWJ46" s="2845"/>
      <c r="SWK46" s="2842"/>
      <c r="SWL46" s="2842"/>
      <c r="SWM46" s="2843"/>
      <c r="SWN46" s="2843"/>
      <c r="SWO46" s="2844"/>
      <c r="SWP46" s="2845"/>
      <c r="SWQ46" s="2842"/>
      <c r="SWR46" s="2842"/>
      <c r="SWS46" s="2843"/>
      <c r="SWT46" s="2843"/>
      <c r="SWU46" s="2844"/>
      <c r="SWV46" s="2845"/>
      <c r="SWW46" s="2842"/>
      <c r="SWX46" s="2842"/>
      <c r="SWY46" s="2843"/>
      <c r="SWZ46" s="2843"/>
      <c r="SXA46" s="2844"/>
      <c r="SXB46" s="2845"/>
      <c r="SXC46" s="2842"/>
      <c r="SXD46" s="2842"/>
      <c r="SXE46" s="2843"/>
      <c r="SXF46" s="2843"/>
      <c r="SXG46" s="2844"/>
      <c r="SXH46" s="2845"/>
      <c r="SXI46" s="2842"/>
      <c r="SXJ46" s="2842"/>
      <c r="SXK46" s="2843"/>
      <c r="SXL46" s="2843"/>
      <c r="SXM46" s="2844"/>
      <c r="SXN46" s="2845"/>
      <c r="SXO46" s="2842"/>
      <c r="SXP46" s="2842"/>
      <c r="SXQ46" s="2843"/>
      <c r="SXR46" s="2843"/>
      <c r="SXS46" s="2844"/>
      <c r="SXT46" s="2845"/>
      <c r="SXU46" s="2842"/>
      <c r="SXV46" s="2842"/>
      <c r="SXW46" s="2843"/>
      <c r="SXX46" s="2843"/>
      <c r="SXY46" s="2844"/>
      <c r="SXZ46" s="2845"/>
      <c r="SYA46" s="2842"/>
      <c r="SYB46" s="2842"/>
      <c r="SYC46" s="2843"/>
      <c r="SYD46" s="2843"/>
      <c r="SYE46" s="2844"/>
      <c r="SYF46" s="2845"/>
      <c r="SYG46" s="2842"/>
      <c r="SYH46" s="2842"/>
      <c r="SYI46" s="2843"/>
      <c r="SYJ46" s="2843"/>
      <c r="SYK46" s="2844"/>
      <c r="SYL46" s="2845"/>
      <c r="SYM46" s="2842"/>
      <c r="SYN46" s="2842"/>
      <c r="SYO46" s="2843"/>
      <c r="SYP46" s="2843"/>
      <c r="SYQ46" s="2844"/>
      <c r="SYR46" s="2845"/>
      <c r="SYS46" s="2842"/>
      <c r="SYT46" s="2842"/>
      <c r="SYU46" s="2843"/>
      <c r="SYV46" s="2843"/>
      <c r="SYW46" s="2844"/>
      <c r="SYX46" s="2845"/>
      <c r="SYY46" s="2842"/>
      <c r="SYZ46" s="2842"/>
      <c r="SZA46" s="2843"/>
      <c r="SZB46" s="2843"/>
      <c r="SZC46" s="2844"/>
      <c r="SZD46" s="2845"/>
      <c r="SZE46" s="2842"/>
      <c r="SZF46" s="2842"/>
      <c r="SZG46" s="2843"/>
      <c r="SZH46" s="2843"/>
      <c r="SZI46" s="2844"/>
      <c r="SZJ46" s="2845"/>
      <c r="SZK46" s="2842"/>
      <c r="SZL46" s="2842"/>
      <c r="SZM46" s="2843"/>
      <c r="SZN46" s="2843"/>
      <c r="SZO46" s="2844"/>
      <c r="SZP46" s="2845"/>
      <c r="SZQ46" s="2842"/>
      <c r="SZR46" s="2842"/>
      <c r="SZS46" s="2843"/>
      <c r="SZT46" s="2843"/>
      <c r="SZU46" s="2844"/>
      <c r="SZV46" s="2845"/>
      <c r="SZW46" s="2842"/>
      <c r="SZX46" s="2842"/>
      <c r="SZY46" s="2843"/>
      <c r="SZZ46" s="2843"/>
      <c r="TAA46" s="2844"/>
      <c r="TAB46" s="2845"/>
      <c r="TAC46" s="2842"/>
      <c r="TAD46" s="2842"/>
      <c r="TAE46" s="2843"/>
      <c r="TAF46" s="2843"/>
      <c r="TAG46" s="2844"/>
      <c r="TAH46" s="2845"/>
      <c r="TAI46" s="2842"/>
      <c r="TAJ46" s="2842"/>
      <c r="TAK46" s="2843"/>
      <c r="TAL46" s="2843"/>
      <c r="TAM46" s="2844"/>
      <c r="TAN46" s="2845"/>
      <c r="TAO46" s="2842"/>
      <c r="TAP46" s="2842"/>
      <c r="TAQ46" s="2843"/>
      <c r="TAR46" s="2843"/>
      <c r="TAS46" s="2844"/>
      <c r="TAT46" s="2845"/>
      <c r="TAU46" s="2842"/>
      <c r="TAV46" s="2842"/>
      <c r="TAW46" s="2843"/>
      <c r="TAX46" s="2843"/>
      <c r="TAY46" s="2844"/>
      <c r="TAZ46" s="2845"/>
      <c r="TBA46" s="2842"/>
      <c r="TBB46" s="2842"/>
      <c r="TBC46" s="2843"/>
      <c r="TBD46" s="2843"/>
      <c r="TBE46" s="2844"/>
      <c r="TBF46" s="2845"/>
      <c r="TBG46" s="2842"/>
      <c r="TBH46" s="2842"/>
      <c r="TBI46" s="2843"/>
      <c r="TBJ46" s="2843"/>
      <c r="TBK46" s="2844"/>
      <c r="TBL46" s="2845"/>
      <c r="TBM46" s="2842"/>
      <c r="TBN46" s="2842"/>
      <c r="TBO46" s="2843"/>
      <c r="TBP46" s="2843"/>
      <c r="TBQ46" s="2844"/>
      <c r="TBR46" s="2845"/>
      <c r="TBS46" s="2842"/>
      <c r="TBT46" s="2842"/>
      <c r="TBU46" s="2843"/>
      <c r="TBV46" s="2843"/>
      <c r="TBW46" s="2844"/>
      <c r="TBX46" s="2845"/>
      <c r="TBY46" s="2842"/>
      <c r="TBZ46" s="2842"/>
      <c r="TCA46" s="2843"/>
      <c r="TCB46" s="2843"/>
      <c r="TCC46" s="2844"/>
      <c r="TCD46" s="2845"/>
      <c r="TCE46" s="2842"/>
      <c r="TCF46" s="2842"/>
      <c r="TCG46" s="2843"/>
      <c r="TCH46" s="2843"/>
      <c r="TCI46" s="2844"/>
      <c r="TCJ46" s="2845"/>
      <c r="TCK46" s="2842"/>
      <c r="TCL46" s="2842"/>
      <c r="TCM46" s="2843"/>
      <c r="TCN46" s="2843"/>
      <c r="TCO46" s="2844"/>
      <c r="TCP46" s="2845"/>
      <c r="TCQ46" s="2842"/>
      <c r="TCR46" s="2842"/>
      <c r="TCS46" s="2843"/>
      <c r="TCT46" s="2843"/>
      <c r="TCU46" s="2844"/>
      <c r="TCV46" s="2845"/>
      <c r="TCW46" s="2842"/>
      <c r="TCX46" s="2842"/>
      <c r="TCY46" s="2843"/>
      <c r="TCZ46" s="2843"/>
      <c r="TDA46" s="2844"/>
      <c r="TDB46" s="2845"/>
      <c r="TDC46" s="2842"/>
      <c r="TDD46" s="2842"/>
      <c r="TDE46" s="2843"/>
      <c r="TDF46" s="2843"/>
      <c r="TDG46" s="2844"/>
      <c r="TDH46" s="2845"/>
      <c r="TDI46" s="2842"/>
      <c r="TDJ46" s="2842"/>
      <c r="TDK46" s="2843"/>
      <c r="TDL46" s="2843"/>
      <c r="TDM46" s="2844"/>
      <c r="TDN46" s="2845"/>
      <c r="TDO46" s="2842"/>
      <c r="TDP46" s="2842"/>
      <c r="TDQ46" s="2843"/>
      <c r="TDR46" s="2843"/>
      <c r="TDS46" s="2844"/>
      <c r="TDT46" s="2845"/>
      <c r="TDU46" s="2842"/>
      <c r="TDV46" s="2842"/>
      <c r="TDW46" s="2843"/>
      <c r="TDX46" s="2843"/>
      <c r="TDY46" s="2844"/>
      <c r="TDZ46" s="2845"/>
      <c r="TEA46" s="2842"/>
      <c r="TEB46" s="2842"/>
      <c r="TEC46" s="2843"/>
      <c r="TED46" s="2843"/>
      <c r="TEE46" s="2844"/>
      <c r="TEF46" s="2845"/>
      <c r="TEG46" s="2842"/>
      <c r="TEH46" s="2842"/>
      <c r="TEI46" s="2843"/>
      <c r="TEJ46" s="2843"/>
      <c r="TEK46" s="2844"/>
      <c r="TEL46" s="2845"/>
      <c r="TEM46" s="2842"/>
      <c r="TEN46" s="2842"/>
      <c r="TEO46" s="2843"/>
      <c r="TEP46" s="2843"/>
      <c r="TEQ46" s="2844"/>
      <c r="TER46" s="2845"/>
      <c r="TES46" s="2842"/>
      <c r="TET46" s="2842"/>
      <c r="TEU46" s="2843"/>
      <c r="TEV46" s="2843"/>
      <c r="TEW46" s="2844"/>
      <c r="TEX46" s="2845"/>
      <c r="TEY46" s="2842"/>
      <c r="TEZ46" s="2842"/>
      <c r="TFA46" s="2843"/>
      <c r="TFB46" s="2843"/>
      <c r="TFC46" s="2844"/>
      <c r="TFD46" s="2845"/>
      <c r="TFE46" s="2842"/>
      <c r="TFF46" s="2842"/>
      <c r="TFG46" s="2843"/>
      <c r="TFH46" s="2843"/>
      <c r="TFI46" s="2844"/>
      <c r="TFJ46" s="2845"/>
      <c r="TFK46" s="2842"/>
      <c r="TFL46" s="2842"/>
      <c r="TFM46" s="2843"/>
      <c r="TFN46" s="2843"/>
      <c r="TFO46" s="2844"/>
      <c r="TFP46" s="2845"/>
      <c r="TFQ46" s="2842"/>
      <c r="TFR46" s="2842"/>
      <c r="TFS46" s="2843"/>
      <c r="TFT46" s="2843"/>
      <c r="TFU46" s="2844"/>
      <c r="TFV46" s="2845"/>
      <c r="TFW46" s="2842"/>
      <c r="TFX46" s="2842"/>
      <c r="TFY46" s="2843"/>
      <c r="TFZ46" s="2843"/>
      <c r="TGA46" s="2844"/>
      <c r="TGB46" s="2845"/>
      <c r="TGC46" s="2842"/>
      <c r="TGD46" s="2842"/>
      <c r="TGE46" s="2843"/>
      <c r="TGF46" s="2843"/>
      <c r="TGG46" s="2844"/>
      <c r="TGH46" s="2845"/>
      <c r="TGI46" s="2842"/>
      <c r="TGJ46" s="2842"/>
      <c r="TGK46" s="2843"/>
      <c r="TGL46" s="2843"/>
      <c r="TGM46" s="2844"/>
      <c r="TGN46" s="2845"/>
      <c r="TGO46" s="2842"/>
      <c r="TGP46" s="2842"/>
      <c r="TGQ46" s="2843"/>
      <c r="TGR46" s="2843"/>
      <c r="TGS46" s="2844"/>
      <c r="TGT46" s="2845"/>
      <c r="TGU46" s="2842"/>
      <c r="TGV46" s="2842"/>
      <c r="TGW46" s="2843"/>
      <c r="TGX46" s="2843"/>
      <c r="TGY46" s="2844"/>
      <c r="TGZ46" s="2845"/>
      <c r="THA46" s="2842"/>
      <c r="THB46" s="2842"/>
      <c r="THC46" s="2843"/>
      <c r="THD46" s="2843"/>
      <c r="THE46" s="2844"/>
      <c r="THF46" s="2845"/>
      <c r="THG46" s="2842"/>
      <c r="THH46" s="2842"/>
      <c r="THI46" s="2843"/>
      <c r="THJ46" s="2843"/>
      <c r="THK46" s="2844"/>
      <c r="THL46" s="2845"/>
      <c r="THM46" s="2842"/>
      <c r="THN46" s="2842"/>
      <c r="THO46" s="2843"/>
      <c r="THP46" s="2843"/>
      <c r="THQ46" s="2844"/>
      <c r="THR46" s="2845"/>
      <c r="THS46" s="2842"/>
      <c r="THT46" s="2842"/>
      <c r="THU46" s="2843"/>
      <c r="THV46" s="2843"/>
      <c r="THW46" s="2844"/>
      <c r="THX46" s="2845"/>
      <c r="THY46" s="2842"/>
      <c r="THZ46" s="2842"/>
      <c r="TIA46" s="2843"/>
      <c r="TIB46" s="2843"/>
      <c r="TIC46" s="2844"/>
      <c r="TID46" s="2845"/>
      <c r="TIE46" s="2842"/>
      <c r="TIF46" s="2842"/>
      <c r="TIG46" s="2843"/>
      <c r="TIH46" s="2843"/>
      <c r="TII46" s="2844"/>
      <c r="TIJ46" s="2845"/>
      <c r="TIK46" s="2842"/>
      <c r="TIL46" s="2842"/>
      <c r="TIM46" s="2843"/>
      <c r="TIN46" s="2843"/>
      <c r="TIO46" s="2844"/>
      <c r="TIP46" s="2845"/>
      <c r="TIQ46" s="2842"/>
      <c r="TIR46" s="2842"/>
      <c r="TIS46" s="2843"/>
      <c r="TIT46" s="2843"/>
      <c r="TIU46" s="2844"/>
      <c r="TIV46" s="2845"/>
      <c r="TIW46" s="2842"/>
      <c r="TIX46" s="2842"/>
      <c r="TIY46" s="2843"/>
      <c r="TIZ46" s="2843"/>
      <c r="TJA46" s="2844"/>
      <c r="TJB46" s="2845"/>
      <c r="TJC46" s="2842"/>
      <c r="TJD46" s="2842"/>
      <c r="TJE46" s="2843"/>
      <c r="TJF46" s="2843"/>
      <c r="TJG46" s="2844"/>
      <c r="TJH46" s="2845"/>
      <c r="TJI46" s="2842"/>
      <c r="TJJ46" s="2842"/>
      <c r="TJK46" s="2843"/>
      <c r="TJL46" s="2843"/>
      <c r="TJM46" s="2844"/>
      <c r="TJN46" s="2845"/>
      <c r="TJO46" s="2842"/>
      <c r="TJP46" s="2842"/>
      <c r="TJQ46" s="2843"/>
      <c r="TJR46" s="2843"/>
      <c r="TJS46" s="2844"/>
      <c r="TJT46" s="2845"/>
      <c r="TJU46" s="2842"/>
      <c r="TJV46" s="2842"/>
      <c r="TJW46" s="2843"/>
      <c r="TJX46" s="2843"/>
      <c r="TJY46" s="2844"/>
      <c r="TJZ46" s="2845"/>
      <c r="TKA46" s="2842"/>
      <c r="TKB46" s="2842"/>
      <c r="TKC46" s="2843"/>
      <c r="TKD46" s="2843"/>
      <c r="TKE46" s="2844"/>
      <c r="TKF46" s="2845"/>
      <c r="TKG46" s="2842"/>
      <c r="TKH46" s="2842"/>
      <c r="TKI46" s="2843"/>
      <c r="TKJ46" s="2843"/>
      <c r="TKK46" s="2844"/>
      <c r="TKL46" s="2845"/>
      <c r="TKM46" s="2842"/>
      <c r="TKN46" s="2842"/>
      <c r="TKO46" s="2843"/>
      <c r="TKP46" s="2843"/>
      <c r="TKQ46" s="2844"/>
      <c r="TKR46" s="2845"/>
      <c r="TKS46" s="2842"/>
      <c r="TKT46" s="2842"/>
      <c r="TKU46" s="2843"/>
      <c r="TKV46" s="2843"/>
      <c r="TKW46" s="2844"/>
      <c r="TKX46" s="2845"/>
      <c r="TKY46" s="2842"/>
      <c r="TKZ46" s="2842"/>
      <c r="TLA46" s="2843"/>
      <c r="TLB46" s="2843"/>
      <c r="TLC46" s="2844"/>
      <c r="TLD46" s="2845"/>
      <c r="TLE46" s="2842"/>
      <c r="TLF46" s="2842"/>
      <c r="TLG46" s="2843"/>
      <c r="TLH46" s="2843"/>
      <c r="TLI46" s="2844"/>
      <c r="TLJ46" s="2845"/>
      <c r="TLK46" s="2842"/>
      <c r="TLL46" s="2842"/>
      <c r="TLM46" s="2843"/>
      <c r="TLN46" s="2843"/>
      <c r="TLO46" s="2844"/>
      <c r="TLP46" s="2845"/>
      <c r="TLQ46" s="2842"/>
      <c r="TLR46" s="2842"/>
      <c r="TLS46" s="2843"/>
      <c r="TLT46" s="2843"/>
      <c r="TLU46" s="2844"/>
      <c r="TLV46" s="2845"/>
      <c r="TLW46" s="2842"/>
      <c r="TLX46" s="2842"/>
      <c r="TLY46" s="2843"/>
      <c r="TLZ46" s="2843"/>
      <c r="TMA46" s="2844"/>
      <c r="TMB46" s="2845"/>
      <c r="TMC46" s="2842"/>
      <c r="TMD46" s="2842"/>
      <c r="TME46" s="2843"/>
      <c r="TMF46" s="2843"/>
      <c r="TMG46" s="2844"/>
      <c r="TMH46" s="2845"/>
      <c r="TMI46" s="2842"/>
      <c r="TMJ46" s="2842"/>
      <c r="TMK46" s="2843"/>
      <c r="TML46" s="2843"/>
      <c r="TMM46" s="2844"/>
      <c r="TMN46" s="2845"/>
      <c r="TMO46" s="2842"/>
      <c r="TMP46" s="2842"/>
      <c r="TMQ46" s="2843"/>
      <c r="TMR46" s="2843"/>
      <c r="TMS46" s="2844"/>
      <c r="TMT46" s="2845"/>
      <c r="TMU46" s="2842"/>
      <c r="TMV46" s="2842"/>
      <c r="TMW46" s="2843"/>
      <c r="TMX46" s="2843"/>
      <c r="TMY46" s="2844"/>
      <c r="TMZ46" s="2845"/>
      <c r="TNA46" s="2842"/>
      <c r="TNB46" s="2842"/>
      <c r="TNC46" s="2843"/>
      <c r="TND46" s="2843"/>
      <c r="TNE46" s="2844"/>
      <c r="TNF46" s="2845"/>
      <c r="TNG46" s="2842"/>
      <c r="TNH46" s="2842"/>
      <c r="TNI46" s="2843"/>
      <c r="TNJ46" s="2843"/>
      <c r="TNK46" s="2844"/>
      <c r="TNL46" s="2845"/>
      <c r="TNM46" s="2842"/>
      <c r="TNN46" s="2842"/>
      <c r="TNO46" s="2843"/>
      <c r="TNP46" s="2843"/>
      <c r="TNQ46" s="2844"/>
      <c r="TNR46" s="2845"/>
      <c r="TNS46" s="2842"/>
      <c r="TNT46" s="2842"/>
      <c r="TNU46" s="2843"/>
      <c r="TNV46" s="2843"/>
      <c r="TNW46" s="2844"/>
      <c r="TNX46" s="2845"/>
      <c r="TNY46" s="2842"/>
      <c r="TNZ46" s="2842"/>
      <c r="TOA46" s="2843"/>
      <c r="TOB46" s="2843"/>
      <c r="TOC46" s="2844"/>
      <c r="TOD46" s="2845"/>
      <c r="TOE46" s="2842"/>
      <c r="TOF46" s="2842"/>
      <c r="TOG46" s="2843"/>
      <c r="TOH46" s="2843"/>
      <c r="TOI46" s="2844"/>
      <c r="TOJ46" s="2845"/>
      <c r="TOK46" s="2842"/>
      <c r="TOL46" s="2842"/>
      <c r="TOM46" s="2843"/>
      <c r="TON46" s="2843"/>
      <c r="TOO46" s="2844"/>
      <c r="TOP46" s="2845"/>
      <c r="TOQ46" s="2842"/>
      <c r="TOR46" s="2842"/>
      <c r="TOS46" s="2843"/>
      <c r="TOT46" s="2843"/>
      <c r="TOU46" s="2844"/>
      <c r="TOV46" s="2845"/>
      <c r="TOW46" s="2842"/>
      <c r="TOX46" s="2842"/>
      <c r="TOY46" s="2843"/>
      <c r="TOZ46" s="2843"/>
      <c r="TPA46" s="2844"/>
      <c r="TPB46" s="2845"/>
      <c r="TPC46" s="2842"/>
      <c r="TPD46" s="2842"/>
      <c r="TPE46" s="2843"/>
      <c r="TPF46" s="2843"/>
      <c r="TPG46" s="2844"/>
      <c r="TPH46" s="2845"/>
      <c r="TPI46" s="2842"/>
      <c r="TPJ46" s="2842"/>
      <c r="TPK46" s="2843"/>
      <c r="TPL46" s="2843"/>
      <c r="TPM46" s="2844"/>
      <c r="TPN46" s="2845"/>
      <c r="TPO46" s="2842"/>
      <c r="TPP46" s="2842"/>
      <c r="TPQ46" s="2843"/>
      <c r="TPR46" s="2843"/>
      <c r="TPS46" s="2844"/>
      <c r="TPT46" s="2845"/>
      <c r="TPU46" s="2842"/>
      <c r="TPV46" s="2842"/>
      <c r="TPW46" s="2843"/>
      <c r="TPX46" s="2843"/>
      <c r="TPY46" s="2844"/>
      <c r="TPZ46" s="2845"/>
      <c r="TQA46" s="2842"/>
      <c r="TQB46" s="2842"/>
      <c r="TQC46" s="2843"/>
      <c r="TQD46" s="2843"/>
      <c r="TQE46" s="2844"/>
      <c r="TQF46" s="2845"/>
      <c r="TQG46" s="2842"/>
      <c r="TQH46" s="2842"/>
      <c r="TQI46" s="2843"/>
      <c r="TQJ46" s="2843"/>
      <c r="TQK46" s="2844"/>
      <c r="TQL46" s="2845"/>
      <c r="TQM46" s="2842"/>
      <c r="TQN46" s="2842"/>
      <c r="TQO46" s="2843"/>
      <c r="TQP46" s="2843"/>
      <c r="TQQ46" s="2844"/>
      <c r="TQR46" s="2845"/>
      <c r="TQS46" s="2842"/>
      <c r="TQT46" s="2842"/>
      <c r="TQU46" s="2843"/>
      <c r="TQV46" s="2843"/>
      <c r="TQW46" s="2844"/>
      <c r="TQX46" s="2845"/>
      <c r="TQY46" s="2842"/>
      <c r="TQZ46" s="2842"/>
      <c r="TRA46" s="2843"/>
      <c r="TRB46" s="2843"/>
      <c r="TRC46" s="2844"/>
      <c r="TRD46" s="2845"/>
      <c r="TRE46" s="2842"/>
      <c r="TRF46" s="2842"/>
      <c r="TRG46" s="2843"/>
      <c r="TRH46" s="2843"/>
      <c r="TRI46" s="2844"/>
      <c r="TRJ46" s="2845"/>
      <c r="TRK46" s="2842"/>
      <c r="TRL46" s="2842"/>
      <c r="TRM46" s="2843"/>
      <c r="TRN46" s="2843"/>
      <c r="TRO46" s="2844"/>
      <c r="TRP46" s="2845"/>
      <c r="TRQ46" s="2842"/>
      <c r="TRR46" s="2842"/>
      <c r="TRS46" s="2843"/>
      <c r="TRT46" s="2843"/>
      <c r="TRU46" s="2844"/>
      <c r="TRV46" s="2845"/>
      <c r="TRW46" s="2842"/>
      <c r="TRX46" s="2842"/>
      <c r="TRY46" s="2843"/>
      <c r="TRZ46" s="2843"/>
      <c r="TSA46" s="2844"/>
      <c r="TSB46" s="2845"/>
      <c r="TSC46" s="2842"/>
      <c r="TSD46" s="2842"/>
      <c r="TSE46" s="2843"/>
      <c r="TSF46" s="2843"/>
      <c r="TSG46" s="2844"/>
      <c r="TSH46" s="2845"/>
      <c r="TSI46" s="2842"/>
      <c r="TSJ46" s="2842"/>
      <c r="TSK46" s="2843"/>
      <c r="TSL46" s="2843"/>
      <c r="TSM46" s="2844"/>
      <c r="TSN46" s="2845"/>
      <c r="TSO46" s="2842"/>
      <c r="TSP46" s="2842"/>
      <c r="TSQ46" s="2843"/>
      <c r="TSR46" s="2843"/>
      <c r="TSS46" s="2844"/>
      <c r="TST46" s="2845"/>
      <c r="TSU46" s="2842"/>
      <c r="TSV46" s="2842"/>
      <c r="TSW46" s="2843"/>
      <c r="TSX46" s="2843"/>
      <c r="TSY46" s="2844"/>
      <c r="TSZ46" s="2845"/>
      <c r="TTA46" s="2842"/>
      <c r="TTB46" s="2842"/>
      <c r="TTC46" s="2843"/>
      <c r="TTD46" s="2843"/>
      <c r="TTE46" s="2844"/>
      <c r="TTF46" s="2845"/>
      <c r="TTG46" s="2842"/>
      <c r="TTH46" s="2842"/>
      <c r="TTI46" s="2843"/>
      <c r="TTJ46" s="2843"/>
      <c r="TTK46" s="2844"/>
      <c r="TTL46" s="2845"/>
      <c r="TTM46" s="2842"/>
      <c r="TTN46" s="2842"/>
      <c r="TTO46" s="2843"/>
      <c r="TTP46" s="2843"/>
      <c r="TTQ46" s="2844"/>
      <c r="TTR46" s="2845"/>
      <c r="TTS46" s="2842"/>
      <c r="TTT46" s="2842"/>
      <c r="TTU46" s="2843"/>
      <c r="TTV46" s="2843"/>
      <c r="TTW46" s="2844"/>
      <c r="TTX46" s="2845"/>
      <c r="TTY46" s="2842"/>
      <c r="TTZ46" s="2842"/>
      <c r="TUA46" s="2843"/>
      <c r="TUB46" s="2843"/>
      <c r="TUC46" s="2844"/>
      <c r="TUD46" s="2845"/>
      <c r="TUE46" s="2842"/>
      <c r="TUF46" s="2842"/>
      <c r="TUG46" s="2843"/>
      <c r="TUH46" s="2843"/>
      <c r="TUI46" s="2844"/>
      <c r="TUJ46" s="2845"/>
      <c r="TUK46" s="2842"/>
      <c r="TUL46" s="2842"/>
      <c r="TUM46" s="2843"/>
      <c r="TUN46" s="2843"/>
      <c r="TUO46" s="2844"/>
      <c r="TUP46" s="2845"/>
      <c r="TUQ46" s="2842"/>
      <c r="TUR46" s="2842"/>
      <c r="TUS46" s="2843"/>
      <c r="TUT46" s="2843"/>
      <c r="TUU46" s="2844"/>
      <c r="TUV46" s="2845"/>
      <c r="TUW46" s="2842"/>
      <c r="TUX46" s="2842"/>
      <c r="TUY46" s="2843"/>
      <c r="TUZ46" s="2843"/>
      <c r="TVA46" s="2844"/>
      <c r="TVB46" s="2845"/>
      <c r="TVC46" s="2842"/>
      <c r="TVD46" s="2842"/>
      <c r="TVE46" s="2843"/>
      <c r="TVF46" s="2843"/>
      <c r="TVG46" s="2844"/>
      <c r="TVH46" s="2845"/>
      <c r="TVI46" s="2842"/>
      <c r="TVJ46" s="2842"/>
      <c r="TVK46" s="2843"/>
      <c r="TVL46" s="2843"/>
      <c r="TVM46" s="2844"/>
      <c r="TVN46" s="2845"/>
      <c r="TVO46" s="2842"/>
      <c r="TVP46" s="2842"/>
      <c r="TVQ46" s="2843"/>
      <c r="TVR46" s="2843"/>
      <c r="TVS46" s="2844"/>
      <c r="TVT46" s="2845"/>
      <c r="TVU46" s="2842"/>
      <c r="TVV46" s="2842"/>
      <c r="TVW46" s="2843"/>
      <c r="TVX46" s="2843"/>
      <c r="TVY46" s="2844"/>
      <c r="TVZ46" s="2845"/>
      <c r="TWA46" s="2842"/>
      <c r="TWB46" s="2842"/>
      <c r="TWC46" s="2843"/>
      <c r="TWD46" s="2843"/>
      <c r="TWE46" s="2844"/>
      <c r="TWF46" s="2845"/>
      <c r="TWG46" s="2842"/>
      <c r="TWH46" s="2842"/>
      <c r="TWI46" s="2843"/>
      <c r="TWJ46" s="2843"/>
      <c r="TWK46" s="2844"/>
      <c r="TWL46" s="2845"/>
      <c r="TWM46" s="2842"/>
      <c r="TWN46" s="2842"/>
      <c r="TWO46" s="2843"/>
      <c r="TWP46" s="2843"/>
      <c r="TWQ46" s="2844"/>
      <c r="TWR46" s="2845"/>
      <c r="TWS46" s="2842"/>
      <c r="TWT46" s="2842"/>
      <c r="TWU46" s="2843"/>
      <c r="TWV46" s="2843"/>
      <c r="TWW46" s="2844"/>
      <c r="TWX46" s="2845"/>
      <c r="TWY46" s="2842"/>
      <c r="TWZ46" s="2842"/>
      <c r="TXA46" s="2843"/>
      <c r="TXB46" s="2843"/>
      <c r="TXC46" s="2844"/>
      <c r="TXD46" s="2845"/>
      <c r="TXE46" s="2842"/>
      <c r="TXF46" s="2842"/>
      <c r="TXG46" s="2843"/>
      <c r="TXH46" s="2843"/>
      <c r="TXI46" s="2844"/>
      <c r="TXJ46" s="2845"/>
      <c r="TXK46" s="2842"/>
      <c r="TXL46" s="2842"/>
      <c r="TXM46" s="2843"/>
      <c r="TXN46" s="2843"/>
      <c r="TXO46" s="2844"/>
      <c r="TXP46" s="2845"/>
      <c r="TXQ46" s="2842"/>
      <c r="TXR46" s="2842"/>
      <c r="TXS46" s="2843"/>
      <c r="TXT46" s="2843"/>
      <c r="TXU46" s="2844"/>
      <c r="TXV46" s="2845"/>
      <c r="TXW46" s="2842"/>
      <c r="TXX46" s="2842"/>
      <c r="TXY46" s="2843"/>
      <c r="TXZ46" s="2843"/>
      <c r="TYA46" s="2844"/>
      <c r="TYB46" s="2845"/>
      <c r="TYC46" s="2842"/>
      <c r="TYD46" s="2842"/>
      <c r="TYE46" s="2843"/>
      <c r="TYF46" s="2843"/>
      <c r="TYG46" s="2844"/>
      <c r="TYH46" s="2845"/>
      <c r="TYI46" s="2842"/>
      <c r="TYJ46" s="2842"/>
      <c r="TYK46" s="2843"/>
      <c r="TYL46" s="2843"/>
      <c r="TYM46" s="2844"/>
      <c r="TYN46" s="2845"/>
      <c r="TYO46" s="2842"/>
      <c r="TYP46" s="2842"/>
      <c r="TYQ46" s="2843"/>
      <c r="TYR46" s="2843"/>
      <c r="TYS46" s="2844"/>
      <c r="TYT46" s="2845"/>
      <c r="TYU46" s="2842"/>
      <c r="TYV46" s="2842"/>
      <c r="TYW46" s="2843"/>
      <c r="TYX46" s="2843"/>
      <c r="TYY46" s="2844"/>
      <c r="TYZ46" s="2845"/>
      <c r="TZA46" s="2842"/>
      <c r="TZB46" s="2842"/>
      <c r="TZC46" s="2843"/>
      <c r="TZD46" s="2843"/>
      <c r="TZE46" s="2844"/>
      <c r="TZF46" s="2845"/>
      <c r="TZG46" s="2842"/>
      <c r="TZH46" s="2842"/>
      <c r="TZI46" s="2843"/>
      <c r="TZJ46" s="2843"/>
      <c r="TZK46" s="2844"/>
      <c r="TZL46" s="2845"/>
      <c r="TZM46" s="2842"/>
      <c r="TZN46" s="2842"/>
      <c r="TZO46" s="2843"/>
      <c r="TZP46" s="2843"/>
      <c r="TZQ46" s="2844"/>
      <c r="TZR46" s="2845"/>
      <c r="TZS46" s="2842"/>
      <c r="TZT46" s="2842"/>
      <c r="TZU46" s="2843"/>
      <c r="TZV46" s="2843"/>
      <c r="TZW46" s="2844"/>
      <c r="TZX46" s="2845"/>
      <c r="TZY46" s="2842"/>
      <c r="TZZ46" s="2842"/>
      <c r="UAA46" s="2843"/>
      <c r="UAB46" s="2843"/>
      <c r="UAC46" s="2844"/>
      <c r="UAD46" s="2845"/>
      <c r="UAE46" s="2842"/>
      <c r="UAF46" s="2842"/>
      <c r="UAG46" s="2843"/>
      <c r="UAH46" s="2843"/>
      <c r="UAI46" s="2844"/>
      <c r="UAJ46" s="2845"/>
      <c r="UAK46" s="2842"/>
      <c r="UAL46" s="2842"/>
      <c r="UAM46" s="2843"/>
      <c r="UAN46" s="2843"/>
      <c r="UAO46" s="2844"/>
      <c r="UAP46" s="2845"/>
      <c r="UAQ46" s="2842"/>
      <c r="UAR46" s="2842"/>
      <c r="UAS46" s="2843"/>
      <c r="UAT46" s="2843"/>
      <c r="UAU46" s="2844"/>
      <c r="UAV46" s="2845"/>
      <c r="UAW46" s="2842"/>
      <c r="UAX46" s="2842"/>
      <c r="UAY46" s="2843"/>
      <c r="UAZ46" s="2843"/>
      <c r="UBA46" s="2844"/>
      <c r="UBB46" s="2845"/>
      <c r="UBC46" s="2842"/>
      <c r="UBD46" s="2842"/>
      <c r="UBE46" s="2843"/>
      <c r="UBF46" s="2843"/>
      <c r="UBG46" s="2844"/>
      <c r="UBH46" s="2845"/>
      <c r="UBI46" s="2842"/>
      <c r="UBJ46" s="2842"/>
      <c r="UBK46" s="2843"/>
      <c r="UBL46" s="2843"/>
      <c r="UBM46" s="2844"/>
      <c r="UBN46" s="2845"/>
      <c r="UBO46" s="2842"/>
      <c r="UBP46" s="2842"/>
      <c r="UBQ46" s="2843"/>
      <c r="UBR46" s="2843"/>
      <c r="UBS46" s="2844"/>
      <c r="UBT46" s="2845"/>
      <c r="UBU46" s="2842"/>
      <c r="UBV46" s="2842"/>
      <c r="UBW46" s="2843"/>
      <c r="UBX46" s="2843"/>
      <c r="UBY46" s="2844"/>
      <c r="UBZ46" s="2845"/>
      <c r="UCA46" s="2842"/>
      <c r="UCB46" s="2842"/>
      <c r="UCC46" s="2843"/>
      <c r="UCD46" s="2843"/>
      <c r="UCE46" s="2844"/>
      <c r="UCF46" s="2845"/>
      <c r="UCG46" s="2842"/>
      <c r="UCH46" s="2842"/>
      <c r="UCI46" s="2843"/>
      <c r="UCJ46" s="2843"/>
      <c r="UCK46" s="2844"/>
      <c r="UCL46" s="2845"/>
      <c r="UCM46" s="2842"/>
      <c r="UCN46" s="2842"/>
      <c r="UCO46" s="2843"/>
      <c r="UCP46" s="2843"/>
      <c r="UCQ46" s="2844"/>
      <c r="UCR46" s="2845"/>
      <c r="UCS46" s="2842"/>
      <c r="UCT46" s="2842"/>
      <c r="UCU46" s="2843"/>
      <c r="UCV46" s="2843"/>
      <c r="UCW46" s="2844"/>
      <c r="UCX46" s="2845"/>
      <c r="UCY46" s="2842"/>
      <c r="UCZ46" s="2842"/>
      <c r="UDA46" s="2843"/>
      <c r="UDB46" s="2843"/>
      <c r="UDC46" s="2844"/>
      <c r="UDD46" s="2845"/>
      <c r="UDE46" s="2842"/>
      <c r="UDF46" s="2842"/>
      <c r="UDG46" s="2843"/>
      <c r="UDH46" s="2843"/>
      <c r="UDI46" s="2844"/>
      <c r="UDJ46" s="2845"/>
      <c r="UDK46" s="2842"/>
      <c r="UDL46" s="2842"/>
      <c r="UDM46" s="2843"/>
      <c r="UDN46" s="2843"/>
      <c r="UDO46" s="2844"/>
      <c r="UDP46" s="2845"/>
      <c r="UDQ46" s="2842"/>
      <c r="UDR46" s="2842"/>
      <c r="UDS46" s="2843"/>
      <c r="UDT46" s="2843"/>
      <c r="UDU46" s="2844"/>
      <c r="UDV46" s="2845"/>
      <c r="UDW46" s="2842"/>
      <c r="UDX46" s="2842"/>
      <c r="UDY46" s="2843"/>
      <c r="UDZ46" s="2843"/>
      <c r="UEA46" s="2844"/>
      <c r="UEB46" s="2845"/>
      <c r="UEC46" s="2842"/>
      <c r="UED46" s="2842"/>
      <c r="UEE46" s="2843"/>
      <c r="UEF46" s="2843"/>
      <c r="UEG46" s="2844"/>
      <c r="UEH46" s="2845"/>
      <c r="UEI46" s="2842"/>
      <c r="UEJ46" s="2842"/>
      <c r="UEK46" s="2843"/>
      <c r="UEL46" s="2843"/>
      <c r="UEM46" s="2844"/>
      <c r="UEN46" s="2845"/>
      <c r="UEO46" s="2842"/>
      <c r="UEP46" s="2842"/>
      <c r="UEQ46" s="2843"/>
      <c r="UER46" s="2843"/>
      <c r="UES46" s="2844"/>
      <c r="UET46" s="2845"/>
      <c r="UEU46" s="2842"/>
      <c r="UEV46" s="2842"/>
      <c r="UEW46" s="2843"/>
      <c r="UEX46" s="2843"/>
      <c r="UEY46" s="2844"/>
      <c r="UEZ46" s="2845"/>
      <c r="UFA46" s="2842"/>
      <c r="UFB46" s="2842"/>
      <c r="UFC46" s="2843"/>
      <c r="UFD46" s="2843"/>
      <c r="UFE46" s="2844"/>
      <c r="UFF46" s="2845"/>
      <c r="UFG46" s="2842"/>
      <c r="UFH46" s="2842"/>
      <c r="UFI46" s="2843"/>
      <c r="UFJ46" s="2843"/>
      <c r="UFK46" s="2844"/>
      <c r="UFL46" s="2845"/>
      <c r="UFM46" s="2842"/>
      <c r="UFN46" s="2842"/>
      <c r="UFO46" s="2843"/>
      <c r="UFP46" s="2843"/>
      <c r="UFQ46" s="2844"/>
      <c r="UFR46" s="2845"/>
      <c r="UFS46" s="2842"/>
      <c r="UFT46" s="2842"/>
      <c r="UFU46" s="2843"/>
      <c r="UFV46" s="2843"/>
      <c r="UFW46" s="2844"/>
      <c r="UFX46" s="2845"/>
      <c r="UFY46" s="2842"/>
      <c r="UFZ46" s="2842"/>
      <c r="UGA46" s="2843"/>
      <c r="UGB46" s="2843"/>
      <c r="UGC46" s="2844"/>
      <c r="UGD46" s="2845"/>
      <c r="UGE46" s="2842"/>
      <c r="UGF46" s="2842"/>
      <c r="UGG46" s="2843"/>
      <c r="UGH46" s="2843"/>
      <c r="UGI46" s="2844"/>
      <c r="UGJ46" s="2845"/>
      <c r="UGK46" s="2842"/>
      <c r="UGL46" s="2842"/>
      <c r="UGM46" s="2843"/>
      <c r="UGN46" s="2843"/>
      <c r="UGO46" s="2844"/>
      <c r="UGP46" s="2845"/>
      <c r="UGQ46" s="2842"/>
      <c r="UGR46" s="2842"/>
      <c r="UGS46" s="2843"/>
      <c r="UGT46" s="2843"/>
      <c r="UGU46" s="2844"/>
      <c r="UGV46" s="2845"/>
      <c r="UGW46" s="2842"/>
      <c r="UGX46" s="2842"/>
      <c r="UGY46" s="2843"/>
      <c r="UGZ46" s="2843"/>
      <c r="UHA46" s="2844"/>
      <c r="UHB46" s="2845"/>
      <c r="UHC46" s="2842"/>
      <c r="UHD46" s="2842"/>
      <c r="UHE46" s="2843"/>
      <c r="UHF46" s="2843"/>
      <c r="UHG46" s="2844"/>
      <c r="UHH46" s="2845"/>
      <c r="UHI46" s="2842"/>
      <c r="UHJ46" s="2842"/>
      <c r="UHK46" s="2843"/>
      <c r="UHL46" s="2843"/>
      <c r="UHM46" s="2844"/>
      <c r="UHN46" s="2845"/>
      <c r="UHO46" s="2842"/>
      <c r="UHP46" s="2842"/>
      <c r="UHQ46" s="2843"/>
      <c r="UHR46" s="2843"/>
      <c r="UHS46" s="2844"/>
      <c r="UHT46" s="2845"/>
      <c r="UHU46" s="2842"/>
      <c r="UHV46" s="2842"/>
      <c r="UHW46" s="2843"/>
      <c r="UHX46" s="2843"/>
      <c r="UHY46" s="2844"/>
      <c r="UHZ46" s="2845"/>
      <c r="UIA46" s="2842"/>
      <c r="UIB46" s="2842"/>
      <c r="UIC46" s="2843"/>
      <c r="UID46" s="2843"/>
      <c r="UIE46" s="2844"/>
      <c r="UIF46" s="2845"/>
      <c r="UIG46" s="2842"/>
      <c r="UIH46" s="2842"/>
      <c r="UII46" s="2843"/>
      <c r="UIJ46" s="2843"/>
      <c r="UIK46" s="2844"/>
      <c r="UIL46" s="2845"/>
      <c r="UIM46" s="2842"/>
      <c r="UIN46" s="2842"/>
      <c r="UIO46" s="2843"/>
      <c r="UIP46" s="2843"/>
      <c r="UIQ46" s="2844"/>
      <c r="UIR46" s="2845"/>
      <c r="UIS46" s="2842"/>
      <c r="UIT46" s="2842"/>
      <c r="UIU46" s="2843"/>
      <c r="UIV46" s="2843"/>
      <c r="UIW46" s="2844"/>
      <c r="UIX46" s="2845"/>
      <c r="UIY46" s="2842"/>
      <c r="UIZ46" s="2842"/>
      <c r="UJA46" s="2843"/>
      <c r="UJB46" s="2843"/>
      <c r="UJC46" s="2844"/>
      <c r="UJD46" s="2845"/>
      <c r="UJE46" s="2842"/>
      <c r="UJF46" s="2842"/>
      <c r="UJG46" s="2843"/>
      <c r="UJH46" s="2843"/>
      <c r="UJI46" s="2844"/>
      <c r="UJJ46" s="2845"/>
      <c r="UJK46" s="2842"/>
      <c r="UJL46" s="2842"/>
      <c r="UJM46" s="2843"/>
      <c r="UJN46" s="2843"/>
      <c r="UJO46" s="2844"/>
      <c r="UJP46" s="2845"/>
      <c r="UJQ46" s="2842"/>
      <c r="UJR46" s="2842"/>
      <c r="UJS46" s="2843"/>
      <c r="UJT46" s="2843"/>
      <c r="UJU46" s="2844"/>
      <c r="UJV46" s="2845"/>
      <c r="UJW46" s="2842"/>
      <c r="UJX46" s="2842"/>
      <c r="UJY46" s="2843"/>
      <c r="UJZ46" s="2843"/>
      <c r="UKA46" s="2844"/>
      <c r="UKB46" s="2845"/>
      <c r="UKC46" s="2842"/>
      <c r="UKD46" s="2842"/>
      <c r="UKE46" s="2843"/>
      <c r="UKF46" s="2843"/>
      <c r="UKG46" s="2844"/>
      <c r="UKH46" s="2845"/>
      <c r="UKI46" s="2842"/>
      <c r="UKJ46" s="2842"/>
      <c r="UKK46" s="2843"/>
      <c r="UKL46" s="2843"/>
      <c r="UKM46" s="2844"/>
      <c r="UKN46" s="2845"/>
      <c r="UKO46" s="2842"/>
      <c r="UKP46" s="2842"/>
      <c r="UKQ46" s="2843"/>
      <c r="UKR46" s="2843"/>
      <c r="UKS46" s="2844"/>
      <c r="UKT46" s="2845"/>
      <c r="UKU46" s="2842"/>
      <c r="UKV46" s="2842"/>
      <c r="UKW46" s="2843"/>
      <c r="UKX46" s="2843"/>
      <c r="UKY46" s="2844"/>
      <c r="UKZ46" s="2845"/>
      <c r="ULA46" s="2842"/>
      <c r="ULB46" s="2842"/>
      <c r="ULC46" s="2843"/>
      <c r="ULD46" s="2843"/>
      <c r="ULE46" s="2844"/>
      <c r="ULF46" s="2845"/>
      <c r="ULG46" s="2842"/>
      <c r="ULH46" s="2842"/>
      <c r="ULI46" s="2843"/>
      <c r="ULJ46" s="2843"/>
      <c r="ULK46" s="2844"/>
      <c r="ULL46" s="2845"/>
      <c r="ULM46" s="2842"/>
      <c r="ULN46" s="2842"/>
      <c r="ULO46" s="2843"/>
      <c r="ULP46" s="2843"/>
      <c r="ULQ46" s="2844"/>
      <c r="ULR46" s="2845"/>
      <c r="ULS46" s="2842"/>
      <c r="ULT46" s="2842"/>
      <c r="ULU46" s="2843"/>
      <c r="ULV46" s="2843"/>
      <c r="ULW46" s="2844"/>
      <c r="ULX46" s="2845"/>
      <c r="ULY46" s="2842"/>
      <c r="ULZ46" s="2842"/>
      <c r="UMA46" s="2843"/>
      <c r="UMB46" s="2843"/>
      <c r="UMC46" s="2844"/>
      <c r="UMD46" s="2845"/>
      <c r="UME46" s="2842"/>
      <c r="UMF46" s="2842"/>
      <c r="UMG46" s="2843"/>
      <c r="UMH46" s="2843"/>
      <c r="UMI46" s="2844"/>
      <c r="UMJ46" s="2845"/>
      <c r="UMK46" s="2842"/>
      <c r="UML46" s="2842"/>
      <c r="UMM46" s="2843"/>
      <c r="UMN46" s="2843"/>
      <c r="UMO46" s="2844"/>
      <c r="UMP46" s="2845"/>
      <c r="UMQ46" s="2842"/>
      <c r="UMR46" s="2842"/>
      <c r="UMS46" s="2843"/>
      <c r="UMT46" s="2843"/>
      <c r="UMU46" s="2844"/>
      <c r="UMV46" s="2845"/>
      <c r="UMW46" s="2842"/>
      <c r="UMX46" s="2842"/>
      <c r="UMY46" s="2843"/>
      <c r="UMZ46" s="2843"/>
      <c r="UNA46" s="2844"/>
      <c r="UNB46" s="2845"/>
      <c r="UNC46" s="2842"/>
      <c r="UND46" s="2842"/>
      <c r="UNE46" s="2843"/>
      <c r="UNF46" s="2843"/>
      <c r="UNG46" s="2844"/>
      <c r="UNH46" s="2845"/>
      <c r="UNI46" s="2842"/>
      <c r="UNJ46" s="2842"/>
      <c r="UNK46" s="2843"/>
      <c r="UNL46" s="2843"/>
      <c r="UNM46" s="2844"/>
      <c r="UNN46" s="2845"/>
      <c r="UNO46" s="2842"/>
      <c r="UNP46" s="2842"/>
      <c r="UNQ46" s="2843"/>
      <c r="UNR46" s="2843"/>
      <c r="UNS46" s="2844"/>
      <c r="UNT46" s="2845"/>
      <c r="UNU46" s="2842"/>
      <c r="UNV46" s="2842"/>
      <c r="UNW46" s="2843"/>
      <c r="UNX46" s="2843"/>
      <c r="UNY46" s="2844"/>
      <c r="UNZ46" s="2845"/>
      <c r="UOA46" s="2842"/>
      <c r="UOB46" s="2842"/>
      <c r="UOC46" s="2843"/>
      <c r="UOD46" s="2843"/>
      <c r="UOE46" s="2844"/>
      <c r="UOF46" s="2845"/>
      <c r="UOG46" s="2842"/>
      <c r="UOH46" s="2842"/>
      <c r="UOI46" s="2843"/>
      <c r="UOJ46" s="2843"/>
      <c r="UOK46" s="2844"/>
      <c r="UOL46" s="2845"/>
      <c r="UOM46" s="2842"/>
      <c r="UON46" s="2842"/>
      <c r="UOO46" s="2843"/>
      <c r="UOP46" s="2843"/>
      <c r="UOQ46" s="2844"/>
      <c r="UOR46" s="2845"/>
      <c r="UOS46" s="2842"/>
      <c r="UOT46" s="2842"/>
      <c r="UOU46" s="2843"/>
      <c r="UOV46" s="2843"/>
      <c r="UOW46" s="2844"/>
      <c r="UOX46" s="2845"/>
      <c r="UOY46" s="2842"/>
      <c r="UOZ46" s="2842"/>
      <c r="UPA46" s="2843"/>
      <c r="UPB46" s="2843"/>
      <c r="UPC46" s="2844"/>
      <c r="UPD46" s="2845"/>
      <c r="UPE46" s="2842"/>
      <c r="UPF46" s="2842"/>
      <c r="UPG46" s="2843"/>
      <c r="UPH46" s="2843"/>
      <c r="UPI46" s="2844"/>
      <c r="UPJ46" s="2845"/>
      <c r="UPK46" s="2842"/>
      <c r="UPL46" s="2842"/>
      <c r="UPM46" s="2843"/>
      <c r="UPN46" s="2843"/>
      <c r="UPO46" s="2844"/>
      <c r="UPP46" s="2845"/>
      <c r="UPQ46" s="2842"/>
      <c r="UPR46" s="2842"/>
      <c r="UPS46" s="2843"/>
      <c r="UPT46" s="2843"/>
      <c r="UPU46" s="2844"/>
      <c r="UPV46" s="2845"/>
      <c r="UPW46" s="2842"/>
      <c r="UPX46" s="2842"/>
      <c r="UPY46" s="2843"/>
      <c r="UPZ46" s="2843"/>
      <c r="UQA46" s="2844"/>
      <c r="UQB46" s="2845"/>
      <c r="UQC46" s="2842"/>
      <c r="UQD46" s="2842"/>
      <c r="UQE46" s="2843"/>
      <c r="UQF46" s="2843"/>
      <c r="UQG46" s="2844"/>
      <c r="UQH46" s="2845"/>
      <c r="UQI46" s="2842"/>
      <c r="UQJ46" s="2842"/>
      <c r="UQK46" s="2843"/>
      <c r="UQL46" s="2843"/>
      <c r="UQM46" s="2844"/>
      <c r="UQN46" s="2845"/>
      <c r="UQO46" s="2842"/>
      <c r="UQP46" s="2842"/>
      <c r="UQQ46" s="2843"/>
      <c r="UQR46" s="2843"/>
      <c r="UQS46" s="2844"/>
      <c r="UQT46" s="2845"/>
      <c r="UQU46" s="2842"/>
      <c r="UQV46" s="2842"/>
      <c r="UQW46" s="2843"/>
      <c r="UQX46" s="2843"/>
      <c r="UQY46" s="2844"/>
      <c r="UQZ46" s="2845"/>
      <c r="URA46" s="2842"/>
      <c r="URB46" s="2842"/>
      <c r="URC46" s="2843"/>
      <c r="URD46" s="2843"/>
      <c r="URE46" s="2844"/>
      <c r="URF46" s="2845"/>
      <c r="URG46" s="2842"/>
      <c r="URH46" s="2842"/>
      <c r="URI46" s="2843"/>
      <c r="URJ46" s="2843"/>
      <c r="URK46" s="2844"/>
      <c r="URL46" s="2845"/>
      <c r="URM46" s="2842"/>
      <c r="URN46" s="2842"/>
      <c r="URO46" s="2843"/>
      <c r="URP46" s="2843"/>
      <c r="URQ46" s="2844"/>
      <c r="URR46" s="2845"/>
      <c r="URS46" s="2842"/>
      <c r="URT46" s="2842"/>
      <c r="URU46" s="2843"/>
      <c r="URV46" s="2843"/>
      <c r="URW46" s="2844"/>
      <c r="URX46" s="2845"/>
      <c r="URY46" s="2842"/>
      <c r="URZ46" s="2842"/>
      <c r="USA46" s="2843"/>
      <c r="USB46" s="2843"/>
      <c r="USC46" s="2844"/>
      <c r="USD46" s="2845"/>
      <c r="USE46" s="2842"/>
      <c r="USF46" s="2842"/>
      <c r="USG46" s="2843"/>
      <c r="USH46" s="2843"/>
      <c r="USI46" s="2844"/>
      <c r="USJ46" s="2845"/>
      <c r="USK46" s="2842"/>
      <c r="USL46" s="2842"/>
      <c r="USM46" s="2843"/>
      <c r="USN46" s="2843"/>
      <c r="USO46" s="2844"/>
      <c r="USP46" s="2845"/>
      <c r="USQ46" s="2842"/>
      <c r="USR46" s="2842"/>
      <c r="USS46" s="2843"/>
      <c r="UST46" s="2843"/>
      <c r="USU46" s="2844"/>
      <c r="USV46" s="2845"/>
      <c r="USW46" s="2842"/>
      <c r="USX46" s="2842"/>
      <c r="USY46" s="2843"/>
      <c r="USZ46" s="2843"/>
      <c r="UTA46" s="2844"/>
      <c r="UTB46" s="2845"/>
      <c r="UTC46" s="2842"/>
      <c r="UTD46" s="2842"/>
      <c r="UTE46" s="2843"/>
      <c r="UTF46" s="2843"/>
      <c r="UTG46" s="2844"/>
      <c r="UTH46" s="2845"/>
      <c r="UTI46" s="2842"/>
      <c r="UTJ46" s="2842"/>
      <c r="UTK46" s="2843"/>
      <c r="UTL46" s="2843"/>
      <c r="UTM46" s="2844"/>
      <c r="UTN46" s="2845"/>
      <c r="UTO46" s="2842"/>
      <c r="UTP46" s="2842"/>
      <c r="UTQ46" s="2843"/>
      <c r="UTR46" s="2843"/>
      <c r="UTS46" s="2844"/>
      <c r="UTT46" s="2845"/>
      <c r="UTU46" s="2842"/>
      <c r="UTV46" s="2842"/>
      <c r="UTW46" s="2843"/>
      <c r="UTX46" s="2843"/>
      <c r="UTY46" s="2844"/>
      <c r="UTZ46" s="2845"/>
      <c r="UUA46" s="2842"/>
      <c r="UUB46" s="2842"/>
      <c r="UUC46" s="2843"/>
      <c r="UUD46" s="2843"/>
      <c r="UUE46" s="2844"/>
      <c r="UUF46" s="2845"/>
      <c r="UUG46" s="2842"/>
      <c r="UUH46" s="2842"/>
      <c r="UUI46" s="2843"/>
      <c r="UUJ46" s="2843"/>
      <c r="UUK46" s="2844"/>
      <c r="UUL46" s="2845"/>
      <c r="UUM46" s="2842"/>
      <c r="UUN46" s="2842"/>
      <c r="UUO46" s="2843"/>
      <c r="UUP46" s="2843"/>
      <c r="UUQ46" s="2844"/>
      <c r="UUR46" s="2845"/>
      <c r="UUS46" s="2842"/>
      <c r="UUT46" s="2842"/>
      <c r="UUU46" s="2843"/>
      <c r="UUV46" s="2843"/>
      <c r="UUW46" s="2844"/>
      <c r="UUX46" s="2845"/>
      <c r="UUY46" s="2842"/>
      <c r="UUZ46" s="2842"/>
      <c r="UVA46" s="2843"/>
      <c r="UVB46" s="2843"/>
      <c r="UVC46" s="2844"/>
      <c r="UVD46" s="2845"/>
      <c r="UVE46" s="2842"/>
      <c r="UVF46" s="2842"/>
      <c r="UVG46" s="2843"/>
      <c r="UVH46" s="2843"/>
      <c r="UVI46" s="2844"/>
      <c r="UVJ46" s="2845"/>
      <c r="UVK46" s="2842"/>
      <c r="UVL46" s="2842"/>
      <c r="UVM46" s="2843"/>
      <c r="UVN46" s="2843"/>
      <c r="UVO46" s="2844"/>
      <c r="UVP46" s="2845"/>
      <c r="UVQ46" s="2842"/>
      <c r="UVR46" s="2842"/>
      <c r="UVS46" s="2843"/>
      <c r="UVT46" s="2843"/>
      <c r="UVU46" s="2844"/>
      <c r="UVV46" s="2845"/>
      <c r="UVW46" s="2842"/>
      <c r="UVX46" s="2842"/>
      <c r="UVY46" s="2843"/>
      <c r="UVZ46" s="2843"/>
      <c r="UWA46" s="2844"/>
      <c r="UWB46" s="2845"/>
      <c r="UWC46" s="2842"/>
      <c r="UWD46" s="2842"/>
      <c r="UWE46" s="2843"/>
      <c r="UWF46" s="2843"/>
      <c r="UWG46" s="2844"/>
      <c r="UWH46" s="2845"/>
      <c r="UWI46" s="2842"/>
      <c r="UWJ46" s="2842"/>
      <c r="UWK46" s="2843"/>
      <c r="UWL46" s="2843"/>
      <c r="UWM46" s="2844"/>
      <c r="UWN46" s="2845"/>
      <c r="UWO46" s="2842"/>
      <c r="UWP46" s="2842"/>
      <c r="UWQ46" s="2843"/>
      <c r="UWR46" s="2843"/>
      <c r="UWS46" s="2844"/>
      <c r="UWT46" s="2845"/>
      <c r="UWU46" s="2842"/>
      <c r="UWV46" s="2842"/>
      <c r="UWW46" s="2843"/>
      <c r="UWX46" s="2843"/>
      <c r="UWY46" s="2844"/>
      <c r="UWZ46" s="2845"/>
      <c r="UXA46" s="2842"/>
      <c r="UXB46" s="2842"/>
      <c r="UXC46" s="2843"/>
      <c r="UXD46" s="2843"/>
      <c r="UXE46" s="2844"/>
      <c r="UXF46" s="2845"/>
      <c r="UXG46" s="2842"/>
      <c r="UXH46" s="2842"/>
      <c r="UXI46" s="2843"/>
      <c r="UXJ46" s="2843"/>
      <c r="UXK46" s="2844"/>
      <c r="UXL46" s="2845"/>
      <c r="UXM46" s="2842"/>
      <c r="UXN46" s="2842"/>
      <c r="UXO46" s="2843"/>
      <c r="UXP46" s="2843"/>
      <c r="UXQ46" s="2844"/>
      <c r="UXR46" s="2845"/>
      <c r="UXS46" s="2842"/>
      <c r="UXT46" s="2842"/>
      <c r="UXU46" s="2843"/>
      <c r="UXV46" s="2843"/>
      <c r="UXW46" s="2844"/>
      <c r="UXX46" s="2845"/>
      <c r="UXY46" s="2842"/>
      <c r="UXZ46" s="2842"/>
      <c r="UYA46" s="2843"/>
      <c r="UYB46" s="2843"/>
      <c r="UYC46" s="2844"/>
      <c r="UYD46" s="2845"/>
      <c r="UYE46" s="2842"/>
      <c r="UYF46" s="2842"/>
      <c r="UYG46" s="2843"/>
      <c r="UYH46" s="2843"/>
      <c r="UYI46" s="2844"/>
      <c r="UYJ46" s="2845"/>
      <c r="UYK46" s="2842"/>
      <c r="UYL46" s="2842"/>
      <c r="UYM46" s="2843"/>
      <c r="UYN46" s="2843"/>
      <c r="UYO46" s="2844"/>
      <c r="UYP46" s="2845"/>
      <c r="UYQ46" s="2842"/>
      <c r="UYR46" s="2842"/>
      <c r="UYS46" s="2843"/>
      <c r="UYT46" s="2843"/>
      <c r="UYU46" s="2844"/>
      <c r="UYV46" s="2845"/>
      <c r="UYW46" s="2842"/>
      <c r="UYX46" s="2842"/>
      <c r="UYY46" s="2843"/>
      <c r="UYZ46" s="2843"/>
      <c r="UZA46" s="2844"/>
      <c r="UZB46" s="2845"/>
      <c r="UZC46" s="2842"/>
      <c r="UZD46" s="2842"/>
      <c r="UZE46" s="2843"/>
      <c r="UZF46" s="2843"/>
      <c r="UZG46" s="2844"/>
      <c r="UZH46" s="2845"/>
      <c r="UZI46" s="2842"/>
      <c r="UZJ46" s="2842"/>
      <c r="UZK46" s="2843"/>
      <c r="UZL46" s="2843"/>
      <c r="UZM46" s="2844"/>
      <c r="UZN46" s="2845"/>
      <c r="UZO46" s="2842"/>
      <c r="UZP46" s="2842"/>
      <c r="UZQ46" s="2843"/>
      <c r="UZR46" s="2843"/>
      <c r="UZS46" s="2844"/>
      <c r="UZT46" s="2845"/>
      <c r="UZU46" s="2842"/>
      <c r="UZV46" s="2842"/>
      <c r="UZW46" s="2843"/>
      <c r="UZX46" s="2843"/>
      <c r="UZY46" s="2844"/>
      <c r="UZZ46" s="2845"/>
      <c r="VAA46" s="2842"/>
      <c r="VAB46" s="2842"/>
      <c r="VAC46" s="2843"/>
      <c r="VAD46" s="2843"/>
      <c r="VAE46" s="2844"/>
      <c r="VAF46" s="2845"/>
      <c r="VAG46" s="2842"/>
      <c r="VAH46" s="2842"/>
      <c r="VAI46" s="2843"/>
      <c r="VAJ46" s="2843"/>
      <c r="VAK46" s="2844"/>
      <c r="VAL46" s="2845"/>
      <c r="VAM46" s="2842"/>
      <c r="VAN46" s="2842"/>
      <c r="VAO46" s="2843"/>
      <c r="VAP46" s="2843"/>
      <c r="VAQ46" s="2844"/>
      <c r="VAR46" s="2845"/>
      <c r="VAS46" s="2842"/>
      <c r="VAT46" s="2842"/>
      <c r="VAU46" s="2843"/>
      <c r="VAV46" s="2843"/>
      <c r="VAW46" s="2844"/>
      <c r="VAX46" s="2845"/>
      <c r="VAY46" s="2842"/>
      <c r="VAZ46" s="2842"/>
      <c r="VBA46" s="2843"/>
      <c r="VBB46" s="2843"/>
      <c r="VBC46" s="2844"/>
      <c r="VBD46" s="2845"/>
      <c r="VBE46" s="2842"/>
      <c r="VBF46" s="2842"/>
      <c r="VBG46" s="2843"/>
      <c r="VBH46" s="2843"/>
      <c r="VBI46" s="2844"/>
      <c r="VBJ46" s="2845"/>
      <c r="VBK46" s="2842"/>
      <c r="VBL46" s="2842"/>
      <c r="VBM46" s="2843"/>
      <c r="VBN46" s="2843"/>
      <c r="VBO46" s="2844"/>
      <c r="VBP46" s="2845"/>
      <c r="VBQ46" s="2842"/>
      <c r="VBR46" s="2842"/>
      <c r="VBS46" s="2843"/>
      <c r="VBT46" s="2843"/>
      <c r="VBU46" s="2844"/>
      <c r="VBV46" s="2845"/>
      <c r="VBW46" s="2842"/>
      <c r="VBX46" s="2842"/>
      <c r="VBY46" s="2843"/>
      <c r="VBZ46" s="2843"/>
      <c r="VCA46" s="2844"/>
      <c r="VCB46" s="2845"/>
      <c r="VCC46" s="2842"/>
      <c r="VCD46" s="2842"/>
      <c r="VCE46" s="2843"/>
      <c r="VCF46" s="2843"/>
      <c r="VCG46" s="2844"/>
      <c r="VCH46" s="2845"/>
      <c r="VCI46" s="2842"/>
      <c r="VCJ46" s="2842"/>
      <c r="VCK46" s="2843"/>
      <c r="VCL46" s="2843"/>
      <c r="VCM46" s="2844"/>
      <c r="VCN46" s="2845"/>
      <c r="VCO46" s="2842"/>
      <c r="VCP46" s="2842"/>
      <c r="VCQ46" s="2843"/>
      <c r="VCR46" s="2843"/>
      <c r="VCS46" s="2844"/>
      <c r="VCT46" s="2845"/>
      <c r="VCU46" s="2842"/>
      <c r="VCV46" s="2842"/>
      <c r="VCW46" s="2843"/>
      <c r="VCX46" s="2843"/>
      <c r="VCY46" s="2844"/>
      <c r="VCZ46" s="2845"/>
      <c r="VDA46" s="2842"/>
      <c r="VDB46" s="2842"/>
      <c r="VDC46" s="2843"/>
      <c r="VDD46" s="2843"/>
      <c r="VDE46" s="2844"/>
      <c r="VDF46" s="2845"/>
      <c r="VDG46" s="2842"/>
      <c r="VDH46" s="2842"/>
      <c r="VDI46" s="2843"/>
      <c r="VDJ46" s="2843"/>
      <c r="VDK46" s="2844"/>
      <c r="VDL46" s="2845"/>
      <c r="VDM46" s="2842"/>
      <c r="VDN46" s="2842"/>
      <c r="VDO46" s="2843"/>
      <c r="VDP46" s="2843"/>
      <c r="VDQ46" s="2844"/>
      <c r="VDR46" s="2845"/>
      <c r="VDS46" s="2842"/>
      <c r="VDT46" s="2842"/>
      <c r="VDU46" s="2843"/>
      <c r="VDV46" s="2843"/>
      <c r="VDW46" s="2844"/>
      <c r="VDX46" s="2845"/>
      <c r="VDY46" s="2842"/>
      <c r="VDZ46" s="2842"/>
      <c r="VEA46" s="2843"/>
      <c r="VEB46" s="2843"/>
      <c r="VEC46" s="2844"/>
      <c r="VED46" s="2845"/>
      <c r="VEE46" s="2842"/>
      <c r="VEF46" s="2842"/>
      <c r="VEG46" s="2843"/>
      <c r="VEH46" s="2843"/>
      <c r="VEI46" s="2844"/>
      <c r="VEJ46" s="2845"/>
      <c r="VEK46" s="2842"/>
      <c r="VEL46" s="2842"/>
      <c r="VEM46" s="2843"/>
      <c r="VEN46" s="2843"/>
      <c r="VEO46" s="2844"/>
      <c r="VEP46" s="2845"/>
      <c r="VEQ46" s="2842"/>
      <c r="VER46" s="2842"/>
      <c r="VES46" s="2843"/>
      <c r="VET46" s="2843"/>
      <c r="VEU46" s="2844"/>
      <c r="VEV46" s="2845"/>
      <c r="VEW46" s="2842"/>
      <c r="VEX46" s="2842"/>
      <c r="VEY46" s="2843"/>
      <c r="VEZ46" s="2843"/>
      <c r="VFA46" s="2844"/>
      <c r="VFB46" s="2845"/>
      <c r="VFC46" s="2842"/>
      <c r="VFD46" s="2842"/>
      <c r="VFE46" s="2843"/>
      <c r="VFF46" s="2843"/>
      <c r="VFG46" s="2844"/>
      <c r="VFH46" s="2845"/>
      <c r="VFI46" s="2842"/>
      <c r="VFJ46" s="2842"/>
      <c r="VFK46" s="2843"/>
      <c r="VFL46" s="2843"/>
      <c r="VFM46" s="2844"/>
      <c r="VFN46" s="2845"/>
      <c r="VFO46" s="2842"/>
      <c r="VFP46" s="2842"/>
      <c r="VFQ46" s="2843"/>
      <c r="VFR46" s="2843"/>
      <c r="VFS46" s="2844"/>
      <c r="VFT46" s="2845"/>
      <c r="VFU46" s="2842"/>
      <c r="VFV46" s="2842"/>
      <c r="VFW46" s="2843"/>
      <c r="VFX46" s="2843"/>
      <c r="VFY46" s="2844"/>
      <c r="VFZ46" s="2845"/>
      <c r="VGA46" s="2842"/>
      <c r="VGB46" s="2842"/>
      <c r="VGC46" s="2843"/>
      <c r="VGD46" s="2843"/>
      <c r="VGE46" s="2844"/>
      <c r="VGF46" s="2845"/>
      <c r="VGG46" s="2842"/>
      <c r="VGH46" s="2842"/>
      <c r="VGI46" s="2843"/>
      <c r="VGJ46" s="2843"/>
      <c r="VGK46" s="2844"/>
      <c r="VGL46" s="2845"/>
      <c r="VGM46" s="2842"/>
      <c r="VGN46" s="2842"/>
      <c r="VGO46" s="2843"/>
      <c r="VGP46" s="2843"/>
      <c r="VGQ46" s="2844"/>
      <c r="VGR46" s="2845"/>
      <c r="VGS46" s="2842"/>
      <c r="VGT46" s="2842"/>
      <c r="VGU46" s="2843"/>
      <c r="VGV46" s="2843"/>
      <c r="VGW46" s="2844"/>
      <c r="VGX46" s="2845"/>
      <c r="VGY46" s="2842"/>
      <c r="VGZ46" s="2842"/>
      <c r="VHA46" s="2843"/>
      <c r="VHB46" s="2843"/>
      <c r="VHC46" s="2844"/>
      <c r="VHD46" s="2845"/>
      <c r="VHE46" s="2842"/>
      <c r="VHF46" s="2842"/>
      <c r="VHG46" s="2843"/>
      <c r="VHH46" s="2843"/>
      <c r="VHI46" s="2844"/>
      <c r="VHJ46" s="2845"/>
      <c r="VHK46" s="2842"/>
      <c r="VHL46" s="2842"/>
      <c r="VHM46" s="2843"/>
      <c r="VHN46" s="2843"/>
      <c r="VHO46" s="2844"/>
      <c r="VHP46" s="2845"/>
      <c r="VHQ46" s="2842"/>
      <c r="VHR46" s="2842"/>
      <c r="VHS46" s="2843"/>
      <c r="VHT46" s="2843"/>
      <c r="VHU46" s="2844"/>
      <c r="VHV46" s="2845"/>
      <c r="VHW46" s="2842"/>
      <c r="VHX46" s="2842"/>
      <c r="VHY46" s="2843"/>
      <c r="VHZ46" s="2843"/>
      <c r="VIA46" s="2844"/>
      <c r="VIB46" s="2845"/>
      <c r="VIC46" s="2842"/>
      <c r="VID46" s="2842"/>
      <c r="VIE46" s="2843"/>
      <c r="VIF46" s="2843"/>
      <c r="VIG46" s="2844"/>
      <c r="VIH46" s="2845"/>
      <c r="VII46" s="2842"/>
      <c r="VIJ46" s="2842"/>
      <c r="VIK46" s="2843"/>
      <c r="VIL46" s="2843"/>
      <c r="VIM46" s="2844"/>
      <c r="VIN46" s="2845"/>
      <c r="VIO46" s="2842"/>
      <c r="VIP46" s="2842"/>
      <c r="VIQ46" s="2843"/>
      <c r="VIR46" s="2843"/>
      <c r="VIS46" s="2844"/>
      <c r="VIT46" s="2845"/>
      <c r="VIU46" s="2842"/>
      <c r="VIV46" s="2842"/>
      <c r="VIW46" s="2843"/>
      <c r="VIX46" s="2843"/>
      <c r="VIY46" s="2844"/>
      <c r="VIZ46" s="2845"/>
      <c r="VJA46" s="2842"/>
      <c r="VJB46" s="2842"/>
      <c r="VJC46" s="2843"/>
      <c r="VJD46" s="2843"/>
      <c r="VJE46" s="2844"/>
      <c r="VJF46" s="2845"/>
      <c r="VJG46" s="2842"/>
      <c r="VJH46" s="2842"/>
      <c r="VJI46" s="2843"/>
      <c r="VJJ46" s="2843"/>
      <c r="VJK46" s="2844"/>
      <c r="VJL46" s="2845"/>
      <c r="VJM46" s="2842"/>
      <c r="VJN46" s="2842"/>
      <c r="VJO46" s="2843"/>
      <c r="VJP46" s="2843"/>
      <c r="VJQ46" s="2844"/>
      <c r="VJR46" s="2845"/>
      <c r="VJS46" s="2842"/>
      <c r="VJT46" s="2842"/>
      <c r="VJU46" s="2843"/>
      <c r="VJV46" s="2843"/>
      <c r="VJW46" s="2844"/>
      <c r="VJX46" s="2845"/>
      <c r="VJY46" s="2842"/>
      <c r="VJZ46" s="2842"/>
      <c r="VKA46" s="2843"/>
      <c r="VKB46" s="2843"/>
      <c r="VKC46" s="2844"/>
      <c r="VKD46" s="2845"/>
      <c r="VKE46" s="2842"/>
      <c r="VKF46" s="2842"/>
      <c r="VKG46" s="2843"/>
      <c r="VKH46" s="2843"/>
      <c r="VKI46" s="2844"/>
      <c r="VKJ46" s="2845"/>
      <c r="VKK46" s="2842"/>
      <c r="VKL46" s="2842"/>
      <c r="VKM46" s="2843"/>
      <c r="VKN46" s="2843"/>
      <c r="VKO46" s="2844"/>
      <c r="VKP46" s="2845"/>
      <c r="VKQ46" s="2842"/>
      <c r="VKR46" s="2842"/>
      <c r="VKS46" s="2843"/>
      <c r="VKT46" s="2843"/>
      <c r="VKU46" s="2844"/>
      <c r="VKV46" s="2845"/>
      <c r="VKW46" s="2842"/>
      <c r="VKX46" s="2842"/>
      <c r="VKY46" s="2843"/>
      <c r="VKZ46" s="2843"/>
      <c r="VLA46" s="2844"/>
      <c r="VLB46" s="2845"/>
      <c r="VLC46" s="2842"/>
      <c r="VLD46" s="2842"/>
      <c r="VLE46" s="2843"/>
      <c r="VLF46" s="2843"/>
      <c r="VLG46" s="2844"/>
      <c r="VLH46" s="2845"/>
      <c r="VLI46" s="2842"/>
      <c r="VLJ46" s="2842"/>
      <c r="VLK46" s="2843"/>
      <c r="VLL46" s="2843"/>
      <c r="VLM46" s="2844"/>
      <c r="VLN46" s="2845"/>
      <c r="VLO46" s="2842"/>
      <c r="VLP46" s="2842"/>
      <c r="VLQ46" s="2843"/>
      <c r="VLR46" s="2843"/>
      <c r="VLS46" s="2844"/>
      <c r="VLT46" s="2845"/>
      <c r="VLU46" s="2842"/>
      <c r="VLV46" s="2842"/>
      <c r="VLW46" s="2843"/>
      <c r="VLX46" s="2843"/>
      <c r="VLY46" s="2844"/>
      <c r="VLZ46" s="2845"/>
      <c r="VMA46" s="2842"/>
      <c r="VMB46" s="2842"/>
      <c r="VMC46" s="2843"/>
      <c r="VMD46" s="2843"/>
      <c r="VME46" s="2844"/>
      <c r="VMF46" s="2845"/>
      <c r="VMG46" s="2842"/>
      <c r="VMH46" s="2842"/>
      <c r="VMI46" s="2843"/>
      <c r="VMJ46" s="2843"/>
      <c r="VMK46" s="2844"/>
      <c r="VML46" s="2845"/>
      <c r="VMM46" s="2842"/>
      <c r="VMN46" s="2842"/>
      <c r="VMO46" s="2843"/>
      <c r="VMP46" s="2843"/>
      <c r="VMQ46" s="2844"/>
      <c r="VMR46" s="2845"/>
      <c r="VMS46" s="2842"/>
      <c r="VMT46" s="2842"/>
      <c r="VMU46" s="2843"/>
      <c r="VMV46" s="2843"/>
      <c r="VMW46" s="2844"/>
      <c r="VMX46" s="2845"/>
      <c r="VMY46" s="2842"/>
      <c r="VMZ46" s="2842"/>
      <c r="VNA46" s="2843"/>
      <c r="VNB46" s="2843"/>
      <c r="VNC46" s="2844"/>
      <c r="VND46" s="2845"/>
      <c r="VNE46" s="2842"/>
      <c r="VNF46" s="2842"/>
      <c r="VNG46" s="2843"/>
      <c r="VNH46" s="2843"/>
      <c r="VNI46" s="2844"/>
      <c r="VNJ46" s="2845"/>
      <c r="VNK46" s="2842"/>
      <c r="VNL46" s="2842"/>
      <c r="VNM46" s="2843"/>
      <c r="VNN46" s="2843"/>
      <c r="VNO46" s="2844"/>
      <c r="VNP46" s="2845"/>
      <c r="VNQ46" s="2842"/>
      <c r="VNR46" s="2842"/>
      <c r="VNS46" s="2843"/>
      <c r="VNT46" s="2843"/>
      <c r="VNU46" s="2844"/>
      <c r="VNV46" s="2845"/>
      <c r="VNW46" s="2842"/>
      <c r="VNX46" s="2842"/>
      <c r="VNY46" s="2843"/>
      <c r="VNZ46" s="2843"/>
      <c r="VOA46" s="2844"/>
      <c r="VOB46" s="2845"/>
      <c r="VOC46" s="2842"/>
      <c r="VOD46" s="2842"/>
      <c r="VOE46" s="2843"/>
      <c r="VOF46" s="2843"/>
      <c r="VOG46" s="2844"/>
      <c r="VOH46" s="2845"/>
      <c r="VOI46" s="2842"/>
      <c r="VOJ46" s="2842"/>
      <c r="VOK46" s="2843"/>
      <c r="VOL46" s="2843"/>
      <c r="VOM46" s="2844"/>
      <c r="VON46" s="2845"/>
      <c r="VOO46" s="2842"/>
      <c r="VOP46" s="2842"/>
      <c r="VOQ46" s="2843"/>
      <c r="VOR46" s="2843"/>
      <c r="VOS46" s="2844"/>
      <c r="VOT46" s="2845"/>
      <c r="VOU46" s="2842"/>
      <c r="VOV46" s="2842"/>
      <c r="VOW46" s="2843"/>
      <c r="VOX46" s="2843"/>
      <c r="VOY46" s="2844"/>
      <c r="VOZ46" s="2845"/>
      <c r="VPA46" s="2842"/>
      <c r="VPB46" s="2842"/>
      <c r="VPC46" s="2843"/>
      <c r="VPD46" s="2843"/>
      <c r="VPE46" s="2844"/>
      <c r="VPF46" s="2845"/>
      <c r="VPG46" s="2842"/>
      <c r="VPH46" s="2842"/>
      <c r="VPI46" s="2843"/>
      <c r="VPJ46" s="2843"/>
      <c r="VPK46" s="2844"/>
      <c r="VPL46" s="2845"/>
      <c r="VPM46" s="2842"/>
      <c r="VPN46" s="2842"/>
      <c r="VPO46" s="2843"/>
      <c r="VPP46" s="2843"/>
      <c r="VPQ46" s="2844"/>
      <c r="VPR46" s="2845"/>
      <c r="VPS46" s="2842"/>
      <c r="VPT46" s="2842"/>
      <c r="VPU46" s="2843"/>
      <c r="VPV46" s="2843"/>
      <c r="VPW46" s="2844"/>
      <c r="VPX46" s="2845"/>
      <c r="VPY46" s="2842"/>
      <c r="VPZ46" s="2842"/>
      <c r="VQA46" s="2843"/>
      <c r="VQB46" s="2843"/>
      <c r="VQC46" s="2844"/>
      <c r="VQD46" s="2845"/>
      <c r="VQE46" s="2842"/>
      <c r="VQF46" s="2842"/>
      <c r="VQG46" s="2843"/>
      <c r="VQH46" s="2843"/>
      <c r="VQI46" s="2844"/>
      <c r="VQJ46" s="2845"/>
      <c r="VQK46" s="2842"/>
      <c r="VQL46" s="2842"/>
      <c r="VQM46" s="2843"/>
      <c r="VQN46" s="2843"/>
      <c r="VQO46" s="2844"/>
      <c r="VQP46" s="2845"/>
      <c r="VQQ46" s="2842"/>
      <c r="VQR46" s="2842"/>
      <c r="VQS46" s="2843"/>
      <c r="VQT46" s="2843"/>
      <c r="VQU46" s="2844"/>
      <c r="VQV46" s="2845"/>
      <c r="VQW46" s="2842"/>
      <c r="VQX46" s="2842"/>
      <c r="VQY46" s="2843"/>
      <c r="VQZ46" s="2843"/>
      <c r="VRA46" s="2844"/>
      <c r="VRB46" s="2845"/>
      <c r="VRC46" s="2842"/>
      <c r="VRD46" s="2842"/>
      <c r="VRE46" s="2843"/>
      <c r="VRF46" s="2843"/>
      <c r="VRG46" s="2844"/>
      <c r="VRH46" s="2845"/>
      <c r="VRI46" s="2842"/>
      <c r="VRJ46" s="2842"/>
      <c r="VRK46" s="2843"/>
      <c r="VRL46" s="2843"/>
      <c r="VRM46" s="2844"/>
      <c r="VRN46" s="2845"/>
      <c r="VRO46" s="2842"/>
      <c r="VRP46" s="2842"/>
      <c r="VRQ46" s="2843"/>
      <c r="VRR46" s="2843"/>
      <c r="VRS46" s="2844"/>
      <c r="VRT46" s="2845"/>
      <c r="VRU46" s="2842"/>
      <c r="VRV46" s="2842"/>
      <c r="VRW46" s="2843"/>
      <c r="VRX46" s="2843"/>
      <c r="VRY46" s="2844"/>
      <c r="VRZ46" s="2845"/>
      <c r="VSA46" s="2842"/>
      <c r="VSB46" s="2842"/>
      <c r="VSC46" s="2843"/>
      <c r="VSD46" s="2843"/>
      <c r="VSE46" s="2844"/>
      <c r="VSF46" s="2845"/>
      <c r="VSG46" s="2842"/>
      <c r="VSH46" s="2842"/>
      <c r="VSI46" s="2843"/>
      <c r="VSJ46" s="2843"/>
      <c r="VSK46" s="2844"/>
      <c r="VSL46" s="2845"/>
      <c r="VSM46" s="2842"/>
      <c r="VSN46" s="2842"/>
      <c r="VSO46" s="2843"/>
      <c r="VSP46" s="2843"/>
      <c r="VSQ46" s="2844"/>
      <c r="VSR46" s="2845"/>
      <c r="VSS46" s="2842"/>
      <c r="VST46" s="2842"/>
      <c r="VSU46" s="2843"/>
      <c r="VSV46" s="2843"/>
      <c r="VSW46" s="2844"/>
      <c r="VSX46" s="2845"/>
      <c r="VSY46" s="2842"/>
      <c r="VSZ46" s="2842"/>
      <c r="VTA46" s="2843"/>
      <c r="VTB46" s="2843"/>
      <c r="VTC46" s="2844"/>
      <c r="VTD46" s="2845"/>
      <c r="VTE46" s="2842"/>
      <c r="VTF46" s="2842"/>
      <c r="VTG46" s="2843"/>
      <c r="VTH46" s="2843"/>
      <c r="VTI46" s="2844"/>
      <c r="VTJ46" s="2845"/>
      <c r="VTK46" s="2842"/>
      <c r="VTL46" s="2842"/>
      <c r="VTM46" s="2843"/>
      <c r="VTN46" s="2843"/>
      <c r="VTO46" s="2844"/>
      <c r="VTP46" s="2845"/>
      <c r="VTQ46" s="2842"/>
      <c r="VTR46" s="2842"/>
      <c r="VTS46" s="2843"/>
      <c r="VTT46" s="2843"/>
      <c r="VTU46" s="2844"/>
      <c r="VTV46" s="2845"/>
      <c r="VTW46" s="2842"/>
      <c r="VTX46" s="2842"/>
      <c r="VTY46" s="2843"/>
      <c r="VTZ46" s="2843"/>
      <c r="VUA46" s="2844"/>
      <c r="VUB46" s="2845"/>
      <c r="VUC46" s="2842"/>
      <c r="VUD46" s="2842"/>
      <c r="VUE46" s="2843"/>
      <c r="VUF46" s="2843"/>
      <c r="VUG46" s="2844"/>
      <c r="VUH46" s="2845"/>
      <c r="VUI46" s="2842"/>
      <c r="VUJ46" s="2842"/>
      <c r="VUK46" s="2843"/>
      <c r="VUL46" s="2843"/>
      <c r="VUM46" s="2844"/>
      <c r="VUN46" s="2845"/>
      <c r="VUO46" s="2842"/>
      <c r="VUP46" s="2842"/>
      <c r="VUQ46" s="2843"/>
      <c r="VUR46" s="2843"/>
      <c r="VUS46" s="2844"/>
      <c r="VUT46" s="2845"/>
      <c r="VUU46" s="2842"/>
      <c r="VUV46" s="2842"/>
      <c r="VUW46" s="2843"/>
      <c r="VUX46" s="2843"/>
      <c r="VUY46" s="2844"/>
      <c r="VUZ46" s="2845"/>
      <c r="VVA46" s="2842"/>
      <c r="VVB46" s="2842"/>
      <c r="VVC46" s="2843"/>
      <c r="VVD46" s="2843"/>
      <c r="VVE46" s="2844"/>
      <c r="VVF46" s="2845"/>
      <c r="VVG46" s="2842"/>
      <c r="VVH46" s="2842"/>
      <c r="VVI46" s="2843"/>
      <c r="VVJ46" s="2843"/>
      <c r="VVK46" s="2844"/>
      <c r="VVL46" s="2845"/>
      <c r="VVM46" s="2842"/>
      <c r="VVN46" s="2842"/>
      <c r="VVO46" s="2843"/>
      <c r="VVP46" s="2843"/>
      <c r="VVQ46" s="2844"/>
      <c r="VVR46" s="2845"/>
      <c r="VVS46" s="2842"/>
      <c r="VVT46" s="2842"/>
      <c r="VVU46" s="2843"/>
      <c r="VVV46" s="2843"/>
      <c r="VVW46" s="2844"/>
      <c r="VVX46" s="2845"/>
      <c r="VVY46" s="2842"/>
      <c r="VVZ46" s="2842"/>
      <c r="VWA46" s="2843"/>
      <c r="VWB46" s="2843"/>
      <c r="VWC46" s="2844"/>
      <c r="VWD46" s="2845"/>
      <c r="VWE46" s="2842"/>
      <c r="VWF46" s="2842"/>
      <c r="VWG46" s="2843"/>
      <c r="VWH46" s="2843"/>
      <c r="VWI46" s="2844"/>
      <c r="VWJ46" s="2845"/>
      <c r="VWK46" s="2842"/>
      <c r="VWL46" s="2842"/>
      <c r="VWM46" s="2843"/>
      <c r="VWN46" s="2843"/>
      <c r="VWO46" s="2844"/>
      <c r="VWP46" s="2845"/>
      <c r="VWQ46" s="2842"/>
      <c r="VWR46" s="2842"/>
      <c r="VWS46" s="2843"/>
      <c r="VWT46" s="2843"/>
      <c r="VWU46" s="2844"/>
      <c r="VWV46" s="2845"/>
      <c r="VWW46" s="2842"/>
      <c r="VWX46" s="2842"/>
      <c r="VWY46" s="2843"/>
      <c r="VWZ46" s="2843"/>
      <c r="VXA46" s="2844"/>
      <c r="VXB46" s="2845"/>
      <c r="VXC46" s="2842"/>
      <c r="VXD46" s="2842"/>
      <c r="VXE46" s="2843"/>
      <c r="VXF46" s="2843"/>
      <c r="VXG46" s="2844"/>
      <c r="VXH46" s="2845"/>
      <c r="VXI46" s="2842"/>
      <c r="VXJ46" s="2842"/>
      <c r="VXK46" s="2843"/>
      <c r="VXL46" s="2843"/>
      <c r="VXM46" s="2844"/>
      <c r="VXN46" s="2845"/>
      <c r="VXO46" s="2842"/>
      <c r="VXP46" s="2842"/>
      <c r="VXQ46" s="2843"/>
      <c r="VXR46" s="2843"/>
      <c r="VXS46" s="2844"/>
      <c r="VXT46" s="2845"/>
      <c r="VXU46" s="2842"/>
      <c r="VXV46" s="2842"/>
      <c r="VXW46" s="2843"/>
      <c r="VXX46" s="2843"/>
      <c r="VXY46" s="2844"/>
      <c r="VXZ46" s="2845"/>
      <c r="VYA46" s="2842"/>
      <c r="VYB46" s="2842"/>
      <c r="VYC46" s="2843"/>
      <c r="VYD46" s="2843"/>
      <c r="VYE46" s="2844"/>
      <c r="VYF46" s="2845"/>
      <c r="VYG46" s="2842"/>
      <c r="VYH46" s="2842"/>
      <c r="VYI46" s="2843"/>
      <c r="VYJ46" s="2843"/>
      <c r="VYK46" s="2844"/>
      <c r="VYL46" s="2845"/>
      <c r="VYM46" s="2842"/>
      <c r="VYN46" s="2842"/>
      <c r="VYO46" s="2843"/>
      <c r="VYP46" s="2843"/>
      <c r="VYQ46" s="2844"/>
      <c r="VYR46" s="2845"/>
      <c r="VYS46" s="2842"/>
      <c r="VYT46" s="2842"/>
      <c r="VYU46" s="2843"/>
      <c r="VYV46" s="2843"/>
      <c r="VYW46" s="2844"/>
      <c r="VYX46" s="2845"/>
      <c r="VYY46" s="2842"/>
      <c r="VYZ46" s="2842"/>
      <c r="VZA46" s="2843"/>
      <c r="VZB46" s="2843"/>
      <c r="VZC46" s="2844"/>
      <c r="VZD46" s="2845"/>
      <c r="VZE46" s="2842"/>
      <c r="VZF46" s="2842"/>
      <c r="VZG46" s="2843"/>
      <c r="VZH46" s="2843"/>
      <c r="VZI46" s="2844"/>
      <c r="VZJ46" s="2845"/>
      <c r="VZK46" s="2842"/>
      <c r="VZL46" s="2842"/>
      <c r="VZM46" s="2843"/>
      <c r="VZN46" s="2843"/>
      <c r="VZO46" s="2844"/>
      <c r="VZP46" s="2845"/>
      <c r="VZQ46" s="2842"/>
      <c r="VZR46" s="2842"/>
      <c r="VZS46" s="2843"/>
      <c r="VZT46" s="2843"/>
      <c r="VZU46" s="2844"/>
      <c r="VZV46" s="2845"/>
      <c r="VZW46" s="2842"/>
      <c r="VZX46" s="2842"/>
      <c r="VZY46" s="2843"/>
      <c r="VZZ46" s="2843"/>
      <c r="WAA46" s="2844"/>
      <c r="WAB46" s="2845"/>
      <c r="WAC46" s="2842"/>
      <c r="WAD46" s="2842"/>
      <c r="WAE46" s="2843"/>
      <c r="WAF46" s="2843"/>
      <c r="WAG46" s="2844"/>
      <c r="WAH46" s="2845"/>
      <c r="WAI46" s="2842"/>
      <c r="WAJ46" s="2842"/>
      <c r="WAK46" s="2843"/>
      <c r="WAL46" s="2843"/>
      <c r="WAM46" s="2844"/>
      <c r="WAN46" s="2845"/>
      <c r="WAO46" s="2842"/>
      <c r="WAP46" s="2842"/>
      <c r="WAQ46" s="2843"/>
      <c r="WAR46" s="2843"/>
      <c r="WAS46" s="2844"/>
      <c r="WAT46" s="2845"/>
      <c r="WAU46" s="2842"/>
      <c r="WAV46" s="2842"/>
      <c r="WAW46" s="2843"/>
      <c r="WAX46" s="2843"/>
      <c r="WAY46" s="2844"/>
      <c r="WAZ46" s="2845"/>
      <c r="WBA46" s="2842"/>
      <c r="WBB46" s="2842"/>
      <c r="WBC46" s="2843"/>
      <c r="WBD46" s="2843"/>
      <c r="WBE46" s="2844"/>
      <c r="WBF46" s="2845"/>
      <c r="WBG46" s="2842"/>
      <c r="WBH46" s="2842"/>
      <c r="WBI46" s="2843"/>
      <c r="WBJ46" s="2843"/>
      <c r="WBK46" s="2844"/>
      <c r="WBL46" s="2845"/>
      <c r="WBM46" s="2842"/>
      <c r="WBN46" s="2842"/>
      <c r="WBO46" s="2843"/>
      <c r="WBP46" s="2843"/>
      <c r="WBQ46" s="2844"/>
      <c r="WBR46" s="2845"/>
      <c r="WBS46" s="2842"/>
      <c r="WBT46" s="2842"/>
      <c r="WBU46" s="2843"/>
      <c r="WBV46" s="2843"/>
      <c r="WBW46" s="2844"/>
      <c r="WBX46" s="2845"/>
      <c r="WBY46" s="2842"/>
      <c r="WBZ46" s="2842"/>
      <c r="WCA46" s="2843"/>
      <c r="WCB46" s="2843"/>
      <c r="WCC46" s="2844"/>
      <c r="WCD46" s="2845"/>
      <c r="WCE46" s="2842"/>
      <c r="WCF46" s="2842"/>
      <c r="WCG46" s="2843"/>
      <c r="WCH46" s="2843"/>
      <c r="WCI46" s="2844"/>
      <c r="WCJ46" s="2845"/>
      <c r="WCK46" s="2842"/>
      <c r="WCL46" s="2842"/>
      <c r="WCM46" s="2843"/>
      <c r="WCN46" s="2843"/>
      <c r="WCO46" s="2844"/>
      <c r="WCP46" s="2845"/>
      <c r="WCQ46" s="2842"/>
      <c r="WCR46" s="2842"/>
      <c r="WCS46" s="2843"/>
      <c r="WCT46" s="2843"/>
      <c r="WCU46" s="2844"/>
      <c r="WCV46" s="2845"/>
      <c r="WCW46" s="2842"/>
      <c r="WCX46" s="2842"/>
      <c r="WCY46" s="2843"/>
      <c r="WCZ46" s="2843"/>
      <c r="WDA46" s="2844"/>
      <c r="WDB46" s="2845"/>
      <c r="WDC46" s="2842"/>
      <c r="WDD46" s="2842"/>
      <c r="WDE46" s="2843"/>
      <c r="WDF46" s="2843"/>
      <c r="WDG46" s="2844"/>
      <c r="WDH46" s="2845"/>
      <c r="WDI46" s="2842"/>
      <c r="WDJ46" s="2842"/>
      <c r="WDK46" s="2843"/>
      <c r="WDL46" s="2843"/>
      <c r="WDM46" s="2844"/>
      <c r="WDN46" s="2845"/>
      <c r="WDO46" s="2842"/>
      <c r="WDP46" s="2842"/>
      <c r="WDQ46" s="2843"/>
      <c r="WDR46" s="2843"/>
      <c r="WDS46" s="2844"/>
      <c r="WDT46" s="2845"/>
      <c r="WDU46" s="2842"/>
      <c r="WDV46" s="2842"/>
      <c r="WDW46" s="2843"/>
      <c r="WDX46" s="2843"/>
      <c r="WDY46" s="2844"/>
      <c r="WDZ46" s="2845"/>
      <c r="WEA46" s="2842"/>
      <c r="WEB46" s="2842"/>
      <c r="WEC46" s="2843"/>
      <c r="WED46" s="2843"/>
      <c r="WEE46" s="2844"/>
      <c r="WEF46" s="2845"/>
      <c r="WEG46" s="2842"/>
      <c r="WEH46" s="2842"/>
      <c r="WEI46" s="2843"/>
      <c r="WEJ46" s="2843"/>
      <c r="WEK46" s="2844"/>
      <c r="WEL46" s="2845"/>
      <c r="WEM46" s="2842"/>
      <c r="WEN46" s="2842"/>
      <c r="WEO46" s="2843"/>
      <c r="WEP46" s="2843"/>
      <c r="WEQ46" s="2844"/>
      <c r="WER46" s="2845"/>
      <c r="WES46" s="2842"/>
      <c r="WET46" s="2842"/>
      <c r="WEU46" s="2843"/>
      <c r="WEV46" s="2843"/>
      <c r="WEW46" s="2844"/>
      <c r="WEX46" s="2845"/>
      <c r="WEY46" s="2842"/>
      <c r="WEZ46" s="2842"/>
      <c r="WFA46" s="2843"/>
      <c r="WFB46" s="2843"/>
      <c r="WFC46" s="2844"/>
      <c r="WFD46" s="2845"/>
      <c r="WFE46" s="2842"/>
      <c r="WFF46" s="2842"/>
      <c r="WFG46" s="2843"/>
      <c r="WFH46" s="2843"/>
      <c r="WFI46" s="2844"/>
      <c r="WFJ46" s="2845"/>
      <c r="WFK46" s="2842"/>
      <c r="WFL46" s="2842"/>
      <c r="WFM46" s="2843"/>
      <c r="WFN46" s="2843"/>
      <c r="WFO46" s="2844"/>
      <c r="WFP46" s="2845"/>
      <c r="WFQ46" s="2842"/>
      <c r="WFR46" s="2842"/>
      <c r="WFS46" s="2843"/>
      <c r="WFT46" s="2843"/>
      <c r="WFU46" s="2844"/>
      <c r="WFV46" s="2845"/>
      <c r="WFW46" s="2842"/>
      <c r="WFX46" s="2842"/>
      <c r="WFY46" s="2843"/>
      <c r="WFZ46" s="2843"/>
      <c r="WGA46" s="2844"/>
      <c r="WGB46" s="2845"/>
      <c r="WGC46" s="2842"/>
      <c r="WGD46" s="2842"/>
      <c r="WGE46" s="2843"/>
      <c r="WGF46" s="2843"/>
      <c r="WGG46" s="2844"/>
      <c r="WGH46" s="2845"/>
      <c r="WGI46" s="2842"/>
      <c r="WGJ46" s="2842"/>
      <c r="WGK46" s="2843"/>
      <c r="WGL46" s="2843"/>
      <c r="WGM46" s="2844"/>
      <c r="WGN46" s="2845"/>
      <c r="WGO46" s="2842"/>
      <c r="WGP46" s="2842"/>
      <c r="WGQ46" s="2843"/>
      <c r="WGR46" s="2843"/>
      <c r="WGS46" s="2844"/>
      <c r="WGT46" s="2845"/>
      <c r="WGU46" s="2842"/>
      <c r="WGV46" s="2842"/>
      <c r="WGW46" s="2843"/>
      <c r="WGX46" s="2843"/>
      <c r="WGY46" s="2844"/>
      <c r="WGZ46" s="2845"/>
      <c r="WHA46" s="2842"/>
      <c r="WHB46" s="2842"/>
      <c r="WHC46" s="2843"/>
      <c r="WHD46" s="2843"/>
      <c r="WHE46" s="2844"/>
      <c r="WHF46" s="2845"/>
      <c r="WHG46" s="2842"/>
      <c r="WHH46" s="2842"/>
      <c r="WHI46" s="2843"/>
      <c r="WHJ46" s="2843"/>
      <c r="WHK46" s="2844"/>
      <c r="WHL46" s="2845"/>
      <c r="WHM46" s="2842"/>
      <c r="WHN46" s="2842"/>
      <c r="WHO46" s="2843"/>
      <c r="WHP46" s="2843"/>
      <c r="WHQ46" s="2844"/>
      <c r="WHR46" s="2845"/>
      <c r="WHS46" s="2842"/>
      <c r="WHT46" s="2842"/>
      <c r="WHU46" s="2843"/>
      <c r="WHV46" s="2843"/>
      <c r="WHW46" s="2844"/>
      <c r="WHX46" s="2845"/>
      <c r="WHY46" s="2842"/>
      <c r="WHZ46" s="2842"/>
      <c r="WIA46" s="2843"/>
      <c r="WIB46" s="2843"/>
      <c r="WIC46" s="2844"/>
      <c r="WID46" s="2845"/>
      <c r="WIE46" s="2842"/>
      <c r="WIF46" s="2842"/>
      <c r="WIG46" s="2843"/>
      <c r="WIH46" s="2843"/>
      <c r="WII46" s="2844"/>
      <c r="WIJ46" s="2845"/>
      <c r="WIK46" s="2842"/>
      <c r="WIL46" s="2842"/>
      <c r="WIM46" s="2843"/>
      <c r="WIN46" s="2843"/>
      <c r="WIO46" s="2844"/>
      <c r="WIP46" s="2845"/>
      <c r="WIQ46" s="2842"/>
      <c r="WIR46" s="2842"/>
      <c r="WIS46" s="2843"/>
      <c r="WIT46" s="2843"/>
      <c r="WIU46" s="2844"/>
      <c r="WIV46" s="2845"/>
      <c r="WIW46" s="2842"/>
      <c r="WIX46" s="2842"/>
      <c r="WIY46" s="2843"/>
      <c r="WIZ46" s="2843"/>
      <c r="WJA46" s="2844"/>
      <c r="WJB46" s="2845"/>
      <c r="WJC46" s="2842"/>
      <c r="WJD46" s="2842"/>
      <c r="WJE46" s="2843"/>
      <c r="WJF46" s="2843"/>
      <c r="WJG46" s="2844"/>
      <c r="WJH46" s="2845"/>
      <c r="WJI46" s="2842"/>
      <c r="WJJ46" s="2842"/>
      <c r="WJK46" s="2843"/>
      <c r="WJL46" s="2843"/>
      <c r="WJM46" s="2844"/>
      <c r="WJN46" s="2845"/>
      <c r="WJO46" s="2842"/>
      <c r="WJP46" s="2842"/>
      <c r="WJQ46" s="2843"/>
      <c r="WJR46" s="2843"/>
      <c r="WJS46" s="2844"/>
      <c r="WJT46" s="2845"/>
      <c r="WJU46" s="2842"/>
      <c r="WJV46" s="2842"/>
      <c r="WJW46" s="2843"/>
      <c r="WJX46" s="2843"/>
      <c r="WJY46" s="2844"/>
      <c r="WJZ46" s="2845"/>
      <c r="WKA46" s="2842"/>
      <c r="WKB46" s="2842"/>
      <c r="WKC46" s="2843"/>
      <c r="WKD46" s="2843"/>
      <c r="WKE46" s="2844"/>
      <c r="WKF46" s="2845"/>
      <c r="WKG46" s="2842"/>
      <c r="WKH46" s="2842"/>
      <c r="WKI46" s="2843"/>
      <c r="WKJ46" s="2843"/>
      <c r="WKK46" s="2844"/>
      <c r="WKL46" s="2845"/>
      <c r="WKM46" s="2842"/>
      <c r="WKN46" s="2842"/>
      <c r="WKO46" s="2843"/>
      <c r="WKP46" s="2843"/>
      <c r="WKQ46" s="2844"/>
      <c r="WKR46" s="2845"/>
      <c r="WKS46" s="2842"/>
      <c r="WKT46" s="2842"/>
      <c r="WKU46" s="2843"/>
      <c r="WKV46" s="2843"/>
      <c r="WKW46" s="2844"/>
      <c r="WKX46" s="2845"/>
      <c r="WKY46" s="2842"/>
      <c r="WKZ46" s="2842"/>
      <c r="WLA46" s="2843"/>
      <c r="WLB46" s="2843"/>
      <c r="WLC46" s="2844"/>
      <c r="WLD46" s="2845"/>
      <c r="WLE46" s="2842"/>
      <c r="WLF46" s="2842"/>
      <c r="WLG46" s="2843"/>
      <c r="WLH46" s="2843"/>
      <c r="WLI46" s="2844"/>
      <c r="WLJ46" s="2845"/>
      <c r="WLK46" s="2842"/>
      <c r="WLL46" s="2842"/>
      <c r="WLM46" s="2843"/>
      <c r="WLN46" s="2843"/>
      <c r="WLO46" s="2844"/>
      <c r="WLP46" s="2845"/>
      <c r="WLQ46" s="2842"/>
      <c r="WLR46" s="2842"/>
      <c r="WLS46" s="2843"/>
      <c r="WLT46" s="2843"/>
      <c r="WLU46" s="2844"/>
      <c r="WLV46" s="2845"/>
      <c r="WLW46" s="2842"/>
      <c r="WLX46" s="2842"/>
      <c r="WLY46" s="2843"/>
      <c r="WLZ46" s="2843"/>
      <c r="WMA46" s="2844"/>
      <c r="WMB46" s="2845"/>
      <c r="WMC46" s="2842"/>
      <c r="WMD46" s="2842"/>
      <c r="WME46" s="2843"/>
      <c r="WMF46" s="2843"/>
      <c r="WMG46" s="2844"/>
      <c r="WMH46" s="2845"/>
      <c r="WMI46" s="2842"/>
      <c r="WMJ46" s="2842"/>
      <c r="WMK46" s="2843"/>
      <c r="WML46" s="2843"/>
      <c r="WMM46" s="2844"/>
      <c r="WMN46" s="2845"/>
      <c r="WMO46" s="2842"/>
      <c r="WMP46" s="2842"/>
      <c r="WMQ46" s="2843"/>
      <c r="WMR46" s="2843"/>
      <c r="WMS46" s="2844"/>
      <c r="WMT46" s="2845"/>
      <c r="WMU46" s="2842"/>
      <c r="WMV46" s="2842"/>
      <c r="WMW46" s="2843"/>
      <c r="WMX46" s="2843"/>
      <c r="WMY46" s="2844"/>
      <c r="WMZ46" s="2845"/>
      <c r="WNA46" s="2842"/>
      <c r="WNB46" s="2842"/>
      <c r="WNC46" s="2843"/>
      <c r="WND46" s="2843"/>
      <c r="WNE46" s="2844"/>
      <c r="WNF46" s="2845"/>
      <c r="WNG46" s="2842"/>
      <c r="WNH46" s="2842"/>
      <c r="WNI46" s="2843"/>
      <c r="WNJ46" s="2843"/>
      <c r="WNK46" s="2844"/>
      <c r="WNL46" s="2845"/>
      <c r="WNM46" s="2842"/>
      <c r="WNN46" s="2842"/>
      <c r="WNO46" s="2843"/>
      <c r="WNP46" s="2843"/>
      <c r="WNQ46" s="2844"/>
      <c r="WNR46" s="2845"/>
      <c r="WNS46" s="2842"/>
      <c r="WNT46" s="2842"/>
      <c r="WNU46" s="2843"/>
      <c r="WNV46" s="2843"/>
      <c r="WNW46" s="2844"/>
      <c r="WNX46" s="2845"/>
      <c r="WNY46" s="2842"/>
      <c r="WNZ46" s="2842"/>
      <c r="WOA46" s="2843"/>
      <c r="WOB46" s="2843"/>
      <c r="WOC46" s="2844"/>
      <c r="WOD46" s="2845"/>
      <c r="WOE46" s="2842"/>
      <c r="WOF46" s="2842"/>
      <c r="WOG46" s="2843"/>
      <c r="WOH46" s="2843"/>
      <c r="WOI46" s="2844"/>
      <c r="WOJ46" s="2845"/>
      <c r="WOK46" s="2842"/>
      <c r="WOL46" s="2842"/>
      <c r="WOM46" s="2843"/>
      <c r="WON46" s="2843"/>
      <c r="WOO46" s="2844"/>
      <c r="WOP46" s="2845"/>
      <c r="WOQ46" s="2842"/>
      <c r="WOR46" s="2842"/>
      <c r="WOS46" s="2843"/>
      <c r="WOT46" s="2843"/>
      <c r="WOU46" s="2844"/>
      <c r="WOV46" s="2845"/>
      <c r="WOW46" s="2842"/>
      <c r="WOX46" s="2842"/>
      <c r="WOY46" s="2843"/>
      <c r="WOZ46" s="2843"/>
      <c r="WPA46" s="2844"/>
      <c r="WPB46" s="2845"/>
      <c r="WPC46" s="2842"/>
      <c r="WPD46" s="2842"/>
      <c r="WPE46" s="2843"/>
      <c r="WPF46" s="2843"/>
      <c r="WPG46" s="2844"/>
      <c r="WPH46" s="2845"/>
      <c r="WPI46" s="2842"/>
      <c r="WPJ46" s="2842"/>
      <c r="WPK46" s="2843"/>
      <c r="WPL46" s="2843"/>
      <c r="WPM46" s="2844"/>
      <c r="WPN46" s="2845"/>
      <c r="WPO46" s="2842"/>
      <c r="WPP46" s="2842"/>
      <c r="WPQ46" s="2843"/>
      <c r="WPR46" s="2843"/>
      <c r="WPS46" s="2844"/>
      <c r="WPT46" s="2845"/>
      <c r="WPU46" s="2842"/>
      <c r="WPV46" s="2842"/>
      <c r="WPW46" s="2843"/>
      <c r="WPX46" s="2843"/>
      <c r="WPY46" s="2844"/>
      <c r="WPZ46" s="2845"/>
      <c r="WQA46" s="2842"/>
      <c r="WQB46" s="2842"/>
      <c r="WQC46" s="2843"/>
      <c r="WQD46" s="2843"/>
      <c r="WQE46" s="2844"/>
      <c r="WQF46" s="2845"/>
      <c r="WQG46" s="2842"/>
      <c r="WQH46" s="2842"/>
      <c r="WQI46" s="2843"/>
      <c r="WQJ46" s="2843"/>
      <c r="WQK46" s="2844"/>
      <c r="WQL46" s="2845"/>
      <c r="WQM46" s="2842"/>
      <c r="WQN46" s="2842"/>
      <c r="WQO46" s="2843"/>
      <c r="WQP46" s="2843"/>
      <c r="WQQ46" s="2844"/>
      <c r="WQR46" s="2845"/>
      <c r="WQS46" s="2842"/>
      <c r="WQT46" s="2842"/>
      <c r="WQU46" s="2843"/>
      <c r="WQV46" s="2843"/>
      <c r="WQW46" s="2844"/>
      <c r="WQX46" s="2845"/>
      <c r="WQY46" s="2842"/>
      <c r="WQZ46" s="2842"/>
      <c r="WRA46" s="2843"/>
      <c r="WRB46" s="2843"/>
      <c r="WRC46" s="2844"/>
      <c r="WRD46" s="2845"/>
      <c r="WRE46" s="2842"/>
      <c r="WRF46" s="2842"/>
      <c r="WRG46" s="2843"/>
      <c r="WRH46" s="2843"/>
      <c r="WRI46" s="2844"/>
      <c r="WRJ46" s="2845"/>
      <c r="WRK46" s="2842"/>
      <c r="WRL46" s="2842"/>
      <c r="WRM46" s="2843"/>
      <c r="WRN46" s="2843"/>
      <c r="WRO46" s="2844"/>
      <c r="WRP46" s="2845"/>
      <c r="WRQ46" s="2842"/>
      <c r="WRR46" s="2842"/>
      <c r="WRS46" s="2843"/>
      <c r="WRT46" s="2843"/>
      <c r="WRU46" s="2844"/>
      <c r="WRV46" s="2845"/>
      <c r="WRW46" s="2842"/>
      <c r="WRX46" s="2842"/>
      <c r="WRY46" s="2843"/>
      <c r="WRZ46" s="2843"/>
      <c r="WSA46" s="2844"/>
      <c r="WSB46" s="2845"/>
      <c r="WSC46" s="2842"/>
      <c r="WSD46" s="2842"/>
      <c r="WSE46" s="2843"/>
      <c r="WSF46" s="2843"/>
      <c r="WSG46" s="2844"/>
      <c r="WSH46" s="2845"/>
      <c r="WSI46" s="2842"/>
      <c r="WSJ46" s="2842"/>
      <c r="WSK46" s="2843"/>
      <c r="WSL46" s="2843"/>
      <c r="WSM46" s="2844"/>
      <c r="WSN46" s="2845"/>
      <c r="WSO46" s="2842"/>
      <c r="WSP46" s="2842"/>
      <c r="WSQ46" s="2843"/>
      <c r="WSR46" s="2843"/>
      <c r="WSS46" s="2844"/>
      <c r="WST46" s="2845"/>
      <c r="WSU46" s="2842"/>
      <c r="WSV46" s="2842"/>
      <c r="WSW46" s="2843"/>
      <c r="WSX46" s="2843"/>
      <c r="WSY46" s="2844"/>
      <c r="WSZ46" s="2845"/>
      <c r="WTA46" s="2842"/>
      <c r="WTB46" s="2842"/>
      <c r="WTC46" s="2843"/>
      <c r="WTD46" s="2843"/>
      <c r="WTE46" s="2844"/>
      <c r="WTF46" s="2845"/>
      <c r="WTG46" s="2842"/>
      <c r="WTH46" s="2842"/>
      <c r="WTI46" s="2843"/>
      <c r="WTJ46" s="2843"/>
      <c r="WTK46" s="2844"/>
      <c r="WTL46" s="2845"/>
      <c r="WTM46" s="2842"/>
      <c r="WTN46" s="2842"/>
      <c r="WTO46" s="2843"/>
      <c r="WTP46" s="2843"/>
      <c r="WTQ46" s="2844"/>
      <c r="WTR46" s="2845"/>
      <c r="WTS46" s="2842"/>
      <c r="WTT46" s="2842"/>
      <c r="WTU46" s="2843"/>
      <c r="WTV46" s="2843"/>
      <c r="WTW46" s="2844"/>
      <c r="WTX46" s="2845"/>
      <c r="WTY46" s="2842"/>
      <c r="WTZ46" s="2842"/>
      <c r="WUA46" s="2843"/>
      <c r="WUB46" s="2843"/>
      <c r="WUC46" s="2844"/>
      <c r="WUD46" s="2845"/>
      <c r="WUE46" s="2842"/>
      <c r="WUF46" s="2842"/>
      <c r="WUG46" s="2843"/>
      <c r="WUH46" s="2843"/>
      <c r="WUI46" s="2844"/>
      <c r="WUJ46" s="2845"/>
      <c r="WUK46" s="2842"/>
      <c r="WUL46" s="2842"/>
      <c r="WUM46" s="2843"/>
      <c r="WUN46" s="2843"/>
      <c r="WUO46" s="2844"/>
      <c r="WUP46" s="2845"/>
      <c r="WUQ46" s="2842"/>
      <c r="WUR46" s="2842"/>
      <c r="WUS46" s="2843"/>
      <c r="WUT46" s="2843"/>
      <c r="WUU46" s="2844"/>
      <c r="WUV46" s="2845"/>
      <c r="WUW46" s="2842"/>
      <c r="WUX46" s="2842"/>
      <c r="WUY46" s="2843"/>
      <c r="WUZ46" s="2843"/>
      <c r="WVA46" s="2844"/>
      <c r="WVB46" s="2845"/>
      <c r="WVC46" s="2842"/>
      <c r="WVD46" s="2842"/>
      <c r="WVE46" s="2843"/>
      <c r="WVF46" s="2843"/>
      <c r="WVG46" s="2844"/>
      <c r="WVH46" s="2845"/>
      <c r="WVI46" s="2842"/>
      <c r="WVJ46" s="2842"/>
      <c r="WVK46" s="2843"/>
      <c r="WVL46" s="2843"/>
      <c r="WVM46" s="2844"/>
      <c r="WVN46" s="2845"/>
      <c r="WVO46" s="2842"/>
      <c r="WVP46" s="2842"/>
      <c r="WVQ46" s="2843"/>
      <c r="WVR46" s="2843"/>
      <c r="WVS46" s="2844"/>
      <c r="WVT46" s="2845"/>
      <c r="WVU46" s="2842"/>
      <c r="WVV46" s="2842"/>
      <c r="WVW46" s="2843"/>
      <c r="WVX46" s="2843"/>
      <c r="WVY46" s="2844"/>
      <c r="WVZ46" s="2845"/>
      <c r="WWA46" s="2842"/>
      <c r="WWB46" s="2842"/>
      <c r="WWC46" s="2843"/>
      <c r="WWD46" s="2843"/>
      <c r="WWE46" s="2844"/>
      <c r="WWF46" s="2845"/>
      <c r="WWG46" s="2842"/>
      <c r="WWH46" s="2842"/>
      <c r="WWI46" s="2843"/>
      <c r="WWJ46" s="2843"/>
      <c r="WWK46" s="2844"/>
      <c r="WWL46" s="2845"/>
      <c r="WWM46" s="2842"/>
      <c r="WWN46" s="2842"/>
      <c r="WWO46" s="2843"/>
      <c r="WWP46" s="2843"/>
      <c r="WWQ46" s="2844"/>
      <c r="WWR46" s="2845"/>
      <c r="WWS46" s="2842"/>
      <c r="WWT46" s="2842"/>
      <c r="WWU46" s="2843"/>
      <c r="WWV46" s="2843"/>
      <c r="WWW46" s="2844"/>
      <c r="WWX46" s="2845"/>
      <c r="WWY46" s="2842"/>
      <c r="WWZ46" s="2842"/>
      <c r="WXA46" s="2843"/>
      <c r="WXB46" s="2843"/>
      <c r="WXC46" s="2844"/>
      <c r="WXD46" s="2845"/>
      <c r="WXE46" s="2842"/>
      <c r="WXF46" s="2842"/>
      <c r="WXG46" s="2843"/>
      <c r="WXH46" s="2843"/>
      <c r="WXI46" s="2844"/>
      <c r="WXJ46" s="2845"/>
      <c r="WXK46" s="2842"/>
      <c r="WXL46" s="2842"/>
      <c r="WXM46" s="2843"/>
      <c r="WXN46" s="2843"/>
      <c r="WXO46" s="2844"/>
      <c r="WXP46" s="2845"/>
      <c r="WXQ46" s="2842"/>
      <c r="WXR46" s="2842"/>
      <c r="WXS46" s="2843"/>
      <c r="WXT46" s="2843"/>
      <c r="WXU46" s="2844"/>
      <c r="WXV46" s="2845"/>
      <c r="WXW46" s="2842"/>
      <c r="WXX46" s="2842"/>
      <c r="WXY46" s="2843"/>
      <c r="WXZ46" s="2843"/>
      <c r="WYA46" s="2844"/>
      <c r="WYB46" s="2845"/>
      <c r="WYC46" s="2842"/>
      <c r="WYD46" s="2842"/>
      <c r="WYE46" s="2843"/>
      <c r="WYF46" s="2843"/>
      <c r="WYG46" s="2844"/>
      <c r="WYH46" s="2845"/>
      <c r="WYI46" s="2842"/>
      <c r="WYJ46" s="2842"/>
      <c r="WYK46" s="2843"/>
      <c r="WYL46" s="2843"/>
      <c r="WYM46" s="2844"/>
      <c r="WYN46" s="2845"/>
      <c r="WYO46" s="2842"/>
      <c r="WYP46" s="2842"/>
      <c r="WYQ46" s="2843"/>
      <c r="WYR46" s="2843"/>
      <c r="WYS46" s="2844"/>
      <c r="WYT46" s="2845"/>
      <c r="WYU46" s="2842"/>
      <c r="WYV46" s="2842"/>
      <c r="WYW46" s="2843"/>
      <c r="WYX46" s="2843"/>
      <c r="WYY46" s="2844"/>
      <c r="WYZ46" s="2845"/>
      <c r="WZA46" s="2842"/>
      <c r="WZB46" s="2842"/>
      <c r="WZC46" s="2843"/>
      <c r="WZD46" s="2843"/>
      <c r="WZE46" s="2844"/>
      <c r="WZF46" s="2845"/>
      <c r="WZG46" s="2842"/>
      <c r="WZH46" s="2842"/>
      <c r="WZI46" s="2843"/>
      <c r="WZJ46" s="2843"/>
      <c r="WZK46" s="2844"/>
      <c r="WZL46" s="2845"/>
      <c r="WZM46" s="2842"/>
      <c r="WZN46" s="2842"/>
      <c r="WZO46" s="2843"/>
      <c r="WZP46" s="2843"/>
      <c r="WZQ46" s="2844"/>
      <c r="WZR46" s="2845"/>
      <c r="WZS46" s="2842"/>
      <c r="WZT46" s="2842"/>
      <c r="WZU46" s="2843"/>
      <c r="WZV46" s="2843"/>
      <c r="WZW46" s="2844"/>
      <c r="WZX46" s="2845"/>
      <c r="WZY46" s="2842"/>
      <c r="WZZ46" s="2842"/>
      <c r="XAA46" s="2843"/>
      <c r="XAB46" s="2843"/>
      <c r="XAC46" s="2844"/>
      <c r="XAD46" s="2845"/>
      <c r="XAE46" s="2842"/>
      <c r="XAF46" s="2842"/>
      <c r="XAG46" s="2843"/>
      <c r="XAH46" s="2843"/>
      <c r="XAI46" s="2844"/>
      <c r="XAJ46" s="2845"/>
      <c r="XAK46" s="2842"/>
      <c r="XAL46" s="2842"/>
      <c r="XAM46" s="2843"/>
      <c r="XAN46" s="2843"/>
      <c r="XAO46" s="2844"/>
      <c r="XAP46" s="2845"/>
      <c r="XAQ46" s="2842"/>
      <c r="XAR46" s="2842"/>
      <c r="XAS46" s="2843"/>
      <c r="XAT46" s="2843"/>
      <c r="XAU46" s="2844"/>
      <c r="XAV46" s="2845"/>
      <c r="XAW46" s="2842"/>
      <c r="XAX46" s="2842"/>
      <c r="XAY46" s="2843"/>
      <c r="XAZ46" s="2843"/>
      <c r="XBA46" s="2844"/>
      <c r="XBB46" s="2845"/>
      <c r="XBC46" s="2842"/>
      <c r="XBD46" s="2842"/>
      <c r="XBE46" s="2843"/>
      <c r="XBF46" s="2843"/>
      <c r="XBG46" s="2844"/>
      <c r="XBH46" s="2845"/>
      <c r="XBI46" s="2842"/>
      <c r="XBJ46" s="2842"/>
      <c r="XBK46" s="2843"/>
      <c r="XBL46" s="2843"/>
      <c r="XBM46" s="2844"/>
      <c r="XBN46" s="2845"/>
      <c r="XBO46" s="2842"/>
      <c r="XBP46" s="2842"/>
      <c r="XBQ46" s="2843"/>
      <c r="XBR46" s="2843"/>
      <c r="XBS46" s="2844"/>
      <c r="XBT46" s="2845"/>
      <c r="XBU46" s="2842"/>
      <c r="XBV46" s="2842"/>
      <c r="XBW46" s="2843"/>
      <c r="XBX46" s="2843"/>
      <c r="XBY46" s="2844"/>
      <c r="XBZ46" s="2845"/>
      <c r="XCA46" s="2842"/>
      <c r="XCB46" s="2842"/>
      <c r="XCC46" s="2843"/>
      <c r="XCD46" s="2843"/>
      <c r="XCE46" s="2844"/>
      <c r="XCF46" s="2845"/>
      <c r="XCG46" s="2842"/>
      <c r="XCH46" s="2842"/>
      <c r="XCI46" s="2843"/>
      <c r="XCJ46" s="2843"/>
      <c r="XCK46" s="2844"/>
      <c r="XCL46" s="2845"/>
      <c r="XCM46" s="2842"/>
      <c r="XCN46" s="2842"/>
      <c r="XCO46" s="2843"/>
      <c r="XCP46" s="2843"/>
      <c r="XCQ46" s="2844"/>
      <c r="XCR46" s="2845"/>
      <c r="XCS46" s="2842"/>
      <c r="XCT46" s="2842"/>
      <c r="XCU46" s="2843"/>
      <c r="XCV46" s="2843"/>
      <c r="XCW46" s="2844"/>
      <c r="XCX46" s="2845"/>
      <c r="XCY46" s="2842"/>
      <c r="XCZ46" s="2842"/>
      <c r="XDA46" s="2843"/>
      <c r="XDB46" s="2843"/>
      <c r="XDC46" s="2844"/>
      <c r="XDD46" s="2845"/>
      <c r="XDE46" s="2842"/>
      <c r="XDF46" s="2842"/>
      <c r="XDG46" s="2843"/>
      <c r="XDH46" s="2843"/>
      <c r="XDI46" s="2844"/>
      <c r="XDJ46" s="2845"/>
      <c r="XDK46" s="2842"/>
      <c r="XDL46" s="2842"/>
      <c r="XDM46" s="2843"/>
      <c r="XDN46" s="2843"/>
      <c r="XDO46" s="2844"/>
      <c r="XDP46" s="2845"/>
      <c r="XDQ46" s="2842"/>
      <c r="XDR46" s="2842"/>
      <c r="XDS46" s="2843"/>
      <c r="XDT46" s="2843"/>
      <c r="XDU46" s="2844"/>
      <c r="XDV46" s="2845"/>
      <c r="XDW46" s="2842"/>
      <c r="XDX46" s="2842"/>
      <c r="XDY46" s="2843"/>
      <c r="XDZ46" s="2843"/>
      <c r="XEA46" s="2844"/>
      <c r="XEB46" s="2845"/>
      <c r="XEC46" s="2842"/>
      <c r="XED46" s="2842"/>
      <c r="XEE46" s="2843"/>
      <c r="XEF46" s="2843"/>
      <c r="XEG46" s="2844"/>
      <c r="XEH46" s="2845"/>
      <c r="XEI46" s="2842"/>
      <c r="XEJ46" s="2842"/>
      <c r="XEK46" s="2843"/>
      <c r="XEL46" s="2843"/>
      <c r="XEM46" s="2844"/>
      <c r="XEN46" s="2845"/>
      <c r="XEO46" s="2842"/>
      <c r="XEP46" s="2842"/>
      <c r="XEQ46" s="2843"/>
      <c r="XER46" s="2843"/>
      <c r="XES46" s="2844"/>
      <c r="XET46" s="2845"/>
      <c r="XEU46" s="2842"/>
      <c r="XEV46" s="2842"/>
      <c r="XEW46" s="2843"/>
      <c r="XEX46" s="2843"/>
      <c r="XEY46" s="2844"/>
      <c r="XEZ46" s="2845"/>
      <c r="XFA46" s="2842"/>
      <c r="XFB46" s="2842"/>
      <c r="XFC46" s="2843"/>
      <c r="XFD46" s="2843"/>
    </row>
    <row r="47" spans="1:16384" s="2841" customFormat="1" ht="72">
      <c r="A47" s="3124" t="s">
        <v>994</v>
      </c>
      <c r="B47" s="2847" t="s">
        <v>1077</v>
      </c>
      <c r="C47" s="2847" t="s">
        <v>487</v>
      </c>
      <c r="D47" s="2848" t="s">
        <v>1109</v>
      </c>
      <c r="E47" s="2848" t="s">
        <v>1110</v>
      </c>
      <c r="F47" s="2972" t="s">
        <v>1108</v>
      </c>
      <c r="G47" s="2838"/>
      <c r="H47" s="2842"/>
      <c r="I47" s="2843"/>
      <c r="J47" s="2843"/>
      <c r="K47" s="2844"/>
      <c r="L47" s="2845"/>
      <c r="M47" s="2842"/>
      <c r="N47" s="2842"/>
      <c r="O47" s="2843"/>
      <c r="P47" s="2843"/>
      <c r="Q47" s="2844"/>
      <c r="R47" s="2845"/>
      <c r="S47" s="2842"/>
      <c r="T47" s="2842"/>
      <c r="U47" s="2843"/>
      <c r="V47" s="2843"/>
      <c r="W47" s="2844"/>
      <c r="X47" s="2845"/>
      <c r="Y47" s="2842"/>
      <c r="Z47" s="2842"/>
      <c r="AA47" s="2843"/>
      <c r="AB47" s="2843"/>
      <c r="AC47" s="2844"/>
      <c r="AD47" s="2845"/>
      <c r="AE47" s="2842"/>
      <c r="AF47" s="2842"/>
      <c r="AG47" s="2843"/>
      <c r="AH47" s="2843"/>
      <c r="AI47" s="2844"/>
      <c r="AJ47" s="2845"/>
      <c r="AK47" s="2842"/>
      <c r="AL47" s="2842"/>
      <c r="AM47" s="2843"/>
      <c r="AN47" s="2843"/>
      <c r="AO47" s="2844"/>
      <c r="AP47" s="2845"/>
      <c r="AQ47" s="2842"/>
      <c r="AR47" s="2842"/>
      <c r="AS47" s="2843"/>
      <c r="AT47" s="2843"/>
      <c r="AU47" s="2844"/>
      <c r="AV47" s="2845"/>
      <c r="AW47" s="2842"/>
      <c r="AX47" s="2842"/>
      <c r="AY47" s="2843"/>
      <c r="AZ47" s="2843"/>
      <c r="BA47" s="2844"/>
      <c r="BB47" s="2845"/>
      <c r="BC47" s="2842"/>
      <c r="BD47" s="2842"/>
      <c r="BE47" s="2843"/>
      <c r="BF47" s="2843"/>
      <c r="BG47" s="2844"/>
      <c r="BH47" s="2845"/>
      <c r="BI47" s="2842"/>
      <c r="BJ47" s="2842"/>
      <c r="BK47" s="2843"/>
      <c r="BL47" s="2843"/>
      <c r="BM47" s="2844"/>
      <c r="BN47" s="2845"/>
      <c r="BO47" s="2842"/>
      <c r="BP47" s="2842"/>
      <c r="BQ47" s="2843"/>
      <c r="BR47" s="2843"/>
      <c r="BS47" s="2844"/>
      <c r="BT47" s="2845"/>
      <c r="BU47" s="2842"/>
      <c r="BV47" s="2842"/>
      <c r="BW47" s="2843"/>
      <c r="BX47" s="2843"/>
      <c r="BY47" s="2844"/>
      <c r="BZ47" s="2845"/>
      <c r="CA47" s="2842"/>
      <c r="CB47" s="2842"/>
      <c r="CC47" s="2843"/>
      <c r="CD47" s="2843"/>
      <c r="CE47" s="2844"/>
      <c r="CF47" s="2845"/>
      <c r="CG47" s="2842"/>
      <c r="CH47" s="2842"/>
      <c r="CI47" s="2843"/>
      <c r="CJ47" s="2843"/>
      <c r="CK47" s="2844"/>
      <c r="CL47" s="2845"/>
      <c r="CM47" s="2842"/>
      <c r="CN47" s="2842"/>
      <c r="CO47" s="2843"/>
      <c r="CP47" s="2843"/>
      <c r="CQ47" s="2844"/>
      <c r="CR47" s="2845"/>
      <c r="CS47" s="2842"/>
      <c r="CT47" s="2842"/>
      <c r="CU47" s="2843"/>
      <c r="CV47" s="2843"/>
      <c r="CW47" s="2844"/>
      <c r="CX47" s="2845"/>
      <c r="CY47" s="2842"/>
      <c r="CZ47" s="2842"/>
      <c r="DA47" s="2843"/>
      <c r="DB47" s="2843"/>
      <c r="DC47" s="2844"/>
      <c r="DD47" s="2845"/>
      <c r="DE47" s="2842"/>
      <c r="DF47" s="2842"/>
      <c r="DG47" s="2843"/>
      <c r="DH47" s="2843"/>
      <c r="DI47" s="2844"/>
      <c r="DJ47" s="2845"/>
      <c r="DK47" s="2842"/>
      <c r="DL47" s="2842"/>
      <c r="DM47" s="2843"/>
      <c r="DN47" s="2843"/>
      <c r="DO47" s="2844"/>
      <c r="DP47" s="2845"/>
      <c r="DQ47" s="2842"/>
      <c r="DR47" s="2842"/>
      <c r="DS47" s="2843"/>
      <c r="DT47" s="2843"/>
      <c r="DU47" s="2844"/>
      <c r="DV47" s="2845"/>
      <c r="DW47" s="2842"/>
      <c r="DX47" s="2842"/>
      <c r="DY47" s="2843"/>
      <c r="DZ47" s="2843"/>
      <c r="EA47" s="2844"/>
      <c r="EB47" s="2845"/>
      <c r="EC47" s="2842"/>
      <c r="ED47" s="2842"/>
      <c r="EE47" s="2843"/>
      <c r="EF47" s="2843"/>
      <c r="EG47" s="2844"/>
      <c r="EH47" s="2845"/>
      <c r="EI47" s="2842"/>
      <c r="EJ47" s="2842"/>
      <c r="EK47" s="2843"/>
      <c r="EL47" s="2843"/>
      <c r="EM47" s="2844"/>
      <c r="EN47" s="2845"/>
      <c r="EO47" s="2842"/>
      <c r="EP47" s="2842"/>
      <c r="EQ47" s="2843"/>
      <c r="ER47" s="2843"/>
      <c r="ES47" s="2844"/>
      <c r="ET47" s="2845"/>
      <c r="EU47" s="2842"/>
      <c r="EV47" s="2842"/>
      <c r="EW47" s="2843"/>
      <c r="EX47" s="2843"/>
      <c r="EY47" s="2844"/>
      <c r="EZ47" s="2845"/>
      <c r="FA47" s="2842"/>
      <c r="FB47" s="2842"/>
      <c r="FC47" s="2843"/>
      <c r="FD47" s="2843"/>
      <c r="FE47" s="2844"/>
      <c r="FF47" s="2845"/>
      <c r="FG47" s="2842"/>
      <c r="FH47" s="2842"/>
      <c r="FI47" s="2843"/>
      <c r="FJ47" s="2843"/>
      <c r="FK47" s="2844"/>
      <c r="FL47" s="2845"/>
      <c r="FM47" s="2842"/>
      <c r="FN47" s="2842"/>
      <c r="FO47" s="2843"/>
      <c r="FP47" s="2843"/>
      <c r="FQ47" s="2844"/>
      <c r="FR47" s="2845"/>
      <c r="FS47" s="2842"/>
      <c r="FT47" s="2842"/>
      <c r="FU47" s="2843"/>
      <c r="FV47" s="2843"/>
      <c r="FW47" s="2844"/>
      <c r="FX47" s="2845"/>
      <c r="FY47" s="2842"/>
      <c r="FZ47" s="2842"/>
      <c r="GA47" s="2843"/>
      <c r="GB47" s="2843"/>
      <c r="GC47" s="2844"/>
      <c r="GD47" s="2845"/>
      <c r="GE47" s="2842"/>
      <c r="GF47" s="2842"/>
      <c r="GG47" s="2843"/>
      <c r="GH47" s="2843"/>
      <c r="GI47" s="2844"/>
      <c r="GJ47" s="2845"/>
      <c r="GK47" s="2842"/>
      <c r="GL47" s="2842"/>
      <c r="GM47" s="2843"/>
      <c r="GN47" s="2843"/>
      <c r="GO47" s="2844"/>
      <c r="GP47" s="2845"/>
      <c r="GQ47" s="2842"/>
      <c r="GR47" s="2842"/>
      <c r="GS47" s="2843"/>
      <c r="GT47" s="2843"/>
      <c r="GU47" s="2844"/>
      <c r="GV47" s="2845"/>
      <c r="GW47" s="2842"/>
      <c r="GX47" s="2842"/>
      <c r="GY47" s="2843"/>
      <c r="GZ47" s="2843"/>
      <c r="HA47" s="2844"/>
      <c r="HB47" s="2845"/>
      <c r="HC47" s="2842"/>
      <c r="HD47" s="2842"/>
      <c r="HE47" s="2843"/>
      <c r="HF47" s="2843"/>
      <c r="HG47" s="2844"/>
      <c r="HH47" s="2845"/>
      <c r="HI47" s="2842"/>
      <c r="HJ47" s="2842"/>
      <c r="HK47" s="2843"/>
      <c r="HL47" s="2843"/>
      <c r="HM47" s="2844"/>
      <c r="HN47" s="2845"/>
      <c r="HO47" s="2842"/>
      <c r="HP47" s="2842"/>
      <c r="HQ47" s="2843"/>
      <c r="HR47" s="2843"/>
      <c r="HS47" s="2844"/>
      <c r="HT47" s="2845"/>
      <c r="HU47" s="2842"/>
      <c r="HV47" s="2842"/>
      <c r="HW47" s="2843"/>
      <c r="HX47" s="2843"/>
      <c r="HY47" s="2844"/>
      <c r="HZ47" s="2845"/>
      <c r="IA47" s="2842"/>
      <c r="IB47" s="2842"/>
      <c r="IC47" s="2843"/>
      <c r="ID47" s="2843"/>
      <c r="IE47" s="2844"/>
      <c r="IF47" s="2845"/>
      <c r="IG47" s="2842"/>
      <c r="IH47" s="2842"/>
      <c r="II47" s="2843"/>
      <c r="IJ47" s="2843"/>
      <c r="IK47" s="2844"/>
      <c r="IL47" s="2845"/>
      <c r="IM47" s="2842"/>
      <c r="IN47" s="2842"/>
      <c r="IO47" s="2843"/>
      <c r="IP47" s="2843"/>
      <c r="IQ47" s="2844"/>
      <c r="IR47" s="2845"/>
      <c r="IS47" s="2842"/>
      <c r="IT47" s="2842"/>
      <c r="IU47" s="2843"/>
      <c r="IV47" s="2843"/>
      <c r="IW47" s="2844"/>
      <c r="IX47" s="2845"/>
      <c r="IY47" s="2842"/>
      <c r="IZ47" s="2842"/>
      <c r="JA47" s="2843"/>
      <c r="JB47" s="2843"/>
      <c r="JC47" s="2844"/>
      <c r="JD47" s="2845"/>
      <c r="JE47" s="2842"/>
      <c r="JF47" s="2842"/>
      <c r="JG47" s="2843"/>
      <c r="JH47" s="2843"/>
      <c r="JI47" s="2844"/>
      <c r="JJ47" s="2845"/>
      <c r="JK47" s="2842"/>
      <c r="JL47" s="2842"/>
      <c r="JM47" s="2843"/>
      <c r="JN47" s="2843"/>
      <c r="JO47" s="2844"/>
      <c r="JP47" s="2845"/>
      <c r="JQ47" s="2842"/>
      <c r="JR47" s="2842"/>
      <c r="JS47" s="2843"/>
      <c r="JT47" s="2843"/>
      <c r="JU47" s="2844"/>
      <c r="JV47" s="2845"/>
      <c r="JW47" s="2842"/>
      <c r="JX47" s="2842"/>
      <c r="JY47" s="2843"/>
      <c r="JZ47" s="2843"/>
      <c r="KA47" s="2844"/>
      <c r="KB47" s="2845"/>
      <c r="KC47" s="2842"/>
      <c r="KD47" s="2842"/>
      <c r="KE47" s="2843"/>
      <c r="KF47" s="2843"/>
      <c r="KG47" s="2844"/>
      <c r="KH47" s="2845"/>
      <c r="KI47" s="2842"/>
      <c r="KJ47" s="2842"/>
      <c r="KK47" s="2843"/>
      <c r="KL47" s="2843"/>
      <c r="KM47" s="2844"/>
      <c r="KN47" s="2845"/>
      <c r="KO47" s="2842"/>
      <c r="KP47" s="2842"/>
      <c r="KQ47" s="2843"/>
      <c r="KR47" s="2843"/>
      <c r="KS47" s="2844"/>
      <c r="KT47" s="2845"/>
      <c r="KU47" s="2842"/>
      <c r="KV47" s="2842"/>
      <c r="KW47" s="2843"/>
      <c r="KX47" s="2843"/>
      <c r="KY47" s="2844"/>
      <c r="KZ47" s="2845"/>
      <c r="LA47" s="2842"/>
      <c r="LB47" s="2842"/>
      <c r="LC47" s="2843"/>
      <c r="LD47" s="2843"/>
      <c r="LE47" s="2844"/>
      <c r="LF47" s="2845"/>
      <c r="LG47" s="2842"/>
      <c r="LH47" s="2842"/>
      <c r="LI47" s="2843"/>
      <c r="LJ47" s="2843"/>
      <c r="LK47" s="2844"/>
      <c r="LL47" s="2845"/>
      <c r="LM47" s="2842"/>
      <c r="LN47" s="2842"/>
      <c r="LO47" s="2843"/>
      <c r="LP47" s="2843"/>
      <c r="LQ47" s="2844"/>
      <c r="LR47" s="2845"/>
      <c r="LS47" s="2842"/>
      <c r="LT47" s="2842"/>
      <c r="LU47" s="2843"/>
      <c r="LV47" s="2843"/>
      <c r="LW47" s="2844"/>
      <c r="LX47" s="2845"/>
      <c r="LY47" s="2842"/>
      <c r="LZ47" s="2842"/>
      <c r="MA47" s="2843"/>
      <c r="MB47" s="2843"/>
      <c r="MC47" s="2844"/>
      <c r="MD47" s="2845"/>
      <c r="ME47" s="2842"/>
      <c r="MF47" s="2842"/>
      <c r="MG47" s="2843"/>
      <c r="MH47" s="2843"/>
      <c r="MI47" s="2844"/>
      <c r="MJ47" s="2845"/>
      <c r="MK47" s="2842"/>
      <c r="ML47" s="2842"/>
      <c r="MM47" s="2843"/>
      <c r="MN47" s="2843"/>
      <c r="MO47" s="2844"/>
      <c r="MP47" s="2845"/>
      <c r="MQ47" s="2842"/>
      <c r="MR47" s="2842"/>
      <c r="MS47" s="2843"/>
      <c r="MT47" s="2843"/>
      <c r="MU47" s="2844"/>
      <c r="MV47" s="2845"/>
      <c r="MW47" s="2842"/>
      <c r="MX47" s="2842"/>
      <c r="MY47" s="2843"/>
      <c r="MZ47" s="2843"/>
      <c r="NA47" s="2844"/>
      <c r="NB47" s="2845"/>
      <c r="NC47" s="2842"/>
      <c r="ND47" s="2842"/>
      <c r="NE47" s="2843"/>
      <c r="NF47" s="2843"/>
      <c r="NG47" s="2844"/>
      <c r="NH47" s="2845"/>
      <c r="NI47" s="2842"/>
      <c r="NJ47" s="2842"/>
      <c r="NK47" s="2843"/>
      <c r="NL47" s="2843"/>
      <c r="NM47" s="2844"/>
      <c r="NN47" s="2845"/>
      <c r="NO47" s="2842"/>
      <c r="NP47" s="2842"/>
      <c r="NQ47" s="2843"/>
      <c r="NR47" s="2843"/>
      <c r="NS47" s="2844"/>
      <c r="NT47" s="2845"/>
      <c r="NU47" s="2842"/>
      <c r="NV47" s="2842"/>
      <c r="NW47" s="2843"/>
      <c r="NX47" s="2843"/>
      <c r="NY47" s="2844"/>
      <c r="NZ47" s="2845"/>
      <c r="OA47" s="2842"/>
      <c r="OB47" s="2842"/>
      <c r="OC47" s="2843"/>
      <c r="OD47" s="2843"/>
      <c r="OE47" s="2844"/>
      <c r="OF47" s="2845"/>
      <c r="OG47" s="2842"/>
      <c r="OH47" s="2842"/>
      <c r="OI47" s="2843"/>
      <c r="OJ47" s="2843"/>
      <c r="OK47" s="2844"/>
      <c r="OL47" s="2845"/>
      <c r="OM47" s="2842"/>
      <c r="ON47" s="2842"/>
      <c r="OO47" s="2843"/>
      <c r="OP47" s="2843"/>
      <c r="OQ47" s="2844"/>
      <c r="OR47" s="2845"/>
      <c r="OS47" s="2842"/>
      <c r="OT47" s="2842"/>
      <c r="OU47" s="2843"/>
      <c r="OV47" s="2843"/>
      <c r="OW47" s="2844"/>
      <c r="OX47" s="2845"/>
      <c r="OY47" s="2842"/>
      <c r="OZ47" s="2842"/>
      <c r="PA47" s="2843"/>
      <c r="PB47" s="2843"/>
      <c r="PC47" s="2844"/>
      <c r="PD47" s="2845"/>
      <c r="PE47" s="2842"/>
      <c r="PF47" s="2842"/>
      <c r="PG47" s="2843"/>
      <c r="PH47" s="2843"/>
      <c r="PI47" s="2844"/>
      <c r="PJ47" s="2845"/>
      <c r="PK47" s="2842"/>
      <c r="PL47" s="2842"/>
      <c r="PM47" s="2843"/>
      <c r="PN47" s="2843"/>
      <c r="PO47" s="2844"/>
      <c r="PP47" s="2845"/>
      <c r="PQ47" s="2842"/>
      <c r="PR47" s="2842"/>
      <c r="PS47" s="2843"/>
      <c r="PT47" s="2843"/>
      <c r="PU47" s="2844"/>
      <c r="PV47" s="2845"/>
      <c r="PW47" s="2842"/>
      <c r="PX47" s="2842"/>
      <c r="PY47" s="2843"/>
      <c r="PZ47" s="2843"/>
      <c r="QA47" s="2844"/>
      <c r="QB47" s="2845"/>
      <c r="QC47" s="2842"/>
      <c r="QD47" s="2842"/>
      <c r="QE47" s="2843"/>
      <c r="QF47" s="2843"/>
      <c r="QG47" s="2844"/>
      <c r="QH47" s="2845"/>
      <c r="QI47" s="2842"/>
      <c r="QJ47" s="2842"/>
      <c r="QK47" s="2843"/>
      <c r="QL47" s="2843"/>
      <c r="QM47" s="2844"/>
      <c r="QN47" s="2845"/>
      <c r="QO47" s="2842"/>
      <c r="QP47" s="2842"/>
      <c r="QQ47" s="2843"/>
      <c r="QR47" s="2843"/>
      <c r="QS47" s="2844"/>
      <c r="QT47" s="2845"/>
      <c r="QU47" s="2842"/>
      <c r="QV47" s="2842"/>
      <c r="QW47" s="2843"/>
      <c r="QX47" s="2843"/>
      <c r="QY47" s="2844"/>
      <c r="QZ47" s="2845"/>
      <c r="RA47" s="2842"/>
      <c r="RB47" s="2842"/>
      <c r="RC47" s="2843"/>
      <c r="RD47" s="2843"/>
      <c r="RE47" s="2844"/>
      <c r="RF47" s="2845"/>
      <c r="RG47" s="2842"/>
      <c r="RH47" s="2842"/>
      <c r="RI47" s="2843"/>
      <c r="RJ47" s="2843"/>
      <c r="RK47" s="2844"/>
      <c r="RL47" s="2845"/>
      <c r="RM47" s="2842"/>
      <c r="RN47" s="2842"/>
      <c r="RO47" s="2843"/>
      <c r="RP47" s="2843"/>
      <c r="RQ47" s="2844"/>
      <c r="RR47" s="2845"/>
      <c r="RS47" s="2842"/>
      <c r="RT47" s="2842"/>
      <c r="RU47" s="2843"/>
      <c r="RV47" s="2843"/>
      <c r="RW47" s="2844"/>
      <c r="RX47" s="2845"/>
      <c r="RY47" s="2842"/>
      <c r="RZ47" s="2842"/>
      <c r="SA47" s="2843"/>
      <c r="SB47" s="2843"/>
      <c r="SC47" s="2844"/>
      <c r="SD47" s="2845"/>
      <c r="SE47" s="2842"/>
      <c r="SF47" s="2842"/>
      <c r="SG47" s="2843"/>
      <c r="SH47" s="2843"/>
      <c r="SI47" s="2844"/>
      <c r="SJ47" s="2845"/>
      <c r="SK47" s="2842"/>
      <c r="SL47" s="2842"/>
      <c r="SM47" s="2843"/>
      <c r="SN47" s="2843"/>
      <c r="SO47" s="2844"/>
      <c r="SP47" s="2845"/>
      <c r="SQ47" s="2842"/>
      <c r="SR47" s="2842"/>
      <c r="SS47" s="2843"/>
      <c r="ST47" s="2843"/>
      <c r="SU47" s="2844"/>
      <c r="SV47" s="2845"/>
      <c r="SW47" s="2842"/>
      <c r="SX47" s="2842"/>
      <c r="SY47" s="2843"/>
      <c r="SZ47" s="2843"/>
      <c r="TA47" s="2844"/>
      <c r="TB47" s="2845"/>
      <c r="TC47" s="2842"/>
      <c r="TD47" s="2842"/>
      <c r="TE47" s="2843"/>
      <c r="TF47" s="2843"/>
      <c r="TG47" s="2844"/>
      <c r="TH47" s="2845"/>
      <c r="TI47" s="2842"/>
      <c r="TJ47" s="2842"/>
      <c r="TK47" s="2843"/>
      <c r="TL47" s="2843"/>
      <c r="TM47" s="2844"/>
      <c r="TN47" s="2845"/>
      <c r="TO47" s="2842"/>
      <c r="TP47" s="2842"/>
      <c r="TQ47" s="2843"/>
      <c r="TR47" s="2843"/>
      <c r="TS47" s="2844"/>
      <c r="TT47" s="2845"/>
      <c r="TU47" s="2842"/>
      <c r="TV47" s="2842"/>
      <c r="TW47" s="2843"/>
      <c r="TX47" s="2843"/>
      <c r="TY47" s="2844"/>
      <c r="TZ47" s="2845"/>
      <c r="UA47" s="2842"/>
      <c r="UB47" s="2842"/>
      <c r="UC47" s="2843"/>
      <c r="UD47" s="2843"/>
      <c r="UE47" s="2844"/>
      <c r="UF47" s="2845"/>
      <c r="UG47" s="2842"/>
      <c r="UH47" s="2842"/>
      <c r="UI47" s="2843"/>
      <c r="UJ47" s="2843"/>
      <c r="UK47" s="2844"/>
      <c r="UL47" s="2845"/>
      <c r="UM47" s="2842"/>
      <c r="UN47" s="2842"/>
      <c r="UO47" s="2843"/>
      <c r="UP47" s="2843"/>
      <c r="UQ47" s="2844"/>
      <c r="UR47" s="2845"/>
      <c r="US47" s="2842"/>
      <c r="UT47" s="2842"/>
      <c r="UU47" s="2843"/>
      <c r="UV47" s="2843"/>
      <c r="UW47" s="2844"/>
      <c r="UX47" s="2845"/>
      <c r="UY47" s="2842"/>
      <c r="UZ47" s="2842"/>
      <c r="VA47" s="2843"/>
      <c r="VB47" s="2843"/>
      <c r="VC47" s="2844"/>
      <c r="VD47" s="2845"/>
      <c r="VE47" s="2842"/>
      <c r="VF47" s="2842"/>
      <c r="VG47" s="2843"/>
      <c r="VH47" s="2843"/>
      <c r="VI47" s="2844"/>
      <c r="VJ47" s="2845"/>
      <c r="VK47" s="2842"/>
      <c r="VL47" s="2842"/>
      <c r="VM47" s="2843"/>
      <c r="VN47" s="2843"/>
      <c r="VO47" s="2844"/>
      <c r="VP47" s="2845"/>
      <c r="VQ47" s="2842"/>
      <c r="VR47" s="2842"/>
      <c r="VS47" s="2843"/>
      <c r="VT47" s="2843"/>
      <c r="VU47" s="2844"/>
      <c r="VV47" s="2845"/>
      <c r="VW47" s="2842"/>
      <c r="VX47" s="2842"/>
      <c r="VY47" s="2843"/>
      <c r="VZ47" s="2843"/>
      <c r="WA47" s="2844"/>
      <c r="WB47" s="2845"/>
      <c r="WC47" s="2842"/>
      <c r="WD47" s="2842"/>
      <c r="WE47" s="2843"/>
      <c r="WF47" s="2843"/>
      <c r="WG47" s="2844"/>
      <c r="WH47" s="2845"/>
      <c r="WI47" s="2842"/>
      <c r="WJ47" s="2842"/>
      <c r="WK47" s="2843"/>
      <c r="WL47" s="2843"/>
      <c r="WM47" s="2844"/>
      <c r="WN47" s="2845"/>
      <c r="WO47" s="2842"/>
      <c r="WP47" s="2842"/>
      <c r="WQ47" s="2843"/>
      <c r="WR47" s="2843"/>
      <c r="WS47" s="2844"/>
      <c r="WT47" s="2845"/>
      <c r="WU47" s="2842"/>
      <c r="WV47" s="2842"/>
      <c r="WW47" s="2843"/>
      <c r="WX47" s="2843"/>
      <c r="WY47" s="2844"/>
      <c r="WZ47" s="2845"/>
      <c r="XA47" s="2842"/>
      <c r="XB47" s="2842"/>
      <c r="XC47" s="2843"/>
      <c r="XD47" s="2843"/>
      <c r="XE47" s="2844"/>
      <c r="XF47" s="2845"/>
      <c r="XG47" s="2842"/>
      <c r="XH47" s="2842"/>
      <c r="XI47" s="2843"/>
      <c r="XJ47" s="2843"/>
      <c r="XK47" s="2844"/>
      <c r="XL47" s="2845"/>
      <c r="XM47" s="2842"/>
      <c r="XN47" s="2842"/>
      <c r="XO47" s="2843"/>
      <c r="XP47" s="2843"/>
      <c r="XQ47" s="2844"/>
      <c r="XR47" s="2845"/>
      <c r="XS47" s="2842"/>
      <c r="XT47" s="2842"/>
      <c r="XU47" s="2843"/>
      <c r="XV47" s="2843"/>
      <c r="XW47" s="2844"/>
      <c r="XX47" s="2845"/>
      <c r="XY47" s="2842"/>
      <c r="XZ47" s="2842"/>
      <c r="YA47" s="2843"/>
      <c r="YB47" s="2843"/>
      <c r="YC47" s="2844"/>
      <c r="YD47" s="2845"/>
      <c r="YE47" s="2842"/>
      <c r="YF47" s="2842"/>
      <c r="YG47" s="2843"/>
      <c r="YH47" s="2843"/>
      <c r="YI47" s="2844"/>
      <c r="YJ47" s="2845"/>
      <c r="YK47" s="2842"/>
      <c r="YL47" s="2842"/>
      <c r="YM47" s="2843"/>
      <c r="YN47" s="2843"/>
      <c r="YO47" s="2844"/>
      <c r="YP47" s="2845"/>
      <c r="YQ47" s="2842"/>
      <c r="YR47" s="2842"/>
      <c r="YS47" s="2843"/>
      <c r="YT47" s="2843"/>
      <c r="YU47" s="2844"/>
      <c r="YV47" s="2845"/>
      <c r="YW47" s="2842"/>
      <c r="YX47" s="2842"/>
      <c r="YY47" s="2843"/>
      <c r="YZ47" s="2843"/>
      <c r="ZA47" s="2844"/>
      <c r="ZB47" s="2845"/>
      <c r="ZC47" s="2842"/>
      <c r="ZD47" s="2842"/>
      <c r="ZE47" s="2843"/>
      <c r="ZF47" s="2843"/>
      <c r="ZG47" s="2844"/>
      <c r="ZH47" s="2845"/>
      <c r="ZI47" s="2842"/>
      <c r="ZJ47" s="2842"/>
      <c r="ZK47" s="2843"/>
      <c r="ZL47" s="2843"/>
      <c r="ZM47" s="2844"/>
      <c r="ZN47" s="2845"/>
      <c r="ZO47" s="2842"/>
      <c r="ZP47" s="2842"/>
      <c r="ZQ47" s="2843"/>
      <c r="ZR47" s="2843"/>
      <c r="ZS47" s="2844"/>
      <c r="ZT47" s="2845"/>
      <c r="ZU47" s="2842"/>
      <c r="ZV47" s="2842"/>
      <c r="ZW47" s="2843"/>
      <c r="ZX47" s="2843"/>
      <c r="ZY47" s="2844"/>
      <c r="ZZ47" s="2845"/>
      <c r="AAA47" s="2842"/>
      <c r="AAB47" s="2842"/>
      <c r="AAC47" s="2843"/>
      <c r="AAD47" s="2843"/>
      <c r="AAE47" s="2844"/>
      <c r="AAF47" s="2845"/>
      <c r="AAG47" s="2842"/>
      <c r="AAH47" s="2842"/>
      <c r="AAI47" s="2843"/>
      <c r="AAJ47" s="2843"/>
      <c r="AAK47" s="2844"/>
      <c r="AAL47" s="2845"/>
      <c r="AAM47" s="2842"/>
      <c r="AAN47" s="2842"/>
      <c r="AAO47" s="2843"/>
      <c r="AAP47" s="2843"/>
      <c r="AAQ47" s="2844"/>
      <c r="AAR47" s="2845"/>
      <c r="AAS47" s="2842"/>
      <c r="AAT47" s="2842"/>
      <c r="AAU47" s="2843"/>
      <c r="AAV47" s="2843"/>
      <c r="AAW47" s="2844"/>
      <c r="AAX47" s="2845"/>
      <c r="AAY47" s="2842"/>
      <c r="AAZ47" s="2842"/>
      <c r="ABA47" s="2843"/>
      <c r="ABB47" s="2843"/>
      <c r="ABC47" s="2844"/>
      <c r="ABD47" s="2845"/>
      <c r="ABE47" s="2842"/>
      <c r="ABF47" s="2842"/>
      <c r="ABG47" s="2843"/>
      <c r="ABH47" s="2843"/>
      <c r="ABI47" s="2844"/>
      <c r="ABJ47" s="2845"/>
      <c r="ABK47" s="2842"/>
      <c r="ABL47" s="2842"/>
      <c r="ABM47" s="2843"/>
      <c r="ABN47" s="2843"/>
      <c r="ABO47" s="2844"/>
      <c r="ABP47" s="2845"/>
      <c r="ABQ47" s="2842"/>
      <c r="ABR47" s="2842"/>
      <c r="ABS47" s="2843"/>
      <c r="ABT47" s="2843"/>
      <c r="ABU47" s="2844"/>
      <c r="ABV47" s="2845"/>
      <c r="ABW47" s="2842"/>
      <c r="ABX47" s="2842"/>
      <c r="ABY47" s="2843"/>
      <c r="ABZ47" s="2843"/>
      <c r="ACA47" s="2844"/>
      <c r="ACB47" s="2845"/>
      <c r="ACC47" s="2842"/>
      <c r="ACD47" s="2842"/>
      <c r="ACE47" s="2843"/>
      <c r="ACF47" s="2843"/>
      <c r="ACG47" s="2844"/>
      <c r="ACH47" s="2845"/>
      <c r="ACI47" s="2842"/>
      <c r="ACJ47" s="2842"/>
      <c r="ACK47" s="2843"/>
      <c r="ACL47" s="2843"/>
      <c r="ACM47" s="2844"/>
      <c r="ACN47" s="2845"/>
      <c r="ACO47" s="2842"/>
      <c r="ACP47" s="2842"/>
      <c r="ACQ47" s="2843"/>
      <c r="ACR47" s="2843"/>
      <c r="ACS47" s="2844"/>
      <c r="ACT47" s="2845"/>
      <c r="ACU47" s="2842"/>
      <c r="ACV47" s="2842"/>
      <c r="ACW47" s="2843"/>
      <c r="ACX47" s="2843"/>
      <c r="ACY47" s="2844"/>
      <c r="ACZ47" s="2845"/>
      <c r="ADA47" s="2842"/>
      <c r="ADB47" s="2842"/>
      <c r="ADC47" s="2843"/>
      <c r="ADD47" s="2843"/>
      <c r="ADE47" s="2844"/>
      <c r="ADF47" s="2845"/>
      <c r="ADG47" s="2842"/>
      <c r="ADH47" s="2842"/>
      <c r="ADI47" s="2843"/>
      <c r="ADJ47" s="2843"/>
      <c r="ADK47" s="2844"/>
      <c r="ADL47" s="2845"/>
      <c r="ADM47" s="2842"/>
      <c r="ADN47" s="2842"/>
      <c r="ADO47" s="2843"/>
      <c r="ADP47" s="2843"/>
      <c r="ADQ47" s="2844"/>
      <c r="ADR47" s="2845"/>
      <c r="ADS47" s="2842"/>
      <c r="ADT47" s="2842"/>
      <c r="ADU47" s="2843"/>
      <c r="ADV47" s="2843"/>
      <c r="ADW47" s="2844"/>
      <c r="ADX47" s="2845"/>
      <c r="ADY47" s="2842"/>
      <c r="ADZ47" s="2842"/>
      <c r="AEA47" s="2843"/>
      <c r="AEB47" s="2843"/>
      <c r="AEC47" s="2844"/>
      <c r="AED47" s="2845"/>
      <c r="AEE47" s="2842"/>
      <c r="AEF47" s="2842"/>
      <c r="AEG47" s="2843"/>
      <c r="AEH47" s="2843"/>
      <c r="AEI47" s="2844"/>
      <c r="AEJ47" s="2845"/>
      <c r="AEK47" s="2842"/>
      <c r="AEL47" s="2842"/>
      <c r="AEM47" s="2843"/>
      <c r="AEN47" s="2843"/>
      <c r="AEO47" s="2844"/>
      <c r="AEP47" s="2845"/>
      <c r="AEQ47" s="2842"/>
      <c r="AER47" s="2842"/>
      <c r="AES47" s="2843"/>
      <c r="AET47" s="2843"/>
      <c r="AEU47" s="2844"/>
      <c r="AEV47" s="2845"/>
      <c r="AEW47" s="2842"/>
      <c r="AEX47" s="2842"/>
      <c r="AEY47" s="2843"/>
      <c r="AEZ47" s="2843"/>
      <c r="AFA47" s="2844"/>
      <c r="AFB47" s="2845"/>
      <c r="AFC47" s="2842"/>
      <c r="AFD47" s="2842"/>
      <c r="AFE47" s="2843"/>
      <c r="AFF47" s="2843"/>
      <c r="AFG47" s="2844"/>
      <c r="AFH47" s="2845"/>
      <c r="AFI47" s="2842"/>
      <c r="AFJ47" s="2842"/>
      <c r="AFK47" s="2843"/>
      <c r="AFL47" s="2843"/>
      <c r="AFM47" s="2844"/>
      <c r="AFN47" s="2845"/>
      <c r="AFO47" s="2842"/>
      <c r="AFP47" s="2842"/>
      <c r="AFQ47" s="2843"/>
      <c r="AFR47" s="2843"/>
      <c r="AFS47" s="2844"/>
      <c r="AFT47" s="2845"/>
      <c r="AFU47" s="2842"/>
      <c r="AFV47" s="2842"/>
      <c r="AFW47" s="2843"/>
      <c r="AFX47" s="2843"/>
      <c r="AFY47" s="2844"/>
      <c r="AFZ47" s="2845"/>
      <c r="AGA47" s="2842"/>
      <c r="AGB47" s="2842"/>
      <c r="AGC47" s="2843"/>
      <c r="AGD47" s="2843"/>
      <c r="AGE47" s="2844"/>
      <c r="AGF47" s="2845"/>
      <c r="AGG47" s="2842"/>
      <c r="AGH47" s="2842"/>
      <c r="AGI47" s="2843"/>
      <c r="AGJ47" s="2843"/>
      <c r="AGK47" s="2844"/>
      <c r="AGL47" s="2845"/>
      <c r="AGM47" s="2842"/>
      <c r="AGN47" s="2842"/>
      <c r="AGO47" s="2843"/>
      <c r="AGP47" s="2843"/>
      <c r="AGQ47" s="2844"/>
      <c r="AGR47" s="2845"/>
      <c r="AGS47" s="2842"/>
      <c r="AGT47" s="2842"/>
      <c r="AGU47" s="2843"/>
      <c r="AGV47" s="2843"/>
      <c r="AGW47" s="2844"/>
      <c r="AGX47" s="2845"/>
      <c r="AGY47" s="2842"/>
      <c r="AGZ47" s="2842"/>
      <c r="AHA47" s="2843"/>
      <c r="AHB47" s="2843"/>
      <c r="AHC47" s="2844"/>
      <c r="AHD47" s="2845"/>
      <c r="AHE47" s="2842"/>
      <c r="AHF47" s="2842"/>
      <c r="AHG47" s="2843"/>
      <c r="AHH47" s="2843"/>
      <c r="AHI47" s="2844"/>
      <c r="AHJ47" s="2845"/>
      <c r="AHK47" s="2842"/>
      <c r="AHL47" s="2842"/>
      <c r="AHM47" s="2843"/>
      <c r="AHN47" s="2843"/>
      <c r="AHO47" s="2844"/>
      <c r="AHP47" s="2845"/>
      <c r="AHQ47" s="2842"/>
      <c r="AHR47" s="2842"/>
      <c r="AHS47" s="2843"/>
      <c r="AHT47" s="2843"/>
      <c r="AHU47" s="2844"/>
      <c r="AHV47" s="2845"/>
      <c r="AHW47" s="2842"/>
      <c r="AHX47" s="2842"/>
      <c r="AHY47" s="2843"/>
      <c r="AHZ47" s="2843"/>
      <c r="AIA47" s="2844"/>
      <c r="AIB47" s="2845"/>
      <c r="AIC47" s="2842"/>
      <c r="AID47" s="2842"/>
      <c r="AIE47" s="2843"/>
      <c r="AIF47" s="2843"/>
      <c r="AIG47" s="2844"/>
      <c r="AIH47" s="2845"/>
      <c r="AII47" s="2842"/>
      <c r="AIJ47" s="2842"/>
      <c r="AIK47" s="2843"/>
      <c r="AIL47" s="2843"/>
      <c r="AIM47" s="2844"/>
      <c r="AIN47" s="2845"/>
      <c r="AIO47" s="2842"/>
      <c r="AIP47" s="2842"/>
      <c r="AIQ47" s="2843"/>
      <c r="AIR47" s="2843"/>
      <c r="AIS47" s="2844"/>
      <c r="AIT47" s="2845"/>
      <c r="AIU47" s="2842"/>
      <c r="AIV47" s="2842"/>
      <c r="AIW47" s="2843"/>
      <c r="AIX47" s="2843"/>
      <c r="AIY47" s="2844"/>
      <c r="AIZ47" s="2845"/>
      <c r="AJA47" s="2842"/>
      <c r="AJB47" s="2842"/>
      <c r="AJC47" s="2843"/>
      <c r="AJD47" s="2843"/>
      <c r="AJE47" s="2844"/>
      <c r="AJF47" s="2845"/>
      <c r="AJG47" s="2842"/>
      <c r="AJH47" s="2842"/>
      <c r="AJI47" s="2843"/>
      <c r="AJJ47" s="2843"/>
      <c r="AJK47" s="2844"/>
      <c r="AJL47" s="2845"/>
      <c r="AJM47" s="2842"/>
      <c r="AJN47" s="2842"/>
      <c r="AJO47" s="2843"/>
      <c r="AJP47" s="2843"/>
      <c r="AJQ47" s="2844"/>
      <c r="AJR47" s="2845"/>
      <c r="AJS47" s="2842"/>
      <c r="AJT47" s="2842"/>
      <c r="AJU47" s="2843"/>
      <c r="AJV47" s="2843"/>
      <c r="AJW47" s="2844"/>
      <c r="AJX47" s="2845"/>
      <c r="AJY47" s="2842"/>
      <c r="AJZ47" s="2842"/>
      <c r="AKA47" s="2843"/>
      <c r="AKB47" s="2843"/>
      <c r="AKC47" s="2844"/>
      <c r="AKD47" s="2845"/>
      <c r="AKE47" s="2842"/>
      <c r="AKF47" s="2842"/>
      <c r="AKG47" s="2843"/>
      <c r="AKH47" s="2843"/>
      <c r="AKI47" s="2844"/>
      <c r="AKJ47" s="2845"/>
      <c r="AKK47" s="2842"/>
      <c r="AKL47" s="2842"/>
      <c r="AKM47" s="2843"/>
      <c r="AKN47" s="2843"/>
      <c r="AKO47" s="2844"/>
      <c r="AKP47" s="2845"/>
      <c r="AKQ47" s="2842"/>
      <c r="AKR47" s="2842"/>
      <c r="AKS47" s="2843"/>
      <c r="AKT47" s="2843"/>
      <c r="AKU47" s="2844"/>
      <c r="AKV47" s="2845"/>
      <c r="AKW47" s="2842"/>
      <c r="AKX47" s="2842"/>
      <c r="AKY47" s="2843"/>
      <c r="AKZ47" s="2843"/>
      <c r="ALA47" s="2844"/>
      <c r="ALB47" s="2845"/>
      <c r="ALC47" s="2842"/>
      <c r="ALD47" s="2842"/>
      <c r="ALE47" s="2843"/>
      <c r="ALF47" s="2843"/>
      <c r="ALG47" s="2844"/>
      <c r="ALH47" s="2845"/>
      <c r="ALI47" s="2842"/>
      <c r="ALJ47" s="2842"/>
      <c r="ALK47" s="2843"/>
      <c r="ALL47" s="2843"/>
      <c r="ALM47" s="2844"/>
      <c r="ALN47" s="2845"/>
      <c r="ALO47" s="2842"/>
      <c r="ALP47" s="2842"/>
      <c r="ALQ47" s="2843"/>
      <c r="ALR47" s="2843"/>
      <c r="ALS47" s="2844"/>
      <c r="ALT47" s="2845"/>
      <c r="ALU47" s="2842"/>
      <c r="ALV47" s="2842"/>
      <c r="ALW47" s="2843"/>
      <c r="ALX47" s="2843"/>
      <c r="ALY47" s="2844"/>
      <c r="ALZ47" s="2845"/>
      <c r="AMA47" s="2842"/>
      <c r="AMB47" s="2842"/>
      <c r="AMC47" s="2843"/>
      <c r="AMD47" s="2843"/>
      <c r="AME47" s="2844"/>
      <c r="AMF47" s="2845"/>
      <c r="AMG47" s="2842"/>
      <c r="AMH47" s="2842"/>
      <c r="AMI47" s="2843"/>
      <c r="AMJ47" s="2843"/>
      <c r="AMK47" s="2844"/>
      <c r="AML47" s="2845"/>
      <c r="AMM47" s="2842"/>
      <c r="AMN47" s="2842"/>
      <c r="AMO47" s="2843"/>
      <c r="AMP47" s="2843"/>
      <c r="AMQ47" s="2844"/>
      <c r="AMR47" s="2845"/>
      <c r="AMS47" s="2842"/>
      <c r="AMT47" s="2842"/>
      <c r="AMU47" s="2843"/>
      <c r="AMV47" s="2843"/>
      <c r="AMW47" s="2844"/>
      <c r="AMX47" s="2845"/>
      <c r="AMY47" s="2842"/>
      <c r="AMZ47" s="2842"/>
      <c r="ANA47" s="2843"/>
      <c r="ANB47" s="2843"/>
      <c r="ANC47" s="2844"/>
      <c r="AND47" s="2845"/>
      <c r="ANE47" s="2842"/>
      <c r="ANF47" s="2842"/>
      <c r="ANG47" s="2843"/>
      <c r="ANH47" s="2843"/>
      <c r="ANI47" s="2844"/>
      <c r="ANJ47" s="2845"/>
      <c r="ANK47" s="2842"/>
      <c r="ANL47" s="2842"/>
      <c r="ANM47" s="2843"/>
      <c r="ANN47" s="2843"/>
      <c r="ANO47" s="2844"/>
      <c r="ANP47" s="2845"/>
      <c r="ANQ47" s="2842"/>
      <c r="ANR47" s="2842"/>
      <c r="ANS47" s="2843"/>
      <c r="ANT47" s="2843"/>
      <c r="ANU47" s="2844"/>
      <c r="ANV47" s="2845"/>
      <c r="ANW47" s="2842"/>
      <c r="ANX47" s="2842"/>
      <c r="ANY47" s="2843"/>
      <c r="ANZ47" s="2843"/>
      <c r="AOA47" s="2844"/>
      <c r="AOB47" s="2845"/>
      <c r="AOC47" s="2842"/>
      <c r="AOD47" s="2842"/>
      <c r="AOE47" s="2843"/>
      <c r="AOF47" s="2843"/>
      <c r="AOG47" s="2844"/>
      <c r="AOH47" s="2845"/>
      <c r="AOI47" s="2842"/>
      <c r="AOJ47" s="2842"/>
      <c r="AOK47" s="2843"/>
      <c r="AOL47" s="2843"/>
      <c r="AOM47" s="2844"/>
      <c r="AON47" s="2845"/>
      <c r="AOO47" s="2842"/>
      <c r="AOP47" s="2842"/>
      <c r="AOQ47" s="2843"/>
      <c r="AOR47" s="2843"/>
      <c r="AOS47" s="2844"/>
      <c r="AOT47" s="2845"/>
      <c r="AOU47" s="2842"/>
      <c r="AOV47" s="2842"/>
      <c r="AOW47" s="2843"/>
      <c r="AOX47" s="2843"/>
      <c r="AOY47" s="2844"/>
      <c r="AOZ47" s="2845"/>
      <c r="APA47" s="2842"/>
      <c r="APB47" s="2842"/>
      <c r="APC47" s="2843"/>
      <c r="APD47" s="2843"/>
      <c r="APE47" s="2844"/>
      <c r="APF47" s="2845"/>
      <c r="APG47" s="2842"/>
      <c r="APH47" s="2842"/>
      <c r="API47" s="2843"/>
      <c r="APJ47" s="2843"/>
      <c r="APK47" s="2844"/>
      <c r="APL47" s="2845"/>
      <c r="APM47" s="2842"/>
      <c r="APN47" s="2842"/>
      <c r="APO47" s="2843"/>
      <c r="APP47" s="2843"/>
      <c r="APQ47" s="2844"/>
      <c r="APR47" s="2845"/>
      <c r="APS47" s="2842"/>
      <c r="APT47" s="2842"/>
      <c r="APU47" s="2843"/>
      <c r="APV47" s="2843"/>
      <c r="APW47" s="2844"/>
      <c r="APX47" s="2845"/>
      <c r="APY47" s="2842"/>
      <c r="APZ47" s="2842"/>
      <c r="AQA47" s="2843"/>
      <c r="AQB47" s="2843"/>
      <c r="AQC47" s="2844"/>
      <c r="AQD47" s="2845"/>
      <c r="AQE47" s="2842"/>
      <c r="AQF47" s="2842"/>
      <c r="AQG47" s="2843"/>
      <c r="AQH47" s="2843"/>
      <c r="AQI47" s="2844"/>
      <c r="AQJ47" s="2845"/>
      <c r="AQK47" s="2842"/>
      <c r="AQL47" s="2842"/>
      <c r="AQM47" s="2843"/>
      <c r="AQN47" s="2843"/>
      <c r="AQO47" s="2844"/>
      <c r="AQP47" s="2845"/>
      <c r="AQQ47" s="2842"/>
      <c r="AQR47" s="2842"/>
      <c r="AQS47" s="2843"/>
      <c r="AQT47" s="2843"/>
      <c r="AQU47" s="2844"/>
      <c r="AQV47" s="2845"/>
      <c r="AQW47" s="2842"/>
      <c r="AQX47" s="2842"/>
      <c r="AQY47" s="2843"/>
      <c r="AQZ47" s="2843"/>
      <c r="ARA47" s="2844"/>
      <c r="ARB47" s="2845"/>
      <c r="ARC47" s="2842"/>
      <c r="ARD47" s="2842"/>
      <c r="ARE47" s="2843"/>
      <c r="ARF47" s="2843"/>
      <c r="ARG47" s="2844"/>
      <c r="ARH47" s="2845"/>
      <c r="ARI47" s="2842"/>
      <c r="ARJ47" s="2842"/>
      <c r="ARK47" s="2843"/>
      <c r="ARL47" s="2843"/>
      <c r="ARM47" s="2844"/>
      <c r="ARN47" s="2845"/>
      <c r="ARO47" s="2842"/>
      <c r="ARP47" s="2842"/>
      <c r="ARQ47" s="2843"/>
      <c r="ARR47" s="2843"/>
      <c r="ARS47" s="2844"/>
      <c r="ART47" s="2845"/>
      <c r="ARU47" s="2842"/>
      <c r="ARV47" s="2842"/>
      <c r="ARW47" s="2843"/>
      <c r="ARX47" s="2843"/>
      <c r="ARY47" s="2844"/>
      <c r="ARZ47" s="2845"/>
      <c r="ASA47" s="2842"/>
      <c r="ASB47" s="2842"/>
      <c r="ASC47" s="2843"/>
      <c r="ASD47" s="2843"/>
      <c r="ASE47" s="2844"/>
      <c r="ASF47" s="2845"/>
      <c r="ASG47" s="2842"/>
      <c r="ASH47" s="2842"/>
      <c r="ASI47" s="2843"/>
      <c r="ASJ47" s="2843"/>
      <c r="ASK47" s="2844"/>
      <c r="ASL47" s="2845"/>
      <c r="ASM47" s="2842"/>
      <c r="ASN47" s="2842"/>
      <c r="ASO47" s="2843"/>
      <c r="ASP47" s="2843"/>
      <c r="ASQ47" s="2844"/>
      <c r="ASR47" s="2845"/>
      <c r="ASS47" s="2842"/>
      <c r="AST47" s="2842"/>
      <c r="ASU47" s="2843"/>
      <c r="ASV47" s="2843"/>
      <c r="ASW47" s="2844"/>
      <c r="ASX47" s="2845"/>
      <c r="ASY47" s="2842"/>
      <c r="ASZ47" s="2842"/>
      <c r="ATA47" s="2843"/>
      <c r="ATB47" s="2843"/>
      <c r="ATC47" s="2844"/>
      <c r="ATD47" s="2845"/>
      <c r="ATE47" s="2842"/>
      <c r="ATF47" s="2842"/>
      <c r="ATG47" s="2843"/>
      <c r="ATH47" s="2843"/>
      <c r="ATI47" s="2844"/>
      <c r="ATJ47" s="2845"/>
      <c r="ATK47" s="2842"/>
      <c r="ATL47" s="2842"/>
      <c r="ATM47" s="2843"/>
      <c r="ATN47" s="2843"/>
      <c r="ATO47" s="2844"/>
      <c r="ATP47" s="2845"/>
      <c r="ATQ47" s="2842"/>
      <c r="ATR47" s="2842"/>
      <c r="ATS47" s="2843"/>
      <c r="ATT47" s="2843"/>
      <c r="ATU47" s="2844"/>
      <c r="ATV47" s="2845"/>
      <c r="ATW47" s="2842"/>
      <c r="ATX47" s="2842"/>
      <c r="ATY47" s="2843"/>
      <c r="ATZ47" s="2843"/>
      <c r="AUA47" s="2844"/>
      <c r="AUB47" s="2845"/>
      <c r="AUC47" s="2842"/>
      <c r="AUD47" s="2842"/>
      <c r="AUE47" s="2843"/>
      <c r="AUF47" s="2843"/>
      <c r="AUG47" s="2844"/>
      <c r="AUH47" s="2845"/>
      <c r="AUI47" s="2842"/>
      <c r="AUJ47" s="2842"/>
      <c r="AUK47" s="2843"/>
      <c r="AUL47" s="2843"/>
      <c r="AUM47" s="2844"/>
      <c r="AUN47" s="2845"/>
      <c r="AUO47" s="2842"/>
      <c r="AUP47" s="2842"/>
      <c r="AUQ47" s="2843"/>
      <c r="AUR47" s="2843"/>
      <c r="AUS47" s="2844"/>
      <c r="AUT47" s="2845"/>
      <c r="AUU47" s="2842"/>
      <c r="AUV47" s="2842"/>
      <c r="AUW47" s="2843"/>
      <c r="AUX47" s="2843"/>
      <c r="AUY47" s="2844"/>
      <c r="AUZ47" s="2845"/>
      <c r="AVA47" s="2842"/>
      <c r="AVB47" s="2842"/>
      <c r="AVC47" s="2843"/>
      <c r="AVD47" s="2843"/>
      <c r="AVE47" s="2844"/>
      <c r="AVF47" s="2845"/>
      <c r="AVG47" s="2842"/>
      <c r="AVH47" s="2842"/>
      <c r="AVI47" s="2843"/>
      <c r="AVJ47" s="2843"/>
      <c r="AVK47" s="2844"/>
      <c r="AVL47" s="2845"/>
      <c r="AVM47" s="2842"/>
      <c r="AVN47" s="2842"/>
      <c r="AVO47" s="2843"/>
      <c r="AVP47" s="2843"/>
      <c r="AVQ47" s="2844"/>
      <c r="AVR47" s="2845"/>
      <c r="AVS47" s="2842"/>
      <c r="AVT47" s="2842"/>
      <c r="AVU47" s="2843"/>
      <c r="AVV47" s="2843"/>
      <c r="AVW47" s="2844"/>
      <c r="AVX47" s="2845"/>
      <c r="AVY47" s="2842"/>
      <c r="AVZ47" s="2842"/>
      <c r="AWA47" s="2843"/>
      <c r="AWB47" s="2843"/>
      <c r="AWC47" s="2844"/>
      <c r="AWD47" s="2845"/>
      <c r="AWE47" s="2842"/>
      <c r="AWF47" s="2842"/>
      <c r="AWG47" s="2843"/>
      <c r="AWH47" s="2843"/>
      <c r="AWI47" s="2844"/>
      <c r="AWJ47" s="2845"/>
      <c r="AWK47" s="2842"/>
      <c r="AWL47" s="2842"/>
      <c r="AWM47" s="2843"/>
      <c r="AWN47" s="2843"/>
      <c r="AWO47" s="2844"/>
      <c r="AWP47" s="2845"/>
      <c r="AWQ47" s="2842"/>
      <c r="AWR47" s="2842"/>
      <c r="AWS47" s="2843"/>
      <c r="AWT47" s="2843"/>
      <c r="AWU47" s="2844"/>
      <c r="AWV47" s="2845"/>
      <c r="AWW47" s="2842"/>
      <c r="AWX47" s="2842"/>
      <c r="AWY47" s="2843"/>
      <c r="AWZ47" s="2843"/>
      <c r="AXA47" s="2844"/>
      <c r="AXB47" s="2845"/>
      <c r="AXC47" s="2842"/>
      <c r="AXD47" s="2842"/>
      <c r="AXE47" s="2843"/>
      <c r="AXF47" s="2843"/>
      <c r="AXG47" s="2844"/>
      <c r="AXH47" s="2845"/>
      <c r="AXI47" s="2842"/>
      <c r="AXJ47" s="2842"/>
      <c r="AXK47" s="2843"/>
      <c r="AXL47" s="2843"/>
      <c r="AXM47" s="2844"/>
      <c r="AXN47" s="2845"/>
      <c r="AXO47" s="2842"/>
      <c r="AXP47" s="2842"/>
      <c r="AXQ47" s="2843"/>
      <c r="AXR47" s="2843"/>
      <c r="AXS47" s="2844"/>
      <c r="AXT47" s="2845"/>
      <c r="AXU47" s="2842"/>
      <c r="AXV47" s="2842"/>
      <c r="AXW47" s="2843"/>
      <c r="AXX47" s="2843"/>
      <c r="AXY47" s="2844"/>
      <c r="AXZ47" s="2845"/>
      <c r="AYA47" s="2842"/>
      <c r="AYB47" s="2842"/>
      <c r="AYC47" s="2843"/>
      <c r="AYD47" s="2843"/>
      <c r="AYE47" s="2844"/>
      <c r="AYF47" s="2845"/>
      <c r="AYG47" s="2842"/>
      <c r="AYH47" s="2842"/>
      <c r="AYI47" s="2843"/>
      <c r="AYJ47" s="2843"/>
      <c r="AYK47" s="2844"/>
      <c r="AYL47" s="2845"/>
      <c r="AYM47" s="2842"/>
      <c r="AYN47" s="2842"/>
      <c r="AYO47" s="2843"/>
      <c r="AYP47" s="2843"/>
      <c r="AYQ47" s="2844"/>
      <c r="AYR47" s="2845"/>
      <c r="AYS47" s="2842"/>
      <c r="AYT47" s="2842"/>
      <c r="AYU47" s="2843"/>
      <c r="AYV47" s="2843"/>
      <c r="AYW47" s="2844"/>
      <c r="AYX47" s="2845"/>
      <c r="AYY47" s="2842"/>
      <c r="AYZ47" s="2842"/>
      <c r="AZA47" s="2843"/>
      <c r="AZB47" s="2843"/>
      <c r="AZC47" s="2844"/>
      <c r="AZD47" s="2845"/>
      <c r="AZE47" s="2842"/>
      <c r="AZF47" s="2842"/>
      <c r="AZG47" s="2843"/>
      <c r="AZH47" s="2843"/>
      <c r="AZI47" s="2844"/>
      <c r="AZJ47" s="2845"/>
      <c r="AZK47" s="2842"/>
      <c r="AZL47" s="2842"/>
      <c r="AZM47" s="2843"/>
      <c r="AZN47" s="2843"/>
      <c r="AZO47" s="2844"/>
      <c r="AZP47" s="2845"/>
      <c r="AZQ47" s="2842"/>
      <c r="AZR47" s="2842"/>
      <c r="AZS47" s="2843"/>
      <c r="AZT47" s="2843"/>
      <c r="AZU47" s="2844"/>
      <c r="AZV47" s="2845"/>
      <c r="AZW47" s="2842"/>
      <c r="AZX47" s="2842"/>
      <c r="AZY47" s="2843"/>
      <c r="AZZ47" s="2843"/>
      <c r="BAA47" s="2844"/>
      <c r="BAB47" s="2845"/>
      <c r="BAC47" s="2842"/>
      <c r="BAD47" s="2842"/>
      <c r="BAE47" s="2843"/>
      <c r="BAF47" s="2843"/>
      <c r="BAG47" s="2844"/>
      <c r="BAH47" s="2845"/>
      <c r="BAI47" s="2842"/>
      <c r="BAJ47" s="2842"/>
      <c r="BAK47" s="2843"/>
      <c r="BAL47" s="2843"/>
      <c r="BAM47" s="2844"/>
      <c r="BAN47" s="2845"/>
      <c r="BAO47" s="2842"/>
      <c r="BAP47" s="2842"/>
      <c r="BAQ47" s="2843"/>
      <c r="BAR47" s="2843"/>
      <c r="BAS47" s="2844"/>
      <c r="BAT47" s="2845"/>
      <c r="BAU47" s="2842"/>
      <c r="BAV47" s="2842"/>
      <c r="BAW47" s="2843"/>
      <c r="BAX47" s="2843"/>
      <c r="BAY47" s="2844"/>
      <c r="BAZ47" s="2845"/>
      <c r="BBA47" s="2842"/>
      <c r="BBB47" s="2842"/>
      <c r="BBC47" s="2843"/>
      <c r="BBD47" s="2843"/>
      <c r="BBE47" s="2844"/>
      <c r="BBF47" s="2845"/>
      <c r="BBG47" s="2842"/>
      <c r="BBH47" s="2842"/>
      <c r="BBI47" s="2843"/>
      <c r="BBJ47" s="2843"/>
      <c r="BBK47" s="2844"/>
      <c r="BBL47" s="2845"/>
      <c r="BBM47" s="2842"/>
      <c r="BBN47" s="2842"/>
      <c r="BBO47" s="2843"/>
      <c r="BBP47" s="2843"/>
      <c r="BBQ47" s="2844"/>
      <c r="BBR47" s="2845"/>
      <c r="BBS47" s="2842"/>
      <c r="BBT47" s="2842"/>
      <c r="BBU47" s="2843"/>
      <c r="BBV47" s="2843"/>
      <c r="BBW47" s="2844"/>
      <c r="BBX47" s="2845"/>
      <c r="BBY47" s="2842"/>
      <c r="BBZ47" s="2842"/>
      <c r="BCA47" s="2843"/>
      <c r="BCB47" s="2843"/>
      <c r="BCC47" s="2844"/>
      <c r="BCD47" s="2845"/>
      <c r="BCE47" s="2842"/>
      <c r="BCF47" s="2842"/>
      <c r="BCG47" s="2843"/>
      <c r="BCH47" s="2843"/>
      <c r="BCI47" s="2844"/>
      <c r="BCJ47" s="2845"/>
      <c r="BCK47" s="2842"/>
      <c r="BCL47" s="2842"/>
      <c r="BCM47" s="2843"/>
      <c r="BCN47" s="2843"/>
      <c r="BCO47" s="2844"/>
      <c r="BCP47" s="2845"/>
      <c r="BCQ47" s="2842"/>
      <c r="BCR47" s="2842"/>
      <c r="BCS47" s="2843"/>
      <c r="BCT47" s="2843"/>
      <c r="BCU47" s="2844"/>
      <c r="BCV47" s="2845"/>
      <c r="BCW47" s="2842"/>
      <c r="BCX47" s="2842"/>
      <c r="BCY47" s="2843"/>
      <c r="BCZ47" s="2843"/>
      <c r="BDA47" s="2844"/>
      <c r="BDB47" s="2845"/>
      <c r="BDC47" s="2842"/>
      <c r="BDD47" s="2842"/>
      <c r="BDE47" s="2843"/>
      <c r="BDF47" s="2843"/>
      <c r="BDG47" s="2844"/>
      <c r="BDH47" s="2845"/>
      <c r="BDI47" s="2842"/>
      <c r="BDJ47" s="2842"/>
      <c r="BDK47" s="2843"/>
      <c r="BDL47" s="2843"/>
      <c r="BDM47" s="2844"/>
      <c r="BDN47" s="2845"/>
      <c r="BDO47" s="2842"/>
      <c r="BDP47" s="2842"/>
      <c r="BDQ47" s="2843"/>
      <c r="BDR47" s="2843"/>
      <c r="BDS47" s="2844"/>
      <c r="BDT47" s="2845"/>
      <c r="BDU47" s="2842"/>
      <c r="BDV47" s="2842"/>
      <c r="BDW47" s="2843"/>
      <c r="BDX47" s="2843"/>
      <c r="BDY47" s="2844"/>
      <c r="BDZ47" s="2845"/>
      <c r="BEA47" s="2842"/>
      <c r="BEB47" s="2842"/>
      <c r="BEC47" s="2843"/>
      <c r="BED47" s="2843"/>
      <c r="BEE47" s="2844"/>
      <c r="BEF47" s="2845"/>
      <c r="BEG47" s="2842"/>
      <c r="BEH47" s="2842"/>
      <c r="BEI47" s="2843"/>
      <c r="BEJ47" s="2843"/>
      <c r="BEK47" s="2844"/>
      <c r="BEL47" s="2845"/>
      <c r="BEM47" s="2842"/>
      <c r="BEN47" s="2842"/>
      <c r="BEO47" s="2843"/>
      <c r="BEP47" s="2843"/>
      <c r="BEQ47" s="2844"/>
      <c r="BER47" s="2845"/>
      <c r="BES47" s="2842"/>
      <c r="BET47" s="2842"/>
      <c r="BEU47" s="2843"/>
      <c r="BEV47" s="2843"/>
      <c r="BEW47" s="2844"/>
      <c r="BEX47" s="2845"/>
      <c r="BEY47" s="2842"/>
      <c r="BEZ47" s="2842"/>
      <c r="BFA47" s="2843"/>
      <c r="BFB47" s="2843"/>
      <c r="BFC47" s="2844"/>
      <c r="BFD47" s="2845"/>
      <c r="BFE47" s="2842"/>
      <c r="BFF47" s="2842"/>
      <c r="BFG47" s="2843"/>
      <c r="BFH47" s="2843"/>
      <c r="BFI47" s="2844"/>
      <c r="BFJ47" s="2845"/>
      <c r="BFK47" s="2842"/>
      <c r="BFL47" s="2842"/>
      <c r="BFM47" s="2843"/>
      <c r="BFN47" s="2843"/>
      <c r="BFO47" s="2844"/>
      <c r="BFP47" s="2845"/>
      <c r="BFQ47" s="2842"/>
      <c r="BFR47" s="2842"/>
      <c r="BFS47" s="2843"/>
      <c r="BFT47" s="2843"/>
      <c r="BFU47" s="2844"/>
      <c r="BFV47" s="2845"/>
      <c r="BFW47" s="2842"/>
      <c r="BFX47" s="2842"/>
      <c r="BFY47" s="2843"/>
      <c r="BFZ47" s="2843"/>
      <c r="BGA47" s="2844"/>
      <c r="BGB47" s="2845"/>
      <c r="BGC47" s="2842"/>
      <c r="BGD47" s="2842"/>
      <c r="BGE47" s="2843"/>
      <c r="BGF47" s="2843"/>
      <c r="BGG47" s="2844"/>
      <c r="BGH47" s="2845"/>
      <c r="BGI47" s="2842"/>
      <c r="BGJ47" s="2842"/>
      <c r="BGK47" s="2843"/>
      <c r="BGL47" s="2843"/>
      <c r="BGM47" s="2844"/>
      <c r="BGN47" s="2845"/>
      <c r="BGO47" s="2842"/>
      <c r="BGP47" s="2842"/>
      <c r="BGQ47" s="2843"/>
      <c r="BGR47" s="2843"/>
      <c r="BGS47" s="2844"/>
      <c r="BGT47" s="2845"/>
      <c r="BGU47" s="2842"/>
      <c r="BGV47" s="2842"/>
      <c r="BGW47" s="2843"/>
      <c r="BGX47" s="2843"/>
      <c r="BGY47" s="2844"/>
      <c r="BGZ47" s="2845"/>
      <c r="BHA47" s="2842"/>
      <c r="BHB47" s="2842"/>
      <c r="BHC47" s="2843"/>
      <c r="BHD47" s="2843"/>
      <c r="BHE47" s="2844"/>
      <c r="BHF47" s="2845"/>
      <c r="BHG47" s="2842"/>
      <c r="BHH47" s="2842"/>
      <c r="BHI47" s="2843"/>
      <c r="BHJ47" s="2843"/>
      <c r="BHK47" s="2844"/>
      <c r="BHL47" s="2845"/>
      <c r="BHM47" s="2842"/>
      <c r="BHN47" s="2842"/>
      <c r="BHO47" s="2843"/>
      <c r="BHP47" s="2843"/>
      <c r="BHQ47" s="2844"/>
      <c r="BHR47" s="2845"/>
      <c r="BHS47" s="2842"/>
      <c r="BHT47" s="2842"/>
      <c r="BHU47" s="2843"/>
      <c r="BHV47" s="2843"/>
      <c r="BHW47" s="2844"/>
      <c r="BHX47" s="2845"/>
      <c r="BHY47" s="2842"/>
      <c r="BHZ47" s="2842"/>
      <c r="BIA47" s="2843"/>
      <c r="BIB47" s="2843"/>
      <c r="BIC47" s="2844"/>
      <c r="BID47" s="2845"/>
      <c r="BIE47" s="2842"/>
      <c r="BIF47" s="2842"/>
      <c r="BIG47" s="2843"/>
      <c r="BIH47" s="2843"/>
      <c r="BII47" s="2844"/>
      <c r="BIJ47" s="2845"/>
      <c r="BIK47" s="2842"/>
      <c r="BIL47" s="2842"/>
      <c r="BIM47" s="2843"/>
      <c r="BIN47" s="2843"/>
      <c r="BIO47" s="2844"/>
      <c r="BIP47" s="2845"/>
      <c r="BIQ47" s="2842"/>
      <c r="BIR47" s="2842"/>
      <c r="BIS47" s="2843"/>
      <c r="BIT47" s="2843"/>
      <c r="BIU47" s="2844"/>
      <c r="BIV47" s="2845"/>
      <c r="BIW47" s="2842"/>
      <c r="BIX47" s="2842"/>
      <c r="BIY47" s="2843"/>
      <c r="BIZ47" s="2843"/>
      <c r="BJA47" s="2844"/>
      <c r="BJB47" s="2845"/>
      <c r="BJC47" s="2842"/>
      <c r="BJD47" s="2842"/>
      <c r="BJE47" s="2843"/>
      <c r="BJF47" s="2843"/>
      <c r="BJG47" s="2844"/>
      <c r="BJH47" s="2845"/>
      <c r="BJI47" s="2842"/>
      <c r="BJJ47" s="2842"/>
      <c r="BJK47" s="2843"/>
      <c r="BJL47" s="2843"/>
      <c r="BJM47" s="2844"/>
      <c r="BJN47" s="2845"/>
      <c r="BJO47" s="2842"/>
      <c r="BJP47" s="2842"/>
      <c r="BJQ47" s="2843"/>
      <c r="BJR47" s="2843"/>
      <c r="BJS47" s="2844"/>
      <c r="BJT47" s="2845"/>
      <c r="BJU47" s="2842"/>
      <c r="BJV47" s="2842"/>
      <c r="BJW47" s="2843"/>
      <c r="BJX47" s="2843"/>
      <c r="BJY47" s="2844"/>
      <c r="BJZ47" s="2845"/>
      <c r="BKA47" s="2842"/>
      <c r="BKB47" s="2842"/>
      <c r="BKC47" s="2843"/>
      <c r="BKD47" s="2843"/>
      <c r="BKE47" s="2844"/>
      <c r="BKF47" s="2845"/>
      <c r="BKG47" s="2842"/>
      <c r="BKH47" s="2842"/>
      <c r="BKI47" s="2843"/>
      <c r="BKJ47" s="2843"/>
      <c r="BKK47" s="2844"/>
      <c r="BKL47" s="2845"/>
      <c r="BKM47" s="2842"/>
      <c r="BKN47" s="2842"/>
      <c r="BKO47" s="2843"/>
      <c r="BKP47" s="2843"/>
      <c r="BKQ47" s="2844"/>
      <c r="BKR47" s="2845"/>
      <c r="BKS47" s="2842"/>
      <c r="BKT47" s="2842"/>
      <c r="BKU47" s="2843"/>
      <c r="BKV47" s="2843"/>
      <c r="BKW47" s="2844"/>
      <c r="BKX47" s="2845"/>
      <c r="BKY47" s="2842"/>
      <c r="BKZ47" s="2842"/>
      <c r="BLA47" s="2843"/>
      <c r="BLB47" s="2843"/>
      <c r="BLC47" s="2844"/>
      <c r="BLD47" s="2845"/>
      <c r="BLE47" s="2842"/>
      <c r="BLF47" s="2842"/>
      <c r="BLG47" s="2843"/>
      <c r="BLH47" s="2843"/>
      <c r="BLI47" s="2844"/>
      <c r="BLJ47" s="2845"/>
      <c r="BLK47" s="2842"/>
      <c r="BLL47" s="2842"/>
      <c r="BLM47" s="2843"/>
      <c r="BLN47" s="2843"/>
      <c r="BLO47" s="2844"/>
      <c r="BLP47" s="2845"/>
      <c r="BLQ47" s="2842"/>
      <c r="BLR47" s="2842"/>
      <c r="BLS47" s="2843"/>
      <c r="BLT47" s="2843"/>
      <c r="BLU47" s="2844"/>
      <c r="BLV47" s="2845"/>
      <c r="BLW47" s="2842"/>
      <c r="BLX47" s="2842"/>
      <c r="BLY47" s="2843"/>
      <c r="BLZ47" s="2843"/>
      <c r="BMA47" s="2844"/>
      <c r="BMB47" s="2845"/>
      <c r="BMC47" s="2842"/>
      <c r="BMD47" s="2842"/>
      <c r="BME47" s="2843"/>
      <c r="BMF47" s="2843"/>
      <c r="BMG47" s="2844"/>
      <c r="BMH47" s="2845"/>
      <c r="BMI47" s="2842"/>
      <c r="BMJ47" s="2842"/>
      <c r="BMK47" s="2843"/>
      <c r="BML47" s="2843"/>
      <c r="BMM47" s="2844"/>
      <c r="BMN47" s="2845"/>
      <c r="BMO47" s="2842"/>
      <c r="BMP47" s="2842"/>
      <c r="BMQ47" s="2843"/>
      <c r="BMR47" s="2843"/>
      <c r="BMS47" s="2844"/>
      <c r="BMT47" s="2845"/>
      <c r="BMU47" s="2842"/>
      <c r="BMV47" s="2842"/>
      <c r="BMW47" s="2843"/>
      <c r="BMX47" s="2843"/>
      <c r="BMY47" s="2844"/>
      <c r="BMZ47" s="2845"/>
      <c r="BNA47" s="2842"/>
      <c r="BNB47" s="2842"/>
      <c r="BNC47" s="2843"/>
      <c r="BND47" s="2843"/>
      <c r="BNE47" s="2844"/>
      <c r="BNF47" s="2845"/>
      <c r="BNG47" s="2842"/>
      <c r="BNH47" s="2842"/>
      <c r="BNI47" s="2843"/>
      <c r="BNJ47" s="2843"/>
      <c r="BNK47" s="2844"/>
      <c r="BNL47" s="2845"/>
      <c r="BNM47" s="2842"/>
      <c r="BNN47" s="2842"/>
      <c r="BNO47" s="2843"/>
      <c r="BNP47" s="2843"/>
      <c r="BNQ47" s="2844"/>
      <c r="BNR47" s="2845"/>
      <c r="BNS47" s="2842"/>
      <c r="BNT47" s="2842"/>
      <c r="BNU47" s="2843"/>
      <c r="BNV47" s="2843"/>
      <c r="BNW47" s="2844"/>
      <c r="BNX47" s="2845"/>
      <c r="BNY47" s="2842"/>
      <c r="BNZ47" s="2842"/>
      <c r="BOA47" s="2843"/>
      <c r="BOB47" s="2843"/>
      <c r="BOC47" s="2844"/>
      <c r="BOD47" s="2845"/>
      <c r="BOE47" s="2842"/>
      <c r="BOF47" s="2842"/>
      <c r="BOG47" s="2843"/>
      <c r="BOH47" s="2843"/>
      <c r="BOI47" s="2844"/>
      <c r="BOJ47" s="2845"/>
      <c r="BOK47" s="2842"/>
      <c r="BOL47" s="2842"/>
      <c r="BOM47" s="2843"/>
      <c r="BON47" s="2843"/>
      <c r="BOO47" s="2844"/>
      <c r="BOP47" s="2845"/>
      <c r="BOQ47" s="2842"/>
      <c r="BOR47" s="2842"/>
      <c r="BOS47" s="2843"/>
      <c r="BOT47" s="2843"/>
      <c r="BOU47" s="2844"/>
      <c r="BOV47" s="2845"/>
      <c r="BOW47" s="2842"/>
      <c r="BOX47" s="2842"/>
      <c r="BOY47" s="2843"/>
      <c r="BOZ47" s="2843"/>
      <c r="BPA47" s="2844"/>
      <c r="BPB47" s="2845"/>
      <c r="BPC47" s="2842"/>
      <c r="BPD47" s="2842"/>
      <c r="BPE47" s="2843"/>
      <c r="BPF47" s="2843"/>
      <c r="BPG47" s="2844"/>
      <c r="BPH47" s="2845"/>
      <c r="BPI47" s="2842"/>
      <c r="BPJ47" s="2842"/>
      <c r="BPK47" s="2843"/>
      <c r="BPL47" s="2843"/>
      <c r="BPM47" s="2844"/>
      <c r="BPN47" s="2845"/>
      <c r="BPO47" s="2842"/>
      <c r="BPP47" s="2842"/>
      <c r="BPQ47" s="2843"/>
      <c r="BPR47" s="2843"/>
      <c r="BPS47" s="2844"/>
      <c r="BPT47" s="2845"/>
      <c r="BPU47" s="2842"/>
      <c r="BPV47" s="2842"/>
      <c r="BPW47" s="2843"/>
      <c r="BPX47" s="2843"/>
      <c r="BPY47" s="2844"/>
      <c r="BPZ47" s="2845"/>
      <c r="BQA47" s="2842"/>
      <c r="BQB47" s="2842"/>
      <c r="BQC47" s="2843"/>
      <c r="BQD47" s="2843"/>
      <c r="BQE47" s="2844"/>
      <c r="BQF47" s="2845"/>
      <c r="BQG47" s="2842"/>
      <c r="BQH47" s="2842"/>
      <c r="BQI47" s="2843"/>
      <c r="BQJ47" s="2843"/>
      <c r="BQK47" s="2844"/>
      <c r="BQL47" s="2845"/>
      <c r="BQM47" s="2842"/>
      <c r="BQN47" s="2842"/>
      <c r="BQO47" s="2843"/>
      <c r="BQP47" s="2843"/>
      <c r="BQQ47" s="2844"/>
      <c r="BQR47" s="2845"/>
      <c r="BQS47" s="2842"/>
      <c r="BQT47" s="2842"/>
      <c r="BQU47" s="2843"/>
      <c r="BQV47" s="2843"/>
      <c r="BQW47" s="2844"/>
      <c r="BQX47" s="2845"/>
      <c r="BQY47" s="2842"/>
      <c r="BQZ47" s="2842"/>
      <c r="BRA47" s="2843"/>
      <c r="BRB47" s="2843"/>
      <c r="BRC47" s="2844"/>
      <c r="BRD47" s="2845"/>
      <c r="BRE47" s="2842"/>
      <c r="BRF47" s="2842"/>
      <c r="BRG47" s="2843"/>
      <c r="BRH47" s="2843"/>
      <c r="BRI47" s="2844"/>
      <c r="BRJ47" s="2845"/>
      <c r="BRK47" s="2842"/>
      <c r="BRL47" s="2842"/>
      <c r="BRM47" s="2843"/>
      <c r="BRN47" s="2843"/>
      <c r="BRO47" s="2844"/>
      <c r="BRP47" s="2845"/>
      <c r="BRQ47" s="2842"/>
      <c r="BRR47" s="2842"/>
      <c r="BRS47" s="2843"/>
      <c r="BRT47" s="2843"/>
      <c r="BRU47" s="2844"/>
      <c r="BRV47" s="2845"/>
      <c r="BRW47" s="2842"/>
      <c r="BRX47" s="2842"/>
      <c r="BRY47" s="2843"/>
      <c r="BRZ47" s="2843"/>
      <c r="BSA47" s="2844"/>
      <c r="BSB47" s="2845"/>
      <c r="BSC47" s="2842"/>
      <c r="BSD47" s="2842"/>
      <c r="BSE47" s="2843"/>
      <c r="BSF47" s="2843"/>
      <c r="BSG47" s="2844"/>
      <c r="BSH47" s="2845"/>
      <c r="BSI47" s="2842"/>
      <c r="BSJ47" s="2842"/>
      <c r="BSK47" s="2843"/>
      <c r="BSL47" s="2843"/>
      <c r="BSM47" s="2844"/>
      <c r="BSN47" s="2845"/>
      <c r="BSO47" s="2842"/>
      <c r="BSP47" s="2842"/>
      <c r="BSQ47" s="2843"/>
      <c r="BSR47" s="2843"/>
      <c r="BSS47" s="2844"/>
      <c r="BST47" s="2845"/>
      <c r="BSU47" s="2842"/>
      <c r="BSV47" s="2842"/>
      <c r="BSW47" s="2843"/>
      <c r="BSX47" s="2843"/>
      <c r="BSY47" s="2844"/>
      <c r="BSZ47" s="2845"/>
      <c r="BTA47" s="2842"/>
      <c r="BTB47" s="2842"/>
      <c r="BTC47" s="2843"/>
      <c r="BTD47" s="2843"/>
      <c r="BTE47" s="2844"/>
      <c r="BTF47" s="2845"/>
      <c r="BTG47" s="2842"/>
      <c r="BTH47" s="2842"/>
      <c r="BTI47" s="2843"/>
      <c r="BTJ47" s="2843"/>
      <c r="BTK47" s="2844"/>
      <c r="BTL47" s="2845"/>
      <c r="BTM47" s="2842"/>
      <c r="BTN47" s="2842"/>
      <c r="BTO47" s="2843"/>
      <c r="BTP47" s="2843"/>
      <c r="BTQ47" s="2844"/>
      <c r="BTR47" s="2845"/>
      <c r="BTS47" s="2842"/>
      <c r="BTT47" s="2842"/>
      <c r="BTU47" s="2843"/>
      <c r="BTV47" s="2843"/>
      <c r="BTW47" s="2844"/>
      <c r="BTX47" s="2845"/>
      <c r="BTY47" s="2842"/>
      <c r="BTZ47" s="2842"/>
      <c r="BUA47" s="2843"/>
      <c r="BUB47" s="2843"/>
      <c r="BUC47" s="2844"/>
      <c r="BUD47" s="2845"/>
      <c r="BUE47" s="2842"/>
      <c r="BUF47" s="2842"/>
      <c r="BUG47" s="2843"/>
      <c r="BUH47" s="2843"/>
      <c r="BUI47" s="2844"/>
      <c r="BUJ47" s="2845"/>
      <c r="BUK47" s="2842"/>
      <c r="BUL47" s="2842"/>
      <c r="BUM47" s="2843"/>
      <c r="BUN47" s="2843"/>
      <c r="BUO47" s="2844"/>
      <c r="BUP47" s="2845"/>
      <c r="BUQ47" s="2842"/>
      <c r="BUR47" s="2842"/>
      <c r="BUS47" s="2843"/>
      <c r="BUT47" s="2843"/>
      <c r="BUU47" s="2844"/>
      <c r="BUV47" s="2845"/>
      <c r="BUW47" s="2842"/>
      <c r="BUX47" s="2842"/>
      <c r="BUY47" s="2843"/>
      <c r="BUZ47" s="2843"/>
      <c r="BVA47" s="2844"/>
      <c r="BVB47" s="2845"/>
      <c r="BVC47" s="2842"/>
      <c r="BVD47" s="2842"/>
      <c r="BVE47" s="2843"/>
      <c r="BVF47" s="2843"/>
      <c r="BVG47" s="2844"/>
      <c r="BVH47" s="2845"/>
      <c r="BVI47" s="2842"/>
      <c r="BVJ47" s="2842"/>
      <c r="BVK47" s="2843"/>
      <c r="BVL47" s="2843"/>
      <c r="BVM47" s="2844"/>
      <c r="BVN47" s="2845"/>
      <c r="BVO47" s="2842"/>
      <c r="BVP47" s="2842"/>
      <c r="BVQ47" s="2843"/>
      <c r="BVR47" s="2843"/>
      <c r="BVS47" s="2844"/>
      <c r="BVT47" s="2845"/>
      <c r="BVU47" s="2842"/>
      <c r="BVV47" s="2842"/>
      <c r="BVW47" s="2843"/>
      <c r="BVX47" s="2843"/>
      <c r="BVY47" s="2844"/>
      <c r="BVZ47" s="2845"/>
      <c r="BWA47" s="2842"/>
      <c r="BWB47" s="2842"/>
      <c r="BWC47" s="2843"/>
      <c r="BWD47" s="2843"/>
      <c r="BWE47" s="2844"/>
      <c r="BWF47" s="2845"/>
      <c r="BWG47" s="2842"/>
      <c r="BWH47" s="2842"/>
      <c r="BWI47" s="2843"/>
      <c r="BWJ47" s="2843"/>
      <c r="BWK47" s="2844"/>
      <c r="BWL47" s="2845"/>
      <c r="BWM47" s="2842"/>
      <c r="BWN47" s="2842"/>
      <c r="BWO47" s="2843"/>
      <c r="BWP47" s="2843"/>
      <c r="BWQ47" s="2844"/>
      <c r="BWR47" s="2845"/>
      <c r="BWS47" s="2842"/>
      <c r="BWT47" s="2842"/>
      <c r="BWU47" s="2843"/>
      <c r="BWV47" s="2843"/>
      <c r="BWW47" s="2844"/>
      <c r="BWX47" s="2845"/>
      <c r="BWY47" s="2842"/>
      <c r="BWZ47" s="2842"/>
      <c r="BXA47" s="2843"/>
      <c r="BXB47" s="2843"/>
      <c r="BXC47" s="2844"/>
      <c r="BXD47" s="2845"/>
      <c r="BXE47" s="2842"/>
      <c r="BXF47" s="2842"/>
      <c r="BXG47" s="2843"/>
      <c r="BXH47" s="2843"/>
      <c r="BXI47" s="2844"/>
      <c r="BXJ47" s="2845"/>
      <c r="BXK47" s="2842"/>
      <c r="BXL47" s="2842"/>
      <c r="BXM47" s="2843"/>
      <c r="BXN47" s="2843"/>
      <c r="BXO47" s="2844"/>
      <c r="BXP47" s="2845"/>
      <c r="BXQ47" s="2842"/>
      <c r="BXR47" s="2842"/>
      <c r="BXS47" s="2843"/>
      <c r="BXT47" s="2843"/>
      <c r="BXU47" s="2844"/>
      <c r="BXV47" s="2845"/>
      <c r="BXW47" s="2842"/>
      <c r="BXX47" s="2842"/>
      <c r="BXY47" s="2843"/>
      <c r="BXZ47" s="2843"/>
      <c r="BYA47" s="2844"/>
      <c r="BYB47" s="2845"/>
      <c r="BYC47" s="2842"/>
      <c r="BYD47" s="2842"/>
      <c r="BYE47" s="2843"/>
      <c r="BYF47" s="2843"/>
      <c r="BYG47" s="2844"/>
      <c r="BYH47" s="2845"/>
      <c r="BYI47" s="2842"/>
      <c r="BYJ47" s="2842"/>
      <c r="BYK47" s="2843"/>
      <c r="BYL47" s="2843"/>
      <c r="BYM47" s="2844"/>
      <c r="BYN47" s="2845"/>
      <c r="BYO47" s="2842"/>
      <c r="BYP47" s="2842"/>
      <c r="BYQ47" s="2843"/>
      <c r="BYR47" s="2843"/>
      <c r="BYS47" s="2844"/>
      <c r="BYT47" s="2845"/>
      <c r="BYU47" s="2842"/>
      <c r="BYV47" s="2842"/>
      <c r="BYW47" s="2843"/>
      <c r="BYX47" s="2843"/>
      <c r="BYY47" s="2844"/>
      <c r="BYZ47" s="2845"/>
      <c r="BZA47" s="2842"/>
      <c r="BZB47" s="2842"/>
      <c r="BZC47" s="2843"/>
      <c r="BZD47" s="2843"/>
      <c r="BZE47" s="2844"/>
      <c r="BZF47" s="2845"/>
      <c r="BZG47" s="2842"/>
      <c r="BZH47" s="2842"/>
      <c r="BZI47" s="2843"/>
      <c r="BZJ47" s="2843"/>
      <c r="BZK47" s="2844"/>
      <c r="BZL47" s="2845"/>
      <c r="BZM47" s="2842"/>
      <c r="BZN47" s="2842"/>
      <c r="BZO47" s="2843"/>
      <c r="BZP47" s="2843"/>
      <c r="BZQ47" s="2844"/>
      <c r="BZR47" s="2845"/>
      <c r="BZS47" s="2842"/>
      <c r="BZT47" s="2842"/>
      <c r="BZU47" s="2843"/>
      <c r="BZV47" s="2843"/>
      <c r="BZW47" s="2844"/>
      <c r="BZX47" s="2845"/>
      <c r="BZY47" s="2842"/>
      <c r="BZZ47" s="2842"/>
      <c r="CAA47" s="2843"/>
      <c r="CAB47" s="2843"/>
      <c r="CAC47" s="2844"/>
      <c r="CAD47" s="2845"/>
      <c r="CAE47" s="2842"/>
      <c r="CAF47" s="2842"/>
      <c r="CAG47" s="2843"/>
      <c r="CAH47" s="2843"/>
      <c r="CAI47" s="2844"/>
      <c r="CAJ47" s="2845"/>
      <c r="CAK47" s="2842"/>
      <c r="CAL47" s="2842"/>
      <c r="CAM47" s="2843"/>
      <c r="CAN47" s="2843"/>
      <c r="CAO47" s="2844"/>
      <c r="CAP47" s="2845"/>
      <c r="CAQ47" s="2842"/>
      <c r="CAR47" s="2842"/>
      <c r="CAS47" s="2843"/>
      <c r="CAT47" s="2843"/>
      <c r="CAU47" s="2844"/>
      <c r="CAV47" s="2845"/>
      <c r="CAW47" s="2842"/>
      <c r="CAX47" s="2842"/>
      <c r="CAY47" s="2843"/>
      <c r="CAZ47" s="2843"/>
      <c r="CBA47" s="2844"/>
      <c r="CBB47" s="2845"/>
      <c r="CBC47" s="2842"/>
      <c r="CBD47" s="2842"/>
      <c r="CBE47" s="2843"/>
      <c r="CBF47" s="2843"/>
      <c r="CBG47" s="2844"/>
      <c r="CBH47" s="2845"/>
      <c r="CBI47" s="2842"/>
      <c r="CBJ47" s="2842"/>
      <c r="CBK47" s="2843"/>
      <c r="CBL47" s="2843"/>
      <c r="CBM47" s="2844"/>
      <c r="CBN47" s="2845"/>
      <c r="CBO47" s="2842"/>
      <c r="CBP47" s="2842"/>
      <c r="CBQ47" s="2843"/>
      <c r="CBR47" s="2843"/>
      <c r="CBS47" s="2844"/>
      <c r="CBT47" s="2845"/>
      <c r="CBU47" s="2842"/>
      <c r="CBV47" s="2842"/>
      <c r="CBW47" s="2843"/>
      <c r="CBX47" s="2843"/>
      <c r="CBY47" s="2844"/>
      <c r="CBZ47" s="2845"/>
      <c r="CCA47" s="2842"/>
      <c r="CCB47" s="2842"/>
      <c r="CCC47" s="2843"/>
      <c r="CCD47" s="2843"/>
      <c r="CCE47" s="2844"/>
      <c r="CCF47" s="2845"/>
      <c r="CCG47" s="2842"/>
      <c r="CCH47" s="2842"/>
      <c r="CCI47" s="2843"/>
      <c r="CCJ47" s="2843"/>
      <c r="CCK47" s="2844"/>
      <c r="CCL47" s="2845"/>
      <c r="CCM47" s="2842"/>
      <c r="CCN47" s="2842"/>
      <c r="CCO47" s="2843"/>
      <c r="CCP47" s="2843"/>
      <c r="CCQ47" s="2844"/>
      <c r="CCR47" s="2845"/>
      <c r="CCS47" s="2842"/>
      <c r="CCT47" s="2842"/>
      <c r="CCU47" s="2843"/>
      <c r="CCV47" s="2843"/>
      <c r="CCW47" s="2844"/>
      <c r="CCX47" s="2845"/>
      <c r="CCY47" s="2842"/>
      <c r="CCZ47" s="2842"/>
      <c r="CDA47" s="2843"/>
      <c r="CDB47" s="2843"/>
      <c r="CDC47" s="2844"/>
      <c r="CDD47" s="2845"/>
      <c r="CDE47" s="2842"/>
      <c r="CDF47" s="2842"/>
      <c r="CDG47" s="2843"/>
      <c r="CDH47" s="2843"/>
      <c r="CDI47" s="2844"/>
      <c r="CDJ47" s="2845"/>
      <c r="CDK47" s="2842"/>
      <c r="CDL47" s="2842"/>
      <c r="CDM47" s="2843"/>
      <c r="CDN47" s="2843"/>
      <c r="CDO47" s="2844"/>
      <c r="CDP47" s="2845"/>
      <c r="CDQ47" s="2842"/>
      <c r="CDR47" s="2842"/>
      <c r="CDS47" s="2843"/>
      <c r="CDT47" s="2843"/>
      <c r="CDU47" s="2844"/>
      <c r="CDV47" s="2845"/>
      <c r="CDW47" s="2842"/>
      <c r="CDX47" s="2842"/>
      <c r="CDY47" s="2843"/>
      <c r="CDZ47" s="2843"/>
      <c r="CEA47" s="2844"/>
      <c r="CEB47" s="2845"/>
      <c r="CEC47" s="2842"/>
      <c r="CED47" s="2842"/>
      <c r="CEE47" s="2843"/>
      <c r="CEF47" s="2843"/>
      <c r="CEG47" s="2844"/>
      <c r="CEH47" s="2845"/>
      <c r="CEI47" s="2842"/>
      <c r="CEJ47" s="2842"/>
      <c r="CEK47" s="2843"/>
      <c r="CEL47" s="2843"/>
      <c r="CEM47" s="2844"/>
      <c r="CEN47" s="2845"/>
      <c r="CEO47" s="2842"/>
      <c r="CEP47" s="2842"/>
      <c r="CEQ47" s="2843"/>
      <c r="CER47" s="2843"/>
      <c r="CES47" s="2844"/>
      <c r="CET47" s="2845"/>
      <c r="CEU47" s="2842"/>
      <c r="CEV47" s="2842"/>
      <c r="CEW47" s="2843"/>
      <c r="CEX47" s="2843"/>
      <c r="CEY47" s="2844"/>
      <c r="CEZ47" s="2845"/>
      <c r="CFA47" s="2842"/>
      <c r="CFB47" s="2842"/>
      <c r="CFC47" s="2843"/>
      <c r="CFD47" s="2843"/>
      <c r="CFE47" s="2844"/>
      <c r="CFF47" s="2845"/>
      <c r="CFG47" s="2842"/>
      <c r="CFH47" s="2842"/>
      <c r="CFI47" s="2843"/>
      <c r="CFJ47" s="2843"/>
      <c r="CFK47" s="2844"/>
      <c r="CFL47" s="2845"/>
      <c r="CFM47" s="2842"/>
      <c r="CFN47" s="2842"/>
      <c r="CFO47" s="2843"/>
      <c r="CFP47" s="2843"/>
      <c r="CFQ47" s="2844"/>
      <c r="CFR47" s="2845"/>
      <c r="CFS47" s="2842"/>
      <c r="CFT47" s="2842"/>
      <c r="CFU47" s="2843"/>
      <c r="CFV47" s="2843"/>
      <c r="CFW47" s="2844"/>
      <c r="CFX47" s="2845"/>
      <c r="CFY47" s="2842"/>
      <c r="CFZ47" s="2842"/>
      <c r="CGA47" s="2843"/>
      <c r="CGB47" s="2843"/>
      <c r="CGC47" s="2844"/>
      <c r="CGD47" s="2845"/>
      <c r="CGE47" s="2842"/>
      <c r="CGF47" s="2842"/>
      <c r="CGG47" s="2843"/>
      <c r="CGH47" s="2843"/>
      <c r="CGI47" s="2844"/>
      <c r="CGJ47" s="2845"/>
      <c r="CGK47" s="2842"/>
      <c r="CGL47" s="2842"/>
      <c r="CGM47" s="2843"/>
      <c r="CGN47" s="2843"/>
      <c r="CGO47" s="2844"/>
      <c r="CGP47" s="2845"/>
      <c r="CGQ47" s="2842"/>
      <c r="CGR47" s="2842"/>
      <c r="CGS47" s="2843"/>
      <c r="CGT47" s="2843"/>
      <c r="CGU47" s="2844"/>
      <c r="CGV47" s="2845"/>
      <c r="CGW47" s="2842"/>
      <c r="CGX47" s="2842"/>
      <c r="CGY47" s="2843"/>
      <c r="CGZ47" s="2843"/>
      <c r="CHA47" s="2844"/>
      <c r="CHB47" s="2845"/>
      <c r="CHC47" s="2842"/>
      <c r="CHD47" s="2842"/>
      <c r="CHE47" s="2843"/>
      <c r="CHF47" s="2843"/>
      <c r="CHG47" s="2844"/>
      <c r="CHH47" s="2845"/>
      <c r="CHI47" s="2842"/>
      <c r="CHJ47" s="2842"/>
      <c r="CHK47" s="2843"/>
      <c r="CHL47" s="2843"/>
      <c r="CHM47" s="2844"/>
      <c r="CHN47" s="2845"/>
      <c r="CHO47" s="2842"/>
      <c r="CHP47" s="2842"/>
      <c r="CHQ47" s="2843"/>
      <c r="CHR47" s="2843"/>
      <c r="CHS47" s="2844"/>
      <c r="CHT47" s="2845"/>
      <c r="CHU47" s="2842"/>
      <c r="CHV47" s="2842"/>
      <c r="CHW47" s="2843"/>
      <c r="CHX47" s="2843"/>
      <c r="CHY47" s="2844"/>
      <c r="CHZ47" s="2845"/>
      <c r="CIA47" s="2842"/>
      <c r="CIB47" s="2842"/>
      <c r="CIC47" s="2843"/>
      <c r="CID47" s="2843"/>
      <c r="CIE47" s="2844"/>
      <c r="CIF47" s="2845"/>
      <c r="CIG47" s="2842"/>
      <c r="CIH47" s="2842"/>
      <c r="CII47" s="2843"/>
      <c r="CIJ47" s="2843"/>
      <c r="CIK47" s="2844"/>
      <c r="CIL47" s="2845"/>
      <c r="CIM47" s="2842"/>
      <c r="CIN47" s="2842"/>
      <c r="CIO47" s="2843"/>
      <c r="CIP47" s="2843"/>
      <c r="CIQ47" s="2844"/>
      <c r="CIR47" s="2845"/>
      <c r="CIS47" s="2842"/>
      <c r="CIT47" s="2842"/>
      <c r="CIU47" s="2843"/>
      <c r="CIV47" s="2843"/>
      <c r="CIW47" s="2844"/>
      <c r="CIX47" s="2845"/>
      <c r="CIY47" s="2842"/>
      <c r="CIZ47" s="2842"/>
      <c r="CJA47" s="2843"/>
      <c r="CJB47" s="2843"/>
      <c r="CJC47" s="2844"/>
      <c r="CJD47" s="2845"/>
      <c r="CJE47" s="2842"/>
      <c r="CJF47" s="2842"/>
      <c r="CJG47" s="2843"/>
      <c r="CJH47" s="2843"/>
      <c r="CJI47" s="2844"/>
      <c r="CJJ47" s="2845"/>
      <c r="CJK47" s="2842"/>
      <c r="CJL47" s="2842"/>
      <c r="CJM47" s="2843"/>
      <c r="CJN47" s="2843"/>
      <c r="CJO47" s="2844"/>
      <c r="CJP47" s="2845"/>
      <c r="CJQ47" s="2842"/>
      <c r="CJR47" s="2842"/>
      <c r="CJS47" s="2843"/>
      <c r="CJT47" s="2843"/>
      <c r="CJU47" s="2844"/>
      <c r="CJV47" s="2845"/>
      <c r="CJW47" s="2842"/>
      <c r="CJX47" s="2842"/>
      <c r="CJY47" s="2843"/>
      <c r="CJZ47" s="2843"/>
      <c r="CKA47" s="2844"/>
      <c r="CKB47" s="2845"/>
      <c r="CKC47" s="2842"/>
      <c r="CKD47" s="2842"/>
      <c r="CKE47" s="2843"/>
      <c r="CKF47" s="2843"/>
      <c r="CKG47" s="2844"/>
      <c r="CKH47" s="2845"/>
      <c r="CKI47" s="2842"/>
      <c r="CKJ47" s="2842"/>
      <c r="CKK47" s="2843"/>
      <c r="CKL47" s="2843"/>
      <c r="CKM47" s="2844"/>
      <c r="CKN47" s="2845"/>
      <c r="CKO47" s="2842"/>
      <c r="CKP47" s="2842"/>
      <c r="CKQ47" s="2843"/>
      <c r="CKR47" s="2843"/>
      <c r="CKS47" s="2844"/>
      <c r="CKT47" s="2845"/>
      <c r="CKU47" s="2842"/>
      <c r="CKV47" s="2842"/>
      <c r="CKW47" s="2843"/>
      <c r="CKX47" s="2843"/>
      <c r="CKY47" s="2844"/>
      <c r="CKZ47" s="2845"/>
      <c r="CLA47" s="2842"/>
      <c r="CLB47" s="2842"/>
      <c r="CLC47" s="2843"/>
      <c r="CLD47" s="2843"/>
      <c r="CLE47" s="2844"/>
      <c r="CLF47" s="2845"/>
      <c r="CLG47" s="2842"/>
      <c r="CLH47" s="2842"/>
      <c r="CLI47" s="2843"/>
      <c r="CLJ47" s="2843"/>
      <c r="CLK47" s="2844"/>
      <c r="CLL47" s="2845"/>
      <c r="CLM47" s="2842"/>
      <c r="CLN47" s="2842"/>
      <c r="CLO47" s="2843"/>
      <c r="CLP47" s="2843"/>
      <c r="CLQ47" s="2844"/>
      <c r="CLR47" s="2845"/>
      <c r="CLS47" s="2842"/>
      <c r="CLT47" s="2842"/>
      <c r="CLU47" s="2843"/>
      <c r="CLV47" s="2843"/>
      <c r="CLW47" s="2844"/>
      <c r="CLX47" s="2845"/>
      <c r="CLY47" s="2842"/>
      <c r="CLZ47" s="2842"/>
      <c r="CMA47" s="2843"/>
      <c r="CMB47" s="2843"/>
      <c r="CMC47" s="2844"/>
      <c r="CMD47" s="2845"/>
      <c r="CME47" s="2842"/>
      <c r="CMF47" s="2842"/>
      <c r="CMG47" s="2843"/>
      <c r="CMH47" s="2843"/>
      <c r="CMI47" s="2844"/>
      <c r="CMJ47" s="2845"/>
      <c r="CMK47" s="2842"/>
      <c r="CML47" s="2842"/>
      <c r="CMM47" s="2843"/>
      <c r="CMN47" s="2843"/>
      <c r="CMO47" s="2844"/>
      <c r="CMP47" s="2845"/>
      <c r="CMQ47" s="2842"/>
      <c r="CMR47" s="2842"/>
      <c r="CMS47" s="2843"/>
      <c r="CMT47" s="2843"/>
      <c r="CMU47" s="2844"/>
      <c r="CMV47" s="2845"/>
      <c r="CMW47" s="2842"/>
      <c r="CMX47" s="2842"/>
      <c r="CMY47" s="2843"/>
      <c r="CMZ47" s="2843"/>
      <c r="CNA47" s="2844"/>
      <c r="CNB47" s="2845"/>
      <c r="CNC47" s="2842"/>
      <c r="CND47" s="2842"/>
      <c r="CNE47" s="2843"/>
      <c r="CNF47" s="2843"/>
      <c r="CNG47" s="2844"/>
      <c r="CNH47" s="2845"/>
      <c r="CNI47" s="2842"/>
      <c r="CNJ47" s="2842"/>
      <c r="CNK47" s="2843"/>
      <c r="CNL47" s="2843"/>
      <c r="CNM47" s="2844"/>
      <c r="CNN47" s="2845"/>
      <c r="CNO47" s="2842"/>
      <c r="CNP47" s="2842"/>
      <c r="CNQ47" s="2843"/>
      <c r="CNR47" s="2843"/>
      <c r="CNS47" s="2844"/>
      <c r="CNT47" s="2845"/>
      <c r="CNU47" s="2842"/>
      <c r="CNV47" s="2842"/>
      <c r="CNW47" s="2843"/>
      <c r="CNX47" s="2843"/>
      <c r="CNY47" s="2844"/>
      <c r="CNZ47" s="2845"/>
      <c r="COA47" s="2842"/>
      <c r="COB47" s="2842"/>
      <c r="COC47" s="2843"/>
      <c r="COD47" s="2843"/>
      <c r="COE47" s="2844"/>
      <c r="COF47" s="2845"/>
      <c r="COG47" s="2842"/>
      <c r="COH47" s="2842"/>
      <c r="COI47" s="2843"/>
      <c r="COJ47" s="2843"/>
      <c r="COK47" s="2844"/>
      <c r="COL47" s="2845"/>
      <c r="COM47" s="2842"/>
      <c r="CON47" s="2842"/>
      <c r="COO47" s="2843"/>
      <c r="COP47" s="2843"/>
      <c r="COQ47" s="2844"/>
      <c r="COR47" s="2845"/>
      <c r="COS47" s="2842"/>
      <c r="COT47" s="2842"/>
      <c r="COU47" s="2843"/>
      <c r="COV47" s="2843"/>
      <c r="COW47" s="2844"/>
      <c r="COX47" s="2845"/>
      <c r="COY47" s="2842"/>
      <c r="COZ47" s="2842"/>
      <c r="CPA47" s="2843"/>
      <c r="CPB47" s="2843"/>
      <c r="CPC47" s="2844"/>
      <c r="CPD47" s="2845"/>
      <c r="CPE47" s="2842"/>
      <c r="CPF47" s="2842"/>
      <c r="CPG47" s="2843"/>
      <c r="CPH47" s="2843"/>
      <c r="CPI47" s="2844"/>
      <c r="CPJ47" s="2845"/>
      <c r="CPK47" s="2842"/>
      <c r="CPL47" s="2842"/>
      <c r="CPM47" s="2843"/>
      <c r="CPN47" s="2843"/>
      <c r="CPO47" s="2844"/>
      <c r="CPP47" s="2845"/>
      <c r="CPQ47" s="2842"/>
      <c r="CPR47" s="2842"/>
      <c r="CPS47" s="2843"/>
      <c r="CPT47" s="2843"/>
      <c r="CPU47" s="2844"/>
      <c r="CPV47" s="2845"/>
      <c r="CPW47" s="2842"/>
      <c r="CPX47" s="2842"/>
      <c r="CPY47" s="2843"/>
      <c r="CPZ47" s="2843"/>
      <c r="CQA47" s="2844"/>
      <c r="CQB47" s="2845"/>
      <c r="CQC47" s="2842"/>
      <c r="CQD47" s="2842"/>
      <c r="CQE47" s="2843"/>
      <c r="CQF47" s="2843"/>
      <c r="CQG47" s="2844"/>
      <c r="CQH47" s="2845"/>
      <c r="CQI47" s="2842"/>
      <c r="CQJ47" s="2842"/>
      <c r="CQK47" s="2843"/>
      <c r="CQL47" s="2843"/>
      <c r="CQM47" s="2844"/>
      <c r="CQN47" s="2845"/>
      <c r="CQO47" s="2842"/>
      <c r="CQP47" s="2842"/>
      <c r="CQQ47" s="2843"/>
      <c r="CQR47" s="2843"/>
      <c r="CQS47" s="2844"/>
      <c r="CQT47" s="2845"/>
      <c r="CQU47" s="2842"/>
      <c r="CQV47" s="2842"/>
      <c r="CQW47" s="2843"/>
      <c r="CQX47" s="2843"/>
      <c r="CQY47" s="2844"/>
      <c r="CQZ47" s="2845"/>
      <c r="CRA47" s="2842"/>
      <c r="CRB47" s="2842"/>
      <c r="CRC47" s="2843"/>
      <c r="CRD47" s="2843"/>
      <c r="CRE47" s="2844"/>
      <c r="CRF47" s="2845"/>
      <c r="CRG47" s="2842"/>
      <c r="CRH47" s="2842"/>
      <c r="CRI47" s="2843"/>
      <c r="CRJ47" s="2843"/>
      <c r="CRK47" s="2844"/>
      <c r="CRL47" s="2845"/>
      <c r="CRM47" s="2842"/>
      <c r="CRN47" s="2842"/>
      <c r="CRO47" s="2843"/>
      <c r="CRP47" s="2843"/>
      <c r="CRQ47" s="2844"/>
      <c r="CRR47" s="2845"/>
      <c r="CRS47" s="2842"/>
      <c r="CRT47" s="2842"/>
      <c r="CRU47" s="2843"/>
      <c r="CRV47" s="2843"/>
      <c r="CRW47" s="2844"/>
      <c r="CRX47" s="2845"/>
      <c r="CRY47" s="2842"/>
      <c r="CRZ47" s="2842"/>
      <c r="CSA47" s="2843"/>
      <c r="CSB47" s="2843"/>
      <c r="CSC47" s="2844"/>
      <c r="CSD47" s="2845"/>
      <c r="CSE47" s="2842"/>
      <c r="CSF47" s="2842"/>
      <c r="CSG47" s="2843"/>
      <c r="CSH47" s="2843"/>
      <c r="CSI47" s="2844"/>
      <c r="CSJ47" s="2845"/>
      <c r="CSK47" s="2842"/>
      <c r="CSL47" s="2842"/>
      <c r="CSM47" s="2843"/>
      <c r="CSN47" s="2843"/>
      <c r="CSO47" s="2844"/>
      <c r="CSP47" s="2845"/>
      <c r="CSQ47" s="2842"/>
      <c r="CSR47" s="2842"/>
      <c r="CSS47" s="2843"/>
      <c r="CST47" s="2843"/>
      <c r="CSU47" s="2844"/>
      <c r="CSV47" s="2845"/>
      <c r="CSW47" s="2842"/>
      <c r="CSX47" s="2842"/>
      <c r="CSY47" s="2843"/>
      <c r="CSZ47" s="2843"/>
      <c r="CTA47" s="2844"/>
      <c r="CTB47" s="2845"/>
      <c r="CTC47" s="2842"/>
      <c r="CTD47" s="2842"/>
      <c r="CTE47" s="2843"/>
      <c r="CTF47" s="2843"/>
      <c r="CTG47" s="2844"/>
      <c r="CTH47" s="2845"/>
      <c r="CTI47" s="2842"/>
      <c r="CTJ47" s="2842"/>
      <c r="CTK47" s="2843"/>
      <c r="CTL47" s="2843"/>
      <c r="CTM47" s="2844"/>
      <c r="CTN47" s="2845"/>
      <c r="CTO47" s="2842"/>
      <c r="CTP47" s="2842"/>
      <c r="CTQ47" s="2843"/>
      <c r="CTR47" s="2843"/>
      <c r="CTS47" s="2844"/>
      <c r="CTT47" s="2845"/>
      <c r="CTU47" s="2842"/>
      <c r="CTV47" s="2842"/>
      <c r="CTW47" s="2843"/>
      <c r="CTX47" s="2843"/>
      <c r="CTY47" s="2844"/>
      <c r="CTZ47" s="2845"/>
      <c r="CUA47" s="2842"/>
      <c r="CUB47" s="2842"/>
      <c r="CUC47" s="2843"/>
      <c r="CUD47" s="2843"/>
      <c r="CUE47" s="2844"/>
      <c r="CUF47" s="2845"/>
      <c r="CUG47" s="2842"/>
      <c r="CUH47" s="2842"/>
      <c r="CUI47" s="2843"/>
      <c r="CUJ47" s="2843"/>
      <c r="CUK47" s="2844"/>
      <c r="CUL47" s="2845"/>
      <c r="CUM47" s="2842"/>
      <c r="CUN47" s="2842"/>
      <c r="CUO47" s="2843"/>
      <c r="CUP47" s="2843"/>
      <c r="CUQ47" s="2844"/>
      <c r="CUR47" s="2845"/>
      <c r="CUS47" s="2842"/>
      <c r="CUT47" s="2842"/>
      <c r="CUU47" s="2843"/>
      <c r="CUV47" s="2843"/>
      <c r="CUW47" s="2844"/>
      <c r="CUX47" s="2845"/>
      <c r="CUY47" s="2842"/>
      <c r="CUZ47" s="2842"/>
      <c r="CVA47" s="2843"/>
      <c r="CVB47" s="2843"/>
      <c r="CVC47" s="2844"/>
      <c r="CVD47" s="2845"/>
      <c r="CVE47" s="2842"/>
      <c r="CVF47" s="2842"/>
      <c r="CVG47" s="2843"/>
      <c r="CVH47" s="2843"/>
      <c r="CVI47" s="2844"/>
      <c r="CVJ47" s="2845"/>
      <c r="CVK47" s="2842"/>
      <c r="CVL47" s="2842"/>
      <c r="CVM47" s="2843"/>
      <c r="CVN47" s="2843"/>
      <c r="CVO47" s="2844"/>
      <c r="CVP47" s="2845"/>
      <c r="CVQ47" s="2842"/>
      <c r="CVR47" s="2842"/>
      <c r="CVS47" s="2843"/>
      <c r="CVT47" s="2843"/>
      <c r="CVU47" s="2844"/>
      <c r="CVV47" s="2845"/>
      <c r="CVW47" s="2842"/>
      <c r="CVX47" s="2842"/>
      <c r="CVY47" s="2843"/>
      <c r="CVZ47" s="2843"/>
      <c r="CWA47" s="2844"/>
      <c r="CWB47" s="2845"/>
      <c r="CWC47" s="2842"/>
      <c r="CWD47" s="2842"/>
      <c r="CWE47" s="2843"/>
      <c r="CWF47" s="2843"/>
      <c r="CWG47" s="2844"/>
      <c r="CWH47" s="2845"/>
      <c r="CWI47" s="2842"/>
      <c r="CWJ47" s="2842"/>
      <c r="CWK47" s="2843"/>
      <c r="CWL47" s="2843"/>
      <c r="CWM47" s="2844"/>
      <c r="CWN47" s="2845"/>
      <c r="CWO47" s="2842"/>
      <c r="CWP47" s="2842"/>
      <c r="CWQ47" s="2843"/>
      <c r="CWR47" s="2843"/>
      <c r="CWS47" s="2844"/>
      <c r="CWT47" s="2845"/>
      <c r="CWU47" s="2842"/>
      <c r="CWV47" s="2842"/>
      <c r="CWW47" s="2843"/>
      <c r="CWX47" s="2843"/>
      <c r="CWY47" s="2844"/>
      <c r="CWZ47" s="2845"/>
      <c r="CXA47" s="2842"/>
      <c r="CXB47" s="2842"/>
      <c r="CXC47" s="2843"/>
      <c r="CXD47" s="2843"/>
      <c r="CXE47" s="2844"/>
      <c r="CXF47" s="2845"/>
      <c r="CXG47" s="2842"/>
      <c r="CXH47" s="2842"/>
      <c r="CXI47" s="2843"/>
      <c r="CXJ47" s="2843"/>
      <c r="CXK47" s="2844"/>
      <c r="CXL47" s="2845"/>
      <c r="CXM47" s="2842"/>
      <c r="CXN47" s="2842"/>
      <c r="CXO47" s="2843"/>
      <c r="CXP47" s="2843"/>
      <c r="CXQ47" s="2844"/>
      <c r="CXR47" s="2845"/>
      <c r="CXS47" s="2842"/>
      <c r="CXT47" s="2842"/>
      <c r="CXU47" s="2843"/>
      <c r="CXV47" s="2843"/>
      <c r="CXW47" s="2844"/>
      <c r="CXX47" s="2845"/>
      <c r="CXY47" s="2842"/>
      <c r="CXZ47" s="2842"/>
      <c r="CYA47" s="2843"/>
      <c r="CYB47" s="2843"/>
      <c r="CYC47" s="2844"/>
      <c r="CYD47" s="2845"/>
      <c r="CYE47" s="2842"/>
      <c r="CYF47" s="2842"/>
      <c r="CYG47" s="2843"/>
      <c r="CYH47" s="2843"/>
      <c r="CYI47" s="2844"/>
      <c r="CYJ47" s="2845"/>
      <c r="CYK47" s="2842"/>
      <c r="CYL47" s="2842"/>
      <c r="CYM47" s="2843"/>
      <c r="CYN47" s="2843"/>
      <c r="CYO47" s="2844"/>
      <c r="CYP47" s="2845"/>
      <c r="CYQ47" s="2842"/>
      <c r="CYR47" s="2842"/>
      <c r="CYS47" s="2843"/>
      <c r="CYT47" s="2843"/>
      <c r="CYU47" s="2844"/>
      <c r="CYV47" s="2845"/>
      <c r="CYW47" s="2842"/>
      <c r="CYX47" s="2842"/>
      <c r="CYY47" s="2843"/>
      <c r="CYZ47" s="2843"/>
      <c r="CZA47" s="2844"/>
      <c r="CZB47" s="2845"/>
      <c r="CZC47" s="2842"/>
      <c r="CZD47" s="2842"/>
      <c r="CZE47" s="2843"/>
      <c r="CZF47" s="2843"/>
      <c r="CZG47" s="2844"/>
      <c r="CZH47" s="2845"/>
      <c r="CZI47" s="2842"/>
      <c r="CZJ47" s="2842"/>
      <c r="CZK47" s="2843"/>
      <c r="CZL47" s="2843"/>
      <c r="CZM47" s="2844"/>
      <c r="CZN47" s="2845"/>
      <c r="CZO47" s="2842"/>
      <c r="CZP47" s="2842"/>
      <c r="CZQ47" s="2843"/>
      <c r="CZR47" s="2843"/>
      <c r="CZS47" s="2844"/>
      <c r="CZT47" s="2845"/>
      <c r="CZU47" s="2842"/>
      <c r="CZV47" s="2842"/>
      <c r="CZW47" s="2843"/>
      <c r="CZX47" s="2843"/>
      <c r="CZY47" s="2844"/>
      <c r="CZZ47" s="2845"/>
      <c r="DAA47" s="2842"/>
      <c r="DAB47" s="2842"/>
      <c r="DAC47" s="2843"/>
      <c r="DAD47" s="2843"/>
      <c r="DAE47" s="2844"/>
      <c r="DAF47" s="2845"/>
      <c r="DAG47" s="2842"/>
      <c r="DAH47" s="2842"/>
      <c r="DAI47" s="2843"/>
      <c r="DAJ47" s="2843"/>
      <c r="DAK47" s="2844"/>
      <c r="DAL47" s="2845"/>
      <c r="DAM47" s="2842"/>
      <c r="DAN47" s="2842"/>
      <c r="DAO47" s="2843"/>
      <c r="DAP47" s="2843"/>
      <c r="DAQ47" s="2844"/>
      <c r="DAR47" s="2845"/>
      <c r="DAS47" s="2842"/>
      <c r="DAT47" s="2842"/>
      <c r="DAU47" s="2843"/>
      <c r="DAV47" s="2843"/>
      <c r="DAW47" s="2844"/>
      <c r="DAX47" s="2845"/>
      <c r="DAY47" s="2842"/>
      <c r="DAZ47" s="2842"/>
      <c r="DBA47" s="2843"/>
      <c r="DBB47" s="2843"/>
      <c r="DBC47" s="2844"/>
      <c r="DBD47" s="2845"/>
      <c r="DBE47" s="2842"/>
      <c r="DBF47" s="2842"/>
      <c r="DBG47" s="2843"/>
      <c r="DBH47" s="2843"/>
      <c r="DBI47" s="2844"/>
      <c r="DBJ47" s="2845"/>
      <c r="DBK47" s="2842"/>
      <c r="DBL47" s="2842"/>
      <c r="DBM47" s="2843"/>
      <c r="DBN47" s="2843"/>
      <c r="DBO47" s="2844"/>
      <c r="DBP47" s="2845"/>
      <c r="DBQ47" s="2842"/>
      <c r="DBR47" s="2842"/>
      <c r="DBS47" s="2843"/>
      <c r="DBT47" s="2843"/>
      <c r="DBU47" s="2844"/>
      <c r="DBV47" s="2845"/>
      <c r="DBW47" s="2842"/>
      <c r="DBX47" s="2842"/>
      <c r="DBY47" s="2843"/>
      <c r="DBZ47" s="2843"/>
      <c r="DCA47" s="2844"/>
      <c r="DCB47" s="2845"/>
      <c r="DCC47" s="2842"/>
      <c r="DCD47" s="2842"/>
      <c r="DCE47" s="2843"/>
      <c r="DCF47" s="2843"/>
      <c r="DCG47" s="2844"/>
      <c r="DCH47" s="2845"/>
      <c r="DCI47" s="2842"/>
      <c r="DCJ47" s="2842"/>
      <c r="DCK47" s="2843"/>
      <c r="DCL47" s="2843"/>
      <c r="DCM47" s="2844"/>
      <c r="DCN47" s="2845"/>
      <c r="DCO47" s="2842"/>
      <c r="DCP47" s="2842"/>
      <c r="DCQ47" s="2843"/>
      <c r="DCR47" s="2843"/>
      <c r="DCS47" s="2844"/>
      <c r="DCT47" s="2845"/>
      <c r="DCU47" s="2842"/>
      <c r="DCV47" s="2842"/>
      <c r="DCW47" s="2843"/>
      <c r="DCX47" s="2843"/>
      <c r="DCY47" s="2844"/>
      <c r="DCZ47" s="2845"/>
      <c r="DDA47" s="2842"/>
      <c r="DDB47" s="2842"/>
      <c r="DDC47" s="2843"/>
      <c r="DDD47" s="2843"/>
      <c r="DDE47" s="2844"/>
      <c r="DDF47" s="2845"/>
      <c r="DDG47" s="2842"/>
      <c r="DDH47" s="2842"/>
      <c r="DDI47" s="2843"/>
      <c r="DDJ47" s="2843"/>
      <c r="DDK47" s="2844"/>
      <c r="DDL47" s="2845"/>
      <c r="DDM47" s="2842"/>
      <c r="DDN47" s="2842"/>
      <c r="DDO47" s="2843"/>
      <c r="DDP47" s="2843"/>
      <c r="DDQ47" s="2844"/>
      <c r="DDR47" s="2845"/>
      <c r="DDS47" s="2842"/>
      <c r="DDT47" s="2842"/>
      <c r="DDU47" s="2843"/>
      <c r="DDV47" s="2843"/>
      <c r="DDW47" s="2844"/>
      <c r="DDX47" s="2845"/>
      <c r="DDY47" s="2842"/>
      <c r="DDZ47" s="2842"/>
      <c r="DEA47" s="2843"/>
      <c r="DEB47" s="2843"/>
      <c r="DEC47" s="2844"/>
      <c r="DED47" s="2845"/>
      <c r="DEE47" s="2842"/>
      <c r="DEF47" s="2842"/>
      <c r="DEG47" s="2843"/>
      <c r="DEH47" s="2843"/>
      <c r="DEI47" s="2844"/>
      <c r="DEJ47" s="2845"/>
      <c r="DEK47" s="2842"/>
      <c r="DEL47" s="2842"/>
      <c r="DEM47" s="2843"/>
      <c r="DEN47" s="2843"/>
      <c r="DEO47" s="2844"/>
      <c r="DEP47" s="2845"/>
      <c r="DEQ47" s="2842"/>
      <c r="DER47" s="2842"/>
      <c r="DES47" s="2843"/>
      <c r="DET47" s="2843"/>
      <c r="DEU47" s="2844"/>
      <c r="DEV47" s="2845"/>
      <c r="DEW47" s="2842"/>
      <c r="DEX47" s="2842"/>
      <c r="DEY47" s="2843"/>
      <c r="DEZ47" s="2843"/>
      <c r="DFA47" s="2844"/>
      <c r="DFB47" s="2845"/>
      <c r="DFC47" s="2842"/>
      <c r="DFD47" s="2842"/>
      <c r="DFE47" s="2843"/>
      <c r="DFF47" s="2843"/>
      <c r="DFG47" s="2844"/>
      <c r="DFH47" s="2845"/>
      <c r="DFI47" s="2842"/>
      <c r="DFJ47" s="2842"/>
      <c r="DFK47" s="2843"/>
      <c r="DFL47" s="2843"/>
      <c r="DFM47" s="2844"/>
      <c r="DFN47" s="2845"/>
      <c r="DFO47" s="2842"/>
      <c r="DFP47" s="2842"/>
      <c r="DFQ47" s="2843"/>
      <c r="DFR47" s="2843"/>
      <c r="DFS47" s="2844"/>
      <c r="DFT47" s="2845"/>
      <c r="DFU47" s="2842"/>
      <c r="DFV47" s="2842"/>
      <c r="DFW47" s="2843"/>
      <c r="DFX47" s="2843"/>
      <c r="DFY47" s="2844"/>
      <c r="DFZ47" s="2845"/>
      <c r="DGA47" s="2842"/>
      <c r="DGB47" s="2842"/>
      <c r="DGC47" s="2843"/>
      <c r="DGD47" s="2843"/>
      <c r="DGE47" s="2844"/>
      <c r="DGF47" s="2845"/>
      <c r="DGG47" s="2842"/>
      <c r="DGH47" s="2842"/>
      <c r="DGI47" s="2843"/>
      <c r="DGJ47" s="2843"/>
      <c r="DGK47" s="2844"/>
      <c r="DGL47" s="2845"/>
      <c r="DGM47" s="2842"/>
      <c r="DGN47" s="2842"/>
      <c r="DGO47" s="2843"/>
      <c r="DGP47" s="2843"/>
      <c r="DGQ47" s="2844"/>
      <c r="DGR47" s="2845"/>
      <c r="DGS47" s="2842"/>
      <c r="DGT47" s="2842"/>
      <c r="DGU47" s="2843"/>
      <c r="DGV47" s="2843"/>
      <c r="DGW47" s="2844"/>
      <c r="DGX47" s="2845"/>
      <c r="DGY47" s="2842"/>
      <c r="DGZ47" s="2842"/>
      <c r="DHA47" s="2843"/>
      <c r="DHB47" s="2843"/>
      <c r="DHC47" s="2844"/>
      <c r="DHD47" s="2845"/>
      <c r="DHE47" s="2842"/>
      <c r="DHF47" s="2842"/>
      <c r="DHG47" s="2843"/>
      <c r="DHH47" s="2843"/>
      <c r="DHI47" s="2844"/>
      <c r="DHJ47" s="2845"/>
      <c r="DHK47" s="2842"/>
      <c r="DHL47" s="2842"/>
      <c r="DHM47" s="2843"/>
      <c r="DHN47" s="2843"/>
      <c r="DHO47" s="2844"/>
      <c r="DHP47" s="2845"/>
      <c r="DHQ47" s="2842"/>
      <c r="DHR47" s="2842"/>
      <c r="DHS47" s="2843"/>
      <c r="DHT47" s="2843"/>
      <c r="DHU47" s="2844"/>
      <c r="DHV47" s="2845"/>
      <c r="DHW47" s="2842"/>
      <c r="DHX47" s="2842"/>
      <c r="DHY47" s="2843"/>
      <c r="DHZ47" s="2843"/>
      <c r="DIA47" s="2844"/>
      <c r="DIB47" s="2845"/>
      <c r="DIC47" s="2842"/>
      <c r="DID47" s="2842"/>
      <c r="DIE47" s="2843"/>
      <c r="DIF47" s="2843"/>
      <c r="DIG47" s="2844"/>
      <c r="DIH47" s="2845"/>
      <c r="DII47" s="2842"/>
      <c r="DIJ47" s="2842"/>
      <c r="DIK47" s="2843"/>
      <c r="DIL47" s="2843"/>
      <c r="DIM47" s="2844"/>
      <c r="DIN47" s="2845"/>
      <c r="DIO47" s="2842"/>
      <c r="DIP47" s="2842"/>
      <c r="DIQ47" s="2843"/>
      <c r="DIR47" s="2843"/>
      <c r="DIS47" s="2844"/>
      <c r="DIT47" s="2845"/>
      <c r="DIU47" s="2842"/>
      <c r="DIV47" s="2842"/>
      <c r="DIW47" s="2843"/>
      <c r="DIX47" s="2843"/>
      <c r="DIY47" s="2844"/>
      <c r="DIZ47" s="2845"/>
      <c r="DJA47" s="2842"/>
      <c r="DJB47" s="2842"/>
      <c r="DJC47" s="2843"/>
      <c r="DJD47" s="2843"/>
      <c r="DJE47" s="2844"/>
      <c r="DJF47" s="2845"/>
      <c r="DJG47" s="2842"/>
      <c r="DJH47" s="2842"/>
      <c r="DJI47" s="2843"/>
      <c r="DJJ47" s="2843"/>
      <c r="DJK47" s="2844"/>
      <c r="DJL47" s="2845"/>
      <c r="DJM47" s="2842"/>
      <c r="DJN47" s="2842"/>
      <c r="DJO47" s="2843"/>
      <c r="DJP47" s="2843"/>
      <c r="DJQ47" s="2844"/>
      <c r="DJR47" s="2845"/>
      <c r="DJS47" s="2842"/>
      <c r="DJT47" s="2842"/>
      <c r="DJU47" s="2843"/>
      <c r="DJV47" s="2843"/>
      <c r="DJW47" s="2844"/>
      <c r="DJX47" s="2845"/>
      <c r="DJY47" s="2842"/>
      <c r="DJZ47" s="2842"/>
      <c r="DKA47" s="2843"/>
      <c r="DKB47" s="2843"/>
      <c r="DKC47" s="2844"/>
      <c r="DKD47" s="2845"/>
      <c r="DKE47" s="2842"/>
      <c r="DKF47" s="2842"/>
      <c r="DKG47" s="2843"/>
      <c r="DKH47" s="2843"/>
      <c r="DKI47" s="2844"/>
      <c r="DKJ47" s="2845"/>
      <c r="DKK47" s="2842"/>
      <c r="DKL47" s="2842"/>
      <c r="DKM47" s="2843"/>
      <c r="DKN47" s="2843"/>
      <c r="DKO47" s="2844"/>
      <c r="DKP47" s="2845"/>
      <c r="DKQ47" s="2842"/>
      <c r="DKR47" s="2842"/>
      <c r="DKS47" s="2843"/>
      <c r="DKT47" s="2843"/>
      <c r="DKU47" s="2844"/>
      <c r="DKV47" s="2845"/>
      <c r="DKW47" s="2842"/>
      <c r="DKX47" s="2842"/>
      <c r="DKY47" s="2843"/>
      <c r="DKZ47" s="2843"/>
      <c r="DLA47" s="2844"/>
      <c r="DLB47" s="2845"/>
      <c r="DLC47" s="2842"/>
      <c r="DLD47" s="2842"/>
      <c r="DLE47" s="2843"/>
      <c r="DLF47" s="2843"/>
      <c r="DLG47" s="2844"/>
      <c r="DLH47" s="2845"/>
      <c r="DLI47" s="2842"/>
      <c r="DLJ47" s="2842"/>
      <c r="DLK47" s="2843"/>
      <c r="DLL47" s="2843"/>
      <c r="DLM47" s="2844"/>
      <c r="DLN47" s="2845"/>
      <c r="DLO47" s="2842"/>
      <c r="DLP47" s="2842"/>
      <c r="DLQ47" s="2843"/>
      <c r="DLR47" s="2843"/>
      <c r="DLS47" s="2844"/>
      <c r="DLT47" s="2845"/>
      <c r="DLU47" s="2842"/>
      <c r="DLV47" s="2842"/>
      <c r="DLW47" s="2843"/>
      <c r="DLX47" s="2843"/>
      <c r="DLY47" s="2844"/>
      <c r="DLZ47" s="2845"/>
      <c r="DMA47" s="2842"/>
      <c r="DMB47" s="2842"/>
      <c r="DMC47" s="2843"/>
      <c r="DMD47" s="2843"/>
      <c r="DME47" s="2844"/>
      <c r="DMF47" s="2845"/>
      <c r="DMG47" s="2842"/>
      <c r="DMH47" s="2842"/>
      <c r="DMI47" s="2843"/>
      <c r="DMJ47" s="2843"/>
      <c r="DMK47" s="2844"/>
      <c r="DML47" s="2845"/>
      <c r="DMM47" s="2842"/>
      <c r="DMN47" s="2842"/>
      <c r="DMO47" s="2843"/>
      <c r="DMP47" s="2843"/>
      <c r="DMQ47" s="2844"/>
      <c r="DMR47" s="2845"/>
      <c r="DMS47" s="2842"/>
      <c r="DMT47" s="2842"/>
      <c r="DMU47" s="2843"/>
      <c r="DMV47" s="2843"/>
      <c r="DMW47" s="2844"/>
      <c r="DMX47" s="2845"/>
      <c r="DMY47" s="2842"/>
      <c r="DMZ47" s="2842"/>
      <c r="DNA47" s="2843"/>
      <c r="DNB47" s="2843"/>
      <c r="DNC47" s="2844"/>
      <c r="DND47" s="2845"/>
      <c r="DNE47" s="2842"/>
      <c r="DNF47" s="2842"/>
      <c r="DNG47" s="2843"/>
      <c r="DNH47" s="2843"/>
      <c r="DNI47" s="2844"/>
      <c r="DNJ47" s="2845"/>
      <c r="DNK47" s="2842"/>
      <c r="DNL47" s="2842"/>
      <c r="DNM47" s="2843"/>
      <c r="DNN47" s="2843"/>
      <c r="DNO47" s="2844"/>
      <c r="DNP47" s="2845"/>
      <c r="DNQ47" s="2842"/>
      <c r="DNR47" s="2842"/>
      <c r="DNS47" s="2843"/>
      <c r="DNT47" s="2843"/>
      <c r="DNU47" s="2844"/>
      <c r="DNV47" s="2845"/>
      <c r="DNW47" s="2842"/>
      <c r="DNX47" s="2842"/>
      <c r="DNY47" s="2843"/>
      <c r="DNZ47" s="2843"/>
      <c r="DOA47" s="2844"/>
      <c r="DOB47" s="2845"/>
      <c r="DOC47" s="2842"/>
      <c r="DOD47" s="2842"/>
      <c r="DOE47" s="2843"/>
      <c r="DOF47" s="2843"/>
      <c r="DOG47" s="2844"/>
      <c r="DOH47" s="2845"/>
      <c r="DOI47" s="2842"/>
      <c r="DOJ47" s="2842"/>
      <c r="DOK47" s="2843"/>
      <c r="DOL47" s="2843"/>
      <c r="DOM47" s="2844"/>
      <c r="DON47" s="2845"/>
      <c r="DOO47" s="2842"/>
      <c r="DOP47" s="2842"/>
      <c r="DOQ47" s="2843"/>
      <c r="DOR47" s="2843"/>
      <c r="DOS47" s="2844"/>
      <c r="DOT47" s="2845"/>
      <c r="DOU47" s="2842"/>
      <c r="DOV47" s="2842"/>
      <c r="DOW47" s="2843"/>
      <c r="DOX47" s="2843"/>
      <c r="DOY47" s="2844"/>
      <c r="DOZ47" s="2845"/>
      <c r="DPA47" s="2842"/>
      <c r="DPB47" s="2842"/>
      <c r="DPC47" s="2843"/>
      <c r="DPD47" s="2843"/>
      <c r="DPE47" s="2844"/>
      <c r="DPF47" s="2845"/>
      <c r="DPG47" s="2842"/>
      <c r="DPH47" s="2842"/>
      <c r="DPI47" s="2843"/>
      <c r="DPJ47" s="2843"/>
      <c r="DPK47" s="2844"/>
      <c r="DPL47" s="2845"/>
      <c r="DPM47" s="2842"/>
      <c r="DPN47" s="2842"/>
      <c r="DPO47" s="2843"/>
      <c r="DPP47" s="2843"/>
      <c r="DPQ47" s="2844"/>
      <c r="DPR47" s="2845"/>
      <c r="DPS47" s="2842"/>
      <c r="DPT47" s="2842"/>
      <c r="DPU47" s="2843"/>
      <c r="DPV47" s="2843"/>
      <c r="DPW47" s="2844"/>
      <c r="DPX47" s="2845"/>
      <c r="DPY47" s="2842"/>
      <c r="DPZ47" s="2842"/>
      <c r="DQA47" s="2843"/>
      <c r="DQB47" s="2843"/>
      <c r="DQC47" s="2844"/>
      <c r="DQD47" s="2845"/>
      <c r="DQE47" s="2842"/>
      <c r="DQF47" s="2842"/>
      <c r="DQG47" s="2843"/>
      <c r="DQH47" s="2843"/>
      <c r="DQI47" s="2844"/>
      <c r="DQJ47" s="2845"/>
      <c r="DQK47" s="2842"/>
      <c r="DQL47" s="2842"/>
      <c r="DQM47" s="2843"/>
      <c r="DQN47" s="2843"/>
      <c r="DQO47" s="2844"/>
      <c r="DQP47" s="2845"/>
      <c r="DQQ47" s="2842"/>
      <c r="DQR47" s="2842"/>
      <c r="DQS47" s="2843"/>
      <c r="DQT47" s="2843"/>
      <c r="DQU47" s="2844"/>
      <c r="DQV47" s="2845"/>
      <c r="DQW47" s="2842"/>
      <c r="DQX47" s="2842"/>
      <c r="DQY47" s="2843"/>
      <c r="DQZ47" s="2843"/>
      <c r="DRA47" s="2844"/>
      <c r="DRB47" s="2845"/>
      <c r="DRC47" s="2842"/>
      <c r="DRD47" s="2842"/>
      <c r="DRE47" s="2843"/>
      <c r="DRF47" s="2843"/>
      <c r="DRG47" s="2844"/>
      <c r="DRH47" s="2845"/>
      <c r="DRI47" s="2842"/>
      <c r="DRJ47" s="2842"/>
      <c r="DRK47" s="2843"/>
      <c r="DRL47" s="2843"/>
      <c r="DRM47" s="2844"/>
      <c r="DRN47" s="2845"/>
      <c r="DRO47" s="2842"/>
      <c r="DRP47" s="2842"/>
      <c r="DRQ47" s="2843"/>
      <c r="DRR47" s="2843"/>
      <c r="DRS47" s="2844"/>
      <c r="DRT47" s="2845"/>
      <c r="DRU47" s="2842"/>
      <c r="DRV47" s="2842"/>
      <c r="DRW47" s="2843"/>
      <c r="DRX47" s="2843"/>
      <c r="DRY47" s="2844"/>
      <c r="DRZ47" s="2845"/>
      <c r="DSA47" s="2842"/>
      <c r="DSB47" s="2842"/>
      <c r="DSC47" s="2843"/>
      <c r="DSD47" s="2843"/>
      <c r="DSE47" s="2844"/>
      <c r="DSF47" s="2845"/>
      <c r="DSG47" s="2842"/>
      <c r="DSH47" s="2842"/>
      <c r="DSI47" s="2843"/>
      <c r="DSJ47" s="2843"/>
      <c r="DSK47" s="2844"/>
      <c r="DSL47" s="2845"/>
      <c r="DSM47" s="2842"/>
      <c r="DSN47" s="2842"/>
      <c r="DSO47" s="2843"/>
      <c r="DSP47" s="2843"/>
      <c r="DSQ47" s="2844"/>
      <c r="DSR47" s="2845"/>
      <c r="DSS47" s="2842"/>
      <c r="DST47" s="2842"/>
      <c r="DSU47" s="2843"/>
      <c r="DSV47" s="2843"/>
      <c r="DSW47" s="2844"/>
      <c r="DSX47" s="2845"/>
      <c r="DSY47" s="2842"/>
      <c r="DSZ47" s="2842"/>
      <c r="DTA47" s="2843"/>
      <c r="DTB47" s="2843"/>
      <c r="DTC47" s="2844"/>
      <c r="DTD47" s="2845"/>
      <c r="DTE47" s="2842"/>
      <c r="DTF47" s="2842"/>
      <c r="DTG47" s="2843"/>
      <c r="DTH47" s="2843"/>
      <c r="DTI47" s="2844"/>
      <c r="DTJ47" s="2845"/>
      <c r="DTK47" s="2842"/>
      <c r="DTL47" s="2842"/>
      <c r="DTM47" s="2843"/>
      <c r="DTN47" s="2843"/>
      <c r="DTO47" s="2844"/>
      <c r="DTP47" s="2845"/>
      <c r="DTQ47" s="2842"/>
      <c r="DTR47" s="2842"/>
      <c r="DTS47" s="2843"/>
      <c r="DTT47" s="2843"/>
      <c r="DTU47" s="2844"/>
      <c r="DTV47" s="2845"/>
      <c r="DTW47" s="2842"/>
      <c r="DTX47" s="2842"/>
      <c r="DTY47" s="2843"/>
      <c r="DTZ47" s="2843"/>
      <c r="DUA47" s="2844"/>
      <c r="DUB47" s="2845"/>
      <c r="DUC47" s="2842"/>
      <c r="DUD47" s="2842"/>
      <c r="DUE47" s="2843"/>
      <c r="DUF47" s="2843"/>
      <c r="DUG47" s="2844"/>
      <c r="DUH47" s="2845"/>
      <c r="DUI47" s="2842"/>
      <c r="DUJ47" s="2842"/>
      <c r="DUK47" s="2843"/>
      <c r="DUL47" s="2843"/>
      <c r="DUM47" s="2844"/>
      <c r="DUN47" s="2845"/>
      <c r="DUO47" s="2842"/>
      <c r="DUP47" s="2842"/>
      <c r="DUQ47" s="2843"/>
      <c r="DUR47" s="2843"/>
      <c r="DUS47" s="2844"/>
      <c r="DUT47" s="2845"/>
      <c r="DUU47" s="2842"/>
      <c r="DUV47" s="2842"/>
      <c r="DUW47" s="2843"/>
      <c r="DUX47" s="2843"/>
      <c r="DUY47" s="2844"/>
      <c r="DUZ47" s="2845"/>
      <c r="DVA47" s="2842"/>
      <c r="DVB47" s="2842"/>
      <c r="DVC47" s="2843"/>
      <c r="DVD47" s="2843"/>
      <c r="DVE47" s="2844"/>
      <c r="DVF47" s="2845"/>
      <c r="DVG47" s="2842"/>
      <c r="DVH47" s="2842"/>
      <c r="DVI47" s="2843"/>
      <c r="DVJ47" s="2843"/>
      <c r="DVK47" s="2844"/>
      <c r="DVL47" s="2845"/>
      <c r="DVM47" s="2842"/>
      <c r="DVN47" s="2842"/>
      <c r="DVO47" s="2843"/>
      <c r="DVP47" s="2843"/>
      <c r="DVQ47" s="2844"/>
      <c r="DVR47" s="2845"/>
      <c r="DVS47" s="2842"/>
      <c r="DVT47" s="2842"/>
      <c r="DVU47" s="2843"/>
      <c r="DVV47" s="2843"/>
      <c r="DVW47" s="2844"/>
      <c r="DVX47" s="2845"/>
      <c r="DVY47" s="2842"/>
      <c r="DVZ47" s="2842"/>
      <c r="DWA47" s="2843"/>
      <c r="DWB47" s="2843"/>
      <c r="DWC47" s="2844"/>
      <c r="DWD47" s="2845"/>
      <c r="DWE47" s="2842"/>
      <c r="DWF47" s="2842"/>
      <c r="DWG47" s="2843"/>
      <c r="DWH47" s="2843"/>
      <c r="DWI47" s="2844"/>
      <c r="DWJ47" s="2845"/>
      <c r="DWK47" s="2842"/>
      <c r="DWL47" s="2842"/>
      <c r="DWM47" s="2843"/>
      <c r="DWN47" s="2843"/>
      <c r="DWO47" s="2844"/>
      <c r="DWP47" s="2845"/>
      <c r="DWQ47" s="2842"/>
      <c r="DWR47" s="2842"/>
      <c r="DWS47" s="2843"/>
      <c r="DWT47" s="2843"/>
      <c r="DWU47" s="2844"/>
      <c r="DWV47" s="2845"/>
      <c r="DWW47" s="2842"/>
      <c r="DWX47" s="2842"/>
      <c r="DWY47" s="2843"/>
      <c r="DWZ47" s="2843"/>
      <c r="DXA47" s="2844"/>
      <c r="DXB47" s="2845"/>
      <c r="DXC47" s="2842"/>
      <c r="DXD47" s="2842"/>
      <c r="DXE47" s="2843"/>
      <c r="DXF47" s="2843"/>
      <c r="DXG47" s="2844"/>
      <c r="DXH47" s="2845"/>
      <c r="DXI47" s="2842"/>
      <c r="DXJ47" s="2842"/>
      <c r="DXK47" s="2843"/>
      <c r="DXL47" s="2843"/>
      <c r="DXM47" s="2844"/>
      <c r="DXN47" s="2845"/>
      <c r="DXO47" s="2842"/>
      <c r="DXP47" s="2842"/>
      <c r="DXQ47" s="2843"/>
      <c r="DXR47" s="2843"/>
      <c r="DXS47" s="2844"/>
      <c r="DXT47" s="2845"/>
      <c r="DXU47" s="2842"/>
      <c r="DXV47" s="2842"/>
      <c r="DXW47" s="2843"/>
      <c r="DXX47" s="2843"/>
      <c r="DXY47" s="2844"/>
      <c r="DXZ47" s="2845"/>
      <c r="DYA47" s="2842"/>
      <c r="DYB47" s="2842"/>
      <c r="DYC47" s="2843"/>
      <c r="DYD47" s="2843"/>
      <c r="DYE47" s="2844"/>
      <c r="DYF47" s="2845"/>
      <c r="DYG47" s="2842"/>
      <c r="DYH47" s="2842"/>
      <c r="DYI47" s="2843"/>
      <c r="DYJ47" s="2843"/>
      <c r="DYK47" s="2844"/>
      <c r="DYL47" s="2845"/>
      <c r="DYM47" s="2842"/>
      <c r="DYN47" s="2842"/>
      <c r="DYO47" s="2843"/>
      <c r="DYP47" s="2843"/>
      <c r="DYQ47" s="2844"/>
      <c r="DYR47" s="2845"/>
      <c r="DYS47" s="2842"/>
      <c r="DYT47" s="2842"/>
      <c r="DYU47" s="2843"/>
      <c r="DYV47" s="2843"/>
      <c r="DYW47" s="2844"/>
      <c r="DYX47" s="2845"/>
      <c r="DYY47" s="2842"/>
      <c r="DYZ47" s="2842"/>
      <c r="DZA47" s="2843"/>
      <c r="DZB47" s="2843"/>
      <c r="DZC47" s="2844"/>
      <c r="DZD47" s="2845"/>
      <c r="DZE47" s="2842"/>
      <c r="DZF47" s="2842"/>
      <c r="DZG47" s="2843"/>
      <c r="DZH47" s="2843"/>
      <c r="DZI47" s="2844"/>
      <c r="DZJ47" s="2845"/>
      <c r="DZK47" s="2842"/>
      <c r="DZL47" s="2842"/>
      <c r="DZM47" s="2843"/>
      <c r="DZN47" s="2843"/>
      <c r="DZO47" s="2844"/>
      <c r="DZP47" s="2845"/>
      <c r="DZQ47" s="2842"/>
      <c r="DZR47" s="2842"/>
      <c r="DZS47" s="2843"/>
      <c r="DZT47" s="2843"/>
      <c r="DZU47" s="2844"/>
      <c r="DZV47" s="2845"/>
      <c r="DZW47" s="2842"/>
      <c r="DZX47" s="2842"/>
      <c r="DZY47" s="2843"/>
      <c r="DZZ47" s="2843"/>
      <c r="EAA47" s="2844"/>
      <c r="EAB47" s="2845"/>
      <c r="EAC47" s="2842"/>
      <c r="EAD47" s="2842"/>
      <c r="EAE47" s="2843"/>
      <c r="EAF47" s="2843"/>
      <c r="EAG47" s="2844"/>
      <c r="EAH47" s="2845"/>
      <c r="EAI47" s="2842"/>
      <c r="EAJ47" s="2842"/>
      <c r="EAK47" s="2843"/>
      <c r="EAL47" s="2843"/>
      <c r="EAM47" s="2844"/>
      <c r="EAN47" s="2845"/>
      <c r="EAO47" s="2842"/>
      <c r="EAP47" s="2842"/>
      <c r="EAQ47" s="2843"/>
      <c r="EAR47" s="2843"/>
      <c r="EAS47" s="2844"/>
      <c r="EAT47" s="2845"/>
      <c r="EAU47" s="2842"/>
      <c r="EAV47" s="2842"/>
      <c r="EAW47" s="2843"/>
      <c r="EAX47" s="2843"/>
      <c r="EAY47" s="2844"/>
      <c r="EAZ47" s="2845"/>
      <c r="EBA47" s="2842"/>
      <c r="EBB47" s="2842"/>
      <c r="EBC47" s="2843"/>
      <c r="EBD47" s="2843"/>
      <c r="EBE47" s="2844"/>
      <c r="EBF47" s="2845"/>
      <c r="EBG47" s="2842"/>
      <c r="EBH47" s="2842"/>
      <c r="EBI47" s="2843"/>
      <c r="EBJ47" s="2843"/>
      <c r="EBK47" s="2844"/>
      <c r="EBL47" s="2845"/>
      <c r="EBM47" s="2842"/>
      <c r="EBN47" s="2842"/>
      <c r="EBO47" s="2843"/>
      <c r="EBP47" s="2843"/>
      <c r="EBQ47" s="2844"/>
      <c r="EBR47" s="2845"/>
      <c r="EBS47" s="2842"/>
      <c r="EBT47" s="2842"/>
      <c r="EBU47" s="2843"/>
      <c r="EBV47" s="2843"/>
      <c r="EBW47" s="2844"/>
      <c r="EBX47" s="2845"/>
      <c r="EBY47" s="2842"/>
      <c r="EBZ47" s="2842"/>
      <c r="ECA47" s="2843"/>
      <c r="ECB47" s="2843"/>
      <c r="ECC47" s="2844"/>
      <c r="ECD47" s="2845"/>
      <c r="ECE47" s="2842"/>
      <c r="ECF47" s="2842"/>
      <c r="ECG47" s="2843"/>
      <c r="ECH47" s="2843"/>
      <c r="ECI47" s="2844"/>
      <c r="ECJ47" s="2845"/>
      <c r="ECK47" s="2842"/>
      <c r="ECL47" s="2842"/>
      <c r="ECM47" s="2843"/>
      <c r="ECN47" s="2843"/>
      <c r="ECO47" s="2844"/>
      <c r="ECP47" s="2845"/>
      <c r="ECQ47" s="2842"/>
      <c r="ECR47" s="2842"/>
      <c r="ECS47" s="2843"/>
      <c r="ECT47" s="2843"/>
      <c r="ECU47" s="2844"/>
      <c r="ECV47" s="2845"/>
      <c r="ECW47" s="2842"/>
      <c r="ECX47" s="2842"/>
      <c r="ECY47" s="2843"/>
      <c r="ECZ47" s="2843"/>
      <c r="EDA47" s="2844"/>
      <c r="EDB47" s="2845"/>
      <c r="EDC47" s="2842"/>
      <c r="EDD47" s="2842"/>
      <c r="EDE47" s="2843"/>
      <c r="EDF47" s="2843"/>
      <c r="EDG47" s="2844"/>
      <c r="EDH47" s="2845"/>
      <c r="EDI47" s="2842"/>
      <c r="EDJ47" s="2842"/>
      <c r="EDK47" s="2843"/>
      <c r="EDL47" s="2843"/>
      <c r="EDM47" s="2844"/>
      <c r="EDN47" s="2845"/>
      <c r="EDO47" s="2842"/>
      <c r="EDP47" s="2842"/>
      <c r="EDQ47" s="2843"/>
      <c r="EDR47" s="2843"/>
      <c r="EDS47" s="2844"/>
      <c r="EDT47" s="2845"/>
      <c r="EDU47" s="2842"/>
      <c r="EDV47" s="2842"/>
      <c r="EDW47" s="2843"/>
      <c r="EDX47" s="2843"/>
      <c r="EDY47" s="2844"/>
      <c r="EDZ47" s="2845"/>
      <c r="EEA47" s="2842"/>
      <c r="EEB47" s="2842"/>
      <c r="EEC47" s="2843"/>
      <c r="EED47" s="2843"/>
      <c r="EEE47" s="2844"/>
      <c r="EEF47" s="2845"/>
      <c r="EEG47" s="2842"/>
      <c r="EEH47" s="2842"/>
      <c r="EEI47" s="2843"/>
      <c r="EEJ47" s="2843"/>
      <c r="EEK47" s="2844"/>
      <c r="EEL47" s="2845"/>
      <c r="EEM47" s="2842"/>
      <c r="EEN47" s="2842"/>
      <c r="EEO47" s="2843"/>
      <c r="EEP47" s="2843"/>
      <c r="EEQ47" s="2844"/>
      <c r="EER47" s="2845"/>
      <c r="EES47" s="2842"/>
      <c r="EET47" s="2842"/>
      <c r="EEU47" s="2843"/>
      <c r="EEV47" s="2843"/>
      <c r="EEW47" s="2844"/>
      <c r="EEX47" s="2845"/>
      <c r="EEY47" s="2842"/>
      <c r="EEZ47" s="2842"/>
      <c r="EFA47" s="2843"/>
      <c r="EFB47" s="2843"/>
      <c r="EFC47" s="2844"/>
      <c r="EFD47" s="2845"/>
      <c r="EFE47" s="2842"/>
      <c r="EFF47" s="2842"/>
      <c r="EFG47" s="2843"/>
      <c r="EFH47" s="2843"/>
      <c r="EFI47" s="2844"/>
      <c r="EFJ47" s="2845"/>
      <c r="EFK47" s="2842"/>
      <c r="EFL47" s="2842"/>
      <c r="EFM47" s="2843"/>
      <c r="EFN47" s="2843"/>
      <c r="EFO47" s="2844"/>
      <c r="EFP47" s="2845"/>
      <c r="EFQ47" s="2842"/>
      <c r="EFR47" s="2842"/>
      <c r="EFS47" s="2843"/>
      <c r="EFT47" s="2843"/>
      <c r="EFU47" s="2844"/>
      <c r="EFV47" s="2845"/>
      <c r="EFW47" s="2842"/>
      <c r="EFX47" s="2842"/>
      <c r="EFY47" s="2843"/>
      <c r="EFZ47" s="2843"/>
      <c r="EGA47" s="2844"/>
      <c r="EGB47" s="2845"/>
      <c r="EGC47" s="2842"/>
      <c r="EGD47" s="2842"/>
      <c r="EGE47" s="2843"/>
      <c r="EGF47" s="2843"/>
      <c r="EGG47" s="2844"/>
      <c r="EGH47" s="2845"/>
      <c r="EGI47" s="2842"/>
      <c r="EGJ47" s="2842"/>
      <c r="EGK47" s="2843"/>
      <c r="EGL47" s="2843"/>
      <c r="EGM47" s="2844"/>
      <c r="EGN47" s="2845"/>
      <c r="EGO47" s="2842"/>
      <c r="EGP47" s="2842"/>
      <c r="EGQ47" s="2843"/>
      <c r="EGR47" s="2843"/>
      <c r="EGS47" s="2844"/>
      <c r="EGT47" s="2845"/>
      <c r="EGU47" s="2842"/>
      <c r="EGV47" s="2842"/>
      <c r="EGW47" s="2843"/>
      <c r="EGX47" s="2843"/>
      <c r="EGY47" s="2844"/>
      <c r="EGZ47" s="2845"/>
      <c r="EHA47" s="2842"/>
      <c r="EHB47" s="2842"/>
      <c r="EHC47" s="2843"/>
      <c r="EHD47" s="2843"/>
      <c r="EHE47" s="2844"/>
      <c r="EHF47" s="2845"/>
      <c r="EHG47" s="2842"/>
      <c r="EHH47" s="2842"/>
      <c r="EHI47" s="2843"/>
      <c r="EHJ47" s="2843"/>
      <c r="EHK47" s="2844"/>
      <c r="EHL47" s="2845"/>
      <c r="EHM47" s="2842"/>
      <c r="EHN47" s="2842"/>
      <c r="EHO47" s="2843"/>
      <c r="EHP47" s="2843"/>
      <c r="EHQ47" s="2844"/>
      <c r="EHR47" s="2845"/>
      <c r="EHS47" s="2842"/>
      <c r="EHT47" s="2842"/>
      <c r="EHU47" s="2843"/>
      <c r="EHV47" s="2843"/>
      <c r="EHW47" s="2844"/>
      <c r="EHX47" s="2845"/>
      <c r="EHY47" s="2842"/>
      <c r="EHZ47" s="2842"/>
      <c r="EIA47" s="2843"/>
      <c r="EIB47" s="2843"/>
      <c r="EIC47" s="2844"/>
      <c r="EID47" s="2845"/>
      <c r="EIE47" s="2842"/>
      <c r="EIF47" s="2842"/>
      <c r="EIG47" s="2843"/>
      <c r="EIH47" s="2843"/>
      <c r="EII47" s="2844"/>
      <c r="EIJ47" s="2845"/>
      <c r="EIK47" s="2842"/>
      <c r="EIL47" s="2842"/>
      <c r="EIM47" s="2843"/>
      <c r="EIN47" s="2843"/>
      <c r="EIO47" s="2844"/>
      <c r="EIP47" s="2845"/>
      <c r="EIQ47" s="2842"/>
      <c r="EIR47" s="2842"/>
      <c r="EIS47" s="2843"/>
      <c r="EIT47" s="2843"/>
      <c r="EIU47" s="2844"/>
      <c r="EIV47" s="2845"/>
      <c r="EIW47" s="2842"/>
      <c r="EIX47" s="2842"/>
      <c r="EIY47" s="2843"/>
      <c r="EIZ47" s="2843"/>
      <c r="EJA47" s="2844"/>
      <c r="EJB47" s="2845"/>
      <c r="EJC47" s="2842"/>
      <c r="EJD47" s="2842"/>
      <c r="EJE47" s="2843"/>
      <c r="EJF47" s="2843"/>
      <c r="EJG47" s="2844"/>
      <c r="EJH47" s="2845"/>
      <c r="EJI47" s="2842"/>
      <c r="EJJ47" s="2842"/>
      <c r="EJK47" s="2843"/>
      <c r="EJL47" s="2843"/>
      <c r="EJM47" s="2844"/>
      <c r="EJN47" s="2845"/>
      <c r="EJO47" s="2842"/>
      <c r="EJP47" s="2842"/>
      <c r="EJQ47" s="2843"/>
      <c r="EJR47" s="2843"/>
      <c r="EJS47" s="2844"/>
      <c r="EJT47" s="2845"/>
      <c r="EJU47" s="2842"/>
      <c r="EJV47" s="2842"/>
      <c r="EJW47" s="2843"/>
      <c r="EJX47" s="2843"/>
      <c r="EJY47" s="2844"/>
      <c r="EJZ47" s="2845"/>
      <c r="EKA47" s="2842"/>
      <c r="EKB47" s="2842"/>
      <c r="EKC47" s="2843"/>
      <c r="EKD47" s="2843"/>
      <c r="EKE47" s="2844"/>
      <c r="EKF47" s="2845"/>
      <c r="EKG47" s="2842"/>
      <c r="EKH47" s="2842"/>
      <c r="EKI47" s="2843"/>
      <c r="EKJ47" s="2843"/>
      <c r="EKK47" s="2844"/>
      <c r="EKL47" s="2845"/>
      <c r="EKM47" s="2842"/>
      <c r="EKN47" s="2842"/>
      <c r="EKO47" s="2843"/>
      <c r="EKP47" s="2843"/>
      <c r="EKQ47" s="2844"/>
      <c r="EKR47" s="2845"/>
      <c r="EKS47" s="2842"/>
      <c r="EKT47" s="2842"/>
      <c r="EKU47" s="2843"/>
      <c r="EKV47" s="2843"/>
      <c r="EKW47" s="2844"/>
      <c r="EKX47" s="2845"/>
      <c r="EKY47" s="2842"/>
      <c r="EKZ47" s="2842"/>
      <c r="ELA47" s="2843"/>
      <c r="ELB47" s="2843"/>
      <c r="ELC47" s="2844"/>
      <c r="ELD47" s="2845"/>
      <c r="ELE47" s="2842"/>
      <c r="ELF47" s="2842"/>
      <c r="ELG47" s="2843"/>
      <c r="ELH47" s="2843"/>
      <c r="ELI47" s="2844"/>
      <c r="ELJ47" s="2845"/>
      <c r="ELK47" s="2842"/>
      <c r="ELL47" s="2842"/>
      <c r="ELM47" s="2843"/>
      <c r="ELN47" s="2843"/>
      <c r="ELO47" s="2844"/>
      <c r="ELP47" s="2845"/>
      <c r="ELQ47" s="2842"/>
      <c r="ELR47" s="2842"/>
      <c r="ELS47" s="2843"/>
      <c r="ELT47" s="2843"/>
      <c r="ELU47" s="2844"/>
      <c r="ELV47" s="2845"/>
      <c r="ELW47" s="2842"/>
      <c r="ELX47" s="2842"/>
      <c r="ELY47" s="2843"/>
      <c r="ELZ47" s="2843"/>
      <c r="EMA47" s="2844"/>
      <c r="EMB47" s="2845"/>
      <c r="EMC47" s="2842"/>
      <c r="EMD47" s="2842"/>
      <c r="EME47" s="2843"/>
      <c r="EMF47" s="2843"/>
      <c r="EMG47" s="2844"/>
      <c r="EMH47" s="2845"/>
      <c r="EMI47" s="2842"/>
      <c r="EMJ47" s="2842"/>
      <c r="EMK47" s="2843"/>
      <c r="EML47" s="2843"/>
      <c r="EMM47" s="2844"/>
      <c r="EMN47" s="2845"/>
      <c r="EMO47" s="2842"/>
      <c r="EMP47" s="2842"/>
      <c r="EMQ47" s="2843"/>
      <c r="EMR47" s="2843"/>
      <c r="EMS47" s="2844"/>
      <c r="EMT47" s="2845"/>
      <c r="EMU47" s="2842"/>
      <c r="EMV47" s="2842"/>
      <c r="EMW47" s="2843"/>
      <c r="EMX47" s="2843"/>
      <c r="EMY47" s="2844"/>
      <c r="EMZ47" s="2845"/>
      <c r="ENA47" s="2842"/>
      <c r="ENB47" s="2842"/>
      <c r="ENC47" s="2843"/>
      <c r="END47" s="2843"/>
      <c r="ENE47" s="2844"/>
      <c r="ENF47" s="2845"/>
      <c r="ENG47" s="2842"/>
      <c r="ENH47" s="2842"/>
      <c r="ENI47" s="2843"/>
      <c r="ENJ47" s="2843"/>
      <c r="ENK47" s="2844"/>
      <c r="ENL47" s="2845"/>
      <c r="ENM47" s="2842"/>
      <c r="ENN47" s="2842"/>
      <c r="ENO47" s="2843"/>
      <c r="ENP47" s="2843"/>
      <c r="ENQ47" s="2844"/>
      <c r="ENR47" s="2845"/>
      <c r="ENS47" s="2842"/>
      <c r="ENT47" s="2842"/>
      <c r="ENU47" s="2843"/>
      <c r="ENV47" s="2843"/>
      <c r="ENW47" s="2844"/>
      <c r="ENX47" s="2845"/>
      <c r="ENY47" s="2842"/>
      <c r="ENZ47" s="2842"/>
      <c r="EOA47" s="2843"/>
      <c r="EOB47" s="2843"/>
      <c r="EOC47" s="2844"/>
      <c r="EOD47" s="2845"/>
      <c r="EOE47" s="2842"/>
      <c r="EOF47" s="2842"/>
      <c r="EOG47" s="2843"/>
      <c r="EOH47" s="2843"/>
      <c r="EOI47" s="2844"/>
      <c r="EOJ47" s="2845"/>
      <c r="EOK47" s="2842"/>
      <c r="EOL47" s="2842"/>
      <c r="EOM47" s="2843"/>
      <c r="EON47" s="2843"/>
      <c r="EOO47" s="2844"/>
      <c r="EOP47" s="2845"/>
      <c r="EOQ47" s="2842"/>
      <c r="EOR47" s="2842"/>
      <c r="EOS47" s="2843"/>
      <c r="EOT47" s="2843"/>
      <c r="EOU47" s="2844"/>
      <c r="EOV47" s="2845"/>
      <c r="EOW47" s="2842"/>
      <c r="EOX47" s="2842"/>
      <c r="EOY47" s="2843"/>
      <c r="EOZ47" s="2843"/>
      <c r="EPA47" s="2844"/>
      <c r="EPB47" s="2845"/>
      <c r="EPC47" s="2842"/>
      <c r="EPD47" s="2842"/>
      <c r="EPE47" s="2843"/>
      <c r="EPF47" s="2843"/>
      <c r="EPG47" s="2844"/>
      <c r="EPH47" s="2845"/>
      <c r="EPI47" s="2842"/>
      <c r="EPJ47" s="2842"/>
      <c r="EPK47" s="2843"/>
      <c r="EPL47" s="2843"/>
      <c r="EPM47" s="2844"/>
      <c r="EPN47" s="2845"/>
      <c r="EPO47" s="2842"/>
      <c r="EPP47" s="2842"/>
      <c r="EPQ47" s="2843"/>
      <c r="EPR47" s="2843"/>
      <c r="EPS47" s="2844"/>
      <c r="EPT47" s="2845"/>
      <c r="EPU47" s="2842"/>
      <c r="EPV47" s="2842"/>
      <c r="EPW47" s="2843"/>
      <c r="EPX47" s="2843"/>
      <c r="EPY47" s="2844"/>
      <c r="EPZ47" s="2845"/>
      <c r="EQA47" s="2842"/>
      <c r="EQB47" s="2842"/>
      <c r="EQC47" s="2843"/>
      <c r="EQD47" s="2843"/>
      <c r="EQE47" s="2844"/>
      <c r="EQF47" s="2845"/>
      <c r="EQG47" s="2842"/>
      <c r="EQH47" s="2842"/>
      <c r="EQI47" s="2843"/>
      <c r="EQJ47" s="2843"/>
      <c r="EQK47" s="2844"/>
      <c r="EQL47" s="2845"/>
      <c r="EQM47" s="2842"/>
      <c r="EQN47" s="2842"/>
      <c r="EQO47" s="2843"/>
      <c r="EQP47" s="2843"/>
      <c r="EQQ47" s="2844"/>
      <c r="EQR47" s="2845"/>
      <c r="EQS47" s="2842"/>
      <c r="EQT47" s="2842"/>
      <c r="EQU47" s="2843"/>
      <c r="EQV47" s="2843"/>
      <c r="EQW47" s="2844"/>
      <c r="EQX47" s="2845"/>
      <c r="EQY47" s="2842"/>
      <c r="EQZ47" s="2842"/>
      <c r="ERA47" s="2843"/>
      <c r="ERB47" s="2843"/>
      <c r="ERC47" s="2844"/>
      <c r="ERD47" s="2845"/>
      <c r="ERE47" s="2842"/>
      <c r="ERF47" s="2842"/>
      <c r="ERG47" s="2843"/>
      <c r="ERH47" s="2843"/>
      <c r="ERI47" s="2844"/>
      <c r="ERJ47" s="2845"/>
      <c r="ERK47" s="2842"/>
      <c r="ERL47" s="2842"/>
      <c r="ERM47" s="2843"/>
      <c r="ERN47" s="2843"/>
      <c r="ERO47" s="2844"/>
      <c r="ERP47" s="2845"/>
      <c r="ERQ47" s="2842"/>
      <c r="ERR47" s="2842"/>
      <c r="ERS47" s="2843"/>
      <c r="ERT47" s="2843"/>
      <c r="ERU47" s="2844"/>
      <c r="ERV47" s="2845"/>
      <c r="ERW47" s="2842"/>
      <c r="ERX47" s="2842"/>
      <c r="ERY47" s="2843"/>
      <c r="ERZ47" s="2843"/>
      <c r="ESA47" s="2844"/>
      <c r="ESB47" s="2845"/>
      <c r="ESC47" s="2842"/>
      <c r="ESD47" s="2842"/>
      <c r="ESE47" s="2843"/>
      <c r="ESF47" s="2843"/>
      <c r="ESG47" s="2844"/>
      <c r="ESH47" s="2845"/>
      <c r="ESI47" s="2842"/>
      <c r="ESJ47" s="2842"/>
      <c r="ESK47" s="2843"/>
      <c r="ESL47" s="2843"/>
      <c r="ESM47" s="2844"/>
      <c r="ESN47" s="2845"/>
      <c r="ESO47" s="2842"/>
      <c r="ESP47" s="2842"/>
      <c r="ESQ47" s="2843"/>
      <c r="ESR47" s="2843"/>
      <c r="ESS47" s="2844"/>
      <c r="EST47" s="2845"/>
      <c r="ESU47" s="2842"/>
      <c r="ESV47" s="2842"/>
      <c r="ESW47" s="2843"/>
      <c r="ESX47" s="2843"/>
      <c r="ESY47" s="2844"/>
      <c r="ESZ47" s="2845"/>
      <c r="ETA47" s="2842"/>
      <c r="ETB47" s="2842"/>
      <c r="ETC47" s="2843"/>
      <c r="ETD47" s="2843"/>
      <c r="ETE47" s="2844"/>
      <c r="ETF47" s="2845"/>
      <c r="ETG47" s="2842"/>
      <c r="ETH47" s="2842"/>
      <c r="ETI47" s="2843"/>
      <c r="ETJ47" s="2843"/>
      <c r="ETK47" s="2844"/>
      <c r="ETL47" s="2845"/>
      <c r="ETM47" s="2842"/>
      <c r="ETN47" s="2842"/>
      <c r="ETO47" s="2843"/>
      <c r="ETP47" s="2843"/>
      <c r="ETQ47" s="2844"/>
      <c r="ETR47" s="2845"/>
      <c r="ETS47" s="2842"/>
      <c r="ETT47" s="2842"/>
      <c r="ETU47" s="2843"/>
      <c r="ETV47" s="2843"/>
      <c r="ETW47" s="2844"/>
      <c r="ETX47" s="2845"/>
      <c r="ETY47" s="2842"/>
      <c r="ETZ47" s="2842"/>
      <c r="EUA47" s="2843"/>
      <c r="EUB47" s="2843"/>
      <c r="EUC47" s="2844"/>
      <c r="EUD47" s="2845"/>
      <c r="EUE47" s="2842"/>
      <c r="EUF47" s="2842"/>
      <c r="EUG47" s="2843"/>
      <c r="EUH47" s="2843"/>
      <c r="EUI47" s="2844"/>
      <c r="EUJ47" s="2845"/>
      <c r="EUK47" s="2842"/>
      <c r="EUL47" s="2842"/>
      <c r="EUM47" s="2843"/>
      <c r="EUN47" s="2843"/>
      <c r="EUO47" s="2844"/>
      <c r="EUP47" s="2845"/>
      <c r="EUQ47" s="2842"/>
      <c r="EUR47" s="2842"/>
      <c r="EUS47" s="2843"/>
      <c r="EUT47" s="2843"/>
      <c r="EUU47" s="2844"/>
      <c r="EUV47" s="2845"/>
      <c r="EUW47" s="2842"/>
      <c r="EUX47" s="2842"/>
      <c r="EUY47" s="2843"/>
      <c r="EUZ47" s="2843"/>
      <c r="EVA47" s="2844"/>
      <c r="EVB47" s="2845"/>
      <c r="EVC47" s="2842"/>
      <c r="EVD47" s="2842"/>
      <c r="EVE47" s="2843"/>
      <c r="EVF47" s="2843"/>
      <c r="EVG47" s="2844"/>
      <c r="EVH47" s="2845"/>
      <c r="EVI47" s="2842"/>
      <c r="EVJ47" s="2842"/>
      <c r="EVK47" s="2843"/>
      <c r="EVL47" s="2843"/>
      <c r="EVM47" s="2844"/>
      <c r="EVN47" s="2845"/>
      <c r="EVO47" s="2842"/>
      <c r="EVP47" s="2842"/>
      <c r="EVQ47" s="2843"/>
      <c r="EVR47" s="2843"/>
      <c r="EVS47" s="2844"/>
      <c r="EVT47" s="2845"/>
      <c r="EVU47" s="2842"/>
      <c r="EVV47" s="2842"/>
      <c r="EVW47" s="2843"/>
      <c r="EVX47" s="2843"/>
      <c r="EVY47" s="2844"/>
      <c r="EVZ47" s="2845"/>
      <c r="EWA47" s="2842"/>
      <c r="EWB47" s="2842"/>
      <c r="EWC47" s="2843"/>
      <c r="EWD47" s="2843"/>
      <c r="EWE47" s="2844"/>
      <c r="EWF47" s="2845"/>
      <c r="EWG47" s="2842"/>
      <c r="EWH47" s="2842"/>
      <c r="EWI47" s="2843"/>
      <c r="EWJ47" s="2843"/>
      <c r="EWK47" s="2844"/>
      <c r="EWL47" s="2845"/>
      <c r="EWM47" s="2842"/>
      <c r="EWN47" s="2842"/>
      <c r="EWO47" s="2843"/>
      <c r="EWP47" s="2843"/>
      <c r="EWQ47" s="2844"/>
      <c r="EWR47" s="2845"/>
      <c r="EWS47" s="2842"/>
      <c r="EWT47" s="2842"/>
      <c r="EWU47" s="2843"/>
      <c r="EWV47" s="2843"/>
      <c r="EWW47" s="2844"/>
      <c r="EWX47" s="2845"/>
      <c r="EWY47" s="2842"/>
      <c r="EWZ47" s="2842"/>
      <c r="EXA47" s="2843"/>
      <c r="EXB47" s="2843"/>
      <c r="EXC47" s="2844"/>
      <c r="EXD47" s="2845"/>
      <c r="EXE47" s="2842"/>
      <c r="EXF47" s="2842"/>
      <c r="EXG47" s="2843"/>
      <c r="EXH47" s="2843"/>
      <c r="EXI47" s="2844"/>
      <c r="EXJ47" s="2845"/>
      <c r="EXK47" s="2842"/>
      <c r="EXL47" s="2842"/>
      <c r="EXM47" s="2843"/>
      <c r="EXN47" s="2843"/>
      <c r="EXO47" s="2844"/>
      <c r="EXP47" s="2845"/>
      <c r="EXQ47" s="2842"/>
      <c r="EXR47" s="2842"/>
      <c r="EXS47" s="2843"/>
      <c r="EXT47" s="2843"/>
      <c r="EXU47" s="2844"/>
      <c r="EXV47" s="2845"/>
      <c r="EXW47" s="2842"/>
      <c r="EXX47" s="2842"/>
      <c r="EXY47" s="2843"/>
      <c r="EXZ47" s="2843"/>
      <c r="EYA47" s="2844"/>
      <c r="EYB47" s="2845"/>
      <c r="EYC47" s="2842"/>
      <c r="EYD47" s="2842"/>
      <c r="EYE47" s="2843"/>
      <c r="EYF47" s="2843"/>
      <c r="EYG47" s="2844"/>
      <c r="EYH47" s="2845"/>
      <c r="EYI47" s="2842"/>
      <c r="EYJ47" s="2842"/>
      <c r="EYK47" s="2843"/>
      <c r="EYL47" s="2843"/>
      <c r="EYM47" s="2844"/>
      <c r="EYN47" s="2845"/>
      <c r="EYO47" s="2842"/>
      <c r="EYP47" s="2842"/>
      <c r="EYQ47" s="2843"/>
      <c r="EYR47" s="2843"/>
      <c r="EYS47" s="2844"/>
      <c r="EYT47" s="2845"/>
      <c r="EYU47" s="2842"/>
      <c r="EYV47" s="2842"/>
      <c r="EYW47" s="2843"/>
      <c r="EYX47" s="2843"/>
      <c r="EYY47" s="2844"/>
      <c r="EYZ47" s="2845"/>
      <c r="EZA47" s="2842"/>
      <c r="EZB47" s="2842"/>
      <c r="EZC47" s="2843"/>
      <c r="EZD47" s="2843"/>
      <c r="EZE47" s="2844"/>
      <c r="EZF47" s="2845"/>
      <c r="EZG47" s="2842"/>
      <c r="EZH47" s="2842"/>
      <c r="EZI47" s="2843"/>
      <c r="EZJ47" s="2843"/>
      <c r="EZK47" s="2844"/>
      <c r="EZL47" s="2845"/>
      <c r="EZM47" s="2842"/>
      <c r="EZN47" s="2842"/>
      <c r="EZO47" s="2843"/>
      <c r="EZP47" s="2843"/>
      <c r="EZQ47" s="2844"/>
      <c r="EZR47" s="2845"/>
      <c r="EZS47" s="2842"/>
      <c r="EZT47" s="2842"/>
      <c r="EZU47" s="2843"/>
      <c r="EZV47" s="2843"/>
      <c r="EZW47" s="2844"/>
      <c r="EZX47" s="2845"/>
      <c r="EZY47" s="2842"/>
      <c r="EZZ47" s="2842"/>
      <c r="FAA47" s="2843"/>
      <c r="FAB47" s="2843"/>
      <c r="FAC47" s="2844"/>
      <c r="FAD47" s="2845"/>
      <c r="FAE47" s="2842"/>
      <c r="FAF47" s="2842"/>
      <c r="FAG47" s="2843"/>
      <c r="FAH47" s="2843"/>
      <c r="FAI47" s="2844"/>
      <c r="FAJ47" s="2845"/>
      <c r="FAK47" s="2842"/>
      <c r="FAL47" s="2842"/>
      <c r="FAM47" s="2843"/>
      <c r="FAN47" s="2843"/>
      <c r="FAO47" s="2844"/>
      <c r="FAP47" s="2845"/>
      <c r="FAQ47" s="2842"/>
      <c r="FAR47" s="2842"/>
      <c r="FAS47" s="2843"/>
      <c r="FAT47" s="2843"/>
      <c r="FAU47" s="2844"/>
      <c r="FAV47" s="2845"/>
      <c r="FAW47" s="2842"/>
      <c r="FAX47" s="2842"/>
      <c r="FAY47" s="2843"/>
      <c r="FAZ47" s="2843"/>
      <c r="FBA47" s="2844"/>
      <c r="FBB47" s="2845"/>
      <c r="FBC47" s="2842"/>
      <c r="FBD47" s="2842"/>
      <c r="FBE47" s="2843"/>
      <c r="FBF47" s="2843"/>
      <c r="FBG47" s="2844"/>
      <c r="FBH47" s="2845"/>
      <c r="FBI47" s="2842"/>
      <c r="FBJ47" s="2842"/>
      <c r="FBK47" s="2843"/>
      <c r="FBL47" s="2843"/>
      <c r="FBM47" s="2844"/>
      <c r="FBN47" s="2845"/>
      <c r="FBO47" s="2842"/>
      <c r="FBP47" s="2842"/>
      <c r="FBQ47" s="2843"/>
      <c r="FBR47" s="2843"/>
      <c r="FBS47" s="2844"/>
      <c r="FBT47" s="2845"/>
      <c r="FBU47" s="2842"/>
      <c r="FBV47" s="2842"/>
      <c r="FBW47" s="2843"/>
      <c r="FBX47" s="2843"/>
      <c r="FBY47" s="2844"/>
      <c r="FBZ47" s="2845"/>
      <c r="FCA47" s="2842"/>
      <c r="FCB47" s="2842"/>
      <c r="FCC47" s="2843"/>
      <c r="FCD47" s="2843"/>
      <c r="FCE47" s="2844"/>
      <c r="FCF47" s="2845"/>
      <c r="FCG47" s="2842"/>
      <c r="FCH47" s="2842"/>
      <c r="FCI47" s="2843"/>
      <c r="FCJ47" s="2843"/>
      <c r="FCK47" s="2844"/>
      <c r="FCL47" s="2845"/>
      <c r="FCM47" s="2842"/>
      <c r="FCN47" s="2842"/>
      <c r="FCO47" s="2843"/>
      <c r="FCP47" s="2843"/>
      <c r="FCQ47" s="2844"/>
      <c r="FCR47" s="2845"/>
      <c r="FCS47" s="2842"/>
      <c r="FCT47" s="2842"/>
      <c r="FCU47" s="2843"/>
      <c r="FCV47" s="2843"/>
      <c r="FCW47" s="2844"/>
      <c r="FCX47" s="2845"/>
      <c r="FCY47" s="2842"/>
      <c r="FCZ47" s="2842"/>
      <c r="FDA47" s="2843"/>
      <c r="FDB47" s="2843"/>
      <c r="FDC47" s="2844"/>
      <c r="FDD47" s="2845"/>
      <c r="FDE47" s="2842"/>
      <c r="FDF47" s="2842"/>
      <c r="FDG47" s="2843"/>
      <c r="FDH47" s="2843"/>
      <c r="FDI47" s="2844"/>
      <c r="FDJ47" s="2845"/>
      <c r="FDK47" s="2842"/>
      <c r="FDL47" s="2842"/>
      <c r="FDM47" s="2843"/>
      <c r="FDN47" s="2843"/>
      <c r="FDO47" s="2844"/>
      <c r="FDP47" s="2845"/>
      <c r="FDQ47" s="2842"/>
      <c r="FDR47" s="2842"/>
      <c r="FDS47" s="2843"/>
      <c r="FDT47" s="2843"/>
      <c r="FDU47" s="2844"/>
      <c r="FDV47" s="2845"/>
      <c r="FDW47" s="2842"/>
      <c r="FDX47" s="2842"/>
      <c r="FDY47" s="2843"/>
      <c r="FDZ47" s="2843"/>
      <c r="FEA47" s="2844"/>
      <c r="FEB47" s="2845"/>
      <c r="FEC47" s="2842"/>
      <c r="FED47" s="2842"/>
      <c r="FEE47" s="2843"/>
      <c r="FEF47" s="2843"/>
      <c r="FEG47" s="2844"/>
      <c r="FEH47" s="2845"/>
      <c r="FEI47" s="2842"/>
      <c r="FEJ47" s="2842"/>
      <c r="FEK47" s="2843"/>
      <c r="FEL47" s="2843"/>
      <c r="FEM47" s="2844"/>
      <c r="FEN47" s="2845"/>
      <c r="FEO47" s="2842"/>
      <c r="FEP47" s="2842"/>
      <c r="FEQ47" s="2843"/>
      <c r="FER47" s="2843"/>
      <c r="FES47" s="2844"/>
      <c r="FET47" s="2845"/>
      <c r="FEU47" s="2842"/>
      <c r="FEV47" s="2842"/>
      <c r="FEW47" s="2843"/>
      <c r="FEX47" s="2843"/>
      <c r="FEY47" s="2844"/>
      <c r="FEZ47" s="2845"/>
      <c r="FFA47" s="2842"/>
      <c r="FFB47" s="2842"/>
      <c r="FFC47" s="2843"/>
      <c r="FFD47" s="2843"/>
      <c r="FFE47" s="2844"/>
      <c r="FFF47" s="2845"/>
      <c r="FFG47" s="2842"/>
      <c r="FFH47" s="2842"/>
      <c r="FFI47" s="2843"/>
      <c r="FFJ47" s="2843"/>
      <c r="FFK47" s="2844"/>
      <c r="FFL47" s="2845"/>
      <c r="FFM47" s="2842"/>
      <c r="FFN47" s="2842"/>
      <c r="FFO47" s="2843"/>
      <c r="FFP47" s="2843"/>
      <c r="FFQ47" s="2844"/>
      <c r="FFR47" s="2845"/>
      <c r="FFS47" s="2842"/>
      <c r="FFT47" s="2842"/>
      <c r="FFU47" s="2843"/>
      <c r="FFV47" s="2843"/>
      <c r="FFW47" s="2844"/>
      <c r="FFX47" s="2845"/>
      <c r="FFY47" s="2842"/>
      <c r="FFZ47" s="2842"/>
      <c r="FGA47" s="2843"/>
      <c r="FGB47" s="2843"/>
      <c r="FGC47" s="2844"/>
      <c r="FGD47" s="2845"/>
      <c r="FGE47" s="2842"/>
      <c r="FGF47" s="2842"/>
      <c r="FGG47" s="2843"/>
      <c r="FGH47" s="2843"/>
      <c r="FGI47" s="2844"/>
      <c r="FGJ47" s="2845"/>
      <c r="FGK47" s="2842"/>
      <c r="FGL47" s="2842"/>
      <c r="FGM47" s="2843"/>
      <c r="FGN47" s="2843"/>
      <c r="FGO47" s="2844"/>
      <c r="FGP47" s="2845"/>
      <c r="FGQ47" s="2842"/>
      <c r="FGR47" s="2842"/>
      <c r="FGS47" s="2843"/>
      <c r="FGT47" s="2843"/>
      <c r="FGU47" s="2844"/>
      <c r="FGV47" s="2845"/>
      <c r="FGW47" s="2842"/>
      <c r="FGX47" s="2842"/>
      <c r="FGY47" s="2843"/>
      <c r="FGZ47" s="2843"/>
      <c r="FHA47" s="2844"/>
      <c r="FHB47" s="2845"/>
      <c r="FHC47" s="2842"/>
      <c r="FHD47" s="2842"/>
      <c r="FHE47" s="2843"/>
      <c r="FHF47" s="2843"/>
      <c r="FHG47" s="2844"/>
      <c r="FHH47" s="2845"/>
      <c r="FHI47" s="2842"/>
      <c r="FHJ47" s="2842"/>
      <c r="FHK47" s="2843"/>
      <c r="FHL47" s="2843"/>
      <c r="FHM47" s="2844"/>
      <c r="FHN47" s="2845"/>
      <c r="FHO47" s="2842"/>
      <c r="FHP47" s="2842"/>
      <c r="FHQ47" s="2843"/>
      <c r="FHR47" s="2843"/>
      <c r="FHS47" s="2844"/>
      <c r="FHT47" s="2845"/>
      <c r="FHU47" s="2842"/>
      <c r="FHV47" s="2842"/>
      <c r="FHW47" s="2843"/>
      <c r="FHX47" s="2843"/>
      <c r="FHY47" s="2844"/>
      <c r="FHZ47" s="2845"/>
      <c r="FIA47" s="2842"/>
      <c r="FIB47" s="2842"/>
      <c r="FIC47" s="2843"/>
      <c r="FID47" s="2843"/>
      <c r="FIE47" s="2844"/>
      <c r="FIF47" s="2845"/>
      <c r="FIG47" s="2842"/>
      <c r="FIH47" s="2842"/>
      <c r="FII47" s="2843"/>
      <c r="FIJ47" s="2843"/>
      <c r="FIK47" s="2844"/>
      <c r="FIL47" s="2845"/>
      <c r="FIM47" s="2842"/>
      <c r="FIN47" s="2842"/>
      <c r="FIO47" s="2843"/>
      <c r="FIP47" s="2843"/>
      <c r="FIQ47" s="2844"/>
      <c r="FIR47" s="2845"/>
      <c r="FIS47" s="2842"/>
      <c r="FIT47" s="2842"/>
      <c r="FIU47" s="2843"/>
      <c r="FIV47" s="2843"/>
      <c r="FIW47" s="2844"/>
      <c r="FIX47" s="2845"/>
      <c r="FIY47" s="2842"/>
      <c r="FIZ47" s="2842"/>
      <c r="FJA47" s="2843"/>
      <c r="FJB47" s="2843"/>
      <c r="FJC47" s="2844"/>
      <c r="FJD47" s="2845"/>
      <c r="FJE47" s="2842"/>
      <c r="FJF47" s="2842"/>
      <c r="FJG47" s="2843"/>
      <c r="FJH47" s="2843"/>
      <c r="FJI47" s="2844"/>
      <c r="FJJ47" s="2845"/>
      <c r="FJK47" s="2842"/>
      <c r="FJL47" s="2842"/>
      <c r="FJM47" s="2843"/>
      <c r="FJN47" s="2843"/>
      <c r="FJO47" s="2844"/>
      <c r="FJP47" s="2845"/>
      <c r="FJQ47" s="2842"/>
      <c r="FJR47" s="2842"/>
      <c r="FJS47" s="2843"/>
      <c r="FJT47" s="2843"/>
      <c r="FJU47" s="2844"/>
      <c r="FJV47" s="2845"/>
      <c r="FJW47" s="2842"/>
      <c r="FJX47" s="2842"/>
      <c r="FJY47" s="2843"/>
      <c r="FJZ47" s="2843"/>
      <c r="FKA47" s="2844"/>
      <c r="FKB47" s="2845"/>
      <c r="FKC47" s="2842"/>
      <c r="FKD47" s="2842"/>
      <c r="FKE47" s="2843"/>
      <c r="FKF47" s="2843"/>
      <c r="FKG47" s="2844"/>
      <c r="FKH47" s="2845"/>
      <c r="FKI47" s="2842"/>
      <c r="FKJ47" s="2842"/>
      <c r="FKK47" s="2843"/>
      <c r="FKL47" s="2843"/>
      <c r="FKM47" s="2844"/>
      <c r="FKN47" s="2845"/>
      <c r="FKO47" s="2842"/>
      <c r="FKP47" s="2842"/>
      <c r="FKQ47" s="2843"/>
      <c r="FKR47" s="2843"/>
      <c r="FKS47" s="2844"/>
      <c r="FKT47" s="2845"/>
      <c r="FKU47" s="2842"/>
      <c r="FKV47" s="2842"/>
      <c r="FKW47" s="2843"/>
      <c r="FKX47" s="2843"/>
      <c r="FKY47" s="2844"/>
      <c r="FKZ47" s="2845"/>
      <c r="FLA47" s="2842"/>
      <c r="FLB47" s="2842"/>
      <c r="FLC47" s="2843"/>
      <c r="FLD47" s="2843"/>
      <c r="FLE47" s="2844"/>
      <c r="FLF47" s="2845"/>
      <c r="FLG47" s="2842"/>
      <c r="FLH47" s="2842"/>
      <c r="FLI47" s="2843"/>
      <c r="FLJ47" s="2843"/>
      <c r="FLK47" s="2844"/>
      <c r="FLL47" s="2845"/>
      <c r="FLM47" s="2842"/>
      <c r="FLN47" s="2842"/>
      <c r="FLO47" s="2843"/>
      <c r="FLP47" s="2843"/>
      <c r="FLQ47" s="2844"/>
      <c r="FLR47" s="2845"/>
      <c r="FLS47" s="2842"/>
      <c r="FLT47" s="2842"/>
      <c r="FLU47" s="2843"/>
      <c r="FLV47" s="2843"/>
      <c r="FLW47" s="2844"/>
      <c r="FLX47" s="2845"/>
      <c r="FLY47" s="2842"/>
      <c r="FLZ47" s="2842"/>
      <c r="FMA47" s="2843"/>
      <c r="FMB47" s="2843"/>
      <c r="FMC47" s="2844"/>
      <c r="FMD47" s="2845"/>
      <c r="FME47" s="2842"/>
      <c r="FMF47" s="2842"/>
      <c r="FMG47" s="2843"/>
      <c r="FMH47" s="2843"/>
      <c r="FMI47" s="2844"/>
      <c r="FMJ47" s="2845"/>
      <c r="FMK47" s="2842"/>
      <c r="FML47" s="2842"/>
      <c r="FMM47" s="2843"/>
      <c r="FMN47" s="2843"/>
      <c r="FMO47" s="2844"/>
      <c r="FMP47" s="2845"/>
      <c r="FMQ47" s="2842"/>
      <c r="FMR47" s="2842"/>
      <c r="FMS47" s="2843"/>
      <c r="FMT47" s="2843"/>
      <c r="FMU47" s="2844"/>
      <c r="FMV47" s="2845"/>
      <c r="FMW47" s="2842"/>
      <c r="FMX47" s="2842"/>
      <c r="FMY47" s="2843"/>
      <c r="FMZ47" s="2843"/>
      <c r="FNA47" s="2844"/>
      <c r="FNB47" s="2845"/>
      <c r="FNC47" s="2842"/>
      <c r="FND47" s="2842"/>
      <c r="FNE47" s="2843"/>
      <c r="FNF47" s="2843"/>
      <c r="FNG47" s="2844"/>
      <c r="FNH47" s="2845"/>
      <c r="FNI47" s="2842"/>
      <c r="FNJ47" s="2842"/>
      <c r="FNK47" s="2843"/>
      <c r="FNL47" s="2843"/>
      <c r="FNM47" s="2844"/>
      <c r="FNN47" s="2845"/>
      <c r="FNO47" s="2842"/>
      <c r="FNP47" s="2842"/>
      <c r="FNQ47" s="2843"/>
      <c r="FNR47" s="2843"/>
      <c r="FNS47" s="2844"/>
      <c r="FNT47" s="2845"/>
      <c r="FNU47" s="2842"/>
      <c r="FNV47" s="2842"/>
      <c r="FNW47" s="2843"/>
      <c r="FNX47" s="2843"/>
      <c r="FNY47" s="2844"/>
      <c r="FNZ47" s="2845"/>
      <c r="FOA47" s="2842"/>
      <c r="FOB47" s="2842"/>
      <c r="FOC47" s="2843"/>
      <c r="FOD47" s="2843"/>
      <c r="FOE47" s="2844"/>
      <c r="FOF47" s="2845"/>
      <c r="FOG47" s="2842"/>
      <c r="FOH47" s="2842"/>
      <c r="FOI47" s="2843"/>
      <c r="FOJ47" s="2843"/>
      <c r="FOK47" s="2844"/>
      <c r="FOL47" s="2845"/>
      <c r="FOM47" s="2842"/>
      <c r="FON47" s="2842"/>
      <c r="FOO47" s="2843"/>
      <c r="FOP47" s="2843"/>
      <c r="FOQ47" s="2844"/>
      <c r="FOR47" s="2845"/>
      <c r="FOS47" s="2842"/>
      <c r="FOT47" s="2842"/>
      <c r="FOU47" s="2843"/>
      <c r="FOV47" s="2843"/>
      <c r="FOW47" s="2844"/>
      <c r="FOX47" s="2845"/>
      <c r="FOY47" s="2842"/>
      <c r="FOZ47" s="2842"/>
      <c r="FPA47" s="2843"/>
      <c r="FPB47" s="2843"/>
      <c r="FPC47" s="2844"/>
      <c r="FPD47" s="2845"/>
      <c r="FPE47" s="2842"/>
      <c r="FPF47" s="2842"/>
      <c r="FPG47" s="2843"/>
      <c r="FPH47" s="2843"/>
      <c r="FPI47" s="2844"/>
      <c r="FPJ47" s="2845"/>
      <c r="FPK47" s="2842"/>
      <c r="FPL47" s="2842"/>
      <c r="FPM47" s="2843"/>
      <c r="FPN47" s="2843"/>
      <c r="FPO47" s="2844"/>
      <c r="FPP47" s="2845"/>
      <c r="FPQ47" s="2842"/>
      <c r="FPR47" s="2842"/>
      <c r="FPS47" s="2843"/>
      <c r="FPT47" s="2843"/>
      <c r="FPU47" s="2844"/>
      <c r="FPV47" s="2845"/>
      <c r="FPW47" s="2842"/>
      <c r="FPX47" s="2842"/>
      <c r="FPY47" s="2843"/>
      <c r="FPZ47" s="2843"/>
      <c r="FQA47" s="2844"/>
      <c r="FQB47" s="2845"/>
      <c r="FQC47" s="2842"/>
      <c r="FQD47" s="2842"/>
      <c r="FQE47" s="2843"/>
      <c r="FQF47" s="2843"/>
      <c r="FQG47" s="2844"/>
      <c r="FQH47" s="2845"/>
      <c r="FQI47" s="2842"/>
      <c r="FQJ47" s="2842"/>
      <c r="FQK47" s="2843"/>
      <c r="FQL47" s="2843"/>
      <c r="FQM47" s="2844"/>
      <c r="FQN47" s="2845"/>
      <c r="FQO47" s="2842"/>
      <c r="FQP47" s="2842"/>
      <c r="FQQ47" s="2843"/>
      <c r="FQR47" s="2843"/>
      <c r="FQS47" s="2844"/>
      <c r="FQT47" s="2845"/>
      <c r="FQU47" s="2842"/>
      <c r="FQV47" s="2842"/>
      <c r="FQW47" s="2843"/>
      <c r="FQX47" s="2843"/>
      <c r="FQY47" s="2844"/>
      <c r="FQZ47" s="2845"/>
      <c r="FRA47" s="2842"/>
      <c r="FRB47" s="2842"/>
      <c r="FRC47" s="2843"/>
      <c r="FRD47" s="2843"/>
      <c r="FRE47" s="2844"/>
      <c r="FRF47" s="2845"/>
      <c r="FRG47" s="2842"/>
      <c r="FRH47" s="2842"/>
      <c r="FRI47" s="2843"/>
      <c r="FRJ47" s="2843"/>
      <c r="FRK47" s="2844"/>
      <c r="FRL47" s="2845"/>
      <c r="FRM47" s="2842"/>
      <c r="FRN47" s="2842"/>
      <c r="FRO47" s="2843"/>
      <c r="FRP47" s="2843"/>
      <c r="FRQ47" s="2844"/>
      <c r="FRR47" s="2845"/>
      <c r="FRS47" s="2842"/>
      <c r="FRT47" s="2842"/>
      <c r="FRU47" s="2843"/>
      <c r="FRV47" s="2843"/>
      <c r="FRW47" s="2844"/>
      <c r="FRX47" s="2845"/>
      <c r="FRY47" s="2842"/>
      <c r="FRZ47" s="2842"/>
      <c r="FSA47" s="2843"/>
      <c r="FSB47" s="2843"/>
      <c r="FSC47" s="2844"/>
      <c r="FSD47" s="2845"/>
      <c r="FSE47" s="2842"/>
      <c r="FSF47" s="2842"/>
      <c r="FSG47" s="2843"/>
      <c r="FSH47" s="2843"/>
      <c r="FSI47" s="2844"/>
      <c r="FSJ47" s="2845"/>
      <c r="FSK47" s="2842"/>
      <c r="FSL47" s="2842"/>
      <c r="FSM47" s="2843"/>
      <c r="FSN47" s="2843"/>
      <c r="FSO47" s="2844"/>
      <c r="FSP47" s="2845"/>
      <c r="FSQ47" s="2842"/>
      <c r="FSR47" s="2842"/>
      <c r="FSS47" s="2843"/>
      <c r="FST47" s="2843"/>
      <c r="FSU47" s="2844"/>
      <c r="FSV47" s="2845"/>
      <c r="FSW47" s="2842"/>
      <c r="FSX47" s="2842"/>
      <c r="FSY47" s="2843"/>
      <c r="FSZ47" s="2843"/>
      <c r="FTA47" s="2844"/>
      <c r="FTB47" s="2845"/>
      <c r="FTC47" s="2842"/>
      <c r="FTD47" s="2842"/>
      <c r="FTE47" s="2843"/>
      <c r="FTF47" s="2843"/>
      <c r="FTG47" s="2844"/>
      <c r="FTH47" s="2845"/>
      <c r="FTI47" s="2842"/>
      <c r="FTJ47" s="2842"/>
      <c r="FTK47" s="2843"/>
      <c r="FTL47" s="2843"/>
      <c r="FTM47" s="2844"/>
      <c r="FTN47" s="2845"/>
      <c r="FTO47" s="2842"/>
      <c r="FTP47" s="2842"/>
      <c r="FTQ47" s="2843"/>
      <c r="FTR47" s="2843"/>
      <c r="FTS47" s="2844"/>
      <c r="FTT47" s="2845"/>
      <c r="FTU47" s="2842"/>
      <c r="FTV47" s="2842"/>
      <c r="FTW47" s="2843"/>
      <c r="FTX47" s="2843"/>
      <c r="FTY47" s="2844"/>
      <c r="FTZ47" s="2845"/>
      <c r="FUA47" s="2842"/>
      <c r="FUB47" s="2842"/>
      <c r="FUC47" s="2843"/>
      <c r="FUD47" s="2843"/>
      <c r="FUE47" s="2844"/>
      <c r="FUF47" s="2845"/>
      <c r="FUG47" s="2842"/>
      <c r="FUH47" s="2842"/>
      <c r="FUI47" s="2843"/>
      <c r="FUJ47" s="2843"/>
      <c r="FUK47" s="2844"/>
      <c r="FUL47" s="2845"/>
      <c r="FUM47" s="2842"/>
      <c r="FUN47" s="2842"/>
      <c r="FUO47" s="2843"/>
      <c r="FUP47" s="2843"/>
      <c r="FUQ47" s="2844"/>
      <c r="FUR47" s="2845"/>
      <c r="FUS47" s="2842"/>
      <c r="FUT47" s="2842"/>
      <c r="FUU47" s="2843"/>
      <c r="FUV47" s="2843"/>
      <c r="FUW47" s="2844"/>
      <c r="FUX47" s="2845"/>
      <c r="FUY47" s="2842"/>
      <c r="FUZ47" s="2842"/>
      <c r="FVA47" s="2843"/>
      <c r="FVB47" s="2843"/>
      <c r="FVC47" s="2844"/>
      <c r="FVD47" s="2845"/>
      <c r="FVE47" s="2842"/>
      <c r="FVF47" s="2842"/>
      <c r="FVG47" s="2843"/>
      <c r="FVH47" s="2843"/>
      <c r="FVI47" s="2844"/>
      <c r="FVJ47" s="2845"/>
      <c r="FVK47" s="2842"/>
      <c r="FVL47" s="2842"/>
      <c r="FVM47" s="2843"/>
      <c r="FVN47" s="2843"/>
      <c r="FVO47" s="2844"/>
      <c r="FVP47" s="2845"/>
      <c r="FVQ47" s="2842"/>
      <c r="FVR47" s="2842"/>
      <c r="FVS47" s="2843"/>
      <c r="FVT47" s="2843"/>
      <c r="FVU47" s="2844"/>
      <c r="FVV47" s="2845"/>
      <c r="FVW47" s="2842"/>
      <c r="FVX47" s="2842"/>
      <c r="FVY47" s="2843"/>
      <c r="FVZ47" s="2843"/>
      <c r="FWA47" s="2844"/>
      <c r="FWB47" s="2845"/>
      <c r="FWC47" s="2842"/>
      <c r="FWD47" s="2842"/>
      <c r="FWE47" s="2843"/>
      <c r="FWF47" s="2843"/>
      <c r="FWG47" s="2844"/>
      <c r="FWH47" s="2845"/>
      <c r="FWI47" s="2842"/>
      <c r="FWJ47" s="2842"/>
      <c r="FWK47" s="2843"/>
      <c r="FWL47" s="2843"/>
      <c r="FWM47" s="2844"/>
      <c r="FWN47" s="2845"/>
      <c r="FWO47" s="2842"/>
      <c r="FWP47" s="2842"/>
      <c r="FWQ47" s="2843"/>
      <c r="FWR47" s="2843"/>
      <c r="FWS47" s="2844"/>
      <c r="FWT47" s="2845"/>
      <c r="FWU47" s="2842"/>
      <c r="FWV47" s="2842"/>
      <c r="FWW47" s="2843"/>
      <c r="FWX47" s="2843"/>
      <c r="FWY47" s="2844"/>
      <c r="FWZ47" s="2845"/>
      <c r="FXA47" s="2842"/>
      <c r="FXB47" s="2842"/>
      <c r="FXC47" s="2843"/>
      <c r="FXD47" s="2843"/>
      <c r="FXE47" s="2844"/>
      <c r="FXF47" s="2845"/>
      <c r="FXG47" s="2842"/>
      <c r="FXH47" s="2842"/>
      <c r="FXI47" s="2843"/>
      <c r="FXJ47" s="2843"/>
      <c r="FXK47" s="2844"/>
      <c r="FXL47" s="2845"/>
      <c r="FXM47" s="2842"/>
      <c r="FXN47" s="2842"/>
      <c r="FXO47" s="2843"/>
      <c r="FXP47" s="2843"/>
      <c r="FXQ47" s="2844"/>
      <c r="FXR47" s="2845"/>
      <c r="FXS47" s="2842"/>
      <c r="FXT47" s="2842"/>
      <c r="FXU47" s="2843"/>
      <c r="FXV47" s="2843"/>
      <c r="FXW47" s="2844"/>
      <c r="FXX47" s="2845"/>
      <c r="FXY47" s="2842"/>
      <c r="FXZ47" s="2842"/>
      <c r="FYA47" s="2843"/>
      <c r="FYB47" s="2843"/>
      <c r="FYC47" s="2844"/>
      <c r="FYD47" s="2845"/>
      <c r="FYE47" s="2842"/>
      <c r="FYF47" s="2842"/>
      <c r="FYG47" s="2843"/>
      <c r="FYH47" s="2843"/>
      <c r="FYI47" s="2844"/>
      <c r="FYJ47" s="2845"/>
      <c r="FYK47" s="2842"/>
      <c r="FYL47" s="2842"/>
      <c r="FYM47" s="2843"/>
      <c r="FYN47" s="2843"/>
      <c r="FYO47" s="2844"/>
      <c r="FYP47" s="2845"/>
      <c r="FYQ47" s="2842"/>
      <c r="FYR47" s="2842"/>
      <c r="FYS47" s="2843"/>
      <c r="FYT47" s="2843"/>
      <c r="FYU47" s="2844"/>
      <c r="FYV47" s="2845"/>
      <c r="FYW47" s="2842"/>
      <c r="FYX47" s="2842"/>
      <c r="FYY47" s="2843"/>
      <c r="FYZ47" s="2843"/>
      <c r="FZA47" s="2844"/>
      <c r="FZB47" s="2845"/>
      <c r="FZC47" s="2842"/>
      <c r="FZD47" s="2842"/>
      <c r="FZE47" s="2843"/>
      <c r="FZF47" s="2843"/>
      <c r="FZG47" s="2844"/>
      <c r="FZH47" s="2845"/>
      <c r="FZI47" s="2842"/>
      <c r="FZJ47" s="2842"/>
      <c r="FZK47" s="2843"/>
      <c r="FZL47" s="2843"/>
      <c r="FZM47" s="2844"/>
      <c r="FZN47" s="2845"/>
      <c r="FZO47" s="2842"/>
      <c r="FZP47" s="2842"/>
      <c r="FZQ47" s="2843"/>
      <c r="FZR47" s="2843"/>
      <c r="FZS47" s="2844"/>
      <c r="FZT47" s="2845"/>
      <c r="FZU47" s="2842"/>
      <c r="FZV47" s="2842"/>
      <c r="FZW47" s="2843"/>
      <c r="FZX47" s="2843"/>
      <c r="FZY47" s="2844"/>
      <c r="FZZ47" s="2845"/>
      <c r="GAA47" s="2842"/>
      <c r="GAB47" s="2842"/>
      <c r="GAC47" s="2843"/>
      <c r="GAD47" s="2843"/>
      <c r="GAE47" s="2844"/>
      <c r="GAF47" s="2845"/>
      <c r="GAG47" s="2842"/>
      <c r="GAH47" s="2842"/>
      <c r="GAI47" s="2843"/>
      <c r="GAJ47" s="2843"/>
      <c r="GAK47" s="2844"/>
      <c r="GAL47" s="2845"/>
      <c r="GAM47" s="2842"/>
      <c r="GAN47" s="2842"/>
      <c r="GAO47" s="2843"/>
      <c r="GAP47" s="2843"/>
      <c r="GAQ47" s="2844"/>
      <c r="GAR47" s="2845"/>
      <c r="GAS47" s="2842"/>
      <c r="GAT47" s="2842"/>
      <c r="GAU47" s="2843"/>
      <c r="GAV47" s="2843"/>
      <c r="GAW47" s="2844"/>
      <c r="GAX47" s="2845"/>
      <c r="GAY47" s="2842"/>
      <c r="GAZ47" s="2842"/>
      <c r="GBA47" s="2843"/>
      <c r="GBB47" s="2843"/>
      <c r="GBC47" s="2844"/>
      <c r="GBD47" s="2845"/>
      <c r="GBE47" s="2842"/>
      <c r="GBF47" s="2842"/>
      <c r="GBG47" s="2843"/>
      <c r="GBH47" s="2843"/>
      <c r="GBI47" s="2844"/>
      <c r="GBJ47" s="2845"/>
      <c r="GBK47" s="2842"/>
      <c r="GBL47" s="2842"/>
      <c r="GBM47" s="2843"/>
      <c r="GBN47" s="2843"/>
      <c r="GBO47" s="2844"/>
      <c r="GBP47" s="2845"/>
      <c r="GBQ47" s="2842"/>
      <c r="GBR47" s="2842"/>
      <c r="GBS47" s="2843"/>
      <c r="GBT47" s="2843"/>
      <c r="GBU47" s="2844"/>
      <c r="GBV47" s="2845"/>
      <c r="GBW47" s="2842"/>
      <c r="GBX47" s="2842"/>
      <c r="GBY47" s="2843"/>
      <c r="GBZ47" s="2843"/>
      <c r="GCA47" s="2844"/>
      <c r="GCB47" s="2845"/>
      <c r="GCC47" s="2842"/>
      <c r="GCD47" s="2842"/>
      <c r="GCE47" s="2843"/>
      <c r="GCF47" s="2843"/>
      <c r="GCG47" s="2844"/>
      <c r="GCH47" s="2845"/>
      <c r="GCI47" s="2842"/>
      <c r="GCJ47" s="2842"/>
      <c r="GCK47" s="2843"/>
      <c r="GCL47" s="2843"/>
      <c r="GCM47" s="2844"/>
      <c r="GCN47" s="2845"/>
      <c r="GCO47" s="2842"/>
      <c r="GCP47" s="2842"/>
      <c r="GCQ47" s="2843"/>
      <c r="GCR47" s="2843"/>
      <c r="GCS47" s="2844"/>
      <c r="GCT47" s="2845"/>
      <c r="GCU47" s="2842"/>
      <c r="GCV47" s="2842"/>
      <c r="GCW47" s="2843"/>
      <c r="GCX47" s="2843"/>
      <c r="GCY47" s="2844"/>
      <c r="GCZ47" s="2845"/>
      <c r="GDA47" s="2842"/>
      <c r="GDB47" s="2842"/>
      <c r="GDC47" s="2843"/>
      <c r="GDD47" s="2843"/>
      <c r="GDE47" s="2844"/>
      <c r="GDF47" s="2845"/>
      <c r="GDG47" s="2842"/>
      <c r="GDH47" s="2842"/>
      <c r="GDI47" s="2843"/>
      <c r="GDJ47" s="2843"/>
      <c r="GDK47" s="2844"/>
      <c r="GDL47" s="2845"/>
      <c r="GDM47" s="2842"/>
      <c r="GDN47" s="2842"/>
      <c r="GDO47" s="2843"/>
      <c r="GDP47" s="2843"/>
      <c r="GDQ47" s="2844"/>
      <c r="GDR47" s="2845"/>
      <c r="GDS47" s="2842"/>
      <c r="GDT47" s="2842"/>
      <c r="GDU47" s="2843"/>
      <c r="GDV47" s="2843"/>
      <c r="GDW47" s="2844"/>
      <c r="GDX47" s="2845"/>
      <c r="GDY47" s="2842"/>
      <c r="GDZ47" s="2842"/>
      <c r="GEA47" s="2843"/>
      <c r="GEB47" s="2843"/>
      <c r="GEC47" s="2844"/>
      <c r="GED47" s="2845"/>
      <c r="GEE47" s="2842"/>
      <c r="GEF47" s="2842"/>
      <c r="GEG47" s="2843"/>
      <c r="GEH47" s="2843"/>
      <c r="GEI47" s="2844"/>
      <c r="GEJ47" s="2845"/>
      <c r="GEK47" s="2842"/>
      <c r="GEL47" s="2842"/>
      <c r="GEM47" s="2843"/>
      <c r="GEN47" s="2843"/>
      <c r="GEO47" s="2844"/>
      <c r="GEP47" s="2845"/>
      <c r="GEQ47" s="2842"/>
      <c r="GER47" s="2842"/>
      <c r="GES47" s="2843"/>
      <c r="GET47" s="2843"/>
      <c r="GEU47" s="2844"/>
      <c r="GEV47" s="2845"/>
      <c r="GEW47" s="2842"/>
      <c r="GEX47" s="2842"/>
      <c r="GEY47" s="2843"/>
      <c r="GEZ47" s="2843"/>
      <c r="GFA47" s="2844"/>
      <c r="GFB47" s="2845"/>
      <c r="GFC47" s="2842"/>
      <c r="GFD47" s="2842"/>
      <c r="GFE47" s="2843"/>
      <c r="GFF47" s="2843"/>
      <c r="GFG47" s="2844"/>
      <c r="GFH47" s="2845"/>
      <c r="GFI47" s="2842"/>
      <c r="GFJ47" s="2842"/>
      <c r="GFK47" s="2843"/>
      <c r="GFL47" s="2843"/>
      <c r="GFM47" s="2844"/>
      <c r="GFN47" s="2845"/>
      <c r="GFO47" s="2842"/>
      <c r="GFP47" s="2842"/>
      <c r="GFQ47" s="2843"/>
      <c r="GFR47" s="2843"/>
      <c r="GFS47" s="2844"/>
      <c r="GFT47" s="2845"/>
      <c r="GFU47" s="2842"/>
      <c r="GFV47" s="2842"/>
      <c r="GFW47" s="2843"/>
      <c r="GFX47" s="2843"/>
      <c r="GFY47" s="2844"/>
      <c r="GFZ47" s="2845"/>
      <c r="GGA47" s="2842"/>
      <c r="GGB47" s="2842"/>
      <c r="GGC47" s="2843"/>
      <c r="GGD47" s="2843"/>
      <c r="GGE47" s="2844"/>
      <c r="GGF47" s="2845"/>
      <c r="GGG47" s="2842"/>
      <c r="GGH47" s="2842"/>
      <c r="GGI47" s="2843"/>
      <c r="GGJ47" s="2843"/>
      <c r="GGK47" s="2844"/>
      <c r="GGL47" s="2845"/>
      <c r="GGM47" s="2842"/>
      <c r="GGN47" s="2842"/>
      <c r="GGO47" s="2843"/>
      <c r="GGP47" s="2843"/>
      <c r="GGQ47" s="2844"/>
      <c r="GGR47" s="2845"/>
      <c r="GGS47" s="2842"/>
      <c r="GGT47" s="2842"/>
      <c r="GGU47" s="2843"/>
      <c r="GGV47" s="2843"/>
      <c r="GGW47" s="2844"/>
      <c r="GGX47" s="2845"/>
      <c r="GGY47" s="2842"/>
      <c r="GGZ47" s="2842"/>
      <c r="GHA47" s="2843"/>
      <c r="GHB47" s="2843"/>
      <c r="GHC47" s="2844"/>
      <c r="GHD47" s="2845"/>
      <c r="GHE47" s="2842"/>
      <c r="GHF47" s="2842"/>
      <c r="GHG47" s="2843"/>
      <c r="GHH47" s="2843"/>
      <c r="GHI47" s="2844"/>
      <c r="GHJ47" s="2845"/>
      <c r="GHK47" s="2842"/>
      <c r="GHL47" s="2842"/>
      <c r="GHM47" s="2843"/>
      <c r="GHN47" s="2843"/>
      <c r="GHO47" s="2844"/>
      <c r="GHP47" s="2845"/>
      <c r="GHQ47" s="2842"/>
      <c r="GHR47" s="2842"/>
      <c r="GHS47" s="2843"/>
      <c r="GHT47" s="2843"/>
      <c r="GHU47" s="2844"/>
      <c r="GHV47" s="2845"/>
      <c r="GHW47" s="2842"/>
      <c r="GHX47" s="2842"/>
      <c r="GHY47" s="2843"/>
      <c r="GHZ47" s="2843"/>
      <c r="GIA47" s="2844"/>
      <c r="GIB47" s="2845"/>
      <c r="GIC47" s="2842"/>
      <c r="GID47" s="2842"/>
      <c r="GIE47" s="2843"/>
      <c r="GIF47" s="2843"/>
      <c r="GIG47" s="2844"/>
      <c r="GIH47" s="2845"/>
      <c r="GII47" s="2842"/>
      <c r="GIJ47" s="2842"/>
      <c r="GIK47" s="2843"/>
      <c r="GIL47" s="2843"/>
      <c r="GIM47" s="2844"/>
      <c r="GIN47" s="2845"/>
      <c r="GIO47" s="2842"/>
      <c r="GIP47" s="2842"/>
      <c r="GIQ47" s="2843"/>
      <c r="GIR47" s="2843"/>
      <c r="GIS47" s="2844"/>
      <c r="GIT47" s="2845"/>
      <c r="GIU47" s="2842"/>
      <c r="GIV47" s="2842"/>
      <c r="GIW47" s="2843"/>
      <c r="GIX47" s="2843"/>
      <c r="GIY47" s="2844"/>
      <c r="GIZ47" s="2845"/>
      <c r="GJA47" s="2842"/>
      <c r="GJB47" s="2842"/>
      <c r="GJC47" s="2843"/>
      <c r="GJD47" s="2843"/>
      <c r="GJE47" s="2844"/>
      <c r="GJF47" s="2845"/>
      <c r="GJG47" s="2842"/>
      <c r="GJH47" s="2842"/>
      <c r="GJI47" s="2843"/>
      <c r="GJJ47" s="2843"/>
      <c r="GJK47" s="2844"/>
      <c r="GJL47" s="2845"/>
      <c r="GJM47" s="2842"/>
      <c r="GJN47" s="2842"/>
      <c r="GJO47" s="2843"/>
      <c r="GJP47" s="2843"/>
      <c r="GJQ47" s="2844"/>
      <c r="GJR47" s="2845"/>
      <c r="GJS47" s="2842"/>
      <c r="GJT47" s="2842"/>
      <c r="GJU47" s="2843"/>
      <c r="GJV47" s="2843"/>
      <c r="GJW47" s="2844"/>
      <c r="GJX47" s="2845"/>
      <c r="GJY47" s="2842"/>
      <c r="GJZ47" s="2842"/>
      <c r="GKA47" s="2843"/>
      <c r="GKB47" s="2843"/>
      <c r="GKC47" s="2844"/>
      <c r="GKD47" s="2845"/>
      <c r="GKE47" s="2842"/>
      <c r="GKF47" s="2842"/>
      <c r="GKG47" s="2843"/>
      <c r="GKH47" s="2843"/>
      <c r="GKI47" s="2844"/>
      <c r="GKJ47" s="2845"/>
      <c r="GKK47" s="2842"/>
      <c r="GKL47" s="2842"/>
      <c r="GKM47" s="2843"/>
      <c r="GKN47" s="2843"/>
      <c r="GKO47" s="2844"/>
      <c r="GKP47" s="2845"/>
      <c r="GKQ47" s="2842"/>
      <c r="GKR47" s="2842"/>
      <c r="GKS47" s="2843"/>
      <c r="GKT47" s="2843"/>
      <c r="GKU47" s="2844"/>
      <c r="GKV47" s="2845"/>
      <c r="GKW47" s="2842"/>
      <c r="GKX47" s="2842"/>
      <c r="GKY47" s="2843"/>
      <c r="GKZ47" s="2843"/>
      <c r="GLA47" s="2844"/>
      <c r="GLB47" s="2845"/>
      <c r="GLC47" s="2842"/>
      <c r="GLD47" s="2842"/>
      <c r="GLE47" s="2843"/>
      <c r="GLF47" s="2843"/>
      <c r="GLG47" s="2844"/>
      <c r="GLH47" s="2845"/>
      <c r="GLI47" s="2842"/>
      <c r="GLJ47" s="2842"/>
      <c r="GLK47" s="2843"/>
      <c r="GLL47" s="2843"/>
      <c r="GLM47" s="2844"/>
      <c r="GLN47" s="2845"/>
      <c r="GLO47" s="2842"/>
      <c r="GLP47" s="2842"/>
      <c r="GLQ47" s="2843"/>
      <c r="GLR47" s="2843"/>
      <c r="GLS47" s="2844"/>
      <c r="GLT47" s="2845"/>
      <c r="GLU47" s="2842"/>
      <c r="GLV47" s="2842"/>
      <c r="GLW47" s="2843"/>
      <c r="GLX47" s="2843"/>
      <c r="GLY47" s="2844"/>
      <c r="GLZ47" s="2845"/>
      <c r="GMA47" s="2842"/>
      <c r="GMB47" s="2842"/>
      <c r="GMC47" s="2843"/>
      <c r="GMD47" s="2843"/>
      <c r="GME47" s="2844"/>
      <c r="GMF47" s="2845"/>
      <c r="GMG47" s="2842"/>
      <c r="GMH47" s="2842"/>
      <c r="GMI47" s="2843"/>
      <c r="GMJ47" s="2843"/>
      <c r="GMK47" s="2844"/>
      <c r="GML47" s="2845"/>
      <c r="GMM47" s="2842"/>
      <c r="GMN47" s="2842"/>
      <c r="GMO47" s="2843"/>
      <c r="GMP47" s="2843"/>
      <c r="GMQ47" s="2844"/>
      <c r="GMR47" s="2845"/>
      <c r="GMS47" s="2842"/>
      <c r="GMT47" s="2842"/>
      <c r="GMU47" s="2843"/>
      <c r="GMV47" s="2843"/>
      <c r="GMW47" s="2844"/>
      <c r="GMX47" s="2845"/>
      <c r="GMY47" s="2842"/>
      <c r="GMZ47" s="2842"/>
      <c r="GNA47" s="2843"/>
      <c r="GNB47" s="2843"/>
      <c r="GNC47" s="2844"/>
      <c r="GND47" s="2845"/>
      <c r="GNE47" s="2842"/>
      <c r="GNF47" s="2842"/>
      <c r="GNG47" s="2843"/>
      <c r="GNH47" s="2843"/>
      <c r="GNI47" s="2844"/>
      <c r="GNJ47" s="2845"/>
      <c r="GNK47" s="2842"/>
      <c r="GNL47" s="2842"/>
      <c r="GNM47" s="2843"/>
      <c r="GNN47" s="2843"/>
      <c r="GNO47" s="2844"/>
      <c r="GNP47" s="2845"/>
      <c r="GNQ47" s="2842"/>
      <c r="GNR47" s="2842"/>
      <c r="GNS47" s="2843"/>
      <c r="GNT47" s="2843"/>
      <c r="GNU47" s="2844"/>
      <c r="GNV47" s="2845"/>
      <c r="GNW47" s="2842"/>
      <c r="GNX47" s="2842"/>
      <c r="GNY47" s="2843"/>
      <c r="GNZ47" s="2843"/>
      <c r="GOA47" s="2844"/>
      <c r="GOB47" s="2845"/>
      <c r="GOC47" s="2842"/>
      <c r="GOD47" s="2842"/>
      <c r="GOE47" s="2843"/>
      <c r="GOF47" s="2843"/>
      <c r="GOG47" s="2844"/>
      <c r="GOH47" s="2845"/>
      <c r="GOI47" s="2842"/>
      <c r="GOJ47" s="2842"/>
      <c r="GOK47" s="2843"/>
      <c r="GOL47" s="2843"/>
      <c r="GOM47" s="2844"/>
      <c r="GON47" s="2845"/>
      <c r="GOO47" s="2842"/>
      <c r="GOP47" s="2842"/>
      <c r="GOQ47" s="2843"/>
      <c r="GOR47" s="2843"/>
      <c r="GOS47" s="2844"/>
      <c r="GOT47" s="2845"/>
      <c r="GOU47" s="2842"/>
      <c r="GOV47" s="2842"/>
      <c r="GOW47" s="2843"/>
      <c r="GOX47" s="2843"/>
      <c r="GOY47" s="2844"/>
      <c r="GOZ47" s="2845"/>
      <c r="GPA47" s="2842"/>
      <c r="GPB47" s="2842"/>
      <c r="GPC47" s="2843"/>
      <c r="GPD47" s="2843"/>
      <c r="GPE47" s="2844"/>
      <c r="GPF47" s="2845"/>
      <c r="GPG47" s="2842"/>
      <c r="GPH47" s="2842"/>
      <c r="GPI47" s="2843"/>
      <c r="GPJ47" s="2843"/>
      <c r="GPK47" s="2844"/>
      <c r="GPL47" s="2845"/>
      <c r="GPM47" s="2842"/>
      <c r="GPN47" s="2842"/>
      <c r="GPO47" s="2843"/>
      <c r="GPP47" s="2843"/>
      <c r="GPQ47" s="2844"/>
      <c r="GPR47" s="2845"/>
      <c r="GPS47" s="2842"/>
      <c r="GPT47" s="2842"/>
      <c r="GPU47" s="2843"/>
      <c r="GPV47" s="2843"/>
      <c r="GPW47" s="2844"/>
      <c r="GPX47" s="2845"/>
      <c r="GPY47" s="2842"/>
      <c r="GPZ47" s="2842"/>
      <c r="GQA47" s="2843"/>
      <c r="GQB47" s="2843"/>
      <c r="GQC47" s="2844"/>
      <c r="GQD47" s="2845"/>
      <c r="GQE47" s="2842"/>
      <c r="GQF47" s="2842"/>
      <c r="GQG47" s="2843"/>
      <c r="GQH47" s="2843"/>
      <c r="GQI47" s="2844"/>
      <c r="GQJ47" s="2845"/>
      <c r="GQK47" s="2842"/>
      <c r="GQL47" s="2842"/>
      <c r="GQM47" s="2843"/>
      <c r="GQN47" s="2843"/>
      <c r="GQO47" s="2844"/>
      <c r="GQP47" s="2845"/>
      <c r="GQQ47" s="2842"/>
      <c r="GQR47" s="2842"/>
      <c r="GQS47" s="2843"/>
      <c r="GQT47" s="2843"/>
      <c r="GQU47" s="2844"/>
      <c r="GQV47" s="2845"/>
      <c r="GQW47" s="2842"/>
      <c r="GQX47" s="2842"/>
      <c r="GQY47" s="2843"/>
      <c r="GQZ47" s="2843"/>
      <c r="GRA47" s="2844"/>
      <c r="GRB47" s="2845"/>
      <c r="GRC47" s="2842"/>
      <c r="GRD47" s="2842"/>
      <c r="GRE47" s="2843"/>
      <c r="GRF47" s="2843"/>
      <c r="GRG47" s="2844"/>
      <c r="GRH47" s="2845"/>
      <c r="GRI47" s="2842"/>
      <c r="GRJ47" s="2842"/>
      <c r="GRK47" s="2843"/>
      <c r="GRL47" s="2843"/>
      <c r="GRM47" s="2844"/>
      <c r="GRN47" s="2845"/>
      <c r="GRO47" s="2842"/>
      <c r="GRP47" s="2842"/>
      <c r="GRQ47" s="2843"/>
      <c r="GRR47" s="2843"/>
      <c r="GRS47" s="2844"/>
      <c r="GRT47" s="2845"/>
      <c r="GRU47" s="2842"/>
      <c r="GRV47" s="2842"/>
      <c r="GRW47" s="2843"/>
      <c r="GRX47" s="2843"/>
      <c r="GRY47" s="2844"/>
      <c r="GRZ47" s="2845"/>
      <c r="GSA47" s="2842"/>
      <c r="GSB47" s="2842"/>
      <c r="GSC47" s="2843"/>
      <c r="GSD47" s="2843"/>
      <c r="GSE47" s="2844"/>
      <c r="GSF47" s="2845"/>
      <c r="GSG47" s="2842"/>
      <c r="GSH47" s="2842"/>
      <c r="GSI47" s="2843"/>
      <c r="GSJ47" s="2843"/>
      <c r="GSK47" s="2844"/>
      <c r="GSL47" s="2845"/>
      <c r="GSM47" s="2842"/>
      <c r="GSN47" s="2842"/>
      <c r="GSO47" s="2843"/>
      <c r="GSP47" s="2843"/>
      <c r="GSQ47" s="2844"/>
      <c r="GSR47" s="2845"/>
      <c r="GSS47" s="2842"/>
      <c r="GST47" s="2842"/>
      <c r="GSU47" s="2843"/>
      <c r="GSV47" s="2843"/>
      <c r="GSW47" s="2844"/>
      <c r="GSX47" s="2845"/>
      <c r="GSY47" s="2842"/>
      <c r="GSZ47" s="2842"/>
      <c r="GTA47" s="2843"/>
      <c r="GTB47" s="2843"/>
      <c r="GTC47" s="2844"/>
      <c r="GTD47" s="2845"/>
      <c r="GTE47" s="2842"/>
      <c r="GTF47" s="2842"/>
      <c r="GTG47" s="2843"/>
      <c r="GTH47" s="2843"/>
      <c r="GTI47" s="2844"/>
      <c r="GTJ47" s="2845"/>
      <c r="GTK47" s="2842"/>
      <c r="GTL47" s="2842"/>
      <c r="GTM47" s="2843"/>
      <c r="GTN47" s="2843"/>
      <c r="GTO47" s="2844"/>
      <c r="GTP47" s="2845"/>
      <c r="GTQ47" s="2842"/>
      <c r="GTR47" s="2842"/>
      <c r="GTS47" s="2843"/>
      <c r="GTT47" s="2843"/>
      <c r="GTU47" s="2844"/>
      <c r="GTV47" s="2845"/>
      <c r="GTW47" s="2842"/>
      <c r="GTX47" s="2842"/>
      <c r="GTY47" s="2843"/>
      <c r="GTZ47" s="2843"/>
      <c r="GUA47" s="2844"/>
      <c r="GUB47" s="2845"/>
      <c r="GUC47" s="2842"/>
      <c r="GUD47" s="2842"/>
      <c r="GUE47" s="2843"/>
      <c r="GUF47" s="2843"/>
      <c r="GUG47" s="2844"/>
      <c r="GUH47" s="2845"/>
      <c r="GUI47" s="2842"/>
      <c r="GUJ47" s="2842"/>
      <c r="GUK47" s="2843"/>
      <c r="GUL47" s="2843"/>
      <c r="GUM47" s="2844"/>
      <c r="GUN47" s="2845"/>
      <c r="GUO47" s="2842"/>
      <c r="GUP47" s="2842"/>
      <c r="GUQ47" s="2843"/>
      <c r="GUR47" s="2843"/>
      <c r="GUS47" s="2844"/>
      <c r="GUT47" s="2845"/>
      <c r="GUU47" s="2842"/>
      <c r="GUV47" s="2842"/>
      <c r="GUW47" s="2843"/>
      <c r="GUX47" s="2843"/>
      <c r="GUY47" s="2844"/>
      <c r="GUZ47" s="2845"/>
      <c r="GVA47" s="2842"/>
      <c r="GVB47" s="2842"/>
      <c r="GVC47" s="2843"/>
      <c r="GVD47" s="2843"/>
      <c r="GVE47" s="2844"/>
      <c r="GVF47" s="2845"/>
      <c r="GVG47" s="2842"/>
      <c r="GVH47" s="2842"/>
      <c r="GVI47" s="2843"/>
      <c r="GVJ47" s="2843"/>
      <c r="GVK47" s="2844"/>
      <c r="GVL47" s="2845"/>
      <c r="GVM47" s="2842"/>
      <c r="GVN47" s="2842"/>
      <c r="GVO47" s="2843"/>
      <c r="GVP47" s="2843"/>
      <c r="GVQ47" s="2844"/>
      <c r="GVR47" s="2845"/>
      <c r="GVS47" s="2842"/>
      <c r="GVT47" s="2842"/>
      <c r="GVU47" s="2843"/>
      <c r="GVV47" s="2843"/>
      <c r="GVW47" s="2844"/>
      <c r="GVX47" s="2845"/>
      <c r="GVY47" s="2842"/>
      <c r="GVZ47" s="2842"/>
      <c r="GWA47" s="2843"/>
      <c r="GWB47" s="2843"/>
      <c r="GWC47" s="2844"/>
      <c r="GWD47" s="2845"/>
      <c r="GWE47" s="2842"/>
      <c r="GWF47" s="2842"/>
      <c r="GWG47" s="2843"/>
      <c r="GWH47" s="2843"/>
      <c r="GWI47" s="2844"/>
      <c r="GWJ47" s="2845"/>
      <c r="GWK47" s="2842"/>
      <c r="GWL47" s="2842"/>
      <c r="GWM47" s="2843"/>
      <c r="GWN47" s="2843"/>
      <c r="GWO47" s="2844"/>
      <c r="GWP47" s="2845"/>
      <c r="GWQ47" s="2842"/>
      <c r="GWR47" s="2842"/>
      <c r="GWS47" s="2843"/>
      <c r="GWT47" s="2843"/>
      <c r="GWU47" s="2844"/>
      <c r="GWV47" s="2845"/>
      <c r="GWW47" s="2842"/>
      <c r="GWX47" s="2842"/>
      <c r="GWY47" s="2843"/>
      <c r="GWZ47" s="2843"/>
      <c r="GXA47" s="2844"/>
      <c r="GXB47" s="2845"/>
      <c r="GXC47" s="2842"/>
      <c r="GXD47" s="2842"/>
      <c r="GXE47" s="2843"/>
      <c r="GXF47" s="2843"/>
      <c r="GXG47" s="2844"/>
      <c r="GXH47" s="2845"/>
      <c r="GXI47" s="2842"/>
      <c r="GXJ47" s="2842"/>
      <c r="GXK47" s="2843"/>
      <c r="GXL47" s="2843"/>
      <c r="GXM47" s="2844"/>
      <c r="GXN47" s="2845"/>
      <c r="GXO47" s="2842"/>
      <c r="GXP47" s="2842"/>
      <c r="GXQ47" s="2843"/>
      <c r="GXR47" s="2843"/>
      <c r="GXS47" s="2844"/>
      <c r="GXT47" s="2845"/>
      <c r="GXU47" s="2842"/>
      <c r="GXV47" s="2842"/>
      <c r="GXW47" s="2843"/>
      <c r="GXX47" s="2843"/>
      <c r="GXY47" s="2844"/>
      <c r="GXZ47" s="2845"/>
      <c r="GYA47" s="2842"/>
      <c r="GYB47" s="2842"/>
      <c r="GYC47" s="2843"/>
      <c r="GYD47" s="2843"/>
      <c r="GYE47" s="2844"/>
      <c r="GYF47" s="2845"/>
      <c r="GYG47" s="2842"/>
      <c r="GYH47" s="2842"/>
      <c r="GYI47" s="2843"/>
      <c r="GYJ47" s="2843"/>
      <c r="GYK47" s="2844"/>
      <c r="GYL47" s="2845"/>
      <c r="GYM47" s="2842"/>
      <c r="GYN47" s="2842"/>
      <c r="GYO47" s="2843"/>
      <c r="GYP47" s="2843"/>
      <c r="GYQ47" s="2844"/>
      <c r="GYR47" s="2845"/>
      <c r="GYS47" s="2842"/>
      <c r="GYT47" s="2842"/>
      <c r="GYU47" s="2843"/>
      <c r="GYV47" s="2843"/>
      <c r="GYW47" s="2844"/>
      <c r="GYX47" s="2845"/>
      <c r="GYY47" s="2842"/>
      <c r="GYZ47" s="2842"/>
      <c r="GZA47" s="2843"/>
      <c r="GZB47" s="2843"/>
      <c r="GZC47" s="2844"/>
      <c r="GZD47" s="2845"/>
      <c r="GZE47" s="2842"/>
      <c r="GZF47" s="2842"/>
      <c r="GZG47" s="2843"/>
      <c r="GZH47" s="2843"/>
      <c r="GZI47" s="2844"/>
      <c r="GZJ47" s="2845"/>
      <c r="GZK47" s="2842"/>
      <c r="GZL47" s="2842"/>
      <c r="GZM47" s="2843"/>
      <c r="GZN47" s="2843"/>
      <c r="GZO47" s="2844"/>
      <c r="GZP47" s="2845"/>
      <c r="GZQ47" s="2842"/>
      <c r="GZR47" s="2842"/>
      <c r="GZS47" s="2843"/>
      <c r="GZT47" s="2843"/>
      <c r="GZU47" s="2844"/>
      <c r="GZV47" s="2845"/>
      <c r="GZW47" s="2842"/>
      <c r="GZX47" s="2842"/>
      <c r="GZY47" s="2843"/>
      <c r="GZZ47" s="2843"/>
      <c r="HAA47" s="2844"/>
      <c r="HAB47" s="2845"/>
      <c r="HAC47" s="2842"/>
      <c r="HAD47" s="2842"/>
      <c r="HAE47" s="2843"/>
      <c r="HAF47" s="2843"/>
      <c r="HAG47" s="2844"/>
      <c r="HAH47" s="2845"/>
      <c r="HAI47" s="2842"/>
      <c r="HAJ47" s="2842"/>
      <c r="HAK47" s="2843"/>
      <c r="HAL47" s="2843"/>
      <c r="HAM47" s="2844"/>
      <c r="HAN47" s="2845"/>
      <c r="HAO47" s="2842"/>
      <c r="HAP47" s="2842"/>
      <c r="HAQ47" s="2843"/>
      <c r="HAR47" s="2843"/>
      <c r="HAS47" s="2844"/>
      <c r="HAT47" s="2845"/>
      <c r="HAU47" s="2842"/>
      <c r="HAV47" s="2842"/>
      <c r="HAW47" s="2843"/>
      <c r="HAX47" s="2843"/>
      <c r="HAY47" s="2844"/>
      <c r="HAZ47" s="2845"/>
      <c r="HBA47" s="2842"/>
      <c r="HBB47" s="2842"/>
      <c r="HBC47" s="2843"/>
      <c r="HBD47" s="2843"/>
      <c r="HBE47" s="2844"/>
      <c r="HBF47" s="2845"/>
      <c r="HBG47" s="2842"/>
      <c r="HBH47" s="2842"/>
      <c r="HBI47" s="2843"/>
      <c r="HBJ47" s="2843"/>
      <c r="HBK47" s="2844"/>
      <c r="HBL47" s="2845"/>
      <c r="HBM47" s="2842"/>
      <c r="HBN47" s="2842"/>
      <c r="HBO47" s="2843"/>
      <c r="HBP47" s="2843"/>
      <c r="HBQ47" s="2844"/>
      <c r="HBR47" s="2845"/>
      <c r="HBS47" s="2842"/>
      <c r="HBT47" s="2842"/>
      <c r="HBU47" s="2843"/>
      <c r="HBV47" s="2843"/>
      <c r="HBW47" s="2844"/>
      <c r="HBX47" s="2845"/>
      <c r="HBY47" s="2842"/>
      <c r="HBZ47" s="2842"/>
      <c r="HCA47" s="2843"/>
      <c r="HCB47" s="2843"/>
      <c r="HCC47" s="2844"/>
      <c r="HCD47" s="2845"/>
      <c r="HCE47" s="2842"/>
      <c r="HCF47" s="2842"/>
      <c r="HCG47" s="2843"/>
      <c r="HCH47" s="2843"/>
      <c r="HCI47" s="2844"/>
      <c r="HCJ47" s="2845"/>
      <c r="HCK47" s="2842"/>
      <c r="HCL47" s="2842"/>
      <c r="HCM47" s="2843"/>
      <c r="HCN47" s="2843"/>
      <c r="HCO47" s="2844"/>
      <c r="HCP47" s="2845"/>
      <c r="HCQ47" s="2842"/>
      <c r="HCR47" s="2842"/>
      <c r="HCS47" s="2843"/>
      <c r="HCT47" s="2843"/>
      <c r="HCU47" s="2844"/>
      <c r="HCV47" s="2845"/>
      <c r="HCW47" s="2842"/>
      <c r="HCX47" s="2842"/>
      <c r="HCY47" s="2843"/>
      <c r="HCZ47" s="2843"/>
      <c r="HDA47" s="2844"/>
      <c r="HDB47" s="2845"/>
      <c r="HDC47" s="2842"/>
      <c r="HDD47" s="2842"/>
      <c r="HDE47" s="2843"/>
      <c r="HDF47" s="2843"/>
      <c r="HDG47" s="2844"/>
      <c r="HDH47" s="2845"/>
      <c r="HDI47" s="2842"/>
      <c r="HDJ47" s="2842"/>
      <c r="HDK47" s="2843"/>
      <c r="HDL47" s="2843"/>
      <c r="HDM47" s="2844"/>
      <c r="HDN47" s="2845"/>
      <c r="HDO47" s="2842"/>
      <c r="HDP47" s="2842"/>
      <c r="HDQ47" s="2843"/>
      <c r="HDR47" s="2843"/>
      <c r="HDS47" s="2844"/>
      <c r="HDT47" s="2845"/>
      <c r="HDU47" s="2842"/>
      <c r="HDV47" s="2842"/>
      <c r="HDW47" s="2843"/>
      <c r="HDX47" s="2843"/>
      <c r="HDY47" s="2844"/>
      <c r="HDZ47" s="2845"/>
      <c r="HEA47" s="2842"/>
      <c r="HEB47" s="2842"/>
      <c r="HEC47" s="2843"/>
      <c r="HED47" s="2843"/>
      <c r="HEE47" s="2844"/>
      <c r="HEF47" s="2845"/>
      <c r="HEG47" s="2842"/>
      <c r="HEH47" s="2842"/>
      <c r="HEI47" s="2843"/>
      <c r="HEJ47" s="2843"/>
      <c r="HEK47" s="2844"/>
      <c r="HEL47" s="2845"/>
      <c r="HEM47" s="2842"/>
      <c r="HEN47" s="2842"/>
      <c r="HEO47" s="2843"/>
      <c r="HEP47" s="2843"/>
      <c r="HEQ47" s="2844"/>
      <c r="HER47" s="2845"/>
      <c r="HES47" s="2842"/>
      <c r="HET47" s="2842"/>
      <c r="HEU47" s="2843"/>
      <c r="HEV47" s="2843"/>
      <c r="HEW47" s="2844"/>
      <c r="HEX47" s="2845"/>
      <c r="HEY47" s="2842"/>
      <c r="HEZ47" s="2842"/>
      <c r="HFA47" s="2843"/>
      <c r="HFB47" s="2843"/>
      <c r="HFC47" s="2844"/>
      <c r="HFD47" s="2845"/>
      <c r="HFE47" s="2842"/>
      <c r="HFF47" s="2842"/>
      <c r="HFG47" s="2843"/>
      <c r="HFH47" s="2843"/>
      <c r="HFI47" s="2844"/>
      <c r="HFJ47" s="2845"/>
      <c r="HFK47" s="2842"/>
      <c r="HFL47" s="2842"/>
      <c r="HFM47" s="2843"/>
      <c r="HFN47" s="2843"/>
      <c r="HFO47" s="2844"/>
      <c r="HFP47" s="2845"/>
      <c r="HFQ47" s="2842"/>
      <c r="HFR47" s="2842"/>
      <c r="HFS47" s="2843"/>
      <c r="HFT47" s="2843"/>
      <c r="HFU47" s="2844"/>
      <c r="HFV47" s="2845"/>
      <c r="HFW47" s="2842"/>
      <c r="HFX47" s="2842"/>
      <c r="HFY47" s="2843"/>
      <c r="HFZ47" s="2843"/>
      <c r="HGA47" s="2844"/>
      <c r="HGB47" s="2845"/>
      <c r="HGC47" s="2842"/>
      <c r="HGD47" s="2842"/>
      <c r="HGE47" s="2843"/>
      <c r="HGF47" s="2843"/>
      <c r="HGG47" s="2844"/>
      <c r="HGH47" s="2845"/>
      <c r="HGI47" s="2842"/>
      <c r="HGJ47" s="2842"/>
      <c r="HGK47" s="2843"/>
      <c r="HGL47" s="2843"/>
      <c r="HGM47" s="2844"/>
      <c r="HGN47" s="2845"/>
      <c r="HGO47" s="2842"/>
      <c r="HGP47" s="2842"/>
      <c r="HGQ47" s="2843"/>
      <c r="HGR47" s="2843"/>
      <c r="HGS47" s="2844"/>
      <c r="HGT47" s="2845"/>
      <c r="HGU47" s="2842"/>
      <c r="HGV47" s="2842"/>
      <c r="HGW47" s="2843"/>
      <c r="HGX47" s="2843"/>
      <c r="HGY47" s="2844"/>
      <c r="HGZ47" s="2845"/>
      <c r="HHA47" s="2842"/>
      <c r="HHB47" s="2842"/>
      <c r="HHC47" s="2843"/>
      <c r="HHD47" s="2843"/>
      <c r="HHE47" s="2844"/>
      <c r="HHF47" s="2845"/>
      <c r="HHG47" s="2842"/>
      <c r="HHH47" s="2842"/>
      <c r="HHI47" s="2843"/>
      <c r="HHJ47" s="2843"/>
      <c r="HHK47" s="2844"/>
      <c r="HHL47" s="2845"/>
      <c r="HHM47" s="2842"/>
      <c r="HHN47" s="2842"/>
      <c r="HHO47" s="2843"/>
      <c r="HHP47" s="2843"/>
      <c r="HHQ47" s="2844"/>
      <c r="HHR47" s="2845"/>
      <c r="HHS47" s="2842"/>
      <c r="HHT47" s="2842"/>
      <c r="HHU47" s="2843"/>
      <c r="HHV47" s="2843"/>
      <c r="HHW47" s="2844"/>
      <c r="HHX47" s="2845"/>
      <c r="HHY47" s="2842"/>
      <c r="HHZ47" s="2842"/>
      <c r="HIA47" s="2843"/>
      <c r="HIB47" s="2843"/>
      <c r="HIC47" s="2844"/>
      <c r="HID47" s="2845"/>
      <c r="HIE47" s="2842"/>
      <c r="HIF47" s="2842"/>
      <c r="HIG47" s="2843"/>
      <c r="HIH47" s="2843"/>
      <c r="HII47" s="2844"/>
      <c r="HIJ47" s="2845"/>
      <c r="HIK47" s="2842"/>
      <c r="HIL47" s="2842"/>
      <c r="HIM47" s="2843"/>
      <c r="HIN47" s="2843"/>
      <c r="HIO47" s="2844"/>
      <c r="HIP47" s="2845"/>
      <c r="HIQ47" s="2842"/>
      <c r="HIR47" s="2842"/>
      <c r="HIS47" s="2843"/>
      <c r="HIT47" s="2843"/>
      <c r="HIU47" s="2844"/>
      <c r="HIV47" s="2845"/>
      <c r="HIW47" s="2842"/>
      <c r="HIX47" s="2842"/>
      <c r="HIY47" s="2843"/>
      <c r="HIZ47" s="2843"/>
      <c r="HJA47" s="2844"/>
      <c r="HJB47" s="2845"/>
      <c r="HJC47" s="2842"/>
      <c r="HJD47" s="2842"/>
      <c r="HJE47" s="2843"/>
      <c r="HJF47" s="2843"/>
      <c r="HJG47" s="2844"/>
      <c r="HJH47" s="2845"/>
      <c r="HJI47" s="2842"/>
      <c r="HJJ47" s="2842"/>
      <c r="HJK47" s="2843"/>
      <c r="HJL47" s="2843"/>
      <c r="HJM47" s="2844"/>
      <c r="HJN47" s="2845"/>
      <c r="HJO47" s="2842"/>
      <c r="HJP47" s="2842"/>
      <c r="HJQ47" s="2843"/>
      <c r="HJR47" s="2843"/>
      <c r="HJS47" s="2844"/>
      <c r="HJT47" s="2845"/>
      <c r="HJU47" s="2842"/>
      <c r="HJV47" s="2842"/>
      <c r="HJW47" s="2843"/>
      <c r="HJX47" s="2843"/>
      <c r="HJY47" s="2844"/>
      <c r="HJZ47" s="2845"/>
      <c r="HKA47" s="2842"/>
      <c r="HKB47" s="2842"/>
      <c r="HKC47" s="2843"/>
      <c r="HKD47" s="2843"/>
      <c r="HKE47" s="2844"/>
      <c r="HKF47" s="2845"/>
      <c r="HKG47" s="2842"/>
      <c r="HKH47" s="2842"/>
      <c r="HKI47" s="2843"/>
      <c r="HKJ47" s="2843"/>
      <c r="HKK47" s="2844"/>
      <c r="HKL47" s="2845"/>
      <c r="HKM47" s="2842"/>
      <c r="HKN47" s="2842"/>
      <c r="HKO47" s="2843"/>
      <c r="HKP47" s="2843"/>
      <c r="HKQ47" s="2844"/>
      <c r="HKR47" s="2845"/>
      <c r="HKS47" s="2842"/>
      <c r="HKT47" s="2842"/>
      <c r="HKU47" s="2843"/>
      <c r="HKV47" s="2843"/>
      <c r="HKW47" s="2844"/>
      <c r="HKX47" s="2845"/>
      <c r="HKY47" s="2842"/>
      <c r="HKZ47" s="2842"/>
      <c r="HLA47" s="2843"/>
      <c r="HLB47" s="2843"/>
      <c r="HLC47" s="2844"/>
      <c r="HLD47" s="2845"/>
      <c r="HLE47" s="2842"/>
      <c r="HLF47" s="2842"/>
      <c r="HLG47" s="2843"/>
      <c r="HLH47" s="2843"/>
      <c r="HLI47" s="2844"/>
      <c r="HLJ47" s="2845"/>
      <c r="HLK47" s="2842"/>
      <c r="HLL47" s="2842"/>
      <c r="HLM47" s="2843"/>
      <c r="HLN47" s="2843"/>
      <c r="HLO47" s="2844"/>
      <c r="HLP47" s="2845"/>
      <c r="HLQ47" s="2842"/>
      <c r="HLR47" s="2842"/>
      <c r="HLS47" s="2843"/>
      <c r="HLT47" s="2843"/>
      <c r="HLU47" s="2844"/>
      <c r="HLV47" s="2845"/>
      <c r="HLW47" s="2842"/>
      <c r="HLX47" s="2842"/>
      <c r="HLY47" s="2843"/>
      <c r="HLZ47" s="2843"/>
      <c r="HMA47" s="2844"/>
      <c r="HMB47" s="2845"/>
      <c r="HMC47" s="2842"/>
      <c r="HMD47" s="2842"/>
      <c r="HME47" s="2843"/>
      <c r="HMF47" s="2843"/>
      <c r="HMG47" s="2844"/>
      <c r="HMH47" s="2845"/>
      <c r="HMI47" s="2842"/>
      <c r="HMJ47" s="2842"/>
      <c r="HMK47" s="2843"/>
      <c r="HML47" s="2843"/>
      <c r="HMM47" s="2844"/>
      <c r="HMN47" s="2845"/>
      <c r="HMO47" s="2842"/>
      <c r="HMP47" s="2842"/>
      <c r="HMQ47" s="2843"/>
      <c r="HMR47" s="2843"/>
      <c r="HMS47" s="2844"/>
      <c r="HMT47" s="2845"/>
      <c r="HMU47" s="2842"/>
      <c r="HMV47" s="2842"/>
      <c r="HMW47" s="2843"/>
      <c r="HMX47" s="2843"/>
      <c r="HMY47" s="2844"/>
      <c r="HMZ47" s="2845"/>
      <c r="HNA47" s="2842"/>
      <c r="HNB47" s="2842"/>
      <c r="HNC47" s="2843"/>
      <c r="HND47" s="2843"/>
      <c r="HNE47" s="2844"/>
      <c r="HNF47" s="2845"/>
      <c r="HNG47" s="2842"/>
      <c r="HNH47" s="2842"/>
      <c r="HNI47" s="2843"/>
      <c r="HNJ47" s="2843"/>
      <c r="HNK47" s="2844"/>
      <c r="HNL47" s="2845"/>
      <c r="HNM47" s="2842"/>
      <c r="HNN47" s="2842"/>
      <c r="HNO47" s="2843"/>
      <c r="HNP47" s="2843"/>
      <c r="HNQ47" s="2844"/>
      <c r="HNR47" s="2845"/>
      <c r="HNS47" s="2842"/>
      <c r="HNT47" s="2842"/>
      <c r="HNU47" s="2843"/>
      <c r="HNV47" s="2843"/>
      <c r="HNW47" s="2844"/>
      <c r="HNX47" s="2845"/>
      <c r="HNY47" s="2842"/>
      <c r="HNZ47" s="2842"/>
      <c r="HOA47" s="2843"/>
      <c r="HOB47" s="2843"/>
      <c r="HOC47" s="2844"/>
      <c r="HOD47" s="2845"/>
      <c r="HOE47" s="2842"/>
      <c r="HOF47" s="2842"/>
      <c r="HOG47" s="2843"/>
      <c r="HOH47" s="2843"/>
      <c r="HOI47" s="2844"/>
      <c r="HOJ47" s="2845"/>
      <c r="HOK47" s="2842"/>
      <c r="HOL47" s="2842"/>
      <c r="HOM47" s="2843"/>
      <c r="HON47" s="2843"/>
      <c r="HOO47" s="2844"/>
      <c r="HOP47" s="2845"/>
      <c r="HOQ47" s="2842"/>
      <c r="HOR47" s="2842"/>
      <c r="HOS47" s="2843"/>
      <c r="HOT47" s="2843"/>
      <c r="HOU47" s="2844"/>
      <c r="HOV47" s="2845"/>
      <c r="HOW47" s="2842"/>
      <c r="HOX47" s="2842"/>
      <c r="HOY47" s="2843"/>
      <c r="HOZ47" s="2843"/>
      <c r="HPA47" s="2844"/>
      <c r="HPB47" s="2845"/>
      <c r="HPC47" s="2842"/>
      <c r="HPD47" s="2842"/>
      <c r="HPE47" s="2843"/>
      <c r="HPF47" s="2843"/>
      <c r="HPG47" s="2844"/>
      <c r="HPH47" s="2845"/>
      <c r="HPI47" s="2842"/>
      <c r="HPJ47" s="2842"/>
      <c r="HPK47" s="2843"/>
      <c r="HPL47" s="2843"/>
      <c r="HPM47" s="2844"/>
      <c r="HPN47" s="2845"/>
      <c r="HPO47" s="2842"/>
      <c r="HPP47" s="2842"/>
      <c r="HPQ47" s="2843"/>
      <c r="HPR47" s="2843"/>
      <c r="HPS47" s="2844"/>
      <c r="HPT47" s="2845"/>
      <c r="HPU47" s="2842"/>
      <c r="HPV47" s="2842"/>
      <c r="HPW47" s="2843"/>
      <c r="HPX47" s="2843"/>
      <c r="HPY47" s="2844"/>
      <c r="HPZ47" s="2845"/>
      <c r="HQA47" s="2842"/>
      <c r="HQB47" s="2842"/>
      <c r="HQC47" s="2843"/>
      <c r="HQD47" s="2843"/>
      <c r="HQE47" s="2844"/>
      <c r="HQF47" s="2845"/>
      <c r="HQG47" s="2842"/>
      <c r="HQH47" s="2842"/>
      <c r="HQI47" s="2843"/>
      <c r="HQJ47" s="2843"/>
      <c r="HQK47" s="2844"/>
      <c r="HQL47" s="2845"/>
      <c r="HQM47" s="2842"/>
      <c r="HQN47" s="2842"/>
      <c r="HQO47" s="2843"/>
      <c r="HQP47" s="2843"/>
      <c r="HQQ47" s="2844"/>
      <c r="HQR47" s="2845"/>
      <c r="HQS47" s="2842"/>
      <c r="HQT47" s="2842"/>
      <c r="HQU47" s="2843"/>
      <c r="HQV47" s="2843"/>
      <c r="HQW47" s="2844"/>
      <c r="HQX47" s="2845"/>
      <c r="HQY47" s="2842"/>
      <c r="HQZ47" s="2842"/>
      <c r="HRA47" s="2843"/>
      <c r="HRB47" s="2843"/>
      <c r="HRC47" s="2844"/>
      <c r="HRD47" s="2845"/>
      <c r="HRE47" s="2842"/>
      <c r="HRF47" s="2842"/>
      <c r="HRG47" s="2843"/>
      <c r="HRH47" s="2843"/>
      <c r="HRI47" s="2844"/>
      <c r="HRJ47" s="2845"/>
      <c r="HRK47" s="2842"/>
      <c r="HRL47" s="2842"/>
      <c r="HRM47" s="2843"/>
      <c r="HRN47" s="2843"/>
      <c r="HRO47" s="2844"/>
      <c r="HRP47" s="2845"/>
      <c r="HRQ47" s="2842"/>
      <c r="HRR47" s="2842"/>
      <c r="HRS47" s="2843"/>
      <c r="HRT47" s="2843"/>
      <c r="HRU47" s="2844"/>
      <c r="HRV47" s="2845"/>
      <c r="HRW47" s="2842"/>
      <c r="HRX47" s="2842"/>
      <c r="HRY47" s="2843"/>
      <c r="HRZ47" s="2843"/>
      <c r="HSA47" s="2844"/>
      <c r="HSB47" s="2845"/>
      <c r="HSC47" s="2842"/>
      <c r="HSD47" s="2842"/>
      <c r="HSE47" s="2843"/>
      <c r="HSF47" s="2843"/>
      <c r="HSG47" s="2844"/>
      <c r="HSH47" s="2845"/>
      <c r="HSI47" s="2842"/>
      <c r="HSJ47" s="2842"/>
      <c r="HSK47" s="2843"/>
      <c r="HSL47" s="2843"/>
      <c r="HSM47" s="2844"/>
      <c r="HSN47" s="2845"/>
      <c r="HSO47" s="2842"/>
      <c r="HSP47" s="2842"/>
      <c r="HSQ47" s="2843"/>
      <c r="HSR47" s="2843"/>
      <c r="HSS47" s="2844"/>
      <c r="HST47" s="2845"/>
      <c r="HSU47" s="2842"/>
      <c r="HSV47" s="2842"/>
      <c r="HSW47" s="2843"/>
      <c r="HSX47" s="2843"/>
      <c r="HSY47" s="2844"/>
      <c r="HSZ47" s="2845"/>
      <c r="HTA47" s="2842"/>
      <c r="HTB47" s="2842"/>
      <c r="HTC47" s="2843"/>
      <c r="HTD47" s="2843"/>
      <c r="HTE47" s="2844"/>
      <c r="HTF47" s="2845"/>
      <c r="HTG47" s="2842"/>
      <c r="HTH47" s="2842"/>
      <c r="HTI47" s="2843"/>
      <c r="HTJ47" s="2843"/>
      <c r="HTK47" s="2844"/>
      <c r="HTL47" s="2845"/>
      <c r="HTM47" s="2842"/>
      <c r="HTN47" s="2842"/>
      <c r="HTO47" s="2843"/>
      <c r="HTP47" s="2843"/>
      <c r="HTQ47" s="2844"/>
      <c r="HTR47" s="2845"/>
      <c r="HTS47" s="2842"/>
      <c r="HTT47" s="2842"/>
      <c r="HTU47" s="2843"/>
      <c r="HTV47" s="2843"/>
      <c r="HTW47" s="2844"/>
      <c r="HTX47" s="2845"/>
      <c r="HTY47" s="2842"/>
      <c r="HTZ47" s="2842"/>
      <c r="HUA47" s="2843"/>
      <c r="HUB47" s="2843"/>
      <c r="HUC47" s="2844"/>
      <c r="HUD47" s="2845"/>
      <c r="HUE47" s="2842"/>
      <c r="HUF47" s="2842"/>
      <c r="HUG47" s="2843"/>
      <c r="HUH47" s="2843"/>
      <c r="HUI47" s="2844"/>
      <c r="HUJ47" s="2845"/>
      <c r="HUK47" s="2842"/>
      <c r="HUL47" s="2842"/>
      <c r="HUM47" s="2843"/>
      <c r="HUN47" s="2843"/>
      <c r="HUO47" s="2844"/>
      <c r="HUP47" s="2845"/>
      <c r="HUQ47" s="2842"/>
      <c r="HUR47" s="2842"/>
      <c r="HUS47" s="2843"/>
      <c r="HUT47" s="2843"/>
      <c r="HUU47" s="2844"/>
      <c r="HUV47" s="2845"/>
      <c r="HUW47" s="2842"/>
      <c r="HUX47" s="2842"/>
      <c r="HUY47" s="2843"/>
      <c r="HUZ47" s="2843"/>
      <c r="HVA47" s="2844"/>
      <c r="HVB47" s="2845"/>
      <c r="HVC47" s="2842"/>
      <c r="HVD47" s="2842"/>
      <c r="HVE47" s="2843"/>
      <c r="HVF47" s="2843"/>
      <c r="HVG47" s="2844"/>
      <c r="HVH47" s="2845"/>
      <c r="HVI47" s="2842"/>
      <c r="HVJ47" s="2842"/>
      <c r="HVK47" s="2843"/>
      <c r="HVL47" s="2843"/>
      <c r="HVM47" s="2844"/>
      <c r="HVN47" s="2845"/>
      <c r="HVO47" s="2842"/>
      <c r="HVP47" s="2842"/>
      <c r="HVQ47" s="2843"/>
      <c r="HVR47" s="2843"/>
      <c r="HVS47" s="2844"/>
      <c r="HVT47" s="2845"/>
      <c r="HVU47" s="2842"/>
      <c r="HVV47" s="2842"/>
      <c r="HVW47" s="2843"/>
      <c r="HVX47" s="2843"/>
      <c r="HVY47" s="2844"/>
      <c r="HVZ47" s="2845"/>
      <c r="HWA47" s="2842"/>
      <c r="HWB47" s="2842"/>
      <c r="HWC47" s="2843"/>
      <c r="HWD47" s="2843"/>
      <c r="HWE47" s="2844"/>
      <c r="HWF47" s="2845"/>
      <c r="HWG47" s="2842"/>
      <c r="HWH47" s="2842"/>
      <c r="HWI47" s="2843"/>
      <c r="HWJ47" s="2843"/>
      <c r="HWK47" s="2844"/>
      <c r="HWL47" s="2845"/>
      <c r="HWM47" s="2842"/>
      <c r="HWN47" s="2842"/>
      <c r="HWO47" s="2843"/>
      <c r="HWP47" s="2843"/>
      <c r="HWQ47" s="2844"/>
      <c r="HWR47" s="2845"/>
      <c r="HWS47" s="2842"/>
      <c r="HWT47" s="2842"/>
      <c r="HWU47" s="2843"/>
      <c r="HWV47" s="2843"/>
      <c r="HWW47" s="2844"/>
      <c r="HWX47" s="2845"/>
      <c r="HWY47" s="2842"/>
      <c r="HWZ47" s="2842"/>
      <c r="HXA47" s="2843"/>
      <c r="HXB47" s="2843"/>
      <c r="HXC47" s="2844"/>
      <c r="HXD47" s="2845"/>
      <c r="HXE47" s="2842"/>
      <c r="HXF47" s="2842"/>
      <c r="HXG47" s="2843"/>
      <c r="HXH47" s="2843"/>
      <c r="HXI47" s="2844"/>
      <c r="HXJ47" s="2845"/>
      <c r="HXK47" s="2842"/>
      <c r="HXL47" s="2842"/>
      <c r="HXM47" s="2843"/>
      <c r="HXN47" s="2843"/>
      <c r="HXO47" s="2844"/>
      <c r="HXP47" s="2845"/>
      <c r="HXQ47" s="2842"/>
      <c r="HXR47" s="2842"/>
      <c r="HXS47" s="2843"/>
      <c r="HXT47" s="2843"/>
      <c r="HXU47" s="2844"/>
      <c r="HXV47" s="2845"/>
      <c r="HXW47" s="2842"/>
      <c r="HXX47" s="2842"/>
      <c r="HXY47" s="2843"/>
      <c r="HXZ47" s="2843"/>
      <c r="HYA47" s="2844"/>
      <c r="HYB47" s="2845"/>
      <c r="HYC47" s="2842"/>
      <c r="HYD47" s="2842"/>
      <c r="HYE47" s="2843"/>
      <c r="HYF47" s="2843"/>
      <c r="HYG47" s="2844"/>
      <c r="HYH47" s="2845"/>
      <c r="HYI47" s="2842"/>
      <c r="HYJ47" s="2842"/>
      <c r="HYK47" s="2843"/>
      <c r="HYL47" s="2843"/>
      <c r="HYM47" s="2844"/>
      <c r="HYN47" s="2845"/>
      <c r="HYO47" s="2842"/>
      <c r="HYP47" s="2842"/>
      <c r="HYQ47" s="2843"/>
      <c r="HYR47" s="2843"/>
      <c r="HYS47" s="2844"/>
      <c r="HYT47" s="2845"/>
      <c r="HYU47" s="2842"/>
      <c r="HYV47" s="2842"/>
      <c r="HYW47" s="2843"/>
      <c r="HYX47" s="2843"/>
      <c r="HYY47" s="2844"/>
      <c r="HYZ47" s="2845"/>
      <c r="HZA47" s="2842"/>
      <c r="HZB47" s="2842"/>
      <c r="HZC47" s="2843"/>
      <c r="HZD47" s="2843"/>
      <c r="HZE47" s="2844"/>
      <c r="HZF47" s="2845"/>
      <c r="HZG47" s="2842"/>
      <c r="HZH47" s="2842"/>
      <c r="HZI47" s="2843"/>
      <c r="HZJ47" s="2843"/>
      <c r="HZK47" s="2844"/>
      <c r="HZL47" s="2845"/>
      <c r="HZM47" s="2842"/>
      <c r="HZN47" s="2842"/>
      <c r="HZO47" s="2843"/>
      <c r="HZP47" s="2843"/>
      <c r="HZQ47" s="2844"/>
      <c r="HZR47" s="2845"/>
      <c r="HZS47" s="2842"/>
      <c r="HZT47" s="2842"/>
      <c r="HZU47" s="2843"/>
      <c r="HZV47" s="2843"/>
      <c r="HZW47" s="2844"/>
      <c r="HZX47" s="2845"/>
      <c r="HZY47" s="2842"/>
      <c r="HZZ47" s="2842"/>
      <c r="IAA47" s="2843"/>
      <c r="IAB47" s="2843"/>
      <c r="IAC47" s="2844"/>
      <c r="IAD47" s="2845"/>
      <c r="IAE47" s="2842"/>
      <c r="IAF47" s="2842"/>
      <c r="IAG47" s="2843"/>
      <c r="IAH47" s="2843"/>
      <c r="IAI47" s="2844"/>
      <c r="IAJ47" s="2845"/>
      <c r="IAK47" s="2842"/>
      <c r="IAL47" s="2842"/>
      <c r="IAM47" s="2843"/>
      <c r="IAN47" s="2843"/>
      <c r="IAO47" s="2844"/>
      <c r="IAP47" s="2845"/>
      <c r="IAQ47" s="2842"/>
      <c r="IAR47" s="2842"/>
      <c r="IAS47" s="2843"/>
      <c r="IAT47" s="2843"/>
      <c r="IAU47" s="2844"/>
      <c r="IAV47" s="2845"/>
      <c r="IAW47" s="2842"/>
      <c r="IAX47" s="2842"/>
      <c r="IAY47" s="2843"/>
      <c r="IAZ47" s="2843"/>
      <c r="IBA47" s="2844"/>
      <c r="IBB47" s="2845"/>
      <c r="IBC47" s="2842"/>
      <c r="IBD47" s="2842"/>
      <c r="IBE47" s="2843"/>
      <c r="IBF47" s="2843"/>
      <c r="IBG47" s="2844"/>
      <c r="IBH47" s="2845"/>
      <c r="IBI47" s="2842"/>
      <c r="IBJ47" s="2842"/>
      <c r="IBK47" s="2843"/>
      <c r="IBL47" s="2843"/>
      <c r="IBM47" s="2844"/>
      <c r="IBN47" s="2845"/>
      <c r="IBO47" s="2842"/>
      <c r="IBP47" s="2842"/>
      <c r="IBQ47" s="2843"/>
      <c r="IBR47" s="2843"/>
      <c r="IBS47" s="2844"/>
      <c r="IBT47" s="2845"/>
      <c r="IBU47" s="2842"/>
      <c r="IBV47" s="2842"/>
      <c r="IBW47" s="2843"/>
      <c r="IBX47" s="2843"/>
      <c r="IBY47" s="2844"/>
      <c r="IBZ47" s="2845"/>
      <c r="ICA47" s="2842"/>
      <c r="ICB47" s="2842"/>
      <c r="ICC47" s="2843"/>
      <c r="ICD47" s="2843"/>
      <c r="ICE47" s="2844"/>
      <c r="ICF47" s="2845"/>
      <c r="ICG47" s="2842"/>
      <c r="ICH47" s="2842"/>
      <c r="ICI47" s="2843"/>
      <c r="ICJ47" s="2843"/>
      <c r="ICK47" s="2844"/>
      <c r="ICL47" s="2845"/>
      <c r="ICM47" s="2842"/>
      <c r="ICN47" s="2842"/>
      <c r="ICO47" s="2843"/>
      <c r="ICP47" s="2843"/>
      <c r="ICQ47" s="2844"/>
      <c r="ICR47" s="2845"/>
      <c r="ICS47" s="2842"/>
      <c r="ICT47" s="2842"/>
      <c r="ICU47" s="2843"/>
      <c r="ICV47" s="2843"/>
      <c r="ICW47" s="2844"/>
      <c r="ICX47" s="2845"/>
      <c r="ICY47" s="2842"/>
      <c r="ICZ47" s="2842"/>
      <c r="IDA47" s="2843"/>
      <c r="IDB47" s="2843"/>
      <c r="IDC47" s="2844"/>
      <c r="IDD47" s="2845"/>
      <c r="IDE47" s="2842"/>
      <c r="IDF47" s="2842"/>
      <c r="IDG47" s="2843"/>
      <c r="IDH47" s="2843"/>
      <c r="IDI47" s="2844"/>
      <c r="IDJ47" s="2845"/>
      <c r="IDK47" s="2842"/>
      <c r="IDL47" s="2842"/>
      <c r="IDM47" s="2843"/>
      <c r="IDN47" s="2843"/>
      <c r="IDO47" s="2844"/>
      <c r="IDP47" s="2845"/>
      <c r="IDQ47" s="2842"/>
      <c r="IDR47" s="2842"/>
      <c r="IDS47" s="2843"/>
      <c r="IDT47" s="2843"/>
      <c r="IDU47" s="2844"/>
      <c r="IDV47" s="2845"/>
      <c r="IDW47" s="2842"/>
      <c r="IDX47" s="2842"/>
      <c r="IDY47" s="2843"/>
      <c r="IDZ47" s="2843"/>
      <c r="IEA47" s="2844"/>
      <c r="IEB47" s="2845"/>
      <c r="IEC47" s="2842"/>
      <c r="IED47" s="2842"/>
      <c r="IEE47" s="2843"/>
      <c r="IEF47" s="2843"/>
      <c r="IEG47" s="2844"/>
      <c r="IEH47" s="2845"/>
      <c r="IEI47" s="2842"/>
      <c r="IEJ47" s="2842"/>
      <c r="IEK47" s="2843"/>
      <c r="IEL47" s="2843"/>
      <c r="IEM47" s="2844"/>
      <c r="IEN47" s="2845"/>
      <c r="IEO47" s="2842"/>
      <c r="IEP47" s="2842"/>
      <c r="IEQ47" s="2843"/>
      <c r="IER47" s="2843"/>
      <c r="IES47" s="2844"/>
      <c r="IET47" s="2845"/>
      <c r="IEU47" s="2842"/>
      <c r="IEV47" s="2842"/>
      <c r="IEW47" s="2843"/>
      <c r="IEX47" s="2843"/>
      <c r="IEY47" s="2844"/>
      <c r="IEZ47" s="2845"/>
      <c r="IFA47" s="2842"/>
      <c r="IFB47" s="2842"/>
      <c r="IFC47" s="2843"/>
      <c r="IFD47" s="2843"/>
      <c r="IFE47" s="2844"/>
      <c r="IFF47" s="2845"/>
      <c r="IFG47" s="2842"/>
      <c r="IFH47" s="2842"/>
      <c r="IFI47" s="2843"/>
      <c r="IFJ47" s="2843"/>
      <c r="IFK47" s="2844"/>
      <c r="IFL47" s="2845"/>
      <c r="IFM47" s="2842"/>
      <c r="IFN47" s="2842"/>
      <c r="IFO47" s="2843"/>
      <c r="IFP47" s="2843"/>
      <c r="IFQ47" s="2844"/>
      <c r="IFR47" s="2845"/>
      <c r="IFS47" s="2842"/>
      <c r="IFT47" s="2842"/>
      <c r="IFU47" s="2843"/>
      <c r="IFV47" s="2843"/>
      <c r="IFW47" s="2844"/>
      <c r="IFX47" s="2845"/>
      <c r="IFY47" s="2842"/>
      <c r="IFZ47" s="2842"/>
      <c r="IGA47" s="2843"/>
      <c r="IGB47" s="2843"/>
      <c r="IGC47" s="2844"/>
      <c r="IGD47" s="2845"/>
      <c r="IGE47" s="2842"/>
      <c r="IGF47" s="2842"/>
      <c r="IGG47" s="2843"/>
      <c r="IGH47" s="2843"/>
      <c r="IGI47" s="2844"/>
      <c r="IGJ47" s="2845"/>
      <c r="IGK47" s="2842"/>
      <c r="IGL47" s="2842"/>
      <c r="IGM47" s="2843"/>
      <c r="IGN47" s="2843"/>
      <c r="IGO47" s="2844"/>
      <c r="IGP47" s="2845"/>
      <c r="IGQ47" s="2842"/>
      <c r="IGR47" s="2842"/>
      <c r="IGS47" s="2843"/>
      <c r="IGT47" s="2843"/>
      <c r="IGU47" s="2844"/>
      <c r="IGV47" s="2845"/>
      <c r="IGW47" s="2842"/>
      <c r="IGX47" s="2842"/>
      <c r="IGY47" s="2843"/>
      <c r="IGZ47" s="2843"/>
      <c r="IHA47" s="2844"/>
      <c r="IHB47" s="2845"/>
      <c r="IHC47" s="2842"/>
      <c r="IHD47" s="2842"/>
      <c r="IHE47" s="2843"/>
      <c r="IHF47" s="2843"/>
      <c r="IHG47" s="2844"/>
      <c r="IHH47" s="2845"/>
      <c r="IHI47" s="2842"/>
      <c r="IHJ47" s="2842"/>
      <c r="IHK47" s="2843"/>
      <c r="IHL47" s="2843"/>
      <c r="IHM47" s="2844"/>
      <c r="IHN47" s="2845"/>
      <c r="IHO47" s="2842"/>
      <c r="IHP47" s="2842"/>
      <c r="IHQ47" s="2843"/>
      <c r="IHR47" s="2843"/>
      <c r="IHS47" s="2844"/>
      <c r="IHT47" s="2845"/>
      <c r="IHU47" s="2842"/>
      <c r="IHV47" s="2842"/>
      <c r="IHW47" s="2843"/>
      <c r="IHX47" s="2843"/>
      <c r="IHY47" s="2844"/>
      <c r="IHZ47" s="2845"/>
      <c r="IIA47" s="2842"/>
      <c r="IIB47" s="2842"/>
      <c r="IIC47" s="2843"/>
      <c r="IID47" s="2843"/>
      <c r="IIE47" s="2844"/>
      <c r="IIF47" s="2845"/>
      <c r="IIG47" s="2842"/>
      <c r="IIH47" s="2842"/>
      <c r="III47" s="2843"/>
      <c r="IIJ47" s="2843"/>
      <c r="IIK47" s="2844"/>
      <c r="IIL47" s="2845"/>
      <c r="IIM47" s="2842"/>
      <c r="IIN47" s="2842"/>
      <c r="IIO47" s="2843"/>
      <c r="IIP47" s="2843"/>
      <c r="IIQ47" s="2844"/>
      <c r="IIR47" s="2845"/>
      <c r="IIS47" s="2842"/>
      <c r="IIT47" s="2842"/>
      <c r="IIU47" s="2843"/>
      <c r="IIV47" s="2843"/>
      <c r="IIW47" s="2844"/>
      <c r="IIX47" s="2845"/>
      <c r="IIY47" s="2842"/>
      <c r="IIZ47" s="2842"/>
      <c r="IJA47" s="2843"/>
      <c r="IJB47" s="2843"/>
      <c r="IJC47" s="2844"/>
      <c r="IJD47" s="2845"/>
      <c r="IJE47" s="2842"/>
      <c r="IJF47" s="2842"/>
      <c r="IJG47" s="2843"/>
      <c r="IJH47" s="2843"/>
      <c r="IJI47" s="2844"/>
      <c r="IJJ47" s="2845"/>
      <c r="IJK47" s="2842"/>
      <c r="IJL47" s="2842"/>
      <c r="IJM47" s="2843"/>
      <c r="IJN47" s="2843"/>
      <c r="IJO47" s="2844"/>
      <c r="IJP47" s="2845"/>
      <c r="IJQ47" s="2842"/>
      <c r="IJR47" s="2842"/>
      <c r="IJS47" s="2843"/>
      <c r="IJT47" s="2843"/>
      <c r="IJU47" s="2844"/>
      <c r="IJV47" s="2845"/>
      <c r="IJW47" s="2842"/>
      <c r="IJX47" s="2842"/>
      <c r="IJY47" s="2843"/>
      <c r="IJZ47" s="2843"/>
      <c r="IKA47" s="2844"/>
      <c r="IKB47" s="2845"/>
      <c r="IKC47" s="2842"/>
      <c r="IKD47" s="2842"/>
      <c r="IKE47" s="2843"/>
      <c r="IKF47" s="2843"/>
      <c r="IKG47" s="2844"/>
      <c r="IKH47" s="2845"/>
      <c r="IKI47" s="2842"/>
      <c r="IKJ47" s="2842"/>
      <c r="IKK47" s="2843"/>
      <c r="IKL47" s="2843"/>
      <c r="IKM47" s="2844"/>
      <c r="IKN47" s="2845"/>
      <c r="IKO47" s="2842"/>
      <c r="IKP47" s="2842"/>
      <c r="IKQ47" s="2843"/>
      <c r="IKR47" s="2843"/>
      <c r="IKS47" s="2844"/>
      <c r="IKT47" s="2845"/>
      <c r="IKU47" s="2842"/>
      <c r="IKV47" s="2842"/>
      <c r="IKW47" s="2843"/>
      <c r="IKX47" s="2843"/>
      <c r="IKY47" s="2844"/>
      <c r="IKZ47" s="2845"/>
      <c r="ILA47" s="2842"/>
      <c r="ILB47" s="2842"/>
      <c r="ILC47" s="2843"/>
      <c r="ILD47" s="2843"/>
      <c r="ILE47" s="2844"/>
      <c r="ILF47" s="2845"/>
      <c r="ILG47" s="2842"/>
      <c r="ILH47" s="2842"/>
      <c r="ILI47" s="2843"/>
      <c r="ILJ47" s="2843"/>
      <c r="ILK47" s="2844"/>
      <c r="ILL47" s="2845"/>
      <c r="ILM47" s="2842"/>
      <c r="ILN47" s="2842"/>
      <c r="ILO47" s="2843"/>
      <c r="ILP47" s="2843"/>
      <c r="ILQ47" s="2844"/>
      <c r="ILR47" s="2845"/>
      <c r="ILS47" s="2842"/>
      <c r="ILT47" s="2842"/>
      <c r="ILU47" s="2843"/>
      <c r="ILV47" s="2843"/>
      <c r="ILW47" s="2844"/>
      <c r="ILX47" s="2845"/>
      <c r="ILY47" s="2842"/>
      <c r="ILZ47" s="2842"/>
      <c r="IMA47" s="2843"/>
      <c r="IMB47" s="2843"/>
      <c r="IMC47" s="2844"/>
      <c r="IMD47" s="2845"/>
      <c r="IME47" s="2842"/>
      <c r="IMF47" s="2842"/>
      <c r="IMG47" s="2843"/>
      <c r="IMH47" s="2843"/>
      <c r="IMI47" s="2844"/>
      <c r="IMJ47" s="2845"/>
      <c r="IMK47" s="2842"/>
      <c r="IML47" s="2842"/>
      <c r="IMM47" s="2843"/>
      <c r="IMN47" s="2843"/>
      <c r="IMO47" s="2844"/>
      <c r="IMP47" s="2845"/>
      <c r="IMQ47" s="2842"/>
      <c r="IMR47" s="2842"/>
      <c r="IMS47" s="2843"/>
      <c r="IMT47" s="2843"/>
      <c r="IMU47" s="2844"/>
      <c r="IMV47" s="2845"/>
      <c r="IMW47" s="2842"/>
      <c r="IMX47" s="2842"/>
      <c r="IMY47" s="2843"/>
      <c r="IMZ47" s="2843"/>
      <c r="INA47" s="2844"/>
      <c r="INB47" s="2845"/>
      <c r="INC47" s="2842"/>
      <c r="IND47" s="2842"/>
      <c r="INE47" s="2843"/>
      <c r="INF47" s="2843"/>
      <c r="ING47" s="2844"/>
      <c r="INH47" s="2845"/>
      <c r="INI47" s="2842"/>
      <c r="INJ47" s="2842"/>
      <c r="INK47" s="2843"/>
      <c r="INL47" s="2843"/>
      <c r="INM47" s="2844"/>
      <c r="INN47" s="2845"/>
      <c r="INO47" s="2842"/>
      <c r="INP47" s="2842"/>
      <c r="INQ47" s="2843"/>
      <c r="INR47" s="2843"/>
      <c r="INS47" s="2844"/>
      <c r="INT47" s="2845"/>
      <c r="INU47" s="2842"/>
      <c r="INV47" s="2842"/>
      <c r="INW47" s="2843"/>
      <c r="INX47" s="2843"/>
      <c r="INY47" s="2844"/>
      <c r="INZ47" s="2845"/>
      <c r="IOA47" s="2842"/>
      <c r="IOB47" s="2842"/>
      <c r="IOC47" s="2843"/>
      <c r="IOD47" s="2843"/>
      <c r="IOE47" s="2844"/>
      <c r="IOF47" s="2845"/>
      <c r="IOG47" s="2842"/>
      <c r="IOH47" s="2842"/>
      <c r="IOI47" s="2843"/>
      <c r="IOJ47" s="2843"/>
      <c r="IOK47" s="2844"/>
      <c r="IOL47" s="2845"/>
      <c r="IOM47" s="2842"/>
      <c r="ION47" s="2842"/>
      <c r="IOO47" s="2843"/>
      <c r="IOP47" s="2843"/>
      <c r="IOQ47" s="2844"/>
      <c r="IOR47" s="2845"/>
      <c r="IOS47" s="2842"/>
      <c r="IOT47" s="2842"/>
      <c r="IOU47" s="2843"/>
      <c r="IOV47" s="2843"/>
      <c r="IOW47" s="2844"/>
      <c r="IOX47" s="2845"/>
      <c r="IOY47" s="2842"/>
      <c r="IOZ47" s="2842"/>
      <c r="IPA47" s="2843"/>
      <c r="IPB47" s="2843"/>
      <c r="IPC47" s="2844"/>
      <c r="IPD47" s="2845"/>
      <c r="IPE47" s="2842"/>
      <c r="IPF47" s="2842"/>
      <c r="IPG47" s="2843"/>
      <c r="IPH47" s="2843"/>
      <c r="IPI47" s="2844"/>
      <c r="IPJ47" s="2845"/>
      <c r="IPK47" s="2842"/>
      <c r="IPL47" s="2842"/>
      <c r="IPM47" s="2843"/>
      <c r="IPN47" s="2843"/>
      <c r="IPO47" s="2844"/>
      <c r="IPP47" s="2845"/>
      <c r="IPQ47" s="2842"/>
      <c r="IPR47" s="2842"/>
      <c r="IPS47" s="2843"/>
      <c r="IPT47" s="2843"/>
      <c r="IPU47" s="2844"/>
      <c r="IPV47" s="2845"/>
      <c r="IPW47" s="2842"/>
      <c r="IPX47" s="2842"/>
      <c r="IPY47" s="2843"/>
      <c r="IPZ47" s="2843"/>
      <c r="IQA47" s="2844"/>
      <c r="IQB47" s="2845"/>
      <c r="IQC47" s="2842"/>
      <c r="IQD47" s="2842"/>
      <c r="IQE47" s="2843"/>
      <c r="IQF47" s="2843"/>
      <c r="IQG47" s="2844"/>
      <c r="IQH47" s="2845"/>
      <c r="IQI47" s="2842"/>
      <c r="IQJ47" s="2842"/>
      <c r="IQK47" s="2843"/>
      <c r="IQL47" s="2843"/>
      <c r="IQM47" s="2844"/>
      <c r="IQN47" s="2845"/>
      <c r="IQO47" s="2842"/>
      <c r="IQP47" s="2842"/>
      <c r="IQQ47" s="2843"/>
      <c r="IQR47" s="2843"/>
      <c r="IQS47" s="2844"/>
      <c r="IQT47" s="2845"/>
      <c r="IQU47" s="2842"/>
      <c r="IQV47" s="2842"/>
      <c r="IQW47" s="2843"/>
      <c r="IQX47" s="2843"/>
      <c r="IQY47" s="2844"/>
      <c r="IQZ47" s="2845"/>
      <c r="IRA47" s="2842"/>
      <c r="IRB47" s="2842"/>
      <c r="IRC47" s="2843"/>
      <c r="IRD47" s="2843"/>
      <c r="IRE47" s="2844"/>
      <c r="IRF47" s="2845"/>
      <c r="IRG47" s="2842"/>
      <c r="IRH47" s="2842"/>
      <c r="IRI47" s="2843"/>
      <c r="IRJ47" s="2843"/>
      <c r="IRK47" s="2844"/>
      <c r="IRL47" s="2845"/>
      <c r="IRM47" s="2842"/>
      <c r="IRN47" s="2842"/>
      <c r="IRO47" s="2843"/>
      <c r="IRP47" s="2843"/>
      <c r="IRQ47" s="2844"/>
      <c r="IRR47" s="2845"/>
      <c r="IRS47" s="2842"/>
      <c r="IRT47" s="2842"/>
      <c r="IRU47" s="2843"/>
      <c r="IRV47" s="2843"/>
      <c r="IRW47" s="2844"/>
      <c r="IRX47" s="2845"/>
      <c r="IRY47" s="2842"/>
      <c r="IRZ47" s="2842"/>
      <c r="ISA47" s="2843"/>
      <c r="ISB47" s="2843"/>
      <c r="ISC47" s="2844"/>
      <c r="ISD47" s="2845"/>
      <c r="ISE47" s="2842"/>
      <c r="ISF47" s="2842"/>
      <c r="ISG47" s="2843"/>
      <c r="ISH47" s="2843"/>
      <c r="ISI47" s="2844"/>
      <c r="ISJ47" s="2845"/>
      <c r="ISK47" s="2842"/>
      <c r="ISL47" s="2842"/>
      <c r="ISM47" s="2843"/>
      <c r="ISN47" s="2843"/>
      <c r="ISO47" s="2844"/>
      <c r="ISP47" s="2845"/>
      <c r="ISQ47" s="2842"/>
      <c r="ISR47" s="2842"/>
      <c r="ISS47" s="2843"/>
      <c r="IST47" s="2843"/>
      <c r="ISU47" s="2844"/>
      <c r="ISV47" s="2845"/>
      <c r="ISW47" s="2842"/>
      <c r="ISX47" s="2842"/>
      <c r="ISY47" s="2843"/>
      <c r="ISZ47" s="2843"/>
      <c r="ITA47" s="2844"/>
      <c r="ITB47" s="2845"/>
      <c r="ITC47" s="2842"/>
      <c r="ITD47" s="2842"/>
      <c r="ITE47" s="2843"/>
      <c r="ITF47" s="2843"/>
      <c r="ITG47" s="2844"/>
      <c r="ITH47" s="2845"/>
      <c r="ITI47" s="2842"/>
      <c r="ITJ47" s="2842"/>
      <c r="ITK47" s="2843"/>
      <c r="ITL47" s="2843"/>
      <c r="ITM47" s="2844"/>
      <c r="ITN47" s="2845"/>
      <c r="ITO47" s="2842"/>
      <c r="ITP47" s="2842"/>
      <c r="ITQ47" s="2843"/>
      <c r="ITR47" s="2843"/>
      <c r="ITS47" s="2844"/>
      <c r="ITT47" s="2845"/>
      <c r="ITU47" s="2842"/>
      <c r="ITV47" s="2842"/>
      <c r="ITW47" s="2843"/>
      <c r="ITX47" s="2843"/>
      <c r="ITY47" s="2844"/>
      <c r="ITZ47" s="2845"/>
      <c r="IUA47" s="2842"/>
      <c r="IUB47" s="2842"/>
      <c r="IUC47" s="2843"/>
      <c r="IUD47" s="2843"/>
      <c r="IUE47" s="2844"/>
      <c r="IUF47" s="2845"/>
      <c r="IUG47" s="2842"/>
      <c r="IUH47" s="2842"/>
      <c r="IUI47" s="2843"/>
      <c r="IUJ47" s="2843"/>
      <c r="IUK47" s="2844"/>
      <c r="IUL47" s="2845"/>
      <c r="IUM47" s="2842"/>
      <c r="IUN47" s="2842"/>
      <c r="IUO47" s="2843"/>
      <c r="IUP47" s="2843"/>
      <c r="IUQ47" s="2844"/>
      <c r="IUR47" s="2845"/>
      <c r="IUS47" s="2842"/>
      <c r="IUT47" s="2842"/>
      <c r="IUU47" s="2843"/>
      <c r="IUV47" s="2843"/>
      <c r="IUW47" s="2844"/>
      <c r="IUX47" s="2845"/>
      <c r="IUY47" s="2842"/>
      <c r="IUZ47" s="2842"/>
      <c r="IVA47" s="2843"/>
      <c r="IVB47" s="2843"/>
      <c r="IVC47" s="2844"/>
      <c r="IVD47" s="2845"/>
      <c r="IVE47" s="2842"/>
      <c r="IVF47" s="2842"/>
      <c r="IVG47" s="2843"/>
      <c r="IVH47" s="2843"/>
      <c r="IVI47" s="2844"/>
      <c r="IVJ47" s="2845"/>
      <c r="IVK47" s="2842"/>
      <c r="IVL47" s="2842"/>
      <c r="IVM47" s="2843"/>
      <c r="IVN47" s="2843"/>
      <c r="IVO47" s="2844"/>
      <c r="IVP47" s="2845"/>
      <c r="IVQ47" s="2842"/>
      <c r="IVR47" s="2842"/>
      <c r="IVS47" s="2843"/>
      <c r="IVT47" s="2843"/>
      <c r="IVU47" s="2844"/>
      <c r="IVV47" s="2845"/>
      <c r="IVW47" s="2842"/>
      <c r="IVX47" s="2842"/>
      <c r="IVY47" s="2843"/>
      <c r="IVZ47" s="2843"/>
      <c r="IWA47" s="2844"/>
      <c r="IWB47" s="2845"/>
      <c r="IWC47" s="2842"/>
      <c r="IWD47" s="2842"/>
      <c r="IWE47" s="2843"/>
      <c r="IWF47" s="2843"/>
      <c r="IWG47" s="2844"/>
      <c r="IWH47" s="2845"/>
      <c r="IWI47" s="2842"/>
      <c r="IWJ47" s="2842"/>
      <c r="IWK47" s="2843"/>
      <c r="IWL47" s="2843"/>
      <c r="IWM47" s="2844"/>
      <c r="IWN47" s="2845"/>
      <c r="IWO47" s="2842"/>
      <c r="IWP47" s="2842"/>
      <c r="IWQ47" s="2843"/>
      <c r="IWR47" s="2843"/>
      <c r="IWS47" s="2844"/>
      <c r="IWT47" s="2845"/>
      <c r="IWU47" s="2842"/>
      <c r="IWV47" s="2842"/>
      <c r="IWW47" s="2843"/>
      <c r="IWX47" s="2843"/>
      <c r="IWY47" s="2844"/>
      <c r="IWZ47" s="2845"/>
      <c r="IXA47" s="2842"/>
      <c r="IXB47" s="2842"/>
      <c r="IXC47" s="2843"/>
      <c r="IXD47" s="2843"/>
      <c r="IXE47" s="2844"/>
      <c r="IXF47" s="2845"/>
      <c r="IXG47" s="2842"/>
      <c r="IXH47" s="2842"/>
      <c r="IXI47" s="2843"/>
      <c r="IXJ47" s="2843"/>
      <c r="IXK47" s="2844"/>
      <c r="IXL47" s="2845"/>
      <c r="IXM47" s="2842"/>
      <c r="IXN47" s="2842"/>
      <c r="IXO47" s="2843"/>
      <c r="IXP47" s="2843"/>
      <c r="IXQ47" s="2844"/>
      <c r="IXR47" s="2845"/>
      <c r="IXS47" s="2842"/>
      <c r="IXT47" s="2842"/>
      <c r="IXU47" s="2843"/>
      <c r="IXV47" s="2843"/>
      <c r="IXW47" s="2844"/>
      <c r="IXX47" s="2845"/>
      <c r="IXY47" s="2842"/>
      <c r="IXZ47" s="2842"/>
      <c r="IYA47" s="2843"/>
      <c r="IYB47" s="2843"/>
      <c r="IYC47" s="2844"/>
      <c r="IYD47" s="2845"/>
      <c r="IYE47" s="2842"/>
      <c r="IYF47" s="2842"/>
      <c r="IYG47" s="2843"/>
      <c r="IYH47" s="2843"/>
      <c r="IYI47" s="2844"/>
      <c r="IYJ47" s="2845"/>
      <c r="IYK47" s="2842"/>
      <c r="IYL47" s="2842"/>
      <c r="IYM47" s="2843"/>
      <c r="IYN47" s="2843"/>
      <c r="IYO47" s="2844"/>
      <c r="IYP47" s="2845"/>
      <c r="IYQ47" s="2842"/>
      <c r="IYR47" s="2842"/>
      <c r="IYS47" s="2843"/>
      <c r="IYT47" s="2843"/>
      <c r="IYU47" s="2844"/>
      <c r="IYV47" s="2845"/>
      <c r="IYW47" s="2842"/>
      <c r="IYX47" s="2842"/>
      <c r="IYY47" s="2843"/>
      <c r="IYZ47" s="2843"/>
      <c r="IZA47" s="2844"/>
      <c r="IZB47" s="2845"/>
      <c r="IZC47" s="2842"/>
      <c r="IZD47" s="2842"/>
      <c r="IZE47" s="2843"/>
      <c r="IZF47" s="2843"/>
      <c r="IZG47" s="2844"/>
      <c r="IZH47" s="2845"/>
      <c r="IZI47" s="2842"/>
      <c r="IZJ47" s="2842"/>
      <c r="IZK47" s="2843"/>
      <c r="IZL47" s="2843"/>
      <c r="IZM47" s="2844"/>
      <c r="IZN47" s="2845"/>
      <c r="IZO47" s="2842"/>
      <c r="IZP47" s="2842"/>
      <c r="IZQ47" s="2843"/>
      <c r="IZR47" s="2843"/>
      <c r="IZS47" s="2844"/>
      <c r="IZT47" s="2845"/>
      <c r="IZU47" s="2842"/>
      <c r="IZV47" s="2842"/>
      <c r="IZW47" s="2843"/>
      <c r="IZX47" s="2843"/>
      <c r="IZY47" s="2844"/>
      <c r="IZZ47" s="2845"/>
      <c r="JAA47" s="2842"/>
      <c r="JAB47" s="2842"/>
      <c r="JAC47" s="2843"/>
      <c r="JAD47" s="2843"/>
      <c r="JAE47" s="2844"/>
      <c r="JAF47" s="2845"/>
      <c r="JAG47" s="2842"/>
      <c r="JAH47" s="2842"/>
      <c r="JAI47" s="2843"/>
      <c r="JAJ47" s="2843"/>
      <c r="JAK47" s="2844"/>
      <c r="JAL47" s="2845"/>
      <c r="JAM47" s="2842"/>
      <c r="JAN47" s="2842"/>
      <c r="JAO47" s="2843"/>
      <c r="JAP47" s="2843"/>
      <c r="JAQ47" s="2844"/>
      <c r="JAR47" s="2845"/>
      <c r="JAS47" s="2842"/>
      <c r="JAT47" s="2842"/>
      <c r="JAU47" s="2843"/>
      <c r="JAV47" s="2843"/>
      <c r="JAW47" s="2844"/>
      <c r="JAX47" s="2845"/>
      <c r="JAY47" s="2842"/>
      <c r="JAZ47" s="2842"/>
      <c r="JBA47" s="2843"/>
      <c r="JBB47" s="2843"/>
      <c r="JBC47" s="2844"/>
      <c r="JBD47" s="2845"/>
      <c r="JBE47" s="2842"/>
      <c r="JBF47" s="2842"/>
      <c r="JBG47" s="2843"/>
      <c r="JBH47" s="2843"/>
      <c r="JBI47" s="2844"/>
      <c r="JBJ47" s="2845"/>
      <c r="JBK47" s="2842"/>
      <c r="JBL47" s="2842"/>
      <c r="JBM47" s="2843"/>
      <c r="JBN47" s="2843"/>
      <c r="JBO47" s="2844"/>
      <c r="JBP47" s="2845"/>
      <c r="JBQ47" s="2842"/>
      <c r="JBR47" s="2842"/>
      <c r="JBS47" s="2843"/>
      <c r="JBT47" s="2843"/>
      <c r="JBU47" s="2844"/>
      <c r="JBV47" s="2845"/>
      <c r="JBW47" s="2842"/>
      <c r="JBX47" s="2842"/>
      <c r="JBY47" s="2843"/>
      <c r="JBZ47" s="2843"/>
      <c r="JCA47" s="2844"/>
      <c r="JCB47" s="2845"/>
      <c r="JCC47" s="2842"/>
      <c r="JCD47" s="2842"/>
      <c r="JCE47" s="2843"/>
      <c r="JCF47" s="2843"/>
      <c r="JCG47" s="2844"/>
      <c r="JCH47" s="2845"/>
      <c r="JCI47" s="2842"/>
      <c r="JCJ47" s="2842"/>
      <c r="JCK47" s="2843"/>
      <c r="JCL47" s="2843"/>
      <c r="JCM47" s="2844"/>
      <c r="JCN47" s="2845"/>
      <c r="JCO47" s="2842"/>
      <c r="JCP47" s="2842"/>
      <c r="JCQ47" s="2843"/>
      <c r="JCR47" s="2843"/>
      <c r="JCS47" s="2844"/>
      <c r="JCT47" s="2845"/>
      <c r="JCU47" s="2842"/>
      <c r="JCV47" s="2842"/>
      <c r="JCW47" s="2843"/>
      <c r="JCX47" s="2843"/>
      <c r="JCY47" s="2844"/>
      <c r="JCZ47" s="2845"/>
      <c r="JDA47" s="2842"/>
      <c r="JDB47" s="2842"/>
      <c r="JDC47" s="2843"/>
      <c r="JDD47" s="2843"/>
      <c r="JDE47" s="2844"/>
      <c r="JDF47" s="2845"/>
      <c r="JDG47" s="2842"/>
      <c r="JDH47" s="2842"/>
      <c r="JDI47" s="2843"/>
      <c r="JDJ47" s="2843"/>
      <c r="JDK47" s="2844"/>
      <c r="JDL47" s="2845"/>
      <c r="JDM47" s="2842"/>
      <c r="JDN47" s="2842"/>
      <c r="JDO47" s="2843"/>
      <c r="JDP47" s="2843"/>
      <c r="JDQ47" s="2844"/>
      <c r="JDR47" s="2845"/>
      <c r="JDS47" s="2842"/>
      <c r="JDT47" s="2842"/>
      <c r="JDU47" s="2843"/>
      <c r="JDV47" s="2843"/>
      <c r="JDW47" s="2844"/>
      <c r="JDX47" s="2845"/>
      <c r="JDY47" s="2842"/>
      <c r="JDZ47" s="2842"/>
      <c r="JEA47" s="2843"/>
      <c r="JEB47" s="2843"/>
      <c r="JEC47" s="2844"/>
      <c r="JED47" s="2845"/>
      <c r="JEE47" s="2842"/>
      <c r="JEF47" s="2842"/>
      <c r="JEG47" s="2843"/>
      <c r="JEH47" s="2843"/>
      <c r="JEI47" s="2844"/>
      <c r="JEJ47" s="2845"/>
      <c r="JEK47" s="2842"/>
      <c r="JEL47" s="2842"/>
      <c r="JEM47" s="2843"/>
      <c r="JEN47" s="2843"/>
      <c r="JEO47" s="2844"/>
      <c r="JEP47" s="2845"/>
      <c r="JEQ47" s="2842"/>
      <c r="JER47" s="2842"/>
      <c r="JES47" s="2843"/>
      <c r="JET47" s="2843"/>
      <c r="JEU47" s="2844"/>
      <c r="JEV47" s="2845"/>
      <c r="JEW47" s="2842"/>
      <c r="JEX47" s="2842"/>
      <c r="JEY47" s="2843"/>
      <c r="JEZ47" s="2843"/>
      <c r="JFA47" s="2844"/>
      <c r="JFB47" s="2845"/>
      <c r="JFC47" s="2842"/>
      <c r="JFD47" s="2842"/>
      <c r="JFE47" s="2843"/>
      <c r="JFF47" s="2843"/>
      <c r="JFG47" s="2844"/>
      <c r="JFH47" s="2845"/>
      <c r="JFI47" s="2842"/>
      <c r="JFJ47" s="2842"/>
      <c r="JFK47" s="2843"/>
      <c r="JFL47" s="2843"/>
      <c r="JFM47" s="2844"/>
      <c r="JFN47" s="2845"/>
      <c r="JFO47" s="2842"/>
      <c r="JFP47" s="2842"/>
      <c r="JFQ47" s="2843"/>
      <c r="JFR47" s="2843"/>
      <c r="JFS47" s="2844"/>
      <c r="JFT47" s="2845"/>
      <c r="JFU47" s="2842"/>
      <c r="JFV47" s="2842"/>
      <c r="JFW47" s="2843"/>
      <c r="JFX47" s="2843"/>
      <c r="JFY47" s="2844"/>
      <c r="JFZ47" s="2845"/>
      <c r="JGA47" s="2842"/>
      <c r="JGB47" s="2842"/>
      <c r="JGC47" s="2843"/>
      <c r="JGD47" s="2843"/>
      <c r="JGE47" s="2844"/>
      <c r="JGF47" s="2845"/>
      <c r="JGG47" s="2842"/>
      <c r="JGH47" s="2842"/>
      <c r="JGI47" s="2843"/>
      <c r="JGJ47" s="2843"/>
      <c r="JGK47" s="2844"/>
      <c r="JGL47" s="2845"/>
      <c r="JGM47" s="2842"/>
      <c r="JGN47" s="2842"/>
      <c r="JGO47" s="2843"/>
      <c r="JGP47" s="2843"/>
      <c r="JGQ47" s="2844"/>
      <c r="JGR47" s="2845"/>
      <c r="JGS47" s="2842"/>
      <c r="JGT47" s="2842"/>
      <c r="JGU47" s="2843"/>
      <c r="JGV47" s="2843"/>
      <c r="JGW47" s="2844"/>
      <c r="JGX47" s="2845"/>
      <c r="JGY47" s="2842"/>
      <c r="JGZ47" s="2842"/>
      <c r="JHA47" s="2843"/>
      <c r="JHB47" s="2843"/>
      <c r="JHC47" s="2844"/>
      <c r="JHD47" s="2845"/>
      <c r="JHE47" s="2842"/>
      <c r="JHF47" s="2842"/>
      <c r="JHG47" s="2843"/>
      <c r="JHH47" s="2843"/>
      <c r="JHI47" s="2844"/>
      <c r="JHJ47" s="2845"/>
      <c r="JHK47" s="2842"/>
      <c r="JHL47" s="2842"/>
      <c r="JHM47" s="2843"/>
      <c r="JHN47" s="2843"/>
      <c r="JHO47" s="2844"/>
      <c r="JHP47" s="2845"/>
      <c r="JHQ47" s="2842"/>
      <c r="JHR47" s="2842"/>
      <c r="JHS47" s="2843"/>
      <c r="JHT47" s="2843"/>
      <c r="JHU47" s="2844"/>
      <c r="JHV47" s="2845"/>
      <c r="JHW47" s="2842"/>
      <c r="JHX47" s="2842"/>
      <c r="JHY47" s="2843"/>
      <c r="JHZ47" s="2843"/>
      <c r="JIA47" s="2844"/>
      <c r="JIB47" s="2845"/>
      <c r="JIC47" s="2842"/>
      <c r="JID47" s="2842"/>
      <c r="JIE47" s="2843"/>
      <c r="JIF47" s="2843"/>
      <c r="JIG47" s="2844"/>
      <c r="JIH47" s="2845"/>
      <c r="JII47" s="2842"/>
      <c r="JIJ47" s="2842"/>
      <c r="JIK47" s="2843"/>
      <c r="JIL47" s="2843"/>
      <c r="JIM47" s="2844"/>
      <c r="JIN47" s="2845"/>
      <c r="JIO47" s="2842"/>
      <c r="JIP47" s="2842"/>
      <c r="JIQ47" s="2843"/>
      <c r="JIR47" s="2843"/>
      <c r="JIS47" s="2844"/>
      <c r="JIT47" s="2845"/>
      <c r="JIU47" s="2842"/>
      <c r="JIV47" s="2842"/>
      <c r="JIW47" s="2843"/>
      <c r="JIX47" s="2843"/>
      <c r="JIY47" s="2844"/>
      <c r="JIZ47" s="2845"/>
      <c r="JJA47" s="2842"/>
      <c r="JJB47" s="2842"/>
      <c r="JJC47" s="2843"/>
      <c r="JJD47" s="2843"/>
      <c r="JJE47" s="2844"/>
      <c r="JJF47" s="2845"/>
      <c r="JJG47" s="2842"/>
      <c r="JJH47" s="2842"/>
      <c r="JJI47" s="2843"/>
      <c r="JJJ47" s="2843"/>
      <c r="JJK47" s="2844"/>
      <c r="JJL47" s="2845"/>
      <c r="JJM47" s="2842"/>
      <c r="JJN47" s="2842"/>
      <c r="JJO47" s="2843"/>
      <c r="JJP47" s="2843"/>
      <c r="JJQ47" s="2844"/>
      <c r="JJR47" s="2845"/>
      <c r="JJS47" s="2842"/>
      <c r="JJT47" s="2842"/>
      <c r="JJU47" s="2843"/>
      <c r="JJV47" s="2843"/>
      <c r="JJW47" s="2844"/>
      <c r="JJX47" s="2845"/>
      <c r="JJY47" s="2842"/>
      <c r="JJZ47" s="2842"/>
      <c r="JKA47" s="2843"/>
      <c r="JKB47" s="2843"/>
      <c r="JKC47" s="2844"/>
      <c r="JKD47" s="2845"/>
      <c r="JKE47" s="2842"/>
      <c r="JKF47" s="2842"/>
      <c r="JKG47" s="2843"/>
      <c r="JKH47" s="2843"/>
      <c r="JKI47" s="2844"/>
      <c r="JKJ47" s="2845"/>
      <c r="JKK47" s="2842"/>
      <c r="JKL47" s="2842"/>
      <c r="JKM47" s="2843"/>
      <c r="JKN47" s="2843"/>
      <c r="JKO47" s="2844"/>
      <c r="JKP47" s="2845"/>
      <c r="JKQ47" s="2842"/>
      <c r="JKR47" s="2842"/>
      <c r="JKS47" s="2843"/>
      <c r="JKT47" s="2843"/>
      <c r="JKU47" s="2844"/>
      <c r="JKV47" s="2845"/>
      <c r="JKW47" s="2842"/>
      <c r="JKX47" s="2842"/>
      <c r="JKY47" s="2843"/>
      <c r="JKZ47" s="2843"/>
      <c r="JLA47" s="2844"/>
      <c r="JLB47" s="2845"/>
      <c r="JLC47" s="2842"/>
      <c r="JLD47" s="2842"/>
      <c r="JLE47" s="2843"/>
      <c r="JLF47" s="2843"/>
      <c r="JLG47" s="2844"/>
      <c r="JLH47" s="2845"/>
      <c r="JLI47" s="2842"/>
      <c r="JLJ47" s="2842"/>
      <c r="JLK47" s="2843"/>
      <c r="JLL47" s="2843"/>
      <c r="JLM47" s="2844"/>
      <c r="JLN47" s="2845"/>
      <c r="JLO47" s="2842"/>
      <c r="JLP47" s="2842"/>
      <c r="JLQ47" s="2843"/>
      <c r="JLR47" s="2843"/>
      <c r="JLS47" s="2844"/>
      <c r="JLT47" s="2845"/>
      <c r="JLU47" s="2842"/>
      <c r="JLV47" s="2842"/>
      <c r="JLW47" s="2843"/>
      <c r="JLX47" s="2843"/>
      <c r="JLY47" s="2844"/>
      <c r="JLZ47" s="2845"/>
      <c r="JMA47" s="2842"/>
      <c r="JMB47" s="2842"/>
      <c r="JMC47" s="2843"/>
      <c r="JMD47" s="2843"/>
      <c r="JME47" s="2844"/>
      <c r="JMF47" s="2845"/>
      <c r="JMG47" s="2842"/>
      <c r="JMH47" s="2842"/>
      <c r="JMI47" s="2843"/>
      <c r="JMJ47" s="2843"/>
      <c r="JMK47" s="2844"/>
      <c r="JML47" s="2845"/>
      <c r="JMM47" s="2842"/>
      <c r="JMN47" s="2842"/>
      <c r="JMO47" s="2843"/>
      <c r="JMP47" s="2843"/>
      <c r="JMQ47" s="2844"/>
      <c r="JMR47" s="2845"/>
      <c r="JMS47" s="2842"/>
      <c r="JMT47" s="2842"/>
      <c r="JMU47" s="2843"/>
      <c r="JMV47" s="2843"/>
      <c r="JMW47" s="2844"/>
      <c r="JMX47" s="2845"/>
      <c r="JMY47" s="2842"/>
      <c r="JMZ47" s="2842"/>
      <c r="JNA47" s="2843"/>
      <c r="JNB47" s="2843"/>
      <c r="JNC47" s="2844"/>
      <c r="JND47" s="2845"/>
      <c r="JNE47" s="2842"/>
      <c r="JNF47" s="2842"/>
      <c r="JNG47" s="2843"/>
      <c r="JNH47" s="2843"/>
      <c r="JNI47" s="2844"/>
      <c r="JNJ47" s="2845"/>
      <c r="JNK47" s="2842"/>
      <c r="JNL47" s="2842"/>
      <c r="JNM47" s="2843"/>
      <c r="JNN47" s="2843"/>
      <c r="JNO47" s="2844"/>
      <c r="JNP47" s="2845"/>
      <c r="JNQ47" s="2842"/>
      <c r="JNR47" s="2842"/>
      <c r="JNS47" s="2843"/>
      <c r="JNT47" s="2843"/>
      <c r="JNU47" s="2844"/>
      <c r="JNV47" s="2845"/>
      <c r="JNW47" s="2842"/>
      <c r="JNX47" s="2842"/>
      <c r="JNY47" s="2843"/>
      <c r="JNZ47" s="2843"/>
      <c r="JOA47" s="2844"/>
      <c r="JOB47" s="2845"/>
      <c r="JOC47" s="2842"/>
      <c r="JOD47" s="2842"/>
      <c r="JOE47" s="2843"/>
      <c r="JOF47" s="2843"/>
      <c r="JOG47" s="2844"/>
      <c r="JOH47" s="2845"/>
      <c r="JOI47" s="2842"/>
      <c r="JOJ47" s="2842"/>
      <c r="JOK47" s="2843"/>
      <c r="JOL47" s="2843"/>
      <c r="JOM47" s="2844"/>
      <c r="JON47" s="2845"/>
      <c r="JOO47" s="2842"/>
      <c r="JOP47" s="2842"/>
      <c r="JOQ47" s="2843"/>
      <c r="JOR47" s="2843"/>
      <c r="JOS47" s="2844"/>
      <c r="JOT47" s="2845"/>
      <c r="JOU47" s="2842"/>
      <c r="JOV47" s="2842"/>
      <c r="JOW47" s="2843"/>
      <c r="JOX47" s="2843"/>
      <c r="JOY47" s="2844"/>
      <c r="JOZ47" s="2845"/>
      <c r="JPA47" s="2842"/>
      <c r="JPB47" s="2842"/>
      <c r="JPC47" s="2843"/>
      <c r="JPD47" s="2843"/>
      <c r="JPE47" s="2844"/>
      <c r="JPF47" s="2845"/>
      <c r="JPG47" s="2842"/>
      <c r="JPH47" s="2842"/>
      <c r="JPI47" s="2843"/>
      <c r="JPJ47" s="2843"/>
      <c r="JPK47" s="2844"/>
      <c r="JPL47" s="2845"/>
      <c r="JPM47" s="2842"/>
      <c r="JPN47" s="2842"/>
      <c r="JPO47" s="2843"/>
      <c r="JPP47" s="2843"/>
      <c r="JPQ47" s="2844"/>
      <c r="JPR47" s="2845"/>
      <c r="JPS47" s="2842"/>
      <c r="JPT47" s="2842"/>
      <c r="JPU47" s="2843"/>
      <c r="JPV47" s="2843"/>
      <c r="JPW47" s="2844"/>
      <c r="JPX47" s="2845"/>
      <c r="JPY47" s="2842"/>
      <c r="JPZ47" s="2842"/>
      <c r="JQA47" s="2843"/>
      <c r="JQB47" s="2843"/>
      <c r="JQC47" s="2844"/>
      <c r="JQD47" s="2845"/>
      <c r="JQE47" s="2842"/>
      <c r="JQF47" s="2842"/>
      <c r="JQG47" s="2843"/>
      <c r="JQH47" s="2843"/>
      <c r="JQI47" s="2844"/>
      <c r="JQJ47" s="2845"/>
      <c r="JQK47" s="2842"/>
      <c r="JQL47" s="2842"/>
      <c r="JQM47" s="2843"/>
      <c r="JQN47" s="2843"/>
      <c r="JQO47" s="2844"/>
      <c r="JQP47" s="2845"/>
      <c r="JQQ47" s="2842"/>
      <c r="JQR47" s="2842"/>
      <c r="JQS47" s="2843"/>
      <c r="JQT47" s="2843"/>
      <c r="JQU47" s="2844"/>
      <c r="JQV47" s="2845"/>
      <c r="JQW47" s="2842"/>
      <c r="JQX47" s="2842"/>
      <c r="JQY47" s="2843"/>
      <c r="JQZ47" s="2843"/>
      <c r="JRA47" s="2844"/>
      <c r="JRB47" s="2845"/>
      <c r="JRC47" s="2842"/>
      <c r="JRD47" s="2842"/>
      <c r="JRE47" s="2843"/>
      <c r="JRF47" s="2843"/>
      <c r="JRG47" s="2844"/>
      <c r="JRH47" s="2845"/>
      <c r="JRI47" s="2842"/>
      <c r="JRJ47" s="2842"/>
      <c r="JRK47" s="2843"/>
      <c r="JRL47" s="2843"/>
      <c r="JRM47" s="2844"/>
      <c r="JRN47" s="2845"/>
      <c r="JRO47" s="2842"/>
      <c r="JRP47" s="2842"/>
      <c r="JRQ47" s="2843"/>
      <c r="JRR47" s="2843"/>
      <c r="JRS47" s="2844"/>
      <c r="JRT47" s="2845"/>
      <c r="JRU47" s="2842"/>
      <c r="JRV47" s="2842"/>
      <c r="JRW47" s="2843"/>
      <c r="JRX47" s="2843"/>
      <c r="JRY47" s="2844"/>
      <c r="JRZ47" s="2845"/>
      <c r="JSA47" s="2842"/>
      <c r="JSB47" s="2842"/>
      <c r="JSC47" s="2843"/>
      <c r="JSD47" s="2843"/>
      <c r="JSE47" s="2844"/>
      <c r="JSF47" s="2845"/>
      <c r="JSG47" s="2842"/>
      <c r="JSH47" s="2842"/>
      <c r="JSI47" s="2843"/>
      <c r="JSJ47" s="2843"/>
      <c r="JSK47" s="2844"/>
      <c r="JSL47" s="2845"/>
      <c r="JSM47" s="2842"/>
      <c r="JSN47" s="2842"/>
      <c r="JSO47" s="2843"/>
      <c r="JSP47" s="2843"/>
      <c r="JSQ47" s="2844"/>
      <c r="JSR47" s="2845"/>
      <c r="JSS47" s="2842"/>
      <c r="JST47" s="2842"/>
      <c r="JSU47" s="2843"/>
      <c r="JSV47" s="2843"/>
      <c r="JSW47" s="2844"/>
      <c r="JSX47" s="2845"/>
      <c r="JSY47" s="2842"/>
      <c r="JSZ47" s="2842"/>
      <c r="JTA47" s="2843"/>
      <c r="JTB47" s="2843"/>
      <c r="JTC47" s="2844"/>
      <c r="JTD47" s="2845"/>
      <c r="JTE47" s="2842"/>
      <c r="JTF47" s="2842"/>
      <c r="JTG47" s="2843"/>
      <c r="JTH47" s="2843"/>
      <c r="JTI47" s="2844"/>
      <c r="JTJ47" s="2845"/>
      <c r="JTK47" s="2842"/>
      <c r="JTL47" s="2842"/>
      <c r="JTM47" s="2843"/>
      <c r="JTN47" s="2843"/>
      <c r="JTO47" s="2844"/>
      <c r="JTP47" s="2845"/>
      <c r="JTQ47" s="2842"/>
      <c r="JTR47" s="2842"/>
      <c r="JTS47" s="2843"/>
      <c r="JTT47" s="2843"/>
      <c r="JTU47" s="2844"/>
      <c r="JTV47" s="2845"/>
      <c r="JTW47" s="2842"/>
      <c r="JTX47" s="2842"/>
      <c r="JTY47" s="2843"/>
      <c r="JTZ47" s="2843"/>
      <c r="JUA47" s="2844"/>
      <c r="JUB47" s="2845"/>
      <c r="JUC47" s="2842"/>
      <c r="JUD47" s="2842"/>
      <c r="JUE47" s="2843"/>
      <c r="JUF47" s="2843"/>
      <c r="JUG47" s="2844"/>
      <c r="JUH47" s="2845"/>
      <c r="JUI47" s="2842"/>
      <c r="JUJ47" s="2842"/>
      <c r="JUK47" s="2843"/>
      <c r="JUL47" s="2843"/>
      <c r="JUM47" s="2844"/>
      <c r="JUN47" s="2845"/>
      <c r="JUO47" s="2842"/>
      <c r="JUP47" s="2842"/>
      <c r="JUQ47" s="2843"/>
      <c r="JUR47" s="2843"/>
      <c r="JUS47" s="2844"/>
      <c r="JUT47" s="2845"/>
      <c r="JUU47" s="2842"/>
      <c r="JUV47" s="2842"/>
      <c r="JUW47" s="2843"/>
      <c r="JUX47" s="2843"/>
      <c r="JUY47" s="2844"/>
      <c r="JUZ47" s="2845"/>
      <c r="JVA47" s="2842"/>
      <c r="JVB47" s="2842"/>
      <c r="JVC47" s="2843"/>
      <c r="JVD47" s="2843"/>
      <c r="JVE47" s="2844"/>
      <c r="JVF47" s="2845"/>
      <c r="JVG47" s="2842"/>
      <c r="JVH47" s="2842"/>
      <c r="JVI47" s="2843"/>
      <c r="JVJ47" s="2843"/>
      <c r="JVK47" s="2844"/>
      <c r="JVL47" s="2845"/>
      <c r="JVM47" s="2842"/>
      <c r="JVN47" s="2842"/>
      <c r="JVO47" s="2843"/>
      <c r="JVP47" s="2843"/>
      <c r="JVQ47" s="2844"/>
      <c r="JVR47" s="2845"/>
      <c r="JVS47" s="2842"/>
      <c r="JVT47" s="2842"/>
      <c r="JVU47" s="2843"/>
      <c r="JVV47" s="2843"/>
      <c r="JVW47" s="2844"/>
      <c r="JVX47" s="2845"/>
      <c r="JVY47" s="2842"/>
      <c r="JVZ47" s="2842"/>
      <c r="JWA47" s="2843"/>
      <c r="JWB47" s="2843"/>
      <c r="JWC47" s="2844"/>
      <c r="JWD47" s="2845"/>
      <c r="JWE47" s="2842"/>
      <c r="JWF47" s="2842"/>
      <c r="JWG47" s="2843"/>
      <c r="JWH47" s="2843"/>
      <c r="JWI47" s="2844"/>
      <c r="JWJ47" s="2845"/>
      <c r="JWK47" s="2842"/>
      <c r="JWL47" s="2842"/>
      <c r="JWM47" s="2843"/>
      <c r="JWN47" s="2843"/>
      <c r="JWO47" s="2844"/>
      <c r="JWP47" s="2845"/>
      <c r="JWQ47" s="2842"/>
      <c r="JWR47" s="2842"/>
      <c r="JWS47" s="2843"/>
      <c r="JWT47" s="2843"/>
      <c r="JWU47" s="2844"/>
      <c r="JWV47" s="2845"/>
      <c r="JWW47" s="2842"/>
      <c r="JWX47" s="2842"/>
      <c r="JWY47" s="2843"/>
      <c r="JWZ47" s="2843"/>
      <c r="JXA47" s="2844"/>
      <c r="JXB47" s="2845"/>
      <c r="JXC47" s="2842"/>
      <c r="JXD47" s="2842"/>
      <c r="JXE47" s="2843"/>
      <c r="JXF47" s="2843"/>
      <c r="JXG47" s="2844"/>
      <c r="JXH47" s="2845"/>
      <c r="JXI47" s="2842"/>
      <c r="JXJ47" s="2842"/>
      <c r="JXK47" s="2843"/>
      <c r="JXL47" s="2843"/>
      <c r="JXM47" s="2844"/>
      <c r="JXN47" s="2845"/>
      <c r="JXO47" s="2842"/>
      <c r="JXP47" s="2842"/>
      <c r="JXQ47" s="2843"/>
      <c r="JXR47" s="2843"/>
      <c r="JXS47" s="2844"/>
      <c r="JXT47" s="2845"/>
      <c r="JXU47" s="2842"/>
      <c r="JXV47" s="2842"/>
      <c r="JXW47" s="2843"/>
      <c r="JXX47" s="2843"/>
      <c r="JXY47" s="2844"/>
      <c r="JXZ47" s="2845"/>
      <c r="JYA47" s="2842"/>
      <c r="JYB47" s="2842"/>
      <c r="JYC47" s="2843"/>
      <c r="JYD47" s="2843"/>
      <c r="JYE47" s="2844"/>
      <c r="JYF47" s="2845"/>
      <c r="JYG47" s="2842"/>
      <c r="JYH47" s="2842"/>
      <c r="JYI47" s="2843"/>
      <c r="JYJ47" s="2843"/>
      <c r="JYK47" s="2844"/>
      <c r="JYL47" s="2845"/>
      <c r="JYM47" s="2842"/>
      <c r="JYN47" s="2842"/>
      <c r="JYO47" s="2843"/>
      <c r="JYP47" s="2843"/>
      <c r="JYQ47" s="2844"/>
      <c r="JYR47" s="2845"/>
      <c r="JYS47" s="2842"/>
      <c r="JYT47" s="2842"/>
      <c r="JYU47" s="2843"/>
      <c r="JYV47" s="2843"/>
      <c r="JYW47" s="2844"/>
      <c r="JYX47" s="2845"/>
      <c r="JYY47" s="2842"/>
      <c r="JYZ47" s="2842"/>
      <c r="JZA47" s="2843"/>
      <c r="JZB47" s="2843"/>
      <c r="JZC47" s="2844"/>
      <c r="JZD47" s="2845"/>
      <c r="JZE47" s="2842"/>
      <c r="JZF47" s="2842"/>
      <c r="JZG47" s="2843"/>
      <c r="JZH47" s="2843"/>
      <c r="JZI47" s="2844"/>
      <c r="JZJ47" s="2845"/>
      <c r="JZK47" s="2842"/>
      <c r="JZL47" s="2842"/>
      <c r="JZM47" s="2843"/>
      <c r="JZN47" s="2843"/>
      <c r="JZO47" s="2844"/>
      <c r="JZP47" s="2845"/>
      <c r="JZQ47" s="2842"/>
      <c r="JZR47" s="2842"/>
      <c r="JZS47" s="2843"/>
      <c r="JZT47" s="2843"/>
      <c r="JZU47" s="2844"/>
      <c r="JZV47" s="2845"/>
      <c r="JZW47" s="2842"/>
      <c r="JZX47" s="2842"/>
      <c r="JZY47" s="2843"/>
      <c r="JZZ47" s="2843"/>
      <c r="KAA47" s="2844"/>
      <c r="KAB47" s="2845"/>
      <c r="KAC47" s="2842"/>
      <c r="KAD47" s="2842"/>
      <c r="KAE47" s="2843"/>
      <c r="KAF47" s="2843"/>
      <c r="KAG47" s="2844"/>
      <c r="KAH47" s="2845"/>
      <c r="KAI47" s="2842"/>
      <c r="KAJ47" s="2842"/>
      <c r="KAK47" s="2843"/>
      <c r="KAL47" s="2843"/>
      <c r="KAM47" s="2844"/>
      <c r="KAN47" s="2845"/>
      <c r="KAO47" s="2842"/>
      <c r="KAP47" s="2842"/>
      <c r="KAQ47" s="2843"/>
      <c r="KAR47" s="2843"/>
      <c r="KAS47" s="2844"/>
      <c r="KAT47" s="2845"/>
      <c r="KAU47" s="2842"/>
      <c r="KAV47" s="2842"/>
      <c r="KAW47" s="2843"/>
      <c r="KAX47" s="2843"/>
      <c r="KAY47" s="2844"/>
      <c r="KAZ47" s="2845"/>
      <c r="KBA47" s="2842"/>
      <c r="KBB47" s="2842"/>
      <c r="KBC47" s="2843"/>
      <c r="KBD47" s="2843"/>
      <c r="KBE47" s="2844"/>
      <c r="KBF47" s="2845"/>
      <c r="KBG47" s="2842"/>
      <c r="KBH47" s="2842"/>
      <c r="KBI47" s="2843"/>
      <c r="KBJ47" s="2843"/>
      <c r="KBK47" s="2844"/>
      <c r="KBL47" s="2845"/>
      <c r="KBM47" s="2842"/>
      <c r="KBN47" s="2842"/>
      <c r="KBO47" s="2843"/>
      <c r="KBP47" s="2843"/>
      <c r="KBQ47" s="2844"/>
      <c r="KBR47" s="2845"/>
      <c r="KBS47" s="2842"/>
      <c r="KBT47" s="2842"/>
      <c r="KBU47" s="2843"/>
      <c r="KBV47" s="2843"/>
      <c r="KBW47" s="2844"/>
      <c r="KBX47" s="2845"/>
      <c r="KBY47" s="2842"/>
      <c r="KBZ47" s="2842"/>
      <c r="KCA47" s="2843"/>
      <c r="KCB47" s="2843"/>
      <c r="KCC47" s="2844"/>
      <c r="KCD47" s="2845"/>
      <c r="KCE47" s="2842"/>
      <c r="KCF47" s="2842"/>
      <c r="KCG47" s="2843"/>
      <c r="KCH47" s="2843"/>
      <c r="KCI47" s="2844"/>
      <c r="KCJ47" s="2845"/>
      <c r="KCK47" s="2842"/>
      <c r="KCL47" s="2842"/>
      <c r="KCM47" s="2843"/>
      <c r="KCN47" s="2843"/>
      <c r="KCO47" s="2844"/>
      <c r="KCP47" s="2845"/>
      <c r="KCQ47" s="2842"/>
      <c r="KCR47" s="2842"/>
      <c r="KCS47" s="2843"/>
      <c r="KCT47" s="2843"/>
      <c r="KCU47" s="2844"/>
      <c r="KCV47" s="2845"/>
      <c r="KCW47" s="2842"/>
      <c r="KCX47" s="2842"/>
      <c r="KCY47" s="2843"/>
      <c r="KCZ47" s="2843"/>
      <c r="KDA47" s="2844"/>
      <c r="KDB47" s="2845"/>
      <c r="KDC47" s="2842"/>
      <c r="KDD47" s="2842"/>
      <c r="KDE47" s="2843"/>
      <c r="KDF47" s="2843"/>
      <c r="KDG47" s="2844"/>
      <c r="KDH47" s="2845"/>
      <c r="KDI47" s="2842"/>
      <c r="KDJ47" s="2842"/>
      <c r="KDK47" s="2843"/>
      <c r="KDL47" s="2843"/>
      <c r="KDM47" s="2844"/>
      <c r="KDN47" s="2845"/>
      <c r="KDO47" s="2842"/>
      <c r="KDP47" s="2842"/>
      <c r="KDQ47" s="2843"/>
      <c r="KDR47" s="2843"/>
      <c r="KDS47" s="2844"/>
      <c r="KDT47" s="2845"/>
      <c r="KDU47" s="2842"/>
      <c r="KDV47" s="2842"/>
      <c r="KDW47" s="2843"/>
      <c r="KDX47" s="2843"/>
      <c r="KDY47" s="2844"/>
      <c r="KDZ47" s="2845"/>
      <c r="KEA47" s="2842"/>
      <c r="KEB47" s="2842"/>
      <c r="KEC47" s="2843"/>
      <c r="KED47" s="2843"/>
      <c r="KEE47" s="2844"/>
      <c r="KEF47" s="2845"/>
      <c r="KEG47" s="2842"/>
      <c r="KEH47" s="2842"/>
      <c r="KEI47" s="2843"/>
      <c r="KEJ47" s="2843"/>
      <c r="KEK47" s="2844"/>
      <c r="KEL47" s="2845"/>
      <c r="KEM47" s="2842"/>
      <c r="KEN47" s="2842"/>
      <c r="KEO47" s="2843"/>
      <c r="KEP47" s="2843"/>
      <c r="KEQ47" s="2844"/>
      <c r="KER47" s="2845"/>
      <c r="KES47" s="2842"/>
      <c r="KET47" s="2842"/>
      <c r="KEU47" s="2843"/>
      <c r="KEV47" s="2843"/>
      <c r="KEW47" s="2844"/>
      <c r="KEX47" s="2845"/>
      <c r="KEY47" s="2842"/>
      <c r="KEZ47" s="2842"/>
      <c r="KFA47" s="2843"/>
      <c r="KFB47" s="2843"/>
      <c r="KFC47" s="2844"/>
      <c r="KFD47" s="2845"/>
      <c r="KFE47" s="2842"/>
      <c r="KFF47" s="2842"/>
      <c r="KFG47" s="2843"/>
      <c r="KFH47" s="2843"/>
      <c r="KFI47" s="2844"/>
      <c r="KFJ47" s="2845"/>
      <c r="KFK47" s="2842"/>
      <c r="KFL47" s="2842"/>
      <c r="KFM47" s="2843"/>
      <c r="KFN47" s="2843"/>
      <c r="KFO47" s="2844"/>
      <c r="KFP47" s="2845"/>
      <c r="KFQ47" s="2842"/>
      <c r="KFR47" s="2842"/>
      <c r="KFS47" s="2843"/>
      <c r="KFT47" s="2843"/>
      <c r="KFU47" s="2844"/>
      <c r="KFV47" s="2845"/>
      <c r="KFW47" s="2842"/>
      <c r="KFX47" s="2842"/>
      <c r="KFY47" s="2843"/>
      <c r="KFZ47" s="2843"/>
      <c r="KGA47" s="2844"/>
      <c r="KGB47" s="2845"/>
      <c r="KGC47" s="2842"/>
      <c r="KGD47" s="2842"/>
      <c r="KGE47" s="2843"/>
      <c r="KGF47" s="2843"/>
      <c r="KGG47" s="2844"/>
      <c r="KGH47" s="2845"/>
      <c r="KGI47" s="2842"/>
      <c r="KGJ47" s="2842"/>
      <c r="KGK47" s="2843"/>
      <c r="KGL47" s="2843"/>
      <c r="KGM47" s="2844"/>
      <c r="KGN47" s="2845"/>
      <c r="KGO47" s="2842"/>
      <c r="KGP47" s="2842"/>
      <c r="KGQ47" s="2843"/>
      <c r="KGR47" s="2843"/>
      <c r="KGS47" s="2844"/>
      <c r="KGT47" s="2845"/>
      <c r="KGU47" s="2842"/>
      <c r="KGV47" s="2842"/>
      <c r="KGW47" s="2843"/>
      <c r="KGX47" s="2843"/>
      <c r="KGY47" s="2844"/>
      <c r="KGZ47" s="2845"/>
      <c r="KHA47" s="2842"/>
      <c r="KHB47" s="2842"/>
      <c r="KHC47" s="2843"/>
      <c r="KHD47" s="2843"/>
      <c r="KHE47" s="2844"/>
      <c r="KHF47" s="2845"/>
      <c r="KHG47" s="2842"/>
      <c r="KHH47" s="2842"/>
      <c r="KHI47" s="2843"/>
      <c r="KHJ47" s="2843"/>
      <c r="KHK47" s="2844"/>
      <c r="KHL47" s="2845"/>
      <c r="KHM47" s="2842"/>
      <c r="KHN47" s="2842"/>
      <c r="KHO47" s="2843"/>
      <c r="KHP47" s="2843"/>
      <c r="KHQ47" s="2844"/>
      <c r="KHR47" s="2845"/>
      <c r="KHS47" s="2842"/>
      <c r="KHT47" s="2842"/>
      <c r="KHU47" s="2843"/>
      <c r="KHV47" s="2843"/>
      <c r="KHW47" s="2844"/>
      <c r="KHX47" s="2845"/>
      <c r="KHY47" s="2842"/>
      <c r="KHZ47" s="2842"/>
      <c r="KIA47" s="2843"/>
      <c r="KIB47" s="2843"/>
      <c r="KIC47" s="2844"/>
      <c r="KID47" s="2845"/>
      <c r="KIE47" s="2842"/>
      <c r="KIF47" s="2842"/>
      <c r="KIG47" s="2843"/>
      <c r="KIH47" s="2843"/>
      <c r="KII47" s="2844"/>
      <c r="KIJ47" s="2845"/>
      <c r="KIK47" s="2842"/>
      <c r="KIL47" s="2842"/>
      <c r="KIM47" s="2843"/>
      <c r="KIN47" s="2843"/>
      <c r="KIO47" s="2844"/>
      <c r="KIP47" s="2845"/>
      <c r="KIQ47" s="2842"/>
      <c r="KIR47" s="2842"/>
      <c r="KIS47" s="2843"/>
      <c r="KIT47" s="2843"/>
      <c r="KIU47" s="2844"/>
      <c r="KIV47" s="2845"/>
      <c r="KIW47" s="2842"/>
      <c r="KIX47" s="2842"/>
      <c r="KIY47" s="2843"/>
      <c r="KIZ47" s="2843"/>
      <c r="KJA47" s="2844"/>
      <c r="KJB47" s="2845"/>
      <c r="KJC47" s="2842"/>
      <c r="KJD47" s="2842"/>
      <c r="KJE47" s="2843"/>
      <c r="KJF47" s="2843"/>
      <c r="KJG47" s="2844"/>
      <c r="KJH47" s="2845"/>
      <c r="KJI47" s="2842"/>
      <c r="KJJ47" s="2842"/>
      <c r="KJK47" s="2843"/>
      <c r="KJL47" s="2843"/>
      <c r="KJM47" s="2844"/>
      <c r="KJN47" s="2845"/>
      <c r="KJO47" s="2842"/>
      <c r="KJP47" s="2842"/>
      <c r="KJQ47" s="2843"/>
      <c r="KJR47" s="2843"/>
      <c r="KJS47" s="2844"/>
      <c r="KJT47" s="2845"/>
      <c r="KJU47" s="2842"/>
      <c r="KJV47" s="2842"/>
      <c r="KJW47" s="2843"/>
      <c r="KJX47" s="2843"/>
      <c r="KJY47" s="2844"/>
      <c r="KJZ47" s="2845"/>
      <c r="KKA47" s="2842"/>
      <c r="KKB47" s="2842"/>
      <c r="KKC47" s="2843"/>
      <c r="KKD47" s="2843"/>
      <c r="KKE47" s="2844"/>
      <c r="KKF47" s="2845"/>
      <c r="KKG47" s="2842"/>
      <c r="KKH47" s="2842"/>
      <c r="KKI47" s="2843"/>
      <c r="KKJ47" s="2843"/>
      <c r="KKK47" s="2844"/>
      <c r="KKL47" s="2845"/>
      <c r="KKM47" s="2842"/>
      <c r="KKN47" s="2842"/>
      <c r="KKO47" s="2843"/>
      <c r="KKP47" s="2843"/>
      <c r="KKQ47" s="2844"/>
      <c r="KKR47" s="2845"/>
      <c r="KKS47" s="2842"/>
      <c r="KKT47" s="2842"/>
      <c r="KKU47" s="2843"/>
      <c r="KKV47" s="2843"/>
      <c r="KKW47" s="2844"/>
      <c r="KKX47" s="2845"/>
      <c r="KKY47" s="2842"/>
      <c r="KKZ47" s="2842"/>
      <c r="KLA47" s="2843"/>
      <c r="KLB47" s="2843"/>
      <c r="KLC47" s="2844"/>
      <c r="KLD47" s="2845"/>
      <c r="KLE47" s="2842"/>
      <c r="KLF47" s="2842"/>
      <c r="KLG47" s="2843"/>
      <c r="KLH47" s="2843"/>
      <c r="KLI47" s="2844"/>
      <c r="KLJ47" s="2845"/>
      <c r="KLK47" s="2842"/>
      <c r="KLL47" s="2842"/>
      <c r="KLM47" s="2843"/>
      <c r="KLN47" s="2843"/>
      <c r="KLO47" s="2844"/>
      <c r="KLP47" s="2845"/>
      <c r="KLQ47" s="2842"/>
      <c r="KLR47" s="2842"/>
      <c r="KLS47" s="2843"/>
      <c r="KLT47" s="2843"/>
      <c r="KLU47" s="2844"/>
      <c r="KLV47" s="2845"/>
      <c r="KLW47" s="2842"/>
      <c r="KLX47" s="2842"/>
      <c r="KLY47" s="2843"/>
      <c r="KLZ47" s="2843"/>
      <c r="KMA47" s="2844"/>
      <c r="KMB47" s="2845"/>
      <c r="KMC47" s="2842"/>
      <c r="KMD47" s="2842"/>
      <c r="KME47" s="2843"/>
      <c r="KMF47" s="2843"/>
      <c r="KMG47" s="2844"/>
      <c r="KMH47" s="2845"/>
      <c r="KMI47" s="2842"/>
      <c r="KMJ47" s="2842"/>
      <c r="KMK47" s="2843"/>
      <c r="KML47" s="2843"/>
      <c r="KMM47" s="2844"/>
      <c r="KMN47" s="2845"/>
      <c r="KMO47" s="2842"/>
      <c r="KMP47" s="2842"/>
      <c r="KMQ47" s="2843"/>
      <c r="KMR47" s="2843"/>
      <c r="KMS47" s="2844"/>
      <c r="KMT47" s="2845"/>
      <c r="KMU47" s="2842"/>
      <c r="KMV47" s="2842"/>
      <c r="KMW47" s="2843"/>
      <c r="KMX47" s="2843"/>
      <c r="KMY47" s="2844"/>
      <c r="KMZ47" s="2845"/>
      <c r="KNA47" s="2842"/>
      <c r="KNB47" s="2842"/>
      <c r="KNC47" s="2843"/>
      <c r="KND47" s="2843"/>
      <c r="KNE47" s="2844"/>
      <c r="KNF47" s="2845"/>
      <c r="KNG47" s="2842"/>
      <c r="KNH47" s="2842"/>
      <c r="KNI47" s="2843"/>
      <c r="KNJ47" s="2843"/>
      <c r="KNK47" s="2844"/>
      <c r="KNL47" s="2845"/>
      <c r="KNM47" s="2842"/>
      <c r="KNN47" s="2842"/>
      <c r="KNO47" s="2843"/>
      <c r="KNP47" s="2843"/>
      <c r="KNQ47" s="2844"/>
      <c r="KNR47" s="2845"/>
      <c r="KNS47" s="2842"/>
      <c r="KNT47" s="2842"/>
      <c r="KNU47" s="2843"/>
      <c r="KNV47" s="2843"/>
      <c r="KNW47" s="2844"/>
      <c r="KNX47" s="2845"/>
      <c r="KNY47" s="2842"/>
      <c r="KNZ47" s="2842"/>
      <c r="KOA47" s="2843"/>
      <c r="KOB47" s="2843"/>
      <c r="KOC47" s="2844"/>
      <c r="KOD47" s="2845"/>
      <c r="KOE47" s="2842"/>
      <c r="KOF47" s="2842"/>
      <c r="KOG47" s="2843"/>
      <c r="KOH47" s="2843"/>
      <c r="KOI47" s="2844"/>
      <c r="KOJ47" s="2845"/>
      <c r="KOK47" s="2842"/>
      <c r="KOL47" s="2842"/>
      <c r="KOM47" s="2843"/>
      <c r="KON47" s="2843"/>
      <c r="KOO47" s="2844"/>
      <c r="KOP47" s="2845"/>
      <c r="KOQ47" s="2842"/>
      <c r="KOR47" s="2842"/>
      <c r="KOS47" s="2843"/>
      <c r="KOT47" s="2843"/>
      <c r="KOU47" s="2844"/>
      <c r="KOV47" s="2845"/>
      <c r="KOW47" s="2842"/>
      <c r="KOX47" s="2842"/>
      <c r="KOY47" s="2843"/>
      <c r="KOZ47" s="2843"/>
      <c r="KPA47" s="2844"/>
      <c r="KPB47" s="2845"/>
      <c r="KPC47" s="2842"/>
      <c r="KPD47" s="2842"/>
      <c r="KPE47" s="2843"/>
      <c r="KPF47" s="2843"/>
      <c r="KPG47" s="2844"/>
      <c r="KPH47" s="2845"/>
      <c r="KPI47" s="2842"/>
      <c r="KPJ47" s="2842"/>
      <c r="KPK47" s="2843"/>
      <c r="KPL47" s="2843"/>
      <c r="KPM47" s="2844"/>
      <c r="KPN47" s="2845"/>
      <c r="KPO47" s="2842"/>
      <c r="KPP47" s="2842"/>
      <c r="KPQ47" s="2843"/>
      <c r="KPR47" s="2843"/>
      <c r="KPS47" s="2844"/>
      <c r="KPT47" s="2845"/>
      <c r="KPU47" s="2842"/>
      <c r="KPV47" s="2842"/>
      <c r="KPW47" s="2843"/>
      <c r="KPX47" s="2843"/>
      <c r="KPY47" s="2844"/>
      <c r="KPZ47" s="2845"/>
      <c r="KQA47" s="2842"/>
      <c r="KQB47" s="2842"/>
      <c r="KQC47" s="2843"/>
      <c r="KQD47" s="2843"/>
      <c r="KQE47" s="2844"/>
      <c r="KQF47" s="2845"/>
      <c r="KQG47" s="2842"/>
      <c r="KQH47" s="2842"/>
      <c r="KQI47" s="2843"/>
      <c r="KQJ47" s="2843"/>
      <c r="KQK47" s="2844"/>
      <c r="KQL47" s="2845"/>
      <c r="KQM47" s="2842"/>
      <c r="KQN47" s="2842"/>
      <c r="KQO47" s="2843"/>
      <c r="KQP47" s="2843"/>
      <c r="KQQ47" s="2844"/>
      <c r="KQR47" s="2845"/>
      <c r="KQS47" s="2842"/>
      <c r="KQT47" s="2842"/>
      <c r="KQU47" s="2843"/>
      <c r="KQV47" s="2843"/>
      <c r="KQW47" s="2844"/>
      <c r="KQX47" s="2845"/>
      <c r="KQY47" s="2842"/>
      <c r="KQZ47" s="2842"/>
      <c r="KRA47" s="2843"/>
      <c r="KRB47" s="2843"/>
      <c r="KRC47" s="2844"/>
      <c r="KRD47" s="2845"/>
      <c r="KRE47" s="2842"/>
      <c r="KRF47" s="2842"/>
      <c r="KRG47" s="2843"/>
      <c r="KRH47" s="2843"/>
      <c r="KRI47" s="2844"/>
      <c r="KRJ47" s="2845"/>
      <c r="KRK47" s="2842"/>
      <c r="KRL47" s="2842"/>
      <c r="KRM47" s="2843"/>
      <c r="KRN47" s="2843"/>
      <c r="KRO47" s="2844"/>
      <c r="KRP47" s="2845"/>
      <c r="KRQ47" s="2842"/>
      <c r="KRR47" s="2842"/>
      <c r="KRS47" s="2843"/>
      <c r="KRT47" s="2843"/>
      <c r="KRU47" s="2844"/>
      <c r="KRV47" s="2845"/>
      <c r="KRW47" s="2842"/>
      <c r="KRX47" s="2842"/>
      <c r="KRY47" s="2843"/>
      <c r="KRZ47" s="2843"/>
      <c r="KSA47" s="2844"/>
      <c r="KSB47" s="2845"/>
      <c r="KSC47" s="2842"/>
      <c r="KSD47" s="2842"/>
      <c r="KSE47" s="2843"/>
      <c r="KSF47" s="2843"/>
      <c r="KSG47" s="2844"/>
      <c r="KSH47" s="2845"/>
      <c r="KSI47" s="2842"/>
      <c r="KSJ47" s="2842"/>
      <c r="KSK47" s="2843"/>
      <c r="KSL47" s="2843"/>
      <c r="KSM47" s="2844"/>
      <c r="KSN47" s="2845"/>
      <c r="KSO47" s="2842"/>
      <c r="KSP47" s="2842"/>
      <c r="KSQ47" s="2843"/>
      <c r="KSR47" s="2843"/>
      <c r="KSS47" s="2844"/>
      <c r="KST47" s="2845"/>
      <c r="KSU47" s="2842"/>
      <c r="KSV47" s="2842"/>
      <c r="KSW47" s="2843"/>
      <c r="KSX47" s="2843"/>
      <c r="KSY47" s="2844"/>
      <c r="KSZ47" s="2845"/>
      <c r="KTA47" s="2842"/>
      <c r="KTB47" s="2842"/>
      <c r="KTC47" s="2843"/>
      <c r="KTD47" s="2843"/>
      <c r="KTE47" s="2844"/>
      <c r="KTF47" s="2845"/>
      <c r="KTG47" s="2842"/>
      <c r="KTH47" s="2842"/>
      <c r="KTI47" s="2843"/>
      <c r="KTJ47" s="2843"/>
      <c r="KTK47" s="2844"/>
      <c r="KTL47" s="2845"/>
      <c r="KTM47" s="2842"/>
      <c r="KTN47" s="2842"/>
      <c r="KTO47" s="2843"/>
      <c r="KTP47" s="2843"/>
      <c r="KTQ47" s="2844"/>
      <c r="KTR47" s="2845"/>
      <c r="KTS47" s="2842"/>
      <c r="KTT47" s="2842"/>
      <c r="KTU47" s="2843"/>
      <c r="KTV47" s="2843"/>
      <c r="KTW47" s="2844"/>
      <c r="KTX47" s="2845"/>
      <c r="KTY47" s="2842"/>
      <c r="KTZ47" s="2842"/>
      <c r="KUA47" s="2843"/>
      <c r="KUB47" s="2843"/>
      <c r="KUC47" s="2844"/>
      <c r="KUD47" s="2845"/>
      <c r="KUE47" s="2842"/>
      <c r="KUF47" s="2842"/>
      <c r="KUG47" s="2843"/>
      <c r="KUH47" s="2843"/>
      <c r="KUI47" s="2844"/>
      <c r="KUJ47" s="2845"/>
      <c r="KUK47" s="2842"/>
      <c r="KUL47" s="2842"/>
      <c r="KUM47" s="2843"/>
      <c r="KUN47" s="2843"/>
      <c r="KUO47" s="2844"/>
      <c r="KUP47" s="2845"/>
      <c r="KUQ47" s="2842"/>
      <c r="KUR47" s="2842"/>
      <c r="KUS47" s="2843"/>
      <c r="KUT47" s="2843"/>
      <c r="KUU47" s="2844"/>
      <c r="KUV47" s="2845"/>
      <c r="KUW47" s="2842"/>
      <c r="KUX47" s="2842"/>
      <c r="KUY47" s="2843"/>
      <c r="KUZ47" s="2843"/>
      <c r="KVA47" s="2844"/>
      <c r="KVB47" s="2845"/>
      <c r="KVC47" s="2842"/>
      <c r="KVD47" s="2842"/>
      <c r="KVE47" s="2843"/>
      <c r="KVF47" s="2843"/>
      <c r="KVG47" s="2844"/>
      <c r="KVH47" s="2845"/>
      <c r="KVI47" s="2842"/>
      <c r="KVJ47" s="2842"/>
      <c r="KVK47" s="2843"/>
      <c r="KVL47" s="2843"/>
      <c r="KVM47" s="2844"/>
      <c r="KVN47" s="2845"/>
      <c r="KVO47" s="2842"/>
      <c r="KVP47" s="2842"/>
      <c r="KVQ47" s="2843"/>
      <c r="KVR47" s="2843"/>
      <c r="KVS47" s="2844"/>
      <c r="KVT47" s="2845"/>
      <c r="KVU47" s="2842"/>
      <c r="KVV47" s="2842"/>
      <c r="KVW47" s="2843"/>
      <c r="KVX47" s="2843"/>
      <c r="KVY47" s="2844"/>
      <c r="KVZ47" s="2845"/>
      <c r="KWA47" s="2842"/>
      <c r="KWB47" s="2842"/>
      <c r="KWC47" s="2843"/>
      <c r="KWD47" s="2843"/>
      <c r="KWE47" s="2844"/>
      <c r="KWF47" s="2845"/>
      <c r="KWG47" s="2842"/>
      <c r="KWH47" s="2842"/>
      <c r="KWI47" s="2843"/>
      <c r="KWJ47" s="2843"/>
      <c r="KWK47" s="2844"/>
      <c r="KWL47" s="2845"/>
      <c r="KWM47" s="2842"/>
      <c r="KWN47" s="2842"/>
      <c r="KWO47" s="2843"/>
      <c r="KWP47" s="2843"/>
      <c r="KWQ47" s="2844"/>
      <c r="KWR47" s="2845"/>
      <c r="KWS47" s="2842"/>
      <c r="KWT47" s="2842"/>
      <c r="KWU47" s="2843"/>
      <c r="KWV47" s="2843"/>
      <c r="KWW47" s="2844"/>
      <c r="KWX47" s="2845"/>
      <c r="KWY47" s="2842"/>
      <c r="KWZ47" s="2842"/>
      <c r="KXA47" s="2843"/>
      <c r="KXB47" s="2843"/>
      <c r="KXC47" s="2844"/>
      <c r="KXD47" s="2845"/>
      <c r="KXE47" s="2842"/>
      <c r="KXF47" s="2842"/>
      <c r="KXG47" s="2843"/>
      <c r="KXH47" s="2843"/>
      <c r="KXI47" s="2844"/>
      <c r="KXJ47" s="2845"/>
      <c r="KXK47" s="2842"/>
      <c r="KXL47" s="2842"/>
      <c r="KXM47" s="2843"/>
      <c r="KXN47" s="2843"/>
      <c r="KXO47" s="2844"/>
      <c r="KXP47" s="2845"/>
      <c r="KXQ47" s="2842"/>
      <c r="KXR47" s="2842"/>
      <c r="KXS47" s="2843"/>
      <c r="KXT47" s="2843"/>
      <c r="KXU47" s="2844"/>
      <c r="KXV47" s="2845"/>
      <c r="KXW47" s="2842"/>
      <c r="KXX47" s="2842"/>
      <c r="KXY47" s="2843"/>
      <c r="KXZ47" s="2843"/>
      <c r="KYA47" s="2844"/>
      <c r="KYB47" s="2845"/>
      <c r="KYC47" s="2842"/>
      <c r="KYD47" s="2842"/>
      <c r="KYE47" s="2843"/>
      <c r="KYF47" s="2843"/>
      <c r="KYG47" s="2844"/>
      <c r="KYH47" s="2845"/>
      <c r="KYI47" s="2842"/>
      <c r="KYJ47" s="2842"/>
      <c r="KYK47" s="2843"/>
      <c r="KYL47" s="2843"/>
      <c r="KYM47" s="2844"/>
      <c r="KYN47" s="2845"/>
      <c r="KYO47" s="2842"/>
      <c r="KYP47" s="2842"/>
      <c r="KYQ47" s="2843"/>
      <c r="KYR47" s="2843"/>
      <c r="KYS47" s="2844"/>
      <c r="KYT47" s="2845"/>
      <c r="KYU47" s="2842"/>
      <c r="KYV47" s="2842"/>
      <c r="KYW47" s="2843"/>
      <c r="KYX47" s="2843"/>
      <c r="KYY47" s="2844"/>
      <c r="KYZ47" s="2845"/>
      <c r="KZA47" s="2842"/>
      <c r="KZB47" s="2842"/>
      <c r="KZC47" s="2843"/>
      <c r="KZD47" s="2843"/>
      <c r="KZE47" s="2844"/>
      <c r="KZF47" s="2845"/>
      <c r="KZG47" s="2842"/>
      <c r="KZH47" s="2842"/>
      <c r="KZI47" s="2843"/>
      <c r="KZJ47" s="2843"/>
      <c r="KZK47" s="2844"/>
      <c r="KZL47" s="2845"/>
      <c r="KZM47" s="2842"/>
      <c r="KZN47" s="2842"/>
      <c r="KZO47" s="2843"/>
      <c r="KZP47" s="2843"/>
      <c r="KZQ47" s="2844"/>
      <c r="KZR47" s="2845"/>
      <c r="KZS47" s="2842"/>
      <c r="KZT47" s="2842"/>
      <c r="KZU47" s="2843"/>
      <c r="KZV47" s="2843"/>
      <c r="KZW47" s="2844"/>
      <c r="KZX47" s="2845"/>
      <c r="KZY47" s="2842"/>
      <c r="KZZ47" s="2842"/>
      <c r="LAA47" s="2843"/>
      <c r="LAB47" s="2843"/>
      <c r="LAC47" s="2844"/>
      <c r="LAD47" s="2845"/>
      <c r="LAE47" s="2842"/>
      <c r="LAF47" s="2842"/>
      <c r="LAG47" s="2843"/>
      <c r="LAH47" s="2843"/>
      <c r="LAI47" s="2844"/>
      <c r="LAJ47" s="2845"/>
      <c r="LAK47" s="2842"/>
      <c r="LAL47" s="2842"/>
      <c r="LAM47" s="2843"/>
      <c r="LAN47" s="2843"/>
      <c r="LAO47" s="2844"/>
      <c r="LAP47" s="2845"/>
      <c r="LAQ47" s="2842"/>
      <c r="LAR47" s="2842"/>
      <c r="LAS47" s="2843"/>
      <c r="LAT47" s="2843"/>
      <c r="LAU47" s="2844"/>
      <c r="LAV47" s="2845"/>
      <c r="LAW47" s="2842"/>
      <c r="LAX47" s="2842"/>
      <c r="LAY47" s="2843"/>
      <c r="LAZ47" s="2843"/>
      <c r="LBA47" s="2844"/>
      <c r="LBB47" s="2845"/>
      <c r="LBC47" s="2842"/>
      <c r="LBD47" s="2842"/>
      <c r="LBE47" s="2843"/>
      <c r="LBF47" s="2843"/>
      <c r="LBG47" s="2844"/>
      <c r="LBH47" s="2845"/>
      <c r="LBI47" s="2842"/>
      <c r="LBJ47" s="2842"/>
      <c r="LBK47" s="2843"/>
      <c r="LBL47" s="2843"/>
      <c r="LBM47" s="2844"/>
      <c r="LBN47" s="2845"/>
      <c r="LBO47" s="2842"/>
      <c r="LBP47" s="2842"/>
      <c r="LBQ47" s="2843"/>
      <c r="LBR47" s="2843"/>
      <c r="LBS47" s="2844"/>
      <c r="LBT47" s="2845"/>
      <c r="LBU47" s="2842"/>
      <c r="LBV47" s="2842"/>
      <c r="LBW47" s="2843"/>
      <c r="LBX47" s="2843"/>
      <c r="LBY47" s="2844"/>
      <c r="LBZ47" s="2845"/>
      <c r="LCA47" s="2842"/>
      <c r="LCB47" s="2842"/>
      <c r="LCC47" s="2843"/>
      <c r="LCD47" s="2843"/>
      <c r="LCE47" s="2844"/>
      <c r="LCF47" s="2845"/>
      <c r="LCG47" s="2842"/>
      <c r="LCH47" s="2842"/>
      <c r="LCI47" s="2843"/>
      <c r="LCJ47" s="2843"/>
      <c r="LCK47" s="2844"/>
      <c r="LCL47" s="2845"/>
      <c r="LCM47" s="2842"/>
      <c r="LCN47" s="2842"/>
      <c r="LCO47" s="2843"/>
      <c r="LCP47" s="2843"/>
      <c r="LCQ47" s="2844"/>
      <c r="LCR47" s="2845"/>
      <c r="LCS47" s="2842"/>
      <c r="LCT47" s="2842"/>
      <c r="LCU47" s="2843"/>
      <c r="LCV47" s="2843"/>
      <c r="LCW47" s="2844"/>
      <c r="LCX47" s="2845"/>
      <c r="LCY47" s="2842"/>
      <c r="LCZ47" s="2842"/>
      <c r="LDA47" s="2843"/>
      <c r="LDB47" s="2843"/>
      <c r="LDC47" s="2844"/>
      <c r="LDD47" s="2845"/>
      <c r="LDE47" s="2842"/>
      <c r="LDF47" s="2842"/>
      <c r="LDG47" s="2843"/>
      <c r="LDH47" s="2843"/>
      <c r="LDI47" s="2844"/>
      <c r="LDJ47" s="2845"/>
      <c r="LDK47" s="2842"/>
      <c r="LDL47" s="2842"/>
      <c r="LDM47" s="2843"/>
      <c r="LDN47" s="2843"/>
      <c r="LDO47" s="2844"/>
      <c r="LDP47" s="2845"/>
      <c r="LDQ47" s="2842"/>
      <c r="LDR47" s="2842"/>
      <c r="LDS47" s="2843"/>
      <c r="LDT47" s="2843"/>
      <c r="LDU47" s="2844"/>
      <c r="LDV47" s="2845"/>
      <c r="LDW47" s="2842"/>
      <c r="LDX47" s="2842"/>
      <c r="LDY47" s="2843"/>
      <c r="LDZ47" s="2843"/>
      <c r="LEA47" s="2844"/>
      <c r="LEB47" s="2845"/>
      <c r="LEC47" s="2842"/>
      <c r="LED47" s="2842"/>
      <c r="LEE47" s="2843"/>
      <c r="LEF47" s="2843"/>
      <c r="LEG47" s="2844"/>
      <c r="LEH47" s="2845"/>
      <c r="LEI47" s="2842"/>
      <c r="LEJ47" s="2842"/>
      <c r="LEK47" s="2843"/>
      <c r="LEL47" s="2843"/>
      <c r="LEM47" s="2844"/>
      <c r="LEN47" s="2845"/>
      <c r="LEO47" s="2842"/>
      <c r="LEP47" s="2842"/>
      <c r="LEQ47" s="2843"/>
      <c r="LER47" s="2843"/>
      <c r="LES47" s="2844"/>
      <c r="LET47" s="2845"/>
      <c r="LEU47" s="2842"/>
      <c r="LEV47" s="2842"/>
      <c r="LEW47" s="2843"/>
      <c r="LEX47" s="2843"/>
      <c r="LEY47" s="2844"/>
      <c r="LEZ47" s="2845"/>
      <c r="LFA47" s="2842"/>
      <c r="LFB47" s="2842"/>
      <c r="LFC47" s="2843"/>
      <c r="LFD47" s="2843"/>
      <c r="LFE47" s="2844"/>
      <c r="LFF47" s="2845"/>
      <c r="LFG47" s="2842"/>
      <c r="LFH47" s="2842"/>
      <c r="LFI47" s="2843"/>
      <c r="LFJ47" s="2843"/>
      <c r="LFK47" s="2844"/>
      <c r="LFL47" s="2845"/>
      <c r="LFM47" s="2842"/>
      <c r="LFN47" s="2842"/>
      <c r="LFO47" s="2843"/>
      <c r="LFP47" s="2843"/>
      <c r="LFQ47" s="2844"/>
      <c r="LFR47" s="2845"/>
      <c r="LFS47" s="2842"/>
      <c r="LFT47" s="2842"/>
      <c r="LFU47" s="2843"/>
      <c r="LFV47" s="2843"/>
      <c r="LFW47" s="2844"/>
      <c r="LFX47" s="2845"/>
      <c r="LFY47" s="2842"/>
      <c r="LFZ47" s="2842"/>
      <c r="LGA47" s="2843"/>
      <c r="LGB47" s="2843"/>
      <c r="LGC47" s="2844"/>
      <c r="LGD47" s="2845"/>
      <c r="LGE47" s="2842"/>
      <c r="LGF47" s="2842"/>
      <c r="LGG47" s="2843"/>
      <c r="LGH47" s="2843"/>
      <c r="LGI47" s="2844"/>
      <c r="LGJ47" s="2845"/>
      <c r="LGK47" s="2842"/>
      <c r="LGL47" s="2842"/>
      <c r="LGM47" s="2843"/>
      <c r="LGN47" s="2843"/>
      <c r="LGO47" s="2844"/>
      <c r="LGP47" s="2845"/>
      <c r="LGQ47" s="2842"/>
      <c r="LGR47" s="2842"/>
      <c r="LGS47" s="2843"/>
      <c r="LGT47" s="2843"/>
      <c r="LGU47" s="2844"/>
      <c r="LGV47" s="2845"/>
      <c r="LGW47" s="2842"/>
      <c r="LGX47" s="2842"/>
      <c r="LGY47" s="2843"/>
      <c r="LGZ47" s="2843"/>
      <c r="LHA47" s="2844"/>
      <c r="LHB47" s="2845"/>
      <c r="LHC47" s="2842"/>
      <c r="LHD47" s="2842"/>
      <c r="LHE47" s="2843"/>
      <c r="LHF47" s="2843"/>
      <c r="LHG47" s="2844"/>
      <c r="LHH47" s="2845"/>
      <c r="LHI47" s="2842"/>
      <c r="LHJ47" s="2842"/>
      <c r="LHK47" s="2843"/>
      <c r="LHL47" s="2843"/>
      <c r="LHM47" s="2844"/>
      <c r="LHN47" s="2845"/>
      <c r="LHO47" s="2842"/>
      <c r="LHP47" s="2842"/>
      <c r="LHQ47" s="2843"/>
      <c r="LHR47" s="2843"/>
      <c r="LHS47" s="2844"/>
      <c r="LHT47" s="2845"/>
      <c r="LHU47" s="2842"/>
      <c r="LHV47" s="2842"/>
      <c r="LHW47" s="2843"/>
      <c r="LHX47" s="2843"/>
      <c r="LHY47" s="2844"/>
      <c r="LHZ47" s="2845"/>
      <c r="LIA47" s="2842"/>
      <c r="LIB47" s="2842"/>
      <c r="LIC47" s="2843"/>
      <c r="LID47" s="2843"/>
      <c r="LIE47" s="2844"/>
      <c r="LIF47" s="2845"/>
      <c r="LIG47" s="2842"/>
      <c r="LIH47" s="2842"/>
      <c r="LII47" s="2843"/>
      <c r="LIJ47" s="2843"/>
      <c r="LIK47" s="2844"/>
      <c r="LIL47" s="2845"/>
      <c r="LIM47" s="2842"/>
      <c r="LIN47" s="2842"/>
      <c r="LIO47" s="2843"/>
      <c r="LIP47" s="2843"/>
      <c r="LIQ47" s="2844"/>
      <c r="LIR47" s="2845"/>
      <c r="LIS47" s="2842"/>
      <c r="LIT47" s="2842"/>
      <c r="LIU47" s="2843"/>
      <c r="LIV47" s="2843"/>
      <c r="LIW47" s="2844"/>
      <c r="LIX47" s="2845"/>
      <c r="LIY47" s="2842"/>
      <c r="LIZ47" s="2842"/>
      <c r="LJA47" s="2843"/>
      <c r="LJB47" s="2843"/>
      <c r="LJC47" s="2844"/>
      <c r="LJD47" s="2845"/>
      <c r="LJE47" s="2842"/>
      <c r="LJF47" s="2842"/>
      <c r="LJG47" s="2843"/>
      <c r="LJH47" s="2843"/>
      <c r="LJI47" s="2844"/>
      <c r="LJJ47" s="2845"/>
      <c r="LJK47" s="2842"/>
      <c r="LJL47" s="2842"/>
      <c r="LJM47" s="2843"/>
      <c r="LJN47" s="2843"/>
      <c r="LJO47" s="2844"/>
      <c r="LJP47" s="2845"/>
      <c r="LJQ47" s="2842"/>
      <c r="LJR47" s="2842"/>
      <c r="LJS47" s="2843"/>
      <c r="LJT47" s="2843"/>
      <c r="LJU47" s="2844"/>
      <c r="LJV47" s="2845"/>
      <c r="LJW47" s="2842"/>
      <c r="LJX47" s="2842"/>
      <c r="LJY47" s="2843"/>
      <c r="LJZ47" s="2843"/>
      <c r="LKA47" s="2844"/>
      <c r="LKB47" s="2845"/>
      <c r="LKC47" s="2842"/>
      <c r="LKD47" s="2842"/>
      <c r="LKE47" s="2843"/>
      <c r="LKF47" s="2843"/>
      <c r="LKG47" s="2844"/>
      <c r="LKH47" s="2845"/>
      <c r="LKI47" s="2842"/>
      <c r="LKJ47" s="2842"/>
      <c r="LKK47" s="2843"/>
      <c r="LKL47" s="2843"/>
      <c r="LKM47" s="2844"/>
      <c r="LKN47" s="2845"/>
      <c r="LKO47" s="2842"/>
      <c r="LKP47" s="2842"/>
      <c r="LKQ47" s="2843"/>
      <c r="LKR47" s="2843"/>
      <c r="LKS47" s="2844"/>
      <c r="LKT47" s="2845"/>
      <c r="LKU47" s="2842"/>
      <c r="LKV47" s="2842"/>
      <c r="LKW47" s="2843"/>
      <c r="LKX47" s="2843"/>
      <c r="LKY47" s="2844"/>
      <c r="LKZ47" s="2845"/>
      <c r="LLA47" s="2842"/>
      <c r="LLB47" s="2842"/>
      <c r="LLC47" s="2843"/>
      <c r="LLD47" s="2843"/>
      <c r="LLE47" s="2844"/>
      <c r="LLF47" s="2845"/>
      <c r="LLG47" s="2842"/>
      <c r="LLH47" s="2842"/>
      <c r="LLI47" s="2843"/>
      <c r="LLJ47" s="2843"/>
      <c r="LLK47" s="2844"/>
      <c r="LLL47" s="2845"/>
      <c r="LLM47" s="2842"/>
      <c r="LLN47" s="2842"/>
      <c r="LLO47" s="2843"/>
      <c r="LLP47" s="2843"/>
      <c r="LLQ47" s="2844"/>
      <c r="LLR47" s="2845"/>
      <c r="LLS47" s="2842"/>
      <c r="LLT47" s="2842"/>
      <c r="LLU47" s="2843"/>
      <c r="LLV47" s="2843"/>
      <c r="LLW47" s="2844"/>
      <c r="LLX47" s="2845"/>
      <c r="LLY47" s="2842"/>
      <c r="LLZ47" s="2842"/>
      <c r="LMA47" s="2843"/>
      <c r="LMB47" s="2843"/>
      <c r="LMC47" s="2844"/>
      <c r="LMD47" s="2845"/>
      <c r="LME47" s="2842"/>
      <c r="LMF47" s="2842"/>
      <c r="LMG47" s="2843"/>
      <c r="LMH47" s="2843"/>
      <c r="LMI47" s="2844"/>
      <c r="LMJ47" s="2845"/>
      <c r="LMK47" s="2842"/>
      <c r="LML47" s="2842"/>
      <c r="LMM47" s="2843"/>
      <c r="LMN47" s="2843"/>
      <c r="LMO47" s="2844"/>
      <c r="LMP47" s="2845"/>
      <c r="LMQ47" s="2842"/>
      <c r="LMR47" s="2842"/>
      <c r="LMS47" s="2843"/>
      <c r="LMT47" s="2843"/>
      <c r="LMU47" s="2844"/>
      <c r="LMV47" s="2845"/>
      <c r="LMW47" s="2842"/>
      <c r="LMX47" s="2842"/>
      <c r="LMY47" s="2843"/>
      <c r="LMZ47" s="2843"/>
      <c r="LNA47" s="2844"/>
      <c r="LNB47" s="2845"/>
      <c r="LNC47" s="2842"/>
      <c r="LND47" s="2842"/>
      <c r="LNE47" s="2843"/>
      <c r="LNF47" s="2843"/>
      <c r="LNG47" s="2844"/>
      <c r="LNH47" s="2845"/>
      <c r="LNI47" s="2842"/>
      <c r="LNJ47" s="2842"/>
      <c r="LNK47" s="2843"/>
      <c r="LNL47" s="2843"/>
      <c r="LNM47" s="2844"/>
      <c r="LNN47" s="2845"/>
      <c r="LNO47" s="2842"/>
      <c r="LNP47" s="2842"/>
      <c r="LNQ47" s="2843"/>
      <c r="LNR47" s="2843"/>
      <c r="LNS47" s="2844"/>
      <c r="LNT47" s="2845"/>
      <c r="LNU47" s="2842"/>
      <c r="LNV47" s="2842"/>
      <c r="LNW47" s="2843"/>
      <c r="LNX47" s="2843"/>
      <c r="LNY47" s="2844"/>
      <c r="LNZ47" s="2845"/>
      <c r="LOA47" s="2842"/>
      <c r="LOB47" s="2842"/>
      <c r="LOC47" s="2843"/>
      <c r="LOD47" s="2843"/>
      <c r="LOE47" s="2844"/>
      <c r="LOF47" s="2845"/>
      <c r="LOG47" s="2842"/>
      <c r="LOH47" s="2842"/>
      <c r="LOI47" s="2843"/>
      <c r="LOJ47" s="2843"/>
      <c r="LOK47" s="2844"/>
      <c r="LOL47" s="2845"/>
      <c r="LOM47" s="2842"/>
      <c r="LON47" s="2842"/>
      <c r="LOO47" s="2843"/>
      <c r="LOP47" s="2843"/>
      <c r="LOQ47" s="2844"/>
      <c r="LOR47" s="2845"/>
      <c r="LOS47" s="2842"/>
      <c r="LOT47" s="2842"/>
      <c r="LOU47" s="2843"/>
      <c r="LOV47" s="2843"/>
      <c r="LOW47" s="2844"/>
      <c r="LOX47" s="2845"/>
      <c r="LOY47" s="2842"/>
      <c r="LOZ47" s="2842"/>
      <c r="LPA47" s="2843"/>
      <c r="LPB47" s="2843"/>
      <c r="LPC47" s="2844"/>
      <c r="LPD47" s="2845"/>
      <c r="LPE47" s="2842"/>
      <c r="LPF47" s="2842"/>
      <c r="LPG47" s="2843"/>
      <c r="LPH47" s="2843"/>
      <c r="LPI47" s="2844"/>
      <c r="LPJ47" s="2845"/>
      <c r="LPK47" s="2842"/>
      <c r="LPL47" s="2842"/>
      <c r="LPM47" s="2843"/>
      <c r="LPN47" s="2843"/>
      <c r="LPO47" s="2844"/>
      <c r="LPP47" s="2845"/>
      <c r="LPQ47" s="2842"/>
      <c r="LPR47" s="2842"/>
      <c r="LPS47" s="2843"/>
      <c r="LPT47" s="2843"/>
      <c r="LPU47" s="2844"/>
      <c r="LPV47" s="2845"/>
      <c r="LPW47" s="2842"/>
      <c r="LPX47" s="2842"/>
      <c r="LPY47" s="2843"/>
      <c r="LPZ47" s="2843"/>
      <c r="LQA47" s="2844"/>
      <c r="LQB47" s="2845"/>
      <c r="LQC47" s="2842"/>
      <c r="LQD47" s="2842"/>
      <c r="LQE47" s="2843"/>
      <c r="LQF47" s="2843"/>
      <c r="LQG47" s="2844"/>
      <c r="LQH47" s="2845"/>
      <c r="LQI47" s="2842"/>
      <c r="LQJ47" s="2842"/>
      <c r="LQK47" s="2843"/>
      <c r="LQL47" s="2843"/>
      <c r="LQM47" s="2844"/>
      <c r="LQN47" s="2845"/>
      <c r="LQO47" s="2842"/>
      <c r="LQP47" s="2842"/>
      <c r="LQQ47" s="2843"/>
      <c r="LQR47" s="2843"/>
      <c r="LQS47" s="2844"/>
      <c r="LQT47" s="2845"/>
      <c r="LQU47" s="2842"/>
      <c r="LQV47" s="2842"/>
      <c r="LQW47" s="2843"/>
      <c r="LQX47" s="2843"/>
      <c r="LQY47" s="2844"/>
      <c r="LQZ47" s="2845"/>
      <c r="LRA47" s="2842"/>
      <c r="LRB47" s="2842"/>
      <c r="LRC47" s="2843"/>
      <c r="LRD47" s="2843"/>
      <c r="LRE47" s="2844"/>
      <c r="LRF47" s="2845"/>
      <c r="LRG47" s="2842"/>
      <c r="LRH47" s="2842"/>
      <c r="LRI47" s="2843"/>
      <c r="LRJ47" s="2843"/>
      <c r="LRK47" s="2844"/>
      <c r="LRL47" s="2845"/>
      <c r="LRM47" s="2842"/>
      <c r="LRN47" s="2842"/>
      <c r="LRO47" s="2843"/>
      <c r="LRP47" s="2843"/>
      <c r="LRQ47" s="2844"/>
      <c r="LRR47" s="2845"/>
      <c r="LRS47" s="2842"/>
      <c r="LRT47" s="2842"/>
      <c r="LRU47" s="2843"/>
      <c r="LRV47" s="2843"/>
      <c r="LRW47" s="2844"/>
      <c r="LRX47" s="2845"/>
      <c r="LRY47" s="2842"/>
      <c r="LRZ47" s="2842"/>
      <c r="LSA47" s="2843"/>
      <c r="LSB47" s="2843"/>
      <c r="LSC47" s="2844"/>
      <c r="LSD47" s="2845"/>
      <c r="LSE47" s="2842"/>
      <c r="LSF47" s="2842"/>
      <c r="LSG47" s="2843"/>
      <c r="LSH47" s="2843"/>
      <c r="LSI47" s="2844"/>
      <c r="LSJ47" s="2845"/>
      <c r="LSK47" s="2842"/>
      <c r="LSL47" s="2842"/>
      <c r="LSM47" s="2843"/>
      <c r="LSN47" s="2843"/>
      <c r="LSO47" s="2844"/>
      <c r="LSP47" s="2845"/>
      <c r="LSQ47" s="2842"/>
      <c r="LSR47" s="2842"/>
      <c r="LSS47" s="2843"/>
      <c r="LST47" s="2843"/>
      <c r="LSU47" s="2844"/>
      <c r="LSV47" s="2845"/>
      <c r="LSW47" s="2842"/>
      <c r="LSX47" s="2842"/>
      <c r="LSY47" s="2843"/>
      <c r="LSZ47" s="2843"/>
      <c r="LTA47" s="2844"/>
      <c r="LTB47" s="2845"/>
      <c r="LTC47" s="2842"/>
      <c r="LTD47" s="2842"/>
      <c r="LTE47" s="2843"/>
      <c r="LTF47" s="2843"/>
      <c r="LTG47" s="2844"/>
      <c r="LTH47" s="2845"/>
      <c r="LTI47" s="2842"/>
      <c r="LTJ47" s="2842"/>
      <c r="LTK47" s="2843"/>
      <c r="LTL47" s="2843"/>
      <c r="LTM47" s="2844"/>
      <c r="LTN47" s="2845"/>
      <c r="LTO47" s="2842"/>
      <c r="LTP47" s="2842"/>
      <c r="LTQ47" s="2843"/>
      <c r="LTR47" s="2843"/>
      <c r="LTS47" s="2844"/>
      <c r="LTT47" s="2845"/>
      <c r="LTU47" s="2842"/>
      <c r="LTV47" s="2842"/>
      <c r="LTW47" s="2843"/>
      <c r="LTX47" s="2843"/>
      <c r="LTY47" s="2844"/>
      <c r="LTZ47" s="2845"/>
      <c r="LUA47" s="2842"/>
      <c r="LUB47" s="2842"/>
      <c r="LUC47" s="2843"/>
      <c r="LUD47" s="2843"/>
      <c r="LUE47" s="2844"/>
      <c r="LUF47" s="2845"/>
      <c r="LUG47" s="2842"/>
      <c r="LUH47" s="2842"/>
      <c r="LUI47" s="2843"/>
      <c r="LUJ47" s="2843"/>
      <c r="LUK47" s="2844"/>
      <c r="LUL47" s="2845"/>
      <c r="LUM47" s="2842"/>
      <c r="LUN47" s="2842"/>
      <c r="LUO47" s="2843"/>
      <c r="LUP47" s="2843"/>
      <c r="LUQ47" s="2844"/>
      <c r="LUR47" s="2845"/>
      <c r="LUS47" s="2842"/>
      <c r="LUT47" s="2842"/>
      <c r="LUU47" s="2843"/>
      <c r="LUV47" s="2843"/>
      <c r="LUW47" s="2844"/>
      <c r="LUX47" s="2845"/>
      <c r="LUY47" s="2842"/>
      <c r="LUZ47" s="2842"/>
      <c r="LVA47" s="2843"/>
      <c r="LVB47" s="2843"/>
      <c r="LVC47" s="2844"/>
      <c r="LVD47" s="2845"/>
      <c r="LVE47" s="2842"/>
      <c r="LVF47" s="2842"/>
      <c r="LVG47" s="2843"/>
      <c r="LVH47" s="2843"/>
      <c r="LVI47" s="2844"/>
      <c r="LVJ47" s="2845"/>
      <c r="LVK47" s="2842"/>
      <c r="LVL47" s="2842"/>
      <c r="LVM47" s="2843"/>
      <c r="LVN47" s="2843"/>
      <c r="LVO47" s="2844"/>
      <c r="LVP47" s="2845"/>
      <c r="LVQ47" s="2842"/>
      <c r="LVR47" s="2842"/>
      <c r="LVS47" s="2843"/>
      <c r="LVT47" s="2843"/>
      <c r="LVU47" s="2844"/>
      <c r="LVV47" s="2845"/>
      <c r="LVW47" s="2842"/>
      <c r="LVX47" s="2842"/>
      <c r="LVY47" s="2843"/>
      <c r="LVZ47" s="2843"/>
      <c r="LWA47" s="2844"/>
      <c r="LWB47" s="2845"/>
      <c r="LWC47" s="2842"/>
      <c r="LWD47" s="2842"/>
      <c r="LWE47" s="2843"/>
      <c r="LWF47" s="2843"/>
      <c r="LWG47" s="2844"/>
      <c r="LWH47" s="2845"/>
      <c r="LWI47" s="2842"/>
      <c r="LWJ47" s="2842"/>
      <c r="LWK47" s="2843"/>
      <c r="LWL47" s="2843"/>
      <c r="LWM47" s="2844"/>
      <c r="LWN47" s="2845"/>
      <c r="LWO47" s="2842"/>
      <c r="LWP47" s="2842"/>
      <c r="LWQ47" s="2843"/>
      <c r="LWR47" s="2843"/>
      <c r="LWS47" s="2844"/>
      <c r="LWT47" s="2845"/>
      <c r="LWU47" s="2842"/>
      <c r="LWV47" s="2842"/>
      <c r="LWW47" s="2843"/>
      <c r="LWX47" s="2843"/>
      <c r="LWY47" s="2844"/>
      <c r="LWZ47" s="2845"/>
      <c r="LXA47" s="2842"/>
      <c r="LXB47" s="2842"/>
      <c r="LXC47" s="2843"/>
      <c r="LXD47" s="2843"/>
      <c r="LXE47" s="2844"/>
      <c r="LXF47" s="2845"/>
      <c r="LXG47" s="2842"/>
      <c r="LXH47" s="2842"/>
      <c r="LXI47" s="2843"/>
      <c r="LXJ47" s="2843"/>
      <c r="LXK47" s="2844"/>
      <c r="LXL47" s="2845"/>
      <c r="LXM47" s="2842"/>
      <c r="LXN47" s="2842"/>
      <c r="LXO47" s="2843"/>
      <c r="LXP47" s="2843"/>
      <c r="LXQ47" s="2844"/>
      <c r="LXR47" s="2845"/>
      <c r="LXS47" s="2842"/>
      <c r="LXT47" s="2842"/>
      <c r="LXU47" s="2843"/>
      <c r="LXV47" s="2843"/>
      <c r="LXW47" s="2844"/>
      <c r="LXX47" s="2845"/>
      <c r="LXY47" s="2842"/>
      <c r="LXZ47" s="2842"/>
      <c r="LYA47" s="2843"/>
      <c r="LYB47" s="2843"/>
      <c r="LYC47" s="2844"/>
      <c r="LYD47" s="2845"/>
      <c r="LYE47" s="2842"/>
      <c r="LYF47" s="2842"/>
      <c r="LYG47" s="2843"/>
      <c r="LYH47" s="2843"/>
      <c r="LYI47" s="2844"/>
      <c r="LYJ47" s="2845"/>
      <c r="LYK47" s="2842"/>
      <c r="LYL47" s="2842"/>
      <c r="LYM47" s="2843"/>
      <c r="LYN47" s="2843"/>
      <c r="LYO47" s="2844"/>
      <c r="LYP47" s="2845"/>
      <c r="LYQ47" s="2842"/>
      <c r="LYR47" s="2842"/>
      <c r="LYS47" s="2843"/>
      <c r="LYT47" s="2843"/>
      <c r="LYU47" s="2844"/>
      <c r="LYV47" s="2845"/>
      <c r="LYW47" s="2842"/>
      <c r="LYX47" s="2842"/>
      <c r="LYY47" s="2843"/>
      <c r="LYZ47" s="2843"/>
      <c r="LZA47" s="2844"/>
      <c r="LZB47" s="2845"/>
      <c r="LZC47" s="2842"/>
      <c r="LZD47" s="2842"/>
      <c r="LZE47" s="2843"/>
      <c r="LZF47" s="2843"/>
      <c r="LZG47" s="2844"/>
      <c r="LZH47" s="2845"/>
      <c r="LZI47" s="2842"/>
      <c r="LZJ47" s="2842"/>
      <c r="LZK47" s="2843"/>
      <c r="LZL47" s="2843"/>
      <c r="LZM47" s="2844"/>
      <c r="LZN47" s="2845"/>
      <c r="LZO47" s="2842"/>
      <c r="LZP47" s="2842"/>
      <c r="LZQ47" s="2843"/>
      <c r="LZR47" s="2843"/>
      <c r="LZS47" s="2844"/>
      <c r="LZT47" s="2845"/>
      <c r="LZU47" s="2842"/>
      <c r="LZV47" s="2842"/>
      <c r="LZW47" s="2843"/>
      <c r="LZX47" s="2843"/>
      <c r="LZY47" s="2844"/>
      <c r="LZZ47" s="2845"/>
      <c r="MAA47" s="2842"/>
      <c r="MAB47" s="2842"/>
      <c r="MAC47" s="2843"/>
      <c r="MAD47" s="2843"/>
      <c r="MAE47" s="2844"/>
      <c r="MAF47" s="2845"/>
      <c r="MAG47" s="2842"/>
      <c r="MAH47" s="2842"/>
      <c r="MAI47" s="2843"/>
      <c r="MAJ47" s="2843"/>
      <c r="MAK47" s="2844"/>
      <c r="MAL47" s="2845"/>
      <c r="MAM47" s="2842"/>
      <c r="MAN47" s="2842"/>
      <c r="MAO47" s="2843"/>
      <c r="MAP47" s="2843"/>
      <c r="MAQ47" s="2844"/>
      <c r="MAR47" s="2845"/>
      <c r="MAS47" s="2842"/>
      <c r="MAT47" s="2842"/>
      <c r="MAU47" s="2843"/>
      <c r="MAV47" s="2843"/>
      <c r="MAW47" s="2844"/>
      <c r="MAX47" s="2845"/>
      <c r="MAY47" s="2842"/>
      <c r="MAZ47" s="2842"/>
      <c r="MBA47" s="2843"/>
      <c r="MBB47" s="2843"/>
      <c r="MBC47" s="2844"/>
      <c r="MBD47" s="2845"/>
      <c r="MBE47" s="2842"/>
      <c r="MBF47" s="2842"/>
      <c r="MBG47" s="2843"/>
      <c r="MBH47" s="2843"/>
      <c r="MBI47" s="2844"/>
      <c r="MBJ47" s="2845"/>
      <c r="MBK47" s="2842"/>
      <c r="MBL47" s="2842"/>
      <c r="MBM47" s="2843"/>
      <c r="MBN47" s="2843"/>
      <c r="MBO47" s="2844"/>
      <c r="MBP47" s="2845"/>
      <c r="MBQ47" s="2842"/>
      <c r="MBR47" s="2842"/>
      <c r="MBS47" s="2843"/>
      <c r="MBT47" s="2843"/>
      <c r="MBU47" s="2844"/>
      <c r="MBV47" s="2845"/>
      <c r="MBW47" s="2842"/>
      <c r="MBX47" s="2842"/>
      <c r="MBY47" s="2843"/>
      <c r="MBZ47" s="2843"/>
      <c r="MCA47" s="2844"/>
      <c r="MCB47" s="2845"/>
      <c r="MCC47" s="2842"/>
      <c r="MCD47" s="2842"/>
      <c r="MCE47" s="2843"/>
      <c r="MCF47" s="2843"/>
      <c r="MCG47" s="2844"/>
      <c r="MCH47" s="2845"/>
      <c r="MCI47" s="2842"/>
      <c r="MCJ47" s="2842"/>
      <c r="MCK47" s="2843"/>
      <c r="MCL47" s="2843"/>
      <c r="MCM47" s="2844"/>
      <c r="MCN47" s="2845"/>
      <c r="MCO47" s="2842"/>
      <c r="MCP47" s="2842"/>
      <c r="MCQ47" s="2843"/>
      <c r="MCR47" s="2843"/>
      <c r="MCS47" s="2844"/>
      <c r="MCT47" s="2845"/>
      <c r="MCU47" s="2842"/>
      <c r="MCV47" s="2842"/>
      <c r="MCW47" s="2843"/>
      <c r="MCX47" s="2843"/>
      <c r="MCY47" s="2844"/>
      <c r="MCZ47" s="2845"/>
      <c r="MDA47" s="2842"/>
      <c r="MDB47" s="2842"/>
      <c r="MDC47" s="2843"/>
      <c r="MDD47" s="2843"/>
      <c r="MDE47" s="2844"/>
      <c r="MDF47" s="2845"/>
      <c r="MDG47" s="2842"/>
      <c r="MDH47" s="2842"/>
      <c r="MDI47" s="2843"/>
      <c r="MDJ47" s="2843"/>
      <c r="MDK47" s="2844"/>
      <c r="MDL47" s="2845"/>
      <c r="MDM47" s="2842"/>
      <c r="MDN47" s="2842"/>
      <c r="MDO47" s="2843"/>
      <c r="MDP47" s="2843"/>
      <c r="MDQ47" s="2844"/>
      <c r="MDR47" s="2845"/>
      <c r="MDS47" s="2842"/>
      <c r="MDT47" s="2842"/>
      <c r="MDU47" s="2843"/>
      <c r="MDV47" s="2843"/>
      <c r="MDW47" s="2844"/>
      <c r="MDX47" s="2845"/>
      <c r="MDY47" s="2842"/>
      <c r="MDZ47" s="2842"/>
      <c r="MEA47" s="2843"/>
      <c r="MEB47" s="2843"/>
      <c r="MEC47" s="2844"/>
      <c r="MED47" s="2845"/>
      <c r="MEE47" s="2842"/>
      <c r="MEF47" s="2842"/>
      <c r="MEG47" s="2843"/>
      <c r="MEH47" s="2843"/>
      <c r="MEI47" s="2844"/>
      <c r="MEJ47" s="2845"/>
      <c r="MEK47" s="2842"/>
      <c r="MEL47" s="2842"/>
      <c r="MEM47" s="2843"/>
      <c r="MEN47" s="2843"/>
      <c r="MEO47" s="2844"/>
      <c r="MEP47" s="2845"/>
      <c r="MEQ47" s="2842"/>
      <c r="MER47" s="2842"/>
      <c r="MES47" s="2843"/>
      <c r="MET47" s="2843"/>
      <c r="MEU47" s="2844"/>
      <c r="MEV47" s="2845"/>
      <c r="MEW47" s="2842"/>
      <c r="MEX47" s="2842"/>
      <c r="MEY47" s="2843"/>
      <c r="MEZ47" s="2843"/>
      <c r="MFA47" s="2844"/>
      <c r="MFB47" s="2845"/>
      <c r="MFC47" s="2842"/>
      <c r="MFD47" s="2842"/>
      <c r="MFE47" s="2843"/>
      <c r="MFF47" s="2843"/>
      <c r="MFG47" s="2844"/>
      <c r="MFH47" s="2845"/>
      <c r="MFI47" s="2842"/>
      <c r="MFJ47" s="2842"/>
      <c r="MFK47" s="2843"/>
      <c r="MFL47" s="2843"/>
      <c r="MFM47" s="2844"/>
      <c r="MFN47" s="2845"/>
      <c r="MFO47" s="2842"/>
      <c r="MFP47" s="2842"/>
      <c r="MFQ47" s="2843"/>
      <c r="MFR47" s="2843"/>
      <c r="MFS47" s="2844"/>
      <c r="MFT47" s="2845"/>
      <c r="MFU47" s="2842"/>
      <c r="MFV47" s="2842"/>
      <c r="MFW47" s="2843"/>
      <c r="MFX47" s="2843"/>
      <c r="MFY47" s="2844"/>
      <c r="MFZ47" s="2845"/>
      <c r="MGA47" s="2842"/>
      <c r="MGB47" s="2842"/>
      <c r="MGC47" s="2843"/>
      <c r="MGD47" s="2843"/>
      <c r="MGE47" s="2844"/>
      <c r="MGF47" s="2845"/>
      <c r="MGG47" s="2842"/>
      <c r="MGH47" s="2842"/>
      <c r="MGI47" s="2843"/>
      <c r="MGJ47" s="2843"/>
      <c r="MGK47" s="2844"/>
      <c r="MGL47" s="2845"/>
      <c r="MGM47" s="2842"/>
      <c r="MGN47" s="2842"/>
      <c r="MGO47" s="2843"/>
      <c r="MGP47" s="2843"/>
      <c r="MGQ47" s="2844"/>
      <c r="MGR47" s="2845"/>
      <c r="MGS47" s="2842"/>
      <c r="MGT47" s="2842"/>
      <c r="MGU47" s="2843"/>
      <c r="MGV47" s="2843"/>
      <c r="MGW47" s="2844"/>
      <c r="MGX47" s="2845"/>
      <c r="MGY47" s="2842"/>
      <c r="MGZ47" s="2842"/>
      <c r="MHA47" s="2843"/>
      <c r="MHB47" s="2843"/>
      <c r="MHC47" s="2844"/>
      <c r="MHD47" s="2845"/>
      <c r="MHE47" s="2842"/>
      <c r="MHF47" s="2842"/>
      <c r="MHG47" s="2843"/>
      <c r="MHH47" s="2843"/>
      <c r="MHI47" s="2844"/>
      <c r="MHJ47" s="2845"/>
      <c r="MHK47" s="2842"/>
      <c r="MHL47" s="2842"/>
      <c r="MHM47" s="2843"/>
      <c r="MHN47" s="2843"/>
      <c r="MHO47" s="2844"/>
      <c r="MHP47" s="2845"/>
      <c r="MHQ47" s="2842"/>
      <c r="MHR47" s="2842"/>
      <c r="MHS47" s="2843"/>
      <c r="MHT47" s="2843"/>
      <c r="MHU47" s="2844"/>
      <c r="MHV47" s="2845"/>
      <c r="MHW47" s="2842"/>
      <c r="MHX47" s="2842"/>
      <c r="MHY47" s="2843"/>
      <c r="MHZ47" s="2843"/>
      <c r="MIA47" s="2844"/>
      <c r="MIB47" s="2845"/>
      <c r="MIC47" s="2842"/>
      <c r="MID47" s="2842"/>
      <c r="MIE47" s="2843"/>
      <c r="MIF47" s="2843"/>
      <c r="MIG47" s="2844"/>
      <c r="MIH47" s="2845"/>
      <c r="MII47" s="2842"/>
      <c r="MIJ47" s="2842"/>
      <c r="MIK47" s="2843"/>
      <c r="MIL47" s="2843"/>
      <c r="MIM47" s="2844"/>
      <c r="MIN47" s="2845"/>
      <c r="MIO47" s="2842"/>
      <c r="MIP47" s="2842"/>
      <c r="MIQ47" s="2843"/>
      <c r="MIR47" s="2843"/>
      <c r="MIS47" s="2844"/>
      <c r="MIT47" s="2845"/>
      <c r="MIU47" s="2842"/>
      <c r="MIV47" s="2842"/>
      <c r="MIW47" s="2843"/>
      <c r="MIX47" s="2843"/>
      <c r="MIY47" s="2844"/>
      <c r="MIZ47" s="2845"/>
      <c r="MJA47" s="2842"/>
      <c r="MJB47" s="2842"/>
      <c r="MJC47" s="2843"/>
      <c r="MJD47" s="2843"/>
      <c r="MJE47" s="2844"/>
      <c r="MJF47" s="2845"/>
      <c r="MJG47" s="2842"/>
      <c r="MJH47" s="2842"/>
      <c r="MJI47" s="2843"/>
      <c r="MJJ47" s="2843"/>
      <c r="MJK47" s="2844"/>
      <c r="MJL47" s="2845"/>
      <c r="MJM47" s="2842"/>
      <c r="MJN47" s="2842"/>
      <c r="MJO47" s="2843"/>
      <c r="MJP47" s="2843"/>
      <c r="MJQ47" s="2844"/>
      <c r="MJR47" s="2845"/>
      <c r="MJS47" s="2842"/>
      <c r="MJT47" s="2842"/>
      <c r="MJU47" s="2843"/>
      <c r="MJV47" s="2843"/>
      <c r="MJW47" s="2844"/>
      <c r="MJX47" s="2845"/>
      <c r="MJY47" s="2842"/>
      <c r="MJZ47" s="2842"/>
      <c r="MKA47" s="2843"/>
      <c r="MKB47" s="2843"/>
      <c r="MKC47" s="2844"/>
      <c r="MKD47" s="2845"/>
      <c r="MKE47" s="2842"/>
      <c r="MKF47" s="2842"/>
      <c r="MKG47" s="2843"/>
      <c r="MKH47" s="2843"/>
      <c r="MKI47" s="2844"/>
      <c r="MKJ47" s="2845"/>
      <c r="MKK47" s="2842"/>
      <c r="MKL47" s="2842"/>
      <c r="MKM47" s="2843"/>
      <c r="MKN47" s="2843"/>
      <c r="MKO47" s="2844"/>
      <c r="MKP47" s="2845"/>
      <c r="MKQ47" s="2842"/>
      <c r="MKR47" s="2842"/>
      <c r="MKS47" s="2843"/>
      <c r="MKT47" s="2843"/>
      <c r="MKU47" s="2844"/>
      <c r="MKV47" s="2845"/>
      <c r="MKW47" s="2842"/>
      <c r="MKX47" s="2842"/>
      <c r="MKY47" s="2843"/>
      <c r="MKZ47" s="2843"/>
      <c r="MLA47" s="2844"/>
      <c r="MLB47" s="2845"/>
      <c r="MLC47" s="2842"/>
      <c r="MLD47" s="2842"/>
      <c r="MLE47" s="2843"/>
      <c r="MLF47" s="2843"/>
      <c r="MLG47" s="2844"/>
      <c r="MLH47" s="2845"/>
      <c r="MLI47" s="2842"/>
      <c r="MLJ47" s="2842"/>
      <c r="MLK47" s="2843"/>
      <c r="MLL47" s="2843"/>
      <c r="MLM47" s="2844"/>
      <c r="MLN47" s="2845"/>
      <c r="MLO47" s="2842"/>
      <c r="MLP47" s="2842"/>
      <c r="MLQ47" s="2843"/>
      <c r="MLR47" s="2843"/>
      <c r="MLS47" s="2844"/>
      <c r="MLT47" s="2845"/>
      <c r="MLU47" s="2842"/>
      <c r="MLV47" s="2842"/>
      <c r="MLW47" s="2843"/>
      <c r="MLX47" s="2843"/>
      <c r="MLY47" s="2844"/>
      <c r="MLZ47" s="2845"/>
      <c r="MMA47" s="2842"/>
      <c r="MMB47" s="2842"/>
      <c r="MMC47" s="2843"/>
      <c r="MMD47" s="2843"/>
      <c r="MME47" s="2844"/>
      <c r="MMF47" s="2845"/>
      <c r="MMG47" s="2842"/>
      <c r="MMH47" s="2842"/>
      <c r="MMI47" s="2843"/>
      <c r="MMJ47" s="2843"/>
      <c r="MMK47" s="2844"/>
      <c r="MML47" s="2845"/>
      <c r="MMM47" s="2842"/>
      <c r="MMN47" s="2842"/>
      <c r="MMO47" s="2843"/>
      <c r="MMP47" s="2843"/>
      <c r="MMQ47" s="2844"/>
      <c r="MMR47" s="2845"/>
      <c r="MMS47" s="2842"/>
      <c r="MMT47" s="2842"/>
      <c r="MMU47" s="2843"/>
      <c r="MMV47" s="2843"/>
      <c r="MMW47" s="2844"/>
      <c r="MMX47" s="2845"/>
      <c r="MMY47" s="2842"/>
      <c r="MMZ47" s="2842"/>
      <c r="MNA47" s="2843"/>
      <c r="MNB47" s="2843"/>
      <c r="MNC47" s="2844"/>
      <c r="MND47" s="2845"/>
      <c r="MNE47" s="2842"/>
      <c r="MNF47" s="2842"/>
      <c r="MNG47" s="2843"/>
      <c r="MNH47" s="2843"/>
      <c r="MNI47" s="2844"/>
      <c r="MNJ47" s="2845"/>
      <c r="MNK47" s="2842"/>
      <c r="MNL47" s="2842"/>
      <c r="MNM47" s="2843"/>
      <c r="MNN47" s="2843"/>
      <c r="MNO47" s="2844"/>
      <c r="MNP47" s="2845"/>
      <c r="MNQ47" s="2842"/>
      <c r="MNR47" s="2842"/>
      <c r="MNS47" s="2843"/>
      <c r="MNT47" s="2843"/>
      <c r="MNU47" s="2844"/>
      <c r="MNV47" s="2845"/>
      <c r="MNW47" s="2842"/>
      <c r="MNX47" s="2842"/>
      <c r="MNY47" s="2843"/>
      <c r="MNZ47" s="2843"/>
      <c r="MOA47" s="2844"/>
      <c r="MOB47" s="2845"/>
      <c r="MOC47" s="2842"/>
      <c r="MOD47" s="2842"/>
      <c r="MOE47" s="2843"/>
      <c r="MOF47" s="2843"/>
      <c r="MOG47" s="2844"/>
      <c r="MOH47" s="2845"/>
      <c r="MOI47" s="2842"/>
      <c r="MOJ47" s="2842"/>
      <c r="MOK47" s="2843"/>
      <c r="MOL47" s="2843"/>
      <c r="MOM47" s="2844"/>
      <c r="MON47" s="2845"/>
      <c r="MOO47" s="2842"/>
      <c r="MOP47" s="2842"/>
      <c r="MOQ47" s="2843"/>
      <c r="MOR47" s="2843"/>
      <c r="MOS47" s="2844"/>
      <c r="MOT47" s="2845"/>
      <c r="MOU47" s="2842"/>
      <c r="MOV47" s="2842"/>
      <c r="MOW47" s="2843"/>
      <c r="MOX47" s="2843"/>
      <c r="MOY47" s="2844"/>
      <c r="MOZ47" s="2845"/>
      <c r="MPA47" s="2842"/>
      <c r="MPB47" s="2842"/>
      <c r="MPC47" s="2843"/>
      <c r="MPD47" s="2843"/>
      <c r="MPE47" s="2844"/>
      <c r="MPF47" s="2845"/>
      <c r="MPG47" s="2842"/>
      <c r="MPH47" s="2842"/>
      <c r="MPI47" s="2843"/>
      <c r="MPJ47" s="2843"/>
      <c r="MPK47" s="2844"/>
      <c r="MPL47" s="2845"/>
      <c r="MPM47" s="2842"/>
      <c r="MPN47" s="2842"/>
      <c r="MPO47" s="2843"/>
      <c r="MPP47" s="2843"/>
      <c r="MPQ47" s="2844"/>
      <c r="MPR47" s="2845"/>
      <c r="MPS47" s="2842"/>
      <c r="MPT47" s="2842"/>
      <c r="MPU47" s="2843"/>
      <c r="MPV47" s="2843"/>
      <c r="MPW47" s="2844"/>
      <c r="MPX47" s="2845"/>
      <c r="MPY47" s="2842"/>
      <c r="MPZ47" s="2842"/>
      <c r="MQA47" s="2843"/>
      <c r="MQB47" s="2843"/>
      <c r="MQC47" s="2844"/>
      <c r="MQD47" s="2845"/>
      <c r="MQE47" s="2842"/>
      <c r="MQF47" s="2842"/>
      <c r="MQG47" s="2843"/>
      <c r="MQH47" s="2843"/>
      <c r="MQI47" s="2844"/>
      <c r="MQJ47" s="2845"/>
      <c r="MQK47" s="2842"/>
      <c r="MQL47" s="2842"/>
      <c r="MQM47" s="2843"/>
      <c r="MQN47" s="2843"/>
      <c r="MQO47" s="2844"/>
      <c r="MQP47" s="2845"/>
      <c r="MQQ47" s="2842"/>
      <c r="MQR47" s="2842"/>
      <c r="MQS47" s="2843"/>
      <c r="MQT47" s="2843"/>
      <c r="MQU47" s="2844"/>
      <c r="MQV47" s="2845"/>
      <c r="MQW47" s="2842"/>
      <c r="MQX47" s="2842"/>
      <c r="MQY47" s="2843"/>
      <c r="MQZ47" s="2843"/>
      <c r="MRA47" s="2844"/>
      <c r="MRB47" s="2845"/>
      <c r="MRC47" s="2842"/>
      <c r="MRD47" s="2842"/>
      <c r="MRE47" s="2843"/>
      <c r="MRF47" s="2843"/>
      <c r="MRG47" s="2844"/>
      <c r="MRH47" s="2845"/>
      <c r="MRI47" s="2842"/>
      <c r="MRJ47" s="2842"/>
      <c r="MRK47" s="2843"/>
      <c r="MRL47" s="2843"/>
      <c r="MRM47" s="2844"/>
      <c r="MRN47" s="2845"/>
      <c r="MRO47" s="2842"/>
      <c r="MRP47" s="2842"/>
      <c r="MRQ47" s="2843"/>
      <c r="MRR47" s="2843"/>
      <c r="MRS47" s="2844"/>
      <c r="MRT47" s="2845"/>
      <c r="MRU47" s="2842"/>
      <c r="MRV47" s="2842"/>
      <c r="MRW47" s="2843"/>
      <c r="MRX47" s="2843"/>
      <c r="MRY47" s="2844"/>
      <c r="MRZ47" s="2845"/>
      <c r="MSA47" s="2842"/>
      <c r="MSB47" s="2842"/>
      <c r="MSC47" s="2843"/>
      <c r="MSD47" s="2843"/>
      <c r="MSE47" s="2844"/>
      <c r="MSF47" s="2845"/>
      <c r="MSG47" s="2842"/>
      <c r="MSH47" s="2842"/>
      <c r="MSI47" s="2843"/>
      <c r="MSJ47" s="2843"/>
      <c r="MSK47" s="2844"/>
      <c r="MSL47" s="2845"/>
      <c r="MSM47" s="2842"/>
      <c r="MSN47" s="2842"/>
      <c r="MSO47" s="2843"/>
      <c r="MSP47" s="2843"/>
      <c r="MSQ47" s="2844"/>
      <c r="MSR47" s="2845"/>
      <c r="MSS47" s="2842"/>
      <c r="MST47" s="2842"/>
      <c r="MSU47" s="2843"/>
      <c r="MSV47" s="2843"/>
      <c r="MSW47" s="2844"/>
      <c r="MSX47" s="2845"/>
      <c r="MSY47" s="2842"/>
      <c r="MSZ47" s="2842"/>
      <c r="MTA47" s="2843"/>
      <c r="MTB47" s="2843"/>
      <c r="MTC47" s="2844"/>
      <c r="MTD47" s="2845"/>
      <c r="MTE47" s="2842"/>
      <c r="MTF47" s="2842"/>
      <c r="MTG47" s="2843"/>
      <c r="MTH47" s="2843"/>
      <c r="MTI47" s="2844"/>
      <c r="MTJ47" s="2845"/>
      <c r="MTK47" s="2842"/>
      <c r="MTL47" s="2842"/>
      <c r="MTM47" s="2843"/>
      <c r="MTN47" s="2843"/>
      <c r="MTO47" s="2844"/>
      <c r="MTP47" s="2845"/>
      <c r="MTQ47" s="2842"/>
      <c r="MTR47" s="2842"/>
      <c r="MTS47" s="2843"/>
      <c r="MTT47" s="2843"/>
      <c r="MTU47" s="2844"/>
      <c r="MTV47" s="2845"/>
      <c r="MTW47" s="2842"/>
      <c r="MTX47" s="2842"/>
      <c r="MTY47" s="2843"/>
      <c r="MTZ47" s="2843"/>
      <c r="MUA47" s="2844"/>
      <c r="MUB47" s="2845"/>
      <c r="MUC47" s="2842"/>
      <c r="MUD47" s="2842"/>
      <c r="MUE47" s="2843"/>
      <c r="MUF47" s="2843"/>
      <c r="MUG47" s="2844"/>
      <c r="MUH47" s="2845"/>
      <c r="MUI47" s="2842"/>
      <c r="MUJ47" s="2842"/>
      <c r="MUK47" s="2843"/>
      <c r="MUL47" s="2843"/>
      <c r="MUM47" s="2844"/>
      <c r="MUN47" s="2845"/>
      <c r="MUO47" s="2842"/>
      <c r="MUP47" s="2842"/>
      <c r="MUQ47" s="2843"/>
      <c r="MUR47" s="2843"/>
      <c r="MUS47" s="2844"/>
      <c r="MUT47" s="2845"/>
      <c r="MUU47" s="2842"/>
      <c r="MUV47" s="2842"/>
      <c r="MUW47" s="2843"/>
      <c r="MUX47" s="2843"/>
      <c r="MUY47" s="2844"/>
      <c r="MUZ47" s="2845"/>
      <c r="MVA47" s="2842"/>
      <c r="MVB47" s="2842"/>
      <c r="MVC47" s="2843"/>
      <c r="MVD47" s="2843"/>
      <c r="MVE47" s="2844"/>
      <c r="MVF47" s="2845"/>
      <c r="MVG47" s="2842"/>
      <c r="MVH47" s="2842"/>
      <c r="MVI47" s="2843"/>
      <c r="MVJ47" s="2843"/>
      <c r="MVK47" s="2844"/>
      <c r="MVL47" s="2845"/>
      <c r="MVM47" s="2842"/>
      <c r="MVN47" s="2842"/>
      <c r="MVO47" s="2843"/>
      <c r="MVP47" s="2843"/>
      <c r="MVQ47" s="2844"/>
      <c r="MVR47" s="2845"/>
      <c r="MVS47" s="2842"/>
      <c r="MVT47" s="2842"/>
      <c r="MVU47" s="2843"/>
      <c r="MVV47" s="2843"/>
      <c r="MVW47" s="2844"/>
      <c r="MVX47" s="2845"/>
      <c r="MVY47" s="2842"/>
      <c r="MVZ47" s="2842"/>
      <c r="MWA47" s="2843"/>
      <c r="MWB47" s="2843"/>
      <c r="MWC47" s="2844"/>
      <c r="MWD47" s="2845"/>
      <c r="MWE47" s="2842"/>
      <c r="MWF47" s="2842"/>
      <c r="MWG47" s="2843"/>
      <c r="MWH47" s="2843"/>
      <c r="MWI47" s="2844"/>
      <c r="MWJ47" s="2845"/>
      <c r="MWK47" s="2842"/>
      <c r="MWL47" s="2842"/>
      <c r="MWM47" s="2843"/>
      <c r="MWN47" s="2843"/>
      <c r="MWO47" s="2844"/>
      <c r="MWP47" s="2845"/>
      <c r="MWQ47" s="2842"/>
      <c r="MWR47" s="2842"/>
      <c r="MWS47" s="2843"/>
      <c r="MWT47" s="2843"/>
      <c r="MWU47" s="2844"/>
      <c r="MWV47" s="2845"/>
      <c r="MWW47" s="2842"/>
      <c r="MWX47" s="2842"/>
      <c r="MWY47" s="2843"/>
      <c r="MWZ47" s="2843"/>
      <c r="MXA47" s="2844"/>
      <c r="MXB47" s="2845"/>
      <c r="MXC47" s="2842"/>
      <c r="MXD47" s="2842"/>
      <c r="MXE47" s="2843"/>
      <c r="MXF47" s="2843"/>
      <c r="MXG47" s="2844"/>
      <c r="MXH47" s="2845"/>
      <c r="MXI47" s="2842"/>
      <c r="MXJ47" s="2842"/>
      <c r="MXK47" s="2843"/>
      <c r="MXL47" s="2843"/>
      <c r="MXM47" s="2844"/>
      <c r="MXN47" s="2845"/>
      <c r="MXO47" s="2842"/>
      <c r="MXP47" s="2842"/>
      <c r="MXQ47" s="2843"/>
      <c r="MXR47" s="2843"/>
      <c r="MXS47" s="2844"/>
      <c r="MXT47" s="2845"/>
      <c r="MXU47" s="2842"/>
      <c r="MXV47" s="2842"/>
      <c r="MXW47" s="2843"/>
      <c r="MXX47" s="2843"/>
      <c r="MXY47" s="2844"/>
      <c r="MXZ47" s="2845"/>
      <c r="MYA47" s="2842"/>
      <c r="MYB47" s="2842"/>
      <c r="MYC47" s="2843"/>
      <c r="MYD47" s="2843"/>
      <c r="MYE47" s="2844"/>
      <c r="MYF47" s="2845"/>
      <c r="MYG47" s="2842"/>
      <c r="MYH47" s="2842"/>
      <c r="MYI47" s="2843"/>
      <c r="MYJ47" s="2843"/>
      <c r="MYK47" s="2844"/>
      <c r="MYL47" s="2845"/>
      <c r="MYM47" s="2842"/>
      <c r="MYN47" s="2842"/>
      <c r="MYO47" s="2843"/>
      <c r="MYP47" s="2843"/>
      <c r="MYQ47" s="2844"/>
      <c r="MYR47" s="2845"/>
      <c r="MYS47" s="2842"/>
      <c r="MYT47" s="2842"/>
      <c r="MYU47" s="2843"/>
      <c r="MYV47" s="2843"/>
      <c r="MYW47" s="2844"/>
      <c r="MYX47" s="2845"/>
      <c r="MYY47" s="2842"/>
      <c r="MYZ47" s="2842"/>
      <c r="MZA47" s="2843"/>
      <c r="MZB47" s="2843"/>
      <c r="MZC47" s="2844"/>
      <c r="MZD47" s="2845"/>
      <c r="MZE47" s="2842"/>
      <c r="MZF47" s="2842"/>
      <c r="MZG47" s="2843"/>
      <c r="MZH47" s="2843"/>
      <c r="MZI47" s="2844"/>
      <c r="MZJ47" s="2845"/>
      <c r="MZK47" s="2842"/>
      <c r="MZL47" s="2842"/>
      <c r="MZM47" s="2843"/>
      <c r="MZN47" s="2843"/>
      <c r="MZO47" s="2844"/>
      <c r="MZP47" s="2845"/>
      <c r="MZQ47" s="2842"/>
      <c r="MZR47" s="2842"/>
      <c r="MZS47" s="2843"/>
      <c r="MZT47" s="2843"/>
      <c r="MZU47" s="2844"/>
      <c r="MZV47" s="2845"/>
      <c r="MZW47" s="2842"/>
      <c r="MZX47" s="2842"/>
      <c r="MZY47" s="2843"/>
      <c r="MZZ47" s="2843"/>
      <c r="NAA47" s="2844"/>
      <c r="NAB47" s="2845"/>
      <c r="NAC47" s="2842"/>
      <c r="NAD47" s="2842"/>
      <c r="NAE47" s="2843"/>
      <c r="NAF47" s="2843"/>
      <c r="NAG47" s="2844"/>
      <c r="NAH47" s="2845"/>
      <c r="NAI47" s="2842"/>
      <c r="NAJ47" s="2842"/>
      <c r="NAK47" s="2843"/>
      <c r="NAL47" s="2843"/>
      <c r="NAM47" s="2844"/>
      <c r="NAN47" s="2845"/>
      <c r="NAO47" s="2842"/>
      <c r="NAP47" s="2842"/>
      <c r="NAQ47" s="2843"/>
      <c r="NAR47" s="2843"/>
      <c r="NAS47" s="2844"/>
      <c r="NAT47" s="2845"/>
      <c r="NAU47" s="2842"/>
      <c r="NAV47" s="2842"/>
      <c r="NAW47" s="2843"/>
      <c r="NAX47" s="2843"/>
      <c r="NAY47" s="2844"/>
      <c r="NAZ47" s="2845"/>
      <c r="NBA47" s="2842"/>
      <c r="NBB47" s="2842"/>
      <c r="NBC47" s="2843"/>
      <c r="NBD47" s="2843"/>
      <c r="NBE47" s="2844"/>
      <c r="NBF47" s="2845"/>
      <c r="NBG47" s="2842"/>
      <c r="NBH47" s="2842"/>
      <c r="NBI47" s="2843"/>
      <c r="NBJ47" s="2843"/>
      <c r="NBK47" s="2844"/>
      <c r="NBL47" s="2845"/>
      <c r="NBM47" s="2842"/>
      <c r="NBN47" s="2842"/>
      <c r="NBO47" s="2843"/>
      <c r="NBP47" s="2843"/>
      <c r="NBQ47" s="2844"/>
      <c r="NBR47" s="2845"/>
      <c r="NBS47" s="2842"/>
      <c r="NBT47" s="2842"/>
      <c r="NBU47" s="2843"/>
      <c r="NBV47" s="2843"/>
      <c r="NBW47" s="2844"/>
      <c r="NBX47" s="2845"/>
      <c r="NBY47" s="2842"/>
      <c r="NBZ47" s="2842"/>
      <c r="NCA47" s="2843"/>
      <c r="NCB47" s="2843"/>
      <c r="NCC47" s="2844"/>
      <c r="NCD47" s="2845"/>
      <c r="NCE47" s="2842"/>
      <c r="NCF47" s="2842"/>
      <c r="NCG47" s="2843"/>
      <c r="NCH47" s="2843"/>
      <c r="NCI47" s="2844"/>
      <c r="NCJ47" s="2845"/>
      <c r="NCK47" s="2842"/>
      <c r="NCL47" s="2842"/>
      <c r="NCM47" s="2843"/>
      <c r="NCN47" s="2843"/>
      <c r="NCO47" s="2844"/>
      <c r="NCP47" s="2845"/>
      <c r="NCQ47" s="2842"/>
      <c r="NCR47" s="2842"/>
      <c r="NCS47" s="2843"/>
      <c r="NCT47" s="2843"/>
      <c r="NCU47" s="2844"/>
      <c r="NCV47" s="2845"/>
      <c r="NCW47" s="2842"/>
      <c r="NCX47" s="2842"/>
      <c r="NCY47" s="2843"/>
      <c r="NCZ47" s="2843"/>
      <c r="NDA47" s="2844"/>
      <c r="NDB47" s="2845"/>
      <c r="NDC47" s="2842"/>
      <c r="NDD47" s="2842"/>
      <c r="NDE47" s="2843"/>
      <c r="NDF47" s="2843"/>
      <c r="NDG47" s="2844"/>
      <c r="NDH47" s="2845"/>
      <c r="NDI47" s="2842"/>
      <c r="NDJ47" s="2842"/>
      <c r="NDK47" s="2843"/>
      <c r="NDL47" s="2843"/>
      <c r="NDM47" s="2844"/>
      <c r="NDN47" s="2845"/>
      <c r="NDO47" s="2842"/>
      <c r="NDP47" s="2842"/>
      <c r="NDQ47" s="2843"/>
      <c r="NDR47" s="2843"/>
      <c r="NDS47" s="2844"/>
      <c r="NDT47" s="2845"/>
      <c r="NDU47" s="2842"/>
      <c r="NDV47" s="2842"/>
      <c r="NDW47" s="2843"/>
      <c r="NDX47" s="2843"/>
      <c r="NDY47" s="2844"/>
      <c r="NDZ47" s="2845"/>
      <c r="NEA47" s="2842"/>
      <c r="NEB47" s="2842"/>
      <c r="NEC47" s="2843"/>
      <c r="NED47" s="2843"/>
      <c r="NEE47" s="2844"/>
      <c r="NEF47" s="2845"/>
      <c r="NEG47" s="2842"/>
      <c r="NEH47" s="2842"/>
      <c r="NEI47" s="2843"/>
      <c r="NEJ47" s="2843"/>
      <c r="NEK47" s="2844"/>
      <c r="NEL47" s="2845"/>
      <c r="NEM47" s="2842"/>
      <c r="NEN47" s="2842"/>
      <c r="NEO47" s="2843"/>
      <c r="NEP47" s="2843"/>
      <c r="NEQ47" s="2844"/>
      <c r="NER47" s="2845"/>
      <c r="NES47" s="2842"/>
      <c r="NET47" s="2842"/>
      <c r="NEU47" s="2843"/>
      <c r="NEV47" s="2843"/>
      <c r="NEW47" s="2844"/>
      <c r="NEX47" s="2845"/>
      <c r="NEY47" s="2842"/>
      <c r="NEZ47" s="2842"/>
      <c r="NFA47" s="2843"/>
      <c r="NFB47" s="2843"/>
      <c r="NFC47" s="2844"/>
      <c r="NFD47" s="2845"/>
      <c r="NFE47" s="2842"/>
      <c r="NFF47" s="2842"/>
      <c r="NFG47" s="2843"/>
      <c r="NFH47" s="2843"/>
      <c r="NFI47" s="2844"/>
      <c r="NFJ47" s="2845"/>
      <c r="NFK47" s="2842"/>
      <c r="NFL47" s="2842"/>
      <c r="NFM47" s="2843"/>
      <c r="NFN47" s="2843"/>
      <c r="NFO47" s="2844"/>
      <c r="NFP47" s="2845"/>
      <c r="NFQ47" s="2842"/>
      <c r="NFR47" s="2842"/>
      <c r="NFS47" s="2843"/>
      <c r="NFT47" s="2843"/>
      <c r="NFU47" s="2844"/>
      <c r="NFV47" s="2845"/>
      <c r="NFW47" s="2842"/>
      <c r="NFX47" s="2842"/>
      <c r="NFY47" s="2843"/>
      <c r="NFZ47" s="2843"/>
      <c r="NGA47" s="2844"/>
      <c r="NGB47" s="2845"/>
      <c r="NGC47" s="2842"/>
      <c r="NGD47" s="2842"/>
      <c r="NGE47" s="2843"/>
      <c r="NGF47" s="2843"/>
      <c r="NGG47" s="2844"/>
      <c r="NGH47" s="2845"/>
      <c r="NGI47" s="2842"/>
      <c r="NGJ47" s="2842"/>
      <c r="NGK47" s="2843"/>
      <c r="NGL47" s="2843"/>
      <c r="NGM47" s="2844"/>
      <c r="NGN47" s="2845"/>
      <c r="NGO47" s="2842"/>
      <c r="NGP47" s="2842"/>
      <c r="NGQ47" s="2843"/>
      <c r="NGR47" s="2843"/>
      <c r="NGS47" s="2844"/>
      <c r="NGT47" s="2845"/>
      <c r="NGU47" s="2842"/>
      <c r="NGV47" s="2842"/>
      <c r="NGW47" s="2843"/>
      <c r="NGX47" s="2843"/>
      <c r="NGY47" s="2844"/>
      <c r="NGZ47" s="2845"/>
      <c r="NHA47" s="2842"/>
      <c r="NHB47" s="2842"/>
      <c r="NHC47" s="2843"/>
      <c r="NHD47" s="2843"/>
      <c r="NHE47" s="2844"/>
      <c r="NHF47" s="2845"/>
      <c r="NHG47" s="2842"/>
      <c r="NHH47" s="2842"/>
      <c r="NHI47" s="2843"/>
      <c r="NHJ47" s="2843"/>
      <c r="NHK47" s="2844"/>
      <c r="NHL47" s="2845"/>
      <c r="NHM47" s="2842"/>
      <c r="NHN47" s="2842"/>
      <c r="NHO47" s="2843"/>
      <c r="NHP47" s="2843"/>
      <c r="NHQ47" s="2844"/>
      <c r="NHR47" s="2845"/>
      <c r="NHS47" s="2842"/>
      <c r="NHT47" s="2842"/>
      <c r="NHU47" s="2843"/>
      <c r="NHV47" s="2843"/>
      <c r="NHW47" s="2844"/>
      <c r="NHX47" s="2845"/>
      <c r="NHY47" s="2842"/>
      <c r="NHZ47" s="2842"/>
      <c r="NIA47" s="2843"/>
      <c r="NIB47" s="2843"/>
      <c r="NIC47" s="2844"/>
      <c r="NID47" s="2845"/>
      <c r="NIE47" s="2842"/>
      <c r="NIF47" s="2842"/>
      <c r="NIG47" s="2843"/>
      <c r="NIH47" s="2843"/>
      <c r="NII47" s="2844"/>
      <c r="NIJ47" s="2845"/>
      <c r="NIK47" s="2842"/>
      <c r="NIL47" s="2842"/>
      <c r="NIM47" s="2843"/>
      <c r="NIN47" s="2843"/>
      <c r="NIO47" s="2844"/>
      <c r="NIP47" s="2845"/>
      <c r="NIQ47" s="2842"/>
      <c r="NIR47" s="2842"/>
      <c r="NIS47" s="2843"/>
      <c r="NIT47" s="2843"/>
      <c r="NIU47" s="2844"/>
      <c r="NIV47" s="2845"/>
      <c r="NIW47" s="2842"/>
      <c r="NIX47" s="2842"/>
      <c r="NIY47" s="2843"/>
      <c r="NIZ47" s="2843"/>
      <c r="NJA47" s="2844"/>
      <c r="NJB47" s="2845"/>
      <c r="NJC47" s="2842"/>
      <c r="NJD47" s="2842"/>
      <c r="NJE47" s="2843"/>
      <c r="NJF47" s="2843"/>
      <c r="NJG47" s="2844"/>
      <c r="NJH47" s="2845"/>
      <c r="NJI47" s="2842"/>
      <c r="NJJ47" s="2842"/>
      <c r="NJK47" s="2843"/>
      <c r="NJL47" s="2843"/>
      <c r="NJM47" s="2844"/>
      <c r="NJN47" s="2845"/>
      <c r="NJO47" s="2842"/>
      <c r="NJP47" s="2842"/>
      <c r="NJQ47" s="2843"/>
      <c r="NJR47" s="2843"/>
      <c r="NJS47" s="2844"/>
      <c r="NJT47" s="2845"/>
      <c r="NJU47" s="2842"/>
      <c r="NJV47" s="2842"/>
      <c r="NJW47" s="2843"/>
      <c r="NJX47" s="2843"/>
      <c r="NJY47" s="2844"/>
      <c r="NJZ47" s="2845"/>
      <c r="NKA47" s="2842"/>
      <c r="NKB47" s="2842"/>
      <c r="NKC47" s="2843"/>
      <c r="NKD47" s="2843"/>
      <c r="NKE47" s="2844"/>
      <c r="NKF47" s="2845"/>
      <c r="NKG47" s="2842"/>
      <c r="NKH47" s="2842"/>
      <c r="NKI47" s="2843"/>
      <c r="NKJ47" s="2843"/>
      <c r="NKK47" s="2844"/>
      <c r="NKL47" s="2845"/>
      <c r="NKM47" s="2842"/>
      <c r="NKN47" s="2842"/>
      <c r="NKO47" s="2843"/>
      <c r="NKP47" s="2843"/>
      <c r="NKQ47" s="2844"/>
      <c r="NKR47" s="2845"/>
      <c r="NKS47" s="2842"/>
      <c r="NKT47" s="2842"/>
      <c r="NKU47" s="2843"/>
      <c r="NKV47" s="2843"/>
      <c r="NKW47" s="2844"/>
      <c r="NKX47" s="2845"/>
      <c r="NKY47" s="2842"/>
      <c r="NKZ47" s="2842"/>
      <c r="NLA47" s="2843"/>
      <c r="NLB47" s="2843"/>
      <c r="NLC47" s="2844"/>
      <c r="NLD47" s="2845"/>
      <c r="NLE47" s="2842"/>
      <c r="NLF47" s="2842"/>
      <c r="NLG47" s="2843"/>
      <c r="NLH47" s="2843"/>
      <c r="NLI47" s="2844"/>
      <c r="NLJ47" s="2845"/>
      <c r="NLK47" s="2842"/>
      <c r="NLL47" s="2842"/>
      <c r="NLM47" s="2843"/>
      <c r="NLN47" s="2843"/>
      <c r="NLO47" s="2844"/>
      <c r="NLP47" s="2845"/>
      <c r="NLQ47" s="2842"/>
      <c r="NLR47" s="2842"/>
      <c r="NLS47" s="2843"/>
      <c r="NLT47" s="2843"/>
      <c r="NLU47" s="2844"/>
      <c r="NLV47" s="2845"/>
      <c r="NLW47" s="2842"/>
      <c r="NLX47" s="2842"/>
      <c r="NLY47" s="2843"/>
      <c r="NLZ47" s="2843"/>
      <c r="NMA47" s="2844"/>
      <c r="NMB47" s="2845"/>
      <c r="NMC47" s="2842"/>
      <c r="NMD47" s="2842"/>
      <c r="NME47" s="2843"/>
      <c r="NMF47" s="2843"/>
      <c r="NMG47" s="2844"/>
      <c r="NMH47" s="2845"/>
      <c r="NMI47" s="2842"/>
      <c r="NMJ47" s="2842"/>
      <c r="NMK47" s="2843"/>
      <c r="NML47" s="2843"/>
      <c r="NMM47" s="2844"/>
      <c r="NMN47" s="2845"/>
      <c r="NMO47" s="2842"/>
      <c r="NMP47" s="2842"/>
      <c r="NMQ47" s="2843"/>
      <c r="NMR47" s="2843"/>
      <c r="NMS47" s="2844"/>
      <c r="NMT47" s="2845"/>
      <c r="NMU47" s="2842"/>
      <c r="NMV47" s="2842"/>
      <c r="NMW47" s="2843"/>
      <c r="NMX47" s="2843"/>
      <c r="NMY47" s="2844"/>
      <c r="NMZ47" s="2845"/>
      <c r="NNA47" s="2842"/>
      <c r="NNB47" s="2842"/>
      <c r="NNC47" s="2843"/>
      <c r="NND47" s="2843"/>
      <c r="NNE47" s="2844"/>
      <c r="NNF47" s="2845"/>
      <c r="NNG47" s="2842"/>
      <c r="NNH47" s="2842"/>
      <c r="NNI47" s="2843"/>
      <c r="NNJ47" s="2843"/>
      <c r="NNK47" s="2844"/>
      <c r="NNL47" s="2845"/>
      <c r="NNM47" s="2842"/>
      <c r="NNN47" s="2842"/>
      <c r="NNO47" s="2843"/>
      <c r="NNP47" s="2843"/>
      <c r="NNQ47" s="2844"/>
      <c r="NNR47" s="2845"/>
      <c r="NNS47" s="2842"/>
      <c r="NNT47" s="2842"/>
      <c r="NNU47" s="2843"/>
      <c r="NNV47" s="2843"/>
      <c r="NNW47" s="2844"/>
      <c r="NNX47" s="2845"/>
      <c r="NNY47" s="2842"/>
      <c r="NNZ47" s="2842"/>
      <c r="NOA47" s="2843"/>
      <c r="NOB47" s="2843"/>
      <c r="NOC47" s="2844"/>
      <c r="NOD47" s="2845"/>
      <c r="NOE47" s="2842"/>
      <c r="NOF47" s="2842"/>
      <c r="NOG47" s="2843"/>
      <c r="NOH47" s="2843"/>
      <c r="NOI47" s="2844"/>
      <c r="NOJ47" s="2845"/>
      <c r="NOK47" s="2842"/>
      <c r="NOL47" s="2842"/>
      <c r="NOM47" s="2843"/>
      <c r="NON47" s="2843"/>
      <c r="NOO47" s="2844"/>
      <c r="NOP47" s="2845"/>
      <c r="NOQ47" s="2842"/>
      <c r="NOR47" s="2842"/>
      <c r="NOS47" s="2843"/>
      <c r="NOT47" s="2843"/>
      <c r="NOU47" s="2844"/>
      <c r="NOV47" s="2845"/>
      <c r="NOW47" s="2842"/>
      <c r="NOX47" s="2842"/>
      <c r="NOY47" s="2843"/>
      <c r="NOZ47" s="2843"/>
      <c r="NPA47" s="2844"/>
      <c r="NPB47" s="2845"/>
      <c r="NPC47" s="2842"/>
      <c r="NPD47" s="2842"/>
      <c r="NPE47" s="2843"/>
      <c r="NPF47" s="2843"/>
      <c r="NPG47" s="2844"/>
      <c r="NPH47" s="2845"/>
      <c r="NPI47" s="2842"/>
      <c r="NPJ47" s="2842"/>
      <c r="NPK47" s="2843"/>
      <c r="NPL47" s="2843"/>
      <c r="NPM47" s="2844"/>
      <c r="NPN47" s="2845"/>
      <c r="NPO47" s="2842"/>
      <c r="NPP47" s="2842"/>
      <c r="NPQ47" s="2843"/>
      <c r="NPR47" s="2843"/>
      <c r="NPS47" s="2844"/>
      <c r="NPT47" s="2845"/>
      <c r="NPU47" s="2842"/>
      <c r="NPV47" s="2842"/>
      <c r="NPW47" s="2843"/>
      <c r="NPX47" s="2843"/>
      <c r="NPY47" s="2844"/>
      <c r="NPZ47" s="2845"/>
      <c r="NQA47" s="2842"/>
      <c r="NQB47" s="2842"/>
      <c r="NQC47" s="2843"/>
      <c r="NQD47" s="2843"/>
      <c r="NQE47" s="2844"/>
      <c r="NQF47" s="2845"/>
      <c r="NQG47" s="2842"/>
      <c r="NQH47" s="2842"/>
      <c r="NQI47" s="2843"/>
      <c r="NQJ47" s="2843"/>
      <c r="NQK47" s="2844"/>
      <c r="NQL47" s="2845"/>
      <c r="NQM47" s="2842"/>
      <c r="NQN47" s="2842"/>
      <c r="NQO47" s="2843"/>
      <c r="NQP47" s="2843"/>
      <c r="NQQ47" s="2844"/>
      <c r="NQR47" s="2845"/>
      <c r="NQS47" s="2842"/>
      <c r="NQT47" s="2842"/>
      <c r="NQU47" s="2843"/>
      <c r="NQV47" s="2843"/>
      <c r="NQW47" s="2844"/>
      <c r="NQX47" s="2845"/>
      <c r="NQY47" s="2842"/>
      <c r="NQZ47" s="2842"/>
      <c r="NRA47" s="2843"/>
      <c r="NRB47" s="2843"/>
      <c r="NRC47" s="2844"/>
      <c r="NRD47" s="2845"/>
      <c r="NRE47" s="2842"/>
      <c r="NRF47" s="2842"/>
      <c r="NRG47" s="2843"/>
      <c r="NRH47" s="2843"/>
      <c r="NRI47" s="2844"/>
      <c r="NRJ47" s="2845"/>
      <c r="NRK47" s="2842"/>
      <c r="NRL47" s="2842"/>
      <c r="NRM47" s="2843"/>
      <c r="NRN47" s="2843"/>
      <c r="NRO47" s="2844"/>
      <c r="NRP47" s="2845"/>
      <c r="NRQ47" s="2842"/>
      <c r="NRR47" s="2842"/>
      <c r="NRS47" s="2843"/>
      <c r="NRT47" s="2843"/>
      <c r="NRU47" s="2844"/>
      <c r="NRV47" s="2845"/>
      <c r="NRW47" s="2842"/>
      <c r="NRX47" s="2842"/>
      <c r="NRY47" s="2843"/>
      <c r="NRZ47" s="2843"/>
      <c r="NSA47" s="2844"/>
      <c r="NSB47" s="2845"/>
      <c r="NSC47" s="2842"/>
      <c r="NSD47" s="2842"/>
      <c r="NSE47" s="2843"/>
      <c r="NSF47" s="2843"/>
      <c r="NSG47" s="2844"/>
      <c r="NSH47" s="2845"/>
      <c r="NSI47" s="2842"/>
      <c r="NSJ47" s="2842"/>
      <c r="NSK47" s="2843"/>
      <c r="NSL47" s="2843"/>
      <c r="NSM47" s="2844"/>
      <c r="NSN47" s="2845"/>
      <c r="NSO47" s="2842"/>
      <c r="NSP47" s="2842"/>
      <c r="NSQ47" s="2843"/>
      <c r="NSR47" s="2843"/>
      <c r="NSS47" s="2844"/>
      <c r="NST47" s="2845"/>
      <c r="NSU47" s="2842"/>
      <c r="NSV47" s="2842"/>
      <c r="NSW47" s="2843"/>
      <c r="NSX47" s="2843"/>
      <c r="NSY47" s="2844"/>
      <c r="NSZ47" s="2845"/>
      <c r="NTA47" s="2842"/>
      <c r="NTB47" s="2842"/>
      <c r="NTC47" s="2843"/>
      <c r="NTD47" s="2843"/>
      <c r="NTE47" s="2844"/>
      <c r="NTF47" s="2845"/>
      <c r="NTG47" s="2842"/>
      <c r="NTH47" s="2842"/>
      <c r="NTI47" s="2843"/>
      <c r="NTJ47" s="2843"/>
      <c r="NTK47" s="2844"/>
      <c r="NTL47" s="2845"/>
      <c r="NTM47" s="2842"/>
      <c r="NTN47" s="2842"/>
      <c r="NTO47" s="2843"/>
      <c r="NTP47" s="2843"/>
      <c r="NTQ47" s="2844"/>
      <c r="NTR47" s="2845"/>
      <c r="NTS47" s="2842"/>
      <c r="NTT47" s="2842"/>
      <c r="NTU47" s="2843"/>
      <c r="NTV47" s="2843"/>
      <c r="NTW47" s="2844"/>
      <c r="NTX47" s="2845"/>
      <c r="NTY47" s="2842"/>
      <c r="NTZ47" s="2842"/>
      <c r="NUA47" s="2843"/>
      <c r="NUB47" s="2843"/>
      <c r="NUC47" s="2844"/>
      <c r="NUD47" s="2845"/>
      <c r="NUE47" s="2842"/>
      <c r="NUF47" s="2842"/>
      <c r="NUG47" s="2843"/>
      <c r="NUH47" s="2843"/>
      <c r="NUI47" s="2844"/>
      <c r="NUJ47" s="2845"/>
      <c r="NUK47" s="2842"/>
      <c r="NUL47" s="2842"/>
      <c r="NUM47" s="2843"/>
      <c r="NUN47" s="2843"/>
      <c r="NUO47" s="2844"/>
      <c r="NUP47" s="2845"/>
      <c r="NUQ47" s="2842"/>
      <c r="NUR47" s="2842"/>
      <c r="NUS47" s="2843"/>
      <c r="NUT47" s="2843"/>
      <c r="NUU47" s="2844"/>
      <c r="NUV47" s="2845"/>
      <c r="NUW47" s="2842"/>
      <c r="NUX47" s="2842"/>
      <c r="NUY47" s="2843"/>
      <c r="NUZ47" s="2843"/>
      <c r="NVA47" s="2844"/>
      <c r="NVB47" s="2845"/>
      <c r="NVC47" s="2842"/>
      <c r="NVD47" s="2842"/>
      <c r="NVE47" s="2843"/>
      <c r="NVF47" s="2843"/>
      <c r="NVG47" s="2844"/>
      <c r="NVH47" s="2845"/>
      <c r="NVI47" s="2842"/>
      <c r="NVJ47" s="2842"/>
      <c r="NVK47" s="2843"/>
      <c r="NVL47" s="2843"/>
      <c r="NVM47" s="2844"/>
      <c r="NVN47" s="2845"/>
      <c r="NVO47" s="2842"/>
      <c r="NVP47" s="2842"/>
      <c r="NVQ47" s="2843"/>
      <c r="NVR47" s="2843"/>
      <c r="NVS47" s="2844"/>
      <c r="NVT47" s="2845"/>
      <c r="NVU47" s="2842"/>
      <c r="NVV47" s="2842"/>
      <c r="NVW47" s="2843"/>
      <c r="NVX47" s="2843"/>
      <c r="NVY47" s="2844"/>
      <c r="NVZ47" s="2845"/>
      <c r="NWA47" s="2842"/>
      <c r="NWB47" s="2842"/>
      <c r="NWC47" s="2843"/>
      <c r="NWD47" s="2843"/>
      <c r="NWE47" s="2844"/>
      <c r="NWF47" s="2845"/>
      <c r="NWG47" s="2842"/>
      <c r="NWH47" s="2842"/>
      <c r="NWI47" s="2843"/>
      <c r="NWJ47" s="2843"/>
      <c r="NWK47" s="2844"/>
      <c r="NWL47" s="2845"/>
      <c r="NWM47" s="2842"/>
      <c r="NWN47" s="2842"/>
      <c r="NWO47" s="2843"/>
      <c r="NWP47" s="2843"/>
      <c r="NWQ47" s="2844"/>
      <c r="NWR47" s="2845"/>
      <c r="NWS47" s="2842"/>
      <c r="NWT47" s="2842"/>
      <c r="NWU47" s="2843"/>
      <c r="NWV47" s="2843"/>
      <c r="NWW47" s="2844"/>
      <c r="NWX47" s="2845"/>
      <c r="NWY47" s="2842"/>
      <c r="NWZ47" s="2842"/>
      <c r="NXA47" s="2843"/>
      <c r="NXB47" s="2843"/>
      <c r="NXC47" s="2844"/>
      <c r="NXD47" s="2845"/>
      <c r="NXE47" s="2842"/>
      <c r="NXF47" s="2842"/>
      <c r="NXG47" s="2843"/>
      <c r="NXH47" s="2843"/>
      <c r="NXI47" s="2844"/>
      <c r="NXJ47" s="2845"/>
      <c r="NXK47" s="2842"/>
      <c r="NXL47" s="2842"/>
      <c r="NXM47" s="2843"/>
      <c r="NXN47" s="2843"/>
      <c r="NXO47" s="2844"/>
      <c r="NXP47" s="2845"/>
      <c r="NXQ47" s="2842"/>
      <c r="NXR47" s="2842"/>
      <c r="NXS47" s="2843"/>
      <c r="NXT47" s="2843"/>
      <c r="NXU47" s="2844"/>
      <c r="NXV47" s="2845"/>
      <c r="NXW47" s="2842"/>
      <c r="NXX47" s="2842"/>
      <c r="NXY47" s="2843"/>
      <c r="NXZ47" s="2843"/>
      <c r="NYA47" s="2844"/>
      <c r="NYB47" s="2845"/>
      <c r="NYC47" s="2842"/>
      <c r="NYD47" s="2842"/>
      <c r="NYE47" s="2843"/>
      <c r="NYF47" s="2843"/>
      <c r="NYG47" s="2844"/>
      <c r="NYH47" s="2845"/>
      <c r="NYI47" s="2842"/>
      <c r="NYJ47" s="2842"/>
      <c r="NYK47" s="2843"/>
      <c r="NYL47" s="2843"/>
      <c r="NYM47" s="2844"/>
      <c r="NYN47" s="2845"/>
      <c r="NYO47" s="2842"/>
      <c r="NYP47" s="2842"/>
      <c r="NYQ47" s="2843"/>
      <c r="NYR47" s="2843"/>
      <c r="NYS47" s="2844"/>
      <c r="NYT47" s="2845"/>
      <c r="NYU47" s="2842"/>
      <c r="NYV47" s="2842"/>
      <c r="NYW47" s="2843"/>
      <c r="NYX47" s="2843"/>
      <c r="NYY47" s="2844"/>
      <c r="NYZ47" s="2845"/>
      <c r="NZA47" s="2842"/>
      <c r="NZB47" s="2842"/>
      <c r="NZC47" s="2843"/>
      <c r="NZD47" s="2843"/>
      <c r="NZE47" s="2844"/>
      <c r="NZF47" s="2845"/>
      <c r="NZG47" s="2842"/>
      <c r="NZH47" s="2842"/>
      <c r="NZI47" s="2843"/>
      <c r="NZJ47" s="2843"/>
      <c r="NZK47" s="2844"/>
      <c r="NZL47" s="2845"/>
      <c r="NZM47" s="2842"/>
      <c r="NZN47" s="2842"/>
      <c r="NZO47" s="2843"/>
      <c r="NZP47" s="2843"/>
      <c r="NZQ47" s="2844"/>
      <c r="NZR47" s="2845"/>
      <c r="NZS47" s="2842"/>
      <c r="NZT47" s="2842"/>
      <c r="NZU47" s="2843"/>
      <c r="NZV47" s="2843"/>
      <c r="NZW47" s="2844"/>
      <c r="NZX47" s="2845"/>
      <c r="NZY47" s="2842"/>
      <c r="NZZ47" s="2842"/>
      <c r="OAA47" s="2843"/>
      <c r="OAB47" s="2843"/>
      <c r="OAC47" s="2844"/>
      <c r="OAD47" s="2845"/>
      <c r="OAE47" s="2842"/>
      <c r="OAF47" s="2842"/>
      <c r="OAG47" s="2843"/>
      <c r="OAH47" s="2843"/>
      <c r="OAI47" s="2844"/>
      <c r="OAJ47" s="2845"/>
      <c r="OAK47" s="2842"/>
      <c r="OAL47" s="2842"/>
      <c r="OAM47" s="2843"/>
      <c r="OAN47" s="2843"/>
      <c r="OAO47" s="2844"/>
      <c r="OAP47" s="2845"/>
      <c r="OAQ47" s="2842"/>
      <c r="OAR47" s="2842"/>
      <c r="OAS47" s="2843"/>
      <c r="OAT47" s="2843"/>
      <c r="OAU47" s="2844"/>
      <c r="OAV47" s="2845"/>
      <c r="OAW47" s="2842"/>
      <c r="OAX47" s="2842"/>
      <c r="OAY47" s="2843"/>
      <c r="OAZ47" s="2843"/>
      <c r="OBA47" s="2844"/>
      <c r="OBB47" s="2845"/>
      <c r="OBC47" s="2842"/>
      <c r="OBD47" s="2842"/>
      <c r="OBE47" s="2843"/>
      <c r="OBF47" s="2843"/>
      <c r="OBG47" s="2844"/>
      <c r="OBH47" s="2845"/>
      <c r="OBI47" s="2842"/>
      <c r="OBJ47" s="2842"/>
      <c r="OBK47" s="2843"/>
      <c r="OBL47" s="2843"/>
      <c r="OBM47" s="2844"/>
      <c r="OBN47" s="2845"/>
      <c r="OBO47" s="2842"/>
      <c r="OBP47" s="2842"/>
      <c r="OBQ47" s="2843"/>
      <c r="OBR47" s="2843"/>
      <c r="OBS47" s="2844"/>
      <c r="OBT47" s="2845"/>
      <c r="OBU47" s="2842"/>
      <c r="OBV47" s="2842"/>
      <c r="OBW47" s="2843"/>
      <c r="OBX47" s="2843"/>
      <c r="OBY47" s="2844"/>
      <c r="OBZ47" s="2845"/>
      <c r="OCA47" s="2842"/>
      <c r="OCB47" s="2842"/>
      <c r="OCC47" s="2843"/>
      <c r="OCD47" s="2843"/>
      <c r="OCE47" s="2844"/>
      <c r="OCF47" s="2845"/>
      <c r="OCG47" s="2842"/>
      <c r="OCH47" s="2842"/>
      <c r="OCI47" s="2843"/>
      <c r="OCJ47" s="2843"/>
      <c r="OCK47" s="2844"/>
      <c r="OCL47" s="2845"/>
      <c r="OCM47" s="2842"/>
      <c r="OCN47" s="2842"/>
      <c r="OCO47" s="2843"/>
      <c r="OCP47" s="2843"/>
      <c r="OCQ47" s="2844"/>
      <c r="OCR47" s="2845"/>
      <c r="OCS47" s="2842"/>
      <c r="OCT47" s="2842"/>
      <c r="OCU47" s="2843"/>
      <c r="OCV47" s="2843"/>
      <c r="OCW47" s="2844"/>
      <c r="OCX47" s="2845"/>
      <c r="OCY47" s="2842"/>
      <c r="OCZ47" s="2842"/>
      <c r="ODA47" s="2843"/>
      <c r="ODB47" s="2843"/>
      <c r="ODC47" s="2844"/>
      <c r="ODD47" s="2845"/>
      <c r="ODE47" s="2842"/>
      <c r="ODF47" s="2842"/>
      <c r="ODG47" s="2843"/>
      <c r="ODH47" s="2843"/>
      <c r="ODI47" s="2844"/>
      <c r="ODJ47" s="2845"/>
      <c r="ODK47" s="2842"/>
      <c r="ODL47" s="2842"/>
      <c r="ODM47" s="2843"/>
      <c r="ODN47" s="2843"/>
      <c r="ODO47" s="2844"/>
      <c r="ODP47" s="2845"/>
      <c r="ODQ47" s="2842"/>
      <c r="ODR47" s="2842"/>
      <c r="ODS47" s="2843"/>
      <c r="ODT47" s="2843"/>
      <c r="ODU47" s="2844"/>
      <c r="ODV47" s="2845"/>
      <c r="ODW47" s="2842"/>
      <c r="ODX47" s="2842"/>
      <c r="ODY47" s="2843"/>
      <c r="ODZ47" s="2843"/>
      <c r="OEA47" s="2844"/>
      <c r="OEB47" s="2845"/>
      <c r="OEC47" s="2842"/>
      <c r="OED47" s="2842"/>
      <c r="OEE47" s="2843"/>
      <c r="OEF47" s="2843"/>
      <c r="OEG47" s="2844"/>
      <c r="OEH47" s="2845"/>
      <c r="OEI47" s="2842"/>
      <c r="OEJ47" s="2842"/>
      <c r="OEK47" s="2843"/>
      <c r="OEL47" s="2843"/>
      <c r="OEM47" s="2844"/>
      <c r="OEN47" s="2845"/>
      <c r="OEO47" s="2842"/>
      <c r="OEP47" s="2842"/>
      <c r="OEQ47" s="2843"/>
      <c r="OER47" s="2843"/>
      <c r="OES47" s="2844"/>
      <c r="OET47" s="2845"/>
      <c r="OEU47" s="2842"/>
      <c r="OEV47" s="2842"/>
      <c r="OEW47" s="2843"/>
      <c r="OEX47" s="2843"/>
      <c r="OEY47" s="2844"/>
      <c r="OEZ47" s="2845"/>
      <c r="OFA47" s="2842"/>
      <c r="OFB47" s="2842"/>
      <c r="OFC47" s="2843"/>
      <c r="OFD47" s="2843"/>
      <c r="OFE47" s="2844"/>
      <c r="OFF47" s="2845"/>
      <c r="OFG47" s="2842"/>
      <c r="OFH47" s="2842"/>
      <c r="OFI47" s="2843"/>
      <c r="OFJ47" s="2843"/>
      <c r="OFK47" s="2844"/>
      <c r="OFL47" s="2845"/>
      <c r="OFM47" s="2842"/>
      <c r="OFN47" s="2842"/>
      <c r="OFO47" s="2843"/>
      <c r="OFP47" s="2843"/>
      <c r="OFQ47" s="2844"/>
      <c r="OFR47" s="2845"/>
      <c r="OFS47" s="2842"/>
      <c r="OFT47" s="2842"/>
      <c r="OFU47" s="2843"/>
      <c r="OFV47" s="2843"/>
      <c r="OFW47" s="2844"/>
      <c r="OFX47" s="2845"/>
      <c r="OFY47" s="2842"/>
      <c r="OFZ47" s="2842"/>
      <c r="OGA47" s="2843"/>
      <c r="OGB47" s="2843"/>
      <c r="OGC47" s="2844"/>
      <c r="OGD47" s="2845"/>
      <c r="OGE47" s="2842"/>
      <c r="OGF47" s="2842"/>
      <c r="OGG47" s="2843"/>
      <c r="OGH47" s="2843"/>
      <c r="OGI47" s="2844"/>
      <c r="OGJ47" s="2845"/>
      <c r="OGK47" s="2842"/>
      <c r="OGL47" s="2842"/>
      <c r="OGM47" s="2843"/>
      <c r="OGN47" s="2843"/>
      <c r="OGO47" s="2844"/>
      <c r="OGP47" s="2845"/>
      <c r="OGQ47" s="2842"/>
      <c r="OGR47" s="2842"/>
      <c r="OGS47" s="2843"/>
      <c r="OGT47" s="2843"/>
      <c r="OGU47" s="2844"/>
      <c r="OGV47" s="2845"/>
      <c r="OGW47" s="2842"/>
      <c r="OGX47" s="2842"/>
      <c r="OGY47" s="2843"/>
      <c r="OGZ47" s="2843"/>
      <c r="OHA47" s="2844"/>
      <c r="OHB47" s="2845"/>
      <c r="OHC47" s="2842"/>
      <c r="OHD47" s="2842"/>
      <c r="OHE47" s="2843"/>
      <c r="OHF47" s="2843"/>
      <c r="OHG47" s="2844"/>
      <c r="OHH47" s="2845"/>
      <c r="OHI47" s="2842"/>
      <c r="OHJ47" s="2842"/>
      <c r="OHK47" s="2843"/>
      <c r="OHL47" s="2843"/>
      <c r="OHM47" s="2844"/>
      <c r="OHN47" s="2845"/>
      <c r="OHO47" s="2842"/>
      <c r="OHP47" s="2842"/>
      <c r="OHQ47" s="2843"/>
      <c r="OHR47" s="2843"/>
      <c r="OHS47" s="2844"/>
      <c r="OHT47" s="2845"/>
      <c r="OHU47" s="2842"/>
      <c r="OHV47" s="2842"/>
      <c r="OHW47" s="2843"/>
      <c r="OHX47" s="2843"/>
      <c r="OHY47" s="2844"/>
      <c r="OHZ47" s="2845"/>
      <c r="OIA47" s="2842"/>
      <c r="OIB47" s="2842"/>
      <c r="OIC47" s="2843"/>
      <c r="OID47" s="2843"/>
      <c r="OIE47" s="2844"/>
      <c r="OIF47" s="2845"/>
      <c r="OIG47" s="2842"/>
      <c r="OIH47" s="2842"/>
      <c r="OII47" s="2843"/>
      <c r="OIJ47" s="2843"/>
      <c r="OIK47" s="2844"/>
      <c r="OIL47" s="2845"/>
      <c r="OIM47" s="2842"/>
      <c r="OIN47" s="2842"/>
      <c r="OIO47" s="2843"/>
      <c r="OIP47" s="2843"/>
      <c r="OIQ47" s="2844"/>
      <c r="OIR47" s="2845"/>
      <c r="OIS47" s="2842"/>
      <c r="OIT47" s="2842"/>
      <c r="OIU47" s="2843"/>
      <c r="OIV47" s="2843"/>
      <c r="OIW47" s="2844"/>
      <c r="OIX47" s="2845"/>
      <c r="OIY47" s="2842"/>
      <c r="OIZ47" s="2842"/>
      <c r="OJA47" s="2843"/>
      <c r="OJB47" s="2843"/>
      <c r="OJC47" s="2844"/>
      <c r="OJD47" s="2845"/>
      <c r="OJE47" s="2842"/>
      <c r="OJF47" s="2842"/>
      <c r="OJG47" s="2843"/>
      <c r="OJH47" s="2843"/>
      <c r="OJI47" s="2844"/>
      <c r="OJJ47" s="2845"/>
      <c r="OJK47" s="2842"/>
      <c r="OJL47" s="2842"/>
      <c r="OJM47" s="2843"/>
      <c r="OJN47" s="2843"/>
      <c r="OJO47" s="2844"/>
      <c r="OJP47" s="2845"/>
      <c r="OJQ47" s="2842"/>
      <c r="OJR47" s="2842"/>
      <c r="OJS47" s="2843"/>
      <c r="OJT47" s="2843"/>
      <c r="OJU47" s="2844"/>
      <c r="OJV47" s="2845"/>
      <c r="OJW47" s="2842"/>
      <c r="OJX47" s="2842"/>
      <c r="OJY47" s="2843"/>
      <c r="OJZ47" s="2843"/>
      <c r="OKA47" s="2844"/>
      <c r="OKB47" s="2845"/>
      <c r="OKC47" s="2842"/>
      <c r="OKD47" s="2842"/>
      <c r="OKE47" s="2843"/>
      <c r="OKF47" s="2843"/>
      <c r="OKG47" s="2844"/>
      <c r="OKH47" s="2845"/>
      <c r="OKI47" s="2842"/>
      <c r="OKJ47" s="2842"/>
      <c r="OKK47" s="2843"/>
      <c r="OKL47" s="2843"/>
      <c r="OKM47" s="2844"/>
      <c r="OKN47" s="2845"/>
      <c r="OKO47" s="2842"/>
      <c r="OKP47" s="2842"/>
      <c r="OKQ47" s="2843"/>
      <c r="OKR47" s="2843"/>
      <c r="OKS47" s="2844"/>
      <c r="OKT47" s="2845"/>
      <c r="OKU47" s="2842"/>
      <c r="OKV47" s="2842"/>
      <c r="OKW47" s="2843"/>
      <c r="OKX47" s="2843"/>
      <c r="OKY47" s="2844"/>
      <c r="OKZ47" s="2845"/>
      <c r="OLA47" s="2842"/>
      <c r="OLB47" s="2842"/>
      <c r="OLC47" s="2843"/>
      <c r="OLD47" s="2843"/>
      <c r="OLE47" s="2844"/>
      <c r="OLF47" s="2845"/>
      <c r="OLG47" s="2842"/>
      <c r="OLH47" s="2842"/>
      <c r="OLI47" s="2843"/>
      <c r="OLJ47" s="2843"/>
      <c r="OLK47" s="2844"/>
      <c r="OLL47" s="2845"/>
      <c r="OLM47" s="2842"/>
      <c r="OLN47" s="2842"/>
      <c r="OLO47" s="2843"/>
      <c r="OLP47" s="2843"/>
      <c r="OLQ47" s="2844"/>
      <c r="OLR47" s="2845"/>
      <c r="OLS47" s="2842"/>
      <c r="OLT47" s="2842"/>
      <c r="OLU47" s="2843"/>
      <c r="OLV47" s="2843"/>
      <c r="OLW47" s="2844"/>
      <c r="OLX47" s="2845"/>
      <c r="OLY47" s="2842"/>
      <c r="OLZ47" s="2842"/>
      <c r="OMA47" s="2843"/>
      <c r="OMB47" s="2843"/>
      <c r="OMC47" s="2844"/>
      <c r="OMD47" s="2845"/>
      <c r="OME47" s="2842"/>
      <c r="OMF47" s="2842"/>
      <c r="OMG47" s="2843"/>
      <c r="OMH47" s="2843"/>
      <c r="OMI47" s="2844"/>
      <c r="OMJ47" s="2845"/>
      <c r="OMK47" s="2842"/>
      <c r="OML47" s="2842"/>
      <c r="OMM47" s="2843"/>
      <c r="OMN47" s="2843"/>
      <c r="OMO47" s="2844"/>
      <c r="OMP47" s="2845"/>
      <c r="OMQ47" s="2842"/>
      <c r="OMR47" s="2842"/>
      <c r="OMS47" s="2843"/>
      <c r="OMT47" s="2843"/>
      <c r="OMU47" s="2844"/>
      <c r="OMV47" s="2845"/>
      <c r="OMW47" s="2842"/>
      <c r="OMX47" s="2842"/>
      <c r="OMY47" s="2843"/>
      <c r="OMZ47" s="2843"/>
      <c r="ONA47" s="2844"/>
      <c r="ONB47" s="2845"/>
      <c r="ONC47" s="2842"/>
      <c r="OND47" s="2842"/>
      <c r="ONE47" s="2843"/>
      <c r="ONF47" s="2843"/>
      <c r="ONG47" s="2844"/>
      <c r="ONH47" s="2845"/>
      <c r="ONI47" s="2842"/>
      <c r="ONJ47" s="2842"/>
      <c r="ONK47" s="2843"/>
      <c r="ONL47" s="2843"/>
      <c r="ONM47" s="2844"/>
      <c r="ONN47" s="2845"/>
      <c r="ONO47" s="2842"/>
      <c r="ONP47" s="2842"/>
      <c r="ONQ47" s="2843"/>
      <c r="ONR47" s="2843"/>
      <c r="ONS47" s="2844"/>
      <c r="ONT47" s="2845"/>
      <c r="ONU47" s="2842"/>
      <c r="ONV47" s="2842"/>
      <c r="ONW47" s="2843"/>
      <c r="ONX47" s="2843"/>
      <c r="ONY47" s="2844"/>
      <c r="ONZ47" s="2845"/>
      <c r="OOA47" s="2842"/>
      <c r="OOB47" s="2842"/>
      <c r="OOC47" s="2843"/>
      <c r="OOD47" s="2843"/>
      <c r="OOE47" s="2844"/>
      <c r="OOF47" s="2845"/>
      <c r="OOG47" s="2842"/>
      <c r="OOH47" s="2842"/>
      <c r="OOI47" s="2843"/>
      <c r="OOJ47" s="2843"/>
      <c r="OOK47" s="2844"/>
      <c r="OOL47" s="2845"/>
      <c r="OOM47" s="2842"/>
      <c r="OON47" s="2842"/>
      <c r="OOO47" s="2843"/>
      <c r="OOP47" s="2843"/>
      <c r="OOQ47" s="2844"/>
      <c r="OOR47" s="2845"/>
      <c r="OOS47" s="2842"/>
      <c r="OOT47" s="2842"/>
      <c r="OOU47" s="2843"/>
      <c r="OOV47" s="2843"/>
      <c r="OOW47" s="2844"/>
      <c r="OOX47" s="2845"/>
      <c r="OOY47" s="2842"/>
      <c r="OOZ47" s="2842"/>
      <c r="OPA47" s="2843"/>
      <c r="OPB47" s="2843"/>
      <c r="OPC47" s="2844"/>
      <c r="OPD47" s="2845"/>
      <c r="OPE47" s="2842"/>
      <c r="OPF47" s="2842"/>
      <c r="OPG47" s="2843"/>
      <c r="OPH47" s="2843"/>
      <c r="OPI47" s="2844"/>
      <c r="OPJ47" s="2845"/>
      <c r="OPK47" s="2842"/>
      <c r="OPL47" s="2842"/>
      <c r="OPM47" s="2843"/>
      <c r="OPN47" s="2843"/>
      <c r="OPO47" s="2844"/>
      <c r="OPP47" s="2845"/>
      <c r="OPQ47" s="2842"/>
      <c r="OPR47" s="2842"/>
      <c r="OPS47" s="2843"/>
      <c r="OPT47" s="2843"/>
      <c r="OPU47" s="2844"/>
      <c r="OPV47" s="2845"/>
      <c r="OPW47" s="2842"/>
      <c r="OPX47" s="2842"/>
      <c r="OPY47" s="2843"/>
      <c r="OPZ47" s="2843"/>
      <c r="OQA47" s="2844"/>
      <c r="OQB47" s="2845"/>
      <c r="OQC47" s="2842"/>
      <c r="OQD47" s="2842"/>
      <c r="OQE47" s="2843"/>
      <c r="OQF47" s="2843"/>
      <c r="OQG47" s="2844"/>
      <c r="OQH47" s="2845"/>
      <c r="OQI47" s="2842"/>
      <c r="OQJ47" s="2842"/>
      <c r="OQK47" s="2843"/>
      <c r="OQL47" s="2843"/>
      <c r="OQM47" s="2844"/>
      <c r="OQN47" s="2845"/>
      <c r="OQO47" s="2842"/>
      <c r="OQP47" s="2842"/>
      <c r="OQQ47" s="2843"/>
      <c r="OQR47" s="2843"/>
      <c r="OQS47" s="2844"/>
      <c r="OQT47" s="2845"/>
      <c r="OQU47" s="2842"/>
      <c r="OQV47" s="2842"/>
      <c r="OQW47" s="2843"/>
      <c r="OQX47" s="2843"/>
      <c r="OQY47" s="2844"/>
      <c r="OQZ47" s="2845"/>
      <c r="ORA47" s="2842"/>
      <c r="ORB47" s="2842"/>
      <c r="ORC47" s="2843"/>
      <c r="ORD47" s="2843"/>
      <c r="ORE47" s="2844"/>
      <c r="ORF47" s="2845"/>
      <c r="ORG47" s="2842"/>
      <c r="ORH47" s="2842"/>
      <c r="ORI47" s="2843"/>
      <c r="ORJ47" s="2843"/>
      <c r="ORK47" s="2844"/>
      <c r="ORL47" s="2845"/>
      <c r="ORM47" s="2842"/>
      <c r="ORN47" s="2842"/>
      <c r="ORO47" s="2843"/>
      <c r="ORP47" s="2843"/>
      <c r="ORQ47" s="2844"/>
      <c r="ORR47" s="2845"/>
      <c r="ORS47" s="2842"/>
      <c r="ORT47" s="2842"/>
      <c r="ORU47" s="2843"/>
      <c r="ORV47" s="2843"/>
      <c r="ORW47" s="2844"/>
      <c r="ORX47" s="2845"/>
      <c r="ORY47" s="2842"/>
      <c r="ORZ47" s="2842"/>
      <c r="OSA47" s="2843"/>
      <c r="OSB47" s="2843"/>
      <c r="OSC47" s="2844"/>
      <c r="OSD47" s="2845"/>
      <c r="OSE47" s="2842"/>
      <c r="OSF47" s="2842"/>
      <c r="OSG47" s="2843"/>
      <c r="OSH47" s="2843"/>
      <c r="OSI47" s="2844"/>
      <c r="OSJ47" s="2845"/>
      <c r="OSK47" s="2842"/>
      <c r="OSL47" s="2842"/>
      <c r="OSM47" s="2843"/>
      <c r="OSN47" s="2843"/>
      <c r="OSO47" s="2844"/>
      <c r="OSP47" s="2845"/>
      <c r="OSQ47" s="2842"/>
      <c r="OSR47" s="2842"/>
      <c r="OSS47" s="2843"/>
      <c r="OST47" s="2843"/>
      <c r="OSU47" s="2844"/>
      <c r="OSV47" s="2845"/>
      <c r="OSW47" s="2842"/>
      <c r="OSX47" s="2842"/>
      <c r="OSY47" s="2843"/>
      <c r="OSZ47" s="2843"/>
      <c r="OTA47" s="2844"/>
      <c r="OTB47" s="2845"/>
      <c r="OTC47" s="2842"/>
      <c r="OTD47" s="2842"/>
      <c r="OTE47" s="2843"/>
      <c r="OTF47" s="2843"/>
      <c r="OTG47" s="2844"/>
      <c r="OTH47" s="2845"/>
      <c r="OTI47" s="2842"/>
      <c r="OTJ47" s="2842"/>
      <c r="OTK47" s="2843"/>
      <c r="OTL47" s="2843"/>
      <c r="OTM47" s="2844"/>
      <c r="OTN47" s="2845"/>
      <c r="OTO47" s="2842"/>
      <c r="OTP47" s="2842"/>
      <c r="OTQ47" s="2843"/>
      <c r="OTR47" s="2843"/>
      <c r="OTS47" s="2844"/>
      <c r="OTT47" s="2845"/>
      <c r="OTU47" s="2842"/>
      <c r="OTV47" s="2842"/>
      <c r="OTW47" s="2843"/>
      <c r="OTX47" s="2843"/>
      <c r="OTY47" s="2844"/>
      <c r="OTZ47" s="2845"/>
      <c r="OUA47" s="2842"/>
      <c r="OUB47" s="2842"/>
      <c r="OUC47" s="2843"/>
      <c r="OUD47" s="2843"/>
      <c r="OUE47" s="2844"/>
      <c r="OUF47" s="2845"/>
      <c r="OUG47" s="2842"/>
      <c r="OUH47" s="2842"/>
      <c r="OUI47" s="2843"/>
      <c r="OUJ47" s="2843"/>
      <c r="OUK47" s="2844"/>
      <c r="OUL47" s="2845"/>
      <c r="OUM47" s="2842"/>
      <c r="OUN47" s="2842"/>
      <c r="OUO47" s="2843"/>
      <c r="OUP47" s="2843"/>
      <c r="OUQ47" s="2844"/>
      <c r="OUR47" s="2845"/>
      <c r="OUS47" s="2842"/>
      <c r="OUT47" s="2842"/>
      <c r="OUU47" s="2843"/>
      <c r="OUV47" s="2843"/>
      <c r="OUW47" s="2844"/>
      <c r="OUX47" s="2845"/>
      <c r="OUY47" s="2842"/>
      <c r="OUZ47" s="2842"/>
      <c r="OVA47" s="2843"/>
      <c r="OVB47" s="2843"/>
      <c r="OVC47" s="2844"/>
      <c r="OVD47" s="2845"/>
      <c r="OVE47" s="2842"/>
      <c r="OVF47" s="2842"/>
      <c r="OVG47" s="2843"/>
      <c r="OVH47" s="2843"/>
      <c r="OVI47" s="2844"/>
      <c r="OVJ47" s="2845"/>
      <c r="OVK47" s="2842"/>
      <c r="OVL47" s="2842"/>
      <c r="OVM47" s="2843"/>
      <c r="OVN47" s="2843"/>
      <c r="OVO47" s="2844"/>
      <c r="OVP47" s="2845"/>
      <c r="OVQ47" s="2842"/>
      <c r="OVR47" s="2842"/>
      <c r="OVS47" s="2843"/>
      <c r="OVT47" s="2843"/>
      <c r="OVU47" s="2844"/>
      <c r="OVV47" s="2845"/>
      <c r="OVW47" s="2842"/>
      <c r="OVX47" s="2842"/>
      <c r="OVY47" s="2843"/>
      <c r="OVZ47" s="2843"/>
      <c r="OWA47" s="2844"/>
      <c r="OWB47" s="2845"/>
      <c r="OWC47" s="2842"/>
      <c r="OWD47" s="2842"/>
      <c r="OWE47" s="2843"/>
      <c r="OWF47" s="2843"/>
      <c r="OWG47" s="2844"/>
      <c r="OWH47" s="2845"/>
      <c r="OWI47" s="2842"/>
      <c r="OWJ47" s="2842"/>
      <c r="OWK47" s="2843"/>
      <c r="OWL47" s="2843"/>
      <c r="OWM47" s="2844"/>
      <c r="OWN47" s="2845"/>
      <c r="OWO47" s="2842"/>
      <c r="OWP47" s="2842"/>
      <c r="OWQ47" s="2843"/>
      <c r="OWR47" s="2843"/>
      <c r="OWS47" s="2844"/>
      <c r="OWT47" s="2845"/>
      <c r="OWU47" s="2842"/>
      <c r="OWV47" s="2842"/>
      <c r="OWW47" s="2843"/>
      <c r="OWX47" s="2843"/>
      <c r="OWY47" s="2844"/>
      <c r="OWZ47" s="2845"/>
      <c r="OXA47" s="2842"/>
      <c r="OXB47" s="2842"/>
      <c r="OXC47" s="2843"/>
      <c r="OXD47" s="2843"/>
      <c r="OXE47" s="2844"/>
      <c r="OXF47" s="2845"/>
      <c r="OXG47" s="2842"/>
      <c r="OXH47" s="2842"/>
      <c r="OXI47" s="2843"/>
      <c r="OXJ47" s="2843"/>
      <c r="OXK47" s="2844"/>
      <c r="OXL47" s="2845"/>
      <c r="OXM47" s="2842"/>
      <c r="OXN47" s="2842"/>
      <c r="OXO47" s="2843"/>
      <c r="OXP47" s="2843"/>
      <c r="OXQ47" s="2844"/>
      <c r="OXR47" s="2845"/>
      <c r="OXS47" s="2842"/>
      <c r="OXT47" s="2842"/>
      <c r="OXU47" s="2843"/>
      <c r="OXV47" s="2843"/>
      <c r="OXW47" s="2844"/>
      <c r="OXX47" s="2845"/>
      <c r="OXY47" s="2842"/>
      <c r="OXZ47" s="2842"/>
      <c r="OYA47" s="2843"/>
      <c r="OYB47" s="2843"/>
      <c r="OYC47" s="2844"/>
      <c r="OYD47" s="2845"/>
      <c r="OYE47" s="2842"/>
      <c r="OYF47" s="2842"/>
      <c r="OYG47" s="2843"/>
      <c r="OYH47" s="2843"/>
      <c r="OYI47" s="2844"/>
      <c r="OYJ47" s="2845"/>
      <c r="OYK47" s="2842"/>
      <c r="OYL47" s="2842"/>
      <c r="OYM47" s="2843"/>
      <c r="OYN47" s="2843"/>
      <c r="OYO47" s="2844"/>
      <c r="OYP47" s="2845"/>
      <c r="OYQ47" s="2842"/>
      <c r="OYR47" s="2842"/>
      <c r="OYS47" s="2843"/>
      <c r="OYT47" s="2843"/>
      <c r="OYU47" s="2844"/>
      <c r="OYV47" s="2845"/>
      <c r="OYW47" s="2842"/>
      <c r="OYX47" s="2842"/>
      <c r="OYY47" s="2843"/>
      <c r="OYZ47" s="2843"/>
      <c r="OZA47" s="2844"/>
      <c r="OZB47" s="2845"/>
      <c r="OZC47" s="2842"/>
      <c r="OZD47" s="2842"/>
      <c r="OZE47" s="2843"/>
      <c r="OZF47" s="2843"/>
      <c r="OZG47" s="2844"/>
      <c r="OZH47" s="2845"/>
      <c r="OZI47" s="2842"/>
      <c r="OZJ47" s="2842"/>
      <c r="OZK47" s="2843"/>
      <c r="OZL47" s="2843"/>
      <c r="OZM47" s="2844"/>
      <c r="OZN47" s="2845"/>
      <c r="OZO47" s="2842"/>
      <c r="OZP47" s="2842"/>
      <c r="OZQ47" s="2843"/>
      <c r="OZR47" s="2843"/>
      <c r="OZS47" s="2844"/>
      <c r="OZT47" s="2845"/>
      <c r="OZU47" s="2842"/>
      <c r="OZV47" s="2842"/>
      <c r="OZW47" s="2843"/>
      <c r="OZX47" s="2843"/>
      <c r="OZY47" s="2844"/>
      <c r="OZZ47" s="2845"/>
      <c r="PAA47" s="2842"/>
      <c r="PAB47" s="2842"/>
      <c r="PAC47" s="2843"/>
      <c r="PAD47" s="2843"/>
      <c r="PAE47" s="2844"/>
      <c r="PAF47" s="2845"/>
      <c r="PAG47" s="2842"/>
      <c r="PAH47" s="2842"/>
      <c r="PAI47" s="2843"/>
      <c r="PAJ47" s="2843"/>
      <c r="PAK47" s="2844"/>
      <c r="PAL47" s="2845"/>
      <c r="PAM47" s="2842"/>
      <c r="PAN47" s="2842"/>
      <c r="PAO47" s="2843"/>
      <c r="PAP47" s="2843"/>
      <c r="PAQ47" s="2844"/>
      <c r="PAR47" s="2845"/>
      <c r="PAS47" s="2842"/>
      <c r="PAT47" s="2842"/>
      <c r="PAU47" s="2843"/>
      <c r="PAV47" s="2843"/>
      <c r="PAW47" s="2844"/>
      <c r="PAX47" s="2845"/>
      <c r="PAY47" s="2842"/>
      <c r="PAZ47" s="2842"/>
      <c r="PBA47" s="2843"/>
      <c r="PBB47" s="2843"/>
      <c r="PBC47" s="2844"/>
      <c r="PBD47" s="2845"/>
      <c r="PBE47" s="2842"/>
      <c r="PBF47" s="2842"/>
      <c r="PBG47" s="2843"/>
      <c r="PBH47" s="2843"/>
      <c r="PBI47" s="2844"/>
      <c r="PBJ47" s="2845"/>
      <c r="PBK47" s="2842"/>
      <c r="PBL47" s="2842"/>
      <c r="PBM47" s="2843"/>
      <c r="PBN47" s="2843"/>
      <c r="PBO47" s="2844"/>
      <c r="PBP47" s="2845"/>
      <c r="PBQ47" s="2842"/>
      <c r="PBR47" s="2842"/>
      <c r="PBS47" s="2843"/>
      <c r="PBT47" s="2843"/>
      <c r="PBU47" s="2844"/>
      <c r="PBV47" s="2845"/>
      <c r="PBW47" s="2842"/>
      <c r="PBX47" s="2842"/>
      <c r="PBY47" s="2843"/>
      <c r="PBZ47" s="2843"/>
      <c r="PCA47" s="2844"/>
      <c r="PCB47" s="2845"/>
      <c r="PCC47" s="2842"/>
      <c r="PCD47" s="2842"/>
      <c r="PCE47" s="2843"/>
      <c r="PCF47" s="2843"/>
      <c r="PCG47" s="2844"/>
      <c r="PCH47" s="2845"/>
      <c r="PCI47" s="2842"/>
      <c r="PCJ47" s="2842"/>
      <c r="PCK47" s="2843"/>
      <c r="PCL47" s="2843"/>
      <c r="PCM47" s="2844"/>
      <c r="PCN47" s="2845"/>
      <c r="PCO47" s="2842"/>
      <c r="PCP47" s="2842"/>
      <c r="PCQ47" s="2843"/>
      <c r="PCR47" s="2843"/>
      <c r="PCS47" s="2844"/>
      <c r="PCT47" s="2845"/>
      <c r="PCU47" s="2842"/>
      <c r="PCV47" s="2842"/>
      <c r="PCW47" s="2843"/>
      <c r="PCX47" s="2843"/>
      <c r="PCY47" s="2844"/>
      <c r="PCZ47" s="2845"/>
      <c r="PDA47" s="2842"/>
      <c r="PDB47" s="2842"/>
      <c r="PDC47" s="2843"/>
      <c r="PDD47" s="2843"/>
      <c r="PDE47" s="2844"/>
      <c r="PDF47" s="2845"/>
      <c r="PDG47" s="2842"/>
      <c r="PDH47" s="2842"/>
      <c r="PDI47" s="2843"/>
      <c r="PDJ47" s="2843"/>
      <c r="PDK47" s="2844"/>
      <c r="PDL47" s="2845"/>
      <c r="PDM47" s="2842"/>
      <c r="PDN47" s="2842"/>
      <c r="PDO47" s="2843"/>
      <c r="PDP47" s="2843"/>
      <c r="PDQ47" s="2844"/>
      <c r="PDR47" s="2845"/>
      <c r="PDS47" s="2842"/>
      <c r="PDT47" s="2842"/>
      <c r="PDU47" s="2843"/>
      <c r="PDV47" s="2843"/>
      <c r="PDW47" s="2844"/>
      <c r="PDX47" s="2845"/>
      <c r="PDY47" s="2842"/>
      <c r="PDZ47" s="2842"/>
      <c r="PEA47" s="2843"/>
      <c r="PEB47" s="2843"/>
      <c r="PEC47" s="2844"/>
      <c r="PED47" s="2845"/>
      <c r="PEE47" s="2842"/>
      <c r="PEF47" s="2842"/>
      <c r="PEG47" s="2843"/>
      <c r="PEH47" s="2843"/>
      <c r="PEI47" s="2844"/>
      <c r="PEJ47" s="2845"/>
      <c r="PEK47" s="2842"/>
      <c r="PEL47" s="2842"/>
      <c r="PEM47" s="2843"/>
      <c r="PEN47" s="2843"/>
      <c r="PEO47" s="2844"/>
      <c r="PEP47" s="2845"/>
      <c r="PEQ47" s="2842"/>
      <c r="PER47" s="2842"/>
      <c r="PES47" s="2843"/>
      <c r="PET47" s="2843"/>
      <c r="PEU47" s="2844"/>
      <c r="PEV47" s="2845"/>
      <c r="PEW47" s="2842"/>
      <c r="PEX47" s="2842"/>
      <c r="PEY47" s="2843"/>
      <c r="PEZ47" s="2843"/>
      <c r="PFA47" s="2844"/>
      <c r="PFB47" s="2845"/>
      <c r="PFC47" s="2842"/>
      <c r="PFD47" s="2842"/>
      <c r="PFE47" s="2843"/>
      <c r="PFF47" s="2843"/>
      <c r="PFG47" s="2844"/>
      <c r="PFH47" s="2845"/>
      <c r="PFI47" s="2842"/>
      <c r="PFJ47" s="2842"/>
      <c r="PFK47" s="2843"/>
      <c r="PFL47" s="2843"/>
      <c r="PFM47" s="2844"/>
      <c r="PFN47" s="2845"/>
      <c r="PFO47" s="2842"/>
      <c r="PFP47" s="2842"/>
      <c r="PFQ47" s="2843"/>
      <c r="PFR47" s="2843"/>
      <c r="PFS47" s="2844"/>
      <c r="PFT47" s="2845"/>
      <c r="PFU47" s="2842"/>
      <c r="PFV47" s="2842"/>
      <c r="PFW47" s="2843"/>
      <c r="PFX47" s="2843"/>
      <c r="PFY47" s="2844"/>
      <c r="PFZ47" s="2845"/>
      <c r="PGA47" s="2842"/>
      <c r="PGB47" s="2842"/>
      <c r="PGC47" s="2843"/>
      <c r="PGD47" s="2843"/>
      <c r="PGE47" s="2844"/>
      <c r="PGF47" s="2845"/>
      <c r="PGG47" s="2842"/>
      <c r="PGH47" s="2842"/>
      <c r="PGI47" s="2843"/>
      <c r="PGJ47" s="2843"/>
      <c r="PGK47" s="2844"/>
      <c r="PGL47" s="2845"/>
      <c r="PGM47" s="2842"/>
      <c r="PGN47" s="2842"/>
      <c r="PGO47" s="2843"/>
      <c r="PGP47" s="2843"/>
      <c r="PGQ47" s="2844"/>
      <c r="PGR47" s="2845"/>
      <c r="PGS47" s="2842"/>
      <c r="PGT47" s="2842"/>
      <c r="PGU47" s="2843"/>
      <c r="PGV47" s="2843"/>
      <c r="PGW47" s="2844"/>
      <c r="PGX47" s="2845"/>
      <c r="PGY47" s="2842"/>
      <c r="PGZ47" s="2842"/>
      <c r="PHA47" s="2843"/>
      <c r="PHB47" s="2843"/>
      <c r="PHC47" s="2844"/>
      <c r="PHD47" s="2845"/>
      <c r="PHE47" s="2842"/>
      <c r="PHF47" s="2842"/>
      <c r="PHG47" s="2843"/>
      <c r="PHH47" s="2843"/>
      <c r="PHI47" s="2844"/>
      <c r="PHJ47" s="2845"/>
      <c r="PHK47" s="2842"/>
      <c r="PHL47" s="2842"/>
      <c r="PHM47" s="2843"/>
      <c r="PHN47" s="2843"/>
      <c r="PHO47" s="2844"/>
      <c r="PHP47" s="2845"/>
      <c r="PHQ47" s="2842"/>
      <c r="PHR47" s="2842"/>
      <c r="PHS47" s="2843"/>
      <c r="PHT47" s="2843"/>
      <c r="PHU47" s="2844"/>
      <c r="PHV47" s="2845"/>
      <c r="PHW47" s="2842"/>
      <c r="PHX47" s="2842"/>
      <c r="PHY47" s="2843"/>
      <c r="PHZ47" s="2843"/>
      <c r="PIA47" s="2844"/>
      <c r="PIB47" s="2845"/>
      <c r="PIC47" s="2842"/>
      <c r="PID47" s="2842"/>
      <c r="PIE47" s="2843"/>
      <c r="PIF47" s="2843"/>
      <c r="PIG47" s="2844"/>
      <c r="PIH47" s="2845"/>
      <c r="PII47" s="2842"/>
      <c r="PIJ47" s="2842"/>
      <c r="PIK47" s="2843"/>
      <c r="PIL47" s="2843"/>
      <c r="PIM47" s="2844"/>
      <c r="PIN47" s="2845"/>
      <c r="PIO47" s="2842"/>
      <c r="PIP47" s="2842"/>
      <c r="PIQ47" s="2843"/>
      <c r="PIR47" s="2843"/>
      <c r="PIS47" s="2844"/>
      <c r="PIT47" s="2845"/>
      <c r="PIU47" s="2842"/>
      <c r="PIV47" s="2842"/>
      <c r="PIW47" s="2843"/>
      <c r="PIX47" s="2843"/>
      <c r="PIY47" s="2844"/>
      <c r="PIZ47" s="2845"/>
      <c r="PJA47" s="2842"/>
      <c r="PJB47" s="2842"/>
      <c r="PJC47" s="2843"/>
      <c r="PJD47" s="2843"/>
      <c r="PJE47" s="2844"/>
      <c r="PJF47" s="2845"/>
      <c r="PJG47" s="2842"/>
      <c r="PJH47" s="2842"/>
      <c r="PJI47" s="2843"/>
      <c r="PJJ47" s="2843"/>
      <c r="PJK47" s="2844"/>
      <c r="PJL47" s="2845"/>
      <c r="PJM47" s="2842"/>
      <c r="PJN47" s="2842"/>
      <c r="PJO47" s="2843"/>
      <c r="PJP47" s="2843"/>
      <c r="PJQ47" s="2844"/>
      <c r="PJR47" s="2845"/>
      <c r="PJS47" s="2842"/>
      <c r="PJT47" s="2842"/>
      <c r="PJU47" s="2843"/>
      <c r="PJV47" s="2843"/>
      <c r="PJW47" s="2844"/>
      <c r="PJX47" s="2845"/>
      <c r="PJY47" s="2842"/>
      <c r="PJZ47" s="2842"/>
      <c r="PKA47" s="2843"/>
      <c r="PKB47" s="2843"/>
      <c r="PKC47" s="2844"/>
      <c r="PKD47" s="2845"/>
      <c r="PKE47" s="2842"/>
      <c r="PKF47" s="2842"/>
      <c r="PKG47" s="2843"/>
      <c r="PKH47" s="2843"/>
      <c r="PKI47" s="2844"/>
      <c r="PKJ47" s="2845"/>
      <c r="PKK47" s="2842"/>
      <c r="PKL47" s="2842"/>
      <c r="PKM47" s="2843"/>
      <c r="PKN47" s="2843"/>
      <c r="PKO47" s="2844"/>
      <c r="PKP47" s="2845"/>
      <c r="PKQ47" s="2842"/>
      <c r="PKR47" s="2842"/>
      <c r="PKS47" s="2843"/>
      <c r="PKT47" s="2843"/>
      <c r="PKU47" s="2844"/>
      <c r="PKV47" s="2845"/>
      <c r="PKW47" s="2842"/>
      <c r="PKX47" s="2842"/>
      <c r="PKY47" s="2843"/>
      <c r="PKZ47" s="2843"/>
      <c r="PLA47" s="2844"/>
      <c r="PLB47" s="2845"/>
      <c r="PLC47" s="2842"/>
      <c r="PLD47" s="2842"/>
      <c r="PLE47" s="2843"/>
      <c r="PLF47" s="2843"/>
      <c r="PLG47" s="2844"/>
      <c r="PLH47" s="2845"/>
      <c r="PLI47" s="2842"/>
      <c r="PLJ47" s="2842"/>
      <c r="PLK47" s="2843"/>
      <c r="PLL47" s="2843"/>
      <c r="PLM47" s="2844"/>
      <c r="PLN47" s="2845"/>
      <c r="PLO47" s="2842"/>
      <c r="PLP47" s="2842"/>
      <c r="PLQ47" s="2843"/>
      <c r="PLR47" s="2843"/>
      <c r="PLS47" s="2844"/>
      <c r="PLT47" s="2845"/>
      <c r="PLU47" s="2842"/>
      <c r="PLV47" s="2842"/>
      <c r="PLW47" s="2843"/>
      <c r="PLX47" s="2843"/>
      <c r="PLY47" s="2844"/>
      <c r="PLZ47" s="2845"/>
      <c r="PMA47" s="2842"/>
      <c r="PMB47" s="2842"/>
      <c r="PMC47" s="2843"/>
      <c r="PMD47" s="2843"/>
      <c r="PME47" s="2844"/>
      <c r="PMF47" s="2845"/>
      <c r="PMG47" s="2842"/>
      <c r="PMH47" s="2842"/>
      <c r="PMI47" s="2843"/>
      <c r="PMJ47" s="2843"/>
      <c r="PMK47" s="2844"/>
      <c r="PML47" s="2845"/>
      <c r="PMM47" s="2842"/>
      <c r="PMN47" s="2842"/>
      <c r="PMO47" s="2843"/>
      <c r="PMP47" s="2843"/>
      <c r="PMQ47" s="2844"/>
      <c r="PMR47" s="2845"/>
      <c r="PMS47" s="2842"/>
      <c r="PMT47" s="2842"/>
      <c r="PMU47" s="2843"/>
      <c r="PMV47" s="2843"/>
      <c r="PMW47" s="2844"/>
      <c r="PMX47" s="2845"/>
      <c r="PMY47" s="2842"/>
      <c r="PMZ47" s="2842"/>
      <c r="PNA47" s="2843"/>
      <c r="PNB47" s="2843"/>
      <c r="PNC47" s="2844"/>
      <c r="PND47" s="2845"/>
      <c r="PNE47" s="2842"/>
      <c r="PNF47" s="2842"/>
      <c r="PNG47" s="2843"/>
      <c r="PNH47" s="2843"/>
      <c r="PNI47" s="2844"/>
      <c r="PNJ47" s="2845"/>
      <c r="PNK47" s="2842"/>
      <c r="PNL47" s="2842"/>
      <c r="PNM47" s="2843"/>
      <c r="PNN47" s="2843"/>
      <c r="PNO47" s="2844"/>
      <c r="PNP47" s="2845"/>
      <c r="PNQ47" s="2842"/>
      <c r="PNR47" s="2842"/>
      <c r="PNS47" s="2843"/>
      <c r="PNT47" s="2843"/>
      <c r="PNU47" s="2844"/>
      <c r="PNV47" s="2845"/>
      <c r="PNW47" s="2842"/>
      <c r="PNX47" s="2842"/>
      <c r="PNY47" s="2843"/>
      <c r="PNZ47" s="2843"/>
      <c r="POA47" s="2844"/>
      <c r="POB47" s="2845"/>
      <c r="POC47" s="2842"/>
      <c r="POD47" s="2842"/>
      <c r="POE47" s="2843"/>
      <c r="POF47" s="2843"/>
      <c r="POG47" s="2844"/>
      <c r="POH47" s="2845"/>
      <c r="POI47" s="2842"/>
      <c r="POJ47" s="2842"/>
      <c r="POK47" s="2843"/>
      <c r="POL47" s="2843"/>
      <c r="POM47" s="2844"/>
      <c r="PON47" s="2845"/>
      <c r="POO47" s="2842"/>
      <c r="POP47" s="2842"/>
      <c r="POQ47" s="2843"/>
      <c r="POR47" s="2843"/>
      <c r="POS47" s="2844"/>
      <c r="POT47" s="2845"/>
      <c r="POU47" s="2842"/>
      <c r="POV47" s="2842"/>
      <c r="POW47" s="2843"/>
      <c r="POX47" s="2843"/>
      <c r="POY47" s="2844"/>
      <c r="POZ47" s="2845"/>
      <c r="PPA47" s="2842"/>
      <c r="PPB47" s="2842"/>
      <c r="PPC47" s="2843"/>
      <c r="PPD47" s="2843"/>
      <c r="PPE47" s="2844"/>
      <c r="PPF47" s="2845"/>
      <c r="PPG47" s="2842"/>
      <c r="PPH47" s="2842"/>
      <c r="PPI47" s="2843"/>
      <c r="PPJ47" s="2843"/>
      <c r="PPK47" s="2844"/>
      <c r="PPL47" s="2845"/>
      <c r="PPM47" s="2842"/>
      <c r="PPN47" s="2842"/>
      <c r="PPO47" s="2843"/>
      <c r="PPP47" s="2843"/>
      <c r="PPQ47" s="2844"/>
      <c r="PPR47" s="2845"/>
      <c r="PPS47" s="2842"/>
      <c r="PPT47" s="2842"/>
      <c r="PPU47" s="2843"/>
      <c r="PPV47" s="2843"/>
      <c r="PPW47" s="2844"/>
      <c r="PPX47" s="2845"/>
      <c r="PPY47" s="2842"/>
      <c r="PPZ47" s="2842"/>
      <c r="PQA47" s="2843"/>
      <c r="PQB47" s="2843"/>
      <c r="PQC47" s="2844"/>
      <c r="PQD47" s="2845"/>
      <c r="PQE47" s="2842"/>
      <c r="PQF47" s="2842"/>
      <c r="PQG47" s="2843"/>
      <c r="PQH47" s="2843"/>
      <c r="PQI47" s="2844"/>
      <c r="PQJ47" s="2845"/>
      <c r="PQK47" s="2842"/>
      <c r="PQL47" s="2842"/>
      <c r="PQM47" s="2843"/>
      <c r="PQN47" s="2843"/>
      <c r="PQO47" s="2844"/>
      <c r="PQP47" s="2845"/>
      <c r="PQQ47" s="2842"/>
      <c r="PQR47" s="2842"/>
      <c r="PQS47" s="2843"/>
      <c r="PQT47" s="2843"/>
      <c r="PQU47" s="2844"/>
      <c r="PQV47" s="2845"/>
      <c r="PQW47" s="2842"/>
      <c r="PQX47" s="2842"/>
      <c r="PQY47" s="2843"/>
      <c r="PQZ47" s="2843"/>
      <c r="PRA47" s="2844"/>
      <c r="PRB47" s="2845"/>
      <c r="PRC47" s="2842"/>
      <c r="PRD47" s="2842"/>
      <c r="PRE47" s="2843"/>
      <c r="PRF47" s="2843"/>
      <c r="PRG47" s="2844"/>
      <c r="PRH47" s="2845"/>
      <c r="PRI47" s="2842"/>
      <c r="PRJ47" s="2842"/>
      <c r="PRK47" s="2843"/>
      <c r="PRL47" s="2843"/>
      <c r="PRM47" s="2844"/>
      <c r="PRN47" s="2845"/>
      <c r="PRO47" s="2842"/>
      <c r="PRP47" s="2842"/>
      <c r="PRQ47" s="2843"/>
      <c r="PRR47" s="2843"/>
      <c r="PRS47" s="2844"/>
      <c r="PRT47" s="2845"/>
      <c r="PRU47" s="2842"/>
      <c r="PRV47" s="2842"/>
      <c r="PRW47" s="2843"/>
      <c r="PRX47" s="2843"/>
      <c r="PRY47" s="2844"/>
      <c r="PRZ47" s="2845"/>
      <c r="PSA47" s="2842"/>
      <c r="PSB47" s="2842"/>
      <c r="PSC47" s="2843"/>
      <c r="PSD47" s="2843"/>
      <c r="PSE47" s="2844"/>
      <c r="PSF47" s="2845"/>
      <c r="PSG47" s="2842"/>
      <c r="PSH47" s="2842"/>
      <c r="PSI47" s="2843"/>
      <c r="PSJ47" s="2843"/>
      <c r="PSK47" s="2844"/>
      <c r="PSL47" s="2845"/>
      <c r="PSM47" s="2842"/>
      <c r="PSN47" s="2842"/>
      <c r="PSO47" s="2843"/>
      <c r="PSP47" s="2843"/>
      <c r="PSQ47" s="2844"/>
      <c r="PSR47" s="2845"/>
      <c r="PSS47" s="2842"/>
      <c r="PST47" s="2842"/>
      <c r="PSU47" s="2843"/>
      <c r="PSV47" s="2843"/>
      <c r="PSW47" s="2844"/>
      <c r="PSX47" s="2845"/>
      <c r="PSY47" s="2842"/>
      <c r="PSZ47" s="2842"/>
      <c r="PTA47" s="2843"/>
      <c r="PTB47" s="2843"/>
      <c r="PTC47" s="2844"/>
      <c r="PTD47" s="2845"/>
      <c r="PTE47" s="2842"/>
      <c r="PTF47" s="2842"/>
      <c r="PTG47" s="2843"/>
      <c r="PTH47" s="2843"/>
      <c r="PTI47" s="2844"/>
      <c r="PTJ47" s="2845"/>
      <c r="PTK47" s="2842"/>
      <c r="PTL47" s="2842"/>
      <c r="PTM47" s="2843"/>
      <c r="PTN47" s="2843"/>
      <c r="PTO47" s="2844"/>
      <c r="PTP47" s="2845"/>
      <c r="PTQ47" s="2842"/>
      <c r="PTR47" s="2842"/>
      <c r="PTS47" s="2843"/>
      <c r="PTT47" s="2843"/>
      <c r="PTU47" s="2844"/>
      <c r="PTV47" s="2845"/>
      <c r="PTW47" s="2842"/>
      <c r="PTX47" s="2842"/>
      <c r="PTY47" s="2843"/>
      <c r="PTZ47" s="2843"/>
      <c r="PUA47" s="2844"/>
      <c r="PUB47" s="2845"/>
      <c r="PUC47" s="2842"/>
      <c r="PUD47" s="2842"/>
      <c r="PUE47" s="2843"/>
      <c r="PUF47" s="2843"/>
      <c r="PUG47" s="2844"/>
      <c r="PUH47" s="2845"/>
      <c r="PUI47" s="2842"/>
      <c r="PUJ47" s="2842"/>
      <c r="PUK47" s="2843"/>
      <c r="PUL47" s="2843"/>
      <c r="PUM47" s="2844"/>
      <c r="PUN47" s="2845"/>
      <c r="PUO47" s="2842"/>
      <c r="PUP47" s="2842"/>
      <c r="PUQ47" s="2843"/>
      <c r="PUR47" s="2843"/>
      <c r="PUS47" s="2844"/>
      <c r="PUT47" s="2845"/>
      <c r="PUU47" s="2842"/>
      <c r="PUV47" s="2842"/>
      <c r="PUW47" s="2843"/>
      <c r="PUX47" s="2843"/>
      <c r="PUY47" s="2844"/>
      <c r="PUZ47" s="2845"/>
      <c r="PVA47" s="2842"/>
      <c r="PVB47" s="2842"/>
      <c r="PVC47" s="2843"/>
      <c r="PVD47" s="2843"/>
      <c r="PVE47" s="2844"/>
      <c r="PVF47" s="2845"/>
      <c r="PVG47" s="2842"/>
      <c r="PVH47" s="2842"/>
      <c r="PVI47" s="2843"/>
      <c r="PVJ47" s="2843"/>
      <c r="PVK47" s="2844"/>
      <c r="PVL47" s="2845"/>
      <c r="PVM47" s="2842"/>
      <c r="PVN47" s="2842"/>
      <c r="PVO47" s="2843"/>
      <c r="PVP47" s="2843"/>
      <c r="PVQ47" s="2844"/>
      <c r="PVR47" s="2845"/>
      <c r="PVS47" s="2842"/>
      <c r="PVT47" s="2842"/>
      <c r="PVU47" s="2843"/>
      <c r="PVV47" s="2843"/>
      <c r="PVW47" s="2844"/>
      <c r="PVX47" s="2845"/>
      <c r="PVY47" s="2842"/>
      <c r="PVZ47" s="2842"/>
      <c r="PWA47" s="2843"/>
      <c r="PWB47" s="2843"/>
      <c r="PWC47" s="2844"/>
      <c r="PWD47" s="2845"/>
      <c r="PWE47" s="2842"/>
      <c r="PWF47" s="2842"/>
      <c r="PWG47" s="2843"/>
      <c r="PWH47" s="2843"/>
      <c r="PWI47" s="2844"/>
      <c r="PWJ47" s="2845"/>
      <c r="PWK47" s="2842"/>
      <c r="PWL47" s="2842"/>
      <c r="PWM47" s="2843"/>
      <c r="PWN47" s="2843"/>
      <c r="PWO47" s="2844"/>
      <c r="PWP47" s="2845"/>
      <c r="PWQ47" s="2842"/>
      <c r="PWR47" s="2842"/>
      <c r="PWS47" s="2843"/>
      <c r="PWT47" s="2843"/>
      <c r="PWU47" s="2844"/>
      <c r="PWV47" s="2845"/>
      <c r="PWW47" s="2842"/>
      <c r="PWX47" s="2842"/>
      <c r="PWY47" s="2843"/>
      <c r="PWZ47" s="2843"/>
      <c r="PXA47" s="2844"/>
      <c r="PXB47" s="2845"/>
      <c r="PXC47" s="2842"/>
      <c r="PXD47" s="2842"/>
      <c r="PXE47" s="2843"/>
      <c r="PXF47" s="2843"/>
      <c r="PXG47" s="2844"/>
      <c r="PXH47" s="2845"/>
      <c r="PXI47" s="2842"/>
      <c r="PXJ47" s="2842"/>
      <c r="PXK47" s="2843"/>
      <c r="PXL47" s="2843"/>
      <c r="PXM47" s="2844"/>
      <c r="PXN47" s="2845"/>
      <c r="PXO47" s="2842"/>
      <c r="PXP47" s="2842"/>
      <c r="PXQ47" s="2843"/>
      <c r="PXR47" s="2843"/>
      <c r="PXS47" s="2844"/>
      <c r="PXT47" s="2845"/>
      <c r="PXU47" s="2842"/>
      <c r="PXV47" s="2842"/>
      <c r="PXW47" s="2843"/>
      <c r="PXX47" s="2843"/>
      <c r="PXY47" s="2844"/>
      <c r="PXZ47" s="2845"/>
      <c r="PYA47" s="2842"/>
      <c r="PYB47" s="2842"/>
      <c r="PYC47" s="2843"/>
      <c r="PYD47" s="2843"/>
      <c r="PYE47" s="2844"/>
      <c r="PYF47" s="2845"/>
      <c r="PYG47" s="2842"/>
      <c r="PYH47" s="2842"/>
      <c r="PYI47" s="2843"/>
      <c r="PYJ47" s="2843"/>
      <c r="PYK47" s="2844"/>
      <c r="PYL47" s="2845"/>
      <c r="PYM47" s="2842"/>
      <c r="PYN47" s="2842"/>
      <c r="PYO47" s="2843"/>
      <c r="PYP47" s="2843"/>
      <c r="PYQ47" s="2844"/>
      <c r="PYR47" s="2845"/>
      <c r="PYS47" s="2842"/>
      <c r="PYT47" s="2842"/>
      <c r="PYU47" s="2843"/>
      <c r="PYV47" s="2843"/>
      <c r="PYW47" s="2844"/>
      <c r="PYX47" s="2845"/>
      <c r="PYY47" s="2842"/>
      <c r="PYZ47" s="2842"/>
      <c r="PZA47" s="2843"/>
      <c r="PZB47" s="2843"/>
      <c r="PZC47" s="2844"/>
      <c r="PZD47" s="2845"/>
      <c r="PZE47" s="2842"/>
      <c r="PZF47" s="2842"/>
      <c r="PZG47" s="2843"/>
      <c r="PZH47" s="2843"/>
      <c r="PZI47" s="2844"/>
      <c r="PZJ47" s="2845"/>
      <c r="PZK47" s="2842"/>
      <c r="PZL47" s="2842"/>
      <c r="PZM47" s="2843"/>
      <c r="PZN47" s="2843"/>
      <c r="PZO47" s="2844"/>
      <c r="PZP47" s="2845"/>
      <c r="PZQ47" s="2842"/>
      <c r="PZR47" s="2842"/>
      <c r="PZS47" s="2843"/>
      <c r="PZT47" s="2843"/>
      <c r="PZU47" s="2844"/>
      <c r="PZV47" s="2845"/>
      <c r="PZW47" s="2842"/>
      <c r="PZX47" s="2842"/>
      <c r="PZY47" s="2843"/>
      <c r="PZZ47" s="2843"/>
      <c r="QAA47" s="2844"/>
      <c r="QAB47" s="2845"/>
      <c r="QAC47" s="2842"/>
      <c r="QAD47" s="2842"/>
      <c r="QAE47" s="2843"/>
      <c r="QAF47" s="2843"/>
      <c r="QAG47" s="2844"/>
      <c r="QAH47" s="2845"/>
      <c r="QAI47" s="2842"/>
      <c r="QAJ47" s="2842"/>
      <c r="QAK47" s="2843"/>
      <c r="QAL47" s="2843"/>
      <c r="QAM47" s="2844"/>
      <c r="QAN47" s="2845"/>
      <c r="QAO47" s="2842"/>
      <c r="QAP47" s="2842"/>
      <c r="QAQ47" s="2843"/>
      <c r="QAR47" s="2843"/>
      <c r="QAS47" s="2844"/>
      <c r="QAT47" s="2845"/>
      <c r="QAU47" s="2842"/>
      <c r="QAV47" s="2842"/>
      <c r="QAW47" s="2843"/>
      <c r="QAX47" s="2843"/>
      <c r="QAY47" s="2844"/>
      <c r="QAZ47" s="2845"/>
      <c r="QBA47" s="2842"/>
      <c r="QBB47" s="2842"/>
      <c r="QBC47" s="2843"/>
      <c r="QBD47" s="2843"/>
      <c r="QBE47" s="2844"/>
      <c r="QBF47" s="2845"/>
      <c r="QBG47" s="2842"/>
      <c r="QBH47" s="2842"/>
      <c r="QBI47" s="2843"/>
      <c r="QBJ47" s="2843"/>
      <c r="QBK47" s="2844"/>
      <c r="QBL47" s="2845"/>
      <c r="QBM47" s="2842"/>
      <c r="QBN47" s="2842"/>
      <c r="QBO47" s="2843"/>
      <c r="QBP47" s="2843"/>
      <c r="QBQ47" s="2844"/>
      <c r="QBR47" s="2845"/>
      <c r="QBS47" s="2842"/>
      <c r="QBT47" s="2842"/>
      <c r="QBU47" s="2843"/>
      <c r="QBV47" s="2843"/>
      <c r="QBW47" s="2844"/>
      <c r="QBX47" s="2845"/>
      <c r="QBY47" s="2842"/>
      <c r="QBZ47" s="2842"/>
      <c r="QCA47" s="2843"/>
      <c r="QCB47" s="2843"/>
      <c r="QCC47" s="2844"/>
      <c r="QCD47" s="2845"/>
      <c r="QCE47" s="2842"/>
      <c r="QCF47" s="2842"/>
      <c r="QCG47" s="2843"/>
      <c r="QCH47" s="2843"/>
      <c r="QCI47" s="2844"/>
      <c r="QCJ47" s="2845"/>
      <c r="QCK47" s="2842"/>
      <c r="QCL47" s="2842"/>
      <c r="QCM47" s="2843"/>
      <c r="QCN47" s="2843"/>
      <c r="QCO47" s="2844"/>
      <c r="QCP47" s="2845"/>
      <c r="QCQ47" s="2842"/>
      <c r="QCR47" s="2842"/>
      <c r="QCS47" s="2843"/>
      <c r="QCT47" s="2843"/>
      <c r="QCU47" s="2844"/>
      <c r="QCV47" s="2845"/>
      <c r="QCW47" s="2842"/>
      <c r="QCX47" s="2842"/>
      <c r="QCY47" s="2843"/>
      <c r="QCZ47" s="2843"/>
      <c r="QDA47" s="2844"/>
      <c r="QDB47" s="2845"/>
      <c r="QDC47" s="2842"/>
      <c r="QDD47" s="2842"/>
      <c r="QDE47" s="2843"/>
      <c r="QDF47" s="2843"/>
      <c r="QDG47" s="2844"/>
      <c r="QDH47" s="2845"/>
      <c r="QDI47" s="2842"/>
      <c r="QDJ47" s="2842"/>
      <c r="QDK47" s="2843"/>
      <c r="QDL47" s="2843"/>
      <c r="QDM47" s="2844"/>
      <c r="QDN47" s="2845"/>
      <c r="QDO47" s="2842"/>
      <c r="QDP47" s="2842"/>
      <c r="QDQ47" s="2843"/>
      <c r="QDR47" s="2843"/>
      <c r="QDS47" s="2844"/>
      <c r="QDT47" s="2845"/>
      <c r="QDU47" s="2842"/>
      <c r="QDV47" s="2842"/>
      <c r="QDW47" s="2843"/>
      <c r="QDX47" s="2843"/>
      <c r="QDY47" s="2844"/>
      <c r="QDZ47" s="2845"/>
      <c r="QEA47" s="2842"/>
      <c r="QEB47" s="2842"/>
      <c r="QEC47" s="2843"/>
      <c r="QED47" s="2843"/>
      <c r="QEE47" s="2844"/>
      <c r="QEF47" s="2845"/>
      <c r="QEG47" s="2842"/>
      <c r="QEH47" s="2842"/>
      <c r="QEI47" s="2843"/>
      <c r="QEJ47" s="2843"/>
      <c r="QEK47" s="2844"/>
      <c r="QEL47" s="2845"/>
      <c r="QEM47" s="2842"/>
      <c r="QEN47" s="2842"/>
      <c r="QEO47" s="2843"/>
      <c r="QEP47" s="2843"/>
      <c r="QEQ47" s="2844"/>
      <c r="QER47" s="2845"/>
      <c r="QES47" s="2842"/>
      <c r="QET47" s="2842"/>
      <c r="QEU47" s="2843"/>
      <c r="QEV47" s="2843"/>
      <c r="QEW47" s="2844"/>
      <c r="QEX47" s="2845"/>
      <c r="QEY47" s="2842"/>
      <c r="QEZ47" s="2842"/>
      <c r="QFA47" s="2843"/>
      <c r="QFB47" s="2843"/>
      <c r="QFC47" s="2844"/>
      <c r="QFD47" s="2845"/>
      <c r="QFE47" s="2842"/>
      <c r="QFF47" s="2842"/>
      <c r="QFG47" s="2843"/>
      <c r="QFH47" s="2843"/>
      <c r="QFI47" s="2844"/>
      <c r="QFJ47" s="2845"/>
      <c r="QFK47" s="2842"/>
      <c r="QFL47" s="2842"/>
      <c r="QFM47" s="2843"/>
      <c r="QFN47" s="2843"/>
      <c r="QFO47" s="2844"/>
      <c r="QFP47" s="2845"/>
      <c r="QFQ47" s="2842"/>
      <c r="QFR47" s="2842"/>
      <c r="QFS47" s="2843"/>
      <c r="QFT47" s="2843"/>
      <c r="QFU47" s="2844"/>
      <c r="QFV47" s="2845"/>
      <c r="QFW47" s="2842"/>
      <c r="QFX47" s="2842"/>
      <c r="QFY47" s="2843"/>
      <c r="QFZ47" s="2843"/>
      <c r="QGA47" s="2844"/>
      <c r="QGB47" s="2845"/>
      <c r="QGC47" s="2842"/>
      <c r="QGD47" s="2842"/>
      <c r="QGE47" s="2843"/>
      <c r="QGF47" s="2843"/>
      <c r="QGG47" s="2844"/>
      <c r="QGH47" s="2845"/>
      <c r="QGI47" s="2842"/>
      <c r="QGJ47" s="2842"/>
      <c r="QGK47" s="2843"/>
      <c r="QGL47" s="2843"/>
      <c r="QGM47" s="2844"/>
      <c r="QGN47" s="2845"/>
      <c r="QGO47" s="2842"/>
      <c r="QGP47" s="2842"/>
      <c r="QGQ47" s="2843"/>
      <c r="QGR47" s="2843"/>
      <c r="QGS47" s="2844"/>
      <c r="QGT47" s="2845"/>
      <c r="QGU47" s="2842"/>
      <c r="QGV47" s="2842"/>
      <c r="QGW47" s="2843"/>
      <c r="QGX47" s="2843"/>
      <c r="QGY47" s="2844"/>
      <c r="QGZ47" s="2845"/>
      <c r="QHA47" s="2842"/>
      <c r="QHB47" s="2842"/>
      <c r="QHC47" s="2843"/>
      <c r="QHD47" s="2843"/>
      <c r="QHE47" s="2844"/>
      <c r="QHF47" s="2845"/>
      <c r="QHG47" s="2842"/>
      <c r="QHH47" s="2842"/>
      <c r="QHI47" s="2843"/>
      <c r="QHJ47" s="2843"/>
      <c r="QHK47" s="2844"/>
      <c r="QHL47" s="2845"/>
      <c r="QHM47" s="2842"/>
      <c r="QHN47" s="2842"/>
      <c r="QHO47" s="2843"/>
      <c r="QHP47" s="2843"/>
      <c r="QHQ47" s="2844"/>
      <c r="QHR47" s="2845"/>
      <c r="QHS47" s="2842"/>
      <c r="QHT47" s="2842"/>
      <c r="QHU47" s="2843"/>
      <c r="QHV47" s="2843"/>
      <c r="QHW47" s="2844"/>
      <c r="QHX47" s="2845"/>
      <c r="QHY47" s="2842"/>
      <c r="QHZ47" s="2842"/>
      <c r="QIA47" s="2843"/>
      <c r="QIB47" s="2843"/>
      <c r="QIC47" s="2844"/>
      <c r="QID47" s="2845"/>
      <c r="QIE47" s="2842"/>
      <c r="QIF47" s="2842"/>
      <c r="QIG47" s="2843"/>
      <c r="QIH47" s="2843"/>
      <c r="QII47" s="2844"/>
      <c r="QIJ47" s="2845"/>
      <c r="QIK47" s="2842"/>
      <c r="QIL47" s="2842"/>
      <c r="QIM47" s="2843"/>
      <c r="QIN47" s="2843"/>
      <c r="QIO47" s="2844"/>
      <c r="QIP47" s="2845"/>
      <c r="QIQ47" s="2842"/>
      <c r="QIR47" s="2842"/>
      <c r="QIS47" s="2843"/>
      <c r="QIT47" s="2843"/>
      <c r="QIU47" s="2844"/>
      <c r="QIV47" s="2845"/>
      <c r="QIW47" s="2842"/>
      <c r="QIX47" s="2842"/>
      <c r="QIY47" s="2843"/>
      <c r="QIZ47" s="2843"/>
      <c r="QJA47" s="2844"/>
      <c r="QJB47" s="2845"/>
      <c r="QJC47" s="2842"/>
      <c r="QJD47" s="2842"/>
      <c r="QJE47" s="2843"/>
      <c r="QJF47" s="2843"/>
      <c r="QJG47" s="2844"/>
      <c r="QJH47" s="2845"/>
      <c r="QJI47" s="2842"/>
      <c r="QJJ47" s="2842"/>
      <c r="QJK47" s="2843"/>
      <c r="QJL47" s="2843"/>
      <c r="QJM47" s="2844"/>
      <c r="QJN47" s="2845"/>
      <c r="QJO47" s="2842"/>
      <c r="QJP47" s="2842"/>
      <c r="QJQ47" s="2843"/>
      <c r="QJR47" s="2843"/>
      <c r="QJS47" s="2844"/>
      <c r="QJT47" s="2845"/>
      <c r="QJU47" s="2842"/>
      <c r="QJV47" s="2842"/>
      <c r="QJW47" s="2843"/>
      <c r="QJX47" s="2843"/>
      <c r="QJY47" s="2844"/>
      <c r="QJZ47" s="2845"/>
      <c r="QKA47" s="2842"/>
      <c r="QKB47" s="2842"/>
      <c r="QKC47" s="2843"/>
      <c r="QKD47" s="2843"/>
      <c r="QKE47" s="2844"/>
      <c r="QKF47" s="2845"/>
      <c r="QKG47" s="2842"/>
      <c r="QKH47" s="2842"/>
      <c r="QKI47" s="2843"/>
      <c r="QKJ47" s="2843"/>
      <c r="QKK47" s="2844"/>
      <c r="QKL47" s="2845"/>
      <c r="QKM47" s="2842"/>
      <c r="QKN47" s="2842"/>
      <c r="QKO47" s="2843"/>
      <c r="QKP47" s="2843"/>
      <c r="QKQ47" s="2844"/>
      <c r="QKR47" s="2845"/>
      <c r="QKS47" s="2842"/>
      <c r="QKT47" s="2842"/>
      <c r="QKU47" s="2843"/>
      <c r="QKV47" s="2843"/>
      <c r="QKW47" s="2844"/>
      <c r="QKX47" s="2845"/>
      <c r="QKY47" s="2842"/>
      <c r="QKZ47" s="2842"/>
      <c r="QLA47" s="2843"/>
      <c r="QLB47" s="2843"/>
      <c r="QLC47" s="2844"/>
      <c r="QLD47" s="2845"/>
      <c r="QLE47" s="2842"/>
      <c r="QLF47" s="2842"/>
      <c r="QLG47" s="2843"/>
      <c r="QLH47" s="2843"/>
      <c r="QLI47" s="2844"/>
      <c r="QLJ47" s="2845"/>
      <c r="QLK47" s="2842"/>
      <c r="QLL47" s="2842"/>
      <c r="QLM47" s="2843"/>
      <c r="QLN47" s="2843"/>
      <c r="QLO47" s="2844"/>
      <c r="QLP47" s="2845"/>
      <c r="QLQ47" s="2842"/>
      <c r="QLR47" s="2842"/>
      <c r="QLS47" s="2843"/>
      <c r="QLT47" s="2843"/>
      <c r="QLU47" s="2844"/>
      <c r="QLV47" s="2845"/>
      <c r="QLW47" s="2842"/>
      <c r="QLX47" s="2842"/>
      <c r="QLY47" s="2843"/>
      <c r="QLZ47" s="2843"/>
      <c r="QMA47" s="2844"/>
      <c r="QMB47" s="2845"/>
      <c r="QMC47" s="2842"/>
      <c r="QMD47" s="2842"/>
      <c r="QME47" s="2843"/>
      <c r="QMF47" s="2843"/>
      <c r="QMG47" s="2844"/>
      <c r="QMH47" s="2845"/>
      <c r="QMI47" s="2842"/>
      <c r="QMJ47" s="2842"/>
      <c r="QMK47" s="2843"/>
      <c r="QML47" s="2843"/>
      <c r="QMM47" s="2844"/>
      <c r="QMN47" s="2845"/>
      <c r="QMO47" s="2842"/>
      <c r="QMP47" s="2842"/>
      <c r="QMQ47" s="2843"/>
      <c r="QMR47" s="2843"/>
      <c r="QMS47" s="2844"/>
      <c r="QMT47" s="2845"/>
      <c r="QMU47" s="2842"/>
      <c r="QMV47" s="2842"/>
      <c r="QMW47" s="2843"/>
      <c r="QMX47" s="2843"/>
      <c r="QMY47" s="2844"/>
      <c r="QMZ47" s="2845"/>
      <c r="QNA47" s="2842"/>
      <c r="QNB47" s="2842"/>
      <c r="QNC47" s="2843"/>
      <c r="QND47" s="2843"/>
      <c r="QNE47" s="2844"/>
      <c r="QNF47" s="2845"/>
      <c r="QNG47" s="2842"/>
      <c r="QNH47" s="2842"/>
      <c r="QNI47" s="2843"/>
      <c r="QNJ47" s="2843"/>
      <c r="QNK47" s="2844"/>
      <c r="QNL47" s="2845"/>
      <c r="QNM47" s="2842"/>
      <c r="QNN47" s="2842"/>
      <c r="QNO47" s="2843"/>
      <c r="QNP47" s="2843"/>
      <c r="QNQ47" s="2844"/>
      <c r="QNR47" s="2845"/>
      <c r="QNS47" s="2842"/>
      <c r="QNT47" s="2842"/>
      <c r="QNU47" s="2843"/>
      <c r="QNV47" s="2843"/>
      <c r="QNW47" s="2844"/>
      <c r="QNX47" s="2845"/>
      <c r="QNY47" s="2842"/>
      <c r="QNZ47" s="2842"/>
      <c r="QOA47" s="2843"/>
      <c r="QOB47" s="2843"/>
      <c r="QOC47" s="2844"/>
      <c r="QOD47" s="2845"/>
      <c r="QOE47" s="2842"/>
      <c r="QOF47" s="2842"/>
      <c r="QOG47" s="2843"/>
      <c r="QOH47" s="2843"/>
      <c r="QOI47" s="2844"/>
      <c r="QOJ47" s="2845"/>
      <c r="QOK47" s="2842"/>
      <c r="QOL47" s="2842"/>
      <c r="QOM47" s="2843"/>
      <c r="QON47" s="2843"/>
      <c r="QOO47" s="2844"/>
      <c r="QOP47" s="2845"/>
      <c r="QOQ47" s="2842"/>
      <c r="QOR47" s="2842"/>
      <c r="QOS47" s="2843"/>
      <c r="QOT47" s="2843"/>
      <c r="QOU47" s="2844"/>
      <c r="QOV47" s="2845"/>
      <c r="QOW47" s="2842"/>
      <c r="QOX47" s="2842"/>
      <c r="QOY47" s="2843"/>
      <c r="QOZ47" s="2843"/>
      <c r="QPA47" s="2844"/>
      <c r="QPB47" s="2845"/>
      <c r="QPC47" s="2842"/>
      <c r="QPD47" s="2842"/>
      <c r="QPE47" s="2843"/>
      <c r="QPF47" s="2843"/>
      <c r="QPG47" s="2844"/>
      <c r="QPH47" s="2845"/>
      <c r="QPI47" s="2842"/>
      <c r="QPJ47" s="2842"/>
      <c r="QPK47" s="2843"/>
      <c r="QPL47" s="2843"/>
      <c r="QPM47" s="2844"/>
      <c r="QPN47" s="2845"/>
      <c r="QPO47" s="2842"/>
      <c r="QPP47" s="2842"/>
      <c r="QPQ47" s="2843"/>
      <c r="QPR47" s="2843"/>
      <c r="QPS47" s="2844"/>
      <c r="QPT47" s="2845"/>
      <c r="QPU47" s="2842"/>
      <c r="QPV47" s="2842"/>
      <c r="QPW47" s="2843"/>
      <c r="QPX47" s="2843"/>
      <c r="QPY47" s="2844"/>
      <c r="QPZ47" s="2845"/>
      <c r="QQA47" s="2842"/>
      <c r="QQB47" s="2842"/>
      <c r="QQC47" s="2843"/>
      <c r="QQD47" s="2843"/>
      <c r="QQE47" s="2844"/>
      <c r="QQF47" s="2845"/>
      <c r="QQG47" s="2842"/>
      <c r="QQH47" s="2842"/>
      <c r="QQI47" s="2843"/>
      <c r="QQJ47" s="2843"/>
      <c r="QQK47" s="2844"/>
      <c r="QQL47" s="2845"/>
      <c r="QQM47" s="2842"/>
      <c r="QQN47" s="2842"/>
      <c r="QQO47" s="2843"/>
      <c r="QQP47" s="2843"/>
      <c r="QQQ47" s="2844"/>
      <c r="QQR47" s="2845"/>
      <c r="QQS47" s="2842"/>
      <c r="QQT47" s="2842"/>
      <c r="QQU47" s="2843"/>
      <c r="QQV47" s="2843"/>
      <c r="QQW47" s="2844"/>
      <c r="QQX47" s="2845"/>
      <c r="QQY47" s="2842"/>
      <c r="QQZ47" s="2842"/>
      <c r="QRA47" s="2843"/>
      <c r="QRB47" s="2843"/>
      <c r="QRC47" s="2844"/>
      <c r="QRD47" s="2845"/>
      <c r="QRE47" s="2842"/>
      <c r="QRF47" s="2842"/>
      <c r="QRG47" s="2843"/>
      <c r="QRH47" s="2843"/>
      <c r="QRI47" s="2844"/>
      <c r="QRJ47" s="2845"/>
      <c r="QRK47" s="2842"/>
      <c r="QRL47" s="2842"/>
      <c r="QRM47" s="2843"/>
      <c r="QRN47" s="2843"/>
      <c r="QRO47" s="2844"/>
      <c r="QRP47" s="2845"/>
      <c r="QRQ47" s="2842"/>
      <c r="QRR47" s="2842"/>
      <c r="QRS47" s="2843"/>
      <c r="QRT47" s="2843"/>
      <c r="QRU47" s="2844"/>
      <c r="QRV47" s="2845"/>
      <c r="QRW47" s="2842"/>
      <c r="QRX47" s="2842"/>
      <c r="QRY47" s="2843"/>
      <c r="QRZ47" s="2843"/>
      <c r="QSA47" s="2844"/>
      <c r="QSB47" s="2845"/>
      <c r="QSC47" s="2842"/>
      <c r="QSD47" s="2842"/>
      <c r="QSE47" s="2843"/>
      <c r="QSF47" s="2843"/>
      <c r="QSG47" s="2844"/>
      <c r="QSH47" s="2845"/>
      <c r="QSI47" s="2842"/>
      <c r="QSJ47" s="2842"/>
      <c r="QSK47" s="2843"/>
      <c r="QSL47" s="2843"/>
      <c r="QSM47" s="2844"/>
      <c r="QSN47" s="2845"/>
      <c r="QSO47" s="2842"/>
      <c r="QSP47" s="2842"/>
      <c r="QSQ47" s="2843"/>
      <c r="QSR47" s="2843"/>
      <c r="QSS47" s="2844"/>
      <c r="QST47" s="2845"/>
      <c r="QSU47" s="2842"/>
      <c r="QSV47" s="2842"/>
      <c r="QSW47" s="2843"/>
      <c r="QSX47" s="2843"/>
      <c r="QSY47" s="2844"/>
      <c r="QSZ47" s="2845"/>
      <c r="QTA47" s="2842"/>
      <c r="QTB47" s="2842"/>
      <c r="QTC47" s="2843"/>
      <c r="QTD47" s="2843"/>
      <c r="QTE47" s="2844"/>
      <c r="QTF47" s="2845"/>
      <c r="QTG47" s="2842"/>
      <c r="QTH47" s="2842"/>
      <c r="QTI47" s="2843"/>
      <c r="QTJ47" s="2843"/>
      <c r="QTK47" s="2844"/>
      <c r="QTL47" s="2845"/>
      <c r="QTM47" s="2842"/>
      <c r="QTN47" s="2842"/>
      <c r="QTO47" s="2843"/>
      <c r="QTP47" s="2843"/>
      <c r="QTQ47" s="2844"/>
      <c r="QTR47" s="2845"/>
      <c r="QTS47" s="2842"/>
      <c r="QTT47" s="2842"/>
      <c r="QTU47" s="2843"/>
      <c r="QTV47" s="2843"/>
      <c r="QTW47" s="2844"/>
      <c r="QTX47" s="2845"/>
      <c r="QTY47" s="2842"/>
      <c r="QTZ47" s="2842"/>
      <c r="QUA47" s="2843"/>
      <c r="QUB47" s="2843"/>
      <c r="QUC47" s="2844"/>
      <c r="QUD47" s="2845"/>
      <c r="QUE47" s="2842"/>
      <c r="QUF47" s="2842"/>
      <c r="QUG47" s="2843"/>
      <c r="QUH47" s="2843"/>
      <c r="QUI47" s="2844"/>
      <c r="QUJ47" s="2845"/>
      <c r="QUK47" s="2842"/>
      <c r="QUL47" s="2842"/>
      <c r="QUM47" s="2843"/>
      <c r="QUN47" s="2843"/>
      <c r="QUO47" s="2844"/>
      <c r="QUP47" s="2845"/>
      <c r="QUQ47" s="2842"/>
      <c r="QUR47" s="2842"/>
      <c r="QUS47" s="2843"/>
      <c r="QUT47" s="2843"/>
      <c r="QUU47" s="2844"/>
      <c r="QUV47" s="2845"/>
      <c r="QUW47" s="2842"/>
      <c r="QUX47" s="2842"/>
      <c r="QUY47" s="2843"/>
      <c r="QUZ47" s="2843"/>
      <c r="QVA47" s="2844"/>
      <c r="QVB47" s="2845"/>
      <c r="QVC47" s="2842"/>
      <c r="QVD47" s="2842"/>
      <c r="QVE47" s="2843"/>
      <c r="QVF47" s="2843"/>
      <c r="QVG47" s="2844"/>
      <c r="QVH47" s="2845"/>
      <c r="QVI47" s="2842"/>
      <c r="QVJ47" s="2842"/>
      <c r="QVK47" s="2843"/>
      <c r="QVL47" s="2843"/>
      <c r="QVM47" s="2844"/>
      <c r="QVN47" s="2845"/>
      <c r="QVO47" s="2842"/>
      <c r="QVP47" s="2842"/>
      <c r="QVQ47" s="2843"/>
      <c r="QVR47" s="2843"/>
      <c r="QVS47" s="2844"/>
      <c r="QVT47" s="2845"/>
      <c r="QVU47" s="2842"/>
      <c r="QVV47" s="2842"/>
      <c r="QVW47" s="2843"/>
      <c r="QVX47" s="2843"/>
      <c r="QVY47" s="2844"/>
      <c r="QVZ47" s="2845"/>
      <c r="QWA47" s="2842"/>
      <c r="QWB47" s="2842"/>
      <c r="QWC47" s="2843"/>
      <c r="QWD47" s="2843"/>
      <c r="QWE47" s="2844"/>
      <c r="QWF47" s="2845"/>
      <c r="QWG47" s="2842"/>
      <c r="QWH47" s="2842"/>
      <c r="QWI47" s="2843"/>
      <c r="QWJ47" s="2843"/>
      <c r="QWK47" s="2844"/>
      <c r="QWL47" s="2845"/>
      <c r="QWM47" s="2842"/>
      <c r="QWN47" s="2842"/>
      <c r="QWO47" s="2843"/>
      <c r="QWP47" s="2843"/>
      <c r="QWQ47" s="2844"/>
      <c r="QWR47" s="2845"/>
      <c r="QWS47" s="2842"/>
      <c r="QWT47" s="2842"/>
      <c r="QWU47" s="2843"/>
      <c r="QWV47" s="2843"/>
      <c r="QWW47" s="2844"/>
      <c r="QWX47" s="2845"/>
      <c r="QWY47" s="2842"/>
      <c r="QWZ47" s="2842"/>
      <c r="QXA47" s="2843"/>
      <c r="QXB47" s="2843"/>
      <c r="QXC47" s="2844"/>
      <c r="QXD47" s="2845"/>
      <c r="QXE47" s="2842"/>
      <c r="QXF47" s="2842"/>
      <c r="QXG47" s="2843"/>
      <c r="QXH47" s="2843"/>
      <c r="QXI47" s="2844"/>
      <c r="QXJ47" s="2845"/>
      <c r="QXK47" s="2842"/>
      <c r="QXL47" s="2842"/>
      <c r="QXM47" s="2843"/>
      <c r="QXN47" s="2843"/>
      <c r="QXO47" s="2844"/>
      <c r="QXP47" s="2845"/>
      <c r="QXQ47" s="2842"/>
      <c r="QXR47" s="2842"/>
      <c r="QXS47" s="2843"/>
      <c r="QXT47" s="2843"/>
      <c r="QXU47" s="2844"/>
      <c r="QXV47" s="2845"/>
      <c r="QXW47" s="2842"/>
      <c r="QXX47" s="2842"/>
      <c r="QXY47" s="2843"/>
      <c r="QXZ47" s="2843"/>
      <c r="QYA47" s="2844"/>
      <c r="QYB47" s="2845"/>
      <c r="QYC47" s="2842"/>
      <c r="QYD47" s="2842"/>
      <c r="QYE47" s="2843"/>
      <c r="QYF47" s="2843"/>
      <c r="QYG47" s="2844"/>
      <c r="QYH47" s="2845"/>
      <c r="QYI47" s="2842"/>
      <c r="QYJ47" s="2842"/>
      <c r="QYK47" s="2843"/>
      <c r="QYL47" s="2843"/>
      <c r="QYM47" s="2844"/>
      <c r="QYN47" s="2845"/>
      <c r="QYO47" s="2842"/>
      <c r="QYP47" s="2842"/>
      <c r="QYQ47" s="2843"/>
      <c r="QYR47" s="2843"/>
      <c r="QYS47" s="2844"/>
      <c r="QYT47" s="2845"/>
      <c r="QYU47" s="2842"/>
      <c r="QYV47" s="2842"/>
      <c r="QYW47" s="2843"/>
      <c r="QYX47" s="2843"/>
      <c r="QYY47" s="2844"/>
      <c r="QYZ47" s="2845"/>
      <c r="QZA47" s="2842"/>
      <c r="QZB47" s="2842"/>
      <c r="QZC47" s="2843"/>
      <c r="QZD47" s="2843"/>
      <c r="QZE47" s="2844"/>
      <c r="QZF47" s="2845"/>
      <c r="QZG47" s="2842"/>
      <c r="QZH47" s="2842"/>
      <c r="QZI47" s="2843"/>
      <c r="QZJ47" s="2843"/>
      <c r="QZK47" s="2844"/>
      <c r="QZL47" s="2845"/>
      <c r="QZM47" s="2842"/>
      <c r="QZN47" s="2842"/>
      <c r="QZO47" s="2843"/>
      <c r="QZP47" s="2843"/>
      <c r="QZQ47" s="2844"/>
      <c r="QZR47" s="2845"/>
      <c r="QZS47" s="2842"/>
      <c r="QZT47" s="2842"/>
      <c r="QZU47" s="2843"/>
      <c r="QZV47" s="2843"/>
      <c r="QZW47" s="2844"/>
      <c r="QZX47" s="2845"/>
      <c r="QZY47" s="2842"/>
      <c r="QZZ47" s="2842"/>
      <c r="RAA47" s="2843"/>
      <c r="RAB47" s="2843"/>
      <c r="RAC47" s="2844"/>
      <c r="RAD47" s="2845"/>
      <c r="RAE47" s="2842"/>
      <c r="RAF47" s="2842"/>
      <c r="RAG47" s="2843"/>
      <c r="RAH47" s="2843"/>
      <c r="RAI47" s="2844"/>
      <c r="RAJ47" s="2845"/>
      <c r="RAK47" s="2842"/>
      <c r="RAL47" s="2842"/>
      <c r="RAM47" s="2843"/>
      <c r="RAN47" s="2843"/>
      <c r="RAO47" s="2844"/>
      <c r="RAP47" s="2845"/>
      <c r="RAQ47" s="2842"/>
      <c r="RAR47" s="2842"/>
      <c r="RAS47" s="2843"/>
      <c r="RAT47" s="2843"/>
      <c r="RAU47" s="2844"/>
      <c r="RAV47" s="2845"/>
      <c r="RAW47" s="2842"/>
      <c r="RAX47" s="2842"/>
      <c r="RAY47" s="2843"/>
      <c r="RAZ47" s="2843"/>
      <c r="RBA47" s="2844"/>
      <c r="RBB47" s="2845"/>
      <c r="RBC47" s="2842"/>
      <c r="RBD47" s="2842"/>
      <c r="RBE47" s="2843"/>
      <c r="RBF47" s="2843"/>
      <c r="RBG47" s="2844"/>
      <c r="RBH47" s="2845"/>
      <c r="RBI47" s="2842"/>
      <c r="RBJ47" s="2842"/>
      <c r="RBK47" s="2843"/>
      <c r="RBL47" s="2843"/>
      <c r="RBM47" s="2844"/>
      <c r="RBN47" s="2845"/>
      <c r="RBO47" s="2842"/>
      <c r="RBP47" s="2842"/>
      <c r="RBQ47" s="2843"/>
      <c r="RBR47" s="2843"/>
      <c r="RBS47" s="2844"/>
      <c r="RBT47" s="2845"/>
      <c r="RBU47" s="2842"/>
      <c r="RBV47" s="2842"/>
      <c r="RBW47" s="2843"/>
      <c r="RBX47" s="2843"/>
      <c r="RBY47" s="2844"/>
      <c r="RBZ47" s="2845"/>
      <c r="RCA47" s="2842"/>
      <c r="RCB47" s="2842"/>
      <c r="RCC47" s="2843"/>
      <c r="RCD47" s="2843"/>
      <c r="RCE47" s="2844"/>
      <c r="RCF47" s="2845"/>
      <c r="RCG47" s="2842"/>
      <c r="RCH47" s="2842"/>
      <c r="RCI47" s="2843"/>
      <c r="RCJ47" s="2843"/>
      <c r="RCK47" s="2844"/>
      <c r="RCL47" s="2845"/>
      <c r="RCM47" s="2842"/>
      <c r="RCN47" s="2842"/>
      <c r="RCO47" s="2843"/>
      <c r="RCP47" s="2843"/>
      <c r="RCQ47" s="2844"/>
      <c r="RCR47" s="2845"/>
      <c r="RCS47" s="2842"/>
      <c r="RCT47" s="2842"/>
      <c r="RCU47" s="2843"/>
      <c r="RCV47" s="2843"/>
      <c r="RCW47" s="2844"/>
      <c r="RCX47" s="2845"/>
      <c r="RCY47" s="2842"/>
      <c r="RCZ47" s="2842"/>
      <c r="RDA47" s="2843"/>
      <c r="RDB47" s="2843"/>
      <c r="RDC47" s="2844"/>
      <c r="RDD47" s="2845"/>
      <c r="RDE47" s="2842"/>
      <c r="RDF47" s="2842"/>
      <c r="RDG47" s="2843"/>
      <c r="RDH47" s="2843"/>
      <c r="RDI47" s="2844"/>
      <c r="RDJ47" s="2845"/>
      <c r="RDK47" s="2842"/>
      <c r="RDL47" s="2842"/>
      <c r="RDM47" s="2843"/>
      <c r="RDN47" s="2843"/>
      <c r="RDO47" s="2844"/>
      <c r="RDP47" s="2845"/>
      <c r="RDQ47" s="2842"/>
      <c r="RDR47" s="2842"/>
      <c r="RDS47" s="2843"/>
      <c r="RDT47" s="2843"/>
      <c r="RDU47" s="2844"/>
      <c r="RDV47" s="2845"/>
      <c r="RDW47" s="2842"/>
      <c r="RDX47" s="2842"/>
      <c r="RDY47" s="2843"/>
      <c r="RDZ47" s="2843"/>
      <c r="REA47" s="2844"/>
      <c r="REB47" s="2845"/>
      <c r="REC47" s="2842"/>
      <c r="RED47" s="2842"/>
      <c r="REE47" s="2843"/>
      <c r="REF47" s="2843"/>
      <c r="REG47" s="2844"/>
      <c r="REH47" s="2845"/>
      <c r="REI47" s="2842"/>
      <c r="REJ47" s="2842"/>
      <c r="REK47" s="2843"/>
      <c r="REL47" s="2843"/>
      <c r="REM47" s="2844"/>
      <c r="REN47" s="2845"/>
      <c r="REO47" s="2842"/>
      <c r="REP47" s="2842"/>
      <c r="REQ47" s="2843"/>
      <c r="RER47" s="2843"/>
      <c r="RES47" s="2844"/>
      <c r="RET47" s="2845"/>
      <c r="REU47" s="2842"/>
      <c r="REV47" s="2842"/>
      <c r="REW47" s="2843"/>
      <c r="REX47" s="2843"/>
      <c r="REY47" s="2844"/>
      <c r="REZ47" s="2845"/>
      <c r="RFA47" s="2842"/>
      <c r="RFB47" s="2842"/>
      <c r="RFC47" s="2843"/>
      <c r="RFD47" s="2843"/>
      <c r="RFE47" s="2844"/>
      <c r="RFF47" s="2845"/>
      <c r="RFG47" s="2842"/>
      <c r="RFH47" s="2842"/>
      <c r="RFI47" s="2843"/>
      <c r="RFJ47" s="2843"/>
      <c r="RFK47" s="2844"/>
      <c r="RFL47" s="2845"/>
      <c r="RFM47" s="2842"/>
      <c r="RFN47" s="2842"/>
      <c r="RFO47" s="2843"/>
      <c r="RFP47" s="2843"/>
      <c r="RFQ47" s="2844"/>
      <c r="RFR47" s="2845"/>
      <c r="RFS47" s="2842"/>
      <c r="RFT47" s="2842"/>
      <c r="RFU47" s="2843"/>
      <c r="RFV47" s="2843"/>
      <c r="RFW47" s="2844"/>
      <c r="RFX47" s="2845"/>
      <c r="RFY47" s="2842"/>
      <c r="RFZ47" s="2842"/>
      <c r="RGA47" s="2843"/>
      <c r="RGB47" s="2843"/>
      <c r="RGC47" s="2844"/>
      <c r="RGD47" s="2845"/>
      <c r="RGE47" s="2842"/>
      <c r="RGF47" s="2842"/>
      <c r="RGG47" s="2843"/>
      <c r="RGH47" s="2843"/>
      <c r="RGI47" s="2844"/>
      <c r="RGJ47" s="2845"/>
      <c r="RGK47" s="2842"/>
      <c r="RGL47" s="2842"/>
      <c r="RGM47" s="2843"/>
      <c r="RGN47" s="2843"/>
      <c r="RGO47" s="2844"/>
      <c r="RGP47" s="2845"/>
      <c r="RGQ47" s="2842"/>
      <c r="RGR47" s="2842"/>
      <c r="RGS47" s="2843"/>
      <c r="RGT47" s="2843"/>
      <c r="RGU47" s="2844"/>
      <c r="RGV47" s="2845"/>
      <c r="RGW47" s="2842"/>
      <c r="RGX47" s="2842"/>
      <c r="RGY47" s="2843"/>
      <c r="RGZ47" s="2843"/>
      <c r="RHA47" s="2844"/>
      <c r="RHB47" s="2845"/>
      <c r="RHC47" s="2842"/>
      <c r="RHD47" s="2842"/>
      <c r="RHE47" s="2843"/>
      <c r="RHF47" s="2843"/>
      <c r="RHG47" s="2844"/>
      <c r="RHH47" s="2845"/>
      <c r="RHI47" s="2842"/>
      <c r="RHJ47" s="2842"/>
      <c r="RHK47" s="2843"/>
      <c r="RHL47" s="2843"/>
      <c r="RHM47" s="2844"/>
      <c r="RHN47" s="2845"/>
      <c r="RHO47" s="2842"/>
      <c r="RHP47" s="2842"/>
      <c r="RHQ47" s="2843"/>
      <c r="RHR47" s="2843"/>
      <c r="RHS47" s="2844"/>
      <c r="RHT47" s="2845"/>
      <c r="RHU47" s="2842"/>
      <c r="RHV47" s="2842"/>
      <c r="RHW47" s="2843"/>
      <c r="RHX47" s="2843"/>
      <c r="RHY47" s="2844"/>
      <c r="RHZ47" s="2845"/>
      <c r="RIA47" s="2842"/>
      <c r="RIB47" s="2842"/>
      <c r="RIC47" s="2843"/>
      <c r="RID47" s="2843"/>
      <c r="RIE47" s="2844"/>
      <c r="RIF47" s="2845"/>
      <c r="RIG47" s="2842"/>
      <c r="RIH47" s="2842"/>
      <c r="RII47" s="2843"/>
      <c r="RIJ47" s="2843"/>
      <c r="RIK47" s="2844"/>
      <c r="RIL47" s="2845"/>
      <c r="RIM47" s="2842"/>
      <c r="RIN47" s="2842"/>
      <c r="RIO47" s="2843"/>
      <c r="RIP47" s="2843"/>
      <c r="RIQ47" s="2844"/>
      <c r="RIR47" s="2845"/>
      <c r="RIS47" s="2842"/>
      <c r="RIT47" s="2842"/>
      <c r="RIU47" s="2843"/>
      <c r="RIV47" s="2843"/>
      <c r="RIW47" s="2844"/>
      <c r="RIX47" s="2845"/>
      <c r="RIY47" s="2842"/>
      <c r="RIZ47" s="2842"/>
      <c r="RJA47" s="2843"/>
      <c r="RJB47" s="2843"/>
      <c r="RJC47" s="2844"/>
      <c r="RJD47" s="2845"/>
      <c r="RJE47" s="2842"/>
      <c r="RJF47" s="2842"/>
      <c r="RJG47" s="2843"/>
      <c r="RJH47" s="2843"/>
      <c r="RJI47" s="2844"/>
      <c r="RJJ47" s="2845"/>
      <c r="RJK47" s="2842"/>
      <c r="RJL47" s="2842"/>
      <c r="RJM47" s="2843"/>
      <c r="RJN47" s="2843"/>
      <c r="RJO47" s="2844"/>
      <c r="RJP47" s="2845"/>
      <c r="RJQ47" s="2842"/>
      <c r="RJR47" s="2842"/>
      <c r="RJS47" s="2843"/>
      <c r="RJT47" s="2843"/>
      <c r="RJU47" s="2844"/>
      <c r="RJV47" s="2845"/>
      <c r="RJW47" s="2842"/>
      <c r="RJX47" s="2842"/>
      <c r="RJY47" s="2843"/>
      <c r="RJZ47" s="2843"/>
      <c r="RKA47" s="2844"/>
      <c r="RKB47" s="2845"/>
      <c r="RKC47" s="2842"/>
      <c r="RKD47" s="2842"/>
      <c r="RKE47" s="2843"/>
      <c r="RKF47" s="2843"/>
      <c r="RKG47" s="2844"/>
      <c r="RKH47" s="2845"/>
      <c r="RKI47" s="2842"/>
      <c r="RKJ47" s="2842"/>
      <c r="RKK47" s="2843"/>
      <c r="RKL47" s="2843"/>
      <c r="RKM47" s="2844"/>
      <c r="RKN47" s="2845"/>
      <c r="RKO47" s="2842"/>
      <c r="RKP47" s="2842"/>
      <c r="RKQ47" s="2843"/>
      <c r="RKR47" s="2843"/>
      <c r="RKS47" s="2844"/>
      <c r="RKT47" s="2845"/>
      <c r="RKU47" s="2842"/>
      <c r="RKV47" s="2842"/>
      <c r="RKW47" s="2843"/>
      <c r="RKX47" s="2843"/>
      <c r="RKY47" s="2844"/>
      <c r="RKZ47" s="2845"/>
      <c r="RLA47" s="2842"/>
      <c r="RLB47" s="2842"/>
      <c r="RLC47" s="2843"/>
      <c r="RLD47" s="2843"/>
      <c r="RLE47" s="2844"/>
      <c r="RLF47" s="2845"/>
      <c r="RLG47" s="2842"/>
      <c r="RLH47" s="2842"/>
      <c r="RLI47" s="2843"/>
      <c r="RLJ47" s="2843"/>
      <c r="RLK47" s="2844"/>
      <c r="RLL47" s="2845"/>
      <c r="RLM47" s="2842"/>
      <c r="RLN47" s="2842"/>
      <c r="RLO47" s="2843"/>
      <c r="RLP47" s="2843"/>
      <c r="RLQ47" s="2844"/>
      <c r="RLR47" s="2845"/>
      <c r="RLS47" s="2842"/>
      <c r="RLT47" s="2842"/>
      <c r="RLU47" s="2843"/>
      <c r="RLV47" s="2843"/>
      <c r="RLW47" s="2844"/>
      <c r="RLX47" s="2845"/>
      <c r="RLY47" s="2842"/>
      <c r="RLZ47" s="2842"/>
      <c r="RMA47" s="2843"/>
      <c r="RMB47" s="2843"/>
      <c r="RMC47" s="2844"/>
      <c r="RMD47" s="2845"/>
      <c r="RME47" s="2842"/>
      <c r="RMF47" s="2842"/>
      <c r="RMG47" s="2843"/>
      <c r="RMH47" s="2843"/>
      <c r="RMI47" s="2844"/>
      <c r="RMJ47" s="2845"/>
      <c r="RMK47" s="2842"/>
      <c r="RML47" s="2842"/>
      <c r="RMM47" s="2843"/>
      <c r="RMN47" s="2843"/>
      <c r="RMO47" s="2844"/>
      <c r="RMP47" s="2845"/>
      <c r="RMQ47" s="2842"/>
      <c r="RMR47" s="2842"/>
      <c r="RMS47" s="2843"/>
      <c r="RMT47" s="2843"/>
      <c r="RMU47" s="2844"/>
      <c r="RMV47" s="2845"/>
      <c r="RMW47" s="2842"/>
      <c r="RMX47" s="2842"/>
      <c r="RMY47" s="2843"/>
      <c r="RMZ47" s="2843"/>
      <c r="RNA47" s="2844"/>
      <c r="RNB47" s="2845"/>
      <c r="RNC47" s="2842"/>
      <c r="RND47" s="2842"/>
      <c r="RNE47" s="2843"/>
      <c r="RNF47" s="2843"/>
      <c r="RNG47" s="2844"/>
      <c r="RNH47" s="2845"/>
      <c r="RNI47" s="2842"/>
      <c r="RNJ47" s="2842"/>
      <c r="RNK47" s="2843"/>
      <c r="RNL47" s="2843"/>
      <c r="RNM47" s="2844"/>
      <c r="RNN47" s="2845"/>
      <c r="RNO47" s="2842"/>
      <c r="RNP47" s="2842"/>
      <c r="RNQ47" s="2843"/>
      <c r="RNR47" s="2843"/>
      <c r="RNS47" s="2844"/>
      <c r="RNT47" s="2845"/>
      <c r="RNU47" s="2842"/>
      <c r="RNV47" s="2842"/>
      <c r="RNW47" s="2843"/>
      <c r="RNX47" s="2843"/>
      <c r="RNY47" s="2844"/>
      <c r="RNZ47" s="2845"/>
      <c r="ROA47" s="2842"/>
      <c r="ROB47" s="2842"/>
      <c r="ROC47" s="2843"/>
      <c r="ROD47" s="2843"/>
      <c r="ROE47" s="2844"/>
      <c r="ROF47" s="2845"/>
      <c r="ROG47" s="2842"/>
      <c r="ROH47" s="2842"/>
      <c r="ROI47" s="2843"/>
      <c r="ROJ47" s="2843"/>
      <c r="ROK47" s="2844"/>
      <c r="ROL47" s="2845"/>
      <c r="ROM47" s="2842"/>
      <c r="RON47" s="2842"/>
      <c r="ROO47" s="2843"/>
      <c r="ROP47" s="2843"/>
      <c r="ROQ47" s="2844"/>
      <c r="ROR47" s="2845"/>
      <c r="ROS47" s="2842"/>
      <c r="ROT47" s="2842"/>
      <c r="ROU47" s="2843"/>
      <c r="ROV47" s="2843"/>
      <c r="ROW47" s="2844"/>
      <c r="ROX47" s="2845"/>
      <c r="ROY47" s="2842"/>
      <c r="ROZ47" s="2842"/>
      <c r="RPA47" s="2843"/>
      <c r="RPB47" s="2843"/>
      <c r="RPC47" s="2844"/>
      <c r="RPD47" s="2845"/>
      <c r="RPE47" s="2842"/>
      <c r="RPF47" s="2842"/>
      <c r="RPG47" s="2843"/>
      <c r="RPH47" s="2843"/>
      <c r="RPI47" s="2844"/>
      <c r="RPJ47" s="2845"/>
      <c r="RPK47" s="2842"/>
      <c r="RPL47" s="2842"/>
      <c r="RPM47" s="2843"/>
      <c r="RPN47" s="2843"/>
      <c r="RPO47" s="2844"/>
      <c r="RPP47" s="2845"/>
      <c r="RPQ47" s="2842"/>
      <c r="RPR47" s="2842"/>
      <c r="RPS47" s="2843"/>
      <c r="RPT47" s="2843"/>
      <c r="RPU47" s="2844"/>
      <c r="RPV47" s="2845"/>
      <c r="RPW47" s="2842"/>
      <c r="RPX47" s="2842"/>
      <c r="RPY47" s="2843"/>
      <c r="RPZ47" s="2843"/>
      <c r="RQA47" s="2844"/>
      <c r="RQB47" s="2845"/>
      <c r="RQC47" s="2842"/>
      <c r="RQD47" s="2842"/>
      <c r="RQE47" s="2843"/>
      <c r="RQF47" s="2843"/>
      <c r="RQG47" s="2844"/>
      <c r="RQH47" s="2845"/>
      <c r="RQI47" s="2842"/>
      <c r="RQJ47" s="2842"/>
      <c r="RQK47" s="2843"/>
      <c r="RQL47" s="2843"/>
      <c r="RQM47" s="2844"/>
      <c r="RQN47" s="2845"/>
      <c r="RQO47" s="2842"/>
      <c r="RQP47" s="2842"/>
      <c r="RQQ47" s="2843"/>
      <c r="RQR47" s="2843"/>
      <c r="RQS47" s="2844"/>
      <c r="RQT47" s="2845"/>
      <c r="RQU47" s="2842"/>
      <c r="RQV47" s="2842"/>
      <c r="RQW47" s="2843"/>
      <c r="RQX47" s="2843"/>
      <c r="RQY47" s="2844"/>
      <c r="RQZ47" s="2845"/>
      <c r="RRA47" s="2842"/>
      <c r="RRB47" s="2842"/>
      <c r="RRC47" s="2843"/>
      <c r="RRD47" s="2843"/>
      <c r="RRE47" s="2844"/>
      <c r="RRF47" s="2845"/>
      <c r="RRG47" s="2842"/>
      <c r="RRH47" s="2842"/>
      <c r="RRI47" s="2843"/>
      <c r="RRJ47" s="2843"/>
      <c r="RRK47" s="2844"/>
      <c r="RRL47" s="2845"/>
      <c r="RRM47" s="2842"/>
      <c r="RRN47" s="2842"/>
      <c r="RRO47" s="2843"/>
      <c r="RRP47" s="2843"/>
      <c r="RRQ47" s="2844"/>
      <c r="RRR47" s="2845"/>
      <c r="RRS47" s="2842"/>
      <c r="RRT47" s="2842"/>
      <c r="RRU47" s="2843"/>
      <c r="RRV47" s="2843"/>
      <c r="RRW47" s="2844"/>
      <c r="RRX47" s="2845"/>
      <c r="RRY47" s="2842"/>
      <c r="RRZ47" s="2842"/>
      <c r="RSA47" s="2843"/>
      <c r="RSB47" s="2843"/>
      <c r="RSC47" s="2844"/>
      <c r="RSD47" s="2845"/>
      <c r="RSE47" s="2842"/>
      <c r="RSF47" s="2842"/>
      <c r="RSG47" s="2843"/>
      <c r="RSH47" s="2843"/>
      <c r="RSI47" s="2844"/>
      <c r="RSJ47" s="2845"/>
      <c r="RSK47" s="2842"/>
      <c r="RSL47" s="2842"/>
      <c r="RSM47" s="2843"/>
      <c r="RSN47" s="2843"/>
      <c r="RSO47" s="2844"/>
      <c r="RSP47" s="2845"/>
      <c r="RSQ47" s="2842"/>
      <c r="RSR47" s="2842"/>
      <c r="RSS47" s="2843"/>
      <c r="RST47" s="2843"/>
      <c r="RSU47" s="2844"/>
      <c r="RSV47" s="2845"/>
      <c r="RSW47" s="2842"/>
      <c r="RSX47" s="2842"/>
      <c r="RSY47" s="2843"/>
      <c r="RSZ47" s="2843"/>
      <c r="RTA47" s="2844"/>
      <c r="RTB47" s="2845"/>
      <c r="RTC47" s="2842"/>
      <c r="RTD47" s="2842"/>
      <c r="RTE47" s="2843"/>
      <c r="RTF47" s="2843"/>
      <c r="RTG47" s="2844"/>
      <c r="RTH47" s="2845"/>
      <c r="RTI47" s="2842"/>
      <c r="RTJ47" s="2842"/>
      <c r="RTK47" s="2843"/>
      <c r="RTL47" s="2843"/>
      <c r="RTM47" s="2844"/>
      <c r="RTN47" s="2845"/>
      <c r="RTO47" s="2842"/>
      <c r="RTP47" s="2842"/>
      <c r="RTQ47" s="2843"/>
      <c r="RTR47" s="2843"/>
      <c r="RTS47" s="2844"/>
      <c r="RTT47" s="2845"/>
      <c r="RTU47" s="2842"/>
      <c r="RTV47" s="2842"/>
      <c r="RTW47" s="2843"/>
      <c r="RTX47" s="2843"/>
      <c r="RTY47" s="2844"/>
      <c r="RTZ47" s="2845"/>
      <c r="RUA47" s="2842"/>
      <c r="RUB47" s="2842"/>
      <c r="RUC47" s="2843"/>
      <c r="RUD47" s="2843"/>
      <c r="RUE47" s="2844"/>
      <c r="RUF47" s="2845"/>
      <c r="RUG47" s="2842"/>
      <c r="RUH47" s="2842"/>
      <c r="RUI47" s="2843"/>
      <c r="RUJ47" s="2843"/>
      <c r="RUK47" s="2844"/>
      <c r="RUL47" s="2845"/>
      <c r="RUM47" s="2842"/>
      <c r="RUN47" s="2842"/>
      <c r="RUO47" s="2843"/>
      <c r="RUP47" s="2843"/>
      <c r="RUQ47" s="2844"/>
      <c r="RUR47" s="2845"/>
      <c r="RUS47" s="2842"/>
      <c r="RUT47" s="2842"/>
      <c r="RUU47" s="2843"/>
      <c r="RUV47" s="2843"/>
      <c r="RUW47" s="2844"/>
      <c r="RUX47" s="2845"/>
      <c r="RUY47" s="2842"/>
      <c r="RUZ47" s="2842"/>
      <c r="RVA47" s="2843"/>
      <c r="RVB47" s="2843"/>
      <c r="RVC47" s="2844"/>
      <c r="RVD47" s="2845"/>
      <c r="RVE47" s="2842"/>
      <c r="RVF47" s="2842"/>
      <c r="RVG47" s="2843"/>
      <c r="RVH47" s="2843"/>
      <c r="RVI47" s="2844"/>
      <c r="RVJ47" s="2845"/>
      <c r="RVK47" s="2842"/>
      <c r="RVL47" s="2842"/>
      <c r="RVM47" s="2843"/>
      <c r="RVN47" s="2843"/>
      <c r="RVO47" s="2844"/>
      <c r="RVP47" s="2845"/>
      <c r="RVQ47" s="2842"/>
      <c r="RVR47" s="2842"/>
      <c r="RVS47" s="2843"/>
      <c r="RVT47" s="2843"/>
      <c r="RVU47" s="2844"/>
      <c r="RVV47" s="2845"/>
      <c r="RVW47" s="2842"/>
      <c r="RVX47" s="2842"/>
      <c r="RVY47" s="2843"/>
      <c r="RVZ47" s="2843"/>
      <c r="RWA47" s="2844"/>
      <c r="RWB47" s="2845"/>
      <c r="RWC47" s="2842"/>
      <c r="RWD47" s="2842"/>
      <c r="RWE47" s="2843"/>
      <c r="RWF47" s="2843"/>
      <c r="RWG47" s="2844"/>
      <c r="RWH47" s="2845"/>
      <c r="RWI47" s="2842"/>
      <c r="RWJ47" s="2842"/>
      <c r="RWK47" s="2843"/>
      <c r="RWL47" s="2843"/>
      <c r="RWM47" s="2844"/>
      <c r="RWN47" s="2845"/>
      <c r="RWO47" s="2842"/>
      <c r="RWP47" s="2842"/>
      <c r="RWQ47" s="2843"/>
      <c r="RWR47" s="2843"/>
      <c r="RWS47" s="2844"/>
      <c r="RWT47" s="2845"/>
      <c r="RWU47" s="2842"/>
      <c r="RWV47" s="2842"/>
      <c r="RWW47" s="2843"/>
      <c r="RWX47" s="2843"/>
      <c r="RWY47" s="2844"/>
      <c r="RWZ47" s="2845"/>
      <c r="RXA47" s="2842"/>
      <c r="RXB47" s="2842"/>
      <c r="RXC47" s="2843"/>
      <c r="RXD47" s="2843"/>
      <c r="RXE47" s="2844"/>
      <c r="RXF47" s="2845"/>
      <c r="RXG47" s="2842"/>
      <c r="RXH47" s="2842"/>
      <c r="RXI47" s="2843"/>
      <c r="RXJ47" s="2843"/>
      <c r="RXK47" s="2844"/>
      <c r="RXL47" s="2845"/>
      <c r="RXM47" s="2842"/>
      <c r="RXN47" s="2842"/>
      <c r="RXO47" s="2843"/>
      <c r="RXP47" s="2843"/>
      <c r="RXQ47" s="2844"/>
      <c r="RXR47" s="2845"/>
      <c r="RXS47" s="2842"/>
      <c r="RXT47" s="2842"/>
      <c r="RXU47" s="2843"/>
      <c r="RXV47" s="2843"/>
      <c r="RXW47" s="2844"/>
      <c r="RXX47" s="2845"/>
      <c r="RXY47" s="2842"/>
      <c r="RXZ47" s="2842"/>
      <c r="RYA47" s="2843"/>
      <c r="RYB47" s="2843"/>
      <c r="RYC47" s="2844"/>
      <c r="RYD47" s="2845"/>
      <c r="RYE47" s="2842"/>
      <c r="RYF47" s="2842"/>
      <c r="RYG47" s="2843"/>
      <c r="RYH47" s="2843"/>
      <c r="RYI47" s="2844"/>
      <c r="RYJ47" s="2845"/>
      <c r="RYK47" s="2842"/>
      <c r="RYL47" s="2842"/>
      <c r="RYM47" s="2843"/>
      <c r="RYN47" s="2843"/>
      <c r="RYO47" s="2844"/>
      <c r="RYP47" s="2845"/>
      <c r="RYQ47" s="2842"/>
      <c r="RYR47" s="2842"/>
      <c r="RYS47" s="2843"/>
      <c r="RYT47" s="2843"/>
      <c r="RYU47" s="2844"/>
      <c r="RYV47" s="2845"/>
      <c r="RYW47" s="2842"/>
      <c r="RYX47" s="2842"/>
      <c r="RYY47" s="2843"/>
      <c r="RYZ47" s="2843"/>
      <c r="RZA47" s="2844"/>
      <c r="RZB47" s="2845"/>
      <c r="RZC47" s="2842"/>
      <c r="RZD47" s="2842"/>
      <c r="RZE47" s="2843"/>
      <c r="RZF47" s="2843"/>
      <c r="RZG47" s="2844"/>
      <c r="RZH47" s="2845"/>
      <c r="RZI47" s="2842"/>
      <c r="RZJ47" s="2842"/>
      <c r="RZK47" s="2843"/>
      <c r="RZL47" s="2843"/>
      <c r="RZM47" s="2844"/>
      <c r="RZN47" s="2845"/>
      <c r="RZO47" s="2842"/>
      <c r="RZP47" s="2842"/>
      <c r="RZQ47" s="2843"/>
      <c r="RZR47" s="2843"/>
      <c r="RZS47" s="2844"/>
      <c r="RZT47" s="2845"/>
      <c r="RZU47" s="2842"/>
      <c r="RZV47" s="2842"/>
      <c r="RZW47" s="2843"/>
      <c r="RZX47" s="2843"/>
      <c r="RZY47" s="2844"/>
      <c r="RZZ47" s="2845"/>
      <c r="SAA47" s="2842"/>
      <c r="SAB47" s="2842"/>
      <c r="SAC47" s="2843"/>
      <c r="SAD47" s="2843"/>
      <c r="SAE47" s="2844"/>
      <c r="SAF47" s="2845"/>
      <c r="SAG47" s="2842"/>
      <c r="SAH47" s="2842"/>
      <c r="SAI47" s="2843"/>
      <c r="SAJ47" s="2843"/>
      <c r="SAK47" s="2844"/>
      <c r="SAL47" s="2845"/>
      <c r="SAM47" s="2842"/>
      <c r="SAN47" s="2842"/>
      <c r="SAO47" s="2843"/>
      <c r="SAP47" s="2843"/>
      <c r="SAQ47" s="2844"/>
      <c r="SAR47" s="2845"/>
      <c r="SAS47" s="2842"/>
      <c r="SAT47" s="2842"/>
      <c r="SAU47" s="2843"/>
      <c r="SAV47" s="2843"/>
      <c r="SAW47" s="2844"/>
      <c r="SAX47" s="2845"/>
      <c r="SAY47" s="2842"/>
      <c r="SAZ47" s="2842"/>
      <c r="SBA47" s="2843"/>
      <c r="SBB47" s="2843"/>
      <c r="SBC47" s="2844"/>
      <c r="SBD47" s="2845"/>
      <c r="SBE47" s="2842"/>
      <c r="SBF47" s="2842"/>
      <c r="SBG47" s="2843"/>
      <c r="SBH47" s="2843"/>
      <c r="SBI47" s="2844"/>
      <c r="SBJ47" s="2845"/>
      <c r="SBK47" s="2842"/>
      <c r="SBL47" s="2842"/>
      <c r="SBM47" s="2843"/>
      <c r="SBN47" s="2843"/>
      <c r="SBO47" s="2844"/>
      <c r="SBP47" s="2845"/>
      <c r="SBQ47" s="2842"/>
      <c r="SBR47" s="2842"/>
      <c r="SBS47" s="2843"/>
      <c r="SBT47" s="2843"/>
      <c r="SBU47" s="2844"/>
      <c r="SBV47" s="2845"/>
      <c r="SBW47" s="2842"/>
      <c r="SBX47" s="2842"/>
      <c r="SBY47" s="2843"/>
      <c r="SBZ47" s="2843"/>
      <c r="SCA47" s="2844"/>
      <c r="SCB47" s="2845"/>
      <c r="SCC47" s="2842"/>
      <c r="SCD47" s="2842"/>
      <c r="SCE47" s="2843"/>
      <c r="SCF47" s="2843"/>
      <c r="SCG47" s="2844"/>
      <c r="SCH47" s="2845"/>
      <c r="SCI47" s="2842"/>
      <c r="SCJ47" s="2842"/>
      <c r="SCK47" s="2843"/>
      <c r="SCL47" s="2843"/>
      <c r="SCM47" s="2844"/>
      <c r="SCN47" s="2845"/>
      <c r="SCO47" s="2842"/>
      <c r="SCP47" s="2842"/>
      <c r="SCQ47" s="2843"/>
      <c r="SCR47" s="2843"/>
      <c r="SCS47" s="2844"/>
      <c r="SCT47" s="2845"/>
      <c r="SCU47" s="2842"/>
      <c r="SCV47" s="2842"/>
      <c r="SCW47" s="2843"/>
      <c r="SCX47" s="2843"/>
      <c r="SCY47" s="2844"/>
      <c r="SCZ47" s="2845"/>
      <c r="SDA47" s="2842"/>
      <c r="SDB47" s="2842"/>
      <c r="SDC47" s="2843"/>
      <c r="SDD47" s="2843"/>
      <c r="SDE47" s="2844"/>
      <c r="SDF47" s="2845"/>
      <c r="SDG47" s="2842"/>
      <c r="SDH47" s="2842"/>
      <c r="SDI47" s="2843"/>
      <c r="SDJ47" s="2843"/>
      <c r="SDK47" s="2844"/>
      <c r="SDL47" s="2845"/>
      <c r="SDM47" s="2842"/>
      <c r="SDN47" s="2842"/>
      <c r="SDO47" s="2843"/>
      <c r="SDP47" s="2843"/>
      <c r="SDQ47" s="2844"/>
      <c r="SDR47" s="2845"/>
      <c r="SDS47" s="2842"/>
      <c r="SDT47" s="2842"/>
      <c r="SDU47" s="2843"/>
      <c r="SDV47" s="2843"/>
      <c r="SDW47" s="2844"/>
      <c r="SDX47" s="2845"/>
      <c r="SDY47" s="2842"/>
      <c r="SDZ47" s="2842"/>
      <c r="SEA47" s="2843"/>
      <c r="SEB47" s="2843"/>
      <c r="SEC47" s="2844"/>
      <c r="SED47" s="2845"/>
      <c r="SEE47" s="2842"/>
      <c r="SEF47" s="2842"/>
      <c r="SEG47" s="2843"/>
      <c r="SEH47" s="2843"/>
      <c r="SEI47" s="2844"/>
      <c r="SEJ47" s="2845"/>
      <c r="SEK47" s="2842"/>
      <c r="SEL47" s="2842"/>
      <c r="SEM47" s="2843"/>
      <c r="SEN47" s="2843"/>
      <c r="SEO47" s="2844"/>
      <c r="SEP47" s="2845"/>
      <c r="SEQ47" s="2842"/>
      <c r="SER47" s="2842"/>
      <c r="SES47" s="2843"/>
      <c r="SET47" s="2843"/>
      <c r="SEU47" s="2844"/>
      <c r="SEV47" s="2845"/>
      <c r="SEW47" s="2842"/>
      <c r="SEX47" s="2842"/>
      <c r="SEY47" s="2843"/>
      <c r="SEZ47" s="2843"/>
      <c r="SFA47" s="2844"/>
      <c r="SFB47" s="2845"/>
      <c r="SFC47" s="2842"/>
      <c r="SFD47" s="2842"/>
      <c r="SFE47" s="2843"/>
      <c r="SFF47" s="2843"/>
      <c r="SFG47" s="2844"/>
      <c r="SFH47" s="2845"/>
      <c r="SFI47" s="2842"/>
      <c r="SFJ47" s="2842"/>
      <c r="SFK47" s="2843"/>
      <c r="SFL47" s="2843"/>
      <c r="SFM47" s="2844"/>
      <c r="SFN47" s="2845"/>
      <c r="SFO47" s="2842"/>
      <c r="SFP47" s="2842"/>
      <c r="SFQ47" s="2843"/>
      <c r="SFR47" s="2843"/>
      <c r="SFS47" s="2844"/>
      <c r="SFT47" s="2845"/>
      <c r="SFU47" s="2842"/>
      <c r="SFV47" s="2842"/>
      <c r="SFW47" s="2843"/>
      <c r="SFX47" s="2843"/>
      <c r="SFY47" s="2844"/>
      <c r="SFZ47" s="2845"/>
      <c r="SGA47" s="2842"/>
      <c r="SGB47" s="2842"/>
      <c r="SGC47" s="2843"/>
      <c r="SGD47" s="2843"/>
      <c r="SGE47" s="2844"/>
      <c r="SGF47" s="2845"/>
      <c r="SGG47" s="2842"/>
      <c r="SGH47" s="2842"/>
      <c r="SGI47" s="2843"/>
      <c r="SGJ47" s="2843"/>
      <c r="SGK47" s="2844"/>
      <c r="SGL47" s="2845"/>
      <c r="SGM47" s="2842"/>
      <c r="SGN47" s="2842"/>
      <c r="SGO47" s="2843"/>
      <c r="SGP47" s="2843"/>
      <c r="SGQ47" s="2844"/>
      <c r="SGR47" s="2845"/>
      <c r="SGS47" s="2842"/>
      <c r="SGT47" s="2842"/>
      <c r="SGU47" s="2843"/>
      <c r="SGV47" s="2843"/>
      <c r="SGW47" s="2844"/>
      <c r="SGX47" s="2845"/>
      <c r="SGY47" s="2842"/>
      <c r="SGZ47" s="2842"/>
      <c r="SHA47" s="2843"/>
      <c r="SHB47" s="2843"/>
      <c r="SHC47" s="2844"/>
      <c r="SHD47" s="2845"/>
      <c r="SHE47" s="2842"/>
      <c r="SHF47" s="2842"/>
      <c r="SHG47" s="2843"/>
      <c r="SHH47" s="2843"/>
      <c r="SHI47" s="2844"/>
      <c r="SHJ47" s="2845"/>
      <c r="SHK47" s="2842"/>
      <c r="SHL47" s="2842"/>
      <c r="SHM47" s="2843"/>
      <c r="SHN47" s="2843"/>
      <c r="SHO47" s="2844"/>
      <c r="SHP47" s="2845"/>
      <c r="SHQ47" s="2842"/>
      <c r="SHR47" s="2842"/>
      <c r="SHS47" s="2843"/>
      <c r="SHT47" s="2843"/>
      <c r="SHU47" s="2844"/>
      <c r="SHV47" s="2845"/>
      <c r="SHW47" s="2842"/>
      <c r="SHX47" s="2842"/>
      <c r="SHY47" s="2843"/>
      <c r="SHZ47" s="2843"/>
      <c r="SIA47" s="2844"/>
      <c r="SIB47" s="2845"/>
      <c r="SIC47" s="2842"/>
      <c r="SID47" s="2842"/>
      <c r="SIE47" s="2843"/>
      <c r="SIF47" s="2843"/>
      <c r="SIG47" s="2844"/>
      <c r="SIH47" s="2845"/>
      <c r="SII47" s="2842"/>
      <c r="SIJ47" s="2842"/>
      <c r="SIK47" s="2843"/>
      <c r="SIL47" s="2843"/>
      <c r="SIM47" s="2844"/>
      <c r="SIN47" s="2845"/>
      <c r="SIO47" s="2842"/>
      <c r="SIP47" s="2842"/>
      <c r="SIQ47" s="2843"/>
      <c r="SIR47" s="2843"/>
      <c r="SIS47" s="2844"/>
      <c r="SIT47" s="2845"/>
      <c r="SIU47" s="2842"/>
      <c r="SIV47" s="2842"/>
      <c r="SIW47" s="2843"/>
      <c r="SIX47" s="2843"/>
      <c r="SIY47" s="2844"/>
      <c r="SIZ47" s="2845"/>
      <c r="SJA47" s="2842"/>
      <c r="SJB47" s="2842"/>
      <c r="SJC47" s="2843"/>
      <c r="SJD47" s="2843"/>
      <c r="SJE47" s="2844"/>
      <c r="SJF47" s="2845"/>
      <c r="SJG47" s="2842"/>
      <c r="SJH47" s="2842"/>
      <c r="SJI47" s="2843"/>
      <c r="SJJ47" s="2843"/>
      <c r="SJK47" s="2844"/>
      <c r="SJL47" s="2845"/>
      <c r="SJM47" s="2842"/>
      <c r="SJN47" s="2842"/>
      <c r="SJO47" s="2843"/>
      <c r="SJP47" s="2843"/>
      <c r="SJQ47" s="2844"/>
      <c r="SJR47" s="2845"/>
      <c r="SJS47" s="2842"/>
      <c r="SJT47" s="2842"/>
      <c r="SJU47" s="2843"/>
      <c r="SJV47" s="2843"/>
      <c r="SJW47" s="2844"/>
      <c r="SJX47" s="2845"/>
      <c r="SJY47" s="2842"/>
      <c r="SJZ47" s="2842"/>
      <c r="SKA47" s="2843"/>
      <c r="SKB47" s="2843"/>
      <c r="SKC47" s="2844"/>
      <c r="SKD47" s="2845"/>
      <c r="SKE47" s="2842"/>
      <c r="SKF47" s="2842"/>
      <c r="SKG47" s="2843"/>
      <c r="SKH47" s="2843"/>
      <c r="SKI47" s="2844"/>
      <c r="SKJ47" s="2845"/>
      <c r="SKK47" s="2842"/>
      <c r="SKL47" s="2842"/>
      <c r="SKM47" s="2843"/>
      <c r="SKN47" s="2843"/>
      <c r="SKO47" s="2844"/>
      <c r="SKP47" s="2845"/>
      <c r="SKQ47" s="2842"/>
      <c r="SKR47" s="2842"/>
      <c r="SKS47" s="2843"/>
      <c r="SKT47" s="2843"/>
      <c r="SKU47" s="2844"/>
      <c r="SKV47" s="2845"/>
      <c r="SKW47" s="2842"/>
      <c r="SKX47" s="2842"/>
      <c r="SKY47" s="2843"/>
      <c r="SKZ47" s="2843"/>
      <c r="SLA47" s="2844"/>
      <c r="SLB47" s="2845"/>
      <c r="SLC47" s="2842"/>
      <c r="SLD47" s="2842"/>
      <c r="SLE47" s="2843"/>
      <c r="SLF47" s="2843"/>
      <c r="SLG47" s="2844"/>
      <c r="SLH47" s="2845"/>
      <c r="SLI47" s="2842"/>
      <c r="SLJ47" s="2842"/>
      <c r="SLK47" s="2843"/>
      <c r="SLL47" s="2843"/>
      <c r="SLM47" s="2844"/>
      <c r="SLN47" s="2845"/>
      <c r="SLO47" s="2842"/>
      <c r="SLP47" s="2842"/>
      <c r="SLQ47" s="2843"/>
      <c r="SLR47" s="2843"/>
      <c r="SLS47" s="2844"/>
      <c r="SLT47" s="2845"/>
      <c r="SLU47" s="2842"/>
      <c r="SLV47" s="2842"/>
      <c r="SLW47" s="2843"/>
      <c r="SLX47" s="2843"/>
      <c r="SLY47" s="2844"/>
      <c r="SLZ47" s="2845"/>
      <c r="SMA47" s="2842"/>
      <c r="SMB47" s="2842"/>
      <c r="SMC47" s="2843"/>
      <c r="SMD47" s="2843"/>
      <c r="SME47" s="2844"/>
      <c r="SMF47" s="2845"/>
      <c r="SMG47" s="2842"/>
      <c r="SMH47" s="2842"/>
      <c r="SMI47" s="2843"/>
      <c r="SMJ47" s="2843"/>
      <c r="SMK47" s="2844"/>
      <c r="SML47" s="2845"/>
      <c r="SMM47" s="2842"/>
      <c r="SMN47" s="2842"/>
      <c r="SMO47" s="2843"/>
      <c r="SMP47" s="2843"/>
      <c r="SMQ47" s="2844"/>
      <c r="SMR47" s="2845"/>
      <c r="SMS47" s="2842"/>
      <c r="SMT47" s="2842"/>
      <c r="SMU47" s="2843"/>
      <c r="SMV47" s="2843"/>
      <c r="SMW47" s="2844"/>
      <c r="SMX47" s="2845"/>
      <c r="SMY47" s="2842"/>
      <c r="SMZ47" s="2842"/>
      <c r="SNA47" s="2843"/>
      <c r="SNB47" s="2843"/>
      <c r="SNC47" s="2844"/>
      <c r="SND47" s="2845"/>
      <c r="SNE47" s="2842"/>
      <c r="SNF47" s="2842"/>
      <c r="SNG47" s="2843"/>
      <c r="SNH47" s="2843"/>
      <c r="SNI47" s="2844"/>
      <c r="SNJ47" s="2845"/>
      <c r="SNK47" s="2842"/>
      <c r="SNL47" s="2842"/>
      <c r="SNM47" s="2843"/>
      <c r="SNN47" s="2843"/>
      <c r="SNO47" s="2844"/>
      <c r="SNP47" s="2845"/>
      <c r="SNQ47" s="2842"/>
      <c r="SNR47" s="2842"/>
      <c r="SNS47" s="2843"/>
      <c r="SNT47" s="2843"/>
      <c r="SNU47" s="2844"/>
      <c r="SNV47" s="2845"/>
      <c r="SNW47" s="2842"/>
      <c r="SNX47" s="2842"/>
      <c r="SNY47" s="2843"/>
      <c r="SNZ47" s="2843"/>
      <c r="SOA47" s="2844"/>
      <c r="SOB47" s="2845"/>
      <c r="SOC47" s="2842"/>
      <c r="SOD47" s="2842"/>
      <c r="SOE47" s="2843"/>
      <c r="SOF47" s="2843"/>
      <c r="SOG47" s="2844"/>
      <c r="SOH47" s="2845"/>
      <c r="SOI47" s="2842"/>
      <c r="SOJ47" s="2842"/>
      <c r="SOK47" s="2843"/>
      <c r="SOL47" s="2843"/>
      <c r="SOM47" s="2844"/>
      <c r="SON47" s="2845"/>
      <c r="SOO47" s="2842"/>
      <c r="SOP47" s="2842"/>
      <c r="SOQ47" s="2843"/>
      <c r="SOR47" s="2843"/>
      <c r="SOS47" s="2844"/>
      <c r="SOT47" s="2845"/>
      <c r="SOU47" s="2842"/>
      <c r="SOV47" s="2842"/>
      <c r="SOW47" s="2843"/>
      <c r="SOX47" s="2843"/>
      <c r="SOY47" s="2844"/>
      <c r="SOZ47" s="2845"/>
      <c r="SPA47" s="2842"/>
      <c r="SPB47" s="2842"/>
      <c r="SPC47" s="2843"/>
      <c r="SPD47" s="2843"/>
      <c r="SPE47" s="2844"/>
      <c r="SPF47" s="2845"/>
      <c r="SPG47" s="2842"/>
      <c r="SPH47" s="2842"/>
      <c r="SPI47" s="2843"/>
      <c r="SPJ47" s="2843"/>
      <c r="SPK47" s="2844"/>
      <c r="SPL47" s="2845"/>
      <c r="SPM47" s="2842"/>
      <c r="SPN47" s="2842"/>
      <c r="SPO47" s="2843"/>
      <c r="SPP47" s="2843"/>
      <c r="SPQ47" s="2844"/>
      <c r="SPR47" s="2845"/>
      <c r="SPS47" s="2842"/>
      <c r="SPT47" s="2842"/>
      <c r="SPU47" s="2843"/>
      <c r="SPV47" s="2843"/>
      <c r="SPW47" s="2844"/>
      <c r="SPX47" s="2845"/>
      <c r="SPY47" s="2842"/>
      <c r="SPZ47" s="2842"/>
      <c r="SQA47" s="2843"/>
      <c r="SQB47" s="2843"/>
      <c r="SQC47" s="2844"/>
      <c r="SQD47" s="2845"/>
      <c r="SQE47" s="2842"/>
      <c r="SQF47" s="2842"/>
      <c r="SQG47" s="2843"/>
      <c r="SQH47" s="2843"/>
      <c r="SQI47" s="2844"/>
      <c r="SQJ47" s="2845"/>
      <c r="SQK47" s="2842"/>
      <c r="SQL47" s="2842"/>
      <c r="SQM47" s="2843"/>
      <c r="SQN47" s="2843"/>
      <c r="SQO47" s="2844"/>
      <c r="SQP47" s="2845"/>
      <c r="SQQ47" s="2842"/>
      <c r="SQR47" s="2842"/>
      <c r="SQS47" s="2843"/>
      <c r="SQT47" s="2843"/>
      <c r="SQU47" s="2844"/>
      <c r="SQV47" s="2845"/>
      <c r="SQW47" s="2842"/>
      <c r="SQX47" s="2842"/>
      <c r="SQY47" s="2843"/>
      <c r="SQZ47" s="2843"/>
      <c r="SRA47" s="2844"/>
      <c r="SRB47" s="2845"/>
      <c r="SRC47" s="2842"/>
      <c r="SRD47" s="2842"/>
      <c r="SRE47" s="2843"/>
      <c r="SRF47" s="2843"/>
      <c r="SRG47" s="2844"/>
      <c r="SRH47" s="2845"/>
      <c r="SRI47" s="2842"/>
      <c r="SRJ47" s="2842"/>
      <c r="SRK47" s="2843"/>
      <c r="SRL47" s="2843"/>
      <c r="SRM47" s="2844"/>
      <c r="SRN47" s="2845"/>
      <c r="SRO47" s="2842"/>
      <c r="SRP47" s="2842"/>
      <c r="SRQ47" s="2843"/>
      <c r="SRR47" s="2843"/>
      <c r="SRS47" s="2844"/>
      <c r="SRT47" s="2845"/>
      <c r="SRU47" s="2842"/>
      <c r="SRV47" s="2842"/>
      <c r="SRW47" s="2843"/>
      <c r="SRX47" s="2843"/>
      <c r="SRY47" s="2844"/>
      <c r="SRZ47" s="2845"/>
      <c r="SSA47" s="2842"/>
      <c r="SSB47" s="2842"/>
      <c r="SSC47" s="2843"/>
      <c r="SSD47" s="2843"/>
      <c r="SSE47" s="2844"/>
      <c r="SSF47" s="2845"/>
      <c r="SSG47" s="2842"/>
      <c r="SSH47" s="2842"/>
      <c r="SSI47" s="2843"/>
      <c r="SSJ47" s="2843"/>
      <c r="SSK47" s="2844"/>
      <c r="SSL47" s="2845"/>
      <c r="SSM47" s="2842"/>
      <c r="SSN47" s="2842"/>
      <c r="SSO47" s="2843"/>
      <c r="SSP47" s="2843"/>
      <c r="SSQ47" s="2844"/>
      <c r="SSR47" s="2845"/>
      <c r="SSS47" s="2842"/>
      <c r="SST47" s="2842"/>
      <c r="SSU47" s="2843"/>
      <c r="SSV47" s="2843"/>
      <c r="SSW47" s="2844"/>
      <c r="SSX47" s="2845"/>
      <c r="SSY47" s="2842"/>
      <c r="SSZ47" s="2842"/>
      <c r="STA47" s="2843"/>
      <c r="STB47" s="2843"/>
      <c r="STC47" s="2844"/>
      <c r="STD47" s="2845"/>
      <c r="STE47" s="2842"/>
      <c r="STF47" s="2842"/>
      <c r="STG47" s="2843"/>
      <c r="STH47" s="2843"/>
      <c r="STI47" s="2844"/>
      <c r="STJ47" s="2845"/>
      <c r="STK47" s="2842"/>
      <c r="STL47" s="2842"/>
      <c r="STM47" s="2843"/>
      <c r="STN47" s="2843"/>
      <c r="STO47" s="2844"/>
      <c r="STP47" s="2845"/>
      <c r="STQ47" s="2842"/>
      <c r="STR47" s="2842"/>
      <c r="STS47" s="2843"/>
      <c r="STT47" s="2843"/>
      <c r="STU47" s="2844"/>
      <c r="STV47" s="2845"/>
      <c r="STW47" s="2842"/>
      <c r="STX47" s="2842"/>
      <c r="STY47" s="2843"/>
      <c r="STZ47" s="2843"/>
      <c r="SUA47" s="2844"/>
      <c r="SUB47" s="2845"/>
      <c r="SUC47" s="2842"/>
      <c r="SUD47" s="2842"/>
      <c r="SUE47" s="2843"/>
      <c r="SUF47" s="2843"/>
      <c r="SUG47" s="2844"/>
      <c r="SUH47" s="2845"/>
      <c r="SUI47" s="2842"/>
      <c r="SUJ47" s="2842"/>
      <c r="SUK47" s="2843"/>
      <c r="SUL47" s="2843"/>
      <c r="SUM47" s="2844"/>
      <c r="SUN47" s="2845"/>
      <c r="SUO47" s="2842"/>
      <c r="SUP47" s="2842"/>
      <c r="SUQ47" s="2843"/>
      <c r="SUR47" s="2843"/>
      <c r="SUS47" s="2844"/>
      <c r="SUT47" s="2845"/>
      <c r="SUU47" s="2842"/>
      <c r="SUV47" s="2842"/>
      <c r="SUW47" s="2843"/>
      <c r="SUX47" s="2843"/>
      <c r="SUY47" s="2844"/>
      <c r="SUZ47" s="2845"/>
      <c r="SVA47" s="2842"/>
      <c r="SVB47" s="2842"/>
      <c r="SVC47" s="2843"/>
      <c r="SVD47" s="2843"/>
      <c r="SVE47" s="2844"/>
      <c r="SVF47" s="2845"/>
      <c r="SVG47" s="2842"/>
      <c r="SVH47" s="2842"/>
      <c r="SVI47" s="2843"/>
      <c r="SVJ47" s="2843"/>
      <c r="SVK47" s="2844"/>
      <c r="SVL47" s="2845"/>
      <c r="SVM47" s="2842"/>
      <c r="SVN47" s="2842"/>
      <c r="SVO47" s="2843"/>
      <c r="SVP47" s="2843"/>
      <c r="SVQ47" s="2844"/>
      <c r="SVR47" s="2845"/>
      <c r="SVS47" s="2842"/>
      <c r="SVT47" s="2842"/>
      <c r="SVU47" s="2843"/>
      <c r="SVV47" s="2843"/>
      <c r="SVW47" s="2844"/>
      <c r="SVX47" s="2845"/>
      <c r="SVY47" s="2842"/>
      <c r="SVZ47" s="2842"/>
      <c r="SWA47" s="2843"/>
      <c r="SWB47" s="2843"/>
      <c r="SWC47" s="2844"/>
      <c r="SWD47" s="2845"/>
      <c r="SWE47" s="2842"/>
      <c r="SWF47" s="2842"/>
      <c r="SWG47" s="2843"/>
      <c r="SWH47" s="2843"/>
      <c r="SWI47" s="2844"/>
      <c r="SWJ47" s="2845"/>
      <c r="SWK47" s="2842"/>
      <c r="SWL47" s="2842"/>
      <c r="SWM47" s="2843"/>
      <c r="SWN47" s="2843"/>
      <c r="SWO47" s="2844"/>
      <c r="SWP47" s="2845"/>
      <c r="SWQ47" s="2842"/>
      <c r="SWR47" s="2842"/>
      <c r="SWS47" s="2843"/>
      <c r="SWT47" s="2843"/>
      <c r="SWU47" s="2844"/>
      <c r="SWV47" s="2845"/>
      <c r="SWW47" s="2842"/>
      <c r="SWX47" s="2842"/>
      <c r="SWY47" s="2843"/>
      <c r="SWZ47" s="2843"/>
      <c r="SXA47" s="2844"/>
      <c r="SXB47" s="2845"/>
      <c r="SXC47" s="2842"/>
      <c r="SXD47" s="2842"/>
      <c r="SXE47" s="2843"/>
      <c r="SXF47" s="2843"/>
      <c r="SXG47" s="2844"/>
      <c r="SXH47" s="2845"/>
      <c r="SXI47" s="2842"/>
      <c r="SXJ47" s="2842"/>
      <c r="SXK47" s="2843"/>
      <c r="SXL47" s="2843"/>
      <c r="SXM47" s="2844"/>
      <c r="SXN47" s="2845"/>
      <c r="SXO47" s="2842"/>
      <c r="SXP47" s="2842"/>
      <c r="SXQ47" s="2843"/>
      <c r="SXR47" s="2843"/>
      <c r="SXS47" s="2844"/>
      <c r="SXT47" s="2845"/>
      <c r="SXU47" s="2842"/>
      <c r="SXV47" s="2842"/>
      <c r="SXW47" s="2843"/>
      <c r="SXX47" s="2843"/>
      <c r="SXY47" s="2844"/>
      <c r="SXZ47" s="2845"/>
      <c r="SYA47" s="2842"/>
      <c r="SYB47" s="2842"/>
      <c r="SYC47" s="2843"/>
      <c r="SYD47" s="2843"/>
      <c r="SYE47" s="2844"/>
      <c r="SYF47" s="2845"/>
      <c r="SYG47" s="2842"/>
      <c r="SYH47" s="2842"/>
      <c r="SYI47" s="2843"/>
      <c r="SYJ47" s="2843"/>
      <c r="SYK47" s="2844"/>
      <c r="SYL47" s="2845"/>
      <c r="SYM47" s="2842"/>
      <c r="SYN47" s="2842"/>
      <c r="SYO47" s="2843"/>
      <c r="SYP47" s="2843"/>
      <c r="SYQ47" s="2844"/>
      <c r="SYR47" s="2845"/>
      <c r="SYS47" s="2842"/>
      <c r="SYT47" s="2842"/>
      <c r="SYU47" s="2843"/>
      <c r="SYV47" s="2843"/>
      <c r="SYW47" s="2844"/>
      <c r="SYX47" s="2845"/>
      <c r="SYY47" s="2842"/>
      <c r="SYZ47" s="2842"/>
      <c r="SZA47" s="2843"/>
      <c r="SZB47" s="2843"/>
      <c r="SZC47" s="2844"/>
      <c r="SZD47" s="2845"/>
      <c r="SZE47" s="2842"/>
      <c r="SZF47" s="2842"/>
      <c r="SZG47" s="2843"/>
      <c r="SZH47" s="2843"/>
      <c r="SZI47" s="2844"/>
      <c r="SZJ47" s="2845"/>
      <c r="SZK47" s="2842"/>
      <c r="SZL47" s="2842"/>
      <c r="SZM47" s="2843"/>
      <c r="SZN47" s="2843"/>
      <c r="SZO47" s="2844"/>
      <c r="SZP47" s="2845"/>
      <c r="SZQ47" s="2842"/>
      <c r="SZR47" s="2842"/>
      <c r="SZS47" s="2843"/>
      <c r="SZT47" s="2843"/>
      <c r="SZU47" s="2844"/>
      <c r="SZV47" s="2845"/>
      <c r="SZW47" s="2842"/>
      <c r="SZX47" s="2842"/>
      <c r="SZY47" s="2843"/>
      <c r="SZZ47" s="2843"/>
      <c r="TAA47" s="2844"/>
      <c r="TAB47" s="2845"/>
      <c r="TAC47" s="2842"/>
      <c r="TAD47" s="2842"/>
      <c r="TAE47" s="2843"/>
      <c r="TAF47" s="2843"/>
      <c r="TAG47" s="2844"/>
      <c r="TAH47" s="2845"/>
      <c r="TAI47" s="2842"/>
      <c r="TAJ47" s="2842"/>
      <c r="TAK47" s="2843"/>
      <c r="TAL47" s="2843"/>
      <c r="TAM47" s="2844"/>
      <c r="TAN47" s="2845"/>
      <c r="TAO47" s="2842"/>
      <c r="TAP47" s="2842"/>
      <c r="TAQ47" s="2843"/>
      <c r="TAR47" s="2843"/>
      <c r="TAS47" s="2844"/>
      <c r="TAT47" s="2845"/>
      <c r="TAU47" s="2842"/>
      <c r="TAV47" s="2842"/>
      <c r="TAW47" s="2843"/>
      <c r="TAX47" s="2843"/>
      <c r="TAY47" s="2844"/>
      <c r="TAZ47" s="2845"/>
      <c r="TBA47" s="2842"/>
      <c r="TBB47" s="2842"/>
      <c r="TBC47" s="2843"/>
      <c r="TBD47" s="2843"/>
      <c r="TBE47" s="2844"/>
      <c r="TBF47" s="2845"/>
      <c r="TBG47" s="2842"/>
      <c r="TBH47" s="2842"/>
      <c r="TBI47" s="2843"/>
      <c r="TBJ47" s="2843"/>
      <c r="TBK47" s="2844"/>
      <c r="TBL47" s="2845"/>
      <c r="TBM47" s="2842"/>
      <c r="TBN47" s="2842"/>
      <c r="TBO47" s="2843"/>
      <c r="TBP47" s="2843"/>
      <c r="TBQ47" s="2844"/>
      <c r="TBR47" s="2845"/>
      <c r="TBS47" s="2842"/>
      <c r="TBT47" s="2842"/>
      <c r="TBU47" s="2843"/>
      <c r="TBV47" s="2843"/>
      <c r="TBW47" s="2844"/>
      <c r="TBX47" s="2845"/>
      <c r="TBY47" s="2842"/>
      <c r="TBZ47" s="2842"/>
      <c r="TCA47" s="2843"/>
      <c r="TCB47" s="2843"/>
      <c r="TCC47" s="2844"/>
      <c r="TCD47" s="2845"/>
      <c r="TCE47" s="2842"/>
      <c r="TCF47" s="2842"/>
      <c r="TCG47" s="2843"/>
      <c r="TCH47" s="2843"/>
      <c r="TCI47" s="2844"/>
      <c r="TCJ47" s="2845"/>
      <c r="TCK47" s="2842"/>
      <c r="TCL47" s="2842"/>
      <c r="TCM47" s="2843"/>
      <c r="TCN47" s="2843"/>
      <c r="TCO47" s="2844"/>
      <c r="TCP47" s="2845"/>
      <c r="TCQ47" s="2842"/>
      <c r="TCR47" s="2842"/>
      <c r="TCS47" s="2843"/>
      <c r="TCT47" s="2843"/>
      <c r="TCU47" s="2844"/>
      <c r="TCV47" s="2845"/>
      <c r="TCW47" s="2842"/>
      <c r="TCX47" s="2842"/>
      <c r="TCY47" s="2843"/>
      <c r="TCZ47" s="2843"/>
      <c r="TDA47" s="2844"/>
      <c r="TDB47" s="2845"/>
      <c r="TDC47" s="2842"/>
      <c r="TDD47" s="2842"/>
      <c r="TDE47" s="2843"/>
      <c r="TDF47" s="2843"/>
      <c r="TDG47" s="2844"/>
      <c r="TDH47" s="2845"/>
      <c r="TDI47" s="2842"/>
      <c r="TDJ47" s="2842"/>
      <c r="TDK47" s="2843"/>
      <c r="TDL47" s="2843"/>
      <c r="TDM47" s="2844"/>
      <c r="TDN47" s="2845"/>
      <c r="TDO47" s="2842"/>
      <c r="TDP47" s="2842"/>
      <c r="TDQ47" s="2843"/>
      <c r="TDR47" s="2843"/>
      <c r="TDS47" s="2844"/>
      <c r="TDT47" s="2845"/>
      <c r="TDU47" s="2842"/>
      <c r="TDV47" s="2842"/>
      <c r="TDW47" s="2843"/>
      <c r="TDX47" s="2843"/>
      <c r="TDY47" s="2844"/>
      <c r="TDZ47" s="2845"/>
      <c r="TEA47" s="2842"/>
      <c r="TEB47" s="2842"/>
      <c r="TEC47" s="2843"/>
      <c r="TED47" s="2843"/>
      <c r="TEE47" s="2844"/>
      <c r="TEF47" s="2845"/>
      <c r="TEG47" s="2842"/>
      <c r="TEH47" s="2842"/>
      <c r="TEI47" s="2843"/>
      <c r="TEJ47" s="2843"/>
      <c r="TEK47" s="2844"/>
      <c r="TEL47" s="2845"/>
      <c r="TEM47" s="2842"/>
      <c r="TEN47" s="2842"/>
      <c r="TEO47" s="2843"/>
      <c r="TEP47" s="2843"/>
      <c r="TEQ47" s="2844"/>
      <c r="TER47" s="2845"/>
      <c r="TES47" s="2842"/>
      <c r="TET47" s="2842"/>
      <c r="TEU47" s="2843"/>
      <c r="TEV47" s="2843"/>
      <c r="TEW47" s="2844"/>
      <c r="TEX47" s="2845"/>
      <c r="TEY47" s="2842"/>
      <c r="TEZ47" s="2842"/>
      <c r="TFA47" s="2843"/>
      <c r="TFB47" s="2843"/>
      <c r="TFC47" s="2844"/>
      <c r="TFD47" s="2845"/>
      <c r="TFE47" s="2842"/>
      <c r="TFF47" s="2842"/>
      <c r="TFG47" s="2843"/>
      <c r="TFH47" s="2843"/>
      <c r="TFI47" s="2844"/>
      <c r="TFJ47" s="2845"/>
      <c r="TFK47" s="2842"/>
      <c r="TFL47" s="2842"/>
      <c r="TFM47" s="2843"/>
      <c r="TFN47" s="2843"/>
      <c r="TFO47" s="2844"/>
      <c r="TFP47" s="2845"/>
      <c r="TFQ47" s="2842"/>
      <c r="TFR47" s="2842"/>
      <c r="TFS47" s="2843"/>
      <c r="TFT47" s="2843"/>
      <c r="TFU47" s="2844"/>
      <c r="TFV47" s="2845"/>
      <c r="TFW47" s="2842"/>
      <c r="TFX47" s="2842"/>
      <c r="TFY47" s="2843"/>
      <c r="TFZ47" s="2843"/>
      <c r="TGA47" s="2844"/>
      <c r="TGB47" s="2845"/>
      <c r="TGC47" s="2842"/>
      <c r="TGD47" s="2842"/>
      <c r="TGE47" s="2843"/>
      <c r="TGF47" s="2843"/>
      <c r="TGG47" s="2844"/>
      <c r="TGH47" s="2845"/>
      <c r="TGI47" s="2842"/>
      <c r="TGJ47" s="2842"/>
      <c r="TGK47" s="2843"/>
      <c r="TGL47" s="2843"/>
      <c r="TGM47" s="2844"/>
      <c r="TGN47" s="2845"/>
      <c r="TGO47" s="2842"/>
      <c r="TGP47" s="2842"/>
      <c r="TGQ47" s="2843"/>
      <c r="TGR47" s="2843"/>
      <c r="TGS47" s="2844"/>
      <c r="TGT47" s="2845"/>
      <c r="TGU47" s="2842"/>
      <c r="TGV47" s="2842"/>
      <c r="TGW47" s="2843"/>
      <c r="TGX47" s="2843"/>
      <c r="TGY47" s="2844"/>
      <c r="TGZ47" s="2845"/>
      <c r="THA47" s="2842"/>
      <c r="THB47" s="2842"/>
      <c r="THC47" s="2843"/>
      <c r="THD47" s="2843"/>
      <c r="THE47" s="2844"/>
      <c r="THF47" s="2845"/>
      <c r="THG47" s="2842"/>
      <c r="THH47" s="2842"/>
      <c r="THI47" s="2843"/>
      <c r="THJ47" s="2843"/>
      <c r="THK47" s="2844"/>
      <c r="THL47" s="2845"/>
      <c r="THM47" s="2842"/>
      <c r="THN47" s="2842"/>
      <c r="THO47" s="2843"/>
      <c r="THP47" s="2843"/>
      <c r="THQ47" s="2844"/>
      <c r="THR47" s="2845"/>
      <c r="THS47" s="2842"/>
      <c r="THT47" s="2842"/>
      <c r="THU47" s="2843"/>
      <c r="THV47" s="2843"/>
      <c r="THW47" s="2844"/>
      <c r="THX47" s="2845"/>
      <c r="THY47" s="2842"/>
      <c r="THZ47" s="2842"/>
      <c r="TIA47" s="2843"/>
      <c r="TIB47" s="2843"/>
      <c r="TIC47" s="2844"/>
      <c r="TID47" s="2845"/>
      <c r="TIE47" s="2842"/>
      <c r="TIF47" s="2842"/>
      <c r="TIG47" s="2843"/>
      <c r="TIH47" s="2843"/>
      <c r="TII47" s="2844"/>
      <c r="TIJ47" s="2845"/>
      <c r="TIK47" s="2842"/>
      <c r="TIL47" s="2842"/>
      <c r="TIM47" s="2843"/>
      <c r="TIN47" s="2843"/>
      <c r="TIO47" s="2844"/>
      <c r="TIP47" s="2845"/>
      <c r="TIQ47" s="2842"/>
      <c r="TIR47" s="2842"/>
      <c r="TIS47" s="2843"/>
      <c r="TIT47" s="2843"/>
      <c r="TIU47" s="2844"/>
      <c r="TIV47" s="2845"/>
      <c r="TIW47" s="2842"/>
      <c r="TIX47" s="2842"/>
      <c r="TIY47" s="2843"/>
      <c r="TIZ47" s="2843"/>
      <c r="TJA47" s="2844"/>
      <c r="TJB47" s="2845"/>
      <c r="TJC47" s="2842"/>
      <c r="TJD47" s="2842"/>
      <c r="TJE47" s="2843"/>
      <c r="TJF47" s="2843"/>
      <c r="TJG47" s="2844"/>
      <c r="TJH47" s="2845"/>
      <c r="TJI47" s="2842"/>
      <c r="TJJ47" s="2842"/>
      <c r="TJK47" s="2843"/>
      <c r="TJL47" s="2843"/>
      <c r="TJM47" s="2844"/>
      <c r="TJN47" s="2845"/>
      <c r="TJO47" s="2842"/>
      <c r="TJP47" s="2842"/>
      <c r="TJQ47" s="2843"/>
      <c r="TJR47" s="2843"/>
      <c r="TJS47" s="2844"/>
      <c r="TJT47" s="2845"/>
      <c r="TJU47" s="2842"/>
      <c r="TJV47" s="2842"/>
      <c r="TJW47" s="2843"/>
      <c r="TJX47" s="2843"/>
      <c r="TJY47" s="2844"/>
      <c r="TJZ47" s="2845"/>
      <c r="TKA47" s="2842"/>
      <c r="TKB47" s="2842"/>
      <c r="TKC47" s="2843"/>
      <c r="TKD47" s="2843"/>
      <c r="TKE47" s="2844"/>
      <c r="TKF47" s="2845"/>
      <c r="TKG47" s="2842"/>
      <c r="TKH47" s="2842"/>
      <c r="TKI47" s="2843"/>
      <c r="TKJ47" s="2843"/>
      <c r="TKK47" s="2844"/>
      <c r="TKL47" s="2845"/>
      <c r="TKM47" s="2842"/>
      <c r="TKN47" s="2842"/>
      <c r="TKO47" s="2843"/>
      <c r="TKP47" s="2843"/>
      <c r="TKQ47" s="2844"/>
      <c r="TKR47" s="2845"/>
      <c r="TKS47" s="2842"/>
      <c r="TKT47" s="2842"/>
      <c r="TKU47" s="2843"/>
      <c r="TKV47" s="2843"/>
      <c r="TKW47" s="2844"/>
      <c r="TKX47" s="2845"/>
      <c r="TKY47" s="2842"/>
      <c r="TKZ47" s="2842"/>
      <c r="TLA47" s="2843"/>
      <c r="TLB47" s="2843"/>
      <c r="TLC47" s="2844"/>
      <c r="TLD47" s="2845"/>
      <c r="TLE47" s="2842"/>
      <c r="TLF47" s="2842"/>
      <c r="TLG47" s="2843"/>
      <c r="TLH47" s="2843"/>
      <c r="TLI47" s="2844"/>
      <c r="TLJ47" s="2845"/>
      <c r="TLK47" s="2842"/>
      <c r="TLL47" s="2842"/>
      <c r="TLM47" s="2843"/>
      <c r="TLN47" s="2843"/>
      <c r="TLO47" s="2844"/>
      <c r="TLP47" s="2845"/>
      <c r="TLQ47" s="2842"/>
      <c r="TLR47" s="2842"/>
      <c r="TLS47" s="2843"/>
      <c r="TLT47" s="2843"/>
      <c r="TLU47" s="2844"/>
      <c r="TLV47" s="2845"/>
      <c r="TLW47" s="2842"/>
      <c r="TLX47" s="2842"/>
      <c r="TLY47" s="2843"/>
      <c r="TLZ47" s="2843"/>
      <c r="TMA47" s="2844"/>
      <c r="TMB47" s="2845"/>
      <c r="TMC47" s="2842"/>
      <c r="TMD47" s="2842"/>
      <c r="TME47" s="2843"/>
      <c r="TMF47" s="2843"/>
      <c r="TMG47" s="2844"/>
      <c r="TMH47" s="2845"/>
      <c r="TMI47" s="2842"/>
      <c r="TMJ47" s="2842"/>
      <c r="TMK47" s="2843"/>
      <c r="TML47" s="2843"/>
      <c r="TMM47" s="2844"/>
      <c r="TMN47" s="2845"/>
      <c r="TMO47" s="2842"/>
      <c r="TMP47" s="2842"/>
      <c r="TMQ47" s="2843"/>
      <c r="TMR47" s="2843"/>
      <c r="TMS47" s="2844"/>
      <c r="TMT47" s="2845"/>
      <c r="TMU47" s="2842"/>
      <c r="TMV47" s="2842"/>
      <c r="TMW47" s="2843"/>
      <c r="TMX47" s="2843"/>
      <c r="TMY47" s="2844"/>
      <c r="TMZ47" s="2845"/>
      <c r="TNA47" s="2842"/>
      <c r="TNB47" s="2842"/>
      <c r="TNC47" s="2843"/>
      <c r="TND47" s="2843"/>
      <c r="TNE47" s="2844"/>
      <c r="TNF47" s="2845"/>
      <c r="TNG47" s="2842"/>
      <c r="TNH47" s="2842"/>
      <c r="TNI47" s="2843"/>
      <c r="TNJ47" s="2843"/>
      <c r="TNK47" s="2844"/>
      <c r="TNL47" s="2845"/>
      <c r="TNM47" s="2842"/>
      <c r="TNN47" s="2842"/>
      <c r="TNO47" s="2843"/>
      <c r="TNP47" s="2843"/>
      <c r="TNQ47" s="2844"/>
      <c r="TNR47" s="2845"/>
      <c r="TNS47" s="2842"/>
      <c r="TNT47" s="2842"/>
      <c r="TNU47" s="2843"/>
      <c r="TNV47" s="2843"/>
      <c r="TNW47" s="2844"/>
      <c r="TNX47" s="2845"/>
      <c r="TNY47" s="2842"/>
      <c r="TNZ47" s="2842"/>
      <c r="TOA47" s="2843"/>
      <c r="TOB47" s="2843"/>
      <c r="TOC47" s="2844"/>
      <c r="TOD47" s="2845"/>
      <c r="TOE47" s="2842"/>
      <c r="TOF47" s="2842"/>
      <c r="TOG47" s="2843"/>
      <c r="TOH47" s="2843"/>
      <c r="TOI47" s="2844"/>
      <c r="TOJ47" s="2845"/>
      <c r="TOK47" s="2842"/>
      <c r="TOL47" s="2842"/>
      <c r="TOM47" s="2843"/>
      <c r="TON47" s="2843"/>
      <c r="TOO47" s="2844"/>
      <c r="TOP47" s="2845"/>
      <c r="TOQ47" s="2842"/>
      <c r="TOR47" s="2842"/>
      <c r="TOS47" s="2843"/>
      <c r="TOT47" s="2843"/>
      <c r="TOU47" s="2844"/>
      <c r="TOV47" s="2845"/>
      <c r="TOW47" s="2842"/>
      <c r="TOX47" s="2842"/>
      <c r="TOY47" s="2843"/>
      <c r="TOZ47" s="2843"/>
      <c r="TPA47" s="2844"/>
      <c r="TPB47" s="2845"/>
      <c r="TPC47" s="2842"/>
      <c r="TPD47" s="2842"/>
      <c r="TPE47" s="2843"/>
      <c r="TPF47" s="2843"/>
      <c r="TPG47" s="2844"/>
      <c r="TPH47" s="2845"/>
      <c r="TPI47" s="2842"/>
      <c r="TPJ47" s="2842"/>
      <c r="TPK47" s="2843"/>
      <c r="TPL47" s="2843"/>
      <c r="TPM47" s="2844"/>
      <c r="TPN47" s="2845"/>
      <c r="TPO47" s="2842"/>
      <c r="TPP47" s="2842"/>
      <c r="TPQ47" s="2843"/>
      <c r="TPR47" s="2843"/>
      <c r="TPS47" s="2844"/>
      <c r="TPT47" s="2845"/>
      <c r="TPU47" s="2842"/>
      <c r="TPV47" s="2842"/>
      <c r="TPW47" s="2843"/>
      <c r="TPX47" s="2843"/>
      <c r="TPY47" s="2844"/>
      <c r="TPZ47" s="2845"/>
      <c r="TQA47" s="2842"/>
      <c r="TQB47" s="2842"/>
      <c r="TQC47" s="2843"/>
      <c r="TQD47" s="2843"/>
      <c r="TQE47" s="2844"/>
      <c r="TQF47" s="2845"/>
      <c r="TQG47" s="2842"/>
      <c r="TQH47" s="2842"/>
      <c r="TQI47" s="2843"/>
      <c r="TQJ47" s="2843"/>
      <c r="TQK47" s="2844"/>
      <c r="TQL47" s="2845"/>
      <c r="TQM47" s="2842"/>
      <c r="TQN47" s="2842"/>
      <c r="TQO47" s="2843"/>
      <c r="TQP47" s="2843"/>
      <c r="TQQ47" s="2844"/>
      <c r="TQR47" s="2845"/>
      <c r="TQS47" s="2842"/>
      <c r="TQT47" s="2842"/>
      <c r="TQU47" s="2843"/>
      <c r="TQV47" s="2843"/>
      <c r="TQW47" s="2844"/>
      <c r="TQX47" s="2845"/>
      <c r="TQY47" s="2842"/>
      <c r="TQZ47" s="2842"/>
      <c r="TRA47" s="2843"/>
      <c r="TRB47" s="2843"/>
      <c r="TRC47" s="2844"/>
      <c r="TRD47" s="2845"/>
      <c r="TRE47" s="2842"/>
      <c r="TRF47" s="2842"/>
      <c r="TRG47" s="2843"/>
      <c r="TRH47" s="2843"/>
      <c r="TRI47" s="2844"/>
      <c r="TRJ47" s="2845"/>
      <c r="TRK47" s="2842"/>
      <c r="TRL47" s="2842"/>
      <c r="TRM47" s="2843"/>
      <c r="TRN47" s="2843"/>
      <c r="TRO47" s="2844"/>
      <c r="TRP47" s="2845"/>
      <c r="TRQ47" s="2842"/>
      <c r="TRR47" s="2842"/>
      <c r="TRS47" s="2843"/>
      <c r="TRT47" s="2843"/>
      <c r="TRU47" s="2844"/>
      <c r="TRV47" s="2845"/>
      <c r="TRW47" s="2842"/>
      <c r="TRX47" s="2842"/>
      <c r="TRY47" s="2843"/>
      <c r="TRZ47" s="2843"/>
      <c r="TSA47" s="2844"/>
      <c r="TSB47" s="2845"/>
      <c r="TSC47" s="2842"/>
      <c r="TSD47" s="2842"/>
      <c r="TSE47" s="2843"/>
      <c r="TSF47" s="2843"/>
      <c r="TSG47" s="2844"/>
      <c r="TSH47" s="2845"/>
      <c r="TSI47" s="2842"/>
      <c r="TSJ47" s="2842"/>
      <c r="TSK47" s="2843"/>
      <c r="TSL47" s="2843"/>
      <c r="TSM47" s="2844"/>
      <c r="TSN47" s="2845"/>
      <c r="TSO47" s="2842"/>
      <c r="TSP47" s="2842"/>
      <c r="TSQ47" s="2843"/>
      <c r="TSR47" s="2843"/>
      <c r="TSS47" s="2844"/>
      <c r="TST47" s="2845"/>
      <c r="TSU47" s="2842"/>
      <c r="TSV47" s="2842"/>
      <c r="TSW47" s="2843"/>
      <c r="TSX47" s="2843"/>
      <c r="TSY47" s="2844"/>
      <c r="TSZ47" s="2845"/>
      <c r="TTA47" s="2842"/>
      <c r="TTB47" s="2842"/>
      <c r="TTC47" s="2843"/>
      <c r="TTD47" s="2843"/>
      <c r="TTE47" s="2844"/>
      <c r="TTF47" s="2845"/>
      <c r="TTG47" s="2842"/>
      <c r="TTH47" s="2842"/>
      <c r="TTI47" s="2843"/>
      <c r="TTJ47" s="2843"/>
      <c r="TTK47" s="2844"/>
      <c r="TTL47" s="2845"/>
      <c r="TTM47" s="2842"/>
      <c r="TTN47" s="2842"/>
      <c r="TTO47" s="2843"/>
      <c r="TTP47" s="2843"/>
      <c r="TTQ47" s="2844"/>
      <c r="TTR47" s="2845"/>
      <c r="TTS47" s="2842"/>
      <c r="TTT47" s="2842"/>
      <c r="TTU47" s="2843"/>
      <c r="TTV47" s="2843"/>
      <c r="TTW47" s="2844"/>
      <c r="TTX47" s="2845"/>
      <c r="TTY47" s="2842"/>
      <c r="TTZ47" s="2842"/>
      <c r="TUA47" s="2843"/>
      <c r="TUB47" s="2843"/>
      <c r="TUC47" s="2844"/>
      <c r="TUD47" s="2845"/>
      <c r="TUE47" s="2842"/>
      <c r="TUF47" s="2842"/>
      <c r="TUG47" s="2843"/>
      <c r="TUH47" s="2843"/>
      <c r="TUI47" s="2844"/>
      <c r="TUJ47" s="2845"/>
      <c r="TUK47" s="2842"/>
      <c r="TUL47" s="2842"/>
      <c r="TUM47" s="2843"/>
      <c r="TUN47" s="2843"/>
      <c r="TUO47" s="2844"/>
      <c r="TUP47" s="2845"/>
      <c r="TUQ47" s="2842"/>
      <c r="TUR47" s="2842"/>
      <c r="TUS47" s="2843"/>
      <c r="TUT47" s="2843"/>
      <c r="TUU47" s="2844"/>
      <c r="TUV47" s="2845"/>
      <c r="TUW47" s="2842"/>
      <c r="TUX47" s="2842"/>
      <c r="TUY47" s="2843"/>
      <c r="TUZ47" s="2843"/>
      <c r="TVA47" s="2844"/>
      <c r="TVB47" s="2845"/>
      <c r="TVC47" s="2842"/>
      <c r="TVD47" s="2842"/>
      <c r="TVE47" s="2843"/>
      <c r="TVF47" s="2843"/>
      <c r="TVG47" s="2844"/>
      <c r="TVH47" s="2845"/>
      <c r="TVI47" s="2842"/>
      <c r="TVJ47" s="2842"/>
      <c r="TVK47" s="2843"/>
      <c r="TVL47" s="2843"/>
      <c r="TVM47" s="2844"/>
      <c r="TVN47" s="2845"/>
      <c r="TVO47" s="2842"/>
      <c r="TVP47" s="2842"/>
      <c r="TVQ47" s="2843"/>
      <c r="TVR47" s="2843"/>
      <c r="TVS47" s="2844"/>
      <c r="TVT47" s="2845"/>
      <c r="TVU47" s="2842"/>
      <c r="TVV47" s="2842"/>
      <c r="TVW47" s="2843"/>
      <c r="TVX47" s="2843"/>
      <c r="TVY47" s="2844"/>
      <c r="TVZ47" s="2845"/>
      <c r="TWA47" s="2842"/>
      <c r="TWB47" s="2842"/>
      <c r="TWC47" s="2843"/>
      <c r="TWD47" s="2843"/>
      <c r="TWE47" s="2844"/>
      <c r="TWF47" s="2845"/>
      <c r="TWG47" s="2842"/>
      <c r="TWH47" s="2842"/>
      <c r="TWI47" s="2843"/>
      <c r="TWJ47" s="2843"/>
      <c r="TWK47" s="2844"/>
      <c r="TWL47" s="2845"/>
      <c r="TWM47" s="2842"/>
      <c r="TWN47" s="2842"/>
      <c r="TWO47" s="2843"/>
      <c r="TWP47" s="2843"/>
      <c r="TWQ47" s="2844"/>
      <c r="TWR47" s="2845"/>
      <c r="TWS47" s="2842"/>
      <c r="TWT47" s="2842"/>
      <c r="TWU47" s="2843"/>
      <c r="TWV47" s="2843"/>
      <c r="TWW47" s="2844"/>
      <c r="TWX47" s="2845"/>
      <c r="TWY47" s="2842"/>
      <c r="TWZ47" s="2842"/>
      <c r="TXA47" s="2843"/>
      <c r="TXB47" s="2843"/>
      <c r="TXC47" s="2844"/>
      <c r="TXD47" s="2845"/>
      <c r="TXE47" s="2842"/>
      <c r="TXF47" s="2842"/>
      <c r="TXG47" s="2843"/>
      <c r="TXH47" s="2843"/>
      <c r="TXI47" s="2844"/>
      <c r="TXJ47" s="2845"/>
      <c r="TXK47" s="2842"/>
      <c r="TXL47" s="2842"/>
      <c r="TXM47" s="2843"/>
      <c r="TXN47" s="2843"/>
      <c r="TXO47" s="2844"/>
      <c r="TXP47" s="2845"/>
      <c r="TXQ47" s="2842"/>
      <c r="TXR47" s="2842"/>
      <c r="TXS47" s="2843"/>
      <c r="TXT47" s="2843"/>
      <c r="TXU47" s="2844"/>
      <c r="TXV47" s="2845"/>
      <c r="TXW47" s="2842"/>
      <c r="TXX47" s="2842"/>
      <c r="TXY47" s="2843"/>
      <c r="TXZ47" s="2843"/>
      <c r="TYA47" s="2844"/>
      <c r="TYB47" s="2845"/>
      <c r="TYC47" s="2842"/>
      <c r="TYD47" s="2842"/>
      <c r="TYE47" s="2843"/>
      <c r="TYF47" s="2843"/>
      <c r="TYG47" s="2844"/>
      <c r="TYH47" s="2845"/>
      <c r="TYI47" s="2842"/>
      <c r="TYJ47" s="2842"/>
      <c r="TYK47" s="2843"/>
      <c r="TYL47" s="2843"/>
      <c r="TYM47" s="2844"/>
      <c r="TYN47" s="2845"/>
      <c r="TYO47" s="2842"/>
      <c r="TYP47" s="2842"/>
      <c r="TYQ47" s="2843"/>
      <c r="TYR47" s="2843"/>
      <c r="TYS47" s="2844"/>
      <c r="TYT47" s="2845"/>
      <c r="TYU47" s="2842"/>
      <c r="TYV47" s="2842"/>
      <c r="TYW47" s="2843"/>
      <c r="TYX47" s="2843"/>
      <c r="TYY47" s="2844"/>
      <c r="TYZ47" s="2845"/>
      <c r="TZA47" s="2842"/>
      <c r="TZB47" s="2842"/>
      <c r="TZC47" s="2843"/>
      <c r="TZD47" s="2843"/>
      <c r="TZE47" s="2844"/>
      <c r="TZF47" s="2845"/>
      <c r="TZG47" s="2842"/>
      <c r="TZH47" s="2842"/>
      <c r="TZI47" s="2843"/>
      <c r="TZJ47" s="2843"/>
      <c r="TZK47" s="2844"/>
      <c r="TZL47" s="2845"/>
      <c r="TZM47" s="2842"/>
      <c r="TZN47" s="2842"/>
      <c r="TZO47" s="2843"/>
      <c r="TZP47" s="2843"/>
      <c r="TZQ47" s="2844"/>
      <c r="TZR47" s="2845"/>
      <c r="TZS47" s="2842"/>
      <c r="TZT47" s="2842"/>
      <c r="TZU47" s="2843"/>
      <c r="TZV47" s="2843"/>
      <c r="TZW47" s="2844"/>
      <c r="TZX47" s="2845"/>
      <c r="TZY47" s="2842"/>
      <c r="TZZ47" s="2842"/>
      <c r="UAA47" s="2843"/>
      <c r="UAB47" s="2843"/>
      <c r="UAC47" s="2844"/>
      <c r="UAD47" s="2845"/>
      <c r="UAE47" s="2842"/>
      <c r="UAF47" s="2842"/>
      <c r="UAG47" s="2843"/>
      <c r="UAH47" s="2843"/>
      <c r="UAI47" s="2844"/>
      <c r="UAJ47" s="2845"/>
      <c r="UAK47" s="2842"/>
      <c r="UAL47" s="2842"/>
      <c r="UAM47" s="2843"/>
      <c r="UAN47" s="2843"/>
      <c r="UAO47" s="2844"/>
      <c r="UAP47" s="2845"/>
      <c r="UAQ47" s="2842"/>
      <c r="UAR47" s="2842"/>
      <c r="UAS47" s="2843"/>
      <c r="UAT47" s="2843"/>
      <c r="UAU47" s="2844"/>
      <c r="UAV47" s="2845"/>
      <c r="UAW47" s="2842"/>
      <c r="UAX47" s="2842"/>
      <c r="UAY47" s="2843"/>
      <c r="UAZ47" s="2843"/>
      <c r="UBA47" s="2844"/>
      <c r="UBB47" s="2845"/>
      <c r="UBC47" s="2842"/>
      <c r="UBD47" s="2842"/>
      <c r="UBE47" s="2843"/>
      <c r="UBF47" s="2843"/>
      <c r="UBG47" s="2844"/>
      <c r="UBH47" s="2845"/>
      <c r="UBI47" s="2842"/>
      <c r="UBJ47" s="2842"/>
      <c r="UBK47" s="2843"/>
      <c r="UBL47" s="2843"/>
      <c r="UBM47" s="2844"/>
      <c r="UBN47" s="2845"/>
      <c r="UBO47" s="2842"/>
      <c r="UBP47" s="2842"/>
      <c r="UBQ47" s="2843"/>
      <c r="UBR47" s="2843"/>
      <c r="UBS47" s="2844"/>
      <c r="UBT47" s="2845"/>
      <c r="UBU47" s="2842"/>
      <c r="UBV47" s="2842"/>
      <c r="UBW47" s="2843"/>
      <c r="UBX47" s="2843"/>
      <c r="UBY47" s="2844"/>
      <c r="UBZ47" s="2845"/>
      <c r="UCA47" s="2842"/>
      <c r="UCB47" s="2842"/>
      <c r="UCC47" s="2843"/>
      <c r="UCD47" s="2843"/>
      <c r="UCE47" s="2844"/>
      <c r="UCF47" s="2845"/>
      <c r="UCG47" s="2842"/>
      <c r="UCH47" s="2842"/>
      <c r="UCI47" s="2843"/>
      <c r="UCJ47" s="2843"/>
      <c r="UCK47" s="2844"/>
      <c r="UCL47" s="2845"/>
      <c r="UCM47" s="2842"/>
      <c r="UCN47" s="2842"/>
      <c r="UCO47" s="2843"/>
      <c r="UCP47" s="2843"/>
      <c r="UCQ47" s="2844"/>
      <c r="UCR47" s="2845"/>
      <c r="UCS47" s="2842"/>
      <c r="UCT47" s="2842"/>
      <c r="UCU47" s="2843"/>
      <c r="UCV47" s="2843"/>
      <c r="UCW47" s="2844"/>
      <c r="UCX47" s="2845"/>
      <c r="UCY47" s="2842"/>
      <c r="UCZ47" s="2842"/>
      <c r="UDA47" s="2843"/>
      <c r="UDB47" s="2843"/>
      <c r="UDC47" s="2844"/>
      <c r="UDD47" s="2845"/>
      <c r="UDE47" s="2842"/>
      <c r="UDF47" s="2842"/>
      <c r="UDG47" s="2843"/>
      <c r="UDH47" s="2843"/>
      <c r="UDI47" s="2844"/>
      <c r="UDJ47" s="2845"/>
      <c r="UDK47" s="2842"/>
      <c r="UDL47" s="2842"/>
      <c r="UDM47" s="2843"/>
      <c r="UDN47" s="2843"/>
      <c r="UDO47" s="2844"/>
      <c r="UDP47" s="2845"/>
      <c r="UDQ47" s="2842"/>
      <c r="UDR47" s="2842"/>
      <c r="UDS47" s="2843"/>
      <c r="UDT47" s="2843"/>
      <c r="UDU47" s="2844"/>
      <c r="UDV47" s="2845"/>
      <c r="UDW47" s="2842"/>
      <c r="UDX47" s="2842"/>
      <c r="UDY47" s="2843"/>
      <c r="UDZ47" s="2843"/>
      <c r="UEA47" s="2844"/>
      <c r="UEB47" s="2845"/>
      <c r="UEC47" s="2842"/>
      <c r="UED47" s="2842"/>
      <c r="UEE47" s="2843"/>
      <c r="UEF47" s="2843"/>
      <c r="UEG47" s="2844"/>
      <c r="UEH47" s="2845"/>
      <c r="UEI47" s="2842"/>
      <c r="UEJ47" s="2842"/>
      <c r="UEK47" s="2843"/>
      <c r="UEL47" s="2843"/>
      <c r="UEM47" s="2844"/>
      <c r="UEN47" s="2845"/>
      <c r="UEO47" s="2842"/>
      <c r="UEP47" s="2842"/>
      <c r="UEQ47" s="2843"/>
      <c r="UER47" s="2843"/>
      <c r="UES47" s="2844"/>
      <c r="UET47" s="2845"/>
      <c r="UEU47" s="2842"/>
      <c r="UEV47" s="2842"/>
      <c r="UEW47" s="2843"/>
      <c r="UEX47" s="2843"/>
      <c r="UEY47" s="2844"/>
      <c r="UEZ47" s="2845"/>
      <c r="UFA47" s="2842"/>
      <c r="UFB47" s="2842"/>
      <c r="UFC47" s="2843"/>
      <c r="UFD47" s="2843"/>
      <c r="UFE47" s="2844"/>
      <c r="UFF47" s="2845"/>
      <c r="UFG47" s="2842"/>
      <c r="UFH47" s="2842"/>
      <c r="UFI47" s="2843"/>
      <c r="UFJ47" s="2843"/>
      <c r="UFK47" s="2844"/>
      <c r="UFL47" s="2845"/>
      <c r="UFM47" s="2842"/>
      <c r="UFN47" s="2842"/>
      <c r="UFO47" s="2843"/>
      <c r="UFP47" s="2843"/>
      <c r="UFQ47" s="2844"/>
      <c r="UFR47" s="2845"/>
      <c r="UFS47" s="2842"/>
      <c r="UFT47" s="2842"/>
      <c r="UFU47" s="2843"/>
      <c r="UFV47" s="2843"/>
      <c r="UFW47" s="2844"/>
      <c r="UFX47" s="2845"/>
      <c r="UFY47" s="2842"/>
      <c r="UFZ47" s="2842"/>
      <c r="UGA47" s="2843"/>
      <c r="UGB47" s="2843"/>
      <c r="UGC47" s="2844"/>
      <c r="UGD47" s="2845"/>
      <c r="UGE47" s="2842"/>
      <c r="UGF47" s="2842"/>
      <c r="UGG47" s="2843"/>
      <c r="UGH47" s="2843"/>
      <c r="UGI47" s="2844"/>
      <c r="UGJ47" s="2845"/>
      <c r="UGK47" s="2842"/>
      <c r="UGL47" s="2842"/>
      <c r="UGM47" s="2843"/>
      <c r="UGN47" s="2843"/>
      <c r="UGO47" s="2844"/>
      <c r="UGP47" s="2845"/>
      <c r="UGQ47" s="2842"/>
      <c r="UGR47" s="2842"/>
      <c r="UGS47" s="2843"/>
      <c r="UGT47" s="2843"/>
      <c r="UGU47" s="2844"/>
      <c r="UGV47" s="2845"/>
      <c r="UGW47" s="2842"/>
      <c r="UGX47" s="2842"/>
      <c r="UGY47" s="2843"/>
      <c r="UGZ47" s="2843"/>
      <c r="UHA47" s="2844"/>
      <c r="UHB47" s="2845"/>
      <c r="UHC47" s="2842"/>
      <c r="UHD47" s="2842"/>
      <c r="UHE47" s="2843"/>
      <c r="UHF47" s="2843"/>
      <c r="UHG47" s="2844"/>
      <c r="UHH47" s="2845"/>
      <c r="UHI47" s="2842"/>
      <c r="UHJ47" s="2842"/>
      <c r="UHK47" s="2843"/>
      <c r="UHL47" s="2843"/>
      <c r="UHM47" s="2844"/>
      <c r="UHN47" s="2845"/>
      <c r="UHO47" s="2842"/>
      <c r="UHP47" s="2842"/>
      <c r="UHQ47" s="2843"/>
      <c r="UHR47" s="2843"/>
      <c r="UHS47" s="2844"/>
      <c r="UHT47" s="2845"/>
      <c r="UHU47" s="2842"/>
      <c r="UHV47" s="2842"/>
      <c r="UHW47" s="2843"/>
      <c r="UHX47" s="2843"/>
      <c r="UHY47" s="2844"/>
      <c r="UHZ47" s="2845"/>
      <c r="UIA47" s="2842"/>
      <c r="UIB47" s="2842"/>
      <c r="UIC47" s="2843"/>
      <c r="UID47" s="2843"/>
      <c r="UIE47" s="2844"/>
      <c r="UIF47" s="2845"/>
      <c r="UIG47" s="2842"/>
      <c r="UIH47" s="2842"/>
      <c r="UII47" s="2843"/>
      <c r="UIJ47" s="2843"/>
      <c r="UIK47" s="2844"/>
      <c r="UIL47" s="2845"/>
      <c r="UIM47" s="2842"/>
      <c r="UIN47" s="2842"/>
      <c r="UIO47" s="2843"/>
      <c r="UIP47" s="2843"/>
      <c r="UIQ47" s="2844"/>
      <c r="UIR47" s="2845"/>
      <c r="UIS47" s="2842"/>
      <c r="UIT47" s="2842"/>
      <c r="UIU47" s="2843"/>
      <c r="UIV47" s="2843"/>
      <c r="UIW47" s="2844"/>
      <c r="UIX47" s="2845"/>
      <c r="UIY47" s="2842"/>
      <c r="UIZ47" s="2842"/>
      <c r="UJA47" s="2843"/>
      <c r="UJB47" s="2843"/>
      <c r="UJC47" s="2844"/>
      <c r="UJD47" s="2845"/>
      <c r="UJE47" s="2842"/>
      <c r="UJF47" s="2842"/>
      <c r="UJG47" s="2843"/>
      <c r="UJH47" s="2843"/>
      <c r="UJI47" s="2844"/>
      <c r="UJJ47" s="2845"/>
      <c r="UJK47" s="2842"/>
      <c r="UJL47" s="2842"/>
      <c r="UJM47" s="2843"/>
      <c r="UJN47" s="2843"/>
      <c r="UJO47" s="2844"/>
      <c r="UJP47" s="2845"/>
      <c r="UJQ47" s="2842"/>
      <c r="UJR47" s="2842"/>
      <c r="UJS47" s="2843"/>
      <c r="UJT47" s="2843"/>
      <c r="UJU47" s="2844"/>
      <c r="UJV47" s="2845"/>
      <c r="UJW47" s="2842"/>
      <c r="UJX47" s="2842"/>
      <c r="UJY47" s="2843"/>
      <c r="UJZ47" s="2843"/>
      <c r="UKA47" s="2844"/>
      <c r="UKB47" s="2845"/>
      <c r="UKC47" s="2842"/>
      <c r="UKD47" s="2842"/>
      <c r="UKE47" s="2843"/>
      <c r="UKF47" s="2843"/>
      <c r="UKG47" s="2844"/>
      <c r="UKH47" s="2845"/>
      <c r="UKI47" s="2842"/>
      <c r="UKJ47" s="2842"/>
      <c r="UKK47" s="2843"/>
      <c r="UKL47" s="2843"/>
      <c r="UKM47" s="2844"/>
      <c r="UKN47" s="2845"/>
      <c r="UKO47" s="2842"/>
      <c r="UKP47" s="2842"/>
      <c r="UKQ47" s="2843"/>
      <c r="UKR47" s="2843"/>
      <c r="UKS47" s="2844"/>
      <c r="UKT47" s="2845"/>
      <c r="UKU47" s="2842"/>
      <c r="UKV47" s="2842"/>
      <c r="UKW47" s="2843"/>
      <c r="UKX47" s="2843"/>
      <c r="UKY47" s="2844"/>
      <c r="UKZ47" s="2845"/>
      <c r="ULA47" s="2842"/>
      <c r="ULB47" s="2842"/>
      <c r="ULC47" s="2843"/>
      <c r="ULD47" s="2843"/>
      <c r="ULE47" s="2844"/>
      <c r="ULF47" s="2845"/>
      <c r="ULG47" s="2842"/>
      <c r="ULH47" s="2842"/>
      <c r="ULI47" s="2843"/>
      <c r="ULJ47" s="2843"/>
      <c r="ULK47" s="2844"/>
      <c r="ULL47" s="2845"/>
      <c r="ULM47" s="2842"/>
      <c r="ULN47" s="2842"/>
      <c r="ULO47" s="2843"/>
      <c r="ULP47" s="2843"/>
      <c r="ULQ47" s="2844"/>
      <c r="ULR47" s="2845"/>
      <c r="ULS47" s="2842"/>
      <c r="ULT47" s="2842"/>
      <c r="ULU47" s="2843"/>
      <c r="ULV47" s="2843"/>
      <c r="ULW47" s="2844"/>
      <c r="ULX47" s="2845"/>
      <c r="ULY47" s="2842"/>
      <c r="ULZ47" s="2842"/>
      <c r="UMA47" s="2843"/>
      <c r="UMB47" s="2843"/>
      <c r="UMC47" s="2844"/>
      <c r="UMD47" s="2845"/>
      <c r="UME47" s="2842"/>
      <c r="UMF47" s="2842"/>
      <c r="UMG47" s="2843"/>
      <c r="UMH47" s="2843"/>
      <c r="UMI47" s="2844"/>
      <c r="UMJ47" s="2845"/>
      <c r="UMK47" s="2842"/>
      <c r="UML47" s="2842"/>
      <c r="UMM47" s="2843"/>
      <c r="UMN47" s="2843"/>
      <c r="UMO47" s="2844"/>
      <c r="UMP47" s="2845"/>
      <c r="UMQ47" s="2842"/>
      <c r="UMR47" s="2842"/>
      <c r="UMS47" s="2843"/>
      <c r="UMT47" s="2843"/>
      <c r="UMU47" s="2844"/>
      <c r="UMV47" s="2845"/>
      <c r="UMW47" s="2842"/>
      <c r="UMX47" s="2842"/>
      <c r="UMY47" s="2843"/>
      <c r="UMZ47" s="2843"/>
      <c r="UNA47" s="2844"/>
      <c r="UNB47" s="2845"/>
      <c r="UNC47" s="2842"/>
      <c r="UND47" s="2842"/>
      <c r="UNE47" s="2843"/>
      <c r="UNF47" s="2843"/>
      <c r="UNG47" s="2844"/>
      <c r="UNH47" s="2845"/>
      <c r="UNI47" s="2842"/>
      <c r="UNJ47" s="2842"/>
      <c r="UNK47" s="2843"/>
      <c r="UNL47" s="2843"/>
      <c r="UNM47" s="2844"/>
      <c r="UNN47" s="2845"/>
      <c r="UNO47" s="2842"/>
      <c r="UNP47" s="2842"/>
      <c r="UNQ47" s="2843"/>
      <c r="UNR47" s="2843"/>
      <c r="UNS47" s="2844"/>
      <c r="UNT47" s="2845"/>
      <c r="UNU47" s="2842"/>
      <c r="UNV47" s="2842"/>
      <c r="UNW47" s="2843"/>
      <c r="UNX47" s="2843"/>
      <c r="UNY47" s="2844"/>
      <c r="UNZ47" s="2845"/>
      <c r="UOA47" s="2842"/>
      <c r="UOB47" s="2842"/>
      <c r="UOC47" s="2843"/>
      <c r="UOD47" s="2843"/>
      <c r="UOE47" s="2844"/>
      <c r="UOF47" s="2845"/>
      <c r="UOG47" s="2842"/>
      <c r="UOH47" s="2842"/>
      <c r="UOI47" s="2843"/>
      <c r="UOJ47" s="2843"/>
      <c r="UOK47" s="2844"/>
      <c r="UOL47" s="2845"/>
      <c r="UOM47" s="2842"/>
      <c r="UON47" s="2842"/>
      <c r="UOO47" s="2843"/>
      <c r="UOP47" s="2843"/>
      <c r="UOQ47" s="2844"/>
      <c r="UOR47" s="2845"/>
      <c r="UOS47" s="2842"/>
      <c r="UOT47" s="2842"/>
      <c r="UOU47" s="2843"/>
      <c r="UOV47" s="2843"/>
      <c r="UOW47" s="2844"/>
      <c r="UOX47" s="2845"/>
      <c r="UOY47" s="2842"/>
      <c r="UOZ47" s="2842"/>
      <c r="UPA47" s="2843"/>
      <c r="UPB47" s="2843"/>
      <c r="UPC47" s="2844"/>
      <c r="UPD47" s="2845"/>
      <c r="UPE47" s="2842"/>
      <c r="UPF47" s="2842"/>
      <c r="UPG47" s="2843"/>
      <c r="UPH47" s="2843"/>
      <c r="UPI47" s="2844"/>
      <c r="UPJ47" s="2845"/>
      <c r="UPK47" s="2842"/>
      <c r="UPL47" s="2842"/>
      <c r="UPM47" s="2843"/>
      <c r="UPN47" s="2843"/>
      <c r="UPO47" s="2844"/>
      <c r="UPP47" s="2845"/>
      <c r="UPQ47" s="2842"/>
      <c r="UPR47" s="2842"/>
      <c r="UPS47" s="2843"/>
      <c r="UPT47" s="2843"/>
      <c r="UPU47" s="2844"/>
      <c r="UPV47" s="2845"/>
      <c r="UPW47" s="2842"/>
      <c r="UPX47" s="2842"/>
      <c r="UPY47" s="2843"/>
      <c r="UPZ47" s="2843"/>
      <c r="UQA47" s="2844"/>
      <c r="UQB47" s="2845"/>
      <c r="UQC47" s="2842"/>
      <c r="UQD47" s="2842"/>
      <c r="UQE47" s="2843"/>
      <c r="UQF47" s="2843"/>
      <c r="UQG47" s="2844"/>
      <c r="UQH47" s="2845"/>
      <c r="UQI47" s="2842"/>
      <c r="UQJ47" s="2842"/>
      <c r="UQK47" s="2843"/>
      <c r="UQL47" s="2843"/>
      <c r="UQM47" s="2844"/>
      <c r="UQN47" s="2845"/>
      <c r="UQO47" s="2842"/>
      <c r="UQP47" s="2842"/>
      <c r="UQQ47" s="2843"/>
      <c r="UQR47" s="2843"/>
      <c r="UQS47" s="2844"/>
      <c r="UQT47" s="2845"/>
      <c r="UQU47" s="2842"/>
      <c r="UQV47" s="2842"/>
      <c r="UQW47" s="2843"/>
      <c r="UQX47" s="2843"/>
      <c r="UQY47" s="2844"/>
      <c r="UQZ47" s="2845"/>
      <c r="URA47" s="2842"/>
      <c r="URB47" s="2842"/>
      <c r="URC47" s="2843"/>
      <c r="URD47" s="2843"/>
      <c r="URE47" s="2844"/>
      <c r="URF47" s="2845"/>
      <c r="URG47" s="2842"/>
      <c r="URH47" s="2842"/>
      <c r="URI47" s="2843"/>
      <c r="URJ47" s="2843"/>
      <c r="URK47" s="2844"/>
      <c r="URL47" s="2845"/>
      <c r="URM47" s="2842"/>
      <c r="URN47" s="2842"/>
      <c r="URO47" s="2843"/>
      <c r="URP47" s="2843"/>
      <c r="URQ47" s="2844"/>
      <c r="URR47" s="2845"/>
      <c r="URS47" s="2842"/>
      <c r="URT47" s="2842"/>
      <c r="URU47" s="2843"/>
      <c r="URV47" s="2843"/>
      <c r="URW47" s="2844"/>
      <c r="URX47" s="2845"/>
      <c r="URY47" s="2842"/>
      <c r="URZ47" s="2842"/>
      <c r="USA47" s="2843"/>
      <c r="USB47" s="2843"/>
      <c r="USC47" s="2844"/>
      <c r="USD47" s="2845"/>
      <c r="USE47" s="2842"/>
      <c r="USF47" s="2842"/>
      <c r="USG47" s="2843"/>
      <c r="USH47" s="2843"/>
      <c r="USI47" s="2844"/>
      <c r="USJ47" s="2845"/>
      <c r="USK47" s="2842"/>
      <c r="USL47" s="2842"/>
      <c r="USM47" s="2843"/>
      <c r="USN47" s="2843"/>
      <c r="USO47" s="2844"/>
      <c r="USP47" s="2845"/>
      <c r="USQ47" s="2842"/>
      <c r="USR47" s="2842"/>
      <c r="USS47" s="2843"/>
      <c r="UST47" s="2843"/>
      <c r="USU47" s="2844"/>
      <c r="USV47" s="2845"/>
      <c r="USW47" s="2842"/>
      <c r="USX47" s="2842"/>
      <c r="USY47" s="2843"/>
      <c r="USZ47" s="2843"/>
      <c r="UTA47" s="2844"/>
      <c r="UTB47" s="2845"/>
      <c r="UTC47" s="2842"/>
      <c r="UTD47" s="2842"/>
      <c r="UTE47" s="2843"/>
      <c r="UTF47" s="2843"/>
      <c r="UTG47" s="2844"/>
      <c r="UTH47" s="2845"/>
      <c r="UTI47" s="2842"/>
      <c r="UTJ47" s="2842"/>
      <c r="UTK47" s="2843"/>
      <c r="UTL47" s="2843"/>
      <c r="UTM47" s="2844"/>
      <c r="UTN47" s="2845"/>
      <c r="UTO47" s="2842"/>
      <c r="UTP47" s="2842"/>
      <c r="UTQ47" s="2843"/>
      <c r="UTR47" s="2843"/>
      <c r="UTS47" s="2844"/>
      <c r="UTT47" s="2845"/>
      <c r="UTU47" s="2842"/>
      <c r="UTV47" s="2842"/>
      <c r="UTW47" s="2843"/>
      <c r="UTX47" s="2843"/>
      <c r="UTY47" s="2844"/>
      <c r="UTZ47" s="2845"/>
      <c r="UUA47" s="2842"/>
      <c r="UUB47" s="2842"/>
      <c r="UUC47" s="2843"/>
      <c r="UUD47" s="2843"/>
      <c r="UUE47" s="2844"/>
      <c r="UUF47" s="2845"/>
      <c r="UUG47" s="2842"/>
      <c r="UUH47" s="2842"/>
      <c r="UUI47" s="2843"/>
      <c r="UUJ47" s="2843"/>
      <c r="UUK47" s="2844"/>
      <c r="UUL47" s="2845"/>
      <c r="UUM47" s="2842"/>
      <c r="UUN47" s="2842"/>
      <c r="UUO47" s="2843"/>
      <c r="UUP47" s="2843"/>
      <c r="UUQ47" s="2844"/>
      <c r="UUR47" s="2845"/>
      <c r="UUS47" s="2842"/>
      <c r="UUT47" s="2842"/>
      <c r="UUU47" s="2843"/>
      <c r="UUV47" s="2843"/>
      <c r="UUW47" s="2844"/>
      <c r="UUX47" s="2845"/>
      <c r="UUY47" s="2842"/>
      <c r="UUZ47" s="2842"/>
      <c r="UVA47" s="2843"/>
      <c r="UVB47" s="2843"/>
      <c r="UVC47" s="2844"/>
      <c r="UVD47" s="2845"/>
      <c r="UVE47" s="2842"/>
      <c r="UVF47" s="2842"/>
      <c r="UVG47" s="2843"/>
      <c r="UVH47" s="2843"/>
      <c r="UVI47" s="2844"/>
      <c r="UVJ47" s="2845"/>
      <c r="UVK47" s="2842"/>
      <c r="UVL47" s="2842"/>
      <c r="UVM47" s="2843"/>
      <c r="UVN47" s="2843"/>
      <c r="UVO47" s="2844"/>
      <c r="UVP47" s="2845"/>
      <c r="UVQ47" s="2842"/>
      <c r="UVR47" s="2842"/>
      <c r="UVS47" s="2843"/>
      <c r="UVT47" s="2843"/>
      <c r="UVU47" s="2844"/>
      <c r="UVV47" s="2845"/>
      <c r="UVW47" s="2842"/>
      <c r="UVX47" s="2842"/>
      <c r="UVY47" s="2843"/>
      <c r="UVZ47" s="2843"/>
      <c r="UWA47" s="2844"/>
      <c r="UWB47" s="2845"/>
      <c r="UWC47" s="2842"/>
      <c r="UWD47" s="2842"/>
      <c r="UWE47" s="2843"/>
      <c r="UWF47" s="2843"/>
      <c r="UWG47" s="2844"/>
      <c r="UWH47" s="2845"/>
      <c r="UWI47" s="2842"/>
      <c r="UWJ47" s="2842"/>
      <c r="UWK47" s="2843"/>
      <c r="UWL47" s="2843"/>
      <c r="UWM47" s="2844"/>
      <c r="UWN47" s="2845"/>
      <c r="UWO47" s="2842"/>
      <c r="UWP47" s="2842"/>
      <c r="UWQ47" s="2843"/>
      <c r="UWR47" s="2843"/>
      <c r="UWS47" s="2844"/>
      <c r="UWT47" s="2845"/>
      <c r="UWU47" s="2842"/>
      <c r="UWV47" s="2842"/>
      <c r="UWW47" s="2843"/>
      <c r="UWX47" s="2843"/>
      <c r="UWY47" s="2844"/>
      <c r="UWZ47" s="2845"/>
      <c r="UXA47" s="2842"/>
      <c r="UXB47" s="2842"/>
      <c r="UXC47" s="2843"/>
      <c r="UXD47" s="2843"/>
      <c r="UXE47" s="2844"/>
      <c r="UXF47" s="2845"/>
      <c r="UXG47" s="2842"/>
      <c r="UXH47" s="2842"/>
      <c r="UXI47" s="2843"/>
      <c r="UXJ47" s="2843"/>
      <c r="UXK47" s="2844"/>
      <c r="UXL47" s="2845"/>
      <c r="UXM47" s="2842"/>
      <c r="UXN47" s="2842"/>
      <c r="UXO47" s="2843"/>
      <c r="UXP47" s="2843"/>
      <c r="UXQ47" s="2844"/>
      <c r="UXR47" s="2845"/>
      <c r="UXS47" s="2842"/>
      <c r="UXT47" s="2842"/>
      <c r="UXU47" s="2843"/>
      <c r="UXV47" s="2843"/>
      <c r="UXW47" s="2844"/>
      <c r="UXX47" s="2845"/>
      <c r="UXY47" s="2842"/>
      <c r="UXZ47" s="2842"/>
      <c r="UYA47" s="2843"/>
      <c r="UYB47" s="2843"/>
      <c r="UYC47" s="2844"/>
      <c r="UYD47" s="2845"/>
      <c r="UYE47" s="2842"/>
      <c r="UYF47" s="2842"/>
      <c r="UYG47" s="2843"/>
      <c r="UYH47" s="2843"/>
      <c r="UYI47" s="2844"/>
      <c r="UYJ47" s="2845"/>
      <c r="UYK47" s="2842"/>
      <c r="UYL47" s="2842"/>
      <c r="UYM47" s="2843"/>
      <c r="UYN47" s="2843"/>
      <c r="UYO47" s="2844"/>
      <c r="UYP47" s="2845"/>
      <c r="UYQ47" s="2842"/>
      <c r="UYR47" s="2842"/>
      <c r="UYS47" s="2843"/>
      <c r="UYT47" s="2843"/>
      <c r="UYU47" s="2844"/>
      <c r="UYV47" s="2845"/>
      <c r="UYW47" s="2842"/>
      <c r="UYX47" s="2842"/>
      <c r="UYY47" s="2843"/>
      <c r="UYZ47" s="2843"/>
      <c r="UZA47" s="2844"/>
      <c r="UZB47" s="2845"/>
      <c r="UZC47" s="2842"/>
      <c r="UZD47" s="2842"/>
      <c r="UZE47" s="2843"/>
      <c r="UZF47" s="2843"/>
      <c r="UZG47" s="2844"/>
      <c r="UZH47" s="2845"/>
      <c r="UZI47" s="2842"/>
      <c r="UZJ47" s="2842"/>
      <c r="UZK47" s="2843"/>
      <c r="UZL47" s="2843"/>
      <c r="UZM47" s="2844"/>
      <c r="UZN47" s="2845"/>
      <c r="UZO47" s="2842"/>
      <c r="UZP47" s="2842"/>
      <c r="UZQ47" s="2843"/>
      <c r="UZR47" s="2843"/>
      <c r="UZS47" s="2844"/>
      <c r="UZT47" s="2845"/>
      <c r="UZU47" s="2842"/>
      <c r="UZV47" s="2842"/>
      <c r="UZW47" s="2843"/>
      <c r="UZX47" s="2843"/>
      <c r="UZY47" s="2844"/>
      <c r="UZZ47" s="2845"/>
      <c r="VAA47" s="2842"/>
      <c r="VAB47" s="2842"/>
      <c r="VAC47" s="2843"/>
      <c r="VAD47" s="2843"/>
      <c r="VAE47" s="2844"/>
      <c r="VAF47" s="2845"/>
      <c r="VAG47" s="2842"/>
      <c r="VAH47" s="2842"/>
      <c r="VAI47" s="2843"/>
      <c r="VAJ47" s="2843"/>
      <c r="VAK47" s="2844"/>
      <c r="VAL47" s="2845"/>
      <c r="VAM47" s="2842"/>
      <c r="VAN47" s="2842"/>
      <c r="VAO47" s="2843"/>
      <c r="VAP47" s="2843"/>
      <c r="VAQ47" s="2844"/>
      <c r="VAR47" s="2845"/>
      <c r="VAS47" s="2842"/>
      <c r="VAT47" s="2842"/>
      <c r="VAU47" s="2843"/>
      <c r="VAV47" s="2843"/>
      <c r="VAW47" s="2844"/>
      <c r="VAX47" s="2845"/>
      <c r="VAY47" s="2842"/>
      <c r="VAZ47" s="2842"/>
      <c r="VBA47" s="2843"/>
      <c r="VBB47" s="2843"/>
      <c r="VBC47" s="2844"/>
      <c r="VBD47" s="2845"/>
      <c r="VBE47" s="2842"/>
      <c r="VBF47" s="2842"/>
      <c r="VBG47" s="2843"/>
      <c r="VBH47" s="2843"/>
      <c r="VBI47" s="2844"/>
      <c r="VBJ47" s="2845"/>
      <c r="VBK47" s="2842"/>
      <c r="VBL47" s="2842"/>
      <c r="VBM47" s="2843"/>
      <c r="VBN47" s="2843"/>
      <c r="VBO47" s="2844"/>
      <c r="VBP47" s="2845"/>
      <c r="VBQ47" s="2842"/>
      <c r="VBR47" s="2842"/>
      <c r="VBS47" s="2843"/>
      <c r="VBT47" s="2843"/>
      <c r="VBU47" s="2844"/>
      <c r="VBV47" s="2845"/>
      <c r="VBW47" s="2842"/>
      <c r="VBX47" s="2842"/>
      <c r="VBY47" s="2843"/>
      <c r="VBZ47" s="2843"/>
      <c r="VCA47" s="2844"/>
      <c r="VCB47" s="2845"/>
      <c r="VCC47" s="2842"/>
      <c r="VCD47" s="2842"/>
      <c r="VCE47" s="2843"/>
      <c r="VCF47" s="2843"/>
      <c r="VCG47" s="2844"/>
      <c r="VCH47" s="2845"/>
      <c r="VCI47" s="2842"/>
      <c r="VCJ47" s="2842"/>
      <c r="VCK47" s="2843"/>
      <c r="VCL47" s="2843"/>
      <c r="VCM47" s="2844"/>
      <c r="VCN47" s="2845"/>
      <c r="VCO47" s="2842"/>
      <c r="VCP47" s="2842"/>
      <c r="VCQ47" s="2843"/>
      <c r="VCR47" s="2843"/>
      <c r="VCS47" s="2844"/>
      <c r="VCT47" s="2845"/>
      <c r="VCU47" s="2842"/>
      <c r="VCV47" s="2842"/>
      <c r="VCW47" s="2843"/>
      <c r="VCX47" s="2843"/>
      <c r="VCY47" s="2844"/>
      <c r="VCZ47" s="2845"/>
      <c r="VDA47" s="2842"/>
      <c r="VDB47" s="2842"/>
      <c r="VDC47" s="2843"/>
      <c r="VDD47" s="2843"/>
      <c r="VDE47" s="2844"/>
      <c r="VDF47" s="2845"/>
      <c r="VDG47" s="2842"/>
      <c r="VDH47" s="2842"/>
      <c r="VDI47" s="2843"/>
      <c r="VDJ47" s="2843"/>
      <c r="VDK47" s="2844"/>
      <c r="VDL47" s="2845"/>
      <c r="VDM47" s="2842"/>
      <c r="VDN47" s="2842"/>
      <c r="VDO47" s="2843"/>
      <c r="VDP47" s="2843"/>
      <c r="VDQ47" s="2844"/>
      <c r="VDR47" s="2845"/>
      <c r="VDS47" s="2842"/>
      <c r="VDT47" s="2842"/>
      <c r="VDU47" s="2843"/>
      <c r="VDV47" s="2843"/>
      <c r="VDW47" s="2844"/>
      <c r="VDX47" s="2845"/>
      <c r="VDY47" s="2842"/>
      <c r="VDZ47" s="2842"/>
      <c r="VEA47" s="2843"/>
      <c r="VEB47" s="2843"/>
      <c r="VEC47" s="2844"/>
      <c r="VED47" s="2845"/>
      <c r="VEE47" s="2842"/>
      <c r="VEF47" s="2842"/>
      <c r="VEG47" s="2843"/>
      <c r="VEH47" s="2843"/>
      <c r="VEI47" s="2844"/>
      <c r="VEJ47" s="2845"/>
      <c r="VEK47" s="2842"/>
      <c r="VEL47" s="2842"/>
      <c r="VEM47" s="2843"/>
      <c r="VEN47" s="2843"/>
      <c r="VEO47" s="2844"/>
      <c r="VEP47" s="2845"/>
      <c r="VEQ47" s="2842"/>
      <c r="VER47" s="2842"/>
      <c r="VES47" s="2843"/>
      <c r="VET47" s="2843"/>
      <c r="VEU47" s="2844"/>
      <c r="VEV47" s="2845"/>
      <c r="VEW47" s="2842"/>
      <c r="VEX47" s="2842"/>
      <c r="VEY47" s="2843"/>
      <c r="VEZ47" s="2843"/>
      <c r="VFA47" s="2844"/>
      <c r="VFB47" s="2845"/>
      <c r="VFC47" s="2842"/>
      <c r="VFD47" s="2842"/>
      <c r="VFE47" s="2843"/>
      <c r="VFF47" s="2843"/>
      <c r="VFG47" s="2844"/>
      <c r="VFH47" s="2845"/>
      <c r="VFI47" s="2842"/>
      <c r="VFJ47" s="2842"/>
      <c r="VFK47" s="2843"/>
      <c r="VFL47" s="2843"/>
      <c r="VFM47" s="2844"/>
      <c r="VFN47" s="2845"/>
      <c r="VFO47" s="2842"/>
      <c r="VFP47" s="2842"/>
      <c r="VFQ47" s="2843"/>
      <c r="VFR47" s="2843"/>
      <c r="VFS47" s="2844"/>
      <c r="VFT47" s="2845"/>
      <c r="VFU47" s="2842"/>
      <c r="VFV47" s="2842"/>
      <c r="VFW47" s="2843"/>
      <c r="VFX47" s="2843"/>
      <c r="VFY47" s="2844"/>
      <c r="VFZ47" s="2845"/>
      <c r="VGA47" s="2842"/>
      <c r="VGB47" s="2842"/>
      <c r="VGC47" s="2843"/>
      <c r="VGD47" s="2843"/>
      <c r="VGE47" s="2844"/>
      <c r="VGF47" s="2845"/>
      <c r="VGG47" s="2842"/>
      <c r="VGH47" s="2842"/>
      <c r="VGI47" s="2843"/>
      <c r="VGJ47" s="2843"/>
      <c r="VGK47" s="2844"/>
      <c r="VGL47" s="2845"/>
      <c r="VGM47" s="2842"/>
      <c r="VGN47" s="2842"/>
      <c r="VGO47" s="2843"/>
      <c r="VGP47" s="2843"/>
      <c r="VGQ47" s="2844"/>
      <c r="VGR47" s="2845"/>
      <c r="VGS47" s="2842"/>
      <c r="VGT47" s="2842"/>
      <c r="VGU47" s="2843"/>
      <c r="VGV47" s="2843"/>
      <c r="VGW47" s="2844"/>
      <c r="VGX47" s="2845"/>
      <c r="VGY47" s="2842"/>
      <c r="VGZ47" s="2842"/>
      <c r="VHA47" s="2843"/>
      <c r="VHB47" s="2843"/>
      <c r="VHC47" s="2844"/>
      <c r="VHD47" s="2845"/>
      <c r="VHE47" s="2842"/>
      <c r="VHF47" s="2842"/>
      <c r="VHG47" s="2843"/>
      <c r="VHH47" s="2843"/>
      <c r="VHI47" s="2844"/>
      <c r="VHJ47" s="2845"/>
      <c r="VHK47" s="2842"/>
      <c r="VHL47" s="2842"/>
      <c r="VHM47" s="2843"/>
      <c r="VHN47" s="2843"/>
      <c r="VHO47" s="2844"/>
      <c r="VHP47" s="2845"/>
      <c r="VHQ47" s="2842"/>
      <c r="VHR47" s="2842"/>
      <c r="VHS47" s="2843"/>
      <c r="VHT47" s="2843"/>
      <c r="VHU47" s="2844"/>
      <c r="VHV47" s="2845"/>
      <c r="VHW47" s="2842"/>
      <c r="VHX47" s="2842"/>
      <c r="VHY47" s="2843"/>
      <c r="VHZ47" s="2843"/>
      <c r="VIA47" s="2844"/>
      <c r="VIB47" s="2845"/>
      <c r="VIC47" s="2842"/>
      <c r="VID47" s="2842"/>
      <c r="VIE47" s="2843"/>
      <c r="VIF47" s="2843"/>
      <c r="VIG47" s="2844"/>
      <c r="VIH47" s="2845"/>
      <c r="VII47" s="2842"/>
      <c r="VIJ47" s="2842"/>
      <c r="VIK47" s="2843"/>
      <c r="VIL47" s="2843"/>
      <c r="VIM47" s="2844"/>
      <c r="VIN47" s="2845"/>
      <c r="VIO47" s="2842"/>
      <c r="VIP47" s="2842"/>
      <c r="VIQ47" s="2843"/>
      <c r="VIR47" s="2843"/>
      <c r="VIS47" s="2844"/>
      <c r="VIT47" s="2845"/>
      <c r="VIU47" s="2842"/>
      <c r="VIV47" s="2842"/>
      <c r="VIW47" s="2843"/>
      <c r="VIX47" s="2843"/>
      <c r="VIY47" s="2844"/>
      <c r="VIZ47" s="2845"/>
      <c r="VJA47" s="2842"/>
      <c r="VJB47" s="2842"/>
      <c r="VJC47" s="2843"/>
      <c r="VJD47" s="2843"/>
      <c r="VJE47" s="2844"/>
      <c r="VJF47" s="2845"/>
      <c r="VJG47" s="2842"/>
      <c r="VJH47" s="2842"/>
      <c r="VJI47" s="2843"/>
      <c r="VJJ47" s="2843"/>
      <c r="VJK47" s="2844"/>
      <c r="VJL47" s="2845"/>
      <c r="VJM47" s="2842"/>
      <c r="VJN47" s="2842"/>
      <c r="VJO47" s="2843"/>
      <c r="VJP47" s="2843"/>
      <c r="VJQ47" s="2844"/>
      <c r="VJR47" s="2845"/>
      <c r="VJS47" s="2842"/>
      <c r="VJT47" s="2842"/>
      <c r="VJU47" s="2843"/>
      <c r="VJV47" s="2843"/>
      <c r="VJW47" s="2844"/>
      <c r="VJX47" s="2845"/>
      <c r="VJY47" s="2842"/>
      <c r="VJZ47" s="2842"/>
      <c r="VKA47" s="2843"/>
      <c r="VKB47" s="2843"/>
      <c r="VKC47" s="2844"/>
      <c r="VKD47" s="2845"/>
      <c r="VKE47" s="2842"/>
      <c r="VKF47" s="2842"/>
      <c r="VKG47" s="2843"/>
      <c r="VKH47" s="2843"/>
      <c r="VKI47" s="2844"/>
      <c r="VKJ47" s="2845"/>
      <c r="VKK47" s="2842"/>
      <c r="VKL47" s="2842"/>
      <c r="VKM47" s="2843"/>
      <c r="VKN47" s="2843"/>
      <c r="VKO47" s="2844"/>
      <c r="VKP47" s="2845"/>
      <c r="VKQ47" s="2842"/>
      <c r="VKR47" s="2842"/>
      <c r="VKS47" s="2843"/>
      <c r="VKT47" s="2843"/>
      <c r="VKU47" s="2844"/>
      <c r="VKV47" s="2845"/>
      <c r="VKW47" s="2842"/>
      <c r="VKX47" s="2842"/>
      <c r="VKY47" s="2843"/>
      <c r="VKZ47" s="2843"/>
      <c r="VLA47" s="2844"/>
      <c r="VLB47" s="2845"/>
      <c r="VLC47" s="2842"/>
      <c r="VLD47" s="2842"/>
      <c r="VLE47" s="2843"/>
      <c r="VLF47" s="2843"/>
      <c r="VLG47" s="2844"/>
      <c r="VLH47" s="2845"/>
      <c r="VLI47" s="2842"/>
      <c r="VLJ47" s="2842"/>
      <c r="VLK47" s="2843"/>
      <c r="VLL47" s="2843"/>
      <c r="VLM47" s="2844"/>
      <c r="VLN47" s="2845"/>
      <c r="VLO47" s="2842"/>
      <c r="VLP47" s="2842"/>
      <c r="VLQ47" s="2843"/>
      <c r="VLR47" s="2843"/>
      <c r="VLS47" s="2844"/>
      <c r="VLT47" s="2845"/>
      <c r="VLU47" s="2842"/>
      <c r="VLV47" s="2842"/>
      <c r="VLW47" s="2843"/>
      <c r="VLX47" s="2843"/>
      <c r="VLY47" s="2844"/>
      <c r="VLZ47" s="2845"/>
      <c r="VMA47" s="2842"/>
      <c r="VMB47" s="2842"/>
      <c r="VMC47" s="2843"/>
      <c r="VMD47" s="2843"/>
      <c r="VME47" s="2844"/>
      <c r="VMF47" s="2845"/>
      <c r="VMG47" s="2842"/>
      <c r="VMH47" s="2842"/>
      <c r="VMI47" s="2843"/>
      <c r="VMJ47" s="2843"/>
      <c r="VMK47" s="2844"/>
      <c r="VML47" s="2845"/>
      <c r="VMM47" s="2842"/>
      <c r="VMN47" s="2842"/>
      <c r="VMO47" s="2843"/>
      <c r="VMP47" s="2843"/>
      <c r="VMQ47" s="2844"/>
      <c r="VMR47" s="2845"/>
      <c r="VMS47" s="2842"/>
      <c r="VMT47" s="2842"/>
      <c r="VMU47" s="2843"/>
      <c r="VMV47" s="2843"/>
      <c r="VMW47" s="2844"/>
      <c r="VMX47" s="2845"/>
      <c r="VMY47" s="2842"/>
      <c r="VMZ47" s="2842"/>
      <c r="VNA47" s="2843"/>
      <c r="VNB47" s="2843"/>
      <c r="VNC47" s="2844"/>
      <c r="VND47" s="2845"/>
      <c r="VNE47" s="2842"/>
      <c r="VNF47" s="2842"/>
      <c r="VNG47" s="2843"/>
      <c r="VNH47" s="2843"/>
      <c r="VNI47" s="2844"/>
      <c r="VNJ47" s="2845"/>
      <c r="VNK47" s="2842"/>
      <c r="VNL47" s="2842"/>
      <c r="VNM47" s="2843"/>
      <c r="VNN47" s="2843"/>
      <c r="VNO47" s="2844"/>
      <c r="VNP47" s="2845"/>
      <c r="VNQ47" s="2842"/>
      <c r="VNR47" s="2842"/>
      <c r="VNS47" s="2843"/>
      <c r="VNT47" s="2843"/>
      <c r="VNU47" s="2844"/>
      <c r="VNV47" s="2845"/>
      <c r="VNW47" s="2842"/>
      <c r="VNX47" s="2842"/>
      <c r="VNY47" s="2843"/>
      <c r="VNZ47" s="2843"/>
      <c r="VOA47" s="2844"/>
      <c r="VOB47" s="2845"/>
      <c r="VOC47" s="2842"/>
      <c r="VOD47" s="2842"/>
      <c r="VOE47" s="2843"/>
      <c r="VOF47" s="2843"/>
      <c r="VOG47" s="2844"/>
      <c r="VOH47" s="2845"/>
      <c r="VOI47" s="2842"/>
      <c r="VOJ47" s="2842"/>
      <c r="VOK47" s="2843"/>
      <c r="VOL47" s="2843"/>
      <c r="VOM47" s="2844"/>
      <c r="VON47" s="2845"/>
      <c r="VOO47" s="2842"/>
      <c r="VOP47" s="2842"/>
      <c r="VOQ47" s="2843"/>
      <c r="VOR47" s="2843"/>
      <c r="VOS47" s="2844"/>
      <c r="VOT47" s="2845"/>
      <c r="VOU47" s="2842"/>
      <c r="VOV47" s="2842"/>
      <c r="VOW47" s="2843"/>
      <c r="VOX47" s="2843"/>
      <c r="VOY47" s="2844"/>
      <c r="VOZ47" s="2845"/>
      <c r="VPA47" s="2842"/>
      <c r="VPB47" s="2842"/>
      <c r="VPC47" s="2843"/>
      <c r="VPD47" s="2843"/>
      <c r="VPE47" s="2844"/>
      <c r="VPF47" s="2845"/>
      <c r="VPG47" s="2842"/>
      <c r="VPH47" s="2842"/>
      <c r="VPI47" s="2843"/>
      <c r="VPJ47" s="2843"/>
      <c r="VPK47" s="2844"/>
      <c r="VPL47" s="2845"/>
      <c r="VPM47" s="2842"/>
      <c r="VPN47" s="2842"/>
      <c r="VPO47" s="2843"/>
      <c r="VPP47" s="2843"/>
      <c r="VPQ47" s="2844"/>
      <c r="VPR47" s="2845"/>
      <c r="VPS47" s="2842"/>
      <c r="VPT47" s="2842"/>
      <c r="VPU47" s="2843"/>
      <c r="VPV47" s="2843"/>
      <c r="VPW47" s="2844"/>
      <c r="VPX47" s="2845"/>
      <c r="VPY47" s="2842"/>
      <c r="VPZ47" s="2842"/>
      <c r="VQA47" s="2843"/>
      <c r="VQB47" s="2843"/>
      <c r="VQC47" s="2844"/>
      <c r="VQD47" s="2845"/>
      <c r="VQE47" s="2842"/>
      <c r="VQF47" s="2842"/>
      <c r="VQG47" s="2843"/>
      <c r="VQH47" s="2843"/>
      <c r="VQI47" s="2844"/>
      <c r="VQJ47" s="2845"/>
      <c r="VQK47" s="2842"/>
      <c r="VQL47" s="2842"/>
      <c r="VQM47" s="2843"/>
      <c r="VQN47" s="2843"/>
      <c r="VQO47" s="2844"/>
      <c r="VQP47" s="2845"/>
      <c r="VQQ47" s="2842"/>
      <c r="VQR47" s="2842"/>
      <c r="VQS47" s="2843"/>
      <c r="VQT47" s="2843"/>
      <c r="VQU47" s="2844"/>
      <c r="VQV47" s="2845"/>
      <c r="VQW47" s="2842"/>
      <c r="VQX47" s="2842"/>
      <c r="VQY47" s="2843"/>
      <c r="VQZ47" s="2843"/>
      <c r="VRA47" s="2844"/>
      <c r="VRB47" s="2845"/>
      <c r="VRC47" s="2842"/>
      <c r="VRD47" s="2842"/>
      <c r="VRE47" s="2843"/>
      <c r="VRF47" s="2843"/>
      <c r="VRG47" s="2844"/>
      <c r="VRH47" s="2845"/>
      <c r="VRI47" s="2842"/>
      <c r="VRJ47" s="2842"/>
      <c r="VRK47" s="2843"/>
      <c r="VRL47" s="2843"/>
      <c r="VRM47" s="2844"/>
      <c r="VRN47" s="2845"/>
      <c r="VRO47" s="2842"/>
      <c r="VRP47" s="2842"/>
      <c r="VRQ47" s="2843"/>
      <c r="VRR47" s="2843"/>
      <c r="VRS47" s="2844"/>
      <c r="VRT47" s="2845"/>
      <c r="VRU47" s="2842"/>
      <c r="VRV47" s="2842"/>
      <c r="VRW47" s="2843"/>
      <c r="VRX47" s="2843"/>
      <c r="VRY47" s="2844"/>
      <c r="VRZ47" s="2845"/>
      <c r="VSA47" s="2842"/>
      <c r="VSB47" s="2842"/>
      <c r="VSC47" s="2843"/>
      <c r="VSD47" s="2843"/>
      <c r="VSE47" s="2844"/>
      <c r="VSF47" s="2845"/>
      <c r="VSG47" s="2842"/>
      <c r="VSH47" s="2842"/>
      <c r="VSI47" s="2843"/>
      <c r="VSJ47" s="2843"/>
      <c r="VSK47" s="2844"/>
      <c r="VSL47" s="2845"/>
      <c r="VSM47" s="2842"/>
      <c r="VSN47" s="2842"/>
      <c r="VSO47" s="2843"/>
      <c r="VSP47" s="2843"/>
      <c r="VSQ47" s="2844"/>
      <c r="VSR47" s="2845"/>
      <c r="VSS47" s="2842"/>
      <c r="VST47" s="2842"/>
      <c r="VSU47" s="2843"/>
      <c r="VSV47" s="2843"/>
      <c r="VSW47" s="2844"/>
      <c r="VSX47" s="2845"/>
      <c r="VSY47" s="2842"/>
      <c r="VSZ47" s="2842"/>
      <c r="VTA47" s="2843"/>
      <c r="VTB47" s="2843"/>
      <c r="VTC47" s="2844"/>
      <c r="VTD47" s="2845"/>
      <c r="VTE47" s="2842"/>
      <c r="VTF47" s="2842"/>
      <c r="VTG47" s="2843"/>
      <c r="VTH47" s="2843"/>
      <c r="VTI47" s="2844"/>
      <c r="VTJ47" s="2845"/>
      <c r="VTK47" s="2842"/>
      <c r="VTL47" s="2842"/>
      <c r="VTM47" s="2843"/>
      <c r="VTN47" s="2843"/>
      <c r="VTO47" s="2844"/>
      <c r="VTP47" s="2845"/>
      <c r="VTQ47" s="2842"/>
      <c r="VTR47" s="2842"/>
      <c r="VTS47" s="2843"/>
      <c r="VTT47" s="2843"/>
      <c r="VTU47" s="2844"/>
      <c r="VTV47" s="2845"/>
      <c r="VTW47" s="2842"/>
      <c r="VTX47" s="2842"/>
      <c r="VTY47" s="2843"/>
      <c r="VTZ47" s="2843"/>
      <c r="VUA47" s="2844"/>
      <c r="VUB47" s="2845"/>
      <c r="VUC47" s="2842"/>
      <c r="VUD47" s="2842"/>
      <c r="VUE47" s="2843"/>
      <c r="VUF47" s="2843"/>
      <c r="VUG47" s="2844"/>
      <c r="VUH47" s="2845"/>
      <c r="VUI47" s="2842"/>
      <c r="VUJ47" s="2842"/>
      <c r="VUK47" s="2843"/>
      <c r="VUL47" s="2843"/>
      <c r="VUM47" s="2844"/>
      <c r="VUN47" s="2845"/>
      <c r="VUO47" s="2842"/>
      <c r="VUP47" s="2842"/>
      <c r="VUQ47" s="2843"/>
      <c r="VUR47" s="2843"/>
      <c r="VUS47" s="2844"/>
      <c r="VUT47" s="2845"/>
      <c r="VUU47" s="2842"/>
      <c r="VUV47" s="2842"/>
      <c r="VUW47" s="2843"/>
      <c r="VUX47" s="2843"/>
      <c r="VUY47" s="2844"/>
      <c r="VUZ47" s="2845"/>
      <c r="VVA47" s="2842"/>
      <c r="VVB47" s="2842"/>
      <c r="VVC47" s="2843"/>
      <c r="VVD47" s="2843"/>
      <c r="VVE47" s="2844"/>
      <c r="VVF47" s="2845"/>
      <c r="VVG47" s="2842"/>
      <c r="VVH47" s="2842"/>
      <c r="VVI47" s="2843"/>
      <c r="VVJ47" s="2843"/>
      <c r="VVK47" s="2844"/>
      <c r="VVL47" s="2845"/>
      <c r="VVM47" s="2842"/>
      <c r="VVN47" s="2842"/>
      <c r="VVO47" s="2843"/>
      <c r="VVP47" s="2843"/>
      <c r="VVQ47" s="2844"/>
      <c r="VVR47" s="2845"/>
      <c r="VVS47" s="2842"/>
      <c r="VVT47" s="2842"/>
      <c r="VVU47" s="2843"/>
      <c r="VVV47" s="2843"/>
      <c r="VVW47" s="2844"/>
      <c r="VVX47" s="2845"/>
      <c r="VVY47" s="2842"/>
      <c r="VVZ47" s="2842"/>
      <c r="VWA47" s="2843"/>
      <c r="VWB47" s="2843"/>
      <c r="VWC47" s="2844"/>
      <c r="VWD47" s="2845"/>
      <c r="VWE47" s="2842"/>
      <c r="VWF47" s="2842"/>
      <c r="VWG47" s="2843"/>
      <c r="VWH47" s="2843"/>
      <c r="VWI47" s="2844"/>
      <c r="VWJ47" s="2845"/>
      <c r="VWK47" s="2842"/>
      <c r="VWL47" s="2842"/>
      <c r="VWM47" s="2843"/>
      <c r="VWN47" s="2843"/>
      <c r="VWO47" s="2844"/>
      <c r="VWP47" s="2845"/>
      <c r="VWQ47" s="2842"/>
      <c r="VWR47" s="2842"/>
      <c r="VWS47" s="2843"/>
      <c r="VWT47" s="2843"/>
      <c r="VWU47" s="2844"/>
      <c r="VWV47" s="2845"/>
      <c r="VWW47" s="2842"/>
      <c r="VWX47" s="2842"/>
      <c r="VWY47" s="2843"/>
      <c r="VWZ47" s="2843"/>
      <c r="VXA47" s="2844"/>
      <c r="VXB47" s="2845"/>
      <c r="VXC47" s="2842"/>
      <c r="VXD47" s="2842"/>
      <c r="VXE47" s="2843"/>
      <c r="VXF47" s="2843"/>
      <c r="VXG47" s="2844"/>
      <c r="VXH47" s="2845"/>
      <c r="VXI47" s="2842"/>
      <c r="VXJ47" s="2842"/>
      <c r="VXK47" s="2843"/>
      <c r="VXL47" s="2843"/>
      <c r="VXM47" s="2844"/>
      <c r="VXN47" s="2845"/>
      <c r="VXO47" s="2842"/>
      <c r="VXP47" s="2842"/>
      <c r="VXQ47" s="2843"/>
      <c r="VXR47" s="2843"/>
      <c r="VXS47" s="2844"/>
      <c r="VXT47" s="2845"/>
      <c r="VXU47" s="2842"/>
      <c r="VXV47" s="2842"/>
      <c r="VXW47" s="2843"/>
      <c r="VXX47" s="2843"/>
      <c r="VXY47" s="2844"/>
      <c r="VXZ47" s="2845"/>
      <c r="VYA47" s="2842"/>
      <c r="VYB47" s="2842"/>
      <c r="VYC47" s="2843"/>
      <c r="VYD47" s="2843"/>
      <c r="VYE47" s="2844"/>
      <c r="VYF47" s="2845"/>
      <c r="VYG47" s="2842"/>
      <c r="VYH47" s="2842"/>
      <c r="VYI47" s="2843"/>
      <c r="VYJ47" s="2843"/>
      <c r="VYK47" s="2844"/>
      <c r="VYL47" s="2845"/>
      <c r="VYM47" s="2842"/>
      <c r="VYN47" s="2842"/>
      <c r="VYO47" s="2843"/>
      <c r="VYP47" s="2843"/>
      <c r="VYQ47" s="2844"/>
      <c r="VYR47" s="2845"/>
      <c r="VYS47" s="2842"/>
      <c r="VYT47" s="2842"/>
      <c r="VYU47" s="2843"/>
      <c r="VYV47" s="2843"/>
      <c r="VYW47" s="2844"/>
      <c r="VYX47" s="2845"/>
      <c r="VYY47" s="2842"/>
      <c r="VYZ47" s="2842"/>
      <c r="VZA47" s="2843"/>
      <c r="VZB47" s="2843"/>
      <c r="VZC47" s="2844"/>
      <c r="VZD47" s="2845"/>
      <c r="VZE47" s="2842"/>
      <c r="VZF47" s="2842"/>
      <c r="VZG47" s="2843"/>
      <c r="VZH47" s="2843"/>
      <c r="VZI47" s="2844"/>
      <c r="VZJ47" s="2845"/>
      <c r="VZK47" s="2842"/>
      <c r="VZL47" s="2842"/>
      <c r="VZM47" s="2843"/>
      <c r="VZN47" s="2843"/>
      <c r="VZO47" s="2844"/>
      <c r="VZP47" s="2845"/>
      <c r="VZQ47" s="2842"/>
      <c r="VZR47" s="2842"/>
      <c r="VZS47" s="2843"/>
      <c r="VZT47" s="2843"/>
      <c r="VZU47" s="2844"/>
      <c r="VZV47" s="2845"/>
      <c r="VZW47" s="2842"/>
      <c r="VZX47" s="2842"/>
      <c r="VZY47" s="2843"/>
      <c r="VZZ47" s="2843"/>
      <c r="WAA47" s="2844"/>
      <c r="WAB47" s="2845"/>
      <c r="WAC47" s="2842"/>
      <c r="WAD47" s="2842"/>
      <c r="WAE47" s="2843"/>
      <c r="WAF47" s="2843"/>
      <c r="WAG47" s="2844"/>
      <c r="WAH47" s="2845"/>
      <c r="WAI47" s="2842"/>
      <c r="WAJ47" s="2842"/>
      <c r="WAK47" s="2843"/>
      <c r="WAL47" s="2843"/>
      <c r="WAM47" s="2844"/>
      <c r="WAN47" s="2845"/>
      <c r="WAO47" s="2842"/>
      <c r="WAP47" s="2842"/>
      <c r="WAQ47" s="2843"/>
      <c r="WAR47" s="2843"/>
      <c r="WAS47" s="2844"/>
      <c r="WAT47" s="2845"/>
      <c r="WAU47" s="2842"/>
      <c r="WAV47" s="2842"/>
      <c r="WAW47" s="2843"/>
      <c r="WAX47" s="2843"/>
      <c r="WAY47" s="2844"/>
      <c r="WAZ47" s="2845"/>
      <c r="WBA47" s="2842"/>
      <c r="WBB47" s="2842"/>
      <c r="WBC47" s="2843"/>
      <c r="WBD47" s="2843"/>
      <c r="WBE47" s="2844"/>
      <c r="WBF47" s="2845"/>
      <c r="WBG47" s="2842"/>
      <c r="WBH47" s="2842"/>
      <c r="WBI47" s="2843"/>
      <c r="WBJ47" s="2843"/>
      <c r="WBK47" s="2844"/>
      <c r="WBL47" s="2845"/>
      <c r="WBM47" s="2842"/>
      <c r="WBN47" s="2842"/>
      <c r="WBO47" s="2843"/>
      <c r="WBP47" s="2843"/>
      <c r="WBQ47" s="2844"/>
      <c r="WBR47" s="2845"/>
      <c r="WBS47" s="2842"/>
      <c r="WBT47" s="2842"/>
      <c r="WBU47" s="2843"/>
      <c r="WBV47" s="2843"/>
      <c r="WBW47" s="2844"/>
      <c r="WBX47" s="2845"/>
      <c r="WBY47" s="2842"/>
      <c r="WBZ47" s="2842"/>
      <c r="WCA47" s="2843"/>
      <c r="WCB47" s="2843"/>
      <c r="WCC47" s="2844"/>
      <c r="WCD47" s="2845"/>
      <c r="WCE47" s="2842"/>
      <c r="WCF47" s="2842"/>
      <c r="WCG47" s="2843"/>
      <c r="WCH47" s="2843"/>
      <c r="WCI47" s="2844"/>
      <c r="WCJ47" s="2845"/>
      <c r="WCK47" s="2842"/>
      <c r="WCL47" s="2842"/>
      <c r="WCM47" s="2843"/>
      <c r="WCN47" s="2843"/>
      <c r="WCO47" s="2844"/>
      <c r="WCP47" s="2845"/>
      <c r="WCQ47" s="2842"/>
      <c r="WCR47" s="2842"/>
      <c r="WCS47" s="2843"/>
      <c r="WCT47" s="2843"/>
      <c r="WCU47" s="2844"/>
      <c r="WCV47" s="2845"/>
      <c r="WCW47" s="2842"/>
      <c r="WCX47" s="2842"/>
      <c r="WCY47" s="2843"/>
      <c r="WCZ47" s="2843"/>
      <c r="WDA47" s="2844"/>
      <c r="WDB47" s="2845"/>
      <c r="WDC47" s="2842"/>
      <c r="WDD47" s="2842"/>
      <c r="WDE47" s="2843"/>
      <c r="WDF47" s="2843"/>
      <c r="WDG47" s="2844"/>
      <c r="WDH47" s="2845"/>
      <c r="WDI47" s="2842"/>
      <c r="WDJ47" s="2842"/>
      <c r="WDK47" s="2843"/>
      <c r="WDL47" s="2843"/>
      <c r="WDM47" s="2844"/>
      <c r="WDN47" s="2845"/>
      <c r="WDO47" s="2842"/>
      <c r="WDP47" s="2842"/>
      <c r="WDQ47" s="2843"/>
      <c r="WDR47" s="2843"/>
      <c r="WDS47" s="2844"/>
      <c r="WDT47" s="2845"/>
      <c r="WDU47" s="2842"/>
      <c r="WDV47" s="2842"/>
      <c r="WDW47" s="2843"/>
      <c r="WDX47" s="2843"/>
      <c r="WDY47" s="2844"/>
      <c r="WDZ47" s="2845"/>
      <c r="WEA47" s="2842"/>
      <c r="WEB47" s="2842"/>
      <c r="WEC47" s="2843"/>
      <c r="WED47" s="2843"/>
      <c r="WEE47" s="2844"/>
      <c r="WEF47" s="2845"/>
      <c r="WEG47" s="2842"/>
      <c r="WEH47" s="2842"/>
      <c r="WEI47" s="2843"/>
      <c r="WEJ47" s="2843"/>
      <c r="WEK47" s="2844"/>
      <c r="WEL47" s="2845"/>
      <c r="WEM47" s="2842"/>
      <c r="WEN47" s="2842"/>
      <c r="WEO47" s="2843"/>
      <c r="WEP47" s="2843"/>
      <c r="WEQ47" s="2844"/>
      <c r="WER47" s="2845"/>
      <c r="WES47" s="2842"/>
      <c r="WET47" s="2842"/>
      <c r="WEU47" s="2843"/>
      <c r="WEV47" s="2843"/>
      <c r="WEW47" s="2844"/>
      <c r="WEX47" s="2845"/>
      <c r="WEY47" s="2842"/>
      <c r="WEZ47" s="2842"/>
      <c r="WFA47" s="2843"/>
      <c r="WFB47" s="2843"/>
      <c r="WFC47" s="2844"/>
      <c r="WFD47" s="2845"/>
      <c r="WFE47" s="2842"/>
      <c r="WFF47" s="2842"/>
      <c r="WFG47" s="2843"/>
      <c r="WFH47" s="2843"/>
      <c r="WFI47" s="2844"/>
      <c r="WFJ47" s="2845"/>
      <c r="WFK47" s="2842"/>
      <c r="WFL47" s="2842"/>
      <c r="WFM47" s="2843"/>
      <c r="WFN47" s="2843"/>
      <c r="WFO47" s="2844"/>
      <c r="WFP47" s="2845"/>
      <c r="WFQ47" s="2842"/>
      <c r="WFR47" s="2842"/>
      <c r="WFS47" s="2843"/>
      <c r="WFT47" s="2843"/>
      <c r="WFU47" s="2844"/>
      <c r="WFV47" s="2845"/>
      <c r="WFW47" s="2842"/>
      <c r="WFX47" s="2842"/>
      <c r="WFY47" s="2843"/>
      <c r="WFZ47" s="2843"/>
      <c r="WGA47" s="2844"/>
      <c r="WGB47" s="2845"/>
      <c r="WGC47" s="2842"/>
      <c r="WGD47" s="2842"/>
      <c r="WGE47" s="2843"/>
      <c r="WGF47" s="2843"/>
      <c r="WGG47" s="2844"/>
      <c r="WGH47" s="2845"/>
      <c r="WGI47" s="2842"/>
      <c r="WGJ47" s="2842"/>
      <c r="WGK47" s="2843"/>
      <c r="WGL47" s="2843"/>
      <c r="WGM47" s="2844"/>
      <c r="WGN47" s="2845"/>
      <c r="WGO47" s="2842"/>
      <c r="WGP47" s="2842"/>
      <c r="WGQ47" s="2843"/>
      <c r="WGR47" s="2843"/>
      <c r="WGS47" s="2844"/>
      <c r="WGT47" s="2845"/>
      <c r="WGU47" s="2842"/>
      <c r="WGV47" s="2842"/>
      <c r="WGW47" s="2843"/>
      <c r="WGX47" s="2843"/>
      <c r="WGY47" s="2844"/>
      <c r="WGZ47" s="2845"/>
      <c r="WHA47" s="2842"/>
      <c r="WHB47" s="2842"/>
      <c r="WHC47" s="2843"/>
      <c r="WHD47" s="2843"/>
      <c r="WHE47" s="2844"/>
      <c r="WHF47" s="2845"/>
      <c r="WHG47" s="2842"/>
      <c r="WHH47" s="2842"/>
      <c r="WHI47" s="2843"/>
      <c r="WHJ47" s="2843"/>
      <c r="WHK47" s="2844"/>
      <c r="WHL47" s="2845"/>
      <c r="WHM47" s="2842"/>
      <c r="WHN47" s="2842"/>
      <c r="WHO47" s="2843"/>
      <c r="WHP47" s="2843"/>
      <c r="WHQ47" s="2844"/>
      <c r="WHR47" s="2845"/>
      <c r="WHS47" s="2842"/>
      <c r="WHT47" s="2842"/>
      <c r="WHU47" s="2843"/>
      <c r="WHV47" s="2843"/>
      <c r="WHW47" s="2844"/>
      <c r="WHX47" s="2845"/>
      <c r="WHY47" s="2842"/>
      <c r="WHZ47" s="2842"/>
      <c r="WIA47" s="2843"/>
      <c r="WIB47" s="2843"/>
      <c r="WIC47" s="2844"/>
      <c r="WID47" s="2845"/>
      <c r="WIE47" s="2842"/>
      <c r="WIF47" s="2842"/>
      <c r="WIG47" s="2843"/>
      <c r="WIH47" s="2843"/>
      <c r="WII47" s="2844"/>
      <c r="WIJ47" s="2845"/>
      <c r="WIK47" s="2842"/>
      <c r="WIL47" s="2842"/>
      <c r="WIM47" s="2843"/>
      <c r="WIN47" s="2843"/>
      <c r="WIO47" s="2844"/>
      <c r="WIP47" s="2845"/>
      <c r="WIQ47" s="2842"/>
      <c r="WIR47" s="2842"/>
      <c r="WIS47" s="2843"/>
      <c r="WIT47" s="2843"/>
      <c r="WIU47" s="2844"/>
      <c r="WIV47" s="2845"/>
      <c r="WIW47" s="2842"/>
      <c r="WIX47" s="2842"/>
      <c r="WIY47" s="2843"/>
      <c r="WIZ47" s="2843"/>
      <c r="WJA47" s="2844"/>
      <c r="WJB47" s="2845"/>
      <c r="WJC47" s="2842"/>
      <c r="WJD47" s="2842"/>
      <c r="WJE47" s="2843"/>
      <c r="WJF47" s="2843"/>
      <c r="WJG47" s="2844"/>
      <c r="WJH47" s="2845"/>
      <c r="WJI47" s="2842"/>
      <c r="WJJ47" s="2842"/>
      <c r="WJK47" s="2843"/>
      <c r="WJL47" s="2843"/>
      <c r="WJM47" s="2844"/>
      <c r="WJN47" s="2845"/>
      <c r="WJO47" s="2842"/>
      <c r="WJP47" s="2842"/>
      <c r="WJQ47" s="2843"/>
      <c r="WJR47" s="2843"/>
      <c r="WJS47" s="2844"/>
      <c r="WJT47" s="2845"/>
      <c r="WJU47" s="2842"/>
      <c r="WJV47" s="2842"/>
      <c r="WJW47" s="2843"/>
      <c r="WJX47" s="2843"/>
      <c r="WJY47" s="2844"/>
      <c r="WJZ47" s="2845"/>
      <c r="WKA47" s="2842"/>
      <c r="WKB47" s="2842"/>
      <c r="WKC47" s="2843"/>
      <c r="WKD47" s="2843"/>
      <c r="WKE47" s="2844"/>
      <c r="WKF47" s="2845"/>
      <c r="WKG47" s="2842"/>
      <c r="WKH47" s="2842"/>
      <c r="WKI47" s="2843"/>
      <c r="WKJ47" s="2843"/>
      <c r="WKK47" s="2844"/>
      <c r="WKL47" s="2845"/>
      <c r="WKM47" s="2842"/>
      <c r="WKN47" s="2842"/>
      <c r="WKO47" s="2843"/>
      <c r="WKP47" s="2843"/>
      <c r="WKQ47" s="2844"/>
      <c r="WKR47" s="2845"/>
      <c r="WKS47" s="2842"/>
      <c r="WKT47" s="2842"/>
      <c r="WKU47" s="2843"/>
      <c r="WKV47" s="2843"/>
      <c r="WKW47" s="2844"/>
      <c r="WKX47" s="2845"/>
      <c r="WKY47" s="2842"/>
      <c r="WKZ47" s="2842"/>
      <c r="WLA47" s="2843"/>
      <c r="WLB47" s="2843"/>
      <c r="WLC47" s="2844"/>
      <c r="WLD47" s="2845"/>
      <c r="WLE47" s="2842"/>
      <c r="WLF47" s="2842"/>
      <c r="WLG47" s="2843"/>
      <c r="WLH47" s="2843"/>
      <c r="WLI47" s="2844"/>
      <c r="WLJ47" s="2845"/>
      <c r="WLK47" s="2842"/>
      <c r="WLL47" s="2842"/>
      <c r="WLM47" s="2843"/>
      <c r="WLN47" s="2843"/>
      <c r="WLO47" s="2844"/>
      <c r="WLP47" s="2845"/>
      <c r="WLQ47" s="2842"/>
      <c r="WLR47" s="2842"/>
      <c r="WLS47" s="2843"/>
      <c r="WLT47" s="2843"/>
      <c r="WLU47" s="2844"/>
      <c r="WLV47" s="2845"/>
      <c r="WLW47" s="2842"/>
      <c r="WLX47" s="2842"/>
      <c r="WLY47" s="2843"/>
      <c r="WLZ47" s="2843"/>
      <c r="WMA47" s="2844"/>
      <c r="WMB47" s="2845"/>
      <c r="WMC47" s="2842"/>
      <c r="WMD47" s="2842"/>
      <c r="WME47" s="2843"/>
      <c r="WMF47" s="2843"/>
      <c r="WMG47" s="2844"/>
      <c r="WMH47" s="2845"/>
      <c r="WMI47" s="2842"/>
      <c r="WMJ47" s="2842"/>
      <c r="WMK47" s="2843"/>
      <c r="WML47" s="2843"/>
      <c r="WMM47" s="2844"/>
      <c r="WMN47" s="2845"/>
      <c r="WMO47" s="2842"/>
      <c r="WMP47" s="2842"/>
      <c r="WMQ47" s="2843"/>
      <c r="WMR47" s="2843"/>
      <c r="WMS47" s="2844"/>
      <c r="WMT47" s="2845"/>
      <c r="WMU47" s="2842"/>
      <c r="WMV47" s="2842"/>
      <c r="WMW47" s="2843"/>
      <c r="WMX47" s="2843"/>
      <c r="WMY47" s="2844"/>
      <c r="WMZ47" s="2845"/>
      <c r="WNA47" s="2842"/>
      <c r="WNB47" s="2842"/>
      <c r="WNC47" s="2843"/>
      <c r="WND47" s="2843"/>
      <c r="WNE47" s="2844"/>
      <c r="WNF47" s="2845"/>
      <c r="WNG47" s="2842"/>
      <c r="WNH47" s="2842"/>
      <c r="WNI47" s="2843"/>
      <c r="WNJ47" s="2843"/>
      <c r="WNK47" s="2844"/>
      <c r="WNL47" s="2845"/>
      <c r="WNM47" s="2842"/>
      <c r="WNN47" s="2842"/>
      <c r="WNO47" s="2843"/>
      <c r="WNP47" s="2843"/>
      <c r="WNQ47" s="2844"/>
      <c r="WNR47" s="2845"/>
      <c r="WNS47" s="2842"/>
      <c r="WNT47" s="2842"/>
      <c r="WNU47" s="2843"/>
      <c r="WNV47" s="2843"/>
      <c r="WNW47" s="2844"/>
      <c r="WNX47" s="2845"/>
      <c r="WNY47" s="2842"/>
      <c r="WNZ47" s="2842"/>
      <c r="WOA47" s="2843"/>
      <c r="WOB47" s="2843"/>
      <c r="WOC47" s="2844"/>
      <c r="WOD47" s="2845"/>
      <c r="WOE47" s="2842"/>
      <c r="WOF47" s="2842"/>
      <c r="WOG47" s="2843"/>
      <c r="WOH47" s="2843"/>
      <c r="WOI47" s="2844"/>
      <c r="WOJ47" s="2845"/>
      <c r="WOK47" s="2842"/>
      <c r="WOL47" s="2842"/>
      <c r="WOM47" s="2843"/>
      <c r="WON47" s="2843"/>
      <c r="WOO47" s="2844"/>
      <c r="WOP47" s="2845"/>
      <c r="WOQ47" s="2842"/>
      <c r="WOR47" s="2842"/>
      <c r="WOS47" s="2843"/>
      <c r="WOT47" s="2843"/>
      <c r="WOU47" s="2844"/>
      <c r="WOV47" s="2845"/>
      <c r="WOW47" s="2842"/>
      <c r="WOX47" s="2842"/>
      <c r="WOY47" s="2843"/>
      <c r="WOZ47" s="2843"/>
      <c r="WPA47" s="2844"/>
      <c r="WPB47" s="2845"/>
      <c r="WPC47" s="2842"/>
      <c r="WPD47" s="2842"/>
      <c r="WPE47" s="2843"/>
      <c r="WPF47" s="2843"/>
      <c r="WPG47" s="2844"/>
      <c r="WPH47" s="2845"/>
      <c r="WPI47" s="2842"/>
      <c r="WPJ47" s="2842"/>
      <c r="WPK47" s="2843"/>
      <c r="WPL47" s="2843"/>
      <c r="WPM47" s="2844"/>
      <c r="WPN47" s="2845"/>
      <c r="WPO47" s="2842"/>
      <c r="WPP47" s="2842"/>
      <c r="WPQ47" s="2843"/>
      <c r="WPR47" s="2843"/>
      <c r="WPS47" s="2844"/>
      <c r="WPT47" s="2845"/>
      <c r="WPU47" s="2842"/>
      <c r="WPV47" s="2842"/>
      <c r="WPW47" s="2843"/>
      <c r="WPX47" s="2843"/>
      <c r="WPY47" s="2844"/>
      <c r="WPZ47" s="2845"/>
      <c r="WQA47" s="2842"/>
      <c r="WQB47" s="2842"/>
      <c r="WQC47" s="2843"/>
      <c r="WQD47" s="2843"/>
      <c r="WQE47" s="2844"/>
      <c r="WQF47" s="2845"/>
      <c r="WQG47" s="2842"/>
      <c r="WQH47" s="2842"/>
      <c r="WQI47" s="2843"/>
      <c r="WQJ47" s="2843"/>
      <c r="WQK47" s="2844"/>
      <c r="WQL47" s="2845"/>
      <c r="WQM47" s="2842"/>
      <c r="WQN47" s="2842"/>
      <c r="WQO47" s="2843"/>
      <c r="WQP47" s="2843"/>
      <c r="WQQ47" s="2844"/>
      <c r="WQR47" s="2845"/>
      <c r="WQS47" s="2842"/>
      <c r="WQT47" s="2842"/>
      <c r="WQU47" s="2843"/>
      <c r="WQV47" s="2843"/>
      <c r="WQW47" s="2844"/>
      <c r="WQX47" s="2845"/>
      <c r="WQY47" s="2842"/>
      <c r="WQZ47" s="2842"/>
      <c r="WRA47" s="2843"/>
      <c r="WRB47" s="2843"/>
      <c r="WRC47" s="2844"/>
      <c r="WRD47" s="2845"/>
      <c r="WRE47" s="2842"/>
      <c r="WRF47" s="2842"/>
      <c r="WRG47" s="2843"/>
      <c r="WRH47" s="2843"/>
      <c r="WRI47" s="2844"/>
      <c r="WRJ47" s="2845"/>
      <c r="WRK47" s="2842"/>
      <c r="WRL47" s="2842"/>
      <c r="WRM47" s="2843"/>
      <c r="WRN47" s="2843"/>
      <c r="WRO47" s="2844"/>
      <c r="WRP47" s="2845"/>
      <c r="WRQ47" s="2842"/>
      <c r="WRR47" s="2842"/>
      <c r="WRS47" s="2843"/>
      <c r="WRT47" s="2843"/>
      <c r="WRU47" s="2844"/>
      <c r="WRV47" s="2845"/>
      <c r="WRW47" s="2842"/>
      <c r="WRX47" s="2842"/>
      <c r="WRY47" s="2843"/>
      <c r="WRZ47" s="2843"/>
      <c r="WSA47" s="2844"/>
      <c r="WSB47" s="2845"/>
      <c r="WSC47" s="2842"/>
      <c r="WSD47" s="2842"/>
      <c r="WSE47" s="2843"/>
      <c r="WSF47" s="2843"/>
      <c r="WSG47" s="2844"/>
      <c r="WSH47" s="2845"/>
      <c r="WSI47" s="2842"/>
      <c r="WSJ47" s="2842"/>
      <c r="WSK47" s="2843"/>
      <c r="WSL47" s="2843"/>
      <c r="WSM47" s="2844"/>
      <c r="WSN47" s="2845"/>
      <c r="WSO47" s="2842"/>
      <c r="WSP47" s="2842"/>
      <c r="WSQ47" s="2843"/>
      <c r="WSR47" s="2843"/>
      <c r="WSS47" s="2844"/>
      <c r="WST47" s="2845"/>
      <c r="WSU47" s="2842"/>
      <c r="WSV47" s="2842"/>
      <c r="WSW47" s="2843"/>
      <c r="WSX47" s="2843"/>
      <c r="WSY47" s="2844"/>
      <c r="WSZ47" s="2845"/>
      <c r="WTA47" s="2842"/>
      <c r="WTB47" s="2842"/>
      <c r="WTC47" s="2843"/>
      <c r="WTD47" s="2843"/>
      <c r="WTE47" s="2844"/>
      <c r="WTF47" s="2845"/>
      <c r="WTG47" s="2842"/>
      <c r="WTH47" s="2842"/>
      <c r="WTI47" s="2843"/>
      <c r="WTJ47" s="2843"/>
      <c r="WTK47" s="2844"/>
      <c r="WTL47" s="2845"/>
      <c r="WTM47" s="2842"/>
      <c r="WTN47" s="2842"/>
      <c r="WTO47" s="2843"/>
      <c r="WTP47" s="2843"/>
      <c r="WTQ47" s="2844"/>
      <c r="WTR47" s="2845"/>
      <c r="WTS47" s="2842"/>
      <c r="WTT47" s="2842"/>
      <c r="WTU47" s="2843"/>
      <c r="WTV47" s="2843"/>
      <c r="WTW47" s="2844"/>
      <c r="WTX47" s="2845"/>
      <c r="WTY47" s="2842"/>
      <c r="WTZ47" s="2842"/>
      <c r="WUA47" s="2843"/>
      <c r="WUB47" s="2843"/>
      <c r="WUC47" s="2844"/>
      <c r="WUD47" s="2845"/>
      <c r="WUE47" s="2842"/>
      <c r="WUF47" s="2842"/>
      <c r="WUG47" s="2843"/>
      <c r="WUH47" s="2843"/>
      <c r="WUI47" s="2844"/>
      <c r="WUJ47" s="2845"/>
      <c r="WUK47" s="2842"/>
      <c r="WUL47" s="2842"/>
      <c r="WUM47" s="2843"/>
      <c r="WUN47" s="2843"/>
      <c r="WUO47" s="2844"/>
      <c r="WUP47" s="2845"/>
      <c r="WUQ47" s="2842"/>
      <c r="WUR47" s="2842"/>
      <c r="WUS47" s="2843"/>
      <c r="WUT47" s="2843"/>
      <c r="WUU47" s="2844"/>
      <c r="WUV47" s="2845"/>
      <c r="WUW47" s="2842"/>
      <c r="WUX47" s="2842"/>
      <c r="WUY47" s="2843"/>
      <c r="WUZ47" s="2843"/>
      <c r="WVA47" s="2844"/>
      <c r="WVB47" s="2845"/>
      <c r="WVC47" s="2842"/>
      <c r="WVD47" s="2842"/>
      <c r="WVE47" s="2843"/>
      <c r="WVF47" s="2843"/>
      <c r="WVG47" s="2844"/>
      <c r="WVH47" s="2845"/>
      <c r="WVI47" s="2842"/>
      <c r="WVJ47" s="2842"/>
      <c r="WVK47" s="2843"/>
      <c r="WVL47" s="2843"/>
      <c r="WVM47" s="2844"/>
      <c r="WVN47" s="2845"/>
      <c r="WVO47" s="2842"/>
      <c r="WVP47" s="2842"/>
      <c r="WVQ47" s="2843"/>
      <c r="WVR47" s="2843"/>
      <c r="WVS47" s="2844"/>
      <c r="WVT47" s="2845"/>
      <c r="WVU47" s="2842"/>
      <c r="WVV47" s="2842"/>
      <c r="WVW47" s="2843"/>
      <c r="WVX47" s="2843"/>
      <c r="WVY47" s="2844"/>
      <c r="WVZ47" s="2845"/>
      <c r="WWA47" s="2842"/>
      <c r="WWB47" s="2842"/>
      <c r="WWC47" s="2843"/>
      <c r="WWD47" s="2843"/>
      <c r="WWE47" s="2844"/>
      <c r="WWF47" s="2845"/>
      <c r="WWG47" s="2842"/>
      <c r="WWH47" s="2842"/>
      <c r="WWI47" s="2843"/>
      <c r="WWJ47" s="2843"/>
      <c r="WWK47" s="2844"/>
      <c r="WWL47" s="2845"/>
      <c r="WWM47" s="2842"/>
      <c r="WWN47" s="2842"/>
      <c r="WWO47" s="2843"/>
      <c r="WWP47" s="2843"/>
      <c r="WWQ47" s="2844"/>
      <c r="WWR47" s="2845"/>
      <c r="WWS47" s="2842"/>
      <c r="WWT47" s="2842"/>
      <c r="WWU47" s="2843"/>
      <c r="WWV47" s="2843"/>
      <c r="WWW47" s="2844"/>
      <c r="WWX47" s="2845"/>
      <c r="WWY47" s="2842"/>
      <c r="WWZ47" s="2842"/>
      <c r="WXA47" s="2843"/>
      <c r="WXB47" s="2843"/>
      <c r="WXC47" s="2844"/>
      <c r="WXD47" s="2845"/>
      <c r="WXE47" s="2842"/>
      <c r="WXF47" s="2842"/>
      <c r="WXG47" s="2843"/>
      <c r="WXH47" s="2843"/>
      <c r="WXI47" s="2844"/>
      <c r="WXJ47" s="2845"/>
      <c r="WXK47" s="2842"/>
      <c r="WXL47" s="2842"/>
      <c r="WXM47" s="2843"/>
      <c r="WXN47" s="2843"/>
      <c r="WXO47" s="2844"/>
      <c r="WXP47" s="2845"/>
      <c r="WXQ47" s="2842"/>
      <c r="WXR47" s="2842"/>
      <c r="WXS47" s="2843"/>
      <c r="WXT47" s="2843"/>
      <c r="WXU47" s="2844"/>
      <c r="WXV47" s="2845"/>
      <c r="WXW47" s="2842"/>
      <c r="WXX47" s="2842"/>
      <c r="WXY47" s="2843"/>
      <c r="WXZ47" s="2843"/>
      <c r="WYA47" s="2844"/>
      <c r="WYB47" s="2845"/>
      <c r="WYC47" s="2842"/>
      <c r="WYD47" s="2842"/>
      <c r="WYE47" s="2843"/>
      <c r="WYF47" s="2843"/>
      <c r="WYG47" s="2844"/>
      <c r="WYH47" s="2845"/>
      <c r="WYI47" s="2842"/>
      <c r="WYJ47" s="2842"/>
      <c r="WYK47" s="2843"/>
      <c r="WYL47" s="2843"/>
      <c r="WYM47" s="2844"/>
      <c r="WYN47" s="2845"/>
      <c r="WYO47" s="2842"/>
      <c r="WYP47" s="2842"/>
      <c r="WYQ47" s="2843"/>
      <c r="WYR47" s="2843"/>
      <c r="WYS47" s="2844"/>
      <c r="WYT47" s="2845"/>
      <c r="WYU47" s="2842"/>
      <c r="WYV47" s="2842"/>
      <c r="WYW47" s="2843"/>
      <c r="WYX47" s="2843"/>
      <c r="WYY47" s="2844"/>
      <c r="WYZ47" s="2845"/>
      <c r="WZA47" s="2842"/>
      <c r="WZB47" s="2842"/>
      <c r="WZC47" s="2843"/>
      <c r="WZD47" s="2843"/>
      <c r="WZE47" s="2844"/>
      <c r="WZF47" s="2845"/>
      <c r="WZG47" s="2842"/>
      <c r="WZH47" s="2842"/>
      <c r="WZI47" s="2843"/>
      <c r="WZJ47" s="2843"/>
      <c r="WZK47" s="2844"/>
      <c r="WZL47" s="2845"/>
      <c r="WZM47" s="2842"/>
      <c r="WZN47" s="2842"/>
      <c r="WZO47" s="2843"/>
      <c r="WZP47" s="2843"/>
      <c r="WZQ47" s="2844"/>
      <c r="WZR47" s="2845"/>
      <c r="WZS47" s="2842"/>
      <c r="WZT47" s="2842"/>
      <c r="WZU47" s="2843"/>
      <c r="WZV47" s="2843"/>
      <c r="WZW47" s="2844"/>
      <c r="WZX47" s="2845"/>
      <c r="WZY47" s="2842"/>
      <c r="WZZ47" s="2842"/>
      <c r="XAA47" s="2843"/>
      <c r="XAB47" s="2843"/>
      <c r="XAC47" s="2844"/>
      <c r="XAD47" s="2845"/>
      <c r="XAE47" s="2842"/>
      <c r="XAF47" s="2842"/>
      <c r="XAG47" s="2843"/>
      <c r="XAH47" s="2843"/>
      <c r="XAI47" s="2844"/>
      <c r="XAJ47" s="2845"/>
      <c r="XAK47" s="2842"/>
      <c r="XAL47" s="2842"/>
      <c r="XAM47" s="2843"/>
      <c r="XAN47" s="2843"/>
      <c r="XAO47" s="2844"/>
      <c r="XAP47" s="2845"/>
      <c r="XAQ47" s="2842"/>
      <c r="XAR47" s="2842"/>
      <c r="XAS47" s="2843"/>
      <c r="XAT47" s="2843"/>
      <c r="XAU47" s="2844"/>
      <c r="XAV47" s="2845"/>
      <c r="XAW47" s="2842"/>
      <c r="XAX47" s="2842"/>
      <c r="XAY47" s="2843"/>
      <c r="XAZ47" s="2843"/>
      <c r="XBA47" s="2844"/>
      <c r="XBB47" s="2845"/>
      <c r="XBC47" s="2842"/>
      <c r="XBD47" s="2842"/>
      <c r="XBE47" s="2843"/>
      <c r="XBF47" s="2843"/>
      <c r="XBG47" s="2844"/>
      <c r="XBH47" s="2845"/>
      <c r="XBI47" s="2842"/>
      <c r="XBJ47" s="2842"/>
      <c r="XBK47" s="2843"/>
      <c r="XBL47" s="2843"/>
      <c r="XBM47" s="2844"/>
      <c r="XBN47" s="2845"/>
      <c r="XBO47" s="2842"/>
      <c r="XBP47" s="2842"/>
      <c r="XBQ47" s="2843"/>
      <c r="XBR47" s="2843"/>
      <c r="XBS47" s="2844"/>
      <c r="XBT47" s="2845"/>
      <c r="XBU47" s="2842"/>
      <c r="XBV47" s="2842"/>
      <c r="XBW47" s="2843"/>
      <c r="XBX47" s="2843"/>
      <c r="XBY47" s="2844"/>
      <c r="XBZ47" s="2845"/>
      <c r="XCA47" s="2842"/>
      <c r="XCB47" s="2842"/>
      <c r="XCC47" s="2843"/>
      <c r="XCD47" s="2843"/>
      <c r="XCE47" s="2844"/>
      <c r="XCF47" s="2845"/>
      <c r="XCG47" s="2842"/>
      <c r="XCH47" s="2842"/>
      <c r="XCI47" s="2843"/>
      <c r="XCJ47" s="2843"/>
      <c r="XCK47" s="2844"/>
      <c r="XCL47" s="2845"/>
      <c r="XCM47" s="2842"/>
      <c r="XCN47" s="2842"/>
      <c r="XCO47" s="2843"/>
      <c r="XCP47" s="2843"/>
      <c r="XCQ47" s="2844"/>
      <c r="XCR47" s="2845"/>
      <c r="XCS47" s="2842"/>
      <c r="XCT47" s="2842"/>
      <c r="XCU47" s="2843"/>
      <c r="XCV47" s="2843"/>
      <c r="XCW47" s="2844"/>
      <c r="XCX47" s="2845"/>
      <c r="XCY47" s="2842"/>
      <c r="XCZ47" s="2842"/>
      <c r="XDA47" s="2843"/>
      <c r="XDB47" s="2843"/>
      <c r="XDC47" s="2844"/>
      <c r="XDD47" s="2845"/>
      <c r="XDE47" s="2842"/>
      <c r="XDF47" s="2842"/>
      <c r="XDG47" s="2843"/>
      <c r="XDH47" s="2843"/>
      <c r="XDI47" s="2844"/>
      <c r="XDJ47" s="2845"/>
      <c r="XDK47" s="2842"/>
      <c r="XDL47" s="2842"/>
      <c r="XDM47" s="2843"/>
      <c r="XDN47" s="2843"/>
      <c r="XDO47" s="2844"/>
      <c r="XDP47" s="2845"/>
      <c r="XDQ47" s="2842"/>
      <c r="XDR47" s="2842"/>
      <c r="XDS47" s="2843"/>
      <c r="XDT47" s="2843"/>
      <c r="XDU47" s="2844"/>
      <c r="XDV47" s="2845"/>
      <c r="XDW47" s="2842"/>
      <c r="XDX47" s="2842"/>
      <c r="XDY47" s="2843"/>
      <c r="XDZ47" s="2843"/>
      <c r="XEA47" s="2844"/>
      <c r="XEB47" s="2845"/>
      <c r="XEC47" s="2842"/>
      <c r="XED47" s="2842"/>
      <c r="XEE47" s="2843"/>
      <c r="XEF47" s="2843"/>
      <c r="XEG47" s="2844"/>
      <c r="XEH47" s="2845"/>
      <c r="XEI47" s="2842"/>
      <c r="XEJ47" s="2842"/>
      <c r="XEK47" s="2843"/>
      <c r="XEL47" s="2843"/>
      <c r="XEM47" s="2844"/>
      <c r="XEN47" s="2845"/>
      <c r="XEO47" s="2842"/>
      <c r="XEP47" s="2842"/>
      <c r="XEQ47" s="2843"/>
      <c r="XER47" s="2843"/>
      <c r="XES47" s="2844"/>
      <c r="XET47" s="2845"/>
      <c r="XEU47" s="2842"/>
      <c r="XEV47" s="2842"/>
      <c r="XEW47" s="2843"/>
      <c r="XEX47" s="2843"/>
      <c r="XEY47" s="2844"/>
      <c r="XEZ47" s="2845"/>
      <c r="XFA47" s="2842"/>
      <c r="XFB47" s="2842"/>
      <c r="XFC47" s="2843"/>
      <c r="XFD47" s="2843"/>
    </row>
    <row r="48" spans="1:16384" s="2838" customFormat="1" ht="72">
      <c r="A48" s="3124" t="s">
        <v>994</v>
      </c>
      <c r="B48" s="2847" t="s">
        <v>1077</v>
      </c>
      <c r="C48" s="2847" t="s">
        <v>488</v>
      </c>
      <c r="D48" s="2848" t="s">
        <v>1111</v>
      </c>
      <c r="E48" s="2848" t="s">
        <v>1112</v>
      </c>
      <c r="F48" s="2972" t="s">
        <v>1082</v>
      </c>
    </row>
    <row r="49" spans="1:7" s="2838" customFormat="1" ht="72">
      <c r="A49" s="3124" t="s">
        <v>994</v>
      </c>
      <c r="B49" s="2847" t="s">
        <v>1077</v>
      </c>
      <c r="C49" s="2847" t="s">
        <v>488</v>
      </c>
      <c r="D49" s="2848" t="s">
        <v>1113</v>
      </c>
      <c r="E49" s="2848" t="s">
        <v>1112</v>
      </c>
      <c r="F49" s="2972" t="s">
        <v>1082</v>
      </c>
    </row>
    <row r="50" spans="1:7" s="2838" customFormat="1" ht="72">
      <c r="A50" s="3124" t="s">
        <v>994</v>
      </c>
      <c r="B50" s="2847" t="s">
        <v>1077</v>
      </c>
      <c r="C50" s="2847" t="s">
        <v>489</v>
      </c>
      <c r="D50" s="2848" t="s">
        <v>1114</v>
      </c>
      <c r="E50" s="2848" t="s">
        <v>1115</v>
      </c>
      <c r="F50" s="2972" t="s">
        <v>1082</v>
      </c>
    </row>
    <row r="51" spans="1:7" s="2838" customFormat="1" ht="72">
      <c r="A51" s="3124" t="s">
        <v>994</v>
      </c>
      <c r="B51" s="2847" t="s">
        <v>1077</v>
      </c>
      <c r="C51" s="2847" t="s">
        <v>489</v>
      </c>
      <c r="D51" s="2848" t="s">
        <v>1116</v>
      </c>
      <c r="E51" s="2848" t="s">
        <v>1117</v>
      </c>
      <c r="F51" s="2972" t="s">
        <v>1082</v>
      </c>
    </row>
    <row r="52" spans="1:7" s="2838" customFormat="1" ht="72">
      <c r="A52" s="3124" t="s">
        <v>994</v>
      </c>
      <c r="B52" s="2847" t="s">
        <v>1077</v>
      </c>
      <c r="C52" s="2847" t="s">
        <v>489</v>
      </c>
      <c r="D52" s="2848" t="s">
        <v>1118</v>
      </c>
      <c r="E52" s="2848" t="s">
        <v>1119</v>
      </c>
      <c r="F52" s="2972" t="s">
        <v>1082</v>
      </c>
    </row>
    <row r="53" spans="1:7" s="2838" customFormat="1" ht="72">
      <c r="A53" s="3124" t="s">
        <v>994</v>
      </c>
      <c r="B53" s="2847" t="s">
        <v>1077</v>
      </c>
      <c r="C53" s="2847" t="s">
        <v>489</v>
      </c>
      <c r="D53" s="2848" t="s">
        <v>1120</v>
      </c>
      <c r="E53" s="2848" t="s">
        <v>1121</v>
      </c>
      <c r="F53" s="2972" t="s">
        <v>1082</v>
      </c>
    </row>
    <row r="54" spans="1:7" s="2838" customFormat="1" ht="72">
      <c r="A54" s="3124" t="s">
        <v>994</v>
      </c>
      <c r="B54" s="2847" t="s">
        <v>1077</v>
      </c>
      <c r="C54" s="2847" t="s">
        <v>489</v>
      </c>
      <c r="D54" s="2848" t="s">
        <v>1122</v>
      </c>
      <c r="E54" s="2848" t="s">
        <v>1123</v>
      </c>
      <c r="F54" s="2972" t="s">
        <v>1082</v>
      </c>
    </row>
    <row r="55" spans="1:7" s="2838" customFormat="1" ht="72">
      <c r="A55" s="3124" t="s">
        <v>994</v>
      </c>
      <c r="B55" s="2847" t="s">
        <v>1077</v>
      </c>
      <c r="C55" s="2847" t="s">
        <v>306</v>
      </c>
      <c r="D55" s="2848" t="s">
        <v>1124</v>
      </c>
      <c r="E55" s="2848" t="s">
        <v>1125</v>
      </c>
      <c r="F55" s="2972" t="s">
        <v>1082</v>
      </c>
    </row>
    <row r="56" spans="1:7" s="2838" customFormat="1" ht="36.75" thickBot="1">
      <c r="A56" s="3126" t="s">
        <v>994</v>
      </c>
      <c r="B56" s="3115" t="s">
        <v>1077</v>
      </c>
      <c r="C56" s="3115" t="s">
        <v>1126</v>
      </c>
      <c r="D56" s="3116" t="s">
        <v>1127</v>
      </c>
      <c r="E56" s="3116"/>
      <c r="F56" s="3121" t="s">
        <v>1128</v>
      </c>
    </row>
    <row r="57" spans="1:7" s="2838" customFormat="1" ht="48">
      <c r="A57" s="3127" t="s">
        <v>292</v>
      </c>
      <c r="B57" s="3118" t="s">
        <v>180</v>
      </c>
      <c r="C57" s="3118" t="s">
        <v>1129</v>
      </c>
      <c r="D57" s="3118" t="s">
        <v>1130</v>
      </c>
      <c r="E57" s="3119" t="s">
        <v>1131</v>
      </c>
      <c r="F57" s="2973" t="s">
        <v>1132</v>
      </c>
      <c r="G57" s="2841"/>
    </row>
    <row r="58" spans="1:7" s="2838" customFormat="1" ht="48">
      <c r="A58" s="3124" t="s">
        <v>292</v>
      </c>
      <c r="B58" s="2847" t="s">
        <v>180</v>
      </c>
      <c r="C58" s="2847" t="s">
        <v>1129</v>
      </c>
      <c r="D58" s="2847" t="s">
        <v>1133</v>
      </c>
      <c r="E58" s="3120" t="s">
        <v>1131</v>
      </c>
      <c r="F58" s="2972" t="s">
        <v>1132</v>
      </c>
      <c r="G58" s="2841"/>
    </row>
    <row r="59" spans="1:7" s="2838" customFormat="1" ht="72">
      <c r="A59" s="3124" t="s">
        <v>292</v>
      </c>
      <c r="B59" s="2847" t="s">
        <v>180</v>
      </c>
      <c r="C59" s="2847" t="s">
        <v>1129</v>
      </c>
      <c r="D59" s="2847" t="s">
        <v>1134</v>
      </c>
      <c r="E59" s="2848" t="s">
        <v>1112</v>
      </c>
      <c r="F59" s="2972" t="s">
        <v>1080</v>
      </c>
    </row>
    <row r="60" spans="1:7" s="2838" customFormat="1" ht="48">
      <c r="A60" s="3124" t="s">
        <v>292</v>
      </c>
      <c r="B60" s="2847" t="s">
        <v>180</v>
      </c>
      <c r="C60" s="2847" t="s">
        <v>1129</v>
      </c>
      <c r="D60" s="2847" t="s">
        <v>1135</v>
      </c>
      <c r="E60" s="2848" t="s">
        <v>1136</v>
      </c>
      <c r="F60" s="2972" t="s">
        <v>1132</v>
      </c>
    </row>
    <row r="61" spans="1:7" s="2838" customFormat="1" ht="48">
      <c r="A61" s="3124" t="s">
        <v>292</v>
      </c>
      <c r="B61" s="2847" t="s">
        <v>180</v>
      </c>
      <c r="C61" s="2847" t="s">
        <v>1129</v>
      </c>
      <c r="D61" s="2847" t="s">
        <v>1137</v>
      </c>
      <c r="E61" s="2848" t="s">
        <v>1136</v>
      </c>
      <c r="F61" s="2972" t="s">
        <v>1132</v>
      </c>
    </row>
    <row r="62" spans="1:7" s="2838" customFormat="1" ht="48">
      <c r="A62" s="3124" t="s">
        <v>292</v>
      </c>
      <c r="B62" s="2847" t="s">
        <v>180</v>
      </c>
      <c r="C62" s="2847" t="s">
        <v>1129</v>
      </c>
      <c r="D62" s="2847" t="s">
        <v>1138</v>
      </c>
      <c r="E62" s="2848" t="s">
        <v>1136</v>
      </c>
      <c r="F62" s="2972" t="s">
        <v>1132</v>
      </c>
    </row>
    <row r="63" spans="1:7" s="2838" customFormat="1" ht="72.75" thickBot="1">
      <c r="A63" s="3126" t="s">
        <v>292</v>
      </c>
      <c r="B63" s="3115" t="s">
        <v>180</v>
      </c>
      <c r="C63" s="3115" t="s">
        <v>1129</v>
      </c>
      <c r="D63" s="3115" t="s">
        <v>1139</v>
      </c>
      <c r="E63" s="3116" t="s">
        <v>1140</v>
      </c>
      <c r="F63" s="3121" t="s">
        <v>1080</v>
      </c>
    </row>
    <row r="64" spans="1:7" s="2838" customFormat="1" ht="108">
      <c r="A64" s="3127" t="s">
        <v>292</v>
      </c>
      <c r="B64" s="3118" t="s">
        <v>294</v>
      </c>
      <c r="C64" s="3118" t="s">
        <v>1141</v>
      </c>
      <c r="D64" s="3118" t="s">
        <v>1142</v>
      </c>
      <c r="E64" s="3119" t="s">
        <v>1143</v>
      </c>
      <c r="F64" s="2973" t="s">
        <v>1144</v>
      </c>
      <c r="G64" s="2842"/>
    </row>
    <row r="65" spans="1:7" s="2838" customFormat="1" ht="36.75" thickBot="1">
      <c r="A65" s="3124" t="s">
        <v>292</v>
      </c>
      <c r="B65" s="2847" t="s">
        <v>294</v>
      </c>
      <c r="C65" s="2847" t="s">
        <v>996</v>
      </c>
      <c r="D65" s="2847" t="s">
        <v>1145</v>
      </c>
      <c r="E65" s="2848" t="s">
        <v>1146</v>
      </c>
      <c r="F65" s="2972" t="s">
        <v>1147</v>
      </c>
      <c r="G65" s="2842"/>
    </row>
    <row r="66" spans="1:7" s="2838" customFormat="1" ht="36.75" thickBot="1">
      <c r="A66" s="3124" t="s">
        <v>292</v>
      </c>
      <c r="B66" s="2847" t="s">
        <v>294</v>
      </c>
      <c r="C66" s="2847" t="s">
        <v>996</v>
      </c>
      <c r="D66" s="3122" t="s">
        <v>1148</v>
      </c>
      <c r="E66" s="3120" t="s">
        <v>1149</v>
      </c>
      <c r="F66" s="2973" t="s">
        <v>1150</v>
      </c>
      <c r="G66" s="2842"/>
    </row>
    <row r="67" spans="1:7" s="2841" customFormat="1" ht="180">
      <c r="A67" s="3127" t="s">
        <v>296</v>
      </c>
      <c r="B67" s="3118" t="s">
        <v>296</v>
      </c>
      <c r="C67" s="3118" t="s">
        <v>1141</v>
      </c>
      <c r="D67" s="3118" t="s">
        <v>1151</v>
      </c>
      <c r="E67" s="3119" t="s">
        <v>1152</v>
      </c>
      <c r="F67" s="2973" t="s">
        <v>1153</v>
      </c>
      <c r="G67" s="2838"/>
    </row>
    <row r="68" spans="1:7" s="2838" customFormat="1" ht="84">
      <c r="A68" s="3124" t="s">
        <v>296</v>
      </c>
      <c r="B68" s="2847" t="s">
        <v>296</v>
      </c>
      <c r="C68" s="2847" t="s">
        <v>1141</v>
      </c>
      <c r="D68" s="2847" t="s">
        <v>1154</v>
      </c>
      <c r="E68" s="2848" t="s">
        <v>1155</v>
      </c>
      <c r="F68" s="2972" t="s">
        <v>1156</v>
      </c>
    </row>
    <row r="69" spans="1:7" s="2838" customFormat="1" ht="48">
      <c r="A69" s="3124" t="s">
        <v>296</v>
      </c>
      <c r="B69" s="2847" t="s">
        <v>296</v>
      </c>
      <c r="C69" s="2847" t="s">
        <v>1141</v>
      </c>
      <c r="D69" s="2847" t="s">
        <v>1157</v>
      </c>
      <c r="E69" s="2848" t="s">
        <v>1158</v>
      </c>
      <c r="F69" s="3123" t="s">
        <v>1159</v>
      </c>
    </row>
    <row r="70" spans="1:7" s="2838" customFormat="1" ht="108.75" thickBot="1">
      <c r="A70" s="3124" t="s">
        <v>296</v>
      </c>
      <c r="B70" s="2847" t="s">
        <v>296</v>
      </c>
      <c r="C70" s="2847" t="s">
        <v>1141</v>
      </c>
      <c r="D70" s="2847" t="s">
        <v>1160</v>
      </c>
      <c r="E70" s="2848" t="s">
        <v>1161</v>
      </c>
      <c r="F70" s="3121" t="s">
        <v>1162</v>
      </c>
    </row>
    <row r="71" spans="1:7" s="2838" customFormat="1" ht="108">
      <c r="A71" s="3124" t="s">
        <v>296</v>
      </c>
      <c r="B71" s="2847" t="s">
        <v>296</v>
      </c>
      <c r="C71" s="2847" t="s">
        <v>1141</v>
      </c>
      <c r="D71" s="2847" t="s">
        <v>127</v>
      </c>
      <c r="E71" s="2848" t="s">
        <v>1163</v>
      </c>
      <c r="F71" s="3123" t="s">
        <v>1164</v>
      </c>
    </row>
    <row r="72" spans="1:7" s="2838" customFormat="1" ht="72">
      <c r="A72" s="3124" t="s">
        <v>296</v>
      </c>
      <c r="B72" s="2847" t="s">
        <v>296</v>
      </c>
      <c r="C72" s="2847" t="s">
        <v>1165</v>
      </c>
      <c r="D72" s="2847" t="s">
        <v>1166</v>
      </c>
      <c r="E72" s="2848" t="s">
        <v>1167</v>
      </c>
      <c r="F72" s="2972" t="s">
        <v>1080</v>
      </c>
    </row>
    <row r="73" spans="1:7" s="2838" customFormat="1" ht="84">
      <c r="A73" s="3124" t="s">
        <v>296</v>
      </c>
      <c r="B73" s="2847" t="s">
        <v>296</v>
      </c>
      <c r="C73" s="2847" t="s">
        <v>1165</v>
      </c>
      <c r="D73" s="2847" t="s">
        <v>1168</v>
      </c>
      <c r="E73" s="2848" t="s">
        <v>1169</v>
      </c>
      <c r="F73" s="2972" t="s">
        <v>1170</v>
      </c>
    </row>
    <row r="74" spans="1:7" s="2838" customFormat="1" ht="72">
      <c r="A74" s="3124" t="s">
        <v>296</v>
      </c>
      <c r="B74" s="2847" t="s">
        <v>296</v>
      </c>
      <c r="C74" s="2847" t="s">
        <v>1165</v>
      </c>
      <c r="D74" s="2847" t="s">
        <v>1171</v>
      </c>
      <c r="E74" s="2848" t="s">
        <v>1172</v>
      </c>
      <c r="F74" s="2972" t="s">
        <v>1173</v>
      </c>
    </row>
    <row r="75" spans="1:7" s="2838" customFormat="1" ht="60">
      <c r="A75" s="3124" t="s">
        <v>296</v>
      </c>
      <c r="B75" s="2847" t="s">
        <v>296</v>
      </c>
      <c r="C75" s="2847" t="s">
        <v>1165</v>
      </c>
      <c r="D75" s="2847" t="s">
        <v>1174</v>
      </c>
      <c r="E75" s="2848" t="s">
        <v>1175</v>
      </c>
      <c r="F75" s="3123" t="s">
        <v>1164</v>
      </c>
    </row>
    <row r="76" spans="1:7" s="2838" customFormat="1" ht="36">
      <c r="A76" s="3124" t="s">
        <v>296</v>
      </c>
      <c r="B76" s="2847" t="s">
        <v>296</v>
      </c>
      <c r="C76" s="2847" t="s">
        <v>1165</v>
      </c>
      <c r="D76" s="2847" t="s">
        <v>1176</v>
      </c>
      <c r="E76" s="2848" t="s">
        <v>1177</v>
      </c>
      <c r="F76" s="2972" t="s">
        <v>1170</v>
      </c>
    </row>
    <row r="77" spans="1:7" s="2838" customFormat="1" ht="36">
      <c r="A77" s="3124" t="s">
        <v>296</v>
      </c>
      <c r="B77" s="2847" t="s">
        <v>296</v>
      </c>
      <c r="C77" s="2847" t="s">
        <v>1165</v>
      </c>
      <c r="D77" s="2847" t="s">
        <v>1178</v>
      </c>
      <c r="E77" s="2848" t="s">
        <v>1179</v>
      </c>
      <c r="F77" s="2972" t="s">
        <v>1170</v>
      </c>
    </row>
    <row r="78" spans="1:7" s="2838" customFormat="1" ht="60">
      <c r="A78" s="3124" t="s">
        <v>296</v>
      </c>
      <c r="B78" s="2847" t="s">
        <v>296</v>
      </c>
      <c r="C78" s="2847" t="s">
        <v>1165</v>
      </c>
      <c r="D78" s="2847" t="s">
        <v>1180</v>
      </c>
      <c r="E78" s="2848" t="s">
        <v>1181</v>
      </c>
      <c r="F78" s="2972" t="s">
        <v>1170</v>
      </c>
    </row>
    <row r="79" spans="1:7" s="2838" customFormat="1" ht="156">
      <c r="A79" s="3124" t="s">
        <v>296</v>
      </c>
      <c r="B79" s="2847" t="s">
        <v>296</v>
      </c>
      <c r="C79" s="2847" t="s">
        <v>1165</v>
      </c>
      <c r="D79" s="2847" t="s">
        <v>1182</v>
      </c>
      <c r="E79" s="2848" t="s">
        <v>1183</v>
      </c>
      <c r="F79" s="2972" t="s">
        <v>1184</v>
      </c>
    </row>
    <row r="80" spans="1:7" s="2838" customFormat="1" ht="96">
      <c r="A80" s="3124" t="s">
        <v>296</v>
      </c>
      <c r="B80" s="2847" t="s">
        <v>296</v>
      </c>
      <c r="C80" s="2847" t="s">
        <v>1165</v>
      </c>
      <c r="D80" s="2847" t="s">
        <v>1185</v>
      </c>
      <c r="E80" s="2848" t="s">
        <v>1186</v>
      </c>
      <c r="F80" s="2972" t="s">
        <v>1159</v>
      </c>
    </row>
    <row r="81" spans="1:7" s="2838" customFormat="1" ht="48.75" thickBot="1">
      <c r="A81" s="3126" t="s">
        <v>296</v>
      </c>
      <c r="B81" s="3115" t="s">
        <v>296</v>
      </c>
      <c r="C81" s="3115" t="s">
        <v>1165</v>
      </c>
      <c r="D81" s="3115" t="s">
        <v>1187</v>
      </c>
      <c r="E81" s="3116" t="s">
        <v>1188</v>
      </c>
      <c r="F81" s="3128" t="s">
        <v>1189</v>
      </c>
    </row>
    <row r="82" spans="1:7" s="2838" customFormat="1" ht="60">
      <c r="A82" s="3127" t="s">
        <v>487</v>
      </c>
      <c r="B82" s="3118" t="s">
        <v>1065</v>
      </c>
      <c r="C82" s="3118" t="s">
        <v>1190</v>
      </c>
      <c r="D82" s="3118" t="s">
        <v>1191</v>
      </c>
      <c r="E82" s="3119" t="s">
        <v>1192</v>
      </c>
      <c r="F82" s="2973" t="s">
        <v>1105</v>
      </c>
      <c r="G82" s="2846"/>
    </row>
    <row r="83" spans="1:7" s="2838" customFormat="1" ht="72">
      <c r="A83" s="3124" t="s">
        <v>487</v>
      </c>
      <c r="B83" s="2847" t="s">
        <v>1065</v>
      </c>
      <c r="C83" s="2847" t="s">
        <v>1190</v>
      </c>
      <c r="D83" s="2847" t="s">
        <v>1193</v>
      </c>
      <c r="E83" s="2848" t="s">
        <v>1194</v>
      </c>
      <c r="F83" s="2972" t="s">
        <v>1105</v>
      </c>
      <c r="G83" s="2846"/>
    </row>
    <row r="84" spans="1:7" s="2838" customFormat="1" ht="24">
      <c r="A84" s="3124" t="s">
        <v>487</v>
      </c>
      <c r="B84" s="2847" t="s">
        <v>1065</v>
      </c>
      <c r="C84" s="2847" t="s">
        <v>1190</v>
      </c>
      <c r="D84" s="2847" t="s">
        <v>1195</v>
      </c>
      <c r="E84" s="2848" t="s">
        <v>1196</v>
      </c>
      <c r="F84" s="2972" t="s">
        <v>1105</v>
      </c>
      <c r="G84" s="2846"/>
    </row>
    <row r="85" spans="1:7" s="2838" customFormat="1" ht="24">
      <c r="A85" s="3124" t="s">
        <v>487</v>
      </c>
      <c r="B85" s="2847" t="s">
        <v>1065</v>
      </c>
      <c r="C85" s="2847" t="s">
        <v>1190</v>
      </c>
      <c r="D85" s="2847" t="s">
        <v>1197</v>
      </c>
      <c r="E85" s="2848" t="s">
        <v>1196</v>
      </c>
      <c r="F85" s="2972" t="s">
        <v>1105</v>
      </c>
      <c r="G85" s="2846"/>
    </row>
    <row r="86" spans="1:7" s="2838" customFormat="1" ht="48">
      <c r="A86" s="3124" t="s">
        <v>487</v>
      </c>
      <c r="B86" s="2847" t="s">
        <v>1065</v>
      </c>
      <c r="C86" s="2847" t="s">
        <v>996</v>
      </c>
      <c r="D86" s="2847" t="s">
        <v>1198</v>
      </c>
      <c r="E86" s="2848" t="s">
        <v>1199</v>
      </c>
      <c r="F86" s="2972" t="s">
        <v>1105</v>
      </c>
    </row>
    <row r="87" spans="1:7" s="2838" customFormat="1" ht="72">
      <c r="A87" s="3124" t="s">
        <v>487</v>
      </c>
      <c r="B87" s="2847" t="s">
        <v>1065</v>
      </c>
      <c r="C87" s="2847" t="s">
        <v>996</v>
      </c>
      <c r="D87" s="2847" t="s">
        <v>1200</v>
      </c>
      <c r="E87" s="2840" t="s">
        <v>1201</v>
      </c>
      <c r="F87" s="2969" t="s">
        <v>1000</v>
      </c>
    </row>
    <row r="88" spans="1:7" s="2838" customFormat="1" ht="60">
      <c r="A88" s="3124" t="s">
        <v>487</v>
      </c>
      <c r="B88" s="2847" t="s">
        <v>1065</v>
      </c>
      <c r="C88" s="2847" t="s">
        <v>996</v>
      </c>
      <c r="D88" s="2847" t="s">
        <v>1202</v>
      </c>
      <c r="E88" s="2848" t="s">
        <v>1203</v>
      </c>
      <c r="F88" s="2972" t="s">
        <v>1105</v>
      </c>
    </row>
    <row r="89" spans="1:7" s="2838" customFormat="1" ht="36">
      <c r="A89" s="3124" t="s">
        <v>487</v>
      </c>
      <c r="B89" s="2847" t="s">
        <v>1065</v>
      </c>
      <c r="C89" s="2847" t="s">
        <v>996</v>
      </c>
      <c r="D89" s="2847" t="s">
        <v>1204</v>
      </c>
      <c r="E89" s="2848" t="s">
        <v>1205</v>
      </c>
      <c r="F89" s="2972" t="s">
        <v>1105</v>
      </c>
      <c r="G89" s="2841"/>
    </row>
    <row r="90" spans="1:7" s="2838" customFormat="1" ht="48">
      <c r="A90" s="3124" t="s">
        <v>487</v>
      </c>
      <c r="B90" s="2847" t="s">
        <v>1065</v>
      </c>
      <c r="C90" s="2847" t="s">
        <v>996</v>
      </c>
      <c r="D90" s="2847" t="s">
        <v>1206</v>
      </c>
      <c r="E90" s="2848" t="s">
        <v>1207</v>
      </c>
      <c r="F90" s="3114"/>
    </row>
    <row r="91" spans="1:7" s="2838" customFormat="1" ht="36">
      <c r="A91" s="3124" t="s">
        <v>487</v>
      </c>
      <c r="B91" s="2847" t="s">
        <v>1065</v>
      </c>
      <c r="C91" s="2847" t="s">
        <v>996</v>
      </c>
      <c r="D91" s="2847" t="s">
        <v>1208</v>
      </c>
      <c r="E91" s="2848" t="s">
        <v>1209</v>
      </c>
      <c r="F91" s="2972" t="s">
        <v>1105</v>
      </c>
    </row>
    <row r="92" spans="1:7" s="2838" customFormat="1" ht="48">
      <c r="A92" s="3124" t="s">
        <v>487</v>
      </c>
      <c r="B92" s="2847" t="s">
        <v>1065</v>
      </c>
      <c r="C92" s="2847" t="s">
        <v>996</v>
      </c>
      <c r="D92" s="2847" t="s">
        <v>1210</v>
      </c>
      <c r="E92" s="2848" t="s">
        <v>1211</v>
      </c>
      <c r="F92" s="3114"/>
    </row>
    <row r="93" spans="1:7" s="2838" customFormat="1" ht="72">
      <c r="A93" s="3124" t="s">
        <v>487</v>
      </c>
      <c r="B93" s="2847" t="s">
        <v>1021</v>
      </c>
      <c r="C93" s="2847" t="s">
        <v>1190</v>
      </c>
      <c r="D93" s="2847" t="s">
        <v>1212</v>
      </c>
      <c r="E93" s="2848" t="s">
        <v>1213</v>
      </c>
      <c r="F93" s="2972" t="s">
        <v>1080</v>
      </c>
    </row>
    <row r="94" spans="1:7" s="2838" customFormat="1" ht="72">
      <c r="A94" s="3124" t="s">
        <v>487</v>
      </c>
      <c r="B94" s="2847" t="s">
        <v>1021</v>
      </c>
      <c r="C94" s="2847" t="s">
        <v>1190</v>
      </c>
      <c r="D94" s="2847" t="s">
        <v>1214</v>
      </c>
      <c r="E94" s="2848" t="s">
        <v>1215</v>
      </c>
      <c r="F94" s="2972" t="s">
        <v>1080</v>
      </c>
    </row>
    <row r="95" spans="1:7" s="2838" customFormat="1" ht="24">
      <c r="A95" s="3124" t="s">
        <v>487</v>
      </c>
      <c r="B95" s="2847" t="s">
        <v>1021</v>
      </c>
      <c r="C95" s="2847" t="s">
        <v>1190</v>
      </c>
      <c r="D95" s="2848" t="s">
        <v>1216</v>
      </c>
      <c r="E95" s="2848" t="s">
        <v>1217</v>
      </c>
      <c r="F95" s="3114"/>
    </row>
    <row r="96" spans="1:7" s="2838" customFormat="1" ht="60">
      <c r="A96" s="3124" t="s">
        <v>487</v>
      </c>
      <c r="B96" s="2847" t="s">
        <v>1021</v>
      </c>
      <c r="C96" s="2847" t="s">
        <v>996</v>
      </c>
      <c r="D96" s="2847" t="s">
        <v>1218</v>
      </c>
      <c r="E96" s="2848" t="s">
        <v>1219</v>
      </c>
      <c r="F96" s="2972" t="s">
        <v>1108</v>
      </c>
    </row>
    <row r="97" spans="1:6" s="2838" customFormat="1" ht="60">
      <c r="A97" s="3124" t="s">
        <v>487</v>
      </c>
      <c r="B97" s="2847" t="s">
        <v>1021</v>
      </c>
      <c r="C97" s="2847" t="s">
        <v>996</v>
      </c>
      <c r="D97" s="2847" t="s">
        <v>1220</v>
      </c>
      <c r="E97" s="2848" t="s">
        <v>1219</v>
      </c>
      <c r="F97" s="2972" t="s">
        <v>1108</v>
      </c>
    </row>
    <row r="98" spans="1:6" s="2838" customFormat="1" ht="60">
      <c r="A98" s="3124" t="s">
        <v>487</v>
      </c>
      <c r="B98" s="2847" t="s">
        <v>1021</v>
      </c>
      <c r="C98" s="2847" t="s">
        <v>996</v>
      </c>
      <c r="D98" s="2847" t="s">
        <v>1221</v>
      </c>
      <c r="E98" s="2848" t="s">
        <v>1219</v>
      </c>
      <c r="F98" s="2972" t="s">
        <v>1108</v>
      </c>
    </row>
    <row r="99" spans="1:6" s="2838" customFormat="1" ht="60">
      <c r="A99" s="3124" t="s">
        <v>487</v>
      </c>
      <c r="B99" s="2847" t="s">
        <v>1021</v>
      </c>
      <c r="C99" s="2847" t="s">
        <v>996</v>
      </c>
      <c r="D99" s="2847" t="s">
        <v>1222</v>
      </c>
      <c r="E99" s="2848" t="s">
        <v>1219</v>
      </c>
      <c r="F99" s="2972" t="s">
        <v>1108</v>
      </c>
    </row>
    <row r="100" spans="1:6" s="2838" customFormat="1" ht="60">
      <c r="A100" s="3124" t="s">
        <v>487</v>
      </c>
      <c r="B100" s="2847" t="s">
        <v>1021</v>
      </c>
      <c r="C100" s="2847" t="s">
        <v>996</v>
      </c>
      <c r="D100" s="2847" t="s">
        <v>1223</v>
      </c>
      <c r="E100" s="2848" t="s">
        <v>1219</v>
      </c>
      <c r="F100" s="2972" t="s">
        <v>1108</v>
      </c>
    </row>
    <row r="101" spans="1:6" s="2838" customFormat="1" ht="60">
      <c r="A101" s="3124" t="s">
        <v>487</v>
      </c>
      <c r="B101" s="2847" t="s">
        <v>1021</v>
      </c>
      <c r="C101" s="2847" t="s">
        <v>996</v>
      </c>
      <c r="D101" s="2847" t="s">
        <v>1224</v>
      </c>
      <c r="E101" s="2848" t="s">
        <v>1219</v>
      </c>
      <c r="F101" s="2972" t="s">
        <v>1108</v>
      </c>
    </row>
    <row r="102" spans="1:6" s="2838" customFormat="1" ht="48">
      <c r="A102" s="3124" t="s">
        <v>487</v>
      </c>
      <c r="B102" s="2847" t="s">
        <v>1021</v>
      </c>
      <c r="C102" s="2847" t="s">
        <v>996</v>
      </c>
      <c r="D102" s="2847" t="s">
        <v>1225</v>
      </c>
      <c r="E102" s="2848" t="s">
        <v>1226</v>
      </c>
      <c r="F102" s="3114"/>
    </row>
    <row r="103" spans="1:6" s="2838" customFormat="1" ht="48">
      <c r="A103" s="3124" t="s">
        <v>487</v>
      </c>
      <c r="B103" s="2847" t="s">
        <v>1021</v>
      </c>
      <c r="C103" s="2847" t="s">
        <v>996</v>
      </c>
      <c r="D103" s="2847" t="s">
        <v>1210</v>
      </c>
      <c r="E103" s="2848" t="s">
        <v>1211</v>
      </c>
      <c r="F103" s="3114"/>
    </row>
    <row r="104" spans="1:6" s="2838" customFormat="1" ht="216.75" thickBot="1">
      <c r="A104" s="3126" t="s">
        <v>487</v>
      </c>
      <c r="B104" s="3115" t="s">
        <v>1227</v>
      </c>
      <c r="C104" s="3115" t="s">
        <v>1190</v>
      </c>
      <c r="D104" s="3115" t="s">
        <v>1228</v>
      </c>
      <c r="E104" s="3116" t="s">
        <v>1229</v>
      </c>
      <c r="F104" s="3121" t="s">
        <v>1230</v>
      </c>
    </row>
    <row r="105" spans="1:6" s="2838" customFormat="1" ht="216">
      <c r="A105" s="3127" t="s">
        <v>135</v>
      </c>
      <c r="B105" s="3118" t="s">
        <v>1227</v>
      </c>
      <c r="C105" s="3118" t="s">
        <v>1190</v>
      </c>
      <c r="D105" s="3118" t="s">
        <v>1231</v>
      </c>
      <c r="E105" s="3119" t="s">
        <v>1229</v>
      </c>
      <c r="F105" s="2973" t="s">
        <v>1230</v>
      </c>
    </row>
    <row r="106" spans="1:6" s="2838" customFormat="1" ht="216">
      <c r="A106" s="3124" t="s">
        <v>135</v>
      </c>
      <c r="B106" s="2847" t="s">
        <v>1227</v>
      </c>
      <c r="C106" s="2847" t="s">
        <v>1190</v>
      </c>
      <c r="D106" s="2847" t="s">
        <v>1232</v>
      </c>
      <c r="E106" s="2848" t="s">
        <v>1229</v>
      </c>
      <c r="F106" s="2972" t="s">
        <v>1230</v>
      </c>
    </row>
    <row r="107" spans="1:6" s="2838" customFormat="1" ht="216">
      <c r="A107" s="3124" t="s">
        <v>135</v>
      </c>
      <c r="B107" s="2847" t="s">
        <v>1227</v>
      </c>
      <c r="C107" s="2847" t="s">
        <v>1190</v>
      </c>
      <c r="D107" s="2847" t="s">
        <v>1233</v>
      </c>
      <c r="E107" s="2848" t="s">
        <v>1229</v>
      </c>
      <c r="F107" s="2972" t="s">
        <v>1230</v>
      </c>
    </row>
    <row r="108" spans="1:6" s="2838" customFormat="1" ht="48">
      <c r="A108" s="3124" t="s">
        <v>135</v>
      </c>
      <c r="B108" s="2847" t="s">
        <v>1227</v>
      </c>
      <c r="C108" s="2847" t="s">
        <v>1001</v>
      </c>
      <c r="D108" s="2847" t="s">
        <v>1234</v>
      </c>
      <c r="E108" s="2848" t="s">
        <v>1235</v>
      </c>
      <c r="F108" s="2972" t="s">
        <v>1236</v>
      </c>
    </row>
    <row r="109" spans="1:6" s="2838" customFormat="1" ht="60">
      <c r="A109" s="3124" t="s">
        <v>135</v>
      </c>
      <c r="B109" s="2847" t="s">
        <v>857</v>
      </c>
      <c r="C109" s="2847" t="s">
        <v>1190</v>
      </c>
      <c r="D109" s="2847" t="s">
        <v>1237</v>
      </c>
      <c r="E109" s="2848" t="s">
        <v>1238</v>
      </c>
      <c r="F109" s="2972" t="s">
        <v>1239</v>
      </c>
    </row>
    <row r="110" spans="1:6" s="2838" customFormat="1" ht="84">
      <c r="A110" s="3124" t="s">
        <v>135</v>
      </c>
      <c r="B110" s="2847" t="s">
        <v>857</v>
      </c>
      <c r="C110" s="2847" t="s">
        <v>1190</v>
      </c>
      <c r="D110" s="2847" t="s">
        <v>1240</v>
      </c>
      <c r="E110" s="2848" t="s">
        <v>1241</v>
      </c>
      <c r="F110" s="2972" t="s">
        <v>1239</v>
      </c>
    </row>
    <row r="111" spans="1:6" s="2838" customFormat="1" ht="60">
      <c r="A111" s="3124" t="s">
        <v>135</v>
      </c>
      <c r="B111" s="2847" t="s">
        <v>857</v>
      </c>
      <c r="C111" s="2847" t="s">
        <v>1190</v>
      </c>
      <c r="D111" s="2847" t="s">
        <v>1242</v>
      </c>
      <c r="E111" s="2848" t="s">
        <v>1243</v>
      </c>
      <c r="F111" s="2972" t="s">
        <v>1239</v>
      </c>
    </row>
    <row r="112" spans="1:6" s="2838" customFormat="1" ht="60">
      <c r="A112" s="3124" t="s">
        <v>135</v>
      </c>
      <c r="B112" s="2847" t="s">
        <v>857</v>
      </c>
      <c r="C112" s="2847" t="s">
        <v>1190</v>
      </c>
      <c r="D112" s="2847" t="s">
        <v>1244</v>
      </c>
      <c r="E112" s="2848" t="s">
        <v>1243</v>
      </c>
      <c r="F112" s="2972" t="s">
        <v>1239</v>
      </c>
    </row>
    <row r="113" spans="1:7" s="2838" customFormat="1" ht="84">
      <c r="A113" s="3124" t="s">
        <v>135</v>
      </c>
      <c r="B113" s="2847" t="s">
        <v>857</v>
      </c>
      <c r="C113" s="2847" t="s">
        <v>1190</v>
      </c>
      <c r="D113" s="2847" t="s">
        <v>1245</v>
      </c>
      <c r="E113" s="2848" t="s">
        <v>1246</v>
      </c>
      <c r="F113" s="2972" t="s">
        <v>1230</v>
      </c>
    </row>
    <row r="114" spans="1:7" s="2838" customFormat="1" ht="84">
      <c r="A114" s="3124" t="s">
        <v>135</v>
      </c>
      <c r="B114" s="2847" t="s">
        <v>857</v>
      </c>
      <c r="C114" s="2847" t="s">
        <v>1190</v>
      </c>
      <c r="D114" s="2847" t="s">
        <v>1247</v>
      </c>
      <c r="E114" s="2848" t="s">
        <v>1246</v>
      </c>
      <c r="F114" s="2972" t="s">
        <v>1230</v>
      </c>
    </row>
    <row r="115" spans="1:7" s="2838" customFormat="1" ht="84">
      <c r="A115" s="3124" t="s">
        <v>135</v>
      </c>
      <c r="B115" s="2847" t="s">
        <v>857</v>
      </c>
      <c r="C115" s="2847" t="s">
        <v>1190</v>
      </c>
      <c r="D115" s="2847" t="s">
        <v>1248</v>
      </c>
      <c r="E115" s="2848" t="s">
        <v>1246</v>
      </c>
      <c r="F115" s="2972" t="s">
        <v>1230</v>
      </c>
    </row>
    <row r="116" spans="1:7" s="2838" customFormat="1" ht="60">
      <c r="A116" s="3124" t="s">
        <v>135</v>
      </c>
      <c r="B116" s="2847" t="s">
        <v>857</v>
      </c>
      <c r="C116" s="2847" t="s">
        <v>1190</v>
      </c>
      <c r="D116" s="2847" t="s">
        <v>1249</v>
      </c>
      <c r="E116" s="2848" t="s">
        <v>1250</v>
      </c>
      <c r="F116" s="3129"/>
    </row>
    <row r="117" spans="1:7" s="2838" customFormat="1" ht="24">
      <c r="A117" s="3124" t="s">
        <v>135</v>
      </c>
      <c r="B117" s="2847" t="s">
        <v>857</v>
      </c>
      <c r="C117" s="2847" t="s">
        <v>1190</v>
      </c>
      <c r="D117" s="2847" t="s">
        <v>141</v>
      </c>
      <c r="E117" s="2848" t="s">
        <v>1251</v>
      </c>
      <c r="F117" s="2972" t="s">
        <v>1251</v>
      </c>
      <c r="G117" s="2841"/>
    </row>
    <row r="118" spans="1:7" s="2838" customFormat="1" ht="48">
      <c r="A118" s="3124" t="s">
        <v>135</v>
      </c>
      <c r="B118" s="2847" t="s">
        <v>857</v>
      </c>
      <c r="C118" s="2847" t="s">
        <v>996</v>
      </c>
      <c r="D118" s="2847" t="s">
        <v>1252</v>
      </c>
      <c r="E118" s="2848" t="s">
        <v>1253</v>
      </c>
      <c r="F118" s="2972" t="s">
        <v>1254</v>
      </c>
    </row>
    <row r="119" spans="1:7" s="2838" customFormat="1" ht="48">
      <c r="A119" s="3124" t="s">
        <v>135</v>
      </c>
      <c r="B119" s="2847" t="s">
        <v>857</v>
      </c>
      <c r="C119" s="2847" t="s">
        <v>996</v>
      </c>
      <c r="D119" s="2847" t="s">
        <v>1255</v>
      </c>
      <c r="E119" s="2848" t="s">
        <v>1253</v>
      </c>
      <c r="F119" s="2972" t="s">
        <v>1254</v>
      </c>
    </row>
    <row r="120" spans="1:7" s="2838" customFormat="1" ht="48">
      <c r="A120" s="3124" t="s">
        <v>135</v>
      </c>
      <c r="B120" s="2847" t="s">
        <v>857</v>
      </c>
      <c r="C120" s="2847" t="s">
        <v>996</v>
      </c>
      <c r="D120" s="2847" t="s">
        <v>1256</v>
      </c>
      <c r="E120" s="2848" t="s">
        <v>1235</v>
      </c>
      <c r="F120" s="2972" t="s">
        <v>1236</v>
      </c>
    </row>
    <row r="121" spans="1:7" s="2838" customFormat="1" ht="48">
      <c r="A121" s="3124" t="s">
        <v>135</v>
      </c>
      <c r="B121" s="2847" t="s">
        <v>857</v>
      </c>
      <c r="C121" s="2847" t="s">
        <v>996</v>
      </c>
      <c r="D121" s="2847" t="s">
        <v>1257</v>
      </c>
      <c r="E121" s="2848" t="s">
        <v>1235</v>
      </c>
      <c r="F121" s="2972" t="s">
        <v>1236</v>
      </c>
    </row>
    <row r="122" spans="1:7" s="2838" customFormat="1" ht="48">
      <c r="A122" s="3124" t="s">
        <v>135</v>
      </c>
      <c r="B122" s="2847" t="s">
        <v>857</v>
      </c>
      <c r="C122" s="2847" t="s">
        <v>996</v>
      </c>
      <c r="D122" s="2847" t="s">
        <v>1258</v>
      </c>
      <c r="E122" s="2848" t="s">
        <v>1235</v>
      </c>
      <c r="F122" s="2972" t="s">
        <v>1236</v>
      </c>
    </row>
    <row r="123" spans="1:7" s="2838" customFormat="1" ht="48">
      <c r="A123" s="3124" t="s">
        <v>135</v>
      </c>
      <c r="B123" s="2847" t="s">
        <v>857</v>
      </c>
      <c r="C123" s="2847" t="s">
        <v>996</v>
      </c>
      <c r="D123" s="2847" t="s">
        <v>1259</v>
      </c>
      <c r="E123" s="2848" t="s">
        <v>1260</v>
      </c>
      <c r="F123" s="2972" t="s">
        <v>1230</v>
      </c>
    </row>
    <row r="124" spans="1:7" s="2838" customFormat="1" ht="48">
      <c r="A124" s="3124" t="s">
        <v>135</v>
      </c>
      <c r="B124" s="2847" t="s">
        <v>857</v>
      </c>
      <c r="C124" s="2847" t="s">
        <v>996</v>
      </c>
      <c r="D124" s="2847" t="s">
        <v>924</v>
      </c>
      <c r="E124" s="2848" t="s">
        <v>1261</v>
      </c>
      <c r="F124" s="2972" t="s">
        <v>1230</v>
      </c>
    </row>
    <row r="125" spans="1:7" s="2838" customFormat="1" ht="84">
      <c r="A125" s="3124" t="s">
        <v>135</v>
      </c>
      <c r="B125" s="2847" t="s">
        <v>857</v>
      </c>
      <c r="C125" s="2847" t="s">
        <v>996</v>
      </c>
      <c r="D125" s="2847" t="s">
        <v>1262</v>
      </c>
      <c r="E125" s="2848" t="s">
        <v>1263</v>
      </c>
      <c r="F125" s="2972" t="s">
        <v>1264</v>
      </c>
    </row>
    <row r="126" spans="1:7" s="2838" customFormat="1" ht="72">
      <c r="A126" s="3124" t="s">
        <v>135</v>
      </c>
      <c r="B126" s="2847" t="s">
        <v>1265</v>
      </c>
      <c r="C126" s="2847" t="s">
        <v>1141</v>
      </c>
      <c r="D126" s="2847" t="s">
        <v>1255</v>
      </c>
      <c r="E126" s="2848" t="s">
        <v>1266</v>
      </c>
      <c r="F126" s="2972" t="s">
        <v>1267</v>
      </c>
    </row>
    <row r="127" spans="1:7" s="2838" customFormat="1" ht="72">
      <c r="A127" s="3124" t="s">
        <v>135</v>
      </c>
      <c r="B127" s="2847" t="s">
        <v>1265</v>
      </c>
      <c r="C127" s="2847" t="s">
        <v>1141</v>
      </c>
      <c r="D127" s="2847" t="s">
        <v>1268</v>
      </c>
      <c r="E127" s="2848" t="s">
        <v>1266</v>
      </c>
      <c r="F127" s="2972" t="s">
        <v>1267</v>
      </c>
    </row>
    <row r="128" spans="1:7" s="2838" customFormat="1" ht="60">
      <c r="A128" s="3124" t="s">
        <v>135</v>
      </c>
      <c r="B128" s="2847" t="s">
        <v>1265</v>
      </c>
      <c r="C128" s="2847" t="s">
        <v>996</v>
      </c>
      <c r="D128" s="2847" t="s">
        <v>1269</v>
      </c>
      <c r="E128" s="2848" t="s">
        <v>1270</v>
      </c>
      <c r="F128" s="2972" t="s">
        <v>1271</v>
      </c>
    </row>
    <row r="129" spans="1:6" s="2838" customFormat="1" ht="144">
      <c r="A129" s="3124" t="s">
        <v>135</v>
      </c>
      <c r="B129" s="2847" t="s">
        <v>1272</v>
      </c>
      <c r="C129" s="2847" t="s">
        <v>1141</v>
      </c>
      <c r="D129" s="2847" t="s">
        <v>1273</v>
      </c>
      <c r="E129" s="2848" t="s">
        <v>1274</v>
      </c>
      <c r="F129" s="2972" t="s">
        <v>1275</v>
      </c>
    </row>
    <row r="130" spans="1:6" s="2838" customFormat="1" ht="144">
      <c r="A130" s="3124" t="s">
        <v>1276</v>
      </c>
      <c r="B130" s="2847" t="s">
        <v>1272</v>
      </c>
      <c r="C130" s="2847" t="s">
        <v>1141</v>
      </c>
      <c r="D130" s="2847" t="s">
        <v>1277</v>
      </c>
      <c r="E130" s="2848" t="s">
        <v>1274</v>
      </c>
      <c r="F130" s="2972" t="s">
        <v>1275</v>
      </c>
    </row>
    <row r="131" spans="1:6" s="2838" customFormat="1" ht="60">
      <c r="A131" s="3124" t="s">
        <v>1276</v>
      </c>
      <c r="B131" s="2847" t="s">
        <v>1278</v>
      </c>
      <c r="C131" s="2847" t="s">
        <v>1141</v>
      </c>
      <c r="D131" s="2847" t="s">
        <v>1279</v>
      </c>
      <c r="E131" s="2848" t="s">
        <v>1280</v>
      </c>
      <c r="F131" s="2972" t="s">
        <v>1275</v>
      </c>
    </row>
    <row r="132" spans="1:6" s="2838" customFormat="1" ht="60">
      <c r="A132" s="3124" t="s">
        <v>1276</v>
      </c>
      <c r="B132" s="2847" t="s">
        <v>1278</v>
      </c>
      <c r="C132" s="2847" t="s">
        <v>1141</v>
      </c>
      <c r="D132" s="2847" t="s">
        <v>1281</v>
      </c>
      <c r="E132" s="2848" t="s">
        <v>1280</v>
      </c>
      <c r="F132" s="2972" t="s">
        <v>1275</v>
      </c>
    </row>
    <row r="133" spans="1:6" s="2838" customFormat="1" ht="60">
      <c r="A133" s="3124" t="s">
        <v>1276</v>
      </c>
      <c r="B133" s="2847" t="s">
        <v>1278</v>
      </c>
      <c r="C133" s="2847" t="s">
        <v>1141</v>
      </c>
      <c r="D133" s="2847" t="s">
        <v>1282</v>
      </c>
      <c r="E133" s="2848" t="s">
        <v>1280</v>
      </c>
      <c r="F133" s="2972" t="s">
        <v>1275</v>
      </c>
    </row>
    <row r="134" spans="1:6" s="2838" customFormat="1" ht="36">
      <c r="A134" s="3124" t="s">
        <v>1276</v>
      </c>
      <c r="B134" s="2847" t="s">
        <v>1278</v>
      </c>
      <c r="C134" s="2847" t="s">
        <v>996</v>
      </c>
      <c r="D134" s="2847" t="s">
        <v>1283</v>
      </c>
      <c r="E134" s="2848" t="s">
        <v>1284</v>
      </c>
      <c r="F134" s="2972" t="s">
        <v>1285</v>
      </c>
    </row>
    <row r="135" spans="1:6" s="2838" customFormat="1" ht="36">
      <c r="A135" s="3124" t="s">
        <v>1276</v>
      </c>
      <c r="B135" s="2847" t="s">
        <v>1278</v>
      </c>
      <c r="C135" s="2847" t="s">
        <v>996</v>
      </c>
      <c r="D135" s="2847" t="s">
        <v>1286</v>
      </c>
      <c r="E135" s="2848" t="s">
        <v>1284</v>
      </c>
      <c r="F135" s="2972" t="s">
        <v>1285</v>
      </c>
    </row>
    <row r="136" spans="1:6" s="2838" customFormat="1" ht="36">
      <c r="A136" s="3124" t="s">
        <v>1276</v>
      </c>
      <c r="B136" s="2847" t="s">
        <v>1278</v>
      </c>
      <c r="C136" s="2847" t="s">
        <v>996</v>
      </c>
      <c r="D136" s="2847" t="s">
        <v>1287</v>
      </c>
      <c r="E136" s="2848" t="s">
        <v>1288</v>
      </c>
      <c r="F136" s="2972" t="s">
        <v>1289</v>
      </c>
    </row>
    <row r="137" spans="1:6" s="2838" customFormat="1" ht="48">
      <c r="A137" s="3130" t="s">
        <v>1276</v>
      </c>
      <c r="B137" s="3131" t="s">
        <v>1278</v>
      </c>
      <c r="C137" s="3131" t="s">
        <v>996</v>
      </c>
      <c r="D137" s="3131" t="s">
        <v>1290</v>
      </c>
      <c r="E137" s="3132" t="s">
        <v>1291</v>
      </c>
      <c r="F137" s="3123" t="s">
        <v>1275</v>
      </c>
    </row>
    <row r="138" spans="1:6" s="2838" customFormat="1" ht="48">
      <c r="A138" s="3133" t="s">
        <v>1276</v>
      </c>
      <c r="B138" s="3133" t="s">
        <v>1278</v>
      </c>
      <c r="C138" s="3133" t="s">
        <v>996</v>
      </c>
      <c r="D138" s="3133" t="s">
        <v>1292</v>
      </c>
      <c r="E138" s="3134" t="s">
        <v>1291</v>
      </c>
      <c r="F138" s="3135" t="s">
        <v>1275</v>
      </c>
    </row>
    <row r="139" spans="1:6" s="2838" customFormat="1" ht="252">
      <c r="A139" s="3133" t="s">
        <v>489</v>
      </c>
      <c r="B139" s="3133" t="s">
        <v>99</v>
      </c>
      <c r="C139" s="3133" t="s">
        <v>1141</v>
      </c>
      <c r="D139" s="3133" t="s">
        <v>1293</v>
      </c>
      <c r="E139" s="3134" t="s">
        <v>1294</v>
      </c>
      <c r="F139" s="2972" t="s">
        <v>1295</v>
      </c>
    </row>
    <row r="140" spans="1:6" s="2838" customFormat="1" ht="72">
      <c r="A140" s="3133" t="s">
        <v>489</v>
      </c>
      <c r="B140" s="3133" t="s">
        <v>99</v>
      </c>
      <c r="C140" s="3133" t="s">
        <v>1141</v>
      </c>
      <c r="D140" s="3133" t="s">
        <v>1296</v>
      </c>
      <c r="E140" s="3134" t="s">
        <v>1297</v>
      </c>
      <c r="F140" s="3135" t="s">
        <v>1298</v>
      </c>
    </row>
    <row r="141" spans="1:6" s="2838" customFormat="1" ht="132">
      <c r="A141" s="3136" t="s">
        <v>489</v>
      </c>
      <c r="B141" s="3122" t="s">
        <v>99</v>
      </c>
      <c r="C141" s="3122" t="s">
        <v>1141</v>
      </c>
      <c r="D141" s="3122" t="s">
        <v>1299</v>
      </c>
      <c r="E141" s="3120" t="s">
        <v>1300</v>
      </c>
      <c r="F141" s="3137" t="s">
        <v>1144</v>
      </c>
    </row>
    <row r="142" spans="1:6" s="2838" customFormat="1" ht="48">
      <c r="A142" s="3124" t="s">
        <v>489</v>
      </c>
      <c r="B142" s="2847" t="s">
        <v>99</v>
      </c>
      <c r="C142" s="2847" t="s">
        <v>996</v>
      </c>
      <c r="D142" s="2847" t="s">
        <v>1301</v>
      </c>
      <c r="E142" s="2848" t="s">
        <v>1302</v>
      </c>
      <c r="F142" s="3125"/>
    </row>
    <row r="143" spans="1:6" s="2838" customFormat="1" ht="60">
      <c r="A143" s="3124" t="s">
        <v>489</v>
      </c>
      <c r="B143" s="2847" t="s">
        <v>99</v>
      </c>
      <c r="C143" s="2847" t="s">
        <v>996</v>
      </c>
      <c r="D143" s="2847" t="s">
        <v>1303</v>
      </c>
      <c r="E143" s="3134" t="s">
        <v>1304</v>
      </c>
      <c r="F143" s="2972" t="s">
        <v>1295</v>
      </c>
    </row>
    <row r="144" spans="1:6" s="2838" customFormat="1" ht="24">
      <c r="A144" s="3124" t="s">
        <v>489</v>
      </c>
      <c r="B144" s="2847" t="s">
        <v>99</v>
      </c>
      <c r="C144" s="2847" t="s">
        <v>996</v>
      </c>
      <c r="D144" s="2847" t="s">
        <v>1305</v>
      </c>
      <c r="E144" s="2848" t="s">
        <v>1306</v>
      </c>
      <c r="F144" s="2972"/>
    </row>
    <row r="145" spans="1:16" s="2838" customFormat="1" ht="72">
      <c r="A145" s="3124" t="s">
        <v>489</v>
      </c>
      <c r="B145" s="2847" t="s">
        <v>99</v>
      </c>
      <c r="C145" s="2847" t="s">
        <v>996</v>
      </c>
      <c r="D145" s="2847" t="s">
        <v>1307</v>
      </c>
      <c r="E145" s="2848" t="s">
        <v>1308</v>
      </c>
      <c r="F145" s="2972" t="s">
        <v>1080</v>
      </c>
    </row>
    <row r="146" spans="1:16" s="2838" customFormat="1" ht="72">
      <c r="A146" s="3124" t="s">
        <v>489</v>
      </c>
      <c r="B146" s="2847" t="s">
        <v>99</v>
      </c>
      <c r="C146" s="2847" t="s">
        <v>996</v>
      </c>
      <c r="D146" s="2847" t="s">
        <v>1309</v>
      </c>
      <c r="E146" s="2848" t="s">
        <v>1308</v>
      </c>
      <c r="F146" s="2972" t="s">
        <v>1080</v>
      </c>
    </row>
    <row r="147" spans="1:16" s="2838" customFormat="1" ht="132">
      <c r="A147" s="3124" t="s">
        <v>489</v>
      </c>
      <c r="B147" s="2847" t="s">
        <v>99</v>
      </c>
      <c r="C147" s="2847" t="s">
        <v>996</v>
      </c>
      <c r="D147" s="2847" t="s">
        <v>1310</v>
      </c>
      <c r="E147" s="2848" t="s">
        <v>1311</v>
      </c>
      <c r="F147" s="2972" t="s">
        <v>1312</v>
      </c>
    </row>
    <row r="148" spans="1:16" s="2838" customFormat="1" ht="60">
      <c r="A148" s="3124" t="s">
        <v>489</v>
      </c>
      <c r="B148" s="2847" t="s">
        <v>99</v>
      </c>
      <c r="C148" s="2847" t="s">
        <v>996</v>
      </c>
      <c r="D148" s="2847" t="s">
        <v>1313</v>
      </c>
      <c r="E148" s="2848" t="s">
        <v>1314</v>
      </c>
      <c r="F148" s="2972" t="s">
        <v>1298</v>
      </c>
      <c r="H148" s="2792"/>
      <c r="I148" s="2792"/>
      <c r="J148" s="2792"/>
      <c r="K148" s="2792"/>
      <c r="L148" s="2792"/>
      <c r="M148" s="2792"/>
      <c r="N148" s="2792"/>
      <c r="O148" s="2792"/>
      <c r="P148" s="2792"/>
    </row>
    <row r="149" spans="1:16" s="2838" customFormat="1" ht="48">
      <c r="A149" s="3124" t="s">
        <v>489</v>
      </c>
      <c r="B149" s="2847" t="s">
        <v>99</v>
      </c>
      <c r="C149" s="2847" t="s">
        <v>996</v>
      </c>
      <c r="D149" s="2847" t="s">
        <v>1315</v>
      </c>
      <c r="E149" s="2848" t="s">
        <v>1316</v>
      </c>
      <c r="F149" s="2972" t="s">
        <v>1298</v>
      </c>
    </row>
    <row r="150" spans="1:16" s="2838" customFormat="1" ht="48">
      <c r="A150" s="3124" t="s">
        <v>489</v>
      </c>
      <c r="B150" s="2847" t="s">
        <v>99</v>
      </c>
      <c r="C150" s="2847" t="s">
        <v>996</v>
      </c>
      <c r="D150" s="2847" t="s">
        <v>1317</v>
      </c>
      <c r="E150" s="2848" t="s">
        <v>1318</v>
      </c>
      <c r="F150" s="2972" t="s">
        <v>1275</v>
      </c>
    </row>
    <row r="151" spans="1:16" s="2838" customFormat="1" ht="12">
      <c r="A151" s="3124" t="s">
        <v>489</v>
      </c>
      <c r="B151" s="2847" t="s">
        <v>99</v>
      </c>
      <c r="C151" s="2847" t="s">
        <v>996</v>
      </c>
      <c r="D151" s="2847" t="s">
        <v>1319</v>
      </c>
      <c r="E151" s="3138" t="s">
        <v>72</v>
      </c>
      <c r="F151" s="3125"/>
    </row>
    <row r="152" spans="1:16" s="2838" customFormat="1" ht="48">
      <c r="A152" s="3124" t="s">
        <v>489</v>
      </c>
      <c r="B152" s="2847" t="s">
        <v>99</v>
      </c>
      <c r="C152" s="2847" t="s">
        <v>996</v>
      </c>
      <c r="D152" s="2847" t="s">
        <v>1320</v>
      </c>
      <c r="E152" s="2848" t="s">
        <v>1321</v>
      </c>
      <c r="F152" s="2972" t="s">
        <v>1298</v>
      </c>
    </row>
    <row r="153" spans="1:16" s="2838" customFormat="1" ht="72">
      <c r="A153" s="3124" t="s">
        <v>489</v>
      </c>
      <c r="B153" s="2847" t="s">
        <v>99</v>
      </c>
      <c r="C153" s="2847" t="s">
        <v>996</v>
      </c>
      <c r="D153" s="2847" t="s">
        <v>1322</v>
      </c>
      <c r="E153" s="2848" t="s">
        <v>1297</v>
      </c>
      <c r="F153" s="2972" t="s">
        <v>1298</v>
      </c>
    </row>
    <row r="154" spans="1:16" s="2838" customFormat="1" ht="72">
      <c r="A154" s="3124" t="s">
        <v>489</v>
      </c>
      <c r="B154" s="2847" t="s">
        <v>99</v>
      </c>
      <c r="C154" s="2847" t="s">
        <v>996</v>
      </c>
      <c r="D154" s="2847" t="s">
        <v>1323</v>
      </c>
      <c r="E154" s="2848" t="s">
        <v>1297</v>
      </c>
      <c r="F154" s="2972" t="s">
        <v>1298</v>
      </c>
    </row>
    <row r="155" spans="1:16" s="2838" customFormat="1" ht="48">
      <c r="A155" s="3124" t="s">
        <v>489</v>
      </c>
      <c r="B155" s="2847" t="s">
        <v>99</v>
      </c>
      <c r="C155" s="2847" t="s">
        <v>996</v>
      </c>
      <c r="D155" s="2847" t="s">
        <v>1324</v>
      </c>
      <c r="E155" s="2848" t="s">
        <v>1325</v>
      </c>
      <c r="F155" s="2972" t="s">
        <v>1298</v>
      </c>
    </row>
    <row r="156" spans="1:16" s="2838" customFormat="1" ht="180">
      <c r="A156" s="3124" t="s">
        <v>489</v>
      </c>
      <c r="B156" s="2847" t="s">
        <v>99</v>
      </c>
      <c r="C156" s="2847" t="s">
        <v>996</v>
      </c>
      <c r="D156" s="2847" t="s">
        <v>1326</v>
      </c>
      <c r="E156" s="2848" t="s">
        <v>1327</v>
      </c>
      <c r="F156" s="2972" t="s">
        <v>1230</v>
      </c>
    </row>
    <row r="157" spans="1:16" s="2838" customFormat="1" ht="180">
      <c r="A157" s="3124" t="s">
        <v>489</v>
      </c>
      <c r="B157" s="2847" t="s">
        <v>99</v>
      </c>
      <c r="C157" s="2847" t="s">
        <v>996</v>
      </c>
      <c r="D157" s="2847" t="s">
        <v>1328</v>
      </c>
      <c r="E157" s="2848" t="s">
        <v>1327</v>
      </c>
      <c r="F157" s="2972" t="s">
        <v>1230</v>
      </c>
    </row>
    <row r="158" spans="1:16" s="2838" customFormat="1" ht="132">
      <c r="A158" s="3124" t="s">
        <v>489</v>
      </c>
      <c r="B158" s="2847" t="s">
        <v>99</v>
      </c>
      <c r="C158" s="2847" t="s">
        <v>996</v>
      </c>
      <c r="D158" s="2847" t="s">
        <v>1329</v>
      </c>
      <c r="E158" s="2848" t="s">
        <v>1330</v>
      </c>
      <c r="F158" s="2972" t="s">
        <v>1331</v>
      </c>
    </row>
    <row r="159" spans="1:16" s="2838" customFormat="1" ht="36">
      <c r="A159" s="3124" t="s">
        <v>489</v>
      </c>
      <c r="B159" s="2847" t="s">
        <v>101</v>
      </c>
      <c r="C159" s="2847" t="s">
        <v>1141</v>
      </c>
      <c r="D159" s="2847" t="s">
        <v>1332</v>
      </c>
      <c r="E159" s="2848" t="s">
        <v>1333</v>
      </c>
      <c r="F159" s="3125"/>
    </row>
    <row r="160" spans="1:16" s="2838" customFormat="1" ht="132">
      <c r="A160" s="3124" t="s">
        <v>489</v>
      </c>
      <c r="B160" s="2847" t="s">
        <v>101</v>
      </c>
      <c r="C160" s="2847" t="s">
        <v>1141</v>
      </c>
      <c r="D160" s="2847" t="s">
        <v>1334</v>
      </c>
      <c r="E160" s="2848" t="s">
        <v>1335</v>
      </c>
      <c r="F160" s="2972" t="s">
        <v>1336</v>
      </c>
    </row>
    <row r="161" spans="1:6" s="2838" customFormat="1" ht="156">
      <c r="A161" s="3124" t="s">
        <v>489</v>
      </c>
      <c r="B161" s="2847" t="s">
        <v>101</v>
      </c>
      <c r="C161" s="2847" t="s">
        <v>1141</v>
      </c>
      <c r="D161" s="2847" t="s">
        <v>1337</v>
      </c>
      <c r="E161" s="2848" t="s">
        <v>1338</v>
      </c>
      <c r="F161" s="2972" t="s">
        <v>1339</v>
      </c>
    </row>
    <row r="162" spans="1:6" s="2838" customFormat="1" ht="36">
      <c r="A162" s="3124" t="s">
        <v>489</v>
      </c>
      <c r="B162" s="2847" t="s">
        <v>101</v>
      </c>
      <c r="C162" s="2847" t="s">
        <v>1141</v>
      </c>
      <c r="D162" s="2847" t="s">
        <v>1340</v>
      </c>
      <c r="E162" s="2848" t="s">
        <v>1341</v>
      </c>
      <c r="F162" s="3125"/>
    </row>
    <row r="163" spans="1:6" s="2838" customFormat="1" ht="36">
      <c r="A163" s="3124" t="s">
        <v>489</v>
      </c>
      <c r="B163" s="2847" t="s">
        <v>101</v>
      </c>
      <c r="C163" s="2847" t="s">
        <v>1141</v>
      </c>
      <c r="D163" s="2847" t="s">
        <v>1342</v>
      </c>
      <c r="E163" s="2848" t="s">
        <v>1343</v>
      </c>
      <c r="F163" s="3125"/>
    </row>
    <row r="164" spans="1:6" s="2838" customFormat="1" ht="156">
      <c r="A164" s="3124" t="s">
        <v>489</v>
      </c>
      <c r="B164" s="2847" t="s">
        <v>101</v>
      </c>
      <c r="C164" s="2847" t="s">
        <v>1141</v>
      </c>
      <c r="D164" s="2847" t="s">
        <v>1344</v>
      </c>
      <c r="E164" s="2848" t="s">
        <v>1345</v>
      </c>
      <c r="F164" s="2972" t="s">
        <v>1336</v>
      </c>
    </row>
    <row r="165" spans="1:6" s="2838" customFormat="1" ht="48">
      <c r="A165" s="3124" t="s">
        <v>489</v>
      </c>
      <c r="B165" s="2847" t="s">
        <v>101</v>
      </c>
      <c r="C165" s="2847" t="s">
        <v>1141</v>
      </c>
      <c r="D165" s="2847" t="s">
        <v>1346</v>
      </c>
      <c r="E165" s="2848" t="s">
        <v>1347</v>
      </c>
      <c r="F165" s="2972" t="s">
        <v>1348</v>
      </c>
    </row>
    <row r="166" spans="1:6" s="2838" customFormat="1" ht="48">
      <c r="A166" s="3124" t="s">
        <v>489</v>
      </c>
      <c r="B166" s="2847" t="s">
        <v>101</v>
      </c>
      <c r="C166" s="2847" t="s">
        <v>1141</v>
      </c>
      <c r="D166" s="2847" t="s">
        <v>1349</v>
      </c>
      <c r="E166" s="2848" t="s">
        <v>1350</v>
      </c>
      <c r="F166" s="2972" t="s">
        <v>1348</v>
      </c>
    </row>
    <row r="167" spans="1:6" s="2838" customFormat="1" ht="24">
      <c r="A167" s="3124" t="s">
        <v>489</v>
      </c>
      <c r="B167" s="2847" t="s">
        <v>101</v>
      </c>
      <c r="C167" s="2847" t="s">
        <v>996</v>
      </c>
      <c r="D167" s="2847" t="s">
        <v>1305</v>
      </c>
      <c r="E167" s="2848" t="s">
        <v>1306</v>
      </c>
      <c r="F167" s="2972"/>
    </row>
    <row r="168" spans="1:6" s="2838" customFormat="1" ht="60">
      <c r="A168" s="3124" t="s">
        <v>489</v>
      </c>
      <c r="B168" s="2847" t="s">
        <v>101</v>
      </c>
      <c r="C168" s="2847" t="s">
        <v>996</v>
      </c>
      <c r="D168" s="2847" t="s">
        <v>1351</v>
      </c>
      <c r="E168" s="2848" t="s">
        <v>1352</v>
      </c>
      <c r="F168" s="2972" t="s">
        <v>1230</v>
      </c>
    </row>
    <row r="169" spans="1:6" s="2838" customFormat="1" ht="72">
      <c r="A169" s="3124" t="s">
        <v>489</v>
      </c>
      <c r="B169" s="2847" t="s">
        <v>101</v>
      </c>
      <c r="C169" s="2847" t="s">
        <v>996</v>
      </c>
      <c r="D169" s="2847" t="s">
        <v>1353</v>
      </c>
      <c r="E169" s="2848" t="s">
        <v>1354</v>
      </c>
      <c r="F169" s="2972" t="s">
        <v>1230</v>
      </c>
    </row>
    <row r="170" spans="1:6" s="2838" customFormat="1" ht="72">
      <c r="A170" s="3124" t="s">
        <v>489</v>
      </c>
      <c r="B170" s="2847" t="s">
        <v>101</v>
      </c>
      <c r="C170" s="2847" t="s">
        <v>996</v>
      </c>
      <c r="D170" s="2847" t="s">
        <v>1355</v>
      </c>
      <c r="E170" s="2848" t="s">
        <v>1356</v>
      </c>
      <c r="F170" s="2972" t="s">
        <v>1230</v>
      </c>
    </row>
    <row r="171" spans="1:6" s="2838" customFormat="1" ht="60">
      <c r="A171" s="3124" t="s">
        <v>489</v>
      </c>
      <c r="B171" s="2847" t="s">
        <v>101</v>
      </c>
      <c r="C171" s="2847" t="s">
        <v>996</v>
      </c>
      <c r="D171" s="2847" t="s">
        <v>1357</v>
      </c>
      <c r="E171" s="2848" t="s">
        <v>1358</v>
      </c>
      <c r="F171" s="2972" t="s">
        <v>1230</v>
      </c>
    </row>
    <row r="172" spans="1:6" s="2838" customFormat="1" ht="60">
      <c r="A172" s="3124" t="s">
        <v>489</v>
      </c>
      <c r="B172" s="2847" t="s">
        <v>101</v>
      </c>
      <c r="C172" s="2847" t="s">
        <v>996</v>
      </c>
      <c r="D172" s="2847" t="s">
        <v>1357</v>
      </c>
      <c r="E172" s="2848" t="s">
        <v>1359</v>
      </c>
      <c r="F172" s="2972" t="s">
        <v>1230</v>
      </c>
    </row>
    <row r="173" spans="1:6" s="2838" customFormat="1" ht="60">
      <c r="A173" s="3124" t="s">
        <v>489</v>
      </c>
      <c r="B173" s="2847" t="s">
        <v>101</v>
      </c>
      <c r="C173" s="2847" t="s">
        <v>996</v>
      </c>
      <c r="D173" s="2847" t="s">
        <v>1360</v>
      </c>
      <c r="E173" s="2848" t="s">
        <v>1359</v>
      </c>
      <c r="F173" s="2972" t="s">
        <v>1230</v>
      </c>
    </row>
    <row r="174" spans="1:6" s="2838" customFormat="1" ht="48">
      <c r="A174" s="3124" t="s">
        <v>489</v>
      </c>
      <c r="B174" s="2847" t="s">
        <v>101</v>
      </c>
      <c r="C174" s="2847" t="s">
        <v>996</v>
      </c>
      <c r="D174" s="2847" t="s">
        <v>1361</v>
      </c>
      <c r="E174" s="2848" t="s">
        <v>1362</v>
      </c>
      <c r="F174" s="2972" t="s">
        <v>1230</v>
      </c>
    </row>
    <row r="175" spans="1:6" s="2838" customFormat="1" ht="48">
      <c r="A175" s="3124" t="s">
        <v>489</v>
      </c>
      <c r="B175" s="2847" t="s">
        <v>101</v>
      </c>
      <c r="C175" s="2847" t="s">
        <v>996</v>
      </c>
      <c r="D175" s="2847" t="s">
        <v>1363</v>
      </c>
      <c r="E175" s="2848" t="s">
        <v>1302</v>
      </c>
      <c r="F175" s="3114"/>
    </row>
    <row r="176" spans="1:6" s="2838" customFormat="1" ht="48">
      <c r="A176" s="3124" t="s">
        <v>489</v>
      </c>
      <c r="B176" s="2847" t="s">
        <v>101</v>
      </c>
      <c r="C176" s="2847" t="s">
        <v>996</v>
      </c>
      <c r="D176" s="2847" t="s">
        <v>1364</v>
      </c>
      <c r="E176" s="2848" t="s">
        <v>1302</v>
      </c>
      <c r="F176" s="3114"/>
    </row>
    <row r="177" spans="1:6" s="2838" customFormat="1" ht="84">
      <c r="A177" s="3124" t="s">
        <v>489</v>
      </c>
      <c r="B177" s="2847" t="s">
        <v>1365</v>
      </c>
      <c r="C177" s="2847" t="s">
        <v>1141</v>
      </c>
      <c r="D177" s="2847" t="s">
        <v>1366</v>
      </c>
      <c r="E177" s="2848" t="s">
        <v>1367</v>
      </c>
      <c r="F177" s="2972" t="s">
        <v>1368</v>
      </c>
    </row>
    <row r="178" spans="1:6" s="2838" customFormat="1" ht="96">
      <c r="A178" s="3124" t="s">
        <v>489</v>
      </c>
      <c r="B178" s="2847" t="s">
        <v>1365</v>
      </c>
      <c r="C178" s="2847" t="s">
        <v>996</v>
      </c>
      <c r="D178" s="2847" t="s">
        <v>1366</v>
      </c>
      <c r="E178" s="2848" t="s">
        <v>1369</v>
      </c>
      <c r="F178" s="2972" t="s">
        <v>1370</v>
      </c>
    </row>
    <row r="179" spans="1:6" s="2838" customFormat="1" ht="24">
      <c r="A179" s="3124" t="s">
        <v>489</v>
      </c>
      <c r="B179" s="2847" t="s">
        <v>1365</v>
      </c>
      <c r="C179" s="2847" t="s">
        <v>996</v>
      </c>
      <c r="D179" s="2847" t="s">
        <v>1371</v>
      </c>
      <c r="E179" s="2848" t="s">
        <v>1372</v>
      </c>
      <c r="F179" s="2972" t="s">
        <v>1373</v>
      </c>
    </row>
    <row r="180" spans="1:6" s="2838" customFormat="1" ht="84">
      <c r="A180" s="3124" t="s">
        <v>489</v>
      </c>
      <c r="B180" s="2847" t="s">
        <v>1374</v>
      </c>
      <c r="C180" s="2847" t="s">
        <v>1141</v>
      </c>
      <c r="D180" s="2847" t="s">
        <v>1375</v>
      </c>
      <c r="E180" s="2848" t="s">
        <v>1376</v>
      </c>
      <c r="F180" s="2972" t="s">
        <v>1368</v>
      </c>
    </row>
    <row r="181" spans="1:6" s="2838" customFormat="1" ht="36.75" thickBot="1">
      <c r="A181" s="3126" t="s">
        <v>489</v>
      </c>
      <c r="B181" s="3115" t="s">
        <v>306</v>
      </c>
      <c r="C181" s="3115" t="s">
        <v>1141</v>
      </c>
      <c r="D181" s="3115" t="s">
        <v>1377</v>
      </c>
      <c r="E181" s="3116" t="s">
        <v>1378</v>
      </c>
      <c r="F181" s="3139"/>
    </row>
    <row r="182" spans="1:6" s="2838" customFormat="1" ht="48">
      <c r="A182" s="3160" t="s">
        <v>306</v>
      </c>
      <c r="B182" s="3158" t="s">
        <v>306</v>
      </c>
      <c r="C182" s="3158" t="s">
        <v>1190</v>
      </c>
      <c r="D182" s="3158" t="s">
        <v>253</v>
      </c>
      <c r="E182" s="3159" t="s">
        <v>1379</v>
      </c>
      <c r="F182" s="3161" t="s">
        <v>1380</v>
      </c>
    </row>
    <row r="183" spans="1:6" s="2838" customFormat="1" ht="39" customHeight="1">
      <c r="A183" s="3136" t="s">
        <v>306</v>
      </c>
      <c r="B183" s="3122" t="s">
        <v>306</v>
      </c>
      <c r="C183" s="3122" t="s">
        <v>1141</v>
      </c>
      <c r="D183" s="3122" t="s">
        <v>1381</v>
      </c>
      <c r="E183" s="3157" t="s">
        <v>1382</v>
      </c>
      <c r="F183" s="3137" t="s">
        <v>1383</v>
      </c>
    </row>
    <row r="184" spans="1:6" s="2838" customFormat="1" ht="72">
      <c r="A184" s="3124" t="s">
        <v>306</v>
      </c>
      <c r="B184" s="2847" t="s">
        <v>306</v>
      </c>
      <c r="C184" s="2847" t="s">
        <v>996</v>
      </c>
      <c r="D184" s="2847" t="s">
        <v>1384</v>
      </c>
      <c r="E184" s="2848" t="s">
        <v>1385</v>
      </c>
      <c r="F184" s="2972" t="s">
        <v>1386</v>
      </c>
    </row>
    <row r="185" spans="1:6" s="2838" customFormat="1" ht="12">
      <c r="A185" s="3124" t="s">
        <v>306</v>
      </c>
      <c r="B185" s="2847" t="s">
        <v>306</v>
      </c>
      <c r="C185" s="2847" t="s">
        <v>996</v>
      </c>
      <c r="D185" s="2847" t="s">
        <v>1387</v>
      </c>
      <c r="E185" s="2840"/>
      <c r="F185" s="2972" t="s">
        <v>1388</v>
      </c>
    </row>
    <row r="186" spans="1:6" s="2838" customFormat="1" ht="24">
      <c r="A186" s="3124" t="s">
        <v>306</v>
      </c>
      <c r="B186" s="2847" t="s">
        <v>306</v>
      </c>
      <c r="C186" s="2847" t="s">
        <v>996</v>
      </c>
      <c r="D186" s="2847" t="s">
        <v>1389</v>
      </c>
      <c r="E186" s="2848" t="s">
        <v>1390</v>
      </c>
      <c r="F186" s="2972" t="s">
        <v>1391</v>
      </c>
    </row>
    <row r="187" spans="1:6" s="2838" customFormat="1" ht="48">
      <c r="A187" s="3124" t="s">
        <v>306</v>
      </c>
      <c r="B187" s="2847" t="s">
        <v>306</v>
      </c>
      <c r="C187" s="2847" t="s">
        <v>996</v>
      </c>
      <c r="D187" s="2847" t="s">
        <v>1392</v>
      </c>
      <c r="E187" s="2848" t="s">
        <v>1393</v>
      </c>
      <c r="F187" s="2972" t="s">
        <v>1394</v>
      </c>
    </row>
    <row r="188" spans="1:6" s="2838" customFormat="1" ht="36">
      <c r="A188" s="3124" t="s">
        <v>306</v>
      </c>
      <c r="B188" s="2847" t="s">
        <v>306</v>
      </c>
      <c r="C188" s="2847" t="s">
        <v>996</v>
      </c>
      <c r="D188" s="2847" t="s">
        <v>1395</v>
      </c>
      <c r="E188" s="2848" t="s">
        <v>1396</v>
      </c>
      <c r="F188" s="2972" t="s">
        <v>1397</v>
      </c>
    </row>
    <row r="189" spans="1:6" s="2838" customFormat="1" ht="48">
      <c r="A189" s="3124" t="s">
        <v>306</v>
      </c>
      <c r="B189" s="2847" t="s">
        <v>306</v>
      </c>
      <c r="C189" s="2847" t="s">
        <v>996</v>
      </c>
      <c r="D189" s="2847" t="s">
        <v>1398</v>
      </c>
      <c r="E189" s="2848" t="s">
        <v>1399</v>
      </c>
      <c r="F189" s="2972" t="s">
        <v>1400</v>
      </c>
    </row>
    <row r="190" spans="1:6" s="2838" customFormat="1" ht="24">
      <c r="A190" s="3124" t="s">
        <v>306</v>
      </c>
      <c r="B190" s="2847" t="s">
        <v>306</v>
      </c>
      <c r="C190" s="2847" t="s">
        <v>996</v>
      </c>
      <c r="D190" s="2847" t="s">
        <v>1401</v>
      </c>
      <c r="E190" s="2848" t="s">
        <v>1402</v>
      </c>
      <c r="F190" s="2972" t="s">
        <v>1298</v>
      </c>
    </row>
    <row r="191" spans="1:6" s="2838" customFormat="1" ht="36">
      <c r="A191" s="3124" t="s">
        <v>306</v>
      </c>
      <c r="B191" s="2847" t="s">
        <v>306</v>
      </c>
      <c r="C191" s="2847" t="s">
        <v>996</v>
      </c>
      <c r="D191" s="2847" t="s">
        <v>1127</v>
      </c>
      <c r="E191" s="2848"/>
      <c r="F191" s="2972" t="s">
        <v>1128</v>
      </c>
    </row>
    <row r="192" spans="1:6" s="2838" customFormat="1" ht="36">
      <c r="A192" s="3124" t="s">
        <v>306</v>
      </c>
      <c r="B192" s="2847" t="s">
        <v>306</v>
      </c>
      <c r="C192" s="2847" t="s">
        <v>996</v>
      </c>
      <c r="D192" s="2847" t="s">
        <v>1403</v>
      </c>
      <c r="E192" s="2848" t="s">
        <v>1404</v>
      </c>
      <c r="F192" s="2972" t="s">
        <v>1336</v>
      </c>
    </row>
    <row r="193" spans="1:7" s="2838" customFormat="1" ht="48">
      <c r="A193" s="3124" t="s">
        <v>306</v>
      </c>
      <c r="B193" s="2847" t="s">
        <v>306</v>
      </c>
      <c r="C193" s="2847" t="s">
        <v>996</v>
      </c>
      <c r="D193" s="2847" t="s">
        <v>1405</v>
      </c>
      <c r="E193" s="2848" t="s">
        <v>1406</v>
      </c>
      <c r="F193" s="2972" t="s">
        <v>1407</v>
      </c>
    </row>
    <row r="194" spans="1:7" s="2838" customFormat="1" ht="48">
      <c r="A194" s="3124" t="s">
        <v>306</v>
      </c>
      <c r="B194" s="2847" t="s">
        <v>306</v>
      </c>
      <c r="C194" s="2847" t="s">
        <v>996</v>
      </c>
      <c r="D194" s="2847" t="s">
        <v>1408</v>
      </c>
      <c r="E194" s="2848" t="s">
        <v>1409</v>
      </c>
      <c r="F194" s="2972" t="s">
        <v>1407</v>
      </c>
    </row>
    <row r="195" spans="1:7" s="2838" customFormat="1" ht="72.75" thickBot="1">
      <c r="A195" s="3126" t="s">
        <v>306</v>
      </c>
      <c r="B195" s="3115" t="s">
        <v>308</v>
      </c>
      <c r="C195" s="3115" t="s">
        <v>1141</v>
      </c>
      <c r="D195" s="3115" t="s">
        <v>1410</v>
      </c>
      <c r="E195" s="3116" t="s">
        <v>1411</v>
      </c>
      <c r="F195" s="3121" t="s">
        <v>1394</v>
      </c>
      <c r="G195" s="2974"/>
    </row>
    <row r="196" spans="1:7" s="2838" customFormat="1" ht="24">
      <c r="A196" s="3127" t="s">
        <v>308</v>
      </c>
      <c r="B196" s="3118" t="s">
        <v>308</v>
      </c>
      <c r="C196" s="3118" t="s">
        <v>1141</v>
      </c>
      <c r="D196" s="3118" t="s">
        <v>1412</v>
      </c>
      <c r="E196" s="3119" t="s">
        <v>1413</v>
      </c>
      <c r="F196" s="2973" t="s">
        <v>1414</v>
      </c>
    </row>
    <row r="197" spans="1:7" s="2838" customFormat="1" ht="48">
      <c r="A197" s="3124" t="s">
        <v>308</v>
      </c>
      <c r="B197" s="2847" t="s">
        <v>308</v>
      </c>
      <c r="C197" s="2847" t="s">
        <v>996</v>
      </c>
      <c r="D197" s="2847" t="s">
        <v>1398</v>
      </c>
      <c r="E197" s="2848" t="s">
        <v>1399</v>
      </c>
      <c r="F197" s="2972" t="s">
        <v>1400</v>
      </c>
    </row>
    <row r="198" spans="1:7" s="2838" customFormat="1" ht="24">
      <c r="A198" s="3124" t="s">
        <v>308</v>
      </c>
      <c r="B198" s="2847" t="s">
        <v>308</v>
      </c>
      <c r="C198" s="2847" t="s">
        <v>996</v>
      </c>
      <c r="D198" s="2847" t="s">
        <v>1415</v>
      </c>
      <c r="E198" s="2848" t="s">
        <v>1416</v>
      </c>
      <c r="F198" s="2972" t="s">
        <v>1417</v>
      </c>
    </row>
    <row r="199" spans="1:7" s="2838" customFormat="1" ht="60">
      <c r="A199" s="3124" t="s">
        <v>308</v>
      </c>
      <c r="B199" s="2847" t="s">
        <v>308</v>
      </c>
      <c r="C199" s="2847" t="s">
        <v>996</v>
      </c>
      <c r="D199" s="2847" t="s">
        <v>1418</v>
      </c>
      <c r="E199" s="2848" t="s">
        <v>1419</v>
      </c>
      <c r="F199" s="2972" t="s">
        <v>1108</v>
      </c>
    </row>
    <row r="200" spans="1:7" s="2838" customFormat="1" ht="48">
      <c r="A200" s="3124" t="s">
        <v>308</v>
      </c>
      <c r="B200" s="2847" t="s">
        <v>308</v>
      </c>
      <c r="C200" s="2847" t="s">
        <v>996</v>
      </c>
      <c r="D200" s="2848" t="s">
        <v>1420</v>
      </c>
      <c r="E200" s="2848" t="s">
        <v>1421</v>
      </c>
      <c r="F200" s="2972" t="s">
        <v>1422</v>
      </c>
    </row>
    <row r="201" spans="1:7" s="2838" customFormat="1" ht="84">
      <c r="A201" s="3124" t="s">
        <v>308</v>
      </c>
      <c r="B201" s="2847" t="s">
        <v>308</v>
      </c>
      <c r="C201" s="2847" t="s">
        <v>996</v>
      </c>
      <c r="D201" s="2847" t="s">
        <v>1423</v>
      </c>
      <c r="E201" s="2848" t="s">
        <v>1424</v>
      </c>
      <c r="F201" s="2972" t="s">
        <v>1425</v>
      </c>
    </row>
    <row r="202" spans="1:7" s="2838" customFormat="1" ht="48">
      <c r="A202" s="3124" t="s">
        <v>308</v>
      </c>
      <c r="B202" s="2847" t="s">
        <v>308</v>
      </c>
      <c r="C202" s="2847" t="s">
        <v>996</v>
      </c>
      <c r="D202" s="2847" t="s">
        <v>1426</v>
      </c>
      <c r="E202" s="2848" t="s">
        <v>1427</v>
      </c>
      <c r="F202" s="2972" t="s">
        <v>1428</v>
      </c>
    </row>
    <row r="203" spans="1:7" s="2838" customFormat="1" ht="36">
      <c r="A203" s="3124" t="s">
        <v>308</v>
      </c>
      <c r="B203" s="2847" t="s">
        <v>308</v>
      </c>
      <c r="C203" s="2847" t="s">
        <v>996</v>
      </c>
      <c r="D203" s="2847" t="s">
        <v>1395</v>
      </c>
      <c r="E203" s="2848" t="s">
        <v>1429</v>
      </c>
      <c r="F203" s="2972" t="s">
        <v>1397</v>
      </c>
    </row>
    <row r="204" spans="1:7" s="2838" customFormat="1" ht="36">
      <c r="A204" s="3124" t="s">
        <v>308</v>
      </c>
      <c r="B204" s="2847" t="s">
        <v>308</v>
      </c>
      <c r="C204" s="2847" t="s">
        <v>996</v>
      </c>
      <c r="D204" s="2847" t="s">
        <v>1430</v>
      </c>
      <c r="E204" s="2848" t="s">
        <v>1431</v>
      </c>
      <c r="F204" s="2972" t="s">
        <v>1397</v>
      </c>
    </row>
    <row r="205" spans="1:7" s="2838" customFormat="1" ht="24">
      <c r="A205" s="3124" t="s">
        <v>308</v>
      </c>
      <c r="B205" s="2847" t="s">
        <v>308</v>
      </c>
      <c r="C205" s="2847" t="s">
        <v>996</v>
      </c>
      <c r="D205" s="2848" t="s">
        <v>1432</v>
      </c>
      <c r="E205" s="2848" t="s">
        <v>1433</v>
      </c>
      <c r="F205" s="2972" t="s">
        <v>1434</v>
      </c>
    </row>
    <row r="206" spans="1:7" s="2838" customFormat="1" ht="36">
      <c r="A206" s="3124" t="s">
        <v>308</v>
      </c>
      <c r="B206" s="2847" t="s">
        <v>308</v>
      </c>
      <c r="C206" s="2847" t="s">
        <v>996</v>
      </c>
      <c r="D206" s="2848" t="s">
        <v>1435</v>
      </c>
      <c r="E206" s="2848" t="s">
        <v>1436</v>
      </c>
      <c r="F206" s="2972" t="s">
        <v>1437</v>
      </c>
    </row>
    <row r="207" spans="1:7" s="2838" customFormat="1" ht="36">
      <c r="A207" s="3124" t="s">
        <v>310</v>
      </c>
      <c r="B207" s="2847" t="s">
        <v>310</v>
      </c>
      <c r="C207" s="2847" t="s">
        <v>1141</v>
      </c>
      <c r="D207" s="2848" t="s">
        <v>1438</v>
      </c>
      <c r="E207" s="2848" t="s">
        <v>1439</v>
      </c>
      <c r="F207" s="3151" t="s">
        <v>1440</v>
      </c>
    </row>
    <row r="208" spans="1:7" s="2838" customFormat="1" ht="108">
      <c r="A208" s="3124" t="s">
        <v>310</v>
      </c>
      <c r="B208" s="2847" t="s">
        <v>310</v>
      </c>
      <c r="C208" s="2847" t="s">
        <v>1141</v>
      </c>
      <c r="D208" s="2848" t="s">
        <v>121</v>
      </c>
      <c r="E208" s="2848" t="s">
        <v>1441</v>
      </c>
      <c r="F208" s="3151" t="s">
        <v>1442</v>
      </c>
    </row>
    <row r="209" spans="1:6" s="2838" customFormat="1" ht="108">
      <c r="A209" s="3124" t="s">
        <v>310</v>
      </c>
      <c r="B209" s="2847" t="s">
        <v>310</v>
      </c>
      <c r="C209" s="2847" t="s">
        <v>1141</v>
      </c>
      <c r="D209" s="2848" t="s">
        <v>119</v>
      </c>
      <c r="E209" s="2848" t="s">
        <v>1443</v>
      </c>
      <c r="F209" s="3151" t="s">
        <v>1444</v>
      </c>
    </row>
    <row r="210" spans="1:6" s="2838" customFormat="1" ht="36">
      <c r="A210" s="3124" t="s">
        <v>310</v>
      </c>
      <c r="B210" s="2847" t="s">
        <v>310</v>
      </c>
      <c r="C210" s="2847" t="s">
        <v>996</v>
      </c>
      <c r="D210" s="2848" t="s">
        <v>1445</v>
      </c>
      <c r="E210" s="2848" t="s">
        <v>1446</v>
      </c>
      <c r="F210" s="2972" t="s">
        <v>1447</v>
      </c>
    </row>
    <row r="211" spans="1:6" s="2838" customFormat="1" ht="48">
      <c r="A211" s="3124" t="s">
        <v>310</v>
      </c>
      <c r="B211" s="2847" t="s">
        <v>310</v>
      </c>
      <c r="C211" s="2847" t="s">
        <v>996</v>
      </c>
      <c r="D211" s="2848" t="s">
        <v>1448</v>
      </c>
      <c r="E211" s="2848" t="s">
        <v>1449</v>
      </c>
      <c r="F211" s="2972" t="s">
        <v>1450</v>
      </c>
    </row>
    <row r="212" spans="1:6" s="2838" customFormat="1" ht="60">
      <c r="A212" s="3124" t="s">
        <v>310</v>
      </c>
      <c r="B212" s="2847" t="s">
        <v>310</v>
      </c>
      <c r="C212" s="2847" t="s">
        <v>996</v>
      </c>
      <c r="D212" s="2848" t="s">
        <v>1451</v>
      </c>
      <c r="E212" s="2848" t="s">
        <v>1452</v>
      </c>
      <c r="F212" s="2972" t="s">
        <v>1453</v>
      </c>
    </row>
    <row r="213" spans="1:6" s="2838" customFormat="1" ht="36">
      <c r="A213" s="3124" t="s">
        <v>310</v>
      </c>
      <c r="B213" s="2847" t="s">
        <v>310</v>
      </c>
      <c r="C213" s="2847" t="s">
        <v>996</v>
      </c>
      <c r="D213" s="2848" t="s">
        <v>1454</v>
      </c>
      <c r="E213" s="2848" t="s">
        <v>1455</v>
      </c>
      <c r="F213" s="2972" t="s">
        <v>1453</v>
      </c>
    </row>
    <row r="214" spans="1:6" ht="38.25">
      <c r="A214" s="3124" t="s">
        <v>310</v>
      </c>
      <c r="B214" s="2847" t="s">
        <v>310</v>
      </c>
      <c r="C214" s="2847" t="s">
        <v>996</v>
      </c>
      <c r="D214" s="2848" t="s">
        <v>121</v>
      </c>
      <c r="E214" s="3140" t="s">
        <v>1456</v>
      </c>
      <c r="F214" s="3141" t="s">
        <v>1457</v>
      </c>
    </row>
    <row r="215" spans="1:6" ht="48">
      <c r="A215" s="3124" t="s">
        <v>310</v>
      </c>
      <c r="B215" s="2848" t="s">
        <v>310</v>
      </c>
      <c r="C215" s="2848" t="s">
        <v>996</v>
      </c>
      <c r="D215" s="2848" t="s">
        <v>1458</v>
      </c>
      <c r="E215" s="2848" t="s">
        <v>1459</v>
      </c>
      <c r="F215" s="3151" t="s">
        <v>1460</v>
      </c>
    </row>
  </sheetData>
  <autoFilter ref="A2:F215" xr:uid="{C829A6EA-3744-47F4-A20B-AB12733A96C0}"/>
  <hyperlinks>
    <hyperlink ref="F10" r:id="rId1" xr:uid="{56EEF4F8-35AD-4F88-8195-3DD1A580C6DA}"/>
    <hyperlink ref="B67" location="IND_!E18" display="Industria" xr:uid="{C7659AFF-5B01-4A03-81E4-49062A2A9A9C}"/>
    <hyperlink ref="A140" location="TRANS_PAS!A1" display="Transporte" xr:uid="{E76A07A6-DB57-4D4F-9F4C-23056925108D}"/>
    <hyperlink ref="A139" location="TRANS_PAS!A1" display="Transporte" xr:uid="{4512464F-E640-4EB7-9CB9-00B8731D9C72}"/>
    <hyperlink ref="A133" location="EDI_COM_UTE!A1" display="Edificaciones comerciales y de servicios" xr:uid="{EC332DED-828B-49BA-BF25-FB05D2016B94}"/>
    <hyperlink ref="A134" location="EDI_COM_UTE!A1" display="Edificaciones comerciales y de servicios" xr:uid="{BC4DB330-8EF8-4C6C-B044-CF850A0B359D}"/>
    <hyperlink ref="A135" location="EDI_COM_UTE!A1" display="Edificaciones comerciales y de servicios" xr:uid="{A193EDFC-F055-4D80-BC86-6973465E6940}"/>
    <hyperlink ref="A136" location="EDI_COM_UTE!A1" display="Edificaciones comerciales y de servicios" xr:uid="{FB937D0C-4059-475A-B829-9C8DAFAD2CF4}"/>
    <hyperlink ref="A137" location="EDI_COM_UTE!A1" display="Edificaciones comerciales y de servicios" xr:uid="{0780632A-6BAA-4E24-A855-D5BDBF546009}"/>
    <hyperlink ref="A138" location="EDI_COM_UTE!A1" display="Edificaciones comerciales y de servicios" xr:uid="{82A2803C-88CE-422C-901E-FA1F0C1D92C5}"/>
    <hyperlink ref="B132" location="EDI_COM_UTE!A1" display="Usos térmicos y equipamiento" xr:uid="{468B8B5C-9C7C-4254-B65A-82BEF805B8E9}"/>
    <hyperlink ref="B133" location="EDI_COM_UTE!A1" display="Usos térmicos y equipamiento" xr:uid="{22701A2C-B451-4F25-A4A9-58A54D6C05E5}"/>
    <hyperlink ref="B134" location="EDI_COM_UTE!A1" display="Usos térmicos y equipamiento" xr:uid="{55A6FF97-54D1-479F-9229-1E58F6D31C0B}"/>
    <hyperlink ref="B135" location="EDI_COM_UTE!A1" display="Usos térmicos y equipamiento" xr:uid="{AB3C3968-8093-4C7A-BA92-47D475120D35}"/>
    <hyperlink ref="B136" location="EDI_COM_UTE!A1" display="Usos térmicos y equipamiento" xr:uid="{1F579D2F-5F08-4645-B08C-7ECAE1BC0EA9}"/>
    <hyperlink ref="B137" location="EDI_COM_UTE!A1" display="Usos térmicos y equipamiento" xr:uid="{5BFEE3AD-5A3E-43B9-BFA2-C9D50CF79EC3}"/>
    <hyperlink ref="B138" location="EDI_COM_UTE!A1" display="Usos térmicos y equipamiento" xr:uid="{18C34FB2-0BCD-40C3-9A41-C338D195F7BA}"/>
    <hyperlink ref="B139" location="TRANS_PAS!A1" display="Transporte de pasajeros" xr:uid="{2FD93C92-8830-4FA1-8C88-523411E0AB68}"/>
    <hyperlink ref="A141" location="TRANS_PAS!A1" display="Transporte" xr:uid="{8C1B5D25-3968-44D9-A094-F12267D10FFA}"/>
    <hyperlink ref="A142" location="TRANS_PAS!A1" display="Transporte" xr:uid="{676B85A2-BC9F-4AB8-A6E4-F2D23AC60EE5}"/>
    <hyperlink ref="A143" location="TRANS_PAS!A1" display="Transporte" xr:uid="{3F7709BF-B74D-47AD-A713-BE3EBE46EA42}"/>
    <hyperlink ref="A146" location="TRANS_PAS!A1" display="Transporte" xr:uid="{7EA1EAE3-E9B5-4BDE-8310-E4D0AB88AF2B}"/>
    <hyperlink ref="A147" location="TRANS_PAS!A1" display="Transporte" xr:uid="{E7D163D5-D260-49F3-8C1B-2B9EEC492825}"/>
    <hyperlink ref="A148" location="TRANS_PAS!A1" display="Transporte" xr:uid="{F8A78CC8-4F93-4F85-850D-DDC936E1FDD2}"/>
    <hyperlink ref="A149" location="TRANS_PAS!A1" display="Transporte" xr:uid="{1EE8F8D2-80A0-4463-B5B4-01CDF2F9335B}"/>
    <hyperlink ref="A150" location="TRANS_PAS!A1" display="Transporte" xr:uid="{78197923-EC20-474B-B270-1DCA9D86758E}"/>
    <hyperlink ref="A151" location="TRANS_PAS!A1" display="Transporte" xr:uid="{1AF5915B-4636-482A-95AA-7D7C98B9D5A1}"/>
    <hyperlink ref="A152" location="TRANS_PAS!A1" display="Transporte" xr:uid="{A5DD4C38-4A64-4ADA-9E84-5F8E8752EDC3}"/>
    <hyperlink ref="A153" location="TRANS_PAS!A1" display="Transporte" xr:uid="{D8122F1B-20A8-470E-B1C9-7A1B3CDA252E}"/>
    <hyperlink ref="A154" location="TRANS_PAS!A1" display="Transporte" xr:uid="{D56D0B31-7890-48F5-8D25-274A35A1673D}"/>
    <hyperlink ref="A155" location="TRANS_PAS!A1" display="Transporte" xr:uid="{02564104-751C-4EE4-B318-F1E7C6DC4D80}"/>
    <hyperlink ref="A156" location="TRANS_PAS!A1" display="Transporte" xr:uid="{44B2BA6C-2785-41B4-B3ED-2CCC858BEE02}"/>
    <hyperlink ref="A157" location="TRANS_PAS!A1" display="Transporte" xr:uid="{C286ED40-9429-4464-8584-8A0C476BE0BF}"/>
    <hyperlink ref="A158" location="TRANS_PAS!A1" display="Transporte" xr:uid="{2E80B47F-7AB5-4933-BFF0-87C8A66DBD08}"/>
    <hyperlink ref="A159" location="TRANS_PAS!A1" display="Transporte" xr:uid="{6BF38F68-426F-40E1-BBE6-852FCFBC81EA}"/>
    <hyperlink ref="B140" location="TRANS_PAS!A1" display="Transporte de pasajeros" xr:uid="{AFC9BA2C-7A28-4F65-8759-7A3A6BDC9FE5}"/>
    <hyperlink ref="B141" location="TRANS_PAS!A1" display="Transporte de pasajeros" xr:uid="{86AAD5A8-364A-4592-B3B0-4D38A6CD13B1}"/>
    <hyperlink ref="B142" location="TRANS_PAS!A1" display="Transporte de pasajeros" xr:uid="{FA8C2481-E32E-4AF5-8FC0-D588D716A962}"/>
    <hyperlink ref="B145" location="TRANS_PAS!A1" display="Transporte de pasajeros" xr:uid="{C2DABE14-A2B6-4D83-A2AE-51996427EF3D}"/>
    <hyperlink ref="B146" location="TRANS_PAS!A1" display="Transporte de pasajeros" xr:uid="{98DFCF6C-6ADF-4A0D-BF1F-5EA76EF4E738}"/>
    <hyperlink ref="B147" location="TRANS_PAS!A1" display="Transporte de pasajeros" xr:uid="{62AB6619-020F-46DD-8E62-87E3187F62A1}"/>
    <hyperlink ref="B148" location="TRANS_PAS!A1" display="Transporte de pasajeros" xr:uid="{3651D0A5-0D14-46A0-9794-FA84D25BB06C}"/>
    <hyperlink ref="B149" location="TRANS_PAS!A1" display="Transporte de pasajeros" xr:uid="{7F8C6AC8-BF42-4C42-B186-ABABE7FBF648}"/>
    <hyperlink ref="B150" location="TRANS_PAS!A1" display="Transporte de pasajeros" xr:uid="{DA1056CA-849E-456F-84A5-EB31F6441D06}"/>
    <hyperlink ref="B151" location="TRANS_PAS!A1" display="Transporte de pasajeros" xr:uid="{F87FEB4F-C39A-41AF-8D5E-A0A2B7AECAB3}"/>
    <hyperlink ref="B152" location="TRANS_PAS!A1" display="Transporte de pasajeros" xr:uid="{38D15CDC-3EDE-4D7F-A735-B7A026808D4D}"/>
    <hyperlink ref="B153" location="TRANS_PAS!A1" display="Transporte de pasajeros" xr:uid="{A7CA2F72-649A-4DF1-90E4-C4CAA8700047}"/>
    <hyperlink ref="B154" location="TRANS_PAS!A1" display="Transporte de pasajeros" xr:uid="{167487C5-20AB-4091-BA5A-D100FD5501A0}"/>
    <hyperlink ref="B155" location="TRANS_PAS!A1" display="Transporte de pasajeros" xr:uid="{3BD156E2-E767-499C-B852-6789AAEC67DD}"/>
    <hyperlink ref="B156" location="TRANS_PAS!A1" display="Transporte de pasajeros" xr:uid="{1BA42F22-1995-43C5-9A2F-E069957E6B00}"/>
    <hyperlink ref="B157" location="TRANS_PAS!A1" display="Transporte de pasajeros" xr:uid="{BF173E71-1152-4F04-9F76-087A63D78998}"/>
    <hyperlink ref="B158" location="TRANS_PAS!A1" display="Transporte de pasajeros" xr:uid="{C124288F-9E4A-4A5C-BEB3-DCEE569483B5}"/>
    <hyperlink ref="A160" location="TRANS_CAR!A1" display="Transporte" xr:uid="{3CA5F0A3-0BD0-4A80-AD82-68A04FC49A59}"/>
    <hyperlink ref="B159" location="TRANS_CAR!A1" display="Transporte de carga" xr:uid="{823537DA-0D4E-4A2D-A091-C1A18440EB0A}"/>
    <hyperlink ref="A161" location="TRANS_CAR!A1" display="Transporte" xr:uid="{833984EA-72BC-4518-B437-027C0B0BC761}"/>
    <hyperlink ref="A162" location="TRANS_CAR!A1" display="Transporte" xr:uid="{54AD4924-CF50-46A4-98EE-027139B46A82}"/>
    <hyperlink ref="A163" location="TRANS_CAR!A1" display="Transporte" xr:uid="{0350139F-F527-4D3A-A679-781AB31E3981}"/>
    <hyperlink ref="A164" location="TRANS_CAR!A1" display="Transporte" xr:uid="{63B93C1C-FC10-488A-B109-97B6095A6345}"/>
    <hyperlink ref="A165" location="TRANS_CAR!A1" display="Transporte" xr:uid="{9B459108-F8BC-41A7-B9D1-A5EE080C04E3}"/>
    <hyperlink ref="A166" location="TRANS_CAR!A1" display="Transporte" xr:uid="{4E7A0590-A0C9-45FA-B595-D3FB1DAA5C60}"/>
    <hyperlink ref="A167" location="TRANS_CAR!A1" display="Transporte" xr:uid="{7AF0B79F-AFBA-483C-AD14-AFB53F77474F}"/>
    <hyperlink ref="A168" location="TRANS_CAR!A1" display="Transporte" xr:uid="{81A36D92-4B6B-44AA-8B99-2F9B3FC60D50}"/>
    <hyperlink ref="A169" location="TRANS_CAR!A1" display="Transporte" xr:uid="{A4B3C38D-BAFC-4645-A5A8-8077E6AE6E3B}"/>
    <hyperlink ref="A170" location="TRANS_CAR!A1" display="Transporte" xr:uid="{4C3CC007-A72B-414B-9B65-6FD1D7B33AD3}"/>
    <hyperlink ref="A171" location="TRANS_CAR!A1" display="Transporte" xr:uid="{2F695231-DBC7-4856-97CE-1E20EDCBFCDF}"/>
    <hyperlink ref="A172" location="TRANS_CAR!A1" display="Transporte" xr:uid="{533ED634-F106-4152-8AF5-0CCA4B51B90E}"/>
    <hyperlink ref="A173" location="TRANS_CAR!A1" display="Transporte" xr:uid="{2DE593B2-965A-4D3A-80DF-7D3A066BB06E}"/>
    <hyperlink ref="A174" location="TRANS_CAR!A1" display="Transporte" xr:uid="{C91AFD67-B324-423C-A84B-E85739C835DF}"/>
    <hyperlink ref="A175" location="TRANS_CAR!A1" display="Transporte" xr:uid="{76516BD4-7D3C-494D-8B75-3BDA2D1082C2}"/>
    <hyperlink ref="B160" location="TRANS_CAR!A1" display="Transporte de carga" xr:uid="{39663C25-337F-4C65-925D-FAE44D43C9B6}"/>
    <hyperlink ref="B161" location="TRANS_CAR!A1" display="Transporte de carga" xr:uid="{A97C7235-DBDD-494F-BF3B-882A27B4C73B}"/>
    <hyperlink ref="B162" location="TRANS_CAR!A1" display="Transporte de carga" xr:uid="{AEE725AD-36C1-46C0-A369-95D19F28557E}"/>
    <hyperlink ref="B163" location="TRANS_CAR!A1" display="Transporte de carga" xr:uid="{93BDEE61-58D1-4115-9BAA-49226C2DE0E9}"/>
    <hyperlink ref="B164" location="TRANS_CAR!A1" display="Transporte de carga" xr:uid="{EEB4986F-3297-4F30-9307-7C40158252C8}"/>
    <hyperlink ref="B165" location="TRANS_CAR!A1" display="Transporte de carga" xr:uid="{472AAB35-FA52-4DA8-B269-A73E0EE59A10}"/>
    <hyperlink ref="B166" location="TRANS_CAR!A1" display="Transporte de carga" xr:uid="{F17F1390-6A40-4FDB-9F71-C64B4B822FEE}"/>
    <hyperlink ref="B167" location="TRANS_CAR!A1" display="Transporte de carga" xr:uid="{E34E7455-223D-4857-AA1F-FC240350BF16}"/>
    <hyperlink ref="B168" location="TRANS_CAR!A1" display="Transporte de carga" xr:uid="{DB155957-1A5C-4D0D-A0C5-B770B307594A}"/>
    <hyperlink ref="B169" location="TRANS_CAR!A1" display="Transporte de carga" xr:uid="{2A185A4C-FFA6-4B02-987C-7F484E4647E6}"/>
    <hyperlink ref="B170" location="TRANS_CAR!A1" display="Transporte de carga" xr:uid="{4EE63BC1-C7C9-4E0F-8605-FDC36D37B13A}"/>
    <hyperlink ref="B171" location="TRANS_CAR!A1" display="Transporte de carga" xr:uid="{97BF01B9-C252-4D4A-A671-F219AEB25063}"/>
    <hyperlink ref="B172" location="TRANS_CAR!A1" display="Transporte de carga" xr:uid="{D1AC1C2C-6AFA-451C-9D39-4999AD166B0D}"/>
    <hyperlink ref="B173" location="TRANS_CAR!A1" display="Transporte de carga" xr:uid="{B9CFFD2A-9B3D-46B7-A54D-77983FAE3F52}"/>
    <hyperlink ref="B174" location="TRANS_CAR!A1" display="Transporte de carga" xr:uid="{A310FABE-D9BC-4BE6-990F-A45AD6DDA7A2}"/>
    <hyperlink ref="A178" location="FUENTES!A1" display="Transporte" xr:uid="{E944AFEF-79F0-46DE-A1CE-CC351AAA8406}"/>
    <hyperlink ref="B177" location="TRANS_AVI!A1" display="Aviación" xr:uid="{07273C18-B755-4DC0-9764-5AA518688561}"/>
    <hyperlink ref="A179" location="FUENTES!A1" display="Transporte" xr:uid="{97AD74E9-F4E9-4A07-8BEB-6E2B049DFAB7}"/>
    <hyperlink ref="A180" location="FUENTES!A1" display="Transporte" xr:uid="{048A0364-20C0-4CD8-933E-6F97C31EFD94}"/>
    <hyperlink ref="B178" location="TRANS_AVI!A1" display="Aviación" xr:uid="{FAFB5981-54C5-4A8F-8583-F0001055E039}"/>
    <hyperlink ref="B179" location="TRANS_AVI!A1" display="Aviación" xr:uid="{86AB7F9A-8D93-453B-BC27-27B1466BD8B3}"/>
    <hyperlink ref="A181" location="TRANS_NAV!A1" display="Transporte" xr:uid="{400EBDBD-69A3-4415-8194-3D3E70E6221E}"/>
    <hyperlink ref="B180" location="TRANS_NAV!A1" display="Navegación" xr:uid="{5FDFA2C4-9509-4F02-922D-54A3B1135CB5}"/>
    <hyperlink ref="B10" location="DGEN_SupuestosCostos!A1" display="Supuestos de Costos" xr:uid="{50A3BC9D-CA85-4339-8019-ACEAE21CEF17}"/>
    <hyperlink ref="A176" location="TRANS_CAR!A1" display="Transporte" xr:uid="{92DAAF70-C66F-4852-A031-83D7149BB116}"/>
    <hyperlink ref="B175" location="TRANS_CAR!A1" display="Transporte de carga" xr:uid="{47CA85C1-58B8-43FC-86D3-361607375998}"/>
    <hyperlink ref="A177" location="TRANS_CAR!A1" display="Transporte" xr:uid="{47B998D1-7526-48A4-9480-092F4BF32C5F}"/>
    <hyperlink ref="B176" location="TRANS_CAR!A1" display="Transporte de carga" xr:uid="{A0A18C05-0F9B-4587-AC71-4639B829D936}"/>
    <hyperlink ref="A144" location="TRANS_PAS!A1" display="Transporte" xr:uid="{945852B3-E8A3-4338-A11D-B624AD6B7302}"/>
    <hyperlink ref="A145" location="TRANS_PAS!A1" display="Transporte" xr:uid="{536C61AA-2529-4CA4-A8C9-12A87527B075}"/>
    <hyperlink ref="B143" location="TRANS_PAS!A1" display="Transporte de pasajeros" xr:uid="{62D36DA1-AE71-4DD3-AE72-067449D7BCE7}"/>
    <hyperlink ref="B144" location="TRANS_PAS!A1" display="Transporte de pasajeros" xr:uid="{1CE02710-7351-4B53-9999-1C0C1D4B9681}"/>
    <hyperlink ref="B11:B32" location="DGEN_SupuestosCostos!A1" display="Supuestos de Costos" xr:uid="{0AE610F3-A8AE-44E7-87B8-DDCF3564571A}"/>
  </hyperlinks>
  <pageMargins left="0.7" right="0.7" top="0.75" bottom="0.75" header="0.3" footer="0.3"/>
  <pageSetup paperSize="17" scale="10" fitToHeight="0" orientation="landscape" r:id="rId2"/>
  <customProperties>
    <customPr name="_pios_id" r:id="rId3"/>
  </customProperties>
  <drawing r:id="rId4"/>
  <legacyDrawing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C3891-8C13-4571-A338-AA479157AE12}">
  <sheetPr codeName="Hoja43">
    <pageSetUpPr fitToPage="1"/>
  </sheetPr>
  <dimension ref="A1:W731"/>
  <sheetViews>
    <sheetView showGridLines="0" zoomScale="80" zoomScaleNormal="80" workbookViewId="0">
      <selection activeCell="E664" sqref="E664:F671"/>
    </sheetView>
  </sheetViews>
  <sheetFormatPr baseColWidth="10" defaultColWidth="11.42578125" defaultRowHeight="15" customHeight="1"/>
  <cols>
    <col min="1" max="1" width="20.7109375" style="678" customWidth="1"/>
    <col min="2" max="2" width="7.7109375" style="679" customWidth="1"/>
    <col min="3" max="3" width="6.7109375" style="679" customWidth="1"/>
    <col min="4" max="4" width="5.7109375" style="679" customWidth="1"/>
    <col min="5" max="5" width="36.28515625" style="679" customWidth="1"/>
    <col min="6" max="6" width="24.28515625" style="679" customWidth="1"/>
    <col min="7" max="7" width="20.140625" style="679" bestFit="1" customWidth="1"/>
    <col min="8" max="8" width="20.28515625" style="679" customWidth="1"/>
    <col min="9" max="9" width="5.7109375" style="679" customWidth="1"/>
    <col min="10" max="11" width="11.42578125" style="679"/>
    <col min="12" max="12" width="19.5703125" style="679" bestFit="1" customWidth="1"/>
    <col min="13" max="13" width="14.85546875" style="679" bestFit="1" customWidth="1"/>
    <col min="14" max="16384" width="11.42578125" style="679"/>
  </cols>
  <sheetData>
    <row r="1" spans="1:12" s="680" customFormat="1" ht="15" customHeight="1">
      <c r="A1" s="678"/>
      <c r="B1" s="679"/>
      <c r="C1" s="679"/>
      <c r="D1" s="679"/>
      <c r="E1" s="679"/>
      <c r="F1" s="679"/>
      <c r="G1" s="679"/>
      <c r="H1" s="679"/>
      <c r="I1" s="679"/>
      <c r="J1" s="679"/>
      <c r="K1" s="679"/>
      <c r="L1" s="679"/>
    </row>
    <row r="3" spans="1:12" ht="15" customHeight="1">
      <c r="B3" s="680"/>
      <c r="C3" s="680"/>
      <c r="D3" s="680"/>
      <c r="E3" s="683"/>
      <c r="F3" s="680"/>
      <c r="G3" s="687"/>
      <c r="H3" s="680"/>
      <c r="I3" s="683"/>
      <c r="J3" s="683"/>
      <c r="K3" s="1060"/>
      <c r="L3" s="1060"/>
    </row>
    <row r="4" spans="1:12" ht="15" customHeight="1">
      <c r="B4" s="680"/>
      <c r="C4" s="680"/>
      <c r="D4" s="680"/>
      <c r="E4" s="683"/>
      <c r="F4" s="680"/>
      <c r="G4" s="687"/>
      <c r="H4" s="680"/>
      <c r="I4" s="683"/>
      <c r="J4" s="683"/>
      <c r="K4" s="1060"/>
    </row>
    <row r="5" spans="1:12" ht="15" customHeight="1">
      <c r="A5" s="1559"/>
      <c r="B5" s="680"/>
      <c r="C5" s="680"/>
      <c r="D5" s="680"/>
      <c r="E5" s="683"/>
      <c r="F5" s="680"/>
      <c r="G5" s="687"/>
      <c r="H5" s="680"/>
      <c r="I5" s="683"/>
      <c r="J5" s="683"/>
      <c r="K5" s="1060"/>
    </row>
    <row r="6" spans="1:12" ht="15" customHeight="1">
      <c r="C6" s="1768" t="s">
        <v>1461</v>
      </c>
      <c r="D6" s="1766"/>
      <c r="E6" s="892"/>
      <c r="F6" s="1766"/>
      <c r="G6" s="1767"/>
      <c r="H6" s="1766"/>
      <c r="I6" s="892"/>
      <c r="J6" s="892"/>
    </row>
    <row r="7" spans="1:12" ht="15" customHeight="1">
      <c r="C7" s="701"/>
      <c r="D7" s="701"/>
      <c r="E7" s="701"/>
      <c r="F7" s="701"/>
      <c r="G7" s="701"/>
      <c r="H7" s="701"/>
      <c r="I7" s="701"/>
      <c r="J7" s="701"/>
    </row>
    <row r="8" spans="1:12" ht="15" customHeight="1">
      <c r="C8" s="701"/>
      <c r="D8" s="2360" t="s">
        <v>1462</v>
      </c>
      <c r="E8" s="2360"/>
      <c r="F8" s="2361"/>
      <c r="G8" s="2361"/>
      <c r="H8" s="1768" t="s">
        <v>1463</v>
      </c>
      <c r="I8" s="1768"/>
      <c r="J8" s="701"/>
    </row>
    <row r="9" spans="1:12" ht="15" customHeight="1">
      <c r="C9" s="701"/>
      <c r="D9" s="701"/>
      <c r="E9" s="701"/>
      <c r="F9" s="701"/>
      <c r="G9" s="701"/>
      <c r="H9" s="701"/>
      <c r="I9" s="701"/>
      <c r="J9" s="701"/>
    </row>
    <row r="10" spans="1:12" ht="15" customHeight="1">
      <c r="C10" s="701"/>
      <c r="D10" s="701"/>
      <c r="E10" s="701"/>
      <c r="F10" s="701"/>
      <c r="G10" s="701"/>
      <c r="H10" s="701"/>
      <c r="I10" s="701"/>
      <c r="J10" s="701"/>
    </row>
    <row r="11" spans="1:12" ht="15" customHeight="1">
      <c r="C11" s="701"/>
      <c r="D11" s="701"/>
      <c r="E11" s="894" t="s">
        <v>1078</v>
      </c>
      <c r="F11" s="2364"/>
      <c r="G11" s="2364"/>
      <c r="H11" s="2364"/>
      <c r="I11" s="701"/>
      <c r="J11" s="701"/>
    </row>
    <row r="12" spans="1:12" ht="15" customHeight="1">
      <c r="C12" s="701"/>
      <c r="D12" s="2353"/>
      <c r="E12" s="3177"/>
      <c r="F12" s="3209"/>
      <c r="G12" s="1681" t="s">
        <v>1464</v>
      </c>
      <c r="H12" s="1681" t="s">
        <v>1465</v>
      </c>
      <c r="I12" s="701"/>
      <c r="J12" s="701"/>
    </row>
    <row r="13" spans="1:12" ht="15" customHeight="1">
      <c r="C13" s="701"/>
      <c r="D13" s="2353"/>
      <c r="E13" s="3183" t="s">
        <v>859</v>
      </c>
      <c r="F13" s="3183"/>
      <c r="G13" s="3210" t="s">
        <v>1466</v>
      </c>
      <c r="H13" s="3211"/>
      <c r="I13" s="2030"/>
      <c r="J13" s="701"/>
    </row>
    <row r="14" spans="1:12" ht="15" customHeight="1">
      <c r="C14" s="701"/>
      <c r="D14" s="2353"/>
      <c r="E14" s="2377" t="s">
        <v>535</v>
      </c>
      <c r="F14" s="3212"/>
      <c r="G14" s="3213">
        <v>0.38282640000000001</v>
      </c>
      <c r="H14" s="3149" cm="1">
        <f t="array" ref="H14">G14/UNIDAD_MWH_A_ATWH*UNIDAD_T_A_MT</f>
        <v>0.38282640000000001</v>
      </c>
      <c r="I14" s="2030"/>
      <c r="J14" s="701"/>
    </row>
    <row r="15" spans="1:12" ht="15" customHeight="1">
      <c r="C15" s="701"/>
      <c r="D15" s="2353"/>
      <c r="E15" s="2377" t="s">
        <v>536</v>
      </c>
      <c r="F15" s="3212"/>
      <c r="G15" s="3213">
        <v>0.7904776</v>
      </c>
      <c r="H15" s="3149" cm="1">
        <f t="array" ref="H15">G15/UNIDAD_MWH_A_ATWH*UNIDAD_T_A_MT</f>
        <v>0.7904776</v>
      </c>
      <c r="I15" s="2030"/>
      <c r="J15" s="701"/>
    </row>
    <row r="16" spans="1:12" ht="15" customHeight="1">
      <c r="C16" s="701"/>
      <c r="D16" s="2353"/>
      <c r="E16" s="2377" t="s">
        <v>526</v>
      </c>
      <c r="F16" s="3212"/>
      <c r="G16" s="3213">
        <v>0.71579506238385981</v>
      </c>
      <c r="H16" s="3149" cm="1">
        <f t="array" ref="H16">G16/UNIDAD_MWH_A_ATWH*UNIDAD_T_A_MT</f>
        <v>0.71579506238385981</v>
      </c>
      <c r="I16" s="2030"/>
      <c r="J16" s="701"/>
    </row>
    <row r="17" spans="3:10" ht="15" customHeight="1">
      <c r="C17" s="701"/>
      <c r="D17" s="2353"/>
      <c r="E17" s="2377" t="s">
        <v>644</v>
      </c>
      <c r="F17" s="3212"/>
      <c r="G17" s="3213">
        <v>0.61797204348790769</v>
      </c>
      <c r="H17" s="3149" cm="1">
        <f t="array" ref="H17">G17/UNIDAD_MWH_A_ATWH*UNIDAD_T_A_MT</f>
        <v>0.61797204348790769</v>
      </c>
      <c r="I17" s="2030"/>
      <c r="J17" s="701"/>
    </row>
    <row r="18" spans="3:10" ht="15" customHeight="1">
      <c r="C18" s="701"/>
      <c r="D18" s="2353"/>
      <c r="E18" s="2377" t="s">
        <v>525</v>
      </c>
      <c r="F18" s="3212"/>
      <c r="G18" s="3213" t="s">
        <v>72</v>
      </c>
      <c r="H18" s="3213" t="s">
        <v>72</v>
      </c>
      <c r="I18" s="2030"/>
      <c r="J18" s="701"/>
    </row>
    <row r="19" spans="3:10" ht="15" customHeight="1">
      <c r="C19" s="701"/>
      <c r="D19" s="2353"/>
      <c r="E19" s="2377" t="s">
        <v>498</v>
      </c>
      <c r="F19" s="3212"/>
      <c r="G19" s="3213" t="s">
        <v>72</v>
      </c>
      <c r="H19" s="3213" t="s">
        <v>72</v>
      </c>
      <c r="I19" s="2030"/>
      <c r="J19" s="701"/>
    </row>
    <row r="20" spans="3:10" ht="15" customHeight="1">
      <c r="C20" s="701"/>
      <c r="D20" s="2353"/>
      <c r="E20" s="2377" t="s">
        <v>538</v>
      </c>
      <c r="F20" s="3212"/>
      <c r="G20" s="3213">
        <v>4.1000000000000002E-2</v>
      </c>
      <c r="H20" s="3149" cm="1">
        <f t="array" ref="H20">G20/UNIDAD_MWH_A_ATWH*UNIDAD_T_A_MT</f>
        <v>4.0999999999999995E-2</v>
      </c>
      <c r="I20" s="2030"/>
      <c r="J20" s="701"/>
    </row>
    <row r="21" spans="3:10" ht="15" customHeight="1">
      <c r="C21" s="701"/>
      <c r="D21" s="2353"/>
      <c r="E21" s="2380" t="s">
        <v>539</v>
      </c>
      <c r="F21" s="3214"/>
      <c r="G21" s="3215">
        <v>8.7999999999999995E-2</v>
      </c>
      <c r="H21" s="3150" cm="1">
        <f t="array" ref="H21">G21/UNIDAD_MWH_A_ATWH*UNIDAD_T_A_MT</f>
        <v>8.7999999999999995E-2</v>
      </c>
      <c r="I21" s="2030"/>
      <c r="J21" s="701"/>
    </row>
    <row r="22" spans="3:10" ht="15" customHeight="1">
      <c r="C22" s="701"/>
      <c r="D22" s="2353"/>
      <c r="E22" s="2365"/>
      <c r="F22" s="2365"/>
      <c r="G22" s="2366"/>
      <c r="H22" s="2030"/>
      <c r="I22" s="701"/>
      <c r="J22" s="701"/>
    </row>
    <row r="23" spans="3:10" ht="15" customHeight="1">
      <c r="C23" s="701"/>
      <c r="D23" s="701"/>
      <c r="E23" s="701"/>
      <c r="F23" s="701"/>
      <c r="G23" s="701"/>
      <c r="H23" s="701"/>
      <c r="I23" s="701"/>
      <c r="J23" s="701"/>
    </row>
    <row r="24" spans="3:10" ht="15" customHeight="1">
      <c r="C24" s="701"/>
      <c r="D24" s="2360" t="s">
        <v>1467</v>
      </c>
      <c r="E24" s="2360"/>
      <c r="F24" s="2361"/>
      <c r="G24" s="2361"/>
      <c r="H24" s="1768" t="s">
        <v>1463</v>
      </c>
      <c r="I24" s="701"/>
      <c r="J24" s="701"/>
    </row>
    <row r="25" spans="3:10" ht="15" customHeight="1">
      <c r="C25" s="701"/>
      <c r="D25" s="701"/>
      <c r="E25" s="701"/>
      <c r="F25" s="701"/>
      <c r="G25" s="701"/>
      <c r="H25" s="701"/>
      <c r="I25" s="701"/>
      <c r="J25" s="701"/>
    </row>
    <row r="26" spans="3:10" ht="15" customHeight="1">
      <c r="C26" s="701"/>
      <c r="D26" s="701"/>
      <c r="E26" s="894" t="s">
        <v>1081</v>
      </c>
      <c r="F26" s="2364"/>
      <c r="G26" s="2364"/>
      <c r="H26" s="2364"/>
      <c r="I26" s="701"/>
      <c r="J26" s="701"/>
    </row>
    <row r="27" spans="3:10" ht="15" customHeight="1">
      <c r="C27" s="701"/>
      <c r="D27" s="701"/>
      <c r="E27" s="701"/>
      <c r="F27" s="701"/>
      <c r="G27" s="701"/>
      <c r="H27" s="701"/>
      <c r="I27" s="701"/>
      <c r="J27" s="701"/>
    </row>
    <row r="28" spans="3:10" ht="15" customHeight="1">
      <c r="C28" s="2367"/>
      <c r="D28" s="2367"/>
      <c r="E28" s="2245" t="s">
        <v>1468</v>
      </c>
      <c r="F28" s="2367"/>
      <c r="G28" s="2368"/>
      <c r="H28" s="2369"/>
      <c r="I28" s="701"/>
      <c r="J28" s="701"/>
    </row>
    <row r="29" spans="3:10" ht="15" customHeight="1">
      <c r="C29" s="2367"/>
      <c r="D29" s="2367"/>
      <c r="E29" s="2370" t="s">
        <v>1469</v>
      </c>
      <c r="F29" s="2371" t="s">
        <v>1470</v>
      </c>
      <c r="G29" s="2372" t="s">
        <v>698</v>
      </c>
      <c r="H29" s="2367"/>
      <c r="I29" s="701"/>
      <c r="J29" s="701"/>
    </row>
    <row r="30" spans="3:10" ht="15" customHeight="1">
      <c r="C30" s="2367"/>
      <c r="D30" s="2367"/>
      <c r="E30" s="2373" t="s">
        <v>1471</v>
      </c>
      <c r="F30" s="2374">
        <v>8.9999999999999998E-4</v>
      </c>
      <c r="G30" s="2375" t="s">
        <v>1472</v>
      </c>
      <c r="H30" s="2367"/>
      <c r="I30" s="701"/>
      <c r="J30" s="701"/>
    </row>
    <row r="31" spans="3:10" ht="15" customHeight="1">
      <c r="C31" s="2367"/>
      <c r="D31" s="2367"/>
      <c r="E31" s="2373" t="s">
        <v>1473</v>
      </c>
      <c r="F31" s="2376">
        <v>7.9500000000000001E-2</v>
      </c>
      <c r="G31" s="2377" t="s">
        <v>1472</v>
      </c>
      <c r="H31" s="2367"/>
      <c r="I31" s="701"/>
      <c r="J31" s="701"/>
    </row>
    <row r="32" spans="3:10" ht="15" customHeight="1">
      <c r="C32" s="2367"/>
      <c r="D32" s="2367"/>
      <c r="E32" s="2373" t="s">
        <v>1474</v>
      </c>
      <c r="F32" s="2376">
        <v>1.6949999999999999E-5</v>
      </c>
      <c r="G32" s="2377" t="s">
        <v>1472</v>
      </c>
      <c r="H32" s="2367"/>
      <c r="I32" s="701"/>
      <c r="J32" s="701"/>
    </row>
    <row r="33" spans="3:10" ht="15" customHeight="1">
      <c r="C33" s="2367"/>
      <c r="D33" s="2367"/>
      <c r="E33" s="2373" t="s">
        <v>1475</v>
      </c>
      <c r="F33" s="2376">
        <v>2.1500550000000001E-3</v>
      </c>
      <c r="G33" s="2377" t="s">
        <v>1476</v>
      </c>
      <c r="H33" s="2367"/>
      <c r="I33" s="701"/>
      <c r="J33" s="701"/>
    </row>
    <row r="34" spans="3:10" ht="15" customHeight="1">
      <c r="C34" s="2367"/>
      <c r="D34" s="2367"/>
      <c r="E34" s="2373" t="s">
        <v>1477</v>
      </c>
      <c r="F34" s="2376">
        <v>4.2999999999999999E-4</v>
      </c>
      <c r="G34" s="2377" t="s">
        <v>1478</v>
      </c>
      <c r="H34" s="2367"/>
      <c r="I34" s="701"/>
      <c r="J34" s="701"/>
    </row>
    <row r="35" spans="3:10" ht="15" customHeight="1">
      <c r="C35" s="2367"/>
      <c r="D35" s="2367"/>
      <c r="E35" s="2373" t="s">
        <v>1479</v>
      </c>
      <c r="F35" s="2376">
        <v>4.8999999999999997E-7</v>
      </c>
      <c r="G35" s="2377" t="s">
        <v>1476</v>
      </c>
      <c r="H35" s="2367"/>
      <c r="I35" s="701"/>
      <c r="J35" s="701"/>
    </row>
    <row r="36" spans="3:10" ht="15" customHeight="1">
      <c r="C36" s="2367"/>
      <c r="D36" s="2367"/>
      <c r="E36" s="2378" t="s">
        <v>1480</v>
      </c>
      <c r="F36" s="2379">
        <v>2.1500550000000001E-3</v>
      </c>
      <c r="G36" s="2380" t="s">
        <v>1476</v>
      </c>
      <c r="H36" s="2367"/>
      <c r="I36" s="2030"/>
      <c r="J36" s="2030"/>
    </row>
    <row r="37" spans="3:10" ht="15" customHeight="1">
      <c r="C37" s="2367"/>
      <c r="D37" s="2367"/>
      <c r="E37" s="2373"/>
      <c r="F37" s="2381"/>
      <c r="G37" s="2367"/>
      <c r="H37" s="2367"/>
      <c r="I37" s="2030"/>
      <c r="J37" s="2030"/>
    </row>
    <row r="38" spans="3:10" ht="15" customHeight="1">
      <c r="C38" s="2367"/>
      <c r="D38" s="2367"/>
      <c r="E38" s="2245" t="s">
        <v>1481</v>
      </c>
      <c r="F38" s="2381"/>
      <c r="G38" s="2368"/>
      <c r="H38" s="2367"/>
      <c r="I38" s="2030"/>
      <c r="J38" s="2030"/>
    </row>
    <row r="39" spans="3:10" ht="15" customHeight="1">
      <c r="C39" s="2367"/>
      <c r="D39" s="2367"/>
      <c r="E39" s="2370" t="s">
        <v>1469</v>
      </c>
      <c r="F39" s="2371" t="s">
        <v>1470</v>
      </c>
      <c r="G39" s="2382" t="s">
        <v>698</v>
      </c>
      <c r="H39" s="2369"/>
      <c r="I39" s="2030"/>
      <c r="J39" s="2030"/>
    </row>
    <row r="40" spans="3:10" ht="15" customHeight="1">
      <c r="C40" s="2367"/>
      <c r="D40" s="2367"/>
      <c r="E40" s="2373" t="s">
        <v>1471</v>
      </c>
      <c r="F40" s="2374">
        <v>2.965E-4</v>
      </c>
      <c r="G40" s="2375" t="s">
        <v>1472</v>
      </c>
      <c r="H40" s="2367"/>
      <c r="I40" s="2030"/>
      <c r="J40" s="2030"/>
    </row>
    <row r="41" spans="3:10" ht="15" customHeight="1">
      <c r="C41" s="2367"/>
      <c r="D41" s="2367"/>
      <c r="E41" s="2373" t="s">
        <v>1473</v>
      </c>
      <c r="F41" s="2376">
        <v>4.505E-4</v>
      </c>
      <c r="G41" s="2377" t="s">
        <v>1472</v>
      </c>
      <c r="H41" s="2367"/>
      <c r="I41" s="2030"/>
      <c r="J41" s="2030"/>
    </row>
    <row r="42" spans="3:10" ht="15" customHeight="1">
      <c r="C42" s="2367"/>
      <c r="D42" s="2367"/>
      <c r="E42" s="2373" t="s">
        <v>1474</v>
      </c>
      <c r="F42" s="2376">
        <v>9.5500000000000001E-4</v>
      </c>
      <c r="G42" s="2377" t="s">
        <v>1472</v>
      </c>
      <c r="H42" s="2367"/>
      <c r="I42" s="2030"/>
      <c r="J42" s="2030"/>
    </row>
    <row r="43" spans="3:10" ht="15" customHeight="1">
      <c r="C43" s="2367"/>
      <c r="D43" s="2367"/>
      <c r="E43" s="2373" t="s">
        <v>1475</v>
      </c>
      <c r="F43" s="2376">
        <f>0.000855+0.00000076+0.000101996874681325</f>
        <v>9.5775687468132502E-4</v>
      </c>
      <c r="G43" s="2377" t="s">
        <v>1476</v>
      </c>
      <c r="H43" s="2367"/>
      <c r="I43" s="2030"/>
      <c r="J43" s="2030"/>
    </row>
    <row r="44" spans="3:10" ht="15" customHeight="1">
      <c r="C44" s="2367"/>
      <c r="D44" s="2367"/>
      <c r="E44" s="2373" t="s">
        <v>1477</v>
      </c>
      <c r="F44" s="2383">
        <v>0</v>
      </c>
      <c r="G44" s="2377" t="s">
        <v>1478</v>
      </c>
      <c r="H44" s="2367"/>
      <c r="I44" s="2030"/>
      <c r="J44" s="2030"/>
    </row>
    <row r="45" spans="3:10" ht="15" customHeight="1">
      <c r="C45" s="2367"/>
      <c r="D45" s="2367"/>
      <c r="E45" s="2373" t="s">
        <v>1479</v>
      </c>
      <c r="F45" s="2376">
        <v>5.4E-6</v>
      </c>
      <c r="G45" s="2377" t="s">
        <v>1476</v>
      </c>
      <c r="H45" s="2367"/>
      <c r="I45" s="2030"/>
      <c r="J45" s="2030"/>
    </row>
    <row r="46" spans="3:10" ht="15" customHeight="1">
      <c r="C46" s="2367"/>
      <c r="D46" s="2367"/>
      <c r="E46" s="2378" t="s">
        <v>1480</v>
      </c>
      <c r="F46" s="2379">
        <v>2.1800000000000001E-5</v>
      </c>
      <c r="G46" s="2380" t="s">
        <v>1476</v>
      </c>
      <c r="H46" s="2367"/>
      <c r="I46" s="2030"/>
      <c r="J46" s="2030"/>
    </row>
    <row r="47" spans="3:10" ht="15" customHeight="1">
      <c r="C47" s="2367"/>
      <c r="D47" s="2367"/>
      <c r="E47" s="2373"/>
      <c r="F47" s="2381"/>
      <c r="G47" s="2367"/>
      <c r="H47" s="2367"/>
      <c r="I47" s="2030"/>
      <c r="J47" s="2030"/>
    </row>
    <row r="48" spans="3:10" ht="15" customHeight="1">
      <c r="C48" s="2367"/>
      <c r="D48" s="2367"/>
      <c r="E48" s="2245" t="s">
        <v>1482</v>
      </c>
      <c r="F48" s="2381"/>
      <c r="G48" s="2368"/>
      <c r="H48" s="2367"/>
      <c r="I48" s="2030"/>
      <c r="J48" s="2030"/>
    </row>
    <row r="49" spans="3:10" ht="15" customHeight="1">
      <c r="C49" s="2367"/>
      <c r="D49" s="2367"/>
      <c r="E49" s="2370" t="s">
        <v>1469</v>
      </c>
      <c r="F49" s="2371" t="s">
        <v>1470</v>
      </c>
      <c r="G49" s="2382" t="s">
        <v>698</v>
      </c>
      <c r="H49" s="2369"/>
      <c r="I49" s="2030"/>
      <c r="J49" s="2030"/>
    </row>
    <row r="50" spans="3:10" ht="15" customHeight="1">
      <c r="C50" s="2367"/>
      <c r="D50" s="2367"/>
      <c r="E50" s="2373" t="s">
        <v>1471</v>
      </c>
      <c r="F50" s="2384">
        <v>0</v>
      </c>
      <c r="G50" s="2375" t="s">
        <v>1472</v>
      </c>
      <c r="H50" s="2367"/>
      <c r="I50" s="2030"/>
      <c r="J50" s="2030"/>
    </row>
    <row r="51" spans="3:10" ht="15" customHeight="1">
      <c r="C51" s="2367"/>
      <c r="D51" s="2367"/>
      <c r="E51" s="2373" t="s">
        <v>1473</v>
      </c>
      <c r="F51" s="2376">
        <v>5.8400000000000004E-7</v>
      </c>
      <c r="G51" s="2377" t="s">
        <v>1472</v>
      </c>
      <c r="H51" s="2367"/>
      <c r="I51" s="2030"/>
      <c r="J51" s="2030"/>
    </row>
    <row r="52" spans="3:10" ht="15" customHeight="1">
      <c r="C52" s="2367"/>
      <c r="D52" s="2367"/>
      <c r="E52" s="2373" t="s">
        <v>1474</v>
      </c>
      <c r="F52" s="2383">
        <v>0</v>
      </c>
      <c r="G52" s="2377" t="s">
        <v>1472</v>
      </c>
      <c r="H52" s="2367"/>
      <c r="I52" s="2030"/>
      <c r="J52" s="2030"/>
    </row>
    <row r="53" spans="3:10" ht="15" customHeight="1">
      <c r="C53" s="2367"/>
      <c r="D53" s="2367"/>
      <c r="E53" s="2373" t="s">
        <v>1475</v>
      </c>
      <c r="F53" s="2383">
        <v>0</v>
      </c>
      <c r="G53" s="2377" t="s">
        <v>1476</v>
      </c>
      <c r="H53" s="2367"/>
      <c r="I53" s="2030"/>
      <c r="J53" s="2030"/>
    </row>
    <row r="54" spans="3:10" ht="15" customHeight="1">
      <c r="C54" s="2367"/>
      <c r="D54" s="2367"/>
      <c r="E54" s="2373" t="s">
        <v>1477</v>
      </c>
      <c r="F54" s="2376">
        <v>2.1999999999999998E-9</v>
      </c>
      <c r="G54" s="2377" t="s">
        <v>1478</v>
      </c>
      <c r="H54" s="2367"/>
      <c r="I54" s="2030"/>
      <c r="J54" s="2030"/>
    </row>
    <row r="55" spans="3:10" ht="15" customHeight="1">
      <c r="C55" s="2367"/>
      <c r="D55" s="2367"/>
      <c r="E55" s="2373" t="s">
        <v>1479</v>
      </c>
      <c r="F55" s="2383">
        <v>0</v>
      </c>
      <c r="G55" s="2377" t="s">
        <v>1476</v>
      </c>
      <c r="H55" s="2367"/>
      <c r="I55" s="2030"/>
      <c r="J55" s="2030"/>
    </row>
    <row r="56" spans="3:10" ht="15" customHeight="1">
      <c r="C56" s="2367"/>
      <c r="D56" s="2367"/>
      <c r="E56" s="2378" t="s">
        <v>1480</v>
      </c>
      <c r="F56" s="2385">
        <v>0</v>
      </c>
      <c r="G56" s="2380" t="s">
        <v>1476</v>
      </c>
      <c r="H56" s="2367"/>
      <c r="I56" s="2030"/>
      <c r="J56" s="2030"/>
    </row>
    <row r="57" spans="3:10" ht="15" customHeight="1">
      <c r="C57" s="2030"/>
      <c r="D57" s="2030"/>
      <c r="E57" s="2386"/>
      <c r="F57" s="2387"/>
      <c r="G57" s="2388"/>
      <c r="H57" s="2030"/>
      <c r="I57" s="2030"/>
      <c r="J57" s="2030"/>
    </row>
    <row r="58" spans="3:10" ht="15" customHeight="1">
      <c r="C58" s="701"/>
      <c r="D58" s="701"/>
      <c r="E58" s="699"/>
      <c r="F58" s="701"/>
      <c r="G58" s="701"/>
      <c r="H58" s="701"/>
      <c r="I58" s="701"/>
      <c r="J58" s="701"/>
    </row>
    <row r="59" spans="3:10" ht="15" customHeight="1">
      <c r="C59" s="701"/>
      <c r="D59" s="701"/>
      <c r="E59" s="894" t="s">
        <v>1083</v>
      </c>
      <c r="F59" s="2364"/>
      <c r="G59" s="2364"/>
      <c r="H59" s="2364"/>
      <c r="I59" s="701"/>
      <c r="J59" s="701"/>
    </row>
    <row r="60" spans="3:10" ht="15" customHeight="1">
      <c r="C60" s="701"/>
      <c r="D60" s="701"/>
      <c r="E60" s="701"/>
      <c r="F60" s="701"/>
      <c r="G60" s="701"/>
      <c r="H60" s="701"/>
      <c r="I60" s="701"/>
      <c r="J60" s="701"/>
    </row>
    <row r="61" spans="3:10" ht="15" customHeight="1">
      <c r="C61" s="701"/>
      <c r="D61" s="701"/>
      <c r="E61" s="2245" t="s">
        <v>1468</v>
      </c>
      <c r="F61" s="701"/>
      <c r="G61" s="3176" t="s">
        <v>1483</v>
      </c>
      <c r="H61" s="701"/>
      <c r="I61" s="701"/>
      <c r="J61" s="701"/>
    </row>
    <row r="62" spans="3:10" ht="15" customHeight="1">
      <c r="C62" s="701"/>
      <c r="D62" s="701"/>
      <c r="E62" s="1654" t="s">
        <v>1469</v>
      </c>
      <c r="F62" s="2390" t="s">
        <v>1470</v>
      </c>
      <c r="G62" s="2391" t="s">
        <v>698</v>
      </c>
      <c r="H62" s="701"/>
      <c r="I62" s="701"/>
      <c r="J62" s="701"/>
    </row>
    <row r="63" spans="3:10" ht="15" customHeight="1">
      <c r="C63" s="701"/>
      <c r="D63" s="701"/>
      <c r="E63" s="2392" t="s">
        <v>1471</v>
      </c>
      <c r="F63" s="2393">
        <v>8.9999999999999998E-4</v>
      </c>
      <c r="G63" s="2375" t="s">
        <v>1472</v>
      </c>
      <c r="H63" s="701"/>
      <c r="I63" s="701"/>
      <c r="J63" s="701"/>
    </row>
    <row r="64" spans="3:10" ht="15" customHeight="1">
      <c r="C64" s="701"/>
      <c r="D64" s="701"/>
      <c r="E64" s="699" t="s">
        <v>1473</v>
      </c>
      <c r="F64" s="2394">
        <v>7.9500000000000001E-2</v>
      </c>
      <c r="G64" s="2377" t="s">
        <v>1472</v>
      </c>
      <c r="H64" s="701"/>
      <c r="I64" s="701"/>
      <c r="J64" s="701"/>
    </row>
    <row r="65" spans="3:10" ht="15" customHeight="1">
      <c r="C65" s="701"/>
      <c r="D65" s="701"/>
      <c r="E65" s="699" t="s">
        <v>1474</v>
      </c>
      <c r="F65" s="2394">
        <v>1.6949999999999999E-5</v>
      </c>
      <c r="G65" s="2377" t="s">
        <v>1472</v>
      </c>
      <c r="H65" s="701"/>
      <c r="I65" s="701"/>
      <c r="J65" s="701"/>
    </row>
    <row r="66" spans="3:10" ht="15" customHeight="1">
      <c r="C66" s="701"/>
      <c r="D66" s="701"/>
      <c r="E66" s="699" t="s">
        <v>1484</v>
      </c>
      <c r="F66" s="2394">
        <v>4.8000000000000001E-5</v>
      </c>
      <c r="G66" s="2377" t="s">
        <v>1476</v>
      </c>
      <c r="H66" s="701"/>
      <c r="I66" s="701"/>
      <c r="J66" s="701"/>
    </row>
    <row r="67" spans="3:10" ht="15" customHeight="1">
      <c r="C67" s="701"/>
      <c r="D67" s="701"/>
      <c r="E67" s="699" t="s">
        <v>1485</v>
      </c>
      <c r="F67" s="2394">
        <f>SUM(F65:F66)/2</f>
        <v>3.2475000000000003E-5</v>
      </c>
      <c r="G67" s="2377" t="s">
        <v>1478</v>
      </c>
      <c r="H67" s="701"/>
      <c r="I67" s="701"/>
      <c r="J67" s="701"/>
    </row>
    <row r="68" spans="3:10" ht="15" customHeight="1">
      <c r="C68" s="701"/>
      <c r="D68" s="701"/>
      <c r="E68" s="699" t="s">
        <v>1486</v>
      </c>
      <c r="F68" s="2394">
        <v>0.1065</v>
      </c>
      <c r="G68" s="2377" t="s">
        <v>1476</v>
      </c>
      <c r="H68" s="701"/>
      <c r="I68" s="701"/>
      <c r="J68" s="701"/>
    </row>
    <row r="69" spans="3:10" ht="15" customHeight="1">
      <c r="C69" s="701"/>
      <c r="D69" s="701"/>
      <c r="E69" s="2395" t="s">
        <v>1487</v>
      </c>
      <c r="F69" s="2396">
        <v>9.5500000000000004E-5</v>
      </c>
      <c r="G69" s="2380" t="s">
        <v>1476</v>
      </c>
      <c r="H69" s="701"/>
      <c r="I69" s="701"/>
      <c r="J69" s="701"/>
    </row>
    <row r="70" spans="3:10" ht="15" customHeight="1">
      <c r="C70" s="701"/>
      <c r="D70" s="701"/>
      <c r="E70" s="699"/>
      <c r="F70" s="2341"/>
      <c r="G70" s="701"/>
      <c r="H70" s="701"/>
      <c r="I70" s="701"/>
      <c r="J70" s="701"/>
    </row>
    <row r="71" spans="3:10" ht="15" customHeight="1">
      <c r="C71" s="701"/>
      <c r="D71" s="701"/>
      <c r="E71" s="1679" t="s">
        <v>1488</v>
      </c>
      <c r="F71" s="701"/>
      <c r="G71" s="3176" t="s">
        <v>1483</v>
      </c>
      <c r="H71" s="701"/>
      <c r="I71" s="701"/>
      <c r="J71" s="701"/>
    </row>
    <row r="72" spans="3:10" ht="15" customHeight="1">
      <c r="C72" s="701"/>
      <c r="D72" s="701"/>
      <c r="E72" s="1654" t="s">
        <v>1469</v>
      </c>
      <c r="F72" s="2390" t="s">
        <v>1470</v>
      </c>
      <c r="G72" s="2391" t="s">
        <v>698</v>
      </c>
      <c r="H72" s="701"/>
      <c r="I72" s="701"/>
      <c r="J72" s="701"/>
    </row>
    <row r="73" spans="3:10" ht="15" customHeight="1">
      <c r="C73" s="701"/>
      <c r="D73" s="701"/>
      <c r="E73" s="2392" t="s">
        <v>1471</v>
      </c>
      <c r="F73" s="2393">
        <v>2.965E-4</v>
      </c>
      <c r="G73" s="2392" t="s">
        <v>1489</v>
      </c>
      <c r="H73" s="701"/>
      <c r="I73" s="701"/>
      <c r="J73" s="701"/>
    </row>
    <row r="74" spans="3:10" ht="15" customHeight="1">
      <c r="C74" s="701"/>
      <c r="D74" s="701"/>
      <c r="E74" s="699" t="s">
        <v>1473</v>
      </c>
      <c r="F74" s="2394">
        <v>4.505E-4</v>
      </c>
      <c r="G74" s="699" t="s">
        <v>1489</v>
      </c>
      <c r="H74" s="701"/>
      <c r="I74" s="701"/>
      <c r="J74" s="701"/>
    </row>
    <row r="75" spans="3:10" ht="15" customHeight="1">
      <c r="C75" s="701"/>
      <c r="D75" s="701"/>
      <c r="E75" s="699" t="s">
        <v>1474</v>
      </c>
      <c r="F75" s="2394">
        <v>9.5500000000000001E-4</v>
      </c>
      <c r="G75" s="699" t="s">
        <v>1489</v>
      </c>
      <c r="H75" s="701"/>
      <c r="I75" s="701"/>
      <c r="J75" s="701"/>
    </row>
    <row r="76" spans="3:10" ht="15" customHeight="1">
      <c r="C76" s="701"/>
      <c r="D76" s="701"/>
      <c r="E76" s="699" t="s">
        <v>1484</v>
      </c>
      <c r="F76" s="2394">
        <v>8.8000000000000004E-7</v>
      </c>
      <c r="G76" s="699" t="s">
        <v>1490</v>
      </c>
      <c r="H76" s="701"/>
      <c r="I76" s="701"/>
      <c r="J76" s="701"/>
    </row>
    <row r="77" spans="3:10" ht="15" customHeight="1">
      <c r="C77" s="701"/>
      <c r="D77" s="701"/>
      <c r="E77" s="699" t="s">
        <v>1485</v>
      </c>
      <c r="F77" s="2394">
        <v>3.3724999999999998E-4</v>
      </c>
      <c r="G77" s="699" t="s">
        <v>1491</v>
      </c>
      <c r="H77" s="701"/>
      <c r="I77" s="701"/>
      <c r="J77" s="701"/>
    </row>
    <row r="78" spans="3:10" ht="15" customHeight="1">
      <c r="C78" s="701"/>
      <c r="D78" s="701"/>
      <c r="E78" s="699" t="s">
        <v>1486</v>
      </c>
      <c r="F78" s="2394" t="s">
        <v>72</v>
      </c>
      <c r="G78" s="699" t="s">
        <v>1492</v>
      </c>
      <c r="H78" s="701"/>
      <c r="I78" s="701"/>
      <c r="J78" s="701"/>
    </row>
    <row r="79" spans="3:10" ht="15" customHeight="1">
      <c r="C79" s="701"/>
      <c r="D79" s="701"/>
      <c r="E79" s="2395" t="s">
        <v>1487</v>
      </c>
      <c r="F79" s="2396">
        <v>1.8E-3</v>
      </c>
      <c r="G79" s="2380" t="s">
        <v>1493</v>
      </c>
      <c r="H79" s="701"/>
      <c r="I79" s="701"/>
      <c r="J79" s="701"/>
    </row>
    <row r="80" spans="3:10" ht="15" customHeight="1">
      <c r="C80" s="701"/>
      <c r="D80" s="701"/>
      <c r="E80" s="699"/>
      <c r="F80" s="701"/>
      <c r="G80" s="701"/>
      <c r="H80" s="701"/>
      <c r="I80" s="701"/>
      <c r="J80" s="701"/>
    </row>
    <row r="81" spans="3:10" ht="15" customHeight="1">
      <c r="C81" s="701"/>
      <c r="D81" s="701"/>
      <c r="E81" s="2245" t="s">
        <v>1482</v>
      </c>
      <c r="F81" s="701"/>
      <c r="G81" s="3176" t="s">
        <v>1483</v>
      </c>
      <c r="H81" s="701"/>
      <c r="I81" s="701"/>
      <c r="J81" s="701"/>
    </row>
    <row r="82" spans="3:10" ht="15" customHeight="1">
      <c r="C82" s="701"/>
      <c r="D82" s="701"/>
      <c r="E82" s="1654" t="s">
        <v>1469</v>
      </c>
      <c r="F82" s="2390" t="s">
        <v>1470</v>
      </c>
      <c r="G82" s="2391" t="s">
        <v>698</v>
      </c>
      <c r="H82" s="701"/>
      <c r="I82" s="701"/>
      <c r="J82" s="701"/>
    </row>
    <row r="83" spans="3:10" ht="15" customHeight="1">
      <c r="C83" s="701"/>
      <c r="D83" s="701"/>
      <c r="E83" s="2392" t="s">
        <v>1471</v>
      </c>
      <c r="F83" s="2393">
        <v>0</v>
      </c>
      <c r="G83" s="2392" t="s">
        <v>1489</v>
      </c>
      <c r="H83" s="701"/>
      <c r="I83" s="701"/>
      <c r="J83" s="701"/>
    </row>
    <row r="84" spans="3:10" ht="15" customHeight="1">
      <c r="C84" s="701"/>
      <c r="D84" s="701"/>
      <c r="E84" s="699" t="s">
        <v>1473</v>
      </c>
      <c r="F84" s="2394">
        <v>5.8400000000000004E-7</v>
      </c>
      <c r="G84" s="699" t="s">
        <v>1489</v>
      </c>
      <c r="H84" s="701"/>
      <c r="I84" s="701"/>
      <c r="J84" s="701"/>
    </row>
    <row r="85" spans="3:10" ht="15" customHeight="1">
      <c r="C85" s="701"/>
      <c r="D85" s="701"/>
      <c r="E85" s="699" t="s">
        <v>1474</v>
      </c>
      <c r="F85" s="2394">
        <v>0</v>
      </c>
      <c r="G85" s="699" t="s">
        <v>1489</v>
      </c>
      <c r="H85" s="701"/>
      <c r="I85" s="701"/>
      <c r="J85" s="701"/>
    </row>
    <row r="86" spans="3:10" ht="15" customHeight="1">
      <c r="C86" s="701"/>
      <c r="D86" s="701"/>
      <c r="E86" s="699" t="s">
        <v>1484</v>
      </c>
      <c r="F86" s="2394">
        <v>2.4999999999999999E-8</v>
      </c>
      <c r="G86" s="699" t="s">
        <v>1490</v>
      </c>
      <c r="H86" s="701"/>
      <c r="I86" s="701"/>
      <c r="J86" s="701"/>
    </row>
    <row r="87" spans="3:10" ht="15" customHeight="1">
      <c r="C87" s="701"/>
      <c r="D87" s="701"/>
      <c r="E87" s="699" t="s">
        <v>1485</v>
      </c>
      <c r="F87" s="2394">
        <v>0</v>
      </c>
      <c r="G87" s="699" t="s">
        <v>1491</v>
      </c>
      <c r="H87" s="701"/>
      <c r="I87" s="701"/>
      <c r="J87" s="701"/>
    </row>
    <row r="88" spans="3:10" ht="15" customHeight="1">
      <c r="C88" s="701"/>
      <c r="D88" s="701"/>
      <c r="E88" s="699" t="s">
        <v>1486</v>
      </c>
      <c r="F88" s="2394">
        <v>0</v>
      </c>
      <c r="G88" s="699" t="s">
        <v>1492</v>
      </c>
      <c r="H88" s="701"/>
      <c r="I88" s="701"/>
      <c r="J88" s="701"/>
    </row>
    <row r="89" spans="3:10" ht="15" customHeight="1">
      <c r="C89" s="701"/>
      <c r="D89" s="701"/>
      <c r="E89" s="2395" t="s">
        <v>1487</v>
      </c>
      <c r="F89" s="2396">
        <v>0</v>
      </c>
      <c r="G89" s="2380" t="s">
        <v>1493</v>
      </c>
      <c r="H89" s="701"/>
      <c r="I89" s="701"/>
      <c r="J89" s="701"/>
    </row>
    <row r="90" spans="3:10" ht="15" customHeight="1">
      <c r="C90" s="701"/>
      <c r="D90" s="701"/>
      <c r="E90" s="701"/>
      <c r="F90" s="701"/>
      <c r="G90" s="701"/>
      <c r="H90" s="701"/>
      <c r="I90" s="701"/>
      <c r="J90" s="701"/>
    </row>
    <row r="91" spans="3:10" ht="15" customHeight="1">
      <c r="C91" s="701"/>
      <c r="D91" s="701"/>
      <c r="E91" s="701"/>
      <c r="F91" s="701"/>
      <c r="G91" s="701"/>
      <c r="H91" s="701"/>
      <c r="I91" s="701"/>
      <c r="J91" s="701"/>
    </row>
    <row r="92" spans="3:10" ht="15" customHeight="1">
      <c r="C92" s="701"/>
      <c r="D92" s="701"/>
      <c r="E92" s="894" t="s">
        <v>1085</v>
      </c>
      <c r="F92" s="2364"/>
      <c r="G92" s="2364"/>
      <c r="H92" s="2364"/>
      <c r="I92" s="701"/>
      <c r="J92" s="701"/>
    </row>
    <row r="93" spans="3:10" ht="15" customHeight="1">
      <c r="C93" s="701"/>
      <c r="D93" s="701"/>
      <c r="E93" s="701"/>
      <c r="F93" s="701"/>
      <c r="G93" s="701"/>
      <c r="H93" s="701"/>
      <c r="I93" s="701"/>
      <c r="J93" s="701"/>
    </row>
    <row r="94" spans="3:10" ht="15" customHeight="1">
      <c r="C94" s="701"/>
      <c r="D94" s="701"/>
      <c r="E94" s="2245" t="s">
        <v>1468</v>
      </c>
      <c r="F94" s="701"/>
      <c r="G94" s="2389"/>
      <c r="H94" s="701"/>
      <c r="I94" s="701"/>
      <c r="J94" s="701"/>
    </row>
    <row r="95" spans="3:10" ht="15" customHeight="1">
      <c r="C95" s="701"/>
      <c r="D95" s="701"/>
      <c r="E95" s="1654" t="s">
        <v>1469</v>
      </c>
      <c r="F95" s="2390" t="s">
        <v>1470</v>
      </c>
      <c r="G95" s="2390" t="s">
        <v>698</v>
      </c>
      <c r="H95" s="701"/>
      <c r="I95" s="701"/>
      <c r="J95" s="701"/>
    </row>
    <row r="96" spans="3:10" ht="15" customHeight="1">
      <c r="C96" s="701"/>
      <c r="D96" s="701"/>
      <c r="E96" s="3179" t="s">
        <v>498</v>
      </c>
      <c r="F96" s="2393">
        <v>67185.119999999995</v>
      </c>
      <c r="G96" s="2393" t="s">
        <v>1494</v>
      </c>
      <c r="H96" s="2030"/>
      <c r="I96" s="701"/>
      <c r="J96" s="701"/>
    </row>
    <row r="97" spans="3:10" ht="15" customHeight="1">
      <c r="C97" s="701"/>
      <c r="D97" s="701"/>
      <c r="E97" s="3179" t="s">
        <v>1495</v>
      </c>
      <c r="F97" s="2394">
        <v>69323.7</v>
      </c>
      <c r="G97" s="2394" t="s">
        <v>1494</v>
      </c>
      <c r="H97" s="701"/>
      <c r="I97" s="701"/>
      <c r="J97" s="701"/>
    </row>
    <row r="98" spans="3:10" ht="15" customHeight="1">
      <c r="C98" s="701"/>
      <c r="D98" s="701"/>
      <c r="E98" s="3179" t="s">
        <v>525</v>
      </c>
      <c r="F98" s="2394">
        <v>77841.778000000006</v>
      </c>
      <c r="G98" s="2394" t="s">
        <v>1494</v>
      </c>
      <c r="H98" s="701"/>
      <c r="I98" s="701"/>
      <c r="J98" s="701"/>
    </row>
    <row r="99" spans="3:10" ht="15" customHeight="1">
      <c r="C99" s="701"/>
      <c r="D99" s="701"/>
      <c r="E99" s="3179" t="s">
        <v>499</v>
      </c>
      <c r="F99" s="2394">
        <v>78281.202999999994</v>
      </c>
      <c r="G99" s="2394" t="s">
        <v>1494</v>
      </c>
      <c r="H99" s="701"/>
      <c r="I99" s="701"/>
      <c r="J99" s="701"/>
    </row>
    <row r="100" spans="3:10" ht="15" customHeight="1">
      <c r="C100" s="701"/>
      <c r="D100" s="701"/>
      <c r="E100" s="3179" t="s">
        <v>1496</v>
      </c>
      <c r="F100" s="2394">
        <v>0</v>
      </c>
      <c r="G100" s="2394"/>
      <c r="H100" s="701"/>
      <c r="I100" s="701"/>
      <c r="J100" s="701"/>
    </row>
    <row r="101" spans="3:10" ht="15" customHeight="1">
      <c r="C101" s="701"/>
      <c r="D101" s="701"/>
      <c r="E101" s="3179" t="s">
        <v>1497</v>
      </c>
      <c r="F101" s="2394">
        <v>57600</v>
      </c>
      <c r="G101" s="2394" t="s">
        <v>1494</v>
      </c>
      <c r="H101" s="701"/>
      <c r="I101" s="701"/>
      <c r="J101" s="701"/>
    </row>
    <row r="102" spans="3:10" ht="15" customHeight="1">
      <c r="C102" s="701"/>
      <c r="D102" s="701"/>
      <c r="E102" s="3179" t="s">
        <v>1498</v>
      </c>
      <c r="F102" s="2394">
        <v>74193.482999999993</v>
      </c>
      <c r="G102" s="2394" t="s">
        <v>1494</v>
      </c>
      <c r="H102" s="701"/>
      <c r="I102" s="701"/>
      <c r="J102" s="701"/>
    </row>
    <row r="103" spans="3:10" ht="15" customHeight="1">
      <c r="C103" s="701"/>
      <c r="D103" s="701"/>
      <c r="E103" s="3179" t="s">
        <v>1499</v>
      </c>
      <c r="F103" s="2394">
        <v>73939.638999999996</v>
      </c>
      <c r="G103" s="2394" t="s">
        <v>1494</v>
      </c>
      <c r="H103" s="701"/>
      <c r="I103" s="701"/>
      <c r="J103" s="701"/>
    </row>
    <row r="104" spans="3:10" ht="15" customHeight="1">
      <c r="C104" s="701"/>
      <c r="D104" s="701"/>
      <c r="E104" s="3181" t="s">
        <v>513</v>
      </c>
      <c r="F104" s="2397">
        <v>55539.11</v>
      </c>
      <c r="G104" s="2397" t="s">
        <v>1494</v>
      </c>
      <c r="H104" s="701"/>
      <c r="I104" s="701"/>
      <c r="J104" s="701"/>
    </row>
    <row r="105" spans="3:10" ht="15" customHeight="1">
      <c r="C105" s="701"/>
      <c r="D105" s="701"/>
      <c r="E105" s="701"/>
      <c r="F105" s="2394"/>
      <c r="G105" s="701"/>
      <c r="H105" s="701"/>
      <c r="I105" s="701"/>
      <c r="J105" s="701"/>
    </row>
    <row r="106" spans="3:10" ht="15" customHeight="1">
      <c r="C106" s="701"/>
      <c r="D106" s="701"/>
      <c r="E106" s="1679" t="s">
        <v>1488</v>
      </c>
      <c r="F106" s="701"/>
      <c r="G106" s="2389"/>
      <c r="H106" s="701"/>
      <c r="I106" s="701"/>
      <c r="J106" s="701"/>
    </row>
    <row r="107" spans="3:10" ht="15" customHeight="1">
      <c r="C107" s="701"/>
      <c r="D107" s="701"/>
      <c r="E107" s="1654" t="s">
        <v>1469</v>
      </c>
      <c r="F107" s="2390" t="s">
        <v>1470</v>
      </c>
      <c r="G107" s="2391" t="s">
        <v>698</v>
      </c>
      <c r="H107" s="701"/>
      <c r="I107" s="701"/>
      <c r="J107" s="701"/>
    </row>
    <row r="108" spans="3:10" ht="15" customHeight="1">
      <c r="C108" s="701"/>
      <c r="D108" s="701"/>
      <c r="E108" s="3179" t="s">
        <v>498</v>
      </c>
      <c r="F108" s="2393">
        <v>1</v>
      </c>
      <c r="G108" s="2394" t="s">
        <v>1500</v>
      </c>
      <c r="H108" s="701"/>
      <c r="I108" s="701"/>
      <c r="J108" s="701"/>
    </row>
    <row r="109" spans="3:10" ht="15" customHeight="1">
      <c r="C109" s="701"/>
      <c r="D109" s="701"/>
      <c r="E109" s="3179" t="s">
        <v>1495</v>
      </c>
      <c r="F109" s="2394">
        <v>3</v>
      </c>
      <c r="G109" s="2394" t="s">
        <v>1500</v>
      </c>
      <c r="H109" s="701"/>
      <c r="I109" s="701"/>
      <c r="J109" s="701"/>
    </row>
    <row r="110" spans="3:10" ht="15" customHeight="1">
      <c r="C110" s="701"/>
      <c r="D110" s="701"/>
      <c r="E110" s="3179" t="s">
        <v>525</v>
      </c>
      <c r="F110" s="2394">
        <v>3</v>
      </c>
      <c r="G110" s="2394" t="s">
        <v>1500</v>
      </c>
      <c r="H110" s="701"/>
      <c r="I110" s="701"/>
      <c r="J110" s="701"/>
    </row>
    <row r="111" spans="3:10" ht="15" customHeight="1">
      <c r="C111" s="701"/>
      <c r="D111" s="701"/>
      <c r="E111" s="3179" t="s">
        <v>499</v>
      </c>
      <c r="F111" s="2394">
        <v>3</v>
      </c>
      <c r="G111" s="2394" t="s">
        <v>1500</v>
      </c>
      <c r="H111" s="701"/>
      <c r="I111" s="701"/>
      <c r="J111" s="701"/>
    </row>
    <row r="112" spans="3:10" ht="15" customHeight="1">
      <c r="C112" s="701"/>
      <c r="D112" s="701"/>
      <c r="E112" s="3179" t="s">
        <v>1496</v>
      </c>
      <c r="F112" s="2394">
        <v>1</v>
      </c>
      <c r="G112" s="2394" t="s">
        <v>1500</v>
      </c>
      <c r="H112" s="701"/>
      <c r="I112" s="701"/>
      <c r="J112" s="701"/>
    </row>
    <row r="113" spans="3:10" ht="15" customHeight="1">
      <c r="C113" s="701"/>
      <c r="D113" s="701"/>
      <c r="E113" s="3179" t="s">
        <v>1497</v>
      </c>
      <c r="F113" s="2394">
        <v>1</v>
      </c>
      <c r="G113" s="2394" t="s">
        <v>1500</v>
      </c>
      <c r="H113" s="701"/>
      <c r="I113" s="701"/>
      <c r="J113" s="701"/>
    </row>
    <row r="114" spans="3:10" ht="15" customHeight="1">
      <c r="C114" s="701"/>
      <c r="D114" s="701"/>
      <c r="E114" s="3179" t="s">
        <v>1498</v>
      </c>
      <c r="F114" s="2394">
        <v>3</v>
      </c>
      <c r="G114" s="2394" t="s">
        <v>1500</v>
      </c>
      <c r="H114" s="701"/>
      <c r="I114" s="701"/>
      <c r="J114" s="701"/>
    </row>
    <row r="115" spans="3:10" ht="15" customHeight="1">
      <c r="C115" s="701"/>
      <c r="D115" s="701"/>
      <c r="E115" s="3179" t="s">
        <v>1499</v>
      </c>
      <c r="F115" s="2394">
        <v>3</v>
      </c>
      <c r="G115" s="2394" t="s">
        <v>1500</v>
      </c>
      <c r="H115" s="701"/>
      <c r="I115" s="701"/>
      <c r="J115" s="701"/>
    </row>
    <row r="116" spans="3:10" ht="15" customHeight="1">
      <c r="C116" s="701"/>
      <c r="D116" s="701"/>
      <c r="E116" s="3181" t="s">
        <v>513</v>
      </c>
      <c r="F116" s="2397">
        <v>1</v>
      </c>
      <c r="G116" s="2397" t="s">
        <v>1500</v>
      </c>
      <c r="H116" s="701"/>
      <c r="I116" s="701"/>
      <c r="J116" s="701"/>
    </row>
    <row r="117" spans="3:10" ht="15" customHeight="1">
      <c r="C117" s="701"/>
      <c r="D117" s="701"/>
      <c r="E117" s="701"/>
      <c r="F117" s="701"/>
      <c r="G117" s="701"/>
      <c r="H117" s="701"/>
      <c r="I117" s="701"/>
      <c r="J117" s="701"/>
    </row>
    <row r="118" spans="3:10" ht="15" customHeight="1">
      <c r="C118" s="701"/>
      <c r="D118" s="701"/>
      <c r="E118" s="2245" t="s">
        <v>1468</v>
      </c>
      <c r="F118" s="701"/>
      <c r="G118" s="2389"/>
      <c r="H118" s="701"/>
      <c r="I118" s="701"/>
      <c r="J118" s="701"/>
    </row>
    <row r="119" spans="3:10" ht="15" customHeight="1">
      <c r="C119" s="701"/>
      <c r="D119" s="701"/>
      <c r="E119" s="1654" t="s">
        <v>1469</v>
      </c>
      <c r="F119" s="2390" t="s">
        <v>1470</v>
      </c>
      <c r="G119" s="2390" t="s">
        <v>698</v>
      </c>
      <c r="H119" s="701"/>
      <c r="I119" s="701"/>
      <c r="J119" s="701"/>
    </row>
    <row r="120" spans="3:10" ht="15" customHeight="1">
      <c r="C120" s="701"/>
      <c r="D120" s="701"/>
      <c r="E120" s="3179" t="s">
        <v>498</v>
      </c>
      <c r="F120" s="2393">
        <v>0.1</v>
      </c>
      <c r="G120" s="2393" t="s">
        <v>1501</v>
      </c>
      <c r="H120" s="701"/>
      <c r="I120" s="701"/>
      <c r="J120" s="701"/>
    </row>
    <row r="121" spans="3:10" ht="15" customHeight="1">
      <c r="C121" s="701"/>
      <c r="D121" s="701"/>
      <c r="E121" s="3179" t="s">
        <v>1495</v>
      </c>
      <c r="F121" s="2394">
        <v>0.6</v>
      </c>
      <c r="G121" s="2394" t="s">
        <v>1501</v>
      </c>
      <c r="H121" s="701"/>
      <c r="I121" s="701"/>
      <c r="J121" s="701"/>
    </row>
    <row r="122" spans="3:10" ht="15" customHeight="1">
      <c r="C122" s="701"/>
      <c r="D122" s="701"/>
      <c r="E122" s="3179" t="s">
        <v>525</v>
      </c>
      <c r="F122" s="2394">
        <v>0</v>
      </c>
      <c r="G122" s="2394" t="s">
        <v>1501</v>
      </c>
      <c r="H122" s="701"/>
      <c r="I122" s="701"/>
      <c r="J122" s="701"/>
    </row>
    <row r="123" spans="3:10" ht="15" customHeight="1">
      <c r="C123" s="701"/>
      <c r="D123" s="701"/>
      <c r="E123" s="3179" t="s">
        <v>499</v>
      </c>
      <c r="F123" s="2394">
        <v>0.6</v>
      </c>
      <c r="G123" s="2394" t="s">
        <v>1501</v>
      </c>
      <c r="H123" s="701"/>
      <c r="I123" s="701"/>
      <c r="J123" s="701"/>
    </row>
    <row r="124" spans="3:10" ht="15" customHeight="1">
      <c r="C124" s="701"/>
      <c r="D124" s="701"/>
      <c r="E124" s="3179" t="s">
        <v>1496</v>
      </c>
      <c r="F124" s="2394">
        <v>1.5</v>
      </c>
      <c r="G124" s="2394" t="s">
        <v>1501</v>
      </c>
      <c r="H124" s="701"/>
      <c r="I124" s="701"/>
      <c r="J124" s="701"/>
    </row>
    <row r="125" spans="3:10" ht="15" customHeight="1">
      <c r="C125" s="701"/>
      <c r="D125" s="701"/>
      <c r="E125" s="3179" t="s">
        <v>1497</v>
      </c>
      <c r="F125" s="2394">
        <v>0.1</v>
      </c>
      <c r="G125" s="2394" t="s">
        <v>1501</v>
      </c>
      <c r="H125" s="701"/>
      <c r="I125" s="701"/>
      <c r="J125" s="701"/>
    </row>
    <row r="126" spans="3:10" ht="15" customHeight="1">
      <c r="C126" s="701"/>
      <c r="D126" s="701"/>
      <c r="E126" s="3179" t="s">
        <v>1498</v>
      </c>
      <c r="F126" s="2394">
        <v>0.6</v>
      </c>
      <c r="G126" s="2394" t="s">
        <v>1501</v>
      </c>
      <c r="H126" s="701"/>
      <c r="I126" s="701"/>
      <c r="J126" s="701"/>
    </row>
    <row r="127" spans="3:10" ht="15" customHeight="1">
      <c r="C127" s="701"/>
      <c r="D127" s="701"/>
      <c r="E127" s="3179" t="s">
        <v>1499</v>
      </c>
      <c r="F127" s="2394">
        <v>0.6</v>
      </c>
      <c r="G127" s="2394" t="s">
        <v>1501</v>
      </c>
      <c r="H127" s="701"/>
      <c r="I127" s="701"/>
      <c r="J127" s="701"/>
    </row>
    <row r="128" spans="3:10" ht="15" customHeight="1">
      <c r="C128" s="701"/>
      <c r="D128" s="701"/>
      <c r="E128" s="3181" t="s">
        <v>513</v>
      </c>
      <c r="F128" s="2397">
        <v>0.1</v>
      </c>
      <c r="G128" s="2397" t="s">
        <v>1501</v>
      </c>
      <c r="H128" s="701"/>
      <c r="I128" s="701"/>
      <c r="J128" s="701"/>
    </row>
    <row r="129" spans="3:10" ht="15" customHeight="1">
      <c r="C129" s="701"/>
      <c r="D129" s="701"/>
      <c r="E129" s="701"/>
      <c r="F129" s="701"/>
      <c r="G129" s="701"/>
      <c r="H129" s="701"/>
      <c r="I129" s="701"/>
      <c r="J129" s="701"/>
    </row>
    <row r="130" spans="3:10" ht="15" customHeight="1">
      <c r="C130" s="701"/>
      <c r="D130" s="2359"/>
      <c r="E130" s="2398" t="s">
        <v>36</v>
      </c>
      <c r="F130" s="2361"/>
      <c r="G130" s="2361"/>
      <c r="H130" s="1768" t="s">
        <v>1463</v>
      </c>
      <c r="I130" s="1768"/>
      <c r="J130" s="701"/>
    </row>
    <row r="131" spans="3:10" ht="15" customHeight="1">
      <c r="C131" s="701"/>
      <c r="D131" s="701"/>
      <c r="E131" s="701"/>
      <c r="F131" s="701"/>
      <c r="G131" s="701"/>
      <c r="H131" s="701"/>
      <c r="I131" s="701"/>
      <c r="J131" s="701"/>
    </row>
    <row r="132" spans="3:10" ht="15" customHeight="1">
      <c r="C132" s="701"/>
      <c r="D132" s="701"/>
      <c r="E132" s="701"/>
      <c r="F132" s="701"/>
      <c r="G132" s="701"/>
      <c r="H132" s="701"/>
      <c r="I132" s="701"/>
      <c r="J132" s="701"/>
    </row>
    <row r="133" spans="3:10" ht="15" customHeight="1">
      <c r="C133" s="701"/>
      <c r="D133" s="701"/>
      <c r="E133" s="894" t="s">
        <v>1087</v>
      </c>
      <c r="F133" s="2364"/>
      <c r="G133" s="2364"/>
      <c r="H133" s="2364"/>
      <c r="I133" s="701"/>
      <c r="J133" s="2362"/>
    </row>
    <row r="134" spans="3:10" ht="15" customHeight="1">
      <c r="C134" s="701"/>
      <c r="D134" s="701"/>
      <c r="E134" s="701"/>
      <c r="F134" s="701"/>
      <c r="G134" s="701"/>
      <c r="H134" s="701"/>
      <c r="I134" s="701"/>
      <c r="J134" s="701"/>
    </row>
    <row r="135" spans="3:10" ht="15" customHeight="1">
      <c r="C135" s="701"/>
      <c r="D135" s="701"/>
      <c r="E135" s="2245" t="s">
        <v>1468</v>
      </c>
      <c r="F135" s="701"/>
      <c r="G135" s="2399" t="s">
        <v>1470</v>
      </c>
      <c r="H135" s="3178" t="s">
        <v>1502</v>
      </c>
      <c r="I135" s="701"/>
      <c r="J135" s="701"/>
    </row>
    <row r="136" spans="3:10" ht="15" customHeight="1">
      <c r="C136" s="701"/>
      <c r="D136" s="701"/>
      <c r="E136" s="1654" t="s">
        <v>1469</v>
      </c>
      <c r="F136" s="1654" t="s">
        <v>1503</v>
      </c>
      <c r="G136" s="2391" t="s">
        <v>871</v>
      </c>
      <c r="H136" s="2391" t="s">
        <v>698</v>
      </c>
      <c r="I136" s="701"/>
      <c r="J136" s="701"/>
    </row>
    <row r="137" spans="3:10" ht="15" customHeight="1">
      <c r="C137" s="701"/>
      <c r="D137" s="701"/>
      <c r="E137" s="1707" t="s">
        <v>1504</v>
      </c>
      <c r="F137" s="1707"/>
      <c r="G137" s="2403">
        <v>1.46</v>
      </c>
      <c r="H137" s="2404"/>
      <c r="I137" s="701"/>
      <c r="J137" s="701"/>
    </row>
    <row r="138" spans="3:10" ht="15" customHeight="1">
      <c r="C138" s="701"/>
      <c r="D138" s="701"/>
      <c r="E138" s="701"/>
      <c r="F138" s="701"/>
      <c r="G138" s="701"/>
      <c r="H138" s="701"/>
      <c r="I138" s="701"/>
      <c r="J138" s="701"/>
    </row>
    <row r="139" spans="3:10" ht="15" customHeight="1">
      <c r="C139" s="701"/>
      <c r="D139" s="701"/>
      <c r="E139" s="1679" t="s">
        <v>1488</v>
      </c>
      <c r="F139" s="701"/>
      <c r="G139" s="2399" t="s">
        <v>1470</v>
      </c>
      <c r="H139" s="3178" t="s">
        <v>1502</v>
      </c>
      <c r="I139" s="701"/>
      <c r="J139" s="701"/>
    </row>
    <row r="140" spans="3:10" ht="15" customHeight="1">
      <c r="C140" s="701"/>
      <c r="D140" s="701"/>
      <c r="E140" s="1654" t="s">
        <v>1469</v>
      </c>
      <c r="F140" s="1654" t="s">
        <v>1503</v>
      </c>
      <c r="G140" s="2391" t="s">
        <v>871</v>
      </c>
      <c r="H140" s="2391" t="s">
        <v>698</v>
      </c>
      <c r="I140" s="701"/>
      <c r="J140" s="701"/>
    </row>
    <row r="141" spans="3:10" ht="15" customHeight="1">
      <c r="C141" s="701"/>
      <c r="D141" s="701"/>
      <c r="E141" s="1707" t="s">
        <v>1505</v>
      </c>
      <c r="F141" s="1707"/>
      <c r="G141" s="2403">
        <v>7.0000000000000007E-2</v>
      </c>
      <c r="H141" s="2404"/>
      <c r="I141" s="701"/>
      <c r="J141" s="701"/>
    </row>
    <row r="142" spans="3:10" ht="15" customHeight="1">
      <c r="C142" s="701"/>
      <c r="D142" s="701"/>
      <c r="E142" s="701"/>
      <c r="F142" s="701"/>
      <c r="G142" s="701"/>
      <c r="H142" s="701"/>
      <c r="I142" s="701"/>
      <c r="J142" s="701"/>
    </row>
    <row r="143" spans="3:10" ht="15" customHeight="1">
      <c r="C143" s="701"/>
      <c r="D143" s="701"/>
      <c r="E143" s="894" t="s">
        <v>1089</v>
      </c>
      <c r="F143" s="2364"/>
      <c r="G143" s="2364"/>
      <c r="H143" s="2364"/>
      <c r="I143" s="701"/>
      <c r="J143" s="701"/>
    </row>
    <row r="144" spans="3:10" ht="15" customHeight="1">
      <c r="C144" s="701"/>
      <c r="D144" s="701"/>
      <c r="E144" s="701"/>
      <c r="F144" s="701"/>
      <c r="G144" s="701"/>
      <c r="H144" s="701"/>
      <c r="I144" s="701"/>
      <c r="J144" s="701"/>
    </row>
    <row r="145" spans="3:10" ht="15" customHeight="1">
      <c r="C145" s="701"/>
      <c r="D145" s="701"/>
      <c r="E145" s="2245" t="s">
        <v>1468</v>
      </c>
      <c r="F145" s="701"/>
      <c r="G145" s="2399" t="s">
        <v>1506</v>
      </c>
      <c r="H145" s="3178" t="s">
        <v>1507</v>
      </c>
      <c r="I145" s="701"/>
      <c r="J145" s="701"/>
    </row>
    <row r="146" spans="3:10" ht="15" customHeight="1">
      <c r="C146" s="701"/>
      <c r="D146" s="701"/>
      <c r="E146" s="1654" t="s">
        <v>1469</v>
      </c>
      <c r="F146" s="1654" t="s">
        <v>1503</v>
      </c>
      <c r="G146" s="2391" t="s">
        <v>871</v>
      </c>
      <c r="H146" s="2391" t="s">
        <v>698</v>
      </c>
      <c r="I146" s="701"/>
      <c r="J146" s="701"/>
    </row>
    <row r="147" spans="3:10" ht="15" customHeight="1">
      <c r="C147" s="701"/>
      <c r="D147" s="701"/>
      <c r="E147" s="1679" t="s">
        <v>1508</v>
      </c>
      <c r="F147" s="1707"/>
      <c r="G147" s="2403">
        <v>30.2</v>
      </c>
      <c r="H147" s="2404"/>
      <c r="I147" s="701"/>
      <c r="J147" s="701"/>
    </row>
    <row r="148" spans="3:10" ht="15" customHeight="1">
      <c r="C148" s="701"/>
      <c r="D148" s="701"/>
      <c r="E148" s="701"/>
      <c r="F148" s="701"/>
      <c r="G148" s="701"/>
      <c r="H148" s="701"/>
      <c r="I148" s="701"/>
      <c r="J148" s="701"/>
    </row>
    <row r="149" spans="3:10" ht="15" customHeight="1">
      <c r="C149" s="701"/>
      <c r="D149" s="701"/>
      <c r="E149" s="2245" t="s">
        <v>1468</v>
      </c>
      <c r="F149" s="701"/>
      <c r="G149" s="2399" t="s">
        <v>1509</v>
      </c>
      <c r="H149" s="3178" t="s">
        <v>1510</v>
      </c>
      <c r="I149" s="701"/>
      <c r="J149" s="701"/>
    </row>
    <row r="150" spans="3:10" ht="15" customHeight="1">
      <c r="C150" s="701"/>
      <c r="D150" s="701"/>
      <c r="E150" s="1654" t="s">
        <v>1469</v>
      </c>
      <c r="F150" s="1654" t="s">
        <v>1503</v>
      </c>
      <c r="G150" s="2391" t="s">
        <v>871</v>
      </c>
      <c r="H150" s="2391" t="s">
        <v>698</v>
      </c>
      <c r="I150" s="701"/>
      <c r="J150" s="701"/>
    </row>
    <row r="151" spans="3:10" ht="15" customHeight="1">
      <c r="C151" s="701"/>
      <c r="D151" s="701"/>
      <c r="E151" s="1679" t="s">
        <v>1508</v>
      </c>
      <c r="F151" s="1707"/>
      <c r="G151" s="2403">
        <v>15.3</v>
      </c>
      <c r="H151" s="2404"/>
      <c r="I151" s="701"/>
      <c r="J151" s="701"/>
    </row>
    <row r="152" spans="3:10" ht="15" customHeight="1">
      <c r="C152" s="701"/>
      <c r="D152" s="701"/>
      <c r="E152" s="701"/>
      <c r="F152" s="701"/>
      <c r="G152" s="701"/>
      <c r="H152" s="701"/>
      <c r="I152" s="701"/>
      <c r="J152" s="701"/>
    </row>
    <row r="153" spans="3:10" ht="15" customHeight="1">
      <c r="C153" s="701"/>
      <c r="D153" s="701"/>
      <c r="E153" s="2245" t="s">
        <v>1468</v>
      </c>
      <c r="F153" s="701"/>
      <c r="G153" s="2399" t="s">
        <v>1511</v>
      </c>
      <c r="H153" s="2405" t="s">
        <v>1512</v>
      </c>
      <c r="I153" s="701"/>
      <c r="J153" s="701"/>
    </row>
    <row r="154" spans="3:10" ht="15" customHeight="1">
      <c r="C154" s="701"/>
      <c r="D154" s="701"/>
      <c r="E154" s="1654" t="s">
        <v>1469</v>
      </c>
      <c r="F154" s="1654" t="s">
        <v>1503</v>
      </c>
      <c r="G154" s="2391" t="s">
        <v>871</v>
      </c>
      <c r="H154" s="2391" t="s">
        <v>698</v>
      </c>
      <c r="I154" s="701"/>
      <c r="J154" s="701"/>
    </row>
    <row r="155" spans="3:10" ht="15" customHeight="1">
      <c r="C155" s="701"/>
      <c r="D155" s="701"/>
      <c r="E155" s="1707" t="s">
        <v>1513</v>
      </c>
      <c r="F155" s="1707"/>
      <c r="G155" s="2403">
        <v>1</v>
      </c>
      <c r="H155" s="2404"/>
      <c r="I155" s="701"/>
      <c r="J155" s="701"/>
    </row>
    <row r="156" spans="3:10" ht="15" customHeight="1">
      <c r="C156" s="701"/>
      <c r="D156" s="701"/>
      <c r="E156" s="701"/>
      <c r="F156" s="701"/>
      <c r="G156" s="701"/>
      <c r="H156" s="701"/>
      <c r="I156" s="701"/>
      <c r="J156" s="701"/>
    </row>
    <row r="157" spans="3:10" ht="15" customHeight="1">
      <c r="C157" s="701"/>
      <c r="D157" s="701"/>
      <c r="E157" s="894" t="s">
        <v>1091</v>
      </c>
      <c r="F157" s="2364"/>
      <c r="G157" s="2364"/>
      <c r="H157" s="2364"/>
      <c r="I157" s="701"/>
      <c r="J157" s="701"/>
    </row>
    <row r="158" spans="3:10" ht="15" customHeight="1">
      <c r="C158" s="701"/>
      <c r="D158" s="701"/>
      <c r="E158" s="701"/>
      <c r="F158" s="701"/>
      <c r="G158" s="701"/>
      <c r="H158" s="701"/>
      <c r="I158" s="701"/>
      <c r="J158" s="701"/>
    </row>
    <row r="159" spans="3:10" ht="15" customHeight="1">
      <c r="C159" s="701"/>
      <c r="D159" s="701"/>
      <c r="E159" s="2245" t="s">
        <v>1468</v>
      </c>
      <c r="F159" s="701"/>
      <c r="G159" s="2399" t="s">
        <v>1470</v>
      </c>
      <c r="H159" s="3178" t="s">
        <v>1502</v>
      </c>
      <c r="I159" s="701"/>
      <c r="J159" s="701"/>
    </row>
    <row r="160" spans="3:10" ht="15" customHeight="1">
      <c r="C160" s="701"/>
      <c r="D160" s="701"/>
      <c r="E160" s="1654" t="s">
        <v>1469</v>
      </c>
      <c r="F160" s="1654" t="s">
        <v>1503</v>
      </c>
      <c r="G160" s="2391" t="s">
        <v>871</v>
      </c>
      <c r="H160" s="2391" t="s">
        <v>698</v>
      </c>
      <c r="I160" s="701"/>
      <c r="J160" s="701"/>
    </row>
    <row r="161" spans="3:10" ht="15" customHeight="1">
      <c r="C161" s="701"/>
      <c r="D161" s="701"/>
      <c r="E161" s="1707" t="s">
        <v>1514</v>
      </c>
      <c r="F161" s="1707"/>
      <c r="G161" s="2403">
        <v>0.74575000000000002</v>
      </c>
      <c r="H161" s="2404"/>
      <c r="I161" s="701"/>
      <c r="J161" s="701"/>
    </row>
    <row r="162" spans="3:10" ht="15" customHeight="1">
      <c r="C162" s="701"/>
      <c r="D162" s="701"/>
      <c r="E162" s="701"/>
      <c r="F162" s="701"/>
      <c r="G162" s="701"/>
      <c r="H162" s="701"/>
      <c r="I162" s="701"/>
      <c r="J162" s="701"/>
    </row>
    <row r="163" spans="3:10" ht="15" customHeight="1">
      <c r="C163" s="701"/>
      <c r="D163" s="701"/>
      <c r="E163" s="894" t="s">
        <v>1093</v>
      </c>
      <c r="F163" s="2364"/>
      <c r="G163" s="2364"/>
      <c r="H163" s="2364"/>
      <c r="I163" s="701"/>
      <c r="J163" s="701"/>
    </row>
    <row r="164" spans="3:10" ht="15" customHeight="1">
      <c r="C164" s="701"/>
      <c r="D164" s="701"/>
      <c r="E164" s="701"/>
      <c r="F164" s="701"/>
      <c r="G164" s="701"/>
      <c r="H164" s="701"/>
      <c r="I164" s="701"/>
      <c r="J164" s="701"/>
    </row>
    <row r="165" spans="3:10" ht="15" customHeight="1">
      <c r="C165" s="701"/>
      <c r="D165" s="701"/>
      <c r="E165" s="2245" t="s">
        <v>1468</v>
      </c>
      <c r="F165" s="701"/>
      <c r="G165" s="3178" t="s">
        <v>1515</v>
      </c>
      <c r="H165" s="1680"/>
      <c r="I165" s="701"/>
      <c r="J165" s="701"/>
    </row>
    <row r="166" spans="3:10" ht="15" customHeight="1">
      <c r="C166" s="701"/>
      <c r="D166" s="701"/>
      <c r="E166" s="1654" t="s">
        <v>1469</v>
      </c>
      <c r="F166" s="1654"/>
      <c r="G166" s="2391" t="s">
        <v>1470</v>
      </c>
      <c r="H166" s="1680"/>
      <c r="I166" s="701"/>
      <c r="J166" s="701"/>
    </row>
    <row r="167" spans="3:10" ht="15" customHeight="1">
      <c r="C167" s="701"/>
      <c r="D167" s="701"/>
      <c r="E167" s="1707" t="s">
        <v>917</v>
      </c>
      <c r="F167" s="1707"/>
      <c r="G167" s="2403">
        <v>0.53700000000000003</v>
      </c>
      <c r="H167" s="1680"/>
      <c r="I167" s="701"/>
      <c r="J167" s="701"/>
    </row>
    <row r="168" spans="3:10" ht="15" customHeight="1">
      <c r="C168" s="701"/>
      <c r="D168" s="701"/>
      <c r="E168" s="701"/>
      <c r="F168" s="701"/>
      <c r="G168" s="1827"/>
      <c r="H168" s="1680"/>
      <c r="I168" s="701"/>
      <c r="J168" s="701"/>
    </row>
    <row r="169" spans="3:10" ht="15" customHeight="1">
      <c r="C169" s="701"/>
      <c r="D169" s="701"/>
      <c r="E169" s="2245" t="s">
        <v>1468</v>
      </c>
      <c r="F169" s="701"/>
      <c r="G169" s="2406" t="s">
        <v>1512</v>
      </c>
      <c r="H169" s="1680"/>
      <c r="I169" s="701"/>
      <c r="J169" s="701"/>
    </row>
    <row r="170" spans="3:10" ht="15" customHeight="1">
      <c r="C170" s="701"/>
      <c r="D170" s="701"/>
      <c r="E170" s="1654" t="s">
        <v>1469</v>
      </c>
      <c r="F170" s="1654"/>
      <c r="G170" s="2391" t="s">
        <v>1516</v>
      </c>
      <c r="H170" s="1680"/>
      <c r="I170" s="701"/>
      <c r="J170" s="701"/>
    </row>
    <row r="171" spans="3:10" ht="15" customHeight="1">
      <c r="C171" s="701"/>
      <c r="D171" s="701"/>
      <c r="E171" s="1707"/>
      <c r="F171" s="1707"/>
      <c r="G171" s="2403">
        <v>1.02</v>
      </c>
      <c r="H171" s="1680"/>
      <c r="I171" s="701"/>
      <c r="J171" s="701"/>
    </row>
    <row r="172" spans="3:10" ht="15" customHeight="1">
      <c r="C172" s="701"/>
      <c r="D172" s="701"/>
      <c r="E172" s="701"/>
      <c r="F172" s="701"/>
      <c r="G172" s="701"/>
      <c r="H172" s="701"/>
      <c r="I172" s="701"/>
      <c r="J172" s="701"/>
    </row>
    <row r="173" spans="3:10" ht="15" customHeight="1">
      <c r="C173" s="701"/>
      <c r="D173" s="701"/>
      <c r="E173" s="894" t="s">
        <v>1095</v>
      </c>
      <c r="F173" s="2364"/>
      <c r="G173" s="2364"/>
      <c r="H173" s="2364"/>
      <c r="I173" s="701"/>
      <c r="J173" s="701"/>
    </row>
    <row r="174" spans="3:10" ht="15" customHeight="1">
      <c r="C174" s="701"/>
      <c r="D174" s="701"/>
      <c r="E174" s="701"/>
      <c r="F174" s="701"/>
      <c r="G174" s="701"/>
      <c r="H174" s="701"/>
      <c r="I174" s="701"/>
      <c r="J174" s="701"/>
    </row>
    <row r="175" spans="3:10" ht="15" customHeight="1">
      <c r="C175" s="701"/>
      <c r="D175" s="701"/>
      <c r="E175" s="2245" t="s">
        <v>1468</v>
      </c>
      <c r="F175" s="701"/>
      <c r="G175" s="2399" t="s">
        <v>1470</v>
      </c>
      <c r="H175" s="3178" t="s">
        <v>1502</v>
      </c>
      <c r="I175" s="701"/>
      <c r="J175" s="701"/>
    </row>
    <row r="176" spans="3:10" ht="15" customHeight="1">
      <c r="C176" s="701"/>
      <c r="D176" s="701"/>
      <c r="E176" s="1654" t="s">
        <v>1469</v>
      </c>
      <c r="F176" s="1654" t="s">
        <v>1503</v>
      </c>
      <c r="G176" s="2391" t="s">
        <v>871</v>
      </c>
      <c r="H176" s="2391" t="s">
        <v>698</v>
      </c>
      <c r="I176" s="701"/>
      <c r="J176" s="701"/>
    </row>
    <row r="177" spans="3:23" ht="15" customHeight="1">
      <c r="C177" s="701"/>
      <c r="D177" s="701"/>
      <c r="E177" s="1707" t="s">
        <v>1517</v>
      </c>
      <c r="F177" s="1707"/>
      <c r="G177" s="2403">
        <v>5.9</v>
      </c>
      <c r="H177" s="2404"/>
      <c r="I177" s="701"/>
      <c r="J177" s="701"/>
    </row>
    <row r="178" spans="3:23" ht="15" customHeight="1">
      <c r="C178" s="701"/>
      <c r="D178" s="701"/>
      <c r="E178" s="701"/>
      <c r="F178" s="701"/>
      <c r="G178" s="701"/>
      <c r="H178" s="701"/>
      <c r="I178" s="701"/>
      <c r="J178" s="701"/>
    </row>
    <row r="179" spans="3:23" ht="15" customHeight="1">
      <c r="C179" s="701"/>
      <c r="D179" s="701"/>
      <c r="E179" s="894" t="s">
        <v>1097</v>
      </c>
      <c r="F179" s="2364"/>
      <c r="G179" s="2364"/>
      <c r="H179" s="2364"/>
      <c r="I179" s="701"/>
      <c r="J179" s="701"/>
    </row>
    <row r="180" spans="3:23" ht="15" customHeight="1">
      <c r="C180" s="701"/>
      <c r="D180" s="701"/>
      <c r="E180" s="701"/>
      <c r="F180" s="701"/>
      <c r="G180" s="701"/>
      <c r="H180" s="701"/>
      <c r="I180" s="701"/>
      <c r="J180" s="701"/>
      <c r="W180" s="2313"/>
    </row>
    <row r="181" spans="3:23" ht="15" customHeight="1">
      <c r="C181" s="701"/>
      <c r="D181" s="701"/>
      <c r="E181" s="2245" t="s">
        <v>1468</v>
      </c>
      <c r="F181" s="701"/>
      <c r="G181" s="2399" t="s">
        <v>1470</v>
      </c>
      <c r="H181" s="3178" t="s">
        <v>1502</v>
      </c>
      <c r="I181" s="701"/>
      <c r="J181" s="701"/>
    </row>
    <row r="182" spans="3:23" ht="15" customHeight="1">
      <c r="C182" s="701"/>
      <c r="D182" s="701"/>
      <c r="E182" s="2407" t="s">
        <v>1469</v>
      </c>
      <c r="F182" s="2407" t="s">
        <v>1503</v>
      </c>
      <c r="G182" s="2390" t="s">
        <v>871</v>
      </c>
      <c r="H182" s="2390" t="s">
        <v>698</v>
      </c>
      <c r="I182" s="701"/>
      <c r="J182" s="701"/>
    </row>
    <row r="183" spans="3:23" ht="15" customHeight="1">
      <c r="C183" s="701"/>
      <c r="D183" s="701"/>
      <c r="E183" s="1707" t="s">
        <v>1518</v>
      </c>
      <c r="F183" s="1707"/>
      <c r="G183" s="2403">
        <v>0.21</v>
      </c>
      <c r="H183" s="2408"/>
      <c r="I183" s="701"/>
      <c r="J183" s="701"/>
    </row>
    <row r="184" spans="3:23" ht="15" customHeight="1">
      <c r="C184" s="701"/>
      <c r="D184" s="701"/>
      <c r="E184" s="701"/>
      <c r="F184" s="701"/>
      <c r="G184" s="701"/>
      <c r="H184" s="701"/>
      <c r="I184" s="701"/>
      <c r="J184" s="701"/>
    </row>
    <row r="185" spans="3:23" ht="15" customHeight="1">
      <c r="C185" s="701"/>
      <c r="D185" s="701"/>
      <c r="E185" s="894" t="s">
        <v>1099</v>
      </c>
      <c r="F185" s="2364"/>
      <c r="G185" s="2364"/>
      <c r="H185" s="2364"/>
      <c r="I185" s="701"/>
      <c r="J185" s="701"/>
    </row>
    <row r="186" spans="3:23" ht="15" customHeight="1">
      <c r="C186" s="701"/>
      <c r="D186" s="701"/>
      <c r="E186" s="701"/>
      <c r="F186" s="701"/>
      <c r="G186" s="701"/>
      <c r="H186" s="701"/>
      <c r="I186" s="701"/>
      <c r="J186" s="701"/>
    </row>
    <row r="187" spans="3:23" ht="15" customHeight="1">
      <c r="C187" s="701"/>
      <c r="D187" s="701"/>
      <c r="E187" s="2245" t="s">
        <v>1468</v>
      </c>
      <c r="F187" s="701"/>
      <c r="G187" s="2399" t="s">
        <v>1470</v>
      </c>
      <c r="H187" s="3178" t="s">
        <v>1502</v>
      </c>
      <c r="I187" s="701"/>
      <c r="J187" s="701"/>
    </row>
    <row r="188" spans="3:23" ht="15" customHeight="1">
      <c r="C188" s="701"/>
      <c r="D188" s="701"/>
      <c r="E188" s="2407" t="s">
        <v>1469</v>
      </c>
      <c r="F188" s="2407" t="s">
        <v>1503</v>
      </c>
      <c r="G188" s="2390" t="s">
        <v>871</v>
      </c>
      <c r="H188" s="2390" t="s">
        <v>698</v>
      </c>
      <c r="I188" s="701"/>
      <c r="J188" s="701"/>
    </row>
    <row r="189" spans="3:23" ht="15" customHeight="1">
      <c r="C189" s="701"/>
      <c r="D189" s="701"/>
      <c r="E189" s="1707" t="s">
        <v>1519</v>
      </c>
      <c r="F189" s="1707"/>
      <c r="G189" s="2403">
        <v>0.2</v>
      </c>
      <c r="H189" s="2408"/>
      <c r="I189" s="701"/>
      <c r="J189" s="701"/>
    </row>
    <row r="190" spans="3:23" ht="15" customHeight="1">
      <c r="C190" s="701"/>
      <c r="D190" s="701"/>
      <c r="E190" s="701"/>
      <c r="F190" s="701"/>
      <c r="G190" s="701"/>
      <c r="H190" s="701"/>
      <c r="I190" s="701"/>
      <c r="J190" s="701"/>
    </row>
    <row r="191" spans="3:23" ht="15" customHeight="1">
      <c r="C191" s="701"/>
      <c r="D191" s="701"/>
      <c r="E191" s="894" t="s">
        <v>1101</v>
      </c>
      <c r="F191" s="2364"/>
      <c r="G191" s="2364"/>
      <c r="H191" s="2364"/>
      <c r="I191" s="701"/>
      <c r="J191" s="701"/>
    </row>
    <row r="192" spans="3:23" ht="15" customHeight="1">
      <c r="C192" s="701"/>
      <c r="D192" s="701"/>
      <c r="E192" s="701"/>
      <c r="F192" s="701"/>
      <c r="G192" s="701"/>
      <c r="H192" s="701"/>
      <c r="I192" s="701"/>
      <c r="J192" s="701"/>
    </row>
    <row r="193" spans="3:10" ht="15" customHeight="1">
      <c r="C193" s="701"/>
      <c r="D193" s="701"/>
      <c r="E193" s="2245" t="s">
        <v>1468</v>
      </c>
      <c r="F193" s="701"/>
      <c r="G193" s="3178" t="s">
        <v>1520</v>
      </c>
      <c r="H193" s="701"/>
      <c r="I193" s="701"/>
      <c r="J193" s="701"/>
    </row>
    <row r="194" spans="3:10" ht="15" customHeight="1">
      <c r="C194" s="701"/>
      <c r="D194" s="701"/>
      <c r="E194" s="1654" t="s">
        <v>1469</v>
      </c>
      <c r="F194" s="1654"/>
      <c r="G194" s="2391" t="s">
        <v>1470</v>
      </c>
      <c r="H194" s="701"/>
      <c r="I194" s="701"/>
      <c r="J194" s="701"/>
    </row>
    <row r="195" spans="3:10" ht="15" customHeight="1">
      <c r="C195" s="701"/>
      <c r="D195" s="701"/>
      <c r="E195" s="3179" t="s">
        <v>569</v>
      </c>
      <c r="F195" s="701"/>
      <c r="G195" s="1827">
        <v>88136</v>
      </c>
      <c r="H195" s="701"/>
      <c r="I195" s="701"/>
      <c r="J195" s="701"/>
    </row>
    <row r="196" spans="3:10" ht="15" customHeight="1">
      <c r="C196" s="701"/>
      <c r="D196" s="701"/>
      <c r="E196" s="3179" t="s">
        <v>507</v>
      </c>
      <c r="F196" s="701"/>
      <c r="G196" s="1827">
        <v>107000</v>
      </c>
      <c r="H196" s="701"/>
      <c r="I196" s="701"/>
      <c r="J196" s="701"/>
    </row>
    <row r="197" spans="3:10" ht="15" customHeight="1">
      <c r="C197" s="701"/>
      <c r="D197" s="701"/>
      <c r="E197" s="3179" t="s">
        <v>504</v>
      </c>
      <c r="F197" s="701"/>
      <c r="G197" s="1827">
        <v>112929.71799999999</v>
      </c>
      <c r="H197" s="701"/>
      <c r="I197" s="701"/>
      <c r="J197" s="701"/>
    </row>
    <row r="198" spans="3:10" ht="15" customHeight="1">
      <c r="C198" s="701"/>
      <c r="D198" s="701"/>
      <c r="E198" s="3179" t="s">
        <v>1521</v>
      </c>
      <c r="F198" s="701"/>
      <c r="G198" s="1827">
        <v>112371.94500000001</v>
      </c>
      <c r="H198" s="701"/>
      <c r="I198" s="701"/>
      <c r="J198" s="701"/>
    </row>
    <row r="199" spans="3:10" ht="15" customHeight="1">
      <c r="C199" s="701"/>
      <c r="D199" s="701"/>
      <c r="E199" s="3179" t="s">
        <v>1522</v>
      </c>
      <c r="F199" s="701"/>
      <c r="G199" s="1827">
        <v>103875.939</v>
      </c>
      <c r="H199" s="701"/>
      <c r="I199" s="701"/>
      <c r="J199" s="701"/>
    </row>
    <row r="200" spans="3:10" ht="15" customHeight="1">
      <c r="C200" s="701"/>
      <c r="D200" s="701"/>
      <c r="E200" s="3179" t="s">
        <v>1523</v>
      </c>
      <c r="F200" s="701"/>
      <c r="G200" s="1827">
        <v>90676.956000000006</v>
      </c>
      <c r="H200" s="701"/>
      <c r="I200" s="701"/>
      <c r="J200" s="701"/>
    </row>
    <row r="201" spans="3:10" ht="15" customHeight="1">
      <c r="C201" s="701"/>
      <c r="D201" s="701"/>
      <c r="E201" s="3179" t="s">
        <v>1524</v>
      </c>
      <c r="F201" s="701"/>
      <c r="G201" s="1827">
        <v>112000</v>
      </c>
      <c r="H201" s="701"/>
      <c r="I201" s="701"/>
      <c r="J201" s="701"/>
    </row>
    <row r="202" spans="3:10" ht="15" customHeight="1">
      <c r="C202" s="701"/>
      <c r="D202" s="701"/>
      <c r="E202" s="3179" t="s">
        <v>525</v>
      </c>
      <c r="F202" s="701"/>
      <c r="G202" s="1827">
        <v>77841.778000000006</v>
      </c>
      <c r="H202" s="701"/>
      <c r="I202" s="701"/>
      <c r="J202" s="701"/>
    </row>
    <row r="203" spans="3:10" ht="15" customHeight="1">
      <c r="C203" s="701"/>
      <c r="D203" s="701"/>
      <c r="E203" s="3179" t="s">
        <v>1495</v>
      </c>
      <c r="F203" s="701"/>
      <c r="G203" s="1827">
        <v>69323.7</v>
      </c>
      <c r="H203" s="701"/>
      <c r="I203" s="701"/>
      <c r="J203" s="701"/>
    </row>
    <row r="204" spans="3:10" ht="15" customHeight="1">
      <c r="C204" s="701"/>
      <c r="D204" s="701"/>
      <c r="E204" s="3179" t="s">
        <v>1499</v>
      </c>
      <c r="F204" s="701"/>
      <c r="G204" s="1827">
        <v>73939.638999999996</v>
      </c>
      <c r="H204" s="701"/>
      <c r="I204" s="701"/>
      <c r="J204" s="701"/>
    </row>
    <row r="205" spans="3:10" ht="15" customHeight="1">
      <c r="C205" s="701"/>
      <c r="D205" s="701"/>
      <c r="E205" s="3179" t="s">
        <v>1525</v>
      </c>
      <c r="F205" s="701"/>
      <c r="G205" s="1827">
        <v>54806.487000000001</v>
      </c>
      <c r="H205" s="701"/>
      <c r="I205" s="701"/>
      <c r="J205" s="701"/>
    </row>
    <row r="206" spans="3:10" ht="15" customHeight="1">
      <c r="C206" s="701"/>
      <c r="D206" s="701"/>
      <c r="E206" s="3179" t="s">
        <v>513</v>
      </c>
      <c r="F206" s="701"/>
      <c r="G206" s="1827">
        <v>55539.11</v>
      </c>
      <c r="H206" s="701"/>
      <c r="I206" s="701"/>
      <c r="J206" s="701"/>
    </row>
    <row r="207" spans="3:10" ht="15" customHeight="1">
      <c r="C207" s="701"/>
      <c r="D207" s="701"/>
      <c r="E207" s="3179" t="s">
        <v>487</v>
      </c>
      <c r="F207" s="701"/>
      <c r="G207" s="1827">
        <v>100000</v>
      </c>
      <c r="H207" s="701"/>
      <c r="I207" s="701"/>
      <c r="J207" s="701"/>
    </row>
    <row r="208" spans="3:10" ht="15" customHeight="1">
      <c r="C208" s="701"/>
      <c r="D208" s="701"/>
      <c r="E208" s="3179" t="s">
        <v>503</v>
      </c>
      <c r="F208" s="701"/>
      <c r="G208" s="1827">
        <v>89525</v>
      </c>
      <c r="H208" s="701"/>
      <c r="I208" s="701"/>
      <c r="J208" s="701"/>
    </row>
    <row r="209" spans="3:10" ht="15" customHeight="1">
      <c r="C209" s="701"/>
      <c r="D209" s="701"/>
      <c r="E209" s="3179" t="s">
        <v>1498</v>
      </c>
      <c r="F209" s="701"/>
      <c r="G209" s="1827">
        <v>74233.399999999994</v>
      </c>
      <c r="H209" s="701"/>
      <c r="I209" s="701"/>
      <c r="J209" s="701"/>
    </row>
    <row r="210" spans="3:10" ht="15" customHeight="1">
      <c r="C210" s="701"/>
      <c r="D210" s="701"/>
      <c r="E210" s="3179" t="s">
        <v>499</v>
      </c>
      <c r="F210" s="701"/>
      <c r="G210" s="1827">
        <v>78281.202999999994</v>
      </c>
      <c r="H210" s="701"/>
      <c r="I210" s="701"/>
      <c r="J210" s="701"/>
    </row>
    <row r="211" spans="3:10" ht="15" customHeight="1">
      <c r="C211" s="701"/>
      <c r="D211" s="701"/>
      <c r="E211" s="3179" t="s">
        <v>498</v>
      </c>
      <c r="F211" s="701"/>
      <c r="G211" s="1827">
        <v>67185.115000000005</v>
      </c>
      <c r="H211" s="701"/>
      <c r="I211" s="701"/>
      <c r="J211" s="701"/>
    </row>
    <row r="212" spans="3:10" ht="15" customHeight="1">
      <c r="C212" s="701"/>
      <c r="D212" s="701"/>
      <c r="E212" s="3181" t="s">
        <v>1526</v>
      </c>
      <c r="F212" s="706"/>
      <c r="G212" s="1692">
        <v>260000</v>
      </c>
      <c r="H212" s="701"/>
      <c r="I212" s="701"/>
      <c r="J212" s="701"/>
    </row>
    <row r="213" spans="3:10" ht="15" customHeight="1">
      <c r="C213" s="701"/>
      <c r="D213" s="701"/>
      <c r="E213" s="701"/>
      <c r="F213" s="701"/>
      <c r="G213" s="701"/>
      <c r="H213" s="701"/>
      <c r="I213" s="701"/>
      <c r="J213" s="701"/>
    </row>
    <row r="214" spans="3:10" ht="15" customHeight="1">
      <c r="C214" s="701"/>
      <c r="D214" s="701"/>
      <c r="E214" s="1679" t="s">
        <v>1488</v>
      </c>
      <c r="F214" s="701"/>
      <c r="G214" s="3178" t="s">
        <v>1527</v>
      </c>
      <c r="H214" s="701"/>
      <c r="I214" s="701"/>
      <c r="J214" s="701"/>
    </row>
    <row r="215" spans="3:10" ht="15" customHeight="1">
      <c r="C215" s="701"/>
      <c r="D215" s="701"/>
      <c r="E215" s="1654" t="s">
        <v>1469</v>
      </c>
      <c r="F215" s="1654"/>
      <c r="G215" s="2391" t="s">
        <v>1470</v>
      </c>
      <c r="H215" s="701"/>
      <c r="I215" s="701"/>
      <c r="J215" s="701"/>
    </row>
    <row r="216" spans="3:10" ht="15" customHeight="1">
      <c r="C216" s="701"/>
      <c r="D216" s="701"/>
      <c r="E216" s="3179" t="s">
        <v>569</v>
      </c>
      <c r="F216" s="701"/>
      <c r="G216" s="2409">
        <v>1</v>
      </c>
      <c r="H216" s="701"/>
      <c r="I216" s="701"/>
      <c r="J216" s="701"/>
    </row>
    <row r="217" spans="3:10" ht="15" customHeight="1">
      <c r="C217" s="701"/>
      <c r="D217" s="701"/>
      <c r="E217" s="3179" t="s">
        <v>507</v>
      </c>
      <c r="F217" s="701"/>
      <c r="G217" s="2409">
        <v>1</v>
      </c>
      <c r="H217" s="701"/>
      <c r="I217" s="701"/>
      <c r="J217" s="701"/>
    </row>
    <row r="218" spans="3:10" ht="15" customHeight="1">
      <c r="C218" s="701"/>
      <c r="D218" s="701"/>
      <c r="E218" s="3179" t="s">
        <v>1528</v>
      </c>
      <c r="F218" s="701"/>
      <c r="G218" s="2409">
        <v>30</v>
      </c>
      <c r="H218" s="701"/>
      <c r="I218" s="701"/>
      <c r="J218" s="701"/>
    </row>
    <row r="219" spans="3:10" ht="15" customHeight="1">
      <c r="C219" s="701"/>
      <c r="D219" s="701"/>
      <c r="E219" s="3179" t="s">
        <v>504</v>
      </c>
      <c r="F219" s="701"/>
      <c r="G219" s="2409">
        <v>30</v>
      </c>
      <c r="H219" s="701"/>
      <c r="I219" s="701"/>
      <c r="J219" s="701"/>
    </row>
    <row r="220" spans="3:10" ht="15" customHeight="1">
      <c r="C220" s="701"/>
      <c r="D220" s="701"/>
      <c r="E220" s="3179" t="s">
        <v>1524</v>
      </c>
      <c r="F220" s="701"/>
      <c r="G220" s="2409">
        <v>200</v>
      </c>
      <c r="H220" s="701"/>
      <c r="I220" s="701"/>
      <c r="J220" s="701"/>
    </row>
    <row r="221" spans="3:10" ht="15" customHeight="1">
      <c r="C221" s="701"/>
      <c r="D221" s="701"/>
      <c r="E221" s="3179" t="s">
        <v>525</v>
      </c>
      <c r="F221" s="701"/>
      <c r="G221" s="2409">
        <v>3</v>
      </c>
      <c r="H221" s="701"/>
      <c r="I221" s="701"/>
      <c r="J221" s="701"/>
    </row>
    <row r="222" spans="3:10" ht="15" customHeight="1">
      <c r="C222" s="701"/>
      <c r="D222" s="701"/>
      <c r="E222" s="3179" t="s">
        <v>1495</v>
      </c>
      <c r="F222" s="701"/>
      <c r="G222" s="2409">
        <v>3</v>
      </c>
      <c r="H222" s="701"/>
      <c r="I222" s="701"/>
      <c r="J222" s="701"/>
    </row>
    <row r="223" spans="3:10" ht="15" customHeight="1">
      <c r="C223" s="701"/>
      <c r="D223" s="701"/>
      <c r="E223" s="3179" t="s">
        <v>1499</v>
      </c>
      <c r="F223" s="701"/>
      <c r="G223" s="2409">
        <v>3</v>
      </c>
      <c r="H223" s="701"/>
      <c r="I223" s="701"/>
      <c r="J223" s="701"/>
    </row>
    <row r="224" spans="3:10" ht="15" customHeight="1">
      <c r="C224" s="701"/>
      <c r="D224" s="701"/>
      <c r="E224" s="3179" t="s">
        <v>1498</v>
      </c>
      <c r="F224" s="701"/>
      <c r="G224" s="2409">
        <v>3</v>
      </c>
      <c r="H224" s="701"/>
      <c r="I224" s="701"/>
      <c r="J224" s="701"/>
    </row>
    <row r="225" spans="3:10" ht="15" customHeight="1">
      <c r="C225" s="701"/>
      <c r="D225" s="701"/>
      <c r="E225" s="3179" t="s">
        <v>499</v>
      </c>
      <c r="F225" s="701"/>
      <c r="G225" s="2409">
        <v>3</v>
      </c>
      <c r="H225" s="701"/>
      <c r="I225" s="701"/>
      <c r="J225" s="701"/>
    </row>
    <row r="226" spans="3:10" ht="15" customHeight="1">
      <c r="C226" s="701"/>
      <c r="D226" s="701"/>
      <c r="E226" s="3179" t="s">
        <v>1525</v>
      </c>
      <c r="F226" s="701"/>
      <c r="G226" s="2409">
        <v>3</v>
      </c>
      <c r="H226" s="701"/>
      <c r="I226" s="701"/>
      <c r="J226" s="701"/>
    </row>
    <row r="227" spans="3:10" ht="15" customHeight="1">
      <c r="C227" s="701"/>
      <c r="D227" s="701"/>
      <c r="E227" s="3179" t="s">
        <v>498</v>
      </c>
      <c r="F227" s="701"/>
      <c r="G227" s="2409">
        <v>1</v>
      </c>
      <c r="H227" s="701"/>
      <c r="I227" s="701"/>
      <c r="J227" s="701"/>
    </row>
    <row r="228" spans="3:10" ht="15" customHeight="1">
      <c r="C228" s="701"/>
      <c r="D228" s="701"/>
      <c r="E228" s="3179" t="s">
        <v>1526</v>
      </c>
      <c r="F228" s="701"/>
      <c r="G228" s="2409">
        <v>1</v>
      </c>
      <c r="H228" s="701"/>
      <c r="I228" s="701"/>
      <c r="J228" s="701"/>
    </row>
    <row r="229" spans="3:10" ht="15" customHeight="1">
      <c r="C229" s="701"/>
      <c r="D229" s="701"/>
      <c r="E229" s="3179" t="s">
        <v>513</v>
      </c>
      <c r="F229" s="701"/>
      <c r="G229" s="2409">
        <v>1</v>
      </c>
      <c r="H229" s="701"/>
      <c r="I229" s="701"/>
      <c r="J229" s="701"/>
    </row>
    <row r="230" spans="3:10" ht="15" customHeight="1" thickBot="1">
      <c r="C230" s="701"/>
      <c r="D230" s="701"/>
      <c r="E230" s="3180" t="s">
        <v>487</v>
      </c>
      <c r="F230" s="706"/>
      <c r="G230" s="2410">
        <v>30</v>
      </c>
      <c r="H230" s="701"/>
      <c r="I230" s="701"/>
      <c r="J230" s="701"/>
    </row>
    <row r="231" spans="3:10" ht="15" customHeight="1">
      <c r="C231" s="701"/>
      <c r="D231" s="701"/>
      <c r="E231" s="701"/>
      <c r="F231" s="701"/>
      <c r="G231" s="701"/>
      <c r="H231" s="701"/>
      <c r="I231" s="701"/>
      <c r="J231" s="701"/>
    </row>
    <row r="232" spans="3:10" ht="15" customHeight="1">
      <c r="C232" s="701"/>
      <c r="D232" s="701"/>
      <c r="E232" s="2245" t="s">
        <v>1482</v>
      </c>
      <c r="F232" s="701"/>
      <c r="G232" s="2399" t="s">
        <v>1529</v>
      </c>
      <c r="H232" s="701"/>
      <c r="I232" s="701"/>
      <c r="J232" s="701"/>
    </row>
    <row r="233" spans="3:10" ht="15" customHeight="1">
      <c r="C233" s="701"/>
      <c r="D233" s="701"/>
      <c r="E233" s="1654" t="s">
        <v>1469</v>
      </c>
      <c r="F233" s="1654"/>
      <c r="G233" s="2391" t="s">
        <v>1470</v>
      </c>
      <c r="H233" s="701"/>
      <c r="I233" s="701"/>
      <c r="J233" s="701"/>
    </row>
    <row r="234" spans="3:10" ht="15" customHeight="1">
      <c r="C234" s="701"/>
      <c r="D234" s="701"/>
      <c r="E234" s="3179" t="s">
        <v>569</v>
      </c>
      <c r="F234" s="701"/>
      <c r="G234" s="2409">
        <v>1.5</v>
      </c>
      <c r="H234" s="701"/>
      <c r="I234" s="701"/>
      <c r="J234" s="701"/>
    </row>
    <row r="235" spans="3:10" ht="15" customHeight="1">
      <c r="C235" s="701"/>
      <c r="D235" s="701"/>
      <c r="E235" s="3179" t="s">
        <v>507</v>
      </c>
      <c r="F235" s="701"/>
      <c r="G235" s="2409">
        <v>1.5</v>
      </c>
      <c r="H235" s="701"/>
      <c r="I235" s="701"/>
      <c r="J235" s="701"/>
    </row>
    <row r="236" spans="3:10" ht="15" customHeight="1">
      <c r="C236" s="701"/>
      <c r="D236" s="701"/>
      <c r="E236" s="3179" t="s">
        <v>1528</v>
      </c>
      <c r="F236" s="701"/>
      <c r="G236" s="2409">
        <v>4</v>
      </c>
      <c r="H236" s="701"/>
      <c r="I236" s="701"/>
      <c r="J236" s="701"/>
    </row>
    <row r="237" spans="3:10" ht="15" customHeight="1">
      <c r="C237" s="701"/>
      <c r="D237" s="701"/>
      <c r="E237" s="3179" t="s">
        <v>504</v>
      </c>
      <c r="F237" s="701"/>
      <c r="G237" s="2409">
        <v>4</v>
      </c>
      <c r="H237" s="701"/>
      <c r="I237" s="701"/>
      <c r="J237" s="701"/>
    </row>
    <row r="238" spans="3:10" ht="15" customHeight="1">
      <c r="C238" s="701"/>
      <c r="D238" s="701"/>
      <c r="E238" s="3179" t="s">
        <v>1524</v>
      </c>
      <c r="F238" s="701"/>
      <c r="G238" s="2409">
        <v>4</v>
      </c>
      <c r="H238" s="701"/>
      <c r="I238" s="701"/>
      <c r="J238" s="701"/>
    </row>
    <row r="239" spans="3:10" ht="15" customHeight="1">
      <c r="C239" s="701"/>
      <c r="D239" s="701"/>
      <c r="E239" s="3179" t="s">
        <v>525</v>
      </c>
      <c r="F239" s="701"/>
      <c r="G239" s="2409">
        <v>0.6</v>
      </c>
      <c r="H239" s="701"/>
      <c r="I239" s="701"/>
      <c r="J239" s="701"/>
    </row>
    <row r="240" spans="3:10" ht="15" customHeight="1">
      <c r="C240" s="701"/>
      <c r="D240" s="701"/>
      <c r="E240" s="3179" t="s">
        <v>1495</v>
      </c>
      <c r="F240" s="701"/>
      <c r="G240" s="2409">
        <v>0.6</v>
      </c>
      <c r="H240" s="701"/>
      <c r="I240" s="701"/>
      <c r="J240" s="701"/>
    </row>
    <row r="241" spans="3:10" ht="15" customHeight="1">
      <c r="C241" s="701"/>
      <c r="D241" s="701"/>
      <c r="E241" s="3179" t="s">
        <v>1499</v>
      </c>
      <c r="F241" s="701"/>
      <c r="G241" s="2409">
        <v>0.6</v>
      </c>
      <c r="H241" s="701"/>
      <c r="I241" s="701"/>
      <c r="J241" s="701"/>
    </row>
    <row r="242" spans="3:10" ht="15" customHeight="1">
      <c r="C242" s="701"/>
      <c r="D242" s="701"/>
      <c r="E242" s="3179" t="s">
        <v>1498</v>
      </c>
      <c r="F242" s="701"/>
      <c r="G242" s="2409">
        <v>0.6</v>
      </c>
      <c r="H242" s="701"/>
      <c r="I242" s="701"/>
      <c r="J242" s="701"/>
    </row>
    <row r="243" spans="3:10" ht="15" customHeight="1">
      <c r="C243" s="701"/>
      <c r="D243" s="701"/>
      <c r="E243" s="3179" t="s">
        <v>499</v>
      </c>
      <c r="F243" s="701"/>
      <c r="G243" s="2409">
        <v>0.6</v>
      </c>
      <c r="H243" s="701"/>
      <c r="I243" s="701"/>
      <c r="J243" s="701"/>
    </row>
    <row r="244" spans="3:10" ht="15" customHeight="1">
      <c r="C244" s="701"/>
      <c r="D244" s="701"/>
      <c r="E244" s="3179" t="s">
        <v>1525</v>
      </c>
      <c r="F244" s="701"/>
      <c r="G244" s="2409">
        <v>0.6</v>
      </c>
      <c r="H244" s="701"/>
      <c r="I244" s="701"/>
      <c r="J244" s="701"/>
    </row>
    <row r="245" spans="3:10" ht="15" customHeight="1">
      <c r="C245" s="701"/>
      <c r="D245" s="701"/>
      <c r="E245" s="3179" t="s">
        <v>498</v>
      </c>
      <c r="F245" s="701"/>
      <c r="G245" s="2409">
        <v>0.1</v>
      </c>
      <c r="H245" s="701"/>
      <c r="I245" s="701"/>
      <c r="J245" s="701"/>
    </row>
    <row r="246" spans="3:10" ht="15" customHeight="1">
      <c r="C246" s="701"/>
      <c r="D246" s="701"/>
      <c r="E246" s="3179" t="s">
        <v>1526</v>
      </c>
      <c r="F246" s="701"/>
      <c r="G246" s="2409">
        <v>0.1</v>
      </c>
      <c r="H246" s="701"/>
      <c r="I246" s="701"/>
      <c r="J246" s="701"/>
    </row>
    <row r="247" spans="3:10" ht="15" customHeight="1">
      <c r="C247" s="701"/>
      <c r="D247" s="701"/>
      <c r="E247" s="3179" t="s">
        <v>513</v>
      </c>
      <c r="F247" s="701"/>
      <c r="G247" s="2409">
        <v>0.1</v>
      </c>
      <c r="H247" s="701"/>
      <c r="I247" s="701"/>
      <c r="J247" s="701"/>
    </row>
    <row r="248" spans="3:10" ht="15" customHeight="1" thickBot="1">
      <c r="C248" s="701"/>
      <c r="D248" s="701"/>
      <c r="E248" s="3180" t="s">
        <v>487</v>
      </c>
      <c r="F248" s="706"/>
      <c r="G248" s="2410">
        <v>4</v>
      </c>
      <c r="H248" s="701"/>
      <c r="I248" s="701"/>
      <c r="J248" s="701"/>
    </row>
    <row r="249" spans="3:10" ht="15" customHeight="1">
      <c r="C249" s="701"/>
      <c r="D249" s="701"/>
      <c r="E249" s="701"/>
      <c r="F249" s="701"/>
      <c r="G249" s="701"/>
      <c r="H249" s="701"/>
      <c r="I249" s="701"/>
      <c r="J249" s="701"/>
    </row>
    <row r="250" spans="3:10" ht="15" customHeight="1">
      <c r="C250" s="701"/>
      <c r="D250" s="2359"/>
      <c r="E250" s="2398" t="s">
        <v>69</v>
      </c>
      <c r="F250" s="2361"/>
      <c r="G250" s="1768" t="s">
        <v>1530</v>
      </c>
      <c r="H250" s="1768"/>
      <c r="I250" s="1768"/>
      <c r="J250" s="701"/>
    </row>
    <row r="251" spans="3:10" ht="15" customHeight="1">
      <c r="C251" s="701"/>
      <c r="D251" s="701"/>
      <c r="E251" s="701"/>
      <c r="F251" s="701"/>
      <c r="G251" s="701"/>
      <c r="H251" s="701"/>
      <c r="I251" s="701"/>
      <c r="J251" s="701"/>
    </row>
    <row r="252" spans="3:10" ht="15" customHeight="1">
      <c r="C252" s="701"/>
      <c r="D252" s="701"/>
      <c r="E252" s="894" t="s">
        <v>1103</v>
      </c>
      <c r="F252" s="2364"/>
      <c r="G252" s="2364"/>
      <c r="H252" s="2364"/>
      <c r="I252" s="701"/>
      <c r="J252" s="701"/>
    </row>
    <row r="253" spans="3:10" ht="15" customHeight="1">
      <c r="C253" s="701"/>
      <c r="D253" s="701"/>
      <c r="E253" s="701"/>
      <c r="F253" s="701"/>
      <c r="G253" s="701"/>
      <c r="H253" s="701"/>
      <c r="I253" s="701"/>
      <c r="J253" s="701"/>
    </row>
    <row r="254" spans="3:10" ht="15" customHeight="1">
      <c r="C254" s="701"/>
      <c r="D254" s="701"/>
      <c r="E254" s="2411" t="s">
        <v>1204</v>
      </c>
      <c r="F254" s="2411"/>
      <c r="G254" s="2411"/>
      <c r="H254" s="2411"/>
      <c r="I254" s="2411"/>
      <c r="J254" s="701"/>
    </row>
    <row r="255" spans="3:10" ht="15" customHeight="1">
      <c r="C255" s="701"/>
      <c r="D255" s="701"/>
      <c r="E255" s="2412"/>
      <c r="F255" s="2413"/>
      <c r="G255" s="2414"/>
      <c r="H255" s="2413"/>
      <c r="I255" s="2413"/>
      <c r="J255" s="701"/>
    </row>
    <row r="256" spans="3:10" ht="15" customHeight="1">
      <c r="C256" s="701"/>
      <c r="D256" s="701"/>
      <c r="E256" s="2415" t="s">
        <v>1531</v>
      </c>
      <c r="F256" s="2413"/>
      <c r="G256" s="2414"/>
      <c r="H256" s="2416"/>
      <c r="I256" s="2413"/>
      <c r="J256" s="701"/>
    </row>
    <row r="257" spans="3:10" ht="15" customHeight="1">
      <c r="C257" s="701"/>
      <c r="D257" s="701"/>
      <c r="E257" s="2417"/>
      <c r="F257" s="3188"/>
      <c r="G257" s="3188"/>
      <c r="H257" s="3188"/>
      <c r="I257" s="3188"/>
      <c r="J257" s="2367"/>
    </row>
    <row r="258" spans="3:10" ht="15" customHeight="1">
      <c r="C258" s="701"/>
      <c r="D258" s="701"/>
      <c r="E258" s="3183" t="s">
        <v>1532</v>
      </c>
      <c r="F258" s="3764"/>
      <c r="G258" s="3765" t="s">
        <v>1533</v>
      </c>
      <c r="H258" s="3188"/>
      <c r="I258" s="3188"/>
      <c r="J258" s="2367"/>
    </row>
    <row r="259" spans="3:10" ht="15" customHeight="1">
      <c r="C259" s="701"/>
      <c r="D259" s="701"/>
      <c r="E259" s="3184" t="s">
        <v>1534</v>
      </c>
      <c r="F259" s="3766"/>
      <c r="G259" s="3767">
        <v>41.666666666666671</v>
      </c>
      <c r="H259" s="3188"/>
      <c r="I259" s="3188"/>
      <c r="J259" s="2367"/>
    </row>
    <row r="260" spans="3:10" ht="15" customHeight="1">
      <c r="C260" s="701"/>
      <c r="D260" s="701"/>
      <c r="E260" s="3185" t="s">
        <v>1535</v>
      </c>
      <c r="F260" s="3768"/>
      <c r="G260" s="3767">
        <v>111.11166666666668</v>
      </c>
      <c r="H260" s="3188"/>
      <c r="I260" s="3188"/>
      <c r="J260" s="2367"/>
    </row>
    <row r="261" spans="3:10" ht="15" customHeight="1">
      <c r="C261" s="701"/>
      <c r="D261" s="701"/>
      <c r="E261" s="3185" t="s">
        <v>1536</v>
      </c>
      <c r="F261" s="3768"/>
      <c r="G261" s="3767">
        <v>119.44416666666667</v>
      </c>
      <c r="H261" s="3188"/>
      <c r="I261" s="3188"/>
      <c r="J261" s="2367"/>
    </row>
    <row r="262" spans="3:10" ht="15" customHeight="1">
      <c r="C262" s="701"/>
      <c r="D262" s="701"/>
      <c r="E262" s="3185" t="s">
        <v>1537</v>
      </c>
      <c r="F262" s="3768"/>
      <c r="G262" s="3767">
        <v>66.666666666666671</v>
      </c>
      <c r="H262" s="3188"/>
      <c r="I262" s="3188"/>
      <c r="J262" s="2367"/>
    </row>
    <row r="263" spans="3:10" ht="15" customHeight="1">
      <c r="C263" s="701"/>
      <c r="D263" s="701"/>
      <c r="E263" s="3186" t="s">
        <v>1538</v>
      </c>
      <c r="F263" s="3769"/>
      <c r="G263" s="3770">
        <v>0</v>
      </c>
      <c r="H263" s="3188"/>
      <c r="I263" s="3188"/>
      <c r="J263" s="2367"/>
    </row>
    <row r="264" spans="3:10" ht="15" customHeight="1">
      <c r="C264" s="701"/>
      <c r="D264" s="701"/>
      <c r="E264" s="3187"/>
      <c r="F264" s="3188"/>
      <c r="G264" s="508"/>
      <c r="H264" s="3188"/>
      <c r="I264" s="3188"/>
      <c r="J264" s="2367"/>
    </row>
    <row r="265" spans="3:10" ht="15" customHeight="1">
      <c r="C265" s="701"/>
      <c r="D265" s="701"/>
      <c r="E265" s="2415" t="s">
        <v>1539</v>
      </c>
      <c r="F265" s="3188"/>
      <c r="G265" s="508"/>
      <c r="H265" s="3188"/>
      <c r="I265" s="3188"/>
      <c r="J265" s="2367"/>
    </row>
    <row r="266" spans="3:10" ht="15" customHeight="1">
      <c r="C266" s="701"/>
      <c r="D266" s="701"/>
      <c r="E266" s="3189"/>
      <c r="F266" s="3188"/>
      <c r="G266" s="508"/>
      <c r="H266" s="3188"/>
      <c r="I266" s="3188"/>
      <c r="J266" s="2367"/>
    </row>
    <row r="267" spans="3:10" ht="15" customHeight="1">
      <c r="C267" s="701"/>
      <c r="D267" s="701"/>
      <c r="E267" s="3183" t="s">
        <v>1532</v>
      </c>
      <c r="F267" s="3764"/>
      <c r="G267" s="3765" t="s">
        <v>1533</v>
      </c>
      <c r="H267" s="3188"/>
      <c r="I267" s="3188"/>
      <c r="J267" s="2367"/>
    </row>
    <row r="268" spans="3:10" ht="15" customHeight="1">
      <c r="C268" s="701"/>
      <c r="D268" s="701"/>
      <c r="E268" s="3184" t="s">
        <v>1534</v>
      </c>
      <c r="F268" s="3766"/>
      <c r="G268" s="3767">
        <v>41.666666666666671</v>
      </c>
      <c r="H268" s="3188"/>
      <c r="I268" s="3188"/>
      <c r="J268" s="2367"/>
    </row>
    <row r="269" spans="3:10" ht="15" customHeight="1">
      <c r="C269" s="701"/>
      <c r="D269" s="701"/>
      <c r="E269" s="3185" t="s">
        <v>1535</v>
      </c>
      <c r="F269" s="3768"/>
      <c r="G269" s="3767">
        <v>111.11166666666668</v>
      </c>
      <c r="H269" s="3188"/>
      <c r="I269" s="3188"/>
      <c r="J269" s="2367"/>
    </row>
    <row r="270" spans="3:10" ht="15" customHeight="1">
      <c r="C270" s="701"/>
      <c r="D270" s="701"/>
      <c r="E270" s="3185" t="s">
        <v>1536</v>
      </c>
      <c r="F270" s="3768"/>
      <c r="G270" s="3767">
        <v>119.44416666666667</v>
      </c>
      <c r="H270" s="3188"/>
      <c r="I270" s="3188"/>
      <c r="J270" s="2367"/>
    </row>
    <row r="271" spans="3:10" ht="15" customHeight="1">
      <c r="C271" s="701"/>
      <c r="D271" s="701"/>
      <c r="E271" s="3185" t="s">
        <v>1537</v>
      </c>
      <c r="F271" s="3768"/>
      <c r="G271" s="3767">
        <v>66.666666666666671</v>
      </c>
      <c r="H271" s="3188"/>
      <c r="I271" s="3188"/>
      <c r="J271" s="2367"/>
    </row>
    <row r="272" spans="3:10" ht="15" customHeight="1">
      <c r="C272" s="701"/>
      <c r="D272" s="701"/>
      <c r="E272" s="3186" t="s">
        <v>1538</v>
      </c>
      <c r="F272" s="3769"/>
      <c r="G272" s="3770">
        <v>0</v>
      </c>
      <c r="H272" s="3188"/>
      <c r="I272" s="3188"/>
      <c r="J272" s="2367"/>
    </row>
    <row r="273" spans="3:10" ht="15" customHeight="1">
      <c r="C273" s="701"/>
      <c r="D273" s="701"/>
      <c r="E273" s="3185"/>
      <c r="F273" s="3768"/>
      <c r="G273" s="2918"/>
      <c r="H273" s="3188"/>
      <c r="I273" s="3188"/>
      <c r="J273" s="2367"/>
    </row>
    <row r="274" spans="3:10" ht="15" customHeight="1">
      <c r="C274" s="701"/>
      <c r="D274" s="701"/>
      <c r="E274" s="2415" t="s">
        <v>1540</v>
      </c>
      <c r="F274" s="3768"/>
      <c r="G274" s="2918"/>
      <c r="H274" s="3188"/>
      <c r="I274" s="3188"/>
      <c r="J274" s="2367"/>
    </row>
    <row r="275" spans="3:10" ht="15" customHeight="1">
      <c r="C275" s="701"/>
      <c r="D275" s="701"/>
      <c r="E275" s="3189"/>
      <c r="F275" s="3768"/>
      <c r="G275" s="2918"/>
      <c r="H275" s="3188"/>
      <c r="I275" s="3188"/>
      <c r="J275" s="2367"/>
    </row>
    <row r="276" spans="3:10" ht="15" customHeight="1">
      <c r="C276" s="701"/>
      <c r="D276" s="701"/>
      <c r="E276" s="3183" t="s">
        <v>1532</v>
      </c>
      <c r="F276" s="3764"/>
      <c r="G276" s="3765" t="s">
        <v>1533</v>
      </c>
      <c r="H276" s="3188"/>
      <c r="I276" s="3188"/>
      <c r="J276" s="2367"/>
    </row>
    <row r="277" spans="3:10" ht="15" customHeight="1">
      <c r="C277" s="701"/>
      <c r="D277" s="701"/>
      <c r="E277" s="3184" t="s">
        <v>1534</v>
      </c>
      <c r="F277" s="3766"/>
      <c r="G277" s="3767">
        <v>41.666666666666671</v>
      </c>
      <c r="H277" s="3188"/>
      <c r="I277" s="3188"/>
      <c r="J277" s="2367"/>
    </row>
    <row r="278" spans="3:10" ht="15" customHeight="1">
      <c r="C278" s="701"/>
      <c r="D278" s="701"/>
      <c r="E278" s="3185" t="s">
        <v>1535</v>
      </c>
      <c r="F278" s="3768"/>
      <c r="G278" s="3767">
        <v>111.11166666666668</v>
      </c>
      <c r="H278" s="3188"/>
      <c r="I278" s="3188"/>
      <c r="J278" s="2367"/>
    </row>
    <row r="279" spans="3:10" ht="15" customHeight="1">
      <c r="C279" s="701"/>
      <c r="D279" s="701"/>
      <c r="E279" s="3185" t="s">
        <v>1536</v>
      </c>
      <c r="F279" s="3768"/>
      <c r="G279" s="3767">
        <v>119.44416666666667</v>
      </c>
      <c r="H279" s="3188"/>
      <c r="I279" s="3188"/>
      <c r="J279" s="2367"/>
    </row>
    <row r="280" spans="3:10" ht="15" customHeight="1">
      <c r="C280" s="701"/>
      <c r="D280" s="701"/>
      <c r="E280" s="3185" t="s">
        <v>1537</v>
      </c>
      <c r="F280" s="3768"/>
      <c r="G280" s="3767">
        <v>66.666666666666671</v>
      </c>
      <c r="H280" s="3188"/>
      <c r="I280" s="3188"/>
      <c r="J280" s="2367"/>
    </row>
    <row r="281" spans="3:10" ht="15" customHeight="1">
      <c r="C281" s="701"/>
      <c r="D281" s="701"/>
      <c r="E281" s="3186" t="s">
        <v>1538</v>
      </c>
      <c r="F281" s="3769"/>
      <c r="G281" s="3770">
        <v>0</v>
      </c>
      <c r="H281" s="3188"/>
      <c r="I281" s="3188"/>
      <c r="J281" s="2367"/>
    </row>
    <row r="282" spans="3:10" ht="15" customHeight="1">
      <c r="C282" s="701"/>
      <c r="D282" s="701"/>
      <c r="E282" s="3185"/>
      <c r="F282" s="3768"/>
      <c r="G282" s="3771"/>
      <c r="H282" s="3188"/>
      <c r="I282" s="3188"/>
      <c r="J282" s="2367"/>
    </row>
    <row r="283" spans="3:10" ht="15" customHeight="1">
      <c r="C283" s="701"/>
      <c r="D283" s="701"/>
      <c r="E283" s="2415" t="s">
        <v>1541</v>
      </c>
      <c r="F283" s="3768"/>
      <c r="G283" s="3771"/>
      <c r="H283" s="3188"/>
      <c r="I283" s="3188"/>
      <c r="J283" s="2367"/>
    </row>
    <row r="284" spans="3:10" ht="15" customHeight="1">
      <c r="C284" s="701"/>
      <c r="D284" s="701"/>
      <c r="E284" s="3189"/>
      <c r="F284" s="3768"/>
      <c r="G284" s="2918"/>
      <c r="H284" s="3188"/>
      <c r="I284" s="3188"/>
      <c r="J284" s="2367"/>
    </row>
    <row r="285" spans="3:10" ht="15" customHeight="1">
      <c r="C285" s="701"/>
      <c r="D285" s="701"/>
      <c r="E285" s="3183" t="s">
        <v>1532</v>
      </c>
      <c r="F285" s="3764"/>
      <c r="G285" s="3765" t="s">
        <v>1533</v>
      </c>
      <c r="H285" s="3188"/>
      <c r="I285" s="3188"/>
      <c r="J285" s="2367"/>
    </row>
    <row r="286" spans="3:10" ht="15" customHeight="1">
      <c r="C286" s="701"/>
      <c r="D286" s="701"/>
      <c r="E286" s="3184" t="s">
        <v>1534</v>
      </c>
      <c r="F286" s="3766"/>
      <c r="G286" s="3767">
        <v>41.666666666666671</v>
      </c>
      <c r="H286" s="3188"/>
      <c r="I286" s="3188"/>
      <c r="J286" s="2367"/>
    </row>
    <row r="287" spans="3:10" ht="15" customHeight="1">
      <c r="C287" s="701"/>
      <c r="D287" s="701"/>
      <c r="E287" s="3185" t="s">
        <v>1535</v>
      </c>
      <c r="F287" s="3768"/>
      <c r="G287" s="3767">
        <v>111.11166666666668</v>
      </c>
      <c r="H287" s="3188"/>
      <c r="I287" s="3188"/>
      <c r="J287" s="2367"/>
    </row>
    <row r="288" spans="3:10" ht="15" customHeight="1">
      <c r="C288" s="701"/>
      <c r="D288" s="701"/>
      <c r="E288" s="3185" t="s">
        <v>1536</v>
      </c>
      <c r="F288" s="3768"/>
      <c r="G288" s="3767">
        <v>119.44416666666667</v>
      </c>
      <c r="H288" s="3188"/>
      <c r="I288" s="3188"/>
      <c r="J288" s="2367"/>
    </row>
    <row r="289" spans="3:10" ht="15" customHeight="1">
      <c r="C289" s="701"/>
      <c r="D289" s="701"/>
      <c r="E289" s="3185" t="s">
        <v>1537</v>
      </c>
      <c r="F289" s="3768"/>
      <c r="G289" s="3767">
        <v>66.666666666666671</v>
      </c>
      <c r="H289" s="3188"/>
      <c r="I289" s="3188"/>
      <c r="J289" s="2367"/>
    </row>
    <row r="290" spans="3:10" ht="15" customHeight="1">
      <c r="C290" s="701"/>
      <c r="D290" s="701"/>
      <c r="E290" s="3186" t="s">
        <v>1538</v>
      </c>
      <c r="F290" s="3769"/>
      <c r="G290" s="3770">
        <v>0</v>
      </c>
      <c r="H290" s="3188"/>
      <c r="I290" s="3188"/>
      <c r="J290" s="2367"/>
    </row>
    <row r="291" spans="3:10" ht="15" customHeight="1">
      <c r="C291" s="701"/>
      <c r="D291" s="701"/>
      <c r="E291" s="701"/>
      <c r="F291" s="2367"/>
      <c r="G291" s="2367"/>
      <c r="H291" s="2367"/>
      <c r="I291" s="2367"/>
      <c r="J291" s="2367"/>
    </row>
    <row r="292" spans="3:10" ht="15" customHeight="1">
      <c r="C292" s="701"/>
      <c r="D292" s="701"/>
      <c r="E292" s="894" t="s">
        <v>1106</v>
      </c>
      <c r="F292" s="2364"/>
      <c r="G292" s="2364"/>
      <c r="H292" s="3190" t="s">
        <v>1542</v>
      </c>
      <c r="I292" s="701"/>
      <c r="J292" s="701"/>
    </row>
    <row r="293" spans="3:10" ht="15" customHeight="1">
      <c r="C293" s="701"/>
      <c r="D293" s="701"/>
      <c r="E293" s="701"/>
      <c r="F293" s="701"/>
      <c r="G293" s="701"/>
      <c r="H293" s="701"/>
      <c r="I293" s="701"/>
      <c r="J293" s="701"/>
    </row>
    <row r="294" spans="3:10" ht="15" customHeight="1">
      <c r="C294" s="701"/>
      <c r="D294" s="701"/>
      <c r="E294" s="2411" t="s">
        <v>1543</v>
      </c>
      <c r="F294" s="2411"/>
      <c r="G294" s="2411"/>
      <c r="H294" s="2411"/>
      <c r="I294" s="2411"/>
      <c r="J294" s="701"/>
    </row>
    <row r="295" spans="3:10" ht="15" customHeight="1">
      <c r="C295" s="701"/>
      <c r="D295" s="701"/>
      <c r="E295" s="3189"/>
      <c r="F295" s="2413"/>
      <c r="G295" s="2413"/>
      <c r="H295" s="2413"/>
      <c r="I295" s="2413"/>
      <c r="J295" s="701"/>
    </row>
    <row r="296" spans="3:10" ht="15" customHeight="1">
      <c r="C296" s="701"/>
      <c r="D296" s="701"/>
      <c r="E296" s="3183" t="s">
        <v>1532</v>
      </c>
      <c r="F296" s="3183"/>
      <c r="G296" s="3182" t="s">
        <v>1544</v>
      </c>
      <c r="H296" s="2413"/>
      <c r="I296" s="2413"/>
      <c r="J296" s="701"/>
    </row>
    <row r="297" spans="3:10" ht="15" customHeight="1">
      <c r="C297" s="701"/>
      <c r="D297" s="701"/>
      <c r="E297" s="3191" t="s">
        <v>1534</v>
      </c>
      <c r="F297" s="3192"/>
      <c r="G297" s="3193">
        <v>4</v>
      </c>
      <c r="H297" s="2413"/>
      <c r="I297" s="2413"/>
      <c r="J297" s="701"/>
    </row>
    <row r="298" spans="3:10" ht="15" customHeight="1">
      <c r="C298" s="701"/>
      <c r="D298" s="701"/>
      <c r="E298" s="3187"/>
      <c r="F298" s="3188"/>
      <c r="G298" s="3188"/>
      <c r="H298" s="2413"/>
      <c r="I298" s="2413"/>
      <c r="J298" s="701"/>
    </row>
    <row r="299" spans="3:10" ht="15" customHeight="1">
      <c r="C299" s="701"/>
      <c r="D299" s="701"/>
      <c r="E299" s="3183" t="s">
        <v>1532</v>
      </c>
      <c r="F299" s="3183"/>
      <c r="G299" s="3182" t="s">
        <v>1545</v>
      </c>
      <c r="H299" s="2413"/>
      <c r="I299" s="2413"/>
      <c r="J299" s="701"/>
    </row>
    <row r="300" spans="3:10" ht="15" customHeight="1">
      <c r="C300" s="701"/>
      <c r="D300" s="701"/>
      <c r="E300" s="3191" t="s">
        <v>1534</v>
      </c>
      <c r="F300" s="3192"/>
      <c r="G300" s="3193">
        <v>0.3</v>
      </c>
      <c r="H300" s="2413"/>
      <c r="I300" s="2413"/>
      <c r="J300" s="701"/>
    </row>
    <row r="301" spans="3:10" ht="15" customHeight="1">
      <c r="C301" s="701"/>
      <c r="D301" s="701"/>
      <c r="E301" s="701"/>
      <c r="F301" s="3188"/>
      <c r="G301" s="3188"/>
      <c r="H301" s="2413"/>
      <c r="I301" s="2413"/>
      <c r="J301" s="701"/>
    </row>
    <row r="302" spans="3:10" ht="15" customHeight="1">
      <c r="C302" s="701"/>
      <c r="D302" s="701"/>
      <c r="E302" s="894" t="s">
        <v>1109</v>
      </c>
      <c r="F302" s="2364"/>
      <c r="G302" s="2364"/>
      <c r="H302" s="2364"/>
      <c r="I302" s="2413"/>
      <c r="J302" s="701"/>
    </row>
    <row r="303" spans="3:10" ht="15" customHeight="1">
      <c r="C303" s="701"/>
      <c r="D303" s="701"/>
      <c r="E303" s="701"/>
      <c r="F303" s="3188"/>
      <c r="G303" s="3188"/>
      <c r="H303" s="2413"/>
      <c r="I303" s="2413"/>
      <c r="J303" s="701"/>
    </row>
    <row r="304" spans="3:10" ht="15" customHeight="1">
      <c r="C304" s="2418"/>
      <c r="D304" s="701"/>
      <c r="E304" s="2411" t="s">
        <v>1218</v>
      </c>
      <c r="F304" s="3189"/>
      <c r="G304" s="3189"/>
      <c r="H304" s="3189"/>
      <c r="I304" s="2419"/>
      <c r="J304" s="701"/>
    </row>
    <row r="305" spans="3:10" ht="15" customHeight="1">
      <c r="C305" s="2420"/>
      <c r="D305" s="701"/>
      <c r="E305" s="3194"/>
      <c r="F305" s="3195"/>
      <c r="G305" s="3195"/>
      <c r="H305" s="701"/>
      <c r="I305" s="701"/>
      <c r="J305" s="701"/>
    </row>
    <row r="306" spans="3:10" ht="15" customHeight="1">
      <c r="C306" s="2422"/>
      <c r="D306" s="701"/>
      <c r="E306" s="3196" t="s">
        <v>1503</v>
      </c>
      <c r="F306" s="3197"/>
      <c r="G306" s="3206" t="s">
        <v>1546</v>
      </c>
      <c r="H306" s="701"/>
      <c r="I306" s="701"/>
      <c r="J306" s="701"/>
    </row>
    <row r="307" spans="3:10" ht="15" customHeight="1">
      <c r="C307" s="2422"/>
      <c r="D307" s="701"/>
      <c r="E307" s="3199" t="s">
        <v>1547</v>
      </c>
      <c r="F307" s="3200"/>
      <c r="G307" s="3772">
        <v>0.63510238532738594</v>
      </c>
      <c r="H307" s="701"/>
      <c r="I307" s="701"/>
      <c r="J307" s="701"/>
    </row>
    <row r="308" spans="3:10" ht="15" customHeight="1">
      <c r="C308" s="701"/>
      <c r="D308" s="701"/>
      <c r="E308" s="701"/>
      <c r="F308" s="701"/>
      <c r="G308" s="2367"/>
      <c r="H308" s="701"/>
      <c r="I308" s="701"/>
      <c r="J308" s="701"/>
    </row>
    <row r="309" spans="3:10" ht="15" customHeight="1">
      <c r="C309" s="2418"/>
      <c r="D309" s="701"/>
      <c r="E309" s="2411" t="s">
        <v>1548</v>
      </c>
      <c r="F309" s="3189"/>
      <c r="G309" s="3773"/>
      <c r="H309" s="3189"/>
      <c r="I309" s="2419"/>
      <c r="J309" s="701"/>
    </row>
    <row r="310" spans="3:10" ht="15" customHeight="1">
      <c r="C310" s="2420"/>
      <c r="D310" s="701"/>
      <c r="E310" s="3194"/>
      <c r="F310" s="3195"/>
      <c r="G310" s="3195"/>
      <c r="H310" s="701"/>
      <c r="I310" s="701"/>
      <c r="J310" s="701"/>
    </row>
    <row r="311" spans="3:10" ht="15" customHeight="1">
      <c r="C311" s="2422"/>
      <c r="D311" s="701"/>
      <c r="E311" s="3196" t="s">
        <v>1503</v>
      </c>
      <c r="F311" s="3197"/>
      <c r="G311" s="3206" t="s">
        <v>1546</v>
      </c>
      <c r="H311" s="701"/>
      <c r="I311" s="701"/>
      <c r="J311" s="701"/>
    </row>
    <row r="312" spans="3:10" ht="15" customHeight="1">
      <c r="C312" s="2422"/>
      <c r="D312" s="701"/>
      <c r="E312" s="3199" t="s">
        <v>1547</v>
      </c>
      <c r="F312" s="3200"/>
      <c r="G312" s="3772">
        <f>0.476187877712659</f>
        <v>0.47618787771265902</v>
      </c>
      <c r="H312" s="701"/>
      <c r="I312" s="701"/>
      <c r="J312" s="701"/>
    </row>
    <row r="313" spans="3:10" ht="15" customHeight="1">
      <c r="C313" s="701"/>
      <c r="D313" s="701"/>
      <c r="E313" s="701"/>
      <c r="F313" s="701"/>
      <c r="G313" s="701"/>
      <c r="H313" s="701"/>
      <c r="I313" s="701"/>
      <c r="J313" s="701"/>
    </row>
    <row r="314" spans="3:10" ht="15" customHeight="1">
      <c r="C314" s="2418"/>
      <c r="D314" s="701"/>
      <c r="E314" s="2411" t="s">
        <v>1549</v>
      </c>
      <c r="F314" s="3189"/>
      <c r="G314" s="3189"/>
      <c r="H314" s="3189"/>
      <c r="I314" s="2419"/>
      <c r="J314" s="701"/>
    </row>
    <row r="315" spans="3:10" ht="15" customHeight="1">
      <c r="C315" s="2420"/>
      <c r="D315" s="701"/>
      <c r="E315" s="3194"/>
      <c r="F315" s="3195"/>
      <c r="G315" s="3195"/>
      <c r="H315" s="701"/>
      <c r="I315" s="701"/>
      <c r="J315" s="701"/>
    </row>
    <row r="316" spans="3:10" ht="15" customHeight="1">
      <c r="C316" s="2422"/>
      <c r="D316" s="701"/>
      <c r="E316" s="3196" t="s">
        <v>1503</v>
      </c>
      <c r="F316" s="3197"/>
      <c r="G316" s="3206" t="s">
        <v>1546</v>
      </c>
      <c r="H316" s="701"/>
      <c r="I316" s="701"/>
      <c r="J316" s="701"/>
    </row>
    <row r="317" spans="3:10" ht="15" customHeight="1">
      <c r="C317" s="2422"/>
      <c r="D317" s="701"/>
      <c r="E317" s="3199" t="s">
        <v>1550</v>
      </c>
      <c r="F317" s="3200"/>
      <c r="G317" s="3201">
        <v>0.63510238532738594</v>
      </c>
      <c r="H317" s="701"/>
      <c r="I317" s="701"/>
      <c r="J317" s="701"/>
    </row>
    <row r="318" spans="3:10" ht="15" customHeight="1">
      <c r="C318" s="2422"/>
      <c r="D318" s="701"/>
      <c r="E318" s="3202"/>
      <c r="F318" s="2373"/>
      <c r="G318" s="3203"/>
      <c r="H318" s="701"/>
      <c r="I318" s="701"/>
      <c r="J318" s="701"/>
    </row>
    <row r="319" spans="3:10" ht="15" customHeight="1">
      <c r="C319" s="2418"/>
      <c r="D319" s="701"/>
      <c r="E319" s="2411" t="s">
        <v>1551</v>
      </c>
      <c r="F319" s="3189"/>
      <c r="G319" s="3189"/>
      <c r="H319" s="3189"/>
      <c r="I319" s="2419"/>
      <c r="J319" s="701"/>
    </row>
    <row r="320" spans="3:10" ht="15" customHeight="1">
      <c r="C320" s="2420"/>
      <c r="D320" s="701"/>
      <c r="E320" s="3194"/>
      <c r="F320" s="3195"/>
      <c r="G320" s="3195"/>
      <c r="H320" s="701"/>
      <c r="I320" s="701"/>
      <c r="J320" s="701"/>
    </row>
    <row r="321" spans="3:10" ht="15" customHeight="1">
      <c r="C321" s="2422"/>
      <c r="D321" s="701"/>
      <c r="E321" s="3196" t="s">
        <v>1503</v>
      </c>
      <c r="F321" s="3197"/>
      <c r="G321" s="3206" t="s">
        <v>1546</v>
      </c>
      <c r="H321" s="701"/>
      <c r="I321" s="701"/>
      <c r="J321" s="701"/>
    </row>
    <row r="322" spans="3:10" ht="15" customHeight="1">
      <c r="C322" s="2422"/>
      <c r="D322" s="701"/>
      <c r="E322" s="3199" t="s">
        <v>1550</v>
      </c>
      <c r="F322" s="3200"/>
      <c r="G322" s="3772">
        <f>0.476187877712659</f>
        <v>0.47618787771265902</v>
      </c>
      <c r="H322" s="701"/>
      <c r="I322" s="701"/>
      <c r="J322" s="701"/>
    </row>
    <row r="323" spans="3:10" ht="15" customHeight="1">
      <c r="C323" s="2422"/>
      <c r="D323" s="701"/>
      <c r="E323" s="3202"/>
      <c r="F323" s="2373"/>
      <c r="G323" s="3774"/>
      <c r="H323" s="701"/>
      <c r="I323" s="701"/>
      <c r="J323" s="701"/>
    </row>
    <row r="324" spans="3:10" ht="15" customHeight="1">
      <c r="C324" s="2418"/>
      <c r="D324" s="701"/>
      <c r="E324" s="2411" t="s">
        <v>1552</v>
      </c>
      <c r="F324" s="3189"/>
      <c r="G324" s="3773"/>
      <c r="H324" s="3189"/>
      <c r="I324" s="2419"/>
      <c r="J324" s="701"/>
    </row>
    <row r="325" spans="3:10" ht="15" customHeight="1">
      <c r="C325" s="2420"/>
      <c r="D325" s="701"/>
      <c r="E325" s="3194"/>
      <c r="F325" s="3195"/>
      <c r="G325" s="3195"/>
      <c r="H325" s="701"/>
      <c r="I325" s="701"/>
      <c r="J325" s="701"/>
    </row>
    <row r="326" spans="3:10" ht="15" customHeight="1">
      <c r="C326" s="2422"/>
      <c r="D326" s="701"/>
      <c r="E326" s="3196" t="s">
        <v>1503</v>
      </c>
      <c r="F326" s="3197"/>
      <c r="G326" s="3198" t="s">
        <v>1553</v>
      </c>
      <c r="H326" s="701"/>
      <c r="I326" s="701"/>
      <c r="J326" s="701"/>
    </row>
    <row r="327" spans="3:10" ht="15" customHeight="1">
      <c r="C327" s="2422"/>
      <c r="D327" s="701"/>
      <c r="E327" s="3199" t="s">
        <v>1547</v>
      </c>
      <c r="F327" s="3200"/>
      <c r="G327" s="3772">
        <v>0.6</v>
      </c>
      <c r="H327" s="701"/>
      <c r="I327" s="701"/>
      <c r="J327" s="701"/>
    </row>
    <row r="328" spans="3:10" ht="15" customHeight="1">
      <c r="C328" s="2422"/>
      <c r="D328" s="701"/>
      <c r="E328" s="3202"/>
      <c r="F328" s="2373"/>
      <c r="G328" s="3204"/>
      <c r="H328" s="701"/>
      <c r="I328" s="701"/>
      <c r="J328" s="701"/>
    </row>
    <row r="329" spans="3:10" ht="15" customHeight="1">
      <c r="C329" s="2418"/>
      <c r="D329" s="701"/>
      <c r="E329" s="701"/>
      <c r="F329" s="701"/>
      <c r="G329" s="701"/>
      <c r="H329" s="701"/>
      <c r="I329" s="701"/>
      <c r="J329" s="701"/>
    </row>
    <row r="330" spans="3:10" ht="15" customHeight="1">
      <c r="C330" s="2418"/>
      <c r="D330" s="701"/>
      <c r="E330" s="2411" t="s">
        <v>1554</v>
      </c>
      <c r="F330" s="3189"/>
      <c r="G330" s="3189"/>
      <c r="H330" s="3189"/>
      <c r="I330" s="2419"/>
      <c r="J330" s="701"/>
    </row>
    <row r="331" spans="3:10" ht="15" customHeight="1">
      <c r="C331" s="2420"/>
      <c r="D331" s="701"/>
      <c r="E331" s="3194"/>
      <c r="F331" s="3195"/>
      <c r="G331" s="3195"/>
      <c r="H331" s="701"/>
      <c r="I331" s="701"/>
      <c r="J331" s="701"/>
    </row>
    <row r="332" spans="3:10" ht="15" customHeight="1">
      <c r="C332" s="2422"/>
      <c r="D332" s="701"/>
      <c r="E332" s="3196" t="s">
        <v>1503</v>
      </c>
      <c r="F332" s="3197"/>
      <c r="G332" s="3198" t="s">
        <v>1555</v>
      </c>
      <c r="H332" s="701"/>
      <c r="I332" s="701"/>
      <c r="J332" s="701"/>
    </row>
    <row r="333" spans="3:10" ht="15" customHeight="1">
      <c r="C333" s="2422"/>
      <c r="D333" s="701"/>
      <c r="E333" s="3199" t="s">
        <v>1547</v>
      </c>
      <c r="F333" s="3199"/>
      <c r="G333" s="3205">
        <v>5.1047441699999998E-3</v>
      </c>
      <c r="H333" s="701"/>
      <c r="I333" s="701"/>
      <c r="J333" s="701"/>
    </row>
    <row r="334" spans="3:10" ht="15" customHeight="1">
      <c r="C334" s="701"/>
      <c r="D334" s="701"/>
      <c r="E334" s="701"/>
      <c r="F334" s="701"/>
      <c r="G334" s="701"/>
      <c r="H334" s="701"/>
      <c r="I334" s="701"/>
      <c r="J334" s="701"/>
    </row>
    <row r="335" spans="3:10" ht="15" customHeight="1">
      <c r="C335" s="701"/>
      <c r="D335" s="701"/>
      <c r="E335" s="701"/>
      <c r="F335" s="701"/>
      <c r="G335" s="701"/>
      <c r="H335" s="701"/>
      <c r="I335" s="701"/>
      <c r="J335" s="701"/>
    </row>
    <row r="336" spans="3:10" ht="15" customHeight="1">
      <c r="C336" s="701"/>
      <c r="D336" s="2359"/>
      <c r="E336" s="2398" t="s">
        <v>38</v>
      </c>
      <c r="F336" s="2361"/>
      <c r="G336" s="2361"/>
      <c r="H336" s="1768" t="s">
        <v>1463</v>
      </c>
      <c r="I336" s="1768"/>
      <c r="J336" s="701"/>
    </row>
    <row r="337" spans="3:10" ht="15" customHeight="1">
      <c r="C337" s="701"/>
      <c r="D337" s="701"/>
      <c r="E337" s="701"/>
      <c r="F337" s="701"/>
      <c r="G337" s="701"/>
      <c r="H337" s="701"/>
      <c r="I337" s="701"/>
      <c r="J337" s="701"/>
    </row>
    <row r="338" spans="3:10" ht="15" customHeight="1">
      <c r="C338" s="701"/>
      <c r="D338" s="701"/>
      <c r="E338" s="894" t="s">
        <v>1111</v>
      </c>
      <c r="F338" s="2364"/>
      <c r="G338" s="2364"/>
      <c r="H338" s="2364"/>
      <c r="I338" s="701"/>
      <c r="J338" s="701"/>
    </row>
    <row r="339" spans="3:10" ht="15" customHeight="1">
      <c r="C339" s="701"/>
      <c r="D339" s="701"/>
      <c r="E339" s="701"/>
      <c r="F339" s="701"/>
      <c r="G339" s="701"/>
      <c r="H339" s="701"/>
      <c r="I339" s="701"/>
      <c r="J339" s="701"/>
    </row>
    <row r="340" spans="3:10" ht="15" customHeight="1">
      <c r="C340" s="701"/>
      <c r="D340" s="701"/>
      <c r="E340" s="2245" t="s">
        <v>1468</v>
      </c>
      <c r="F340" s="701"/>
      <c r="G340" s="2399" t="s">
        <v>1470</v>
      </c>
      <c r="H340" s="2399" t="s">
        <v>1520</v>
      </c>
      <c r="I340" s="701"/>
      <c r="J340" s="701"/>
    </row>
    <row r="341" spans="3:10" ht="15" customHeight="1">
      <c r="C341" s="701"/>
      <c r="D341" s="701"/>
      <c r="E341" s="1654" t="s">
        <v>1469</v>
      </c>
      <c r="F341" s="1654"/>
      <c r="G341" s="2391" t="s">
        <v>871</v>
      </c>
      <c r="H341" s="2391" t="s">
        <v>698</v>
      </c>
      <c r="I341" s="701"/>
      <c r="J341" s="701"/>
    </row>
    <row r="342" spans="3:10" ht="15" customHeight="1">
      <c r="C342" s="701"/>
      <c r="D342" s="701"/>
      <c r="E342" s="701" t="s">
        <v>498</v>
      </c>
      <c r="F342" s="701"/>
      <c r="G342" s="1827">
        <v>67185.119999999995</v>
      </c>
      <c r="H342" s="701"/>
      <c r="I342" s="701"/>
      <c r="J342" s="701"/>
    </row>
    <row r="343" spans="3:10" ht="15" customHeight="1">
      <c r="C343" s="701"/>
      <c r="D343" s="701"/>
      <c r="E343" s="3179" t="s">
        <v>1495</v>
      </c>
      <c r="F343" s="701"/>
      <c r="G343" s="1827">
        <v>69323.7</v>
      </c>
      <c r="H343" s="701"/>
      <c r="I343" s="701"/>
      <c r="J343" s="701"/>
    </row>
    <row r="344" spans="3:10" ht="15" customHeight="1">
      <c r="C344" s="701"/>
      <c r="D344" s="701"/>
      <c r="E344" s="3179" t="s">
        <v>1499</v>
      </c>
      <c r="F344" s="701"/>
      <c r="G344" s="1827">
        <v>73939.638999999996</v>
      </c>
      <c r="H344" s="701"/>
      <c r="I344" s="701"/>
      <c r="J344" s="701"/>
    </row>
    <row r="345" spans="3:10" ht="15" customHeight="1">
      <c r="C345" s="701"/>
      <c r="D345" s="701"/>
      <c r="E345" s="3179" t="s">
        <v>569</v>
      </c>
      <c r="F345" s="701"/>
      <c r="G345" s="1827">
        <v>88136</v>
      </c>
      <c r="H345" s="701"/>
      <c r="I345" s="701"/>
      <c r="J345" s="701"/>
    </row>
    <row r="346" spans="3:10" ht="15" customHeight="1">
      <c r="C346" s="701"/>
      <c r="D346" s="701"/>
      <c r="E346" s="3179" t="s">
        <v>513</v>
      </c>
      <c r="F346" s="701"/>
      <c r="G346" s="1827">
        <v>55539.11</v>
      </c>
      <c r="H346" s="701"/>
      <c r="I346" s="701"/>
      <c r="J346" s="701"/>
    </row>
    <row r="347" spans="3:10" ht="15" customHeight="1">
      <c r="C347" s="701"/>
      <c r="D347" s="701"/>
      <c r="E347" s="3179" t="s">
        <v>1528</v>
      </c>
      <c r="F347" s="701"/>
      <c r="G347" s="1827">
        <v>89525.027000000002</v>
      </c>
      <c r="H347" s="701"/>
      <c r="I347" s="701"/>
      <c r="J347" s="701"/>
    </row>
    <row r="348" spans="3:10" ht="15" customHeight="1">
      <c r="C348" s="701"/>
      <c r="D348" s="701"/>
      <c r="E348" s="3181" t="s">
        <v>1524</v>
      </c>
      <c r="F348" s="706"/>
      <c r="G348" s="1692">
        <v>112000</v>
      </c>
      <c r="H348" s="706"/>
      <c r="I348" s="701"/>
      <c r="J348" s="701"/>
    </row>
    <row r="349" spans="3:10" ht="15" customHeight="1">
      <c r="C349" s="701"/>
      <c r="D349" s="701"/>
      <c r="E349" s="701"/>
      <c r="F349" s="701"/>
      <c r="G349" s="701"/>
      <c r="H349" s="701"/>
      <c r="I349" s="701"/>
      <c r="J349" s="701"/>
    </row>
    <row r="350" spans="3:10" ht="15" customHeight="1">
      <c r="C350" s="701"/>
      <c r="D350" s="701"/>
      <c r="E350" s="1679" t="s">
        <v>1488</v>
      </c>
      <c r="F350" s="701"/>
      <c r="G350" s="2399" t="s">
        <v>1470</v>
      </c>
      <c r="H350" s="2399" t="s">
        <v>1527</v>
      </c>
      <c r="I350" s="701"/>
      <c r="J350" s="701"/>
    </row>
    <row r="351" spans="3:10" ht="15" customHeight="1">
      <c r="C351" s="701"/>
      <c r="D351" s="701"/>
      <c r="E351" s="1654" t="s">
        <v>1469</v>
      </c>
      <c r="F351" s="1654"/>
      <c r="G351" s="2391" t="s">
        <v>871</v>
      </c>
      <c r="H351" s="2391" t="s">
        <v>698</v>
      </c>
      <c r="I351" s="701"/>
      <c r="J351" s="701"/>
    </row>
    <row r="352" spans="3:10" ht="15" customHeight="1">
      <c r="C352" s="701"/>
      <c r="D352" s="701"/>
      <c r="E352" s="3179" t="s">
        <v>1495</v>
      </c>
      <c r="F352" s="701"/>
      <c r="G352" s="1827">
        <v>10</v>
      </c>
      <c r="H352" s="701"/>
      <c r="I352" s="701"/>
      <c r="J352" s="701"/>
    </row>
    <row r="353" spans="3:10" ht="15" customHeight="1">
      <c r="C353" s="701"/>
      <c r="D353" s="701"/>
      <c r="E353" s="3179" t="s">
        <v>1499</v>
      </c>
      <c r="F353" s="701"/>
      <c r="G353" s="1827">
        <v>10</v>
      </c>
      <c r="H353" s="701"/>
      <c r="I353" s="701"/>
      <c r="J353" s="701"/>
    </row>
    <row r="354" spans="3:10" ht="15" customHeight="1">
      <c r="C354" s="701"/>
      <c r="D354" s="701"/>
      <c r="E354" s="3179" t="s">
        <v>498</v>
      </c>
      <c r="F354" s="701"/>
      <c r="G354" s="1827">
        <v>5</v>
      </c>
      <c r="H354" s="701"/>
      <c r="I354" s="701"/>
      <c r="J354" s="701"/>
    </row>
    <row r="355" spans="3:10" ht="15" customHeight="1">
      <c r="C355" s="701"/>
      <c r="D355" s="701"/>
      <c r="E355" s="3179" t="s">
        <v>569</v>
      </c>
      <c r="F355" s="701"/>
      <c r="G355" s="1827">
        <v>300</v>
      </c>
      <c r="H355" s="701"/>
      <c r="I355" s="701"/>
      <c r="J355" s="701"/>
    </row>
    <row r="356" spans="3:10" ht="15" customHeight="1">
      <c r="C356" s="701"/>
      <c r="D356" s="701"/>
      <c r="E356" s="3179" t="s">
        <v>513</v>
      </c>
      <c r="F356" s="701"/>
      <c r="G356" s="1827">
        <v>5</v>
      </c>
      <c r="H356" s="701"/>
      <c r="I356" s="701"/>
      <c r="J356" s="701"/>
    </row>
    <row r="357" spans="3:10" ht="15" customHeight="1">
      <c r="C357" s="701"/>
      <c r="D357" s="701"/>
      <c r="E357" s="3179" t="s">
        <v>1528</v>
      </c>
      <c r="F357" s="701"/>
      <c r="G357" s="1827">
        <v>300</v>
      </c>
      <c r="H357" s="701"/>
      <c r="I357" s="701"/>
      <c r="J357" s="701"/>
    </row>
    <row r="358" spans="3:10" ht="15" customHeight="1">
      <c r="C358" s="701"/>
      <c r="D358" s="701"/>
      <c r="E358" s="3181" t="s">
        <v>1524</v>
      </c>
      <c r="F358" s="706"/>
      <c r="G358" s="1692">
        <v>200</v>
      </c>
      <c r="H358" s="706"/>
      <c r="I358" s="701"/>
      <c r="J358" s="701"/>
    </row>
    <row r="359" spans="3:10" ht="15" customHeight="1">
      <c r="C359" s="701"/>
      <c r="D359" s="701"/>
      <c r="E359" s="701"/>
      <c r="F359" s="701"/>
      <c r="G359" s="701"/>
      <c r="H359" s="701"/>
      <c r="I359" s="701"/>
      <c r="J359" s="701"/>
    </row>
    <row r="360" spans="3:10" ht="15" customHeight="1">
      <c r="C360" s="701"/>
      <c r="D360" s="701"/>
      <c r="E360" s="2245" t="s">
        <v>1482</v>
      </c>
      <c r="F360" s="701"/>
      <c r="G360" s="2399" t="s">
        <v>1470</v>
      </c>
      <c r="H360" s="2399" t="s">
        <v>1529</v>
      </c>
      <c r="I360" s="701"/>
      <c r="J360" s="701"/>
    </row>
    <row r="361" spans="3:10" ht="15" customHeight="1">
      <c r="C361" s="701"/>
      <c r="D361" s="701"/>
      <c r="E361" s="1654" t="s">
        <v>1469</v>
      </c>
      <c r="F361" s="1654"/>
      <c r="G361" s="2391" t="s">
        <v>871</v>
      </c>
      <c r="H361" s="2391" t="s">
        <v>698</v>
      </c>
      <c r="I361" s="701"/>
      <c r="J361" s="701"/>
    </row>
    <row r="362" spans="3:10" ht="15" customHeight="1">
      <c r="C362" s="701"/>
      <c r="D362" s="701"/>
      <c r="E362" s="3179" t="s">
        <v>1495</v>
      </c>
      <c r="F362" s="701"/>
      <c r="G362" s="1827">
        <v>0.6</v>
      </c>
      <c r="H362" s="701"/>
      <c r="I362" s="701"/>
      <c r="J362" s="701"/>
    </row>
    <row r="363" spans="3:10" ht="15" customHeight="1">
      <c r="C363" s="701"/>
      <c r="D363" s="701"/>
      <c r="E363" s="3179" t="s">
        <v>1499</v>
      </c>
      <c r="F363" s="701"/>
      <c r="G363" s="1827">
        <v>0.6</v>
      </c>
      <c r="H363" s="701"/>
      <c r="I363" s="701"/>
      <c r="J363" s="701"/>
    </row>
    <row r="364" spans="3:10" ht="15" customHeight="1">
      <c r="C364" s="701"/>
      <c r="D364" s="701"/>
      <c r="E364" s="3179" t="s">
        <v>498</v>
      </c>
      <c r="F364" s="701"/>
      <c r="G364" s="1827">
        <v>0.1</v>
      </c>
      <c r="H364" s="701"/>
      <c r="I364" s="701"/>
      <c r="J364" s="701"/>
    </row>
    <row r="365" spans="3:10" ht="15" customHeight="1">
      <c r="C365" s="701"/>
      <c r="D365" s="701"/>
      <c r="E365" s="3179" t="s">
        <v>569</v>
      </c>
      <c r="F365" s="701"/>
      <c r="G365" s="1827">
        <v>1.5</v>
      </c>
      <c r="H365" s="701"/>
      <c r="I365" s="701"/>
      <c r="J365" s="701"/>
    </row>
    <row r="366" spans="3:10" ht="15" customHeight="1">
      <c r="C366" s="701"/>
      <c r="D366" s="701"/>
      <c r="E366" s="3179" t="s">
        <v>513</v>
      </c>
      <c r="F366" s="701"/>
      <c r="G366" s="1827">
        <v>0.1</v>
      </c>
      <c r="H366" s="701"/>
      <c r="I366" s="701"/>
      <c r="J366" s="701"/>
    </row>
    <row r="367" spans="3:10" ht="15" customHeight="1">
      <c r="C367" s="701"/>
      <c r="D367" s="701"/>
      <c r="E367" s="3179" t="s">
        <v>1528</v>
      </c>
      <c r="F367" s="701"/>
      <c r="G367" s="1827">
        <v>4</v>
      </c>
      <c r="H367" s="701"/>
      <c r="I367" s="701"/>
      <c r="J367" s="701"/>
    </row>
    <row r="368" spans="3:10" ht="15" customHeight="1">
      <c r="C368" s="701"/>
      <c r="D368" s="701"/>
      <c r="E368" s="3181" t="s">
        <v>1524</v>
      </c>
      <c r="F368" s="706"/>
      <c r="G368" s="1692">
        <v>1</v>
      </c>
      <c r="H368" s="706"/>
      <c r="I368" s="701"/>
      <c r="J368" s="701"/>
    </row>
    <row r="369" spans="3:10" ht="15" customHeight="1">
      <c r="C369" s="701"/>
      <c r="D369" s="701"/>
      <c r="E369" s="701"/>
      <c r="F369" s="701"/>
      <c r="G369" s="701"/>
      <c r="H369" s="701"/>
      <c r="I369" s="701"/>
      <c r="J369" s="701"/>
    </row>
    <row r="370" spans="3:10" ht="15" customHeight="1">
      <c r="C370" s="701"/>
      <c r="D370" s="701"/>
      <c r="E370" s="894" t="s">
        <v>1113</v>
      </c>
      <c r="F370" s="2364"/>
      <c r="G370" s="2364"/>
      <c r="H370" s="2364"/>
      <c r="I370" s="701"/>
      <c r="J370" s="701"/>
    </row>
    <row r="371" spans="3:10" ht="15" customHeight="1">
      <c r="C371" s="701"/>
      <c r="D371" s="701"/>
      <c r="E371" s="701"/>
      <c r="F371" s="701"/>
      <c r="G371" s="701"/>
      <c r="H371" s="701"/>
      <c r="I371" s="701"/>
      <c r="J371" s="701"/>
    </row>
    <row r="372" spans="3:10" ht="15" customHeight="1">
      <c r="C372" s="701"/>
      <c r="D372" s="701"/>
      <c r="E372" s="2245" t="s">
        <v>1468</v>
      </c>
      <c r="F372" s="701"/>
      <c r="G372" s="2399" t="s">
        <v>1470</v>
      </c>
      <c r="H372" s="2399"/>
      <c r="I372" s="701"/>
      <c r="J372" s="701"/>
    </row>
    <row r="373" spans="3:10" ht="15" customHeight="1">
      <c r="C373" s="701"/>
      <c r="D373" s="701"/>
      <c r="E373" s="1654" t="s">
        <v>1469</v>
      </c>
      <c r="F373" s="1654"/>
      <c r="G373" s="2391" t="s">
        <v>1520</v>
      </c>
      <c r="H373" s="2391" t="s">
        <v>1556</v>
      </c>
      <c r="I373" s="701"/>
      <c r="J373" s="701"/>
    </row>
    <row r="374" spans="3:10" ht="15" customHeight="1">
      <c r="C374" s="701"/>
      <c r="D374" s="701"/>
      <c r="E374" s="701" t="s">
        <v>498</v>
      </c>
      <c r="F374" s="701"/>
      <c r="G374" s="1827">
        <v>67185.119999999995</v>
      </c>
      <c r="H374" s="1663">
        <f>G374*UNIDAD_TWH_A_TJ</f>
        <v>241866431.99999997</v>
      </c>
      <c r="I374" s="701"/>
      <c r="J374" s="701"/>
    </row>
    <row r="375" spans="3:10" ht="15" customHeight="1">
      <c r="C375" s="701"/>
      <c r="D375" s="701"/>
      <c r="E375" s="701" t="s">
        <v>513</v>
      </c>
      <c r="F375" s="701"/>
      <c r="G375" s="1827">
        <v>55539.11</v>
      </c>
      <c r="H375" s="1663">
        <f>G375*UNIDAD_TWH_A_TJ</f>
        <v>199940796</v>
      </c>
      <c r="I375" s="701"/>
      <c r="J375" s="701"/>
    </row>
    <row r="376" spans="3:10" ht="15" customHeight="1">
      <c r="C376" s="701"/>
      <c r="D376" s="701"/>
      <c r="E376" s="2030" t="s">
        <v>502</v>
      </c>
      <c r="F376" s="2030"/>
      <c r="G376" s="2401">
        <v>1</v>
      </c>
      <c r="H376" s="2423">
        <f>G376*UNIDAD_TWH_A_TJ</f>
        <v>3600</v>
      </c>
      <c r="I376" s="701"/>
      <c r="J376" s="701"/>
    </row>
    <row r="377" spans="3:10" ht="15" customHeight="1">
      <c r="C377" s="701"/>
      <c r="D377" s="701"/>
      <c r="E377" s="2030" t="s">
        <v>526</v>
      </c>
      <c r="F377" s="2030"/>
      <c r="G377" s="2401">
        <v>1</v>
      </c>
      <c r="H377" s="2423">
        <f>G377*UNIDAD_TWH_A_TJ</f>
        <v>3600</v>
      </c>
      <c r="I377" s="701"/>
      <c r="J377" s="701"/>
    </row>
    <row r="378" spans="3:10" ht="15" customHeight="1">
      <c r="C378" s="701"/>
      <c r="D378" s="701"/>
      <c r="E378" s="2363" t="s">
        <v>1557</v>
      </c>
      <c r="F378" s="2363"/>
      <c r="G378" s="2402">
        <v>1</v>
      </c>
      <c r="H378" s="2424">
        <f>G378*UNIDAD_TWH_A_TJ</f>
        <v>3600</v>
      </c>
      <c r="I378" s="701"/>
      <c r="J378" s="701"/>
    </row>
    <row r="379" spans="3:10" ht="15" customHeight="1">
      <c r="C379" s="701"/>
      <c r="D379" s="701"/>
      <c r="E379" s="701"/>
      <c r="F379" s="701"/>
      <c r="G379" s="701"/>
      <c r="H379" s="701"/>
      <c r="I379" s="701"/>
      <c r="J379" s="701"/>
    </row>
    <row r="380" spans="3:10" ht="15" customHeight="1">
      <c r="C380" s="701"/>
      <c r="D380" s="701"/>
      <c r="E380" s="1679" t="s">
        <v>1488</v>
      </c>
      <c r="F380" s="701"/>
      <c r="G380" s="2399" t="s">
        <v>1470</v>
      </c>
      <c r="H380" s="2399" t="s">
        <v>1527</v>
      </c>
      <c r="I380" s="701"/>
      <c r="J380" s="701"/>
    </row>
    <row r="381" spans="3:10" ht="15" customHeight="1">
      <c r="C381" s="701"/>
      <c r="D381" s="701"/>
      <c r="E381" s="1654" t="s">
        <v>1469</v>
      </c>
      <c r="F381" s="1654"/>
      <c r="G381" s="2391" t="s">
        <v>871</v>
      </c>
      <c r="H381" s="2391" t="s">
        <v>698</v>
      </c>
      <c r="I381" s="701"/>
      <c r="J381" s="701"/>
    </row>
    <row r="382" spans="3:10" ht="15" customHeight="1">
      <c r="C382" s="701"/>
      <c r="D382" s="701"/>
      <c r="E382" s="701" t="s">
        <v>498</v>
      </c>
      <c r="F382" s="701"/>
      <c r="G382" s="1827">
        <v>5</v>
      </c>
      <c r="H382" s="2425">
        <f>G382*UNIDAD_TJ_A_TWH</f>
        <v>1.3888888888888889E-3</v>
      </c>
      <c r="I382" s="701"/>
      <c r="J382" s="701"/>
    </row>
    <row r="383" spans="3:10" ht="15" customHeight="1">
      <c r="C383" s="701"/>
      <c r="D383" s="701"/>
      <c r="E383" s="701" t="s">
        <v>513</v>
      </c>
      <c r="F383" s="701"/>
      <c r="G383" s="1827">
        <v>5</v>
      </c>
      <c r="H383" s="2425">
        <f>G383*UNIDAD_TJ_A_TWH</f>
        <v>1.3888888888888889E-3</v>
      </c>
      <c r="I383" s="701"/>
      <c r="J383" s="701"/>
    </row>
    <row r="384" spans="3:10" ht="15" customHeight="1">
      <c r="C384" s="701"/>
      <c r="D384" s="701"/>
      <c r="E384" s="2030" t="s">
        <v>502</v>
      </c>
      <c r="F384" s="2030"/>
      <c r="G384" s="2401">
        <v>1</v>
      </c>
      <c r="H384" s="2425">
        <f>G384*UNIDAD_TJ_A_TWH</f>
        <v>2.7777777777777778E-4</v>
      </c>
      <c r="I384" s="701"/>
      <c r="J384" s="701"/>
    </row>
    <row r="385" spans="3:10" ht="15" customHeight="1">
      <c r="C385" s="701"/>
      <c r="D385" s="701"/>
      <c r="E385" s="2030" t="s">
        <v>526</v>
      </c>
      <c r="F385" s="2030"/>
      <c r="G385" s="2401">
        <v>1</v>
      </c>
      <c r="H385" s="2425">
        <f>G385*UNIDAD_TJ_A_TWH</f>
        <v>2.7777777777777778E-4</v>
      </c>
      <c r="I385" s="701"/>
      <c r="J385" s="701"/>
    </row>
    <row r="386" spans="3:10" ht="15" customHeight="1">
      <c r="C386" s="701"/>
      <c r="D386" s="701"/>
      <c r="E386" s="2363" t="s">
        <v>1557</v>
      </c>
      <c r="F386" s="2363"/>
      <c r="G386" s="2402">
        <v>1</v>
      </c>
      <c r="H386" s="2426">
        <f>G386*UNIDAD_TJ_A_TWH</f>
        <v>2.7777777777777778E-4</v>
      </c>
      <c r="I386" s="701"/>
      <c r="J386" s="701"/>
    </row>
    <row r="387" spans="3:10" ht="15" customHeight="1">
      <c r="C387" s="701"/>
      <c r="D387" s="701"/>
      <c r="E387" s="701"/>
      <c r="F387" s="701"/>
      <c r="G387" s="701"/>
      <c r="H387" s="701"/>
      <c r="I387" s="701"/>
      <c r="J387" s="701"/>
    </row>
    <row r="388" spans="3:10" ht="15" customHeight="1">
      <c r="C388" s="701"/>
      <c r="D388" s="701"/>
      <c r="E388" s="2245" t="s">
        <v>1482</v>
      </c>
      <c r="F388" s="701"/>
      <c r="G388" s="2399" t="s">
        <v>1470</v>
      </c>
      <c r="H388" s="2399" t="s">
        <v>1529</v>
      </c>
      <c r="I388" s="701"/>
      <c r="J388" s="701"/>
    </row>
    <row r="389" spans="3:10" ht="15" customHeight="1">
      <c r="C389" s="701"/>
      <c r="D389" s="701"/>
      <c r="E389" s="1654" t="s">
        <v>1469</v>
      </c>
      <c r="F389" s="1654"/>
      <c r="G389" s="2391" t="s">
        <v>871</v>
      </c>
      <c r="H389" s="2391" t="s">
        <v>698</v>
      </c>
      <c r="I389" s="701"/>
      <c r="J389" s="701"/>
    </row>
    <row r="390" spans="3:10" ht="15" customHeight="1">
      <c r="C390" s="701"/>
      <c r="D390" s="701"/>
      <c r="E390" s="701" t="s">
        <v>498</v>
      </c>
      <c r="F390" s="701"/>
      <c r="G390" s="1827">
        <v>0.1</v>
      </c>
      <c r="H390" s="2425">
        <f>G390*UNIDAD_TJ_A_TWH</f>
        <v>2.7777777777777779E-5</v>
      </c>
      <c r="I390" s="701"/>
      <c r="J390" s="701"/>
    </row>
    <row r="391" spans="3:10" ht="15" customHeight="1">
      <c r="C391" s="701"/>
      <c r="D391" s="701"/>
      <c r="E391" s="701" t="s">
        <v>513</v>
      </c>
      <c r="F391" s="701"/>
      <c r="G391" s="1827">
        <v>0.1</v>
      </c>
      <c r="H391" s="2425">
        <f>G391*UNIDAD_TJ_A_TWH</f>
        <v>2.7777777777777779E-5</v>
      </c>
      <c r="I391" s="701"/>
      <c r="J391" s="701"/>
    </row>
    <row r="392" spans="3:10" ht="15" customHeight="1">
      <c r="C392" s="701"/>
      <c r="D392" s="701"/>
      <c r="E392" s="2030" t="s">
        <v>502</v>
      </c>
      <c r="F392" s="2030"/>
      <c r="G392" s="2401">
        <v>1</v>
      </c>
      <c r="H392" s="2425">
        <f>G392*UNIDAD_TJ_A_TWH</f>
        <v>2.7777777777777778E-4</v>
      </c>
      <c r="I392" s="701"/>
      <c r="J392" s="701"/>
    </row>
    <row r="393" spans="3:10" ht="15" customHeight="1">
      <c r="C393" s="701"/>
      <c r="D393" s="701"/>
      <c r="E393" s="2030" t="s">
        <v>526</v>
      </c>
      <c r="F393" s="2030"/>
      <c r="G393" s="2401">
        <v>1</v>
      </c>
      <c r="H393" s="2425">
        <f>G393*UNIDAD_TJ_A_TWH</f>
        <v>2.7777777777777778E-4</v>
      </c>
      <c r="I393" s="701"/>
      <c r="J393" s="701"/>
    </row>
    <row r="394" spans="3:10" ht="15" customHeight="1">
      <c r="C394" s="701"/>
      <c r="D394" s="701"/>
      <c r="E394" s="2363" t="s">
        <v>1557</v>
      </c>
      <c r="F394" s="2363"/>
      <c r="G394" s="2402">
        <v>1</v>
      </c>
      <c r="H394" s="2426">
        <f>G394*UNIDAD_TJ_A_TWH</f>
        <v>2.7777777777777778E-4</v>
      </c>
      <c r="I394" s="701"/>
      <c r="J394" s="701"/>
    </row>
    <row r="395" spans="3:10" ht="15" customHeight="1">
      <c r="C395" s="701"/>
      <c r="D395" s="701"/>
      <c r="E395" s="701"/>
      <c r="F395" s="701"/>
      <c r="G395" s="701"/>
      <c r="H395" s="701"/>
      <c r="I395" s="701"/>
      <c r="J395" s="701"/>
    </row>
    <row r="396" spans="3:10" ht="15" customHeight="1">
      <c r="C396" s="701"/>
      <c r="D396" s="701"/>
      <c r="E396" s="701"/>
      <c r="F396" s="701"/>
      <c r="G396" s="701"/>
      <c r="H396" s="701"/>
      <c r="I396" s="701"/>
      <c r="J396" s="701"/>
    </row>
    <row r="397" spans="3:10" ht="15" customHeight="1">
      <c r="C397" s="701"/>
      <c r="D397" s="701"/>
      <c r="E397" s="2398" t="s">
        <v>39</v>
      </c>
      <c r="F397" s="2361"/>
      <c r="G397" s="2361"/>
      <c r="H397" s="1768" t="s">
        <v>1463</v>
      </c>
      <c r="I397" s="701"/>
      <c r="J397" s="701"/>
    </row>
    <row r="398" spans="3:10" ht="15" customHeight="1">
      <c r="C398" s="701"/>
      <c r="D398" s="701"/>
      <c r="E398" s="701"/>
      <c r="F398" s="701"/>
      <c r="G398" s="701"/>
      <c r="H398" s="701"/>
      <c r="I398" s="701"/>
      <c r="J398" s="701"/>
    </row>
    <row r="399" spans="3:10" ht="15" customHeight="1">
      <c r="C399" s="701"/>
      <c r="D399" s="701"/>
      <c r="E399" s="894" t="s">
        <v>1114</v>
      </c>
      <c r="F399" s="2364"/>
      <c r="G399" s="2364"/>
      <c r="H399" s="2364"/>
      <c r="I399" s="701"/>
      <c r="J399" s="701"/>
    </row>
    <row r="400" spans="3:10" ht="15" customHeight="1">
      <c r="C400" s="701"/>
      <c r="D400" s="701"/>
      <c r="E400" s="701"/>
      <c r="F400" s="701"/>
      <c r="G400" s="701"/>
      <c r="H400" s="701"/>
      <c r="I400" s="701"/>
      <c r="J400" s="701"/>
    </row>
    <row r="401" spans="3:10" ht="15" customHeight="1">
      <c r="C401" s="701"/>
      <c r="D401" s="701"/>
      <c r="E401" s="2245" t="s">
        <v>1468</v>
      </c>
      <c r="F401" s="701"/>
      <c r="G401" s="2399" t="s">
        <v>1470</v>
      </c>
      <c r="H401" s="2399" t="s">
        <v>1558</v>
      </c>
      <c r="I401" s="701"/>
      <c r="J401" s="701"/>
    </row>
    <row r="402" spans="3:10" ht="15" customHeight="1">
      <c r="C402" s="701"/>
      <c r="D402" s="701"/>
      <c r="E402" s="1654" t="s">
        <v>1469</v>
      </c>
      <c r="F402" s="1654"/>
      <c r="G402" s="2391" t="s">
        <v>871</v>
      </c>
      <c r="H402" s="2391" t="s">
        <v>698</v>
      </c>
      <c r="I402" s="701"/>
      <c r="J402" s="701"/>
    </row>
    <row r="403" spans="3:10" ht="15" customHeight="1">
      <c r="C403" s="701"/>
      <c r="D403" s="701"/>
      <c r="E403" s="2427">
        <v>707</v>
      </c>
      <c r="F403" s="701"/>
      <c r="G403" s="2409">
        <v>5890</v>
      </c>
      <c r="H403" s="701"/>
      <c r="I403" s="701"/>
      <c r="J403" s="701"/>
    </row>
    <row r="404" spans="3:10" ht="15" customHeight="1">
      <c r="C404" s="701"/>
      <c r="D404" s="701"/>
      <c r="E404" s="2427" t="s">
        <v>1559</v>
      </c>
      <c r="F404" s="701"/>
      <c r="G404" s="2409">
        <v>3970</v>
      </c>
      <c r="H404" s="701"/>
      <c r="I404" s="701"/>
      <c r="J404" s="701"/>
    </row>
    <row r="405" spans="3:10" ht="15" customHeight="1">
      <c r="C405" s="701"/>
      <c r="D405" s="701"/>
      <c r="E405" s="2427" t="s">
        <v>1560</v>
      </c>
      <c r="F405" s="701"/>
      <c r="G405" s="2409">
        <v>4610</v>
      </c>
      <c r="H405" s="701"/>
      <c r="I405" s="701"/>
      <c r="J405" s="701"/>
    </row>
    <row r="406" spans="3:10" ht="15" customHeight="1">
      <c r="C406" s="701"/>
      <c r="D406" s="701"/>
      <c r="E406" s="2427" t="s">
        <v>1561</v>
      </c>
      <c r="F406" s="701"/>
      <c r="G406" s="2409">
        <v>2740</v>
      </c>
      <c r="H406" s="701"/>
      <c r="I406" s="701"/>
      <c r="J406" s="701"/>
    </row>
    <row r="407" spans="3:10" ht="15" customHeight="1">
      <c r="C407" s="701"/>
      <c r="D407" s="701"/>
      <c r="E407" s="2427" t="s">
        <v>1562</v>
      </c>
      <c r="F407" s="701"/>
      <c r="G407" s="2409">
        <v>2480</v>
      </c>
      <c r="H407" s="701"/>
      <c r="I407" s="701"/>
      <c r="J407" s="701"/>
    </row>
    <row r="408" spans="3:10" ht="15" customHeight="1">
      <c r="C408" s="701"/>
      <c r="D408" s="701"/>
      <c r="E408" s="2427" t="s">
        <v>1563</v>
      </c>
      <c r="F408" s="701"/>
      <c r="G408" s="2409">
        <v>2280</v>
      </c>
      <c r="H408" s="701"/>
      <c r="I408" s="701"/>
      <c r="J408" s="701"/>
    </row>
    <row r="409" spans="3:10" ht="15" customHeight="1">
      <c r="C409" s="701"/>
      <c r="D409" s="701"/>
      <c r="E409" s="2427" t="s">
        <v>1564</v>
      </c>
      <c r="F409" s="701"/>
      <c r="G409" s="2409">
        <v>2460</v>
      </c>
      <c r="H409" s="701"/>
      <c r="I409" s="701"/>
      <c r="J409" s="701"/>
    </row>
    <row r="410" spans="3:10" ht="15" customHeight="1">
      <c r="C410" s="701"/>
      <c r="D410" s="701"/>
      <c r="E410" s="2427" t="s">
        <v>1565</v>
      </c>
      <c r="F410" s="701"/>
      <c r="G410" s="2409">
        <v>2780</v>
      </c>
      <c r="H410" s="701"/>
      <c r="I410" s="701"/>
      <c r="J410" s="701"/>
    </row>
    <row r="411" spans="3:10" ht="15" customHeight="1">
      <c r="C411" s="701"/>
      <c r="D411" s="701"/>
      <c r="E411" s="2427" t="s">
        <v>1566</v>
      </c>
      <c r="F411" s="701"/>
      <c r="G411" s="2409">
        <v>10140</v>
      </c>
      <c r="H411" s="701"/>
      <c r="I411" s="701"/>
      <c r="J411" s="701"/>
    </row>
    <row r="412" spans="3:10" ht="15" customHeight="1">
      <c r="C412" s="701"/>
      <c r="D412" s="701"/>
      <c r="E412" s="2427" t="s">
        <v>1567</v>
      </c>
      <c r="F412" s="701"/>
      <c r="G412" s="2409">
        <v>11370</v>
      </c>
      <c r="H412" s="701"/>
      <c r="I412" s="701"/>
      <c r="J412" s="701"/>
    </row>
    <row r="413" spans="3:10" ht="15" customHeight="1">
      <c r="C413" s="701"/>
      <c r="D413" s="701"/>
      <c r="E413" s="2427" t="s">
        <v>1568</v>
      </c>
      <c r="F413" s="701"/>
      <c r="G413" s="2409">
        <v>11080</v>
      </c>
      <c r="H413" s="701"/>
      <c r="I413" s="701"/>
      <c r="J413" s="701"/>
    </row>
    <row r="414" spans="3:10" ht="15" customHeight="1">
      <c r="C414" s="701"/>
      <c r="D414" s="701"/>
      <c r="E414" s="2427" t="s">
        <v>1569</v>
      </c>
      <c r="F414" s="701"/>
      <c r="G414" s="2409">
        <v>10240</v>
      </c>
      <c r="H414" s="701"/>
      <c r="I414" s="701"/>
      <c r="J414" s="701"/>
    </row>
    <row r="415" spans="3:10" ht="15" customHeight="1">
      <c r="C415" s="701"/>
      <c r="D415" s="701"/>
      <c r="E415" s="2427" t="s">
        <v>1570</v>
      </c>
      <c r="F415" s="701"/>
      <c r="G415" s="2409">
        <v>4320</v>
      </c>
      <c r="H415" s="701"/>
      <c r="I415" s="701"/>
      <c r="J415" s="701"/>
    </row>
    <row r="416" spans="3:10" ht="15" customHeight="1">
      <c r="C416" s="701"/>
      <c r="D416" s="701"/>
      <c r="E416" s="2427" t="s">
        <v>1571</v>
      </c>
      <c r="F416" s="701"/>
      <c r="G416" s="2409">
        <v>4630</v>
      </c>
      <c r="H416" s="701"/>
      <c r="I416" s="701"/>
      <c r="J416" s="701"/>
    </row>
    <row r="417" spans="3:10" ht="15" customHeight="1">
      <c r="C417" s="701"/>
      <c r="D417" s="701"/>
      <c r="E417" s="2427" t="s">
        <v>1572</v>
      </c>
      <c r="F417" s="701"/>
      <c r="G417" s="2409">
        <v>4620</v>
      </c>
      <c r="H417" s="701"/>
      <c r="I417" s="701"/>
      <c r="J417" s="701"/>
    </row>
    <row r="418" spans="3:10" ht="15" customHeight="1">
      <c r="C418" s="701"/>
      <c r="D418" s="701"/>
      <c r="E418" s="2427" t="s">
        <v>1573</v>
      </c>
      <c r="F418" s="701"/>
      <c r="G418" s="2409">
        <v>5610</v>
      </c>
      <c r="H418" s="701"/>
      <c r="I418" s="701"/>
      <c r="J418" s="701"/>
    </row>
    <row r="419" spans="3:10" ht="15" customHeight="1">
      <c r="C419" s="701"/>
      <c r="D419" s="701"/>
      <c r="E419" s="2427" t="s">
        <v>1574</v>
      </c>
      <c r="F419" s="701"/>
      <c r="G419" s="2409">
        <v>5520</v>
      </c>
      <c r="H419" s="701"/>
      <c r="I419" s="701"/>
      <c r="J419" s="701"/>
    </row>
    <row r="420" spans="3:10" ht="15" customHeight="1">
      <c r="C420" s="701"/>
      <c r="D420" s="701"/>
      <c r="E420" s="2427" t="s">
        <v>1575</v>
      </c>
      <c r="F420" s="701"/>
      <c r="G420" s="2409">
        <v>8100</v>
      </c>
      <c r="H420" s="701"/>
      <c r="I420" s="701"/>
      <c r="J420" s="701"/>
    </row>
    <row r="421" spans="3:10" ht="15" customHeight="1">
      <c r="C421" s="701"/>
      <c r="D421" s="701"/>
      <c r="E421" s="2427" t="s">
        <v>1576</v>
      </c>
      <c r="F421" s="701"/>
      <c r="G421" s="2409">
        <v>5450</v>
      </c>
      <c r="H421" s="701"/>
      <c r="I421" s="701"/>
      <c r="J421" s="701"/>
    </row>
    <row r="422" spans="3:10" ht="15" customHeight="1">
      <c r="C422" s="701"/>
      <c r="D422" s="701"/>
      <c r="E422" s="2427" t="s">
        <v>1577</v>
      </c>
      <c r="F422" s="701"/>
      <c r="G422" s="2409">
        <v>4760</v>
      </c>
      <c r="H422" s="701"/>
      <c r="I422" s="701"/>
      <c r="J422" s="701"/>
    </row>
    <row r="423" spans="3:10" ht="15" customHeight="1">
      <c r="C423" s="701"/>
      <c r="D423" s="701"/>
      <c r="E423" s="2427" t="s">
        <v>1578</v>
      </c>
      <c r="F423" s="701"/>
      <c r="G423" s="2409">
        <v>2310</v>
      </c>
      <c r="H423" s="701"/>
      <c r="I423" s="701"/>
      <c r="J423" s="701"/>
    </row>
    <row r="424" spans="3:10" ht="15" customHeight="1">
      <c r="C424" s="701"/>
      <c r="D424" s="701"/>
      <c r="E424" s="2427" t="s">
        <v>1579</v>
      </c>
      <c r="F424" s="701"/>
      <c r="G424" s="2409">
        <v>2440</v>
      </c>
      <c r="H424" s="701"/>
      <c r="I424" s="701"/>
      <c r="J424" s="701"/>
    </row>
    <row r="425" spans="3:10" ht="15" customHeight="1">
      <c r="C425" s="701"/>
      <c r="D425" s="701"/>
      <c r="E425" s="2427" t="s">
        <v>1580</v>
      </c>
      <c r="F425" s="701"/>
      <c r="G425" s="2409">
        <v>3020</v>
      </c>
      <c r="H425" s="701"/>
      <c r="I425" s="701"/>
      <c r="J425" s="701"/>
    </row>
    <row r="426" spans="3:10" ht="15" customHeight="1">
      <c r="C426" s="701"/>
      <c r="D426" s="701"/>
      <c r="E426" s="2427" t="s">
        <v>1581</v>
      </c>
      <c r="F426" s="701"/>
      <c r="G426" s="2409">
        <v>7050</v>
      </c>
      <c r="H426" s="701"/>
      <c r="I426" s="701"/>
      <c r="J426" s="701"/>
    </row>
    <row r="427" spans="3:10" ht="15" customHeight="1">
      <c r="C427" s="701"/>
      <c r="D427" s="701"/>
      <c r="E427" s="2427" t="s">
        <v>1582</v>
      </c>
      <c r="F427" s="701"/>
      <c r="G427" s="2409">
        <v>5890</v>
      </c>
      <c r="H427" s="701"/>
      <c r="I427" s="701"/>
      <c r="J427" s="701"/>
    </row>
    <row r="428" spans="3:10" ht="15" customHeight="1">
      <c r="C428" s="701"/>
      <c r="D428" s="701"/>
      <c r="E428" s="2427" t="s">
        <v>1583</v>
      </c>
      <c r="F428" s="701"/>
      <c r="G428" s="2409">
        <v>6380</v>
      </c>
      <c r="H428" s="701"/>
      <c r="I428" s="701"/>
      <c r="J428" s="701"/>
    </row>
    <row r="429" spans="3:10" ht="15" customHeight="1">
      <c r="C429" s="701"/>
      <c r="D429" s="701"/>
      <c r="E429" s="2427" t="s">
        <v>1584</v>
      </c>
      <c r="F429" s="701"/>
      <c r="G429" s="2409">
        <v>10660</v>
      </c>
      <c r="H429" s="701"/>
      <c r="I429" s="701"/>
      <c r="J429" s="701"/>
    </row>
    <row r="430" spans="3:10" ht="15" customHeight="1">
      <c r="C430" s="701"/>
      <c r="D430" s="701"/>
      <c r="E430" s="2427" t="s">
        <v>1585</v>
      </c>
      <c r="F430" s="701"/>
      <c r="G430" s="2409">
        <v>620</v>
      </c>
      <c r="H430" s="701"/>
      <c r="I430" s="701"/>
      <c r="J430" s="701"/>
    </row>
    <row r="431" spans="3:10" ht="15" customHeight="1">
      <c r="C431" s="701"/>
      <c r="D431" s="701"/>
      <c r="E431" s="2427" t="s">
        <v>1586</v>
      </c>
      <c r="F431" s="701"/>
      <c r="G431" s="2409">
        <v>230</v>
      </c>
      <c r="H431" s="701"/>
      <c r="I431" s="701"/>
      <c r="J431" s="701"/>
    </row>
    <row r="432" spans="3:10" ht="15" customHeight="1">
      <c r="C432" s="701"/>
      <c r="D432" s="701"/>
      <c r="E432" s="2427" t="s">
        <v>1587</v>
      </c>
      <c r="F432" s="701"/>
      <c r="G432" s="2409">
        <v>1070</v>
      </c>
      <c r="H432" s="701"/>
      <c r="I432" s="701"/>
      <c r="J432" s="701"/>
    </row>
    <row r="433" spans="3:10" ht="15" customHeight="1">
      <c r="C433" s="701"/>
      <c r="D433" s="701"/>
      <c r="E433" s="2427" t="s">
        <v>1588</v>
      </c>
      <c r="F433" s="701"/>
      <c r="G433" s="2409">
        <v>1060</v>
      </c>
      <c r="H433" s="701"/>
      <c r="I433" s="701"/>
      <c r="J433" s="701"/>
    </row>
    <row r="434" spans="3:10" ht="15" customHeight="1">
      <c r="C434" s="701"/>
      <c r="D434" s="701"/>
      <c r="E434" s="2427" t="s">
        <v>1589</v>
      </c>
      <c r="F434" s="701"/>
      <c r="G434" s="2409">
        <v>7290</v>
      </c>
      <c r="H434" s="701"/>
      <c r="I434" s="701"/>
      <c r="J434" s="701"/>
    </row>
    <row r="435" spans="3:10" ht="15" customHeight="1">
      <c r="C435" s="701"/>
      <c r="D435" s="701"/>
      <c r="E435" s="2427" t="s">
        <v>1590</v>
      </c>
      <c r="F435" s="701"/>
      <c r="G435" s="2409">
        <v>5360</v>
      </c>
      <c r="H435" s="701"/>
      <c r="I435" s="701"/>
      <c r="J435" s="701"/>
    </row>
    <row r="436" spans="3:10" ht="15" customHeight="1">
      <c r="C436" s="701"/>
      <c r="D436" s="701"/>
      <c r="E436" s="2427" t="s">
        <v>1591</v>
      </c>
      <c r="F436" s="701"/>
      <c r="G436" s="2409">
        <v>2650</v>
      </c>
      <c r="H436" s="701"/>
      <c r="I436" s="701"/>
      <c r="J436" s="701"/>
    </row>
    <row r="437" spans="3:10" ht="15" customHeight="1">
      <c r="C437" s="701"/>
      <c r="D437" s="701"/>
      <c r="E437" s="2427" t="s">
        <v>1592</v>
      </c>
      <c r="F437" s="701"/>
      <c r="G437" s="2409">
        <v>640</v>
      </c>
      <c r="H437" s="701"/>
      <c r="I437" s="701"/>
      <c r="J437" s="701"/>
    </row>
    <row r="438" spans="3:10" ht="15" customHeight="1">
      <c r="C438" s="701"/>
      <c r="D438" s="701"/>
      <c r="E438" s="2427" t="s">
        <v>1593</v>
      </c>
      <c r="F438" s="701"/>
      <c r="G438" s="2409">
        <v>870</v>
      </c>
      <c r="H438" s="701"/>
      <c r="I438" s="701"/>
      <c r="J438" s="701"/>
    </row>
    <row r="439" spans="3:10" ht="15" customHeight="1">
      <c r="C439" s="701"/>
      <c r="D439" s="701"/>
      <c r="E439" s="2427" t="s">
        <v>1594</v>
      </c>
      <c r="F439" s="701"/>
      <c r="G439" s="2409">
        <v>990</v>
      </c>
      <c r="H439" s="701"/>
      <c r="I439" s="701"/>
      <c r="J439" s="701"/>
    </row>
    <row r="440" spans="3:10" ht="15" customHeight="1">
      <c r="C440" s="701"/>
      <c r="D440" s="701"/>
      <c r="E440" s="2427" t="s">
        <v>1595</v>
      </c>
      <c r="F440" s="701"/>
      <c r="G440" s="2409">
        <v>2390</v>
      </c>
      <c r="H440" s="701"/>
      <c r="I440" s="701"/>
      <c r="J440" s="701"/>
    </row>
    <row r="441" spans="3:10" ht="15" customHeight="1">
      <c r="C441" s="701"/>
      <c r="D441" s="701"/>
      <c r="E441" s="2427" t="s">
        <v>1596</v>
      </c>
      <c r="F441" s="701"/>
      <c r="G441" s="2409">
        <v>56337.811999999998</v>
      </c>
      <c r="H441" s="701" t="s">
        <v>1494</v>
      </c>
      <c r="I441" s="701"/>
      <c r="J441" s="701"/>
    </row>
    <row r="442" spans="3:10" ht="15" customHeight="1">
      <c r="C442" s="701"/>
      <c r="D442" s="701"/>
      <c r="E442" s="2427" t="s">
        <v>1597</v>
      </c>
      <c r="F442" s="701"/>
      <c r="G442" s="2409">
        <v>1890</v>
      </c>
      <c r="H442" s="701"/>
      <c r="I442" s="701"/>
      <c r="J442" s="701"/>
    </row>
    <row r="443" spans="3:10" ht="15" customHeight="1">
      <c r="C443" s="701"/>
      <c r="D443" s="701"/>
      <c r="E443" s="2427" t="s">
        <v>1598</v>
      </c>
      <c r="F443" s="701"/>
      <c r="G443" s="2409">
        <v>88461.130999999994</v>
      </c>
      <c r="H443" s="701" t="s">
        <v>1494</v>
      </c>
      <c r="I443" s="701"/>
      <c r="J443" s="701"/>
    </row>
    <row r="444" spans="3:10" ht="15" customHeight="1">
      <c r="C444" s="701"/>
      <c r="D444" s="701"/>
      <c r="E444" s="2427" t="s">
        <v>1599</v>
      </c>
      <c r="F444" s="701"/>
      <c r="G444" s="2409">
        <v>7290</v>
      </c>
      <c r="H444" s="701"/>
      <c r="I444" s="701"/>
      <c r="J444" s="701"/>
    </row>
    <row r="445" spans="3:10" ht="15" customHeight="1">
      <c r="C445" s="701"/>
      <c r="D445" s="701"/>
      <c r="E445" s="2427" t="s">
        <v>1600</v>
      </c>
      <c r="F445" s="701"/>
      <c r="G445" s="2409">
        <v>3180</v>
      </c>
      <c r="H445" s="701"/>
      <c r="I445" s="701"/>
      <c r="J445" s="701"/>
    </row>
    <row r="446" spans="3:10" ht="15" customHeight="1">
      <c r="C446" s="701"/>
      <c r="D446" s="701"/>
      <c r="E446" s="2427" t="s">
        <v>1601</v>
      </c>
      <c r="F446" s="701"/>
      <c r="G446" s="2409">
        <v>73939.638999999996</v>
      </c>
      <c r="H446" s="701" t="s">
        <v>1494</v>
      </c>
      <c r="I446" s="701"/>
      <c r="J446" s="701"/>
    </row>
    <row r="447" spans="3:10" ht="15" customHeight="1">
      <c r="C447" s="701"/>
      <c r="D447" s="701"/>
      <c r="E447" s="2427" t="s">
        <v>1602</v>
      </c>
      <c r="F447" s="701"/>
      <c r="G447" s="2409">
        <v>1910</v>
      </c>
      <c r="H447" s="701"/>
      <c r="I447" s="701"/>
      <c r="J447" s="701"/>
    </row>
    <row r="448" spans="3:10" ht="15" customHeight="1">
      <c r="C448" s="701"/>
      <c r="D448" s="701"/>
      <c r="E448" s="2427" t="s">
        <v>1603</v>
      </c>
      <c r="F448" s="701"/>
      <c r="G448" s="2409">
        <v>2930</v>
      </c>
      <c r="H448" s="701"/>
      <c r="I448" s="701"/>
      <c r="J448" s="701"/>
    </row>
    <row r="449" spans="3:10" ht="15" customHeight="1">
      <c r="C449" s="701"/>
      <c r="D449" s="701"/>
      <c r="E449" s="2428" t="s">
        <v>1604</v>
      </c>
      <c r="F449" s="706"/>
      <c r="G449" s="2410">
        <v>5960</v>
      </c>
      <c r="H449" s="706"/>
      <c r="I449" s="701"/>
      <c r="J449" s="701"/>
    </row>
    <row r="450" spans="3:10" ht="15" customHeight="1">
      <c r="C450" s="701"/>
      <c r="D450" s="701"/>
      <c r="E450" s="701"/>
      <c r="F450" s="701"/>
      <c r="G450" s="701"/>
      <c r="H450" s="701"/>
      <c r="I450" s="701"/>
      <c r="J450" s="701"/>
    </row>
    <row r="451" spans="3:10" ht="15" customHeight="1">
      <c r="C451" s="701"/>
      <c r="D451" s="701"/>
      <c r="E451" s="1679" t="s">
        <v>1488</v>
      </c>
      <c r="F451" s="701"/>
      <c r="G451" s="2399" t="s">
        <v>1470</v>
      </c>
      <c r="H451" s="2399" t="s">
        <v>1605</v>
      </c>
      <c r="I451" s="701"/>
      <c r="J451" s="701"/>
    </row>
    <row r="452" spans="3:10" ht="15" customHeight="1">
      <c r="C452" s="701"/>
      <c r="D452" s="701"/>
      <c r="E452" s="1654" t="s">
        <v>1469</v>
      </c>
      <c r="F452" s="1654"/>
      <c r="G452" s="2391" t="s">
        <v>871</v>
      </c>
      <c r="H452" s="2391" t="s">
        <v>698</v>
      </c>
      <c r="I452" s="701"/>
      <c r="J452" s="701"/>
    </row>
    <row r="453" spans="3:10" ht="15" customHeight="1">
      <c r="C453" s="701"/>
      <c r="D453" s="701"/>
      <c r="E453" s="2427">
        <v>707</v>
      </c>
      <c r="F453" s="701"/>
      <c r="G453" s="1827">
        <v>9.75</v>
      </c>
      <c r="H453" s="701"/>
      <c r="I453" s="701"/>
      <c r="J453" s="701"/>
    </row>
    <row r="454" spans="3:10" ht="15" customHeight="1">
      <c r="C454" s="701"/>
      <c r="D454" s="701"/>
      <c r="E454" s="2427" t="s">
        <v>1559</v>
      </c>
      <c r="F454" s="701"/>
      <c r="G454" s="1827">
        <v>0.69</v>
      </c>
      <c r="H454" s="701"/>
      <c r="I454" s="701"/>
      <c r="J454" s="701"/>
    </row>
    <row r="455" spans="3:10" ht="15" customHeight="1">
      <c r="C455" s="701"/>
      <c r="D455" s="701"/>
      <c r="E455" s="2427" t="s">
        <v>1560</v>
      </c>
      <c r="F455" s="701"/>
      <c r="G455" s="1827">
        <v>0.81</v>
      </c>
      <c r="H455" s="701"/>
      <c r="I455" s="701"/>
      <c r="J455" s="701"/>
    </row>
    <row r="456" spans="3:10" ht="15" customHeight="1">
      <c r="C456" s="701"/>
      <c r="D456" s="701"/>
      <c r="E456" s="701" t="s">
        <v>1561</v>
      </c>
      <c r="F456" s="701"/>
      <c r="G456" s="1827">
        <v>0.45</v>
      </c>
      <c r="H456" s="701"/>
      <c r="I456" s="701"/>
      <c r="J456" s="701"/>
    </row>
    <row r="457" spans="3:10" ht="15" customHeight="1">
      <c r="C457" s="701"/>
      <c r="D457" s="701"/>
      <c r="E457" s="701" t="s">
        <v>1562</v>
      </c>
      <c r="F457" s="701"/>
      <c r="G457" s="1827">
        <v>0.08</v>
      </c>
      <c r="H457" s="701"/>
      <c r="I457" s="701"/>
      <c r="J457" s="701"/>
    </row>
    <row r="458" spans="3:10" ht="15" customHeight="1">
      <c r="C458" s="701"/>
      <c r="D458" s="701"/>
      <c r="E458" s="701" t="s">
        <v>1563</v>
      </c>
      <c r="F458" s="701"/>
      <c r="G458" s="1827">
        <v>0.1</v>
      </c>
      <c r="H458" s="701"/>
      <c r="I458" s="701"/>
      <c r="J458" s="701"/>
    </row>
    <row r="459" spans="3:10" ht="15" customHeight="1">
      <c r="C459" s="701"/>
      <c r="D459" s="701"/>
      <c r="E459" s="701" t="s">
        <v>1564</v>
      </c>
      <c r="F459" s="701"/>
      <c r="G459" s="1827">
        <v>0.09</v>
      </c>
      <c r="H459" s="701"/>
      <c r="I459" s="701"/>
      <c r="J459" s="701"/>
    </row>
    <row r="460" spans="3:10" ht="15" customHeight="1">
      <c r="C460" s="701"/>
      <c r="D460" s="701"/>
      <c r="E460" s="701" t="s">
        <v>1565</v>
      </c>
      <c r="F460" s="701"/>
      <c r="G460" s="1827">
        <v>7.0000000000000007E-2</v>
      </c>
      <c r="H460" s="701"/>
      <c r="I460" s="701"/>
      <c r="J460" s="701"/>
    </row>
    <row r="461" spans="3:10" ht="15" customHeight="1">
      <c r="C461" s="701"/>
      <c r="D461" s="701"/>
      <c r="E461" s="701" t="s">
        <v>1566</v>
      </c>
      <c r="F461" s="701"/>
      <c r="G461" s="1827">
        <v>4.84</v>
      </c>
      <c r="H461" s="701"/>
      <c r="I461" s="701"/>
      <c r="J461" s="701"/>
    </row>
    <row r="462" spans="3:10" ht="15" customHeight="1">
      <c r="C462" s="701"/>
      <c r="D462" s="701"/>
      <c r="E462" s="701" t="s">
        <v>1567</v>
      </c>
      <c r="F462" s="701"/>
      <c r="G462" s="1827">
        <v>1.82</v>
      </c>
      <c r="H462" s="701"/>
      <c r="I462" s="701"/>
      <c r="J462" s="701"/>
    </row>
    <row r="463" spans="3:10" ht="15" customHeight="1">
      <c r="C463" s="701"/>
      <c r="D463" s="701"/>
      <c r="E463" s="701" t="s">
        <v>1568</v>
      </c>
      <c r="F463" s="701"/>
      <c r="G463" s="1827">
        <v>0.27</v>
      </c>
      <c r="H463" s="701"/>
      <c r="I463" s="701"/>
      <c r="J463" s="701"/>
    </row>
    <row r="464" spans="3:10" ht="15" customHeight="1">
      <c r="C464" s="701"/>
      <c r="D464" s="701"/>
      <c r="E464" s="701" t="s">
        <v>1569</v>
      </c>
      <c r="F464" s="701"/>
      <c r="G464" s="1827">
        <v>0.22</v>
      </c>
      <c r="H464" s="701"/>
      <c r="I464" s="701"/>
      <c r="J464" s="701"/>
    </row>
    <row r="465" spans="3:10" ht="15" customHeight="1">
      <c r="C465" s="701"/>
      <c r="D465" s="701"/>
      <c r="E465" s="701" t="s">
        <v>1570</v>
      </c>
      <c r="F465" s="701"/>
      <c r="G465" s="1827">
        <v>0.02</v>
      </c>
      <c r="H465" s="701"/>
      <c r="I465" s="701"/>
      <c r="J465" s="701"/>
    </row>
    <row r="466" spans="3:10" ht="15" customHeight="1">
      <c r="C466" s="701"/>
      <c r="D466" s="701"/>
      <c r="E466" s="701" t="s">
        <v>1571</v>
      </c>
      <c r="F466" s="701"/>
      <c r="G466" s="1827">
        <v>0.01</v>
      </c>
      <c r="H466" s="701"/>
      <c r="I466" s="701"/>
      <c r="J466" s="701"/>
    </row>
    <row r="467" spans="3:10" ht="15" customHeight="1">
      <c r="C467" s="701"/>
      <c r="D467" s="701"/>
      <c r="E467" s="701" t="s">
        <v>1572</v>
      </c>
      <c r="F467" s="701"/>
      <c r="G467" s="1827">
        <v>0.33</v>
      </c>
      <c r="H467" s="701"/>
      <c r="I467" s="701"/>
      <c r="J467" s="701"/>
    </row>
    <row r="468" spans="3:10" ht="15" customHeight="1">
      <c r="C468" s="701"/>
      <c r="D468" s="701"/>
      <c r="E468" s="701" t="s">
        <v>1573</v>
      </c>
      <c r="F468" s="701"/>
      <c r="G468" s="1827">
        <v>0.12</v>
      </c>
      <c r="H468" s="701"/>
      <c r="I468" s="701"/>
      <c r="J468" s="701"/>
    </row>
    <row r="469" spans="3:10" ht="15" customHeight="1">
      <c r="C469" s="701"/>
      <c r="D469" s="701"/>
      <c r="E469" s="701" t="s">
        <v>1574</v>
      </c>
      <c r="F469" s="701"/>
      <c r="G469" s="1827">
        <v>0.1</v>
      </c>
      <c r="H469" s="701"/>
      <c r="I469" s="701"/>
      <c r="J469" s="701"/>
    </row>
    <row r="470" spans="3:10" ht="15" customHeight="1">
      <c r="C470" s="701"/>
      <c r="D470" s="701"/>
      <c r="E470" s="701" t="s">
        <v>1575</v>
      </c>
      <c r="F470" s="701"/>
      <c r="G470" s="1827">
        <v>7.0000000000000007E-2</v>
      </c>
      <c r="H470" s="701"/>
      <c r="I470" s="701"/>
      <c r="J470" s="701"/>
    </row>
    <row r="471" spans="3:10" ht="15" customHeight="1">
      <c r="C471" s="701"/>
      <c r="D471" s="701"/>
      <c r="E471" s="701" t="s">
        <v>1576</v>
      </c>
      <c r="F471" s="701"/>
      <c r="G471" s="1827">
        <v>0.12</v>
      </c>
      <c r="H471" s="701"/>
      <c r="I471" s="701"/>
      <c r="J471" s="701"/>
    </row>
    <row r="472" spans="3:10" ht="15" customHeight="1">
      <c r="C472" s="701"/>
      <c r="D472" s="701"/>
      <c r="E472" s="701" t="s">
        <v>1577</v>
      </c>
      <c r="F472" s="701"/>
      <c r="G472" s="1827">
        <v>0.63</v>
      </c>
      <c r="H472" s="701"/>
      <c r="I472" s="701"/>
      <c r="J472" s="701"/>
    </row>
    <row r="473" spans="3:10" ht="15" customHeight="1">
      <c r="C473" s="701"/>
      <c r="D473" s="701"/>
      <c r="E473" s="701" t="s">
        <v>1578</v>
      </c>
      <c r="F473" s="701"/>
      <c r="G473" s="1827">
        <v>0.06</v>
      </c>
      <c r="H473" s="701"/>
      <c r="I473" s="701"/>
      <c r="J473" s="701"/>
    </row>
    <row r="474" spans="3:10" ht="15" customHeight="1">
      <c r="C474" s="701"/>
      <c r="D474" s="701"/>
      <c r="E474" s="701" t="s">
        <v>1579</v>
      </c>
      <c r="F474" s="701"/>
      <c r="G474" s="1827">
        <v>0.06</v>
      </c>
      <c r="H474" s="701"/>
      <c r="I474" s="701"/>
      <c r="J474" s="701"/>
    </row>
    <row r="475" spans="3:10" ht="15" customHeight="1">
      <c r="C475" s="701"/>
      <c r="D475" s="701"/>
      <c r="E475" s="701" t="s">
        <v>1580</v>
      </c>
      <c r="F475" s="701"/>
      <c r="G475" s="1827">
        <v>0.14000000000000001</v>
      </c>
      <c r="H475" s="701"/>
      <c r="I475" s="701"/>
      <c r="J475" s="701"/>
    </row>
    <row r="476" spans="3:10" ht="15" customHeight="1">
      <c r="C476" s="701"/>
      <c r="D476" s="701"/>
      <c r="E476" s="701" t="s">
        <v>1581</v>
      </c>
      <c r="F476" s="701"/>
      <c r="G476" s="1827">
        <v>0.13</v>
      </c>
      <c r="H476" s="701"/>
      <c r="I476" s="701"/>
      <c r="J476" s="701"/>
    </row>
    <row r="477" spans="3:10" ht="15" customHeight="1">
      <c r="C477" s="701"/>
      <c r="D477" s="701"/>
      <c r="E477" s="701" t="s">
        <v>1582</v>
      </c>
      <c r="F477" s="701"/>
      <c r="G477" s="1827">
        <v>0.42</v>
      </c>
      <c r="H477" s="701"/>
      <c r="I477" s="701"/>
      <c r="J477" s="701"/>
    </row>
    <row r="478" spans="3:10" ht="15" customHeight="1">
      <c r="C478" s="701"/>
      <c r="D478" s="701"/>
      <c r="E478" s="701" t="s">
        <v>1583</v>
      </c>
      <c r="F478" s="701"/>
      <c r="G478" s="1827">
        <v>0.39</v>
      </c>
      <c r="H478" s="701"/>
      <c r="I478" s="701"/>
      <c r="J478" s="701"/>
    </row>
    <row r="479" spans="3:10" ht="15" customHeight="1">
      <c r="C479" s="701"/>
      <c r="D479" s="701"/>
      <c r="E479" s="701" t="s">
        <v>1584</v>
      </c>
      <c r="F479" s="701"/>
      <c r="G479" s="1827">
        <v>0.01</v>
      </c>
      <c r="H479" s="701"/>
      <c r="I479" s="701"/>
      <c r="J479" s="701"/>
    </row>
    <row r="480" spans="3:10" ht="15" customHeight="1">
      <c r="C480" s="701"/>
      <c r="D480" s="701"/>
      <c r="E480" s="701" t="s">
        <v>1585</v>
      </c>
      <c r="F480" s="701"/>
      <c r="G480" s="1827">
        <v>0.03</v>
      </c>
      <c r="H480" s="701"/>
      <c r="I480" s="701"/>
      <c r="J480" s="701"/>
    </row>
    <row r="481" spans="3:10" ht="15" customHeight="1">
      <c r="C481" s="701"/>
      <c r="D481" s="701"/>
      <c r="E481" s="701" t="s">
        <v>1586</v>
      </c>
      <c r="F481" s="701"/>
      <c r="G481" s="1827">
        <v>0.06</v>
      </c>
      <c r="H481" s="701"/>
      <c r="I481" s="701"/>
      <c r="J481" s="701"/>
    </row>
    <row r="482" spans="3:10" ht="15" customHeight="1">
      <c r="C482" s="701"/>
      <c r="D482" s="701"/>
      <c r="E482" s="701" t="s">
        <v>1587</v>
      </c>
      <c r="F482" s="701"/>
      <c r="G482" s="1827">
        <v>0.33</v>
      </c>
      <c r="H482" s="701"/>
      <c r="I482" s="701"/>
      <c r="J482" s="701"/>
    </row>
    <row r="483" spans="3:10" ht="15" customHeight="1">
      <c r="C483" s="701"/>
      <c r="D483" s="701"/>
      <c r="E483" s="701" t="s">
        <v>1588</v>
      </c>
      <c r="F483" s="701"/>
      <c r="G483" s="1827">
        <v>0.06</v>
      </c>
      <c r="H483" s="701"/>
      <c r="I483" s="701"/>
      <c r="J483" s="701"/>
    </row>
    <row r="484" spans="3:10" ht="15" customHeight="1">
      <c r="C484" s="701"/>
      <c r="D484" s="701"/>
      <c r="E484" s="701" t="s">
        <v>1589</v>
      </c>
      <c r="F484" s="701"/>
      <c r="G484" s="1827">
        <v>0.24</v>
      </c>
      <c r="H484" s="701"/>
      <c r="I484" s="701"/>
      <c r="J484" s="701"/>
    </row>
    <row r="485" spans="3:10" ht="15" customHeight="1">
      <c r="C485" s="701"/>
      <c r="D485" s="701"/>
      <c r="E485" s="701" t="s">
        <v>1590</v>
      </c>
      <c r="F485" s="701"/>
      <c r="G485" s="1827">
        <v>0.15</v>
      </c>
      <c r="H485" s="701"/>
      <c r="I485" s="701"/>
      <c r="J485" s="701"/>
    </row>
    <row r="486" spans="3:10" ht="15" customHeight="1">
      <c r="C486" s="701"/>
      <c r="D486" s="701"/>
      <c r="E486" s="701" t="s">
        <v>1591</v>
      </c>
      <c r="F486" s="701"/>
      <c r="G486" s="1827">
        <v>0.46</v>
      </c>
      <c r="H486" s="701"/>
      <c r="I486" s="701"/>
      <c r="J486" s="701"/>
    </row>
    <row r="487" spans="3:10" ht="15" customHeight="1">
      <c r="C487" s="701"/>
      <c r="D487" s="701"/>
      <c r="E487" s="701" t="s">
        <v>1592</v>
      </c>
      <c r="F487" s="701"/>
      <c r="G487" s="1827">
        <v>0</v>
      </c>
      <c r="H487" s="701"/>
      <c r="I487" s="701"/>
      <c r="J487" s="701"/>
    </row>
    <row r="488" spans="3:10" ht="15" customHeight="1">
      <c r="C488" s="701"/>
      <c r="D488" s="701"/>
      <c r="E488" s="701" t="s">
        <v>1593</v>
      </c>
      <c r="F488" s="701"/>
      <c r="G488" s="1827">
        <v>0.06</v>
      </c>
      <c r="H488" s="701"/>
      <c r="I488" s="701"/>
      <c r="J488" s="701"/>
    </row>
    <row r="489" spans="3:10" ht="15" customHeight="1">
      <c r="C489" s="701"/>
      <c r="D489" s="701"/>
      <c r="E489" s="701" t="s">
        <v>1594</v>
      </c>
      <c r="F489" s="701"/>
      <c r="G489" s="1827">
        <v>0.06</v>
      </c>
      <c r="H489" s="701"/>
      <c r="I489" s="701"/>
      <c r="J489" s="701"/>
    </row>
    <row r="490" spans="3:10" ht="15" customHeight="1">
      <c r="C490" s="701"/>
      <c r="D490" s="701"/>
      <c r="E490" s="701" t="s">
        <v>1595</v>
      </c>
      <c r="F490" s="701"/>
      <c r="G490" s="1827">
        <v>0.14000000000000001</v>
      </c>
      <c r="H490" s="701"/>
      <c r="I490" s="701"/>
      <c r="J490" s="701"/>
    </row>
    <row r="491" spans="3:10" ht="15" customHeight="1">
      <c r="C491" s="701"/>
      <c r="D491" s="701"/>
      <c r="E491" s="701" t="s">
        <v>1596</v>
      </c>
      <c r="F491" s="701"/>
      <c r="G491" s="1827">
        <v>0.5</v>
      </c>
      <c r="H491" s="701" t="s">
        <v>1500</v>
      </c>
      <c r="I491" s="701"/>
      <c r="J491" s="701"/>
    </row>
    <row r="492" spans="3:10" ht="15" customHeight="1">
      <c r="C492" s="701"/>
      <c r="D492" s="701"/>
      <c r="E492" s="701" t="s">
        <v>1597</v>
      </c>
      <c r="F492" s="701"/>
      <c r="G492" s="1827">
        <v>0.03</v>
      </c>
      <c r="H492" s="701"/>
      <c r="I492" s="701"/>
      <c r="J492" s="701"/>
    </row>
    <row r="493" spans="3:10" ht="15" customHeight="1">
      <c r="C493" s="701"/>
      <c r="D493" s="701"/>
      <c r="E493" s="701" t="s">
        <v>1598</v>
      </c>
      <c r="F493" s="701"/>
      <c r="G493" s="1827">
        <v>3</v>
      </c>
      <c r="H493" s="701" t="s">
        <v>1500</v>
      </c>
      <c r="I493" s="701"/>
      <c r="J493" s="701"/>
    </row>
    <row r="494" spans="3:10" ht="15" customHeight="1">
      <c r="C494" s="701"/>
      <c r="D494" s="701"/>
      <c r="E494" s="701" t="s">
        <v>1599</v>
      </c>
      <c r="F494" s="701"/>
      <c r="G494" s="1827">
        <v>0.24</v>
      </c>
      <c r="H494" s="701"/>
      <c r="I494" s="701"/>
      <c r="J494" s="701"/>
    </row>
    <row r="495" spans="3:10" ht="15" customHeight="1">
      <c r="C495" s="701"/>
      <c r="D495" s="701"/>
      <c r="E495" s="701" t="s">
        <v>1600</v>
      </c>
      <c r="F495" s="701"/>
      <c r="G495" s="1827">
        <v>0.19</v>
      </c>
      <c r="H495" s="701"/>
      <c r="I495" s="701"/>
      <c r="J495" s="701"/>
    </row>
    <row r="496" spans="3:10" ht="15" customHeight="1">
      <c r="C496" s="701"/>
      <c r="D496" s="701"/>
      <c r="E496" s="701" t="s">
        <v>1601</v>
      </c>
      <c r="F496" s="701"/>
      <c r="G496" s="1827">
        <v>0.5</v>
      </c>
      <c r="H496" s="701" t="s">
        <v>1500</v>
      </c>
      <c r="I496" s="701"/>
      <c r="J496" s="701"/>
    </row>
    <row r="497" spans="3:10" ht="15" customHeight="1">
      <c r="C497" s="701"/>
      <c r="D497" s="701"/>
      <c r="E497" s="701" t="s">
        <v>1602</v>
      </c>
      <c r="F497" s="701"/>
      <c r="G497" s="1827">
        <v>0.13</v>
      </c>
      <c r="H497" s="701"/>
      <c r="I497" s="701"/>
      <c r="J497" s="701"/>
    </row>
    <row r="498" spans="3:10" ht="15" customHeight="1">
      <c r="C498" s="701"/>
      <c r="D498" s="701"/>
      <c r="E498" s="701" t="s">
        <v>1603</v>
      </c>
      <c r="F498" s="701"/>
      <c r="G498" s="1827">
        <v>1.8</v>
      </c>
      <c r="H498" s="701"/>
      <c r="I498" s="701"/>
      <c r="J498" s="701"/>
    </row>
    <row r="499" spans="3:10" ht="15" customHeight="1">
      <c r="C499" s="701"/>
      <c r="D499" s="701"/>
      <c r="E499" s="706" t="s">
        <v>1604</v>
      </c>
      <c r="F499" s="706"/>
      <c r="G499" s="1692">
        <v>1.32</v>
      </c>
      <c r="H499" s="706"/>
      <c r="I499" s="701"/>
      <c r="J499" s="701"/>
    </row>
    <row r="500" spans="3:10" ht="15" customHeight="1">
      <c r="C500" s="701"/>
      <c r="D500" s="701"/>
      <c r="E500" s="701"/>
      <c r="F500" s="701"/>
      <c r="G500" s="701"/>
      <c r="H500" s="701"/>
      <c r="I500" s="701"/>
      <c r="J500" s="701"/>
    </row>
    <row r="501" spans="3:10" ht="15" customHeight="1">
      <c r="C501" s="701"/>
      <c r="D501" s="701"/>
      <c r="E501" s="2245" t="s">
        <v>1482</v>
      </c>
      <c r="F501" s="701"/>
      <c r="G501" s="2399" t="s">
        <v>1470</v>
      </c>
      <c r="H501" s="2399" t="s">
        <v>1606</v>
      </c>
      <c r="I501" s="701"/>
      <c r="J501" s="701"/>
    </row>
    <row r="502" spans="3:10" ht="15" customHeight="1">
      <c r="C502" s="701"/>
      <c r="D502" s="701"/>
      <c r="E502" s="1654" t="s">
        <v>1469</v>
      </c>
      <c r="F502" s="1654"/>
      <c r="G502" s="2391" t="s">
        <v>871</v>
      </c>
      <c r="H502" s="2391" t="s">
        <v>698</v>
      </c>
      <c r="I502" s="701"/>
      <c r="J502" s="701"/>
    </row>
    <row r="503" spans="3:10" ht="15" customHeight="1">
      <c r="C503" s="701"/>
      <c r="D503" s="701"/>
      <c r="E503" s="2427">
        <v>707</v>
      </c>
      <c r="F503" s="701"/>
      <c r="G503" s="1827">
        <v>0.2</v>
      </c>
      <c r="H503" s="701"/>
      <c r="I503" s="701"/>
      <c r="J503" s="701"/>
    </row>
    <row r="504" spans="3:10" ht="15" customHeight="1">
      <c r="C504" s="701"/>
      <c r="D504" s="701"/>
      <c r="E504" s="2427" t="s">
        <v>1559</v>
      </c>
      <c r="F504" s="701"/>
      <c r="G504" s="1827">
        <v>0.1</v>
      </c>
      <c r="H504" s="701"/>
      <c r="I504" s="701"/>
      <c r="J504" s="701"/>
    </row>
    <row r="505" spans="3:10" ht="15" customHeight="1">
      <c r="C505" s="701"/>
      <c r="D505" s="701"/>
      <c r="E505" s="2427" t="s">
        <v>1560</v>
      </c>
      <c r="F505" s="701"/>
      <c r="G505" s="1827">
        <v>0.1</v>
      </c>
      <c r="H505" s="701"/>
      <c r="I505" s="701"/>
      <c r="J505" s="701"/>
    </row>
    <row r="506" spans="3:10" ht="15" customHeight="1">
      <c r="C506" s="701"/>
      <c r="D506" s="701"/>
      <c r="E506" s="701" t="s">
        <v>1561</v>
      </c>
      <c r="F506" s="701"/>
      <c r="G506" s="1827">
        <v>0.1</v>
      </c>
      <c r="H506" s="701"/>
      <c r="I506" s="701"/>
      <c r="J506" s="701"/>
    </row>
    <row r="507" spans="3:10" ht="15" customHeight="1">
      <c r="C507" s="701"/>
      <c r="D507" s="701"/>
      <c r="E507" s="701" t="s">
        <v>1562</v>
      </c>
      <c r="F507" s="701"/>
      <c r="G507" s="1827">
        <v>0.1</v>
      </c>
      <c r="H507" s="701"/>
      <c r="I507" s="701"/>
      <c r="J507" s="701"/>
    </row>
    <row r="508" spans="3:10" ht="15" customHeight="1">
      <c r="C508" s="701"/>
      <c r="D508" s="701"/>
      <c r="E508" s="701" t="s">
        <v>1563</v>
      </c>
      <c r="F508" s="701"/>
      <c r="G508" s="1827">
        <v>0.1</v>
      </c>
      <c r="H508" s="701"/>
      <c r="I508" s="701"/>
      <c r="J508" s="701"/>
    </row>
    <row r="509" spans="3:10" ht="15" customHeight="1">
      <c r="C509" s="701"/>
      <c r="D509" s="701"/>
      <c r="E509" s="701" t="s">
        <v>1564</v>
      </c>
      <c r="F509" s="701"/>
      <c r="G509" s="1827">
        <v>0.1</v>
      </c>
      <c r="H509" s="701"/>
      <c r="I509" s="701"/>
      <c r="J509" s="701"/>
    </row>
    <row r="510" spans="3:10" ht="15" customHeight="1">
      <c r="C510" s="701"/>
      <c r="D510" s="701"/>
      <c r="E510" s="701" t="s">
        <v>1565</v>
      </c>
      <c r="F510" s="701"/>
      <c r="G510" s="1827">
        <v>0.1</v>
      </c>
      <c r="H510" s="701"/>
      <c r="I510" s="701"/>
      <c r="J510" s="701"/>
    </row>
    <row r="511" spans="3:10" ht="15" customHeight="1">
      <c r="C511" s="701"/>
      <c r="D511" s="701"/>
      <c r="E511" s="701" t="s">
        <v>1566</v>
      </c>
      <c r="F511" s="701"/>
      <c r="G511" s="1827">
        <v>0.3</v>
      </c>
      <c r="H511" s="701"/>
      <c r="I511" s="701"/>
      <c r="J511" s="701"/>
    </row>
    <row r="512" spans="3:10" ht="15" customHeight="1">
      <c r="C512" s="701"/>
      <c r="D512" s="701"/>
      <c r="E512" s="701" t="s">
        <v>1567</v>
      </c>
      <c r="F512" s="701"/>
      <c r="G512" s="1827">
        <v>0.4</v>
      </c>
      <c r="H512" s="701"/>
      <c r="I512" s="701"/>
      <c r="J512" s="701"/>
    </row>
    <row r="513" spans="3:10" ht="15" customHeight="1">
      <c r="C513" s="701"/>
      <c r="D513" s="701"/>
      <c r="E513" s="701" t="s">
        <v>1568</v>
      </c>
      <c r="F513" s="701"/>
      <c r="G513" s="1827">
        <v>0.4</v>
      </c>
      <c r="H513" s="701"/>
      <c r="I513" s="701"/>
      <c r="J513" s="701"/>
    </row>
    <row r="514" spans="3:10" ht="15" customHeight="1">
      <c r="C514" s="701"/>
      <c r="D514" s="701"/>
      <c r="E514" s="701" t="s">
        <v>1569</v>
      </c>
      <c r="F514" s="701"/>
      <c r="G514" s="1827">
        <v>0.3</v>
      </c>
      <c r="H514" s="701"/>
      <c r="I514" s="701"/>
      <c r="J514" s="701"/>
    </row>
    <row r="515" spans="3:10" ht="15" customHeight="1">
      <c r="C515" s="701"/>
      <c r="D515" s="701"/>
      <c r="E515" s="701" t="s">
        <v>1570</v>
      </c>
      <c r="F515" s="701"/>
      <c r="G515" s="1827">
        <v>0.1</v>
      </c>
      <c r="H515" s="701"/>
      <c r="I515" s="701"/>
      <c r="J515" s="701"/>
    </row>
    <row r="516" spans="3:10" ht="15" customHeight="1">
      <c r="C516" s="701"/>
      <c r="D516" s="701"/>
      <c r="E516" s="701" t="s">
        <v>1571</v>
      </c>
      <c r="F516" s="701"/>
      <c r="G516" s="1827">
        <v>0.1</v>
      </c>
      <c r="H516" s="701"/>
      <c r="I516" s="701"/>
      <c r="J516" s="701"/>
    </row>
    <row r="517" spans="3:10" ht="15" customHeight="1">
      <c r="C517" s="701"/>
      <c r="D517" s="701"/>
      <c r="E517" s="701" t="s">
        <v>1572</v>
      </c>
      <c r="F517" s="701"/>
      <c r="G517" s="1827">
        <v>0.1</v>
      </c>
      <c r="H517" s="701"/>
      <c r="I517" s="701"/>
      <c r="J517" s="701"/>
    </row>
    <row r="518" spans="3:10" ht="15" customHeight="1">
      <c r="C518" s="701"/>
      <c r="D518" s="701"/>
      <c r="E518" s="701" t="s">
        <v>1573</v>
      </c>
      <c r="F518" s="701"/>
      <c r="G518" s="1827">
        <v>0.2</v>
      </c>
      <c r="H518" s="701"/>
      <c r="I518" s="701"/>
      <c r="J518" s="701"/>
    </row>
    <row r="519" spans="3:10" ht="15" customHeight="1">
      <c r="C519" s="701"/>
      <c r="D519" s="701"/>
      <c r="E519" s="701" t="s">
        <v>1574</v>
      </c>
      <c r="F519" s="701"/>
      <c r="G519" s="1827">
        <v>0.2</v>
      </c>
      <c r="H519" s="701"/>
      <c r="I519" s="701"/>
      <c r="J519" s="701"/>
    </row>
    <row r="520" spans="3:10" ht="15" customHeight="1">
      <c r="C520" s="701"/>
      <c r="D520" s="701"/>
      <c r="E520" s="701" t="s">
        <v>1575</v>
      </c>
      <c r="F520" s="701"/>
      <c r="G520" s="1827">
        <v>0.3</v>
      </c>
      <c r="H520" s="701"/>
      <c r="I520" s="701"/>
      <c r="J520" s="701"/>
    </row>
    <row r="521" spans="3:10" ht="15" customHeight="1">
      <c r="C521" s="701"/>
      <c r="D521" s="701"/>
      <c r="E521" s="701" t="s">
        <v>1576</v>
      </c>
      <c r="F521" s="701"/>
      <c r="G521" s="1827">
        <v>0.2</v>
      </c>
      <c r="H521" s="701"/>
      <c r="I521" s="701"/>
      <c r="J521" s="701"/>
    </row>
    <row r="522" spans="3:10" ht="15" customHeight="1">
      <c r="C522" s="701"/>
      <c r="D522" s="701"/>
      <c r="E522" s="701" t="s">
        <v>1577</v>
      </c>
      <c r="F522" s="701"/>
      <c r="G522" s="1827">
        <v>0.2</v>
      </c>
      <c r="H522" s="701"/>
      <c r="I522" s="701"/>
      <c r="J522" s="701"/>
    </row>
    <row r="523" spans="3:10" ht="15" customHeight="1">
      <c r="C523" s="701"/>
      <c r="D523" s="701"/>
      <c r="E523" s="701" t="s">
        <v>1578</v>
      </c>
      <c r="F523" s="701"/>
      <c r="G523" s="1827">
        <v>0.1</v>
      </c>
      <c r="H523" s="701"/>
      <c r="I523" s="701"/>
      <c r="J523" s="701"/>
    </row>
    <row r="524" spans="3:10" ht="15" customHeight="1">
      <c r="C524" s="701"/>
      <c r="D524" s="701"/>
      <c r="E524" s="701" t="s">
        <v>1579</v>
      </c>
      <c r="F524" s="701"/>
      <c r="G524" s="1827">
        <v>0.1</v>
      </c>
      <c r="H524" s="701"/>
      <c r="I524" s="701"/>
      <c r="J524" s="701"/>
    </row>
    <row r="525" spans="3:10" ht="15" customHeight="1">
      <c r="C525" s="701"/>
      <c r="D525" s="701"/>
      <c r="E525" s="701" t="s">
        <v>1580</v>
      </c>
      <c r="F525" s="701"/>
      <c r="G525" s="1827">
        <v>0.1</v>
      </c>
      <c r="H525" s="701"/>
      <c r="I525" s="701"/>
      <c r="J525" s="701"/>
    </row>
    <row r="526" spans="3:10" ht="15" customHeight="1">
      <c r="C526" s="701"/>
      <c r="D526" s="701"/>
      <c r="E526" s="701" t="s">
        <v>1581</v>
      </c>
      <c r="F526" s="701"/>
      <c r="G526" s="1827">
        <v>0.2</v>
      </c>
      <c r="H526" s="701"/>
      <c r="I526" s="701"/>
      <c r="J526" s="701"/>
    </row>
    <row r="527" spans="3:10" ht="15" customHeight="1">
      <c r="C527" s="701"/>
      <c r="D527" s="701"/>
      <c r="E527" s="701" t="s">
        <v>1582</v>
      </c>
      <c r="F527" s="701"/>
      <c r="G527" s="1827">
        <v>0.2</v>
      </c>
      <c r="H527" s="701"/>
      <c r="I527" s="701"/>
      <c r="J527" s="701"/>
    </row>
    <row r="528" spans="3:10" ht="15" customHeight="1">
      <c r="C528" s="701"/>
      <c r="D528" s="701"/>
      <c r="E528" s="701" t="s">
        <v>1583</v>
      </c>
      <c r="F528" s="701"/>
      <c r="G528" s="1827">
        <v>0.2</v>
      </c>
      <c r="H528" s="701"/>
      <c r="I528" s="701"/>
      <c r="J528" s="701"/>
    </row>
    <row r="529" spans="3:10" ht="15" customHeight="1">
      <c r="C529" s="701"/>
      <c r="D529" s="701"/>
      <c r="E529" s="701" t="s">
        <v>1584</v>
      </c>
      <c r="F529" s="701"/>
      <c r="G529" s="1827">
        <v>0.3</v>
      </c>
      <c r="H529" s="701"/>
      <c r="I529" s="701"/>
      <c r="J529" s="701"/>
    </row>
    <row r="530" spans="3:10" ht="15" customHeight="1">
      <c r="C530" s="701"/>
      <c r="D530" s="701"/>
      <c r="E530" s="701" t="s">
        <v>1585</v>
      </c>
      <c r="F530" s="701"/>
      <c r="G530" s="1827">
        <v>0.02</v>
      </c>
      <c r="H530" s="701"/>
      <c r="I530" s="701"/>
      <c r="J530" s="701"/>
    </row>
    <row r="531" spans="3:10" ht="15" customHeight="1">
      <c r="C531" s="701"/>
      <c r="D531" s="701"/>
      <c r="E531" s="701" t="s">
        <v>1586</v>
      </c>
      <c r="F531" s="701"/>
      <c r="G531" s="1827">
        <v>0.01</v>
      </c>
      <c r="H531" s="701"/>
      <c r="I531" s="701"/>
      <c r="J531" s="701"/>
    </row>
    <row r="532" spans="3:10" ht="15" customHeight="1">
      <c r="C532" s="701"/>
      <c r="D532" s="701"/>
      <c r="E532" s="701" t="s">
        <v>1587</v>
      </c>
      <c r="F532" s="701"/>
      <c r="G532" s="1827">
        <v>0.03</v>
      </c>
      <c r="H532" s="701"/>
      <c r="I532" s="701"/>
      <c r="J532" s="701"/>
    </row>
    <row r="533" spans="3:10" ht="15" customHeight="1">
      <c r="C533" s="701"/>
      <c r="D533" s="701"/>
      <c r="E533" s="701" t="s">
        <v>1588</v>
      </c>
      <c r="F533" s="701"/>
      <c r="G533" s="1827">
        <v>0.03</v>
      </c>
      <c r="H533" s="701"/>
      <c r="I533" s="701"/>
      <c r="J533" s="701"/>
    </row>
    <row r="534" spans="3:10" ht="15" customHeight="1">
      <c r="C534" s="701"/>
      <c r="D534" s="701"/>
      <c r="E534" s="701" t="s">
        <v>1589</v>
      </c>
      <c r="F534" s="701"/>
      <c r="G534" s="1827">
        <v>0.2</v>
      </c>
      <c r="H534" s="701"/>
      <c r="I534" s="701"/>
      <c r="J534" s="701"/>
    </row>
    <row r="535" spans="3:10" ht="15" customHeight="1">
      <c r="C535" s="701"/>
      <c r="D535" s="701"/>
      <c r="E535" s="701" t="s">
        <v>1590</v>
      </c>
      <c r="F535" s="701"/>
      <c r="G535" s="1827">
        <v>0.2</v>
      </c>
      <c r="H535" s="701"/>
      <c r="I535" s="701"/>
      <c r="J535" s="701"/>
    </row>
    <row r="536" spans="3:10" ht="15" customHeight="1">
      <c r="C536" s="701"/>
      <c r="D536" s="701"/>
      <c r="E536" s="701" t="s">
        <v>1591</v>
      </c>
      <c r="F536" s="701"/>
      <c r="G536" s="1827">
        <v>0.1</v>
      </c>
      <c r="H536" s="701"/>
      <c r="I536" s="701"/>
      <c r="J536" s="701"/>
    </row>
    <row r="537" spans="3:10" ht="15" customHeight="1">
      <c r="C537" s="701"/>
      <c r="D537" s="701"/>
      <c r="E537" s="701" t="s">
        <v>1592</v>
      </c>
      <c r="F537" s="701"/>
      <c r="G537" s="1827">
        <v>0.02</v>
      </c>
      <c r="H537" s="701"/>
      <c r="I537" s="701"/>
      <c r="J537" s="701"/>
    </row>
    <row r="538" spans="3:10" ht="15" customHeight="1">
      <c r="C538" s="701"/>
      <c r="D538" s="701"/>
      <c r="E538" s="701" t="s">
        <v>1593</v>
      </c>
      <c r="F538" s="701"/>
      <c r="G538" s="1827">
        <v>0.03</v>
      </c>
      <c r="H538" s="701"/>
      <c r="I538" s="701"/>
      <c r="J538" s="701"/>
    </row>
    <row r="539" spans="3:10" ht="15" customHeight="1">
      <c r="C539" s="701"/>
      <c r="D539" s="701"/>
      <c r="E539" s="701" t="s">
        <v>1594</v>
      </c>
      <c r="F539" s="701"/>
      <c r="G539" s="1827">
        <v>0.03</v>
      </c>
      <c r="H539" s="701"/>
      <c r="I539" s="701"/>
      <c r="J539" s="701"/>
    </row>
    <row r="540" spans="3:10" ht="15" customHeight="1">
      <c r="C540" s="701"/>
      <c r="D540" s="701"/>
      <c r="E540" s="701" t="s">
        <v>1595</v>
      </c>
      <c r="F540" s="701"/>
      <c r="G540" s="1827">
        <v>0.1</v>
      </c>
      <c r="H540" s="701"/>
      <c r="I540" s="701"/>
      <c r="J540" s="701"/>
    </row>
    <row r="541" spans="3:10" ht="15" customHeight="1">
      <c r="C541" s="701"/>
      <c r="D541" s="701"/>
      <c r="E541" s="701" t="s">
        <v>1596</v>
      </c>
      <c r="F541" s="701"/>
      <c r="G541" s="1827">
        <v>2</v>
      </c>
      <c r="H541" s="701" t="s">
        <v>1501</v>
      </c>
      <c r="I541" s="701"/>
      <c r="J541" s="701"/>
    </row>
    <row r="542" spans="3:10" ht="15" customHeight="1">
      <c r="C542" s="701"/>
      <c r="D542" s="701"/>
      <c r="E542" s="701" t="s">
        <v>1597</v>
      </c>
      <c r="F542" s="701"/>
      <c r="G542" s="1827">
        <v>0.1</v>
      </c>
      <c r="H542" s="701"/>
      <c r="I542" s="701"/>
      <c r="J542" s="701"/>
    </row>
    <row r="543" spans="3:10" ht="15" customHeight="1">
      <c r="C543" s="701"/>
      <c r="D543" s="701"/>
      <c r="E543" s="701" t="s">
        <v>1598</v>
      </c>
      <c r="F543" s="701"/>
      <c r="G543" s="1827">
        <v>0.6</v>
      </c>
      <c r="H543" s="701" t="s">
        <v>1501</v>
      </c>
      <c r="I543" s="701"/>
      <c r="J543" s="701"/>
    </row>
    <row r="544" spans="3:10" ht="15" customHeight="1">
      <c r="C544" s="701"/>
      <c r="D544" s="701"/>
      <c r="E544" s="701" t="s">
        <v>1599</v>
      </c>
      <c r="F544" s="701"/>
      <c r="G544" s="1827">
        <v>0.2</v>
      </c>
      <c r="H544" s="701"/>
      <c r="I544" s="701"/>
      <c r="J544" s="701"/>
    </row>
    <row r="545" spans="3:10" ht="15" customHeight="1">
      <c r="C545" s="701"/>
      <c r="D545" s="701"/>
      <c r="E545" s="701" t="s">
        <v>1600</v>
      </c>
      <c r="F545" s="701"/>
      <c r="G545" s="1827">
        <v>0.1</v>
      </c>
      <c r="H545" s="701"/>
      <c r="I545" s="701"/>
      <c r="J545" s="701"/>
    </row>
    <row r="546" spans="3:10" ht="15" customHeight="1">
      <c r="C546" s="701"/>
      <c r="D546" s="701"/>
      <c r="E546" s="701" t="s">
        <v>1601</v>
      </c>
      <c r="F546" s="701"/>
      <c r="G546" s="1827">
        <v>2</v>
      </c>
      <c r="H546" s="701" t="s">
        <v>1501</v>
      </c>
      <c r="I546" s="701"/>
      <c r="J546" s="701"/>
    </row>
    <row r="547" spans="3:10" ht="15" customHeight="1">
      <c r="C547" s="701"/>
      <c r="D547" s="701"/>
      <c r="E547" s="701" t="s">
        <v>1602</v>
      </c>
      <c r="F547" s="701"/>
      <c r="G547" s="1827">
        <v>0.1</v>
      </c>
      <c r="H547" s="701"/>
      <c r="I547" s="701"/>
      <c r="J547" s="701"/>
    </row>
    <row r="548" spans="3:10" ht="15" customHeight="1">
      <c r="C548" s="701"/>
      <c r="D548" s="701"/>
      <c r="E548" s="701" t="s">
        <v>1603</v>
      </c>
      <c r="F548" s="701"/>
      <c r="G548" s="1827">
        <v>0.1</v>
      </c>
      <c r="H548" s="701"/>
      <c r="I548" s="701"/>
      <c r="J548" s="701"/>
    </row>
    <row r="549" spans="3:10" ht="15" customHeight="1">
      <c r="C549" s="701"/>
      <c r="D549" s="701"/>
      <c r="E549" s="706" t="s">
        <v>1604</v>
      </c>
      <c r="F549" s="706"/>
      <c r="G549" s="1692">
        <v>0.2</v>
      </c>
      <c r="H549" s="706"/>
      <c r="I549" s="701"/>
      <c r="J549" s="701"/>
    </row>
    <row r="550" spans="3:10" ht="15" customHeight="1">
      <c r="C550" s="701"/>
      <c r="D550" s="701"/>
      <c r="E550" s="701"/>
      <c r="F550" s="701"/>
      <c r="G550" s="701"/>
      <c r="H550" s="701"/>
      <c r="I550" s="701"/>
      <c r="J550" s="701"/>
    </row>
    <row r="551" spans="3:10" ht="15" customHeight="1">
      <c r="C551" s="701"/>
      <c r="D551" s="701"/>
      <c r="E551" s="894" t="s">
        <v>1116</v>
      </c>
      <c r="F551" s="2364"/>
      <c r="G551" s="2364"/>
      <c r="H551" s="2364"/>
      <c r="I551" s="701"/>
      <c r="J551" s="701"/>
    </row>
    <row r="552" spans="3:10" ht="15" customHeight="1">
      <c r="C552" s="701"/>
      <c r="D552" s="701"/>
      <c r="E552" s="701"/>
      <c r="F552" s="701"/>
      <c r="G552" s="701"/>
      <c r="H552" s="701"/>
      <c r="I552" s="701"/>
      <c r="J552" s="701"/>
    </row>
    <row r="553" spans="3:10" ht="15" customHeight="1">
      <c r="C553" s="701"/>
      <c r="D553" s="701"/>
      <c r="E553" s="1679" t="s">
        <v>1607</v>
      </c>
      <c r="F553" s="701"/>
      <c r="G553" s="2399" t="s">
        <v>1470</v>
      </c>
      <c r="H553" s="2399" t="s">
        <v>1520</v>
      </c>
      <c r="I553" s="701"/>
      <c r="J553" s="701"/>
    </row>
    <row r="554" spans="3:10" ht="15" customHeight="1">
      <c r="C554" s="701"/>
      <c r="D554" s="701"/>
      <c r="E554" s="1654" t="s">
        <v>1469</v>
      </c>
      <c r="F554" s="1654"/>
      <c r="G554" s="2391" t="s">
        <v>871</v>
      </c>
      <c r="H554" s="2391" t="s">
        <v>698</v>
      </c>
      <c r="I554" s="701"/>
      <c r="J554" s="701"/>
    </row>
    <row r="555" spans="3:10" ht="15" customHeight="1">
      <c r="C555" s="701"/>
      <c r="D555" s="701"/>
      <c r="E555" s="3179" t="s">
        <v>569</v>
      </c>
      <c r="F555" s="701"/>
      <c r="G555" s="1827">
        <v>88136</v>
      </c>
      <c r="H555" s="701"/>
      <c r="I555" s="701"/>
      <c r="J555" s="701"/>
    </row>
    <row r="556" spans="3:10" ht="15" customHeight="1">
      <c r="C556" s="701"/>
      <c r="D556" s="701"/>
      <c r="E556" s="3179" t="s">
        <v>1498</v>
      </c>
      <c r="F556" s="701"/>
      <c r="G556" s="1827">
        <v>74233.399999999994</v>
      </c>
      <c r="H556" s="701"/>
      <c r="I556" s="701"/>
      <c r="J556" s="701"/>
    </row>
    <row r="557" spans="3:10" ht="15" customHeight="1">
      <c r="C557" s="701"/>
      <c r="D557" s="701"/>
      <c r="E557" s="3181" t="s">
        <v>499</v>
      </c>
      <c r="F557" s="706"/>
      <c r="G557" s="1692">
        <v>78281.202999999994</v>
      </c>
      <c r="H557" s="706"/>
      <c r="I557" s="701"/>
      <c r="J557" s="701"/>
    </row>
    <row r="558" spans="3:10" ht="15" customHeight="1">
      <c r="C558" s="701"/>
      <c r="D558" s="701"/>
      <c r="E558" s="701"/>
      <c r="F558" s="701"/>
      <c r="G558" s="701"/>
      <c r="H558" s="701"/>
      <c r="I558" s="701"/>
      <c r="J558" s="701"/>
    </row>
    <row r="559" spans="3:10" ht="15" customHeight="1">
      <c r="C559" s="701"/>
      <c r="D559" s="701"/>
      <c r="E559" s="1679" t="s">
        <v>1488</v>
      </c>
      <c r="F559" s="701"/>
      <c r="G559" s="2399" t="s">
        <v>1470</v>
      </c>
      <c r="H559" s="2399" t="s">
        <v>1527</v>
      </c>
      <c r="I559" s="701"/>
      <c r="J559" s="701"/>
    </row>
    <row r="560" spans="3:10" ht="15" customHeight="1">
      <c r="C560" s="701"/>
      <c r="D560" s="701"/>
      <c r="E560" s="1654" t="s">
        <v>1469</v>
      </c>
      <c r="F560" s="1654"/>
      <c r="G560" s="2391" t="s">
        <v>871</v>
      </c>
      <c r="H560" s="2391" t="s">
        <v>698</v>
      </c>
      <c r="I560" s="701"/>
      <c r="J560" s="701"/>
    </row>
    <row r="561" spans="3:10" ht="15" customHeight="1">
      <c r="C561" s="701"/>
      <c r="D561" s="701"/>
      <c r="E561" s="3179" t="s">
        <v>569</v>
      </c>
      <c r="F561" s="701"/>
      <c r="G561" s="1827">
        <v>2</v>
      </c>
      <c r="H561" s="701"/>
      <c r="I561" s="701"/>
      <c r="J561" s="701"/>
    </row>
    <row r="562" spans="3:10" ht="15" customHeight="1">
      <c r="C562" s="701"/>
      <c r="D562" s="701"/>
      <c r="E562" s="3179" t="s">
        <v>1498</v>
      </c>
      <c r="F562" s="701"/>
      <c r="G562" s="1827">
        <v>4.1500000000000004</v>
      </c>
      <c r="H562" s="701"/>
      <c r="I562" s="701"/>
      <c r="J562" s="701"/>
    </row>
    <row r="563" spans="3:10" ht="15" customHeight="1">
      <c r="C563" s="701"/>
      <c r="D563" s="701"/>
      <c r="E563" s="3181" t="s">
        <v>499</v>
      </c>
      <c r="F563" s="706"/>
      <c r="G563" s="1692">
        <v>3</v>
      </c>
      <c r="H563" s="706"/>
      <c r="I563" s="701"/>
      <c r="J563" s="701"/>
    </row>
    <row r="564" spans="3:10" ht="15" customHeight="1">
      <c r="C564" s="701"/>
      <c r="D564" s="701"/>
      <c r="E564" s="701"/>
      <c r="F564" s="701"/>
      <c r="G564" s="701"/>
      <c r="H564" s="701"/>
      <c r="I564" s="701"/>
      <c r="J564" s="701"/>
    </row>
    <row r="565" spans="3:10" ht="15" customHeight="1">
      <c r="C565" s="701"/>
      <c r="D565" s="701"/>
      <c r="E565" s="1679" t="s">
        <v>1608</v>
      </c>
      <c r="F565" s="701"/>
      <c r="G565" s="2399" t="s">
        <v>1470</v>
      </c>
      <c r="H565" s="2399" t="s">
        <v>1529</v>
      </c>
      <c r="I565" s="701"/>
      <c r="J565" s="701"/>
    </row>
    <row r="566" spans="3:10" ht="15" customHeight="1">
      <c r="C566" s="701"/>
      <c r="D566" s="701"/>
      <c r="E566" s="1654" t="s">
        <v>1469</v>
      </c>
      <c r="F566" s="1654"/>
      <c r="G566" s="2391" t="s">
        <v>871</v>
      </c>
      <c r="H566" s="2391" t="s">
        <v>698</v>
      </c>
      <c r="I566" s="701"/>
      <c r="J566" s="701"/>
    </row>
    <row r="567" spans="3:10" ht="15" customHeight="1">
      <c r="C567" s="701"/>
      <c r="D567" s="701"/>
      <c r="E567" s="3179" t="s">
        <v>569</v>
      </c>
      <c r="F567" s="701"/>
      <c r="G567" s="1827">
        <v>1.5</v>
      </c>
      <c r="H567" s="701"/>
      <c r="I567" s="701"/>
      <c r="J567" s="701"/>
    </row>
    <row r="568" spans="3:10" ht="15" customHeight="1">
      <c r="C568" s="701"/>
      <c r="D568" s="701"/>
      <c r="E568" s="3179" t="s">
        <v>1498</v>
      </c>
      <c r="F568" s="701"/>
      <c r="G568" s="1827">
        <v>28.6</v>
      </c>
      <c r="H568" s="701"/>
      <c r="I568" s="701"/>
      <c r="J568" s="701"/>
    </row>
    <row r="569" spans="3:10" ht="15" customHeight="1">
      <c r="C569" s="701"/>
      <c r="D569" s="701"/>
      <c r="E569" s="3181" t="s">
        <v>499</v>
      </c>
      <c r="F569" s="706"/>
      <c r="G569" s="1692">
        <v>0.6</v>
      </c>
      <c r="H569" s="706"/>
      <c r="I569" s="701"/>
      <c r="J569" s="701"/>
    </row>
    <row r="570" spans="3:10" ht="15" customHeight="1">
      <c r="C570" s="701"/>
      <c r="D570" s="701"/>
      <c r="E570" s="701"/>
      <c r="F570" s="701"/>
      <c r="G570" s="701"/>
      <c r="H570" s="701"/>
      <c r="I570" s="701"/>
      <c r="J570" s="701"/>
    </row>
    <row r="571" spans="3:10" ht="15" customHeight="1">
      <c r="C571" s="701"/>
      <c r="D571" s="701"/>
      <c r="E571" s="894" t="s">
        <v>1118</v>
      </c>
      <c r="F571" s="2364"/>
      <c r="G571" s="2364"/>
      <c r="H571" s="2364"/>
      <c r="I571" s="701"/>
      <c r="J571" s="701"/>
    </row>
    <row r="572" spans="3:10" ht="15" customHeight="1">
      <c r="C572" s="701"/>
      <c r="D572" s="701"/>
      <c r="E572" s="701"/>
      <c r="F572" s="701"/>
      <c r="G572" s="701"/>
      <c r="H572" s="701"/>
      <c r="I572" s="701"/>
      <c r="J572" s="701"/>
    </row>
    <row r="573" spans="3:10" ht="15" customHeight="1">
      <c r="C573" s="701"/>
      <c r="D573" s="701"/>
      <c r="E573" s="1679" t="s">
        <v>1607</v>
      </c>
      <c r="F573" s="701"/>
      <c r="G573" s="2399" t="s">
        <v>1470</v>
      </c>
      <c r="H573" s="2399" t="s">
        <v>1520</v>
      </c>
      <c r="I573" s="701"/>
      <c r="J573" s="701"/>
    </row>
    <row r="574" spans="3:10" ht="15" customHeight="1">
      <c r="C574" s="701"/>
      <c r="D574" s="701"/>
      <c r="E574" s="1654" t="s">
        <v>1469</v>
      </c>
      <c r="F574" s="1654"/>
      <c r="G574" s="2391" t="s">
        <v>871</v>
      </c>
      <c r="H574" s="2391" t="s">
        <v>698</v>
      </c>
      <c r="I574" s="701"/>
      <c r="J574" s="701"/>
    </row>
    <row r="575" spans="3:10" ht="15" customHeight="1">
      <c r="C575" s="701"/>
      <c r="D575" s="701"/>
      <c r="E575" s="3179" t="s">
        <v>1495</v>
      </c>
      <c r="F575" s="701"/>
      <c r="G575" s="1827">
        <v>69323.7</v>
      </c>
      <c r="H575" s="701"/>
      <c r="I575" s="701"/>
      <c r="J575" s="701"/>
    </row>
    <row r="576" spans="3:10" ht="15" customHeight="1">
      <c r="C576" s="701"/>
      <c r="D576" s="701"/>
      <c r="E576" s="3179" t="s">
        <v>1498</v>
      </c>
      <c r="F576" s="701"/>
      <c r="G576" s="1827">
        <v>780569.81773486699</v>
      </c>
      <c r="H576" s="701" t="s">
        <v>1609</v>
      </c>
      <c r="I576" s="701"/>
      <c r="J576" s="701"/>
    </row>
    <row r="577" spans="3:10" ht="15" customHeight="1">
      <c r="C577" s="701"/>
      <c r="D577" s="701"/>
      <c r="E577" s="3179" t="s">
        <v>1610</v>
      </c>
      <c r="F577" s="701"/>
      <c r="G577" s="1827">
        <v>84758.115999999995</v>
      </c>
      <c r="H577" s="701"/>
      <c r="I577" s="701"/>
      <c r="J577" s="701"/>
    </row>
    <row r="578" spans="3:10" ht="15" customHeight="1">
      <c r="C578" s="701"/>
      <c r="D578" s="701"/>
      <c r="E578" s="3179" t="s">
        <v>1525</v>
      </c>
      <c r="F578" s="701"/>
      <c r="G578" s="1827">
        <v>54806.487000000001</v>
      </c>
      <c r="H578" s="701"/>
      <c r="I578" s="701"/>
      <c r="J578" s="701"/>
    </row>
    <row r="579" spans="3:10" ht="15" customHeight="1">
      <c r="C579" s="701"/>
      <c r="D579" s="701"/>
      <c r="E579" s="3181" t="s">
        <v>513</v>
      </c>
      <c r="F579" s="706"/>
      <c r="G579" s="1692">
        <v>55539.11</v>
      </c>
      <c r="H579" s="706"/>
      <c r="I579" s="701"/>
      <c r="J579" s="701"/>
    </row>
    <row r="580" spans="3:10" ht="15" customHeight="1">
      <c r="C580" s="701"/>
      <c r="D580" s="701"/>
      <c r="E580" s="701"/>
      <c r="F580" s="701"/>
      <c r="G580" s="701"/>
      <c r="H580" s="701"/>
      <c r="I580" s="701"/>
      <c r="J580" s="701"/>
    </row>
    <row r="581" spans="3:10" ht="15" customHeight="1">
      <c r="C581" s="701"/>
      <c r="D581" s="701"/>
      <c r="E581" s="1679" t="s">
        <v>1488</v>
      </c>
      <c r="F581" s="701"/>
      <c r="G581" s="2399" t="s">
        <v>1470</v>
      </c>
      <c r="H581" s="2399" t="s">
        <v>1527</v>
      </c>
      <c r="I581" s="701"/>
      <c r="J581" s="701"/>
    </row>
    <row r="582" spans="3:10" ht="15" customHeight="1">
      <c r="C582" s="701"/>
      <c r="D582" s="701"/>
      <c r="E582" s="1654" t="s">
        <v>1469</v>
      </c>
      <c r="F582" s="1654"/>
      <c r="G582" s="2391" t="s">
        <v>871</v>
      </c>
      <c r="H582" s="2391" t="s">
        <v>698</v>
      </c>
      <c r="I582" s="701"/>
      <c r="J582" s="701"/>
    </row>
    <row r="583" spans="3:10" ht="15" customHeight="1">
      <c r="C583" s="701"/>
      <c r="D583" s="701"/>
      <c r="E583" s="3179" t="s">
        <v>1495</v>
      </c>
      <c r="F583" s="701"/>
      <c r="G583" s="1827">
        <v>33</v>
      </c>
      <c r="H583" s="701"/>
      <c r="I583" s="701"/>
      <c r="J583" s="701"/>
    </row>
    <row r="584" spans="3:10" ht="15" customHeight="1">
      <c r="C584" s="701"/>
      <c r="D584" s="701"/>
      <c r="E584" s="3179" t="s">
        <v>1498</v>
      </c>
      <c r="F584" s="701"/>
      <c r="G584" s="1827">
        <v>43.64</v>
      </c>
      <c r="H584" s="701" t="s">
        <v>1611</v>
      </c>
      <c r="I584" s="701"/>
      <c r="J584" s="701"/>
    </row>
    <row r="585" spans="3:10" ht="15" customHeight="1">
      <c r="C585" s="701"/>
      <c r="D585" s="701"/>
      <c r="E585" s="3179" t="s">
        <v>1610</v>
      </c>
      <c r="F585" s="701"/>
      <c r="G585" s="1827">
        <v>18</v>
      </c>
      <c r="H585" s="701"/>
      <c r="I585" s="701"/>
      <c r="J585" s="701"/>
    </row>
    <row r="586" spans="3:10" ht="15" customHeight="1">
      <c r="C586" s="701"/>
      <c r="D586" s="701"/>
      <c r="E586" s="3179" t="s">
        <v>1525</v>
      </c>
      <c r="F586" s="701"/>
      <c r="G586" s="1827">
        <v>3.9</v>
      </c>
      <c r="H586" s="701"/>
      <c r="I586" s="701"/>
      <c r="J586" s="701"/>
    </row>
    <row r="587" spans="3:10" ht="15" customHeight="1">
      <c r="C587" s="701"/>
      <c r="D587" s="701"/>
      <c r="E587" s="3181" t="s">
        <v>513</v>
      </c>
      <c r="F587" s="706"/>
      <c r="G587" s="1692">
        <v>92</v>
      </c>
      <c r="H587" s="706"/>
      <c r="I587" s="701"/>
      <c r="J587" s="701"/>
    </row>
    <row r="588" spans="3:10" ht="15" customHeight="1">
      <c r="C588" s="701"/>
      <c r="D588" s="701"/>
      <c r="E588" s="701"/>
      <c r="F588" s="701"/>
      <c r="G588" s="701"/>
      <c r="H588" s="701"/>
      <c r="I588" s="701"/>
      <c r="J588" s="701"/>
    </row>
    <row r="589" spans="3:10" ht="15" customHeight="1">
      <c r="C589" s="701"/>
      <c r="D589" s="701"/>
      <c r="E589" s="1679" t="s">
        <v>1608</v>
      </c>
      <c r="F589" s="701"/>
      <c r="G589" s="2399" t="s">
        <v>1470</v>
      </c>
      <c r="H589" s="2399" t="s">
        <v>1529</v>
      </c>
      <c r="I589" s="701"/>
      <c r="J589" s="701"/>
    </row>
    <row r="590" spans="3:10" ht="15" customHeight="1">
      <c r="C590" s="701"/>
      <c r="D590" s="701"/>
      <c r="E590" s="1654" t="s">
        <v>1469</v>
      </c>
      <c r="F590" s="1654"/>
      <c r="G590" s="2391" t="s">
        <v>871</v>
      </c>
      <c r="H590" s="2391" t="s">
        <v>698</v>
      </c>
      <c r="I590" s="701"/>
      <c r="J590" s="701"/>
    </row>
    <row r="591" spans="3:10" ht="15" customHeight="1">
      <c r="C591" s="701"/>
      <c r="D591" s="701"/>
      <c r="E591" s="3179" t="s">
        <v>1495</v>
      </c>
      <c r="F591" s="701"/>
      <c r="G591" s="1827">
        <v>3.2</v>
      </c>
      <c r="H591" s="701"/>
      <c r="I591" s="701"/>
      <c r="J591" s="701"/>
    </row>
    <row r="592" spans="3:10" ht="15" customHeight="1">
      <c r="C592" s="701"/>
      <c r="D592" s="701"/>
      <c r="E592" s="3179" t="s">
        <v>1498</v>
      </c>
      <c r="F592" s="701"/>
      <c r="G592" s="1827">
        <v>300.731163966856</v>
      </c>
      <c r="H592" s="701" t="s">
        <v>1612</v>
      </c>
      <c r="I592" s="701"/>
      <c r="J592" s="701"/>
    </row>
    <row r="593" spans="3:10" ht="15" customHeight="1">
      <c r="C593" s="701"/>
      <c r="D593" s="701"/>
      <c r="E593" s="3179" t="s">
        <v>1610</v>
      </c>
      <c r="F593" s="701"/>
      <c r="G593" s="1827">
        <v>41</v>
      </c>
      <c r="H593" s="701"/>
      <c r="I593" s="701"/>
      <c r="J593" s="701"/>
    </row>
    <row r="594" spans="3:10" ht="15" customHeight="1">
      <c r="C594" s="701"/>
      <c r="D594" s="701"/>
      <c r="E594" s="3179" t="s">
        <v>1525</v>
      </c>
      <c r="F594" s="701"/>
      <c r="G594" s="1827">
        <v>3.9</v>
      </c>
      <c r="H594" s="701"/>
      <c r="I594" s="701"/>
      <c r="J594" s="701"/>
    </row>
    <row r="595" spans="3:10" ht="15" customHeight="1">
      <c r="C595" s="701"/>
      <c r="D595" s="701"/>
      <c r="E595" s="3181" t="s">
        <v>513</v>
      </c>
      <c r="F595" s="706"/>
      <c r="G595" s="1692">
        <v>3</v>
      </c>
      <c r="H595" s="706"/>
      <c r="I595" s="701"/>
      <c r="J595" s="701"/>
    </row>
    <row r="596" spans="3:10" ht="15" customHeight="1">
      <c r="C596" s="701"/>
      <c r="D596" s="701"/>
      <c r="E596" s="701"/>
      <c r="F596" s="701"/>
      <c r="G596" s="701"/>
      <c r="H596" s="701"/>
      <c r="I596" s="701"/>
      <c r="J596" s="701"/>
    </row>
    <row r="597" spans="3:10" ht="15" customHeight="1">
      <c r="C597" s="701"/>
      <c r="D597" s="701"/>
      <c r="E597" s="894" t="s">
        <v>1120</v>
      </c>
      <c r="F597" s="2364"/>
      <c r="G597" s="2364"/>
      <c r="H597" s="2364"/>
      <c r="I597" s="701"/>
      <c r="J597" s="701"/>
    </row>
    <row r="598" spans="3:10" ht="15" customHeight="1">
      <c r="C598" s="701"/>
      <c r="D598" s="701"/>
      <c r="E598" s="701"/>
      <c r="F598" s="701"/>
      <c r="G598" s="701"/>
      <c r="H598" s="701"/>
      <c r="I598" s="701"/>
      <c r="J598" s="701"/>
    </row>
    <row r="599" spans="3:10" ht="15" customHeight="1">
      <c r="C599" s="701"/>
      <c r="D599" s="701"/>
      <c r="E599" s="1679" t="s">
        <v>1607</v>
      </c>
      <c r="F599" s="701"/>
      <c r="G599" s="2399" t="s">
        <v>1470</v>
      </c>
      <c r="H599" s="2399" t="s">
        <v>1520</v>
      </c>
      <c r="I599" s="701"/>
      <c r="J599" s="701"/>
    </row>
    <row r="600" spans="3:10" ht="15" customHeight="1">
      <c r="C600" s="701"/>
      <c r="D600" s="701"/>
      <c r="E600" s="1654" t="s">
        <v>1469</v>
      </c>
      <c r="F600" s="1654"/>
      <c r="G600" s="2391" t="s">
        <v>871</v>
      </c>
      <c r="H600" s="2391" t="s">
        <v>698</v>
      </c>
      <c r="I600" s="701"/>
      <c r="J600" s="701"/>
    </row>
    <row r="601" spans="3:10" ht="15" customHeight="1">
      <c r="C601" s="701"/>
      <c r="D601" s="701"/>
      <c r="E601" s="3179" t="s">
        <v>525</v>
      </c>
      <c r="F601" s="701"/>
      <c r="G601" s="1827">
        <v>73300</v>
      </c>
      <c r="H601" s="701"/>
      <c r="I601" s="701"/>
      <c r="J601" s="701"/>
    </row>
    <row r="602" spans="3:10" ht="15" customHeight="1">
      <c r="C602" s="701"/>
      <c r="D602" s="701"/>
      <c r="E602" s="3179" t="s">
        <v>1498</v>
      </c>
      <c r="F602" s="701"/>
      <c r="G602" s="1827">
        <v>65207.203000000001</v>
      </c>
      <c r="H602" s="701"/>
      <c r="I602" s="701"/>
      <c r="J602" s="701"/>
    </row>
    <row r="603" spans="3:10" ht="15" customHeight="1">
      <c r="C603" s="701"/>
      <c r="D603" s="701"/>
      <c r="E603" s="3179" t="s">
        <v>499</v>
      </c>
      <c r="F603" s="701"/>
      <c r="G603" s="1827">
        <v>78281.202999999994</v>
      </c>
      <c r="H603" s="701"/>
      <c r="I603" s="701"/>
      <c r="J603" s="701"/>
    </row>
    <row r="604" spans="3:10" ht="15" customHeight="1">
      <c r="C604" s="701"/>
      <c r="D604" s="701"/>
      <c r="E604" s="3181" t="s">
        <v>1495</v>
      </c>
      <c r="F604" s="706"/>
      <c r="G604" s="1692">
        <v>69323.7</v>
      </c>
      <c r="H604" s="706"/>
      <c r="I604" s="701"/>
      <c r="J604" s="701"/>
    </row>
    <row r="605" spans="3:10" ht="15" customHeight="1">
      <c r="C605" s="701"/>
      <c r="D605" s="701"/>
      <c r="E605" s="701"/>
      <c r="F605" s="701"/>
      <c r="G605" s="701"/>
      <c r="H605" s="701"/>
      <c r="I605" s="701"/>
      <c r="J605" s="701"/>
    </row>
    <row r="606" spans="3:10" ht="15" customHeight="1">
      <c r="C606" s="701"/>
      <c r="D606" s="701"/>
      <c r="E606" s="1679" t="s">
        <v>1488</v>
      </c>
      <c r="F606" s="701"/>
      <c r="G606" s="2399" t="s">
        <v>1470</v>
      </c>
      <c r="H606" s="2399" t="s">
        <v>1527</v>
      </c>
      <c r="I606" s="701"/>
      <c r="J606" s="701"/>
    </row>
    <row r="607" spans="3:10" ht="15" customHeight="1">
      <c r="C607" s="701"/>
      <c r="D607" s="701"/>
      <c r="E607" s="1654" t="s">
        <v>1469</v>
      </c>
      <c r="F607" s="1654"/>
      <c r="G607" s="2391" t="s">
        <v>871</v>
      </c>
      <c r="H607" s="2391" t="s">
        <v>698</v>
      </c>
      <c r="I607" s="701"/>
      <c r="J607" s="701"/>
    </row>
    <row r="608" spans="3:10" ht="15" customHeight="1">
      <c r="C608" s="701"/>
      <c r="D608" s="701"/>
      <c r="E608" s="3179" t="s">
        <v>525</v>
      </c>
      <c r="F608" s="701"/>
      <c r="G608" s="1827">
        <v>7</v>
      </c>
      <c r="H608" s="701"/>
      <c r="I608" s="701"/>
      <c r="J608" s="701"/>
    </row>
    <row r="609" spans="3:10" ht="15" customHeight="1">
      <c r="C609" s="701"/>
      <c r="D609" s="701"/>
      <c r="E609" s="3179" t="s">
        <v>1498</v>
      </c>
      <c r="F609" s="701"/>
      <c r="G609" s="1827">
        <v>7</v>
      </c>
      <c r="H609" s="701"/>
      <c r="I609" s="701"/>
      <c r="J609" s="701"/>
    </row>
    <row r="610" spans="3:10" ht="15" customHeight="1">
      <c r="C610" s="701"/>
      <c r="D610" s="701"/>
      <c r="E610" s="3179" t="s">
        <v>499</v>
      </c>
      <c r="F610" s="701"/>
      <c r="G610" s="1827">
        <v>7</v>
      </c>
      <c r="H610" s="701"/>
      <c r="I610" s="701"/>
      <c r="J610" s="701"/>
    </row>
    <row r="611" spans="3:10" ht="15" customHeight="1">
      <c r="C611" s="701"/>
      <c r="D611" s="701"/>
      <c r="E611" s="3181" t="s">
        <v>1495</v>
      </c>
      <c r="F611" s="706"/>
      <c r="G611" s="1692">
        <v>7</v>
      </c>
      <c r="H611" s="706"/>
      <c r="I611" s="701"/>
      <c r="J611" s="701"/>
    </row>
    <row r="612" spans="3:10" ht="15" customHeight="1">
      <c r="C612" s="701"/>
      <c r="D612" s="701"/>
      <c r="E612" s="701"/>
      <c r="F612" s="701"/>
      <c r="G612" s="701"/>
      <c r="H612" s="701"/>
      <c r="I612" s="701"/>
      <c r="J612" s="701"/>
    </row>
    <row r="613" spans="3:10" ht="15" customHeight="1">
      <c r="C613" s="701"/>
      <c r="D613" s="701"/>
      <c r="E613" s="1679" t="s">
        <v>1608</v>
      </c>
      <c r="F613" s="701"/>
      <c r="G613" s="2399" t="s">
        <v>1470</v>
      </c>
      <c r="H613" s="2399" t="s">
        <v>1529</v>
      </c>
      <c r="I613" s="701"/>
      <c r="J613" s="701"/>
    </row>
    <row r="614" spans="3:10" ht="15" customHeight="1">
      <c r="C614" s="701"/>
      <c r="D614" s="701"/>
      <c r="E614" s="1654" t="s">
        <v>1469</v>
      </c>
      <c r="F614" s="1654"/>
      <c r="G614" s="2391" t="s">
        <v>871</v>
      </c>
      <c r="H614" s="2391" t="s">
        <v>698</v>
      </c>
      <c r="I614" s="701"/>
      <c r="J614" s="701"/>
    </row>
    <row r="615" spans="3:10" ht="15" customHeight="1">
      <c r="C615" s="701"/>
      <c r="D615" s="701"/>
      <c r="E615" s="3179" t="s">
        <v>525</v>
      </c>
      <c r="F615" s="701"/>
      <c r="G615" s="1827">
        <v>2</v>
      </c>
      <c r="H615" s="701"/>
      <c r="I615" s="701"/>
      <c r="J615" s="701"/>
    </row>
    <row r="616" spans="3:10" ht="15" customHeight="1">
      <c r="C616" s="701"/>
      <c r="D616" s="701"/>
      <c r="E616" s="3179" t="s">
        <v>1498</v>
      </c>
      <c r="F616" s="701"/>
      <c r="G616" s="1827">
        <v>2</v>
      </c>
      <c r="H616" s="701"/>
      <c r="I616" s="701"/>
      <c r="J616" s="701"/>
    </row>
    <row r="617" spans="3:10" ht="15" customHeight="1">
      <c r="C617" s="701"/>
      <c r="D617" s="701"/>
      <c r="E617" s="3179" t="s">
        <v>499</v>
      </c>
      <c r="F617" s="701"/>
      <c r="G617" s="1827">
        <v>2</v>
      </c>
      <c r="H617" s="701"/>
      <c r="I617" s="701"/>
      <c r="J617" s="701"/>
    </row>
    <row r="618" spans="3:10" ht="15" customHeight="1">
      <c r="C618" s="701"/>
      <c r="D618" s="701"/>
      <c r="E618" s="3181" t="s">
        <v>1495</v>
      </c>
      <c r="F618" s="706"/>
      <c r="G618" s="1692">
        <v>2</v>
      </c>
      <c r="H618" s="706"/>
      <c r="I618" s="701"/>
      <c r="J618" s="701"/>
    </row>
    <row r="619" spans="3:10" ht="15" customHeight="1">
      <c r="C619" s="701"/>
      <c r="D619" s="701"/>
      <c r="E619" s="701"/>
      <c r="F619" s="701"/>
      <c r="G619" s="701"/>
      <c r="H619" s="701"/>
      <c r="I619" s="701"/>
      <c r="J619" s="701"/>
    </row>
    <row r="620" spans="3:10" ht="15" customHeight="1">
      <c r="C620" s="701"/>
      <c r="D620" s="701"/>
      <c r="E620" s="894" t="s">
        <v>1122</v>
      </c>
      <c r="F620" s="2364"/>
      <c r="G620" s="2364"/>
      <c r="H620" s="2364"/>
      <c r="I620" s="701"/>
      <c r="J620" s="701"/>
    </row>
    <row r="621" spans="3:10" ht="15" customHeight="1">
      <c r="C621" s="701"/>
      <c r="D621" s="701"/>
      <c r="E621" s="701"/>
      <c r="F621" s="701"/>
      <c r="G621" s="701"/>
      <c r="H621" s="701"/>
      <c r="I621" s="701"/>
      <c r="J621" s="701"/>
    </row>
    <row r="622" spans="3:10" ht="15" customHeight="1">
      <c r="C622" s="701"/>
      <c r="D622" s="701"/>
      <c r="E622" s="1679" t="s">
        <v>1607</v>
      </c>
      <c r="F622" s="701"/>
      <c r="G622" s="2399" t="s">
        <v>1470</v>
      </c>
      <c r="H622" s="2399" t="s">
        <v>1520</v>
      </c>
      <c r="I622" s="701"/>
      <c r="J622" s="701"/>
    </row>
    <row r="623" spans="3:10" ht="15" customHeight="1">
      <c r="C623" s="701"/>
      <c r="D623" s="701"/>
      <c r="E623" s="1654" t="s">
        <v>1469</v>
      </c>
      <c r="F623" s="1654"/>
      <c r="G623" s="2391" t="s">
        <v>871</v>
      </c>
      <c r="H623" s="2391" t="s">
        <v>698</v>
      </c>
      <c r="I623" s="701"/>
      <c r="J623" s="701"/>
    </row>
    <row r="624" spans="3:10" ht="15" customHeight="1">
      <c r="C624" s="701"/>
      <c r="D624" s="701"/>
      <c r="E624" s="3179" t="s">
        <v>1610</v>
      </c>
      <c r="F624" s="1679"/>
      <c r="G624" s="2400">
        <v>84758.115999999995</v>
      </c>
      <c r="H624" s="2399"/>
      <c r="I624" s="701"/>
      <c r="J624" s="701"/>
    </row>
    <row r="625" spans="3:10" ht="15" customHeight="1">
      <c r="C625" s="701"/>
      <c r="D625" s="701"/>
      <c r="E625" s="3179" t="s">
        <v>1525</v>
      </c>
      <c r="F625" s="1679"/>
      <c r="G625" s="2400">
        <v>54806.487000000001</v>
      </c>
      <c r="H625" s="2399"/>
      <c r="I625" s="701"/>
      <c r="J625" s="701"/>
    </row>
    <row r="626" spans="3:10" ht="15" customHeight="1">
      <c r="C626" s="701"/>
      <c r="D626" s="701"/>
      <c r="E626" s="3179" t="s">
        <v>1498</v>
      </c>
      <c r="F626" s="1679"/>
      <c r="G626" s="2400">
        <v>74233.399999999994</v>
      </c>
      <c r="H626" s="2399"/>
      <c r="I626" s="701"/>
      <c r="J626" s="701"/>
    </row>
    <row r="627" spans="3:10" ht="15" customHeight="1">
      <c r="C627" s="701"/>
      <c r="D627" s="701"/>
      <c r="E627" s="3179" t="s">
        <v>1498</v>
      </c>
      <c r="F627" s="701"/>
      <c r="G627" s="2432">
        <v>780569.82</v>
      </c>
      <c r="H627" s="701" t="s">
        <v>1609</v>
      </c>
      <c r="I627" s="701"/>
      <c r="J627" s="701"/>
    </row>
    <row r="628" spans="3:10" ht="15" customHeight="1">
      <c r="C628" s="701"/>
      <c r="D628" s="701"/>
      <c r="E628" s="3179" t="s">
        <v>513</v>
      </c>
      <c r="F628" s="701"/>
      <c r="G628" s="2432">
        <v>55539.11</v>
      </c>
      <c r="H628" s="701"/>
      <c r="I628" s="701"/>
      <c r="J628" s="701"/>
    </row>
    <row r="629" spans="3:10" ht="15" customHeight="1">
      <c r="C629" s="701"/>
      <c r="D629" s="701"/>
      <c r="E629" s="3179" t="s">
        <v>1613</v>
      </c>
      <c r="F629" s="701"/>
      <c r="G629" s="2432">
        <v>69323.7</v>
      </c>
      <c r="H629" s="701"/>
      <c r="I629" s="701"/>
      <c r="J629" s="701"/>
    </row>
    <row r="630" spans="3:10" ht="15" customHeight="1">
      <c r="C630" s="701"/>
      <c r="D630" s="701"/>
      <c r="E630" s="3181" t="s">
        <v>1495</v>
      </c>
      <c r="F630" s="706"/>
      <c r="G630" s="2433">
        <v>69323.7</v>
      </c>
      <c r="H630" s="706"/>
      <c r="I630" s="701"/>
      <c r="J630" s="701"/>
    </row>
    <row r="631" spans="3:10" ht="15" customHeight="1">
      <c r="C631" s="701"/>
      <c r="D631" s="701"/>
      <c r="E631" s="701"/>
      <c r="F631" s="701"/>
      <c r="G631" s="701"/>
      <c r="H631" s="701"/>
      <c r="I631" s="701"/>
      <c r="J631" s="701"/>
    </row>
    <row r="632" spans="3:10" ht="15" customHeight="1">
      <c r="C632" s="701"/>
      <c r="D632" s="701"/>
      <c r="E632" s="1679" t="s">
        <v>1488</v>
      </c>
      <c r="F632" s="701"/>
      <c r="G632" s="2399" t="s">
        <v>1470</v>
      </c>
      <c r="H632" s="2399" t="s">
        <v>1527</v>
      </c>
      <c r="I632" s="701"/>
      <c r="J632" s="701"/>
    </row>
    <row r="633" spans="3:10" ht="15" customHeight="1">
      <c r="C633" s="701"/>
      <c r="D633" s="701"/>
      <c r="E633" s="1654" t="s">
        <v>1469</v>
      </c>
      <c r="F633" s="1654"/>
      <c r="G633" s="2391" t="s">
        <v>871</v>
      </c>
      <c r="H633" s="2391" t="s">
        <v>698</v>
      </c>
      <c r="I633" s="701"/>
      <c r="J633" s="701"/>
    </row>
    <row r="634" spans="3:10" ht="15" customHeight="1">
      <c r="C634" s="701"/>
      <c r="D634" s="701"/>
      <c r="E634" s="3179" t="s">
        <v>1610</v>
      </c>
      <c r="F634" s="701"/>
      <c r="G634" s="1827">
        <v>18</v>
      </c>
      <c r="H634" s="701"/>
      <c r="I634" s="701"/>
      <c r="J634" s="701"/>
    </row>
    <row r="635" spans="3:10" ht="15" customHeight="1">
      <c r="C635" s="701"/>
      <c r="D635" s="701"/>
      <c r="E635" s="3179" t="s">
        <v>1525</v>
      </c>
      <c r="F635" s="701"/>
      <c r="G635" s="1827">
        <v>3.9</v>
      </c>
      <c r="H635" s="701"/>
      <c r="I635" s="701"/>
      <c r="J635" s="701"/>
    </row>
    <row r="636" spans="3:10" ht="15" customHeight="1">
      <c r="C636" s="701"/>
      <c r="D636" s="701"/>
      <c r="E636" s="3179" t="s">
        <v>1498</v>
      </c>
      <c r="F636" s="701"/>
      <c r="G636" s="1827">
        <v>3.9</v>
      </c>
      <c r="H636" s="701"/>
      <c r="I636" s="701"/>
      <c r="J636" s="701"/>
    </row>
    <row r="637" spans="3:10" ht="15" customHeight="1">
      <c r="C637" s="701"/>
      <c r="D637" s="701"/>
      <c r="E637" s="3179" t="s">
        <v>1498</v>
      </c>
      <c r="F637" s="701"/>
      <c r="G637" s="1827">
        <v>43.64</v>
      </c>
      <c r="H637" s="701" t="s">
        <v>1611</v>
      </c>
      <c r="I637" s="701"/>
      <c r="J637" s="701"/>
    </row>
    <row r="638" spans="3:10" ht="15" customHeight="1">
      <c r="C638" s="701"/>
      <c r="D638" s="701"/>
      <c r="E638" s="3179" t="s">
        <v>513</v>
      </c>
      <c r="F638" s="701"/>
      <c r="G638" s="1827">
        <v>92</v>
      </c>
      <c r="H638" s="701"/>
      <c r="I638" s="701"/>
      <c r="J638" s="701"/>
    </row>
    <row r="639" spans="3:10" ht="15" customHeight="1">
      <c r="C639" s="701"/>
      <c r="D639" s="701"/>
      <c r="E639" s="3179" t="s">
        <v>1613</v>
      </c>
      <c r="F639" s="701"/>
      <c r="G639" s="1827">
        <v>33</v>
      </c>
      <c r="H639" s="701"/>
      <c r="I639" s="701"/>
      <c r="J639" s="701"/>
    </row>
    <row r="640" spans="3:10" ht="15" customHeight="1">
      <c r="C640" s="701"/>
      <c r="D640" s="701"/>
      <c r="E640" s="3181" t="s">
        <v>1495</v>
      </c>
      <c r="F640" s="706"/>
      <c r="G640" s="1692">
        <v>9.6</v>
      </c>
      <c r="H640" s="706"/>
      <c r="I640" s="701"/>
      <c r="J640" s="701"/>
    </row>
    <row r="641" spans="3:10" ht="15" customHeight="1">
      <c r="C641" s="701"/>
      <c r="D641" s="701"/>
      <c r="E641" s="701"/>
      <c r="F641" s="701"/>
      <c r="G641" s="701"/>
      <c r="H641" s="701"/>
      <c r="I641" s="701"/>
      <c r="J641" s="701"/>
    </row>
    <row r="642" spans="3:10" ht="15" customHeight="1">
      <c r="C642" s="701"/>
      <c r="D642" s="701"/>
      <c r="E642" s="1679" t="s">
        <v>1608</v>
      </c>
      <c r="F642" s="701"/>
      <c r="G642" s="2399" t="s">
        <v>1470</v>
      </c>
      <c r="H642" s="2399" t="s">
        <v>1529</v>
      </c>
      <c r="I642" s="701"/>
      <c r="J642" s="701"/>
    </row>
    <row r="643" spans="3:10" ht="15" customHeight="1">
      <c r="C643" s="701"/>
      <c r="D643" s="701"/>
      <c r="E643" s="1654" t="s">
        <v>1469</v>
      </c>
      <c r="F643" s="1654"/>
      <c r="G643" s="2391" t="s">
        <v>871</v>
      </c>
      <c r="H643" s="2391" t="s">
        <v>698</v>
      </c>
      <c r="I643" s="701"/>
      <c r="J643" s="701"/>
    </row>
    <row r="644" spans="3:10" ht="15" customHeight="1">
      <c r="C644" s="701"/>
      <c r="D644" s="701"/>
      <c r="E644" s="3179" t="s">
        <v>1610</v>
      </c>
      <c r="F644" s="701"/>
      <c r="G644" s="1827">
        <v>41</v>
      </c>
      <c r="H644" s="701"/>
      <c r="I644" s="701"/>
      <c r="J644" s="701"/>
    </row>
    <row r="645" spans="3:10" ht="15" customHeight="1">
      <c r="C645" s="701"/>
      <c r="D645" s="701"/>
      <c r="E645" s="3179" t="s">
        <v>1525</v>
      </c>
      <c r="F645" s="701"/>
      <c r="G645" s="1827">
        <v>3.9</v>
      </c>
      <c r="H645" s="701"/>
      <c r="I645" s="701"/>
      <c r="J645" s="701"/>
    </row>
    <row r="646" spans="3:10" ht="15" customHeight="1">
      <c r="C646" s="701"/>
      <c r="D646" s="701"/>
      <c r="E646" s="3179" t="s">
        <v>1498</v>
      </c>
      <c r="F646" s="701"/>
      <c r="G646" s="1827">
        <v>3.9</v>
      </c>
      <c r="H646" s="701"/>
      <c r="I646" s="701"/>
      <c r="J646" s="701"/>
    </row>
    <row r="647" spans="3:10" ht="15" customHeight="1">
      <c r="C647" s="701"/>
      <c r="D647" s="701"/>
      <c r="E647" s="3179" t="s">
        <v>1498</v>
      </c>
      <c r="F647" s="701"/>
      <c r="G647" s="1827">
        <v>300.73</v>
      </c>
      <c r="H647" s="701" t="s">
        <v>1612</v>
      </c>
      <c r="I647" s="701"/>
      <c r="J647" s="701"/>
    </row>
    <row r="648" spans="3:10" ht="15" customHeight="1">
      <c r="C648" s="701"/>
      <c r="D648" s="701"/>
      <c r="E648" s="3179" t="s">
        <v>513</v>
      </c>
      <c r="F648" s="701"/>
      <c r="G648" s="1827">
        <v>3</v>
      </c>
      <c r="H648" s="701"/>
      <c r="I648" s="701"/>
      <c r="J648" s="701"/>
    </row>
    <row r="649" spans="3:10" ht="15" customHeight="1">
      <c r="C649" s="701"/>
      <c r="D649" s="701"/>
      <c r="E649" s="3179" t="s">
        <v>1613</v>
      </c>
      <c r="F649" s="701"/>
      <c r="G649" s="1827">
        <v>3.2</v>
      </c>
      <c r="H649" s="701"/>
      <c r="I649" s="701"/>
      <c r="J649" s="701"/>
    </row>
    <row r="650" spans="3:10" ht="15" customHeight="1">
      <c r="C650" s="701"/>
      <c r="D650" s="701"/>
      <c r="E650" s="3181" t="s">
        <v>1495</v>
      </c>
      <c r="F650" s="706"/>
      <c r="G650" s="1692">
        <v>0.96</v>
      </c>
      <c r="H650" s="706"/>
      <c r="I650" s="701"/>
      <c r="J650" s="701"/>
    </row>
    <row r="651" spans="3:10" ht="15" customHeight="1">
      <c r="C651" s="701"/>
      <c r="D651" s="701"/>
      <c r="E651" s="701"/>
      <c r="F651" s="701"/>
      <c r="G651" s="701"/>
      <c r="H651" s="701"/>
      <c r="I651" s="701"/>
      <c r="J651" s="701"/>
    </row>
    <row r="652" spans="3:10" ht="15" customHeight="1">
      <c r="C652" s="701"/>
      <c r="D652" s="701"/>
      <c r="E652" s="701"/>
      <c r="F652" s="701"/>
      <c r="G652" s="701"/>
      <c r="H652" s="701"/>
      <c r="I652" s="701"/>
      <c r="J652" s="701"/>
    </row>
    <row r="653" spans="3:10" ht="15" customHeight="1">
      <c r="C653" s="701"/>
      <c r="D653" s="701"/>
      <c r="E653" s="701"/>
      <c r="F653" s="701"/>
      <c r="G653" s="701"/>
      <c r="H653" s="701"/>
      <c r="I653" s="701"/>
      <c r="J653" s="701"/>
    </row>
    <row r="654" spans="3:10" ht="15" customHeight="1">
      <c r="C654" s="701"/>
      <c r="D654" s="2359"/>
      <c r="E654" s="2398" t="s">
        <v>1614</v>
      </c>
      <c r="F654" s="2361"/>
      <c r="G654" s="2361"/>
      <c r="H654" s="1768" t="s">
        <v>1463</v>
      </c>
      <c r="I654" s="1768"/>
      <c r="J654" s="701"/>
    </row>
    <row r="655" spans="3:10" ht="15" customHeight="1">
      <c r="C655" s="701"/>
      <c r="D655" s="701"/>
      <c r="E655" s="701"/>
      <c r="F655" s="701"/>
      <c r="G655" s="701"/>
      <c r="H655" s="701"/>
      <c r="I655" s="701"/>
      <c r="J655" s="701"/>
    </row>
    <row r="656" spans="3:10" ht="15" customHeight="1">
      <c r="C656" s="701"/>
      <c r="D656" s="701"/>
      <c r="E656" s="1679" t="s">
        <v>1124</v>
      </c>
      <c r="F656" s="701"/>
      <c r="G656" s="2399" t="s">
        <v>1615</v>
      </c>
      <c r="H656" s="2399"/>
      <c r="I656" s="701"/>
      <c r="J656" s="701"/>
    </row>
    <row r="657" spans="3:10" ht="15" customHeight="1">
      <c r="C657" s="701"/>
      <c r="D657" s="701"/>
      <c r="E657" s="1654" t="s">
        <v>1469</v>
      </c>
      <c r="F657" s="1654"/>
      <c r="G657" s="2391" t="s">
        <v>871</v>
      </c>
      <c r="H657" s="2399"/>
      <c r="I657" s="701"/>
      <c r="J657" s="701"/>
    </row>
    <row r="658" spans="3:10" ht="15" customHeight="1">
      <c r="C658" s="701"/>
      <c r="D658" s="701"/>
      <c r="E658" s="701" t="s">
        <v>695</v>
      </c>
      <c r="F658" s="701"/>
      <c r="G658" s="701">
        <v>2.7</v>
      </c>
      <c r="H658" s="2399"/>
      <c r="I658" s="701"/>
      <c r="J658" s="701"/>
    </row>
    <row r="659" spans="3:10" ht="15" customHeight="1">
      <c r="C659" s="701"/>
      <c r="D659" s="701"/>
      <c r="E659" s="706" t="s">
        <v>1616</v>
      </c>
      <c r="F659" s="706"/>
      <c r="G659" s="706">
        <v>7.0000000000000007E-2</v>
      </c>
      <c r="H659" s="701"/>
      <c r="I659" s="701"/>
      <c r="J659" s="701"/>
    </row>
    <row r="660" spans="3:10" ht="15" customHeight="1">
      <c r="C660" s="701"/>
      <c r="D660" s="701"/>
      <c r="E660" s="701"/>
      <c r="F660" s="701"/>
      <c r="G660" s="701"/>
      <c r="H660" s="701"/>
      <c r="I660" s="701"/>
      <c r="J660" s="701"/>
    </row>
    <row r="662" spans="3:10" ht="15" customHeight="1">
      <c r="C662" s="1768" t="s">
        <v>1617</v>
      </c>
      <c r="D662" s="1766"/>
      <c r="E662" s="892"/>
      <c r="F662" s="1766"/>
      <c r="G662" s="1767"/>
      <c r="H662" s="1766"/>
      <c r="I662" s="892"/>
      <c r="J662" s="892"/>
    </row>
    <row r="663" spans="3:10" ht="15" customHeight="1">
      <c r="C663" s="701"/>
      <c r="D663" s="701"/>
      <c r="E663" s="701"/>
      <c r="F663" s="701"/>
      <c r="G663" s="701"/>
      <c r="H663" s="701"/>
      <c r="I663" s="701"/>
      <c r="J663" s="701"/>
    </row>
    <row r="664" spans="3:10" ht="15" customHeight="1">
      <c r="C664" s="701"/>
      <c r="D664" s="2434" t="s">
        <v>1127</v>
      </c>
      <c r="E664" s="3775"/>
      <c r="F664" s="3775"/>
      <c r="G664" s="2434"/>
      <c r="H664" s="2434"/>
      <c r="I664" s="2434"/>
      <c r="J664" s="701"/>
    </row>
    <row r="665" spans="3:10" ht="15" customHeight="1">
      <c r="C665" s="701"/>
      <c r="D665" s="701"/>
      <c r="E665" s="2367"/>
      <c r="F665" s="2367"/>
      <c r="G665" s="701"/>
      <c r="H665" s="701"/>
      <c r="I665" s="701"/>
      <c r="J665" s="701"/>
    </row>
    <row r="666" spans="3:10" ht="15" customHeight="1">
      <c r="C666" s="701"/>
      <c r="D666" s="701"/>
      <c r="E666" s="3207" t="s">
        <v>869</v>
      </c>
      <c r="F666" s="3776" t="s">
        <v>1618</v>
      </c>
      <c r="G666" s="701"/>
      <c r="H666" s="701"/>
      <c r="I666" s="701"/>
      <c r="J666" s="701"/>
    </row>
    <row r="667" spans="3:10" ht="15" customHeight="1">
      <c r="C667" s="701"/>
      <c r="D667" s="701"/>
      <c r="E667" s="2373" t="s">
        <v>1619</v>
      </c>
      <c r="F667" s="3777">
        <v>8.9</v>
      </c>
      <c r="G667" s="701"/>
      <c r="H667" s="701"/>
      <c r="I667" s="701"/>
      <c r="J667" s="701"/>
    </row>
    <row r="668" spans="3:10" ht="15" customHeight="1">
      <c r="C668" s="701"/>
      <c r="D668" s="701"/>
      <c r="E668" s="2373" t="s">
        <v>950</v>
      </c>
      <c r="F668" s="3778">
        <v>1.376383661</v>
      </c>
      <c r="G668" s="701"/>
      <c r="H668" s="701"/>
      <c r="I668" s="701"/>
      <c r="J668" s="701"/>
    </row>
    <row r="669" spans="3:10" ht="15" customHeight="1">
      <c r="C669" s="701"/>
      <c r="D669" s="701"/>
      <c r="E669" s="2373" t="s">
        <v>1620</v>
      </c>
      <c r="F669" s="3778">
        <v>0.16</v>
      </c>
      <c r="G669" s="701"/>
      <c r="H669" s="701"/>
      <c r="I669" s="701"/>
      <c r="J669" s="701"/>
    </row>
    <row r="670" spans="3:10" ht="15" customHeight="1">
      <c r="C670" s="701"/>
      <c r="D670" s="701"/>
      <c r="E670" s="2373" t="s">
        <v>953</v>
      </c>
      <c r="F670" s="3778">
        <v>1.3169999999999999</v>
      </c>
      <c r="G670" s="701"/>
      <c r="H670" s="701"/>
      <c r="I670" s="701"/>
      <c r="J670" s="701"/>
    </row>
    <row r="671" spans="3:10" ht="34.5" customHeight="1">
      <c r="C671" s="701"/>
      <c r="D671" s="701"/>
      <c r="E671" s="3208" t="s">
        <v>1621</v>
      </c>
      <c r="F671" s="3779">
        <v>21.25</v>
      </c>
      <c r="G671" s="701"/>
      <c r="H671" s="701"/>
      <c r="I671" s="701"/>
      <c r="J671" s="701"/>
    </row>
    <row r="672" spans="3:10" ht="15" customHeight="1">
      <c r="C672" s="701"/>
      <c r="D672" s="701"/>
      <c r="E672" s="701"/>
      <c r="F672" s="701"/>
      <c r="G672" s="701"/>
      <c r="H672" s="701"/>
      <c r="I672" s="701"/>
      <c r="J672" s="701"/>
    </row>
    <row r="692" spans="11:11" ht="15" customHeight="1">
      <c r="K692" s="2429"/>
    </row>
    <row r="693" spans="11:11" ht="15" customHeight="1">
      <c r="K693" s="2430"/>
    </row>
    <row r="694" spans="11:11" ht="15" customHeight="1">
      <c r="K694" s="2430"/>
    </row>
    <row r="695" spans="11:11" ht="15" customHeight="1">
      <c r="K695" s="2430"/>
    </row>
    <row r="696" spans="11:11" ht="15" customHeight="1">
      <c r="K696" s="2430"/>
    </row>
    <row r="704" spans="11:11" ht="15" customHeight="1">
      <c r="K704" s="2429"/>
    </row>
    <row r="705" spans="11:11" ht="15" customHeight="1">
      <c r="K705" s="2430"/>
    </row>
    <row r="706" spans="11:11" ht="15" customHeight="1">
      <c r="K706" s="2430"/>
    </row>
    <row r="707" spans="11:11" ht="15" customHeight="1">
      <c r="K707" s="2430"/>
    </row>
    <row r="708" spans="11:11" ht="15" customHeight="1">
      <c r="K708" s="2430"/>
    </row>
    <row r="715" spans="11:11" ht="15" customHeight="1">
      <c r="K715" s="2429"/>
    </row>
    <row r="716" spans="11:11" ht="15" customHeight="1">
      <c r="K716" s="2430"/>
    </row>
    <row r="717" spans="11:11" ht="15" customHeight="1">
      <c r="K717" s="2430"/>
    </row>
    <row r="718" spans="11:11" ht="15" customHeight="1">
      <c r="K718" s="2430"/>
    </row>
    <row r="719" spans="11:11" ht="15" customHeight="1">
      <c r="K719" s="2430"/>
    </row>
    <row r="722" spans="11:12" ht="15" customHeight="1">
      <c r="K722" s="2431"/>
      <c r="L722" s="2431"/>
    </row>
    <row r="731" spans="11:12"/>
  </sheetData>
  <sheetProtection algorithmName="SHA-512" hashValue="EqpjVXwmNnmx/7ZoWq7dXeItCRJndFQBkbwjO2jO05iJaxA/0pxmznEyDZP7CEn2ebG7ym8sQ1FFA/UKGwTviA==" saltValue="IxCDMu8GXbEPCaXc74XhtA==" spinCount="100000" sheet="1" objects="1" scenarios="1"/>
  <pageMargins left="0.7" right="0.7" top="0.75" bottom="0.75" header="0.3" footer="0.3"/>
  <pageSetup paperSize="9" scale="46" fitToHeight="0" orientation="portrait" r:id="rId1"/>
  <customProperties>
    <customPr name="_pios_id" r:id="rId2"/>
  </customProperties>
  <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22495-997C-4D21-B58D-C7068AF73404}">
  <sheetPr codeName="Hoja44"/>
  <dimension ref="A4:U525"/>
  <sheetViews>
    <sheetView showGridLines="0" topLeftCell="A252" zoomScale="80" zoomScaleNormal="80" workbookViewId="0">
      <selection activeCell="F278" sqref="F278"/>
    </sheetView>
  </sheetViews>
  <sheetFormatPr baseColWidth="10" defaultColWidth="11.42578125" defaultRowHeight="15" customHeight="1"/>
  <cols>
    <col min="1" max="1" width="20.7109375" style="678" customWidth="1"/>
    <col min="2" max="2" width="30.7109375" style="2276" customWidth="1"/>
    <col min="3" max="3" width="7.7109375" style="679" customWidth="1"/>
    <col min="4" max="4" width="6.7109375" style="679" customWidth="1"/>
    <col min="5" max="5" width="40.28515625" style="679" customWidth="1"/>
    <col min="6" max="13" width="15.85546875" style="679" customWidth="1"/>
    <col min="14" max="14" width="22.5703125" style="679" customWidth="1"/>
    <col min="15" max="15" width="13.140625" style="679" bestFit="1" customWidth="1"/>
    <col min="16" max="16" width="20.140625" style="679" bestFit="1" customWidth="1"/>
    <col min="17" max="18" width="13.140625" style="679" bestFit="1" customWidth="1"/>
    <col min="19" max="21" width="14.140625" style="679" bestFit="1" customWidth="1"/>
    <col min="22" max="22" width="13.140625" style="679" bestFit="1" customWidth="1"/>
    <col min="23" max="16384" width="11.42578125" style="679"/>
  </cols>
  <sheetData>
    <row r="4" spans="1:15" ht="15" customHeight="1">
      <c r="D4" s="2443" t="s">
        <v>1622</v>
      </c>
      <c r="E4" s="2444"/>
      <c r="F4" s="2444"/>
      <c r="G4" s="2444"/>
      <c r="H4" s="2444"/>
      <c r="I4" s="2444"/>
      <c r="J4" s="2444"/>
      <c r="K4" s="2444"/>
      <c r="L4" s="2444"/>
      <c r="M4" s="2444"/>
      <c r="N4" s="2444"/>
    </row>
    <row r="5" spans="1:15" ht="15" customHeight="1">
      <c r="A5" s="1559"/>
      <c r="D5" s="2445"/>
      <c r="E5" s="2445"/>
      <c r="F5" s="2445"/>
      <c r="G5" s="2445"/>
      <c r="H5" s="2445"/>
      <c r="I5" s="2445"/>
      <c r="J5" s="2445"/>
      <c r="K5" s="2445"/>
      <c r="L5" s="2445"/>
      <c r="M5" s="2445"/>
      <c r="N5" s="2445"/>
    </row>
    <row r="6" spans="1:15" ht="15" customHeight="1">
      <c r="D6" s="2445"/>
      <c r="E6" s="2446" t="s">
        <v>1623</v>
      </c>
      <c r="F6" s="2447"/>
      <c r="G6" s="2447"/>
      <c r="H6" s="2447"/>
      <c r="I6" s="2447"/>
      <c r="J6" s="2447"/>
      <c r="K6" s="2447"/>
      <c r="L6" s="2447"/>
      <c r="M6" s="2447" t="s">
        <v>879</v>
      </c>
      <c r="N6" s="2448"/>
    </row>
    <row r="7" spans="1:15" ht="15" customHeight="1">
      <c r="D7" s="2445"/>
      <c r="E7" s="3904" t="s">
        <v>1624</v>
      </c>
      <c r="F7" s="3904"/>
      <c r="G7" s="3904"/>
      <c r="H7" s="3904"/>
      <c r="I7" s="2449"/>
      <c r="J7" s="2449"/>
      <c r="K7" s="2449"/>
      <c r="L7" s="2449"/>
      <c r="M7" s="3906">
        <f>TRAYECTORIA_EFICIENCIA_ENERGETICA_PRODUCCION_HIDROCARBUROS</f>
        <v>1</v>
      </c>
      <c r="N7" s="2448"/>
      <c r="O7" s="1596"/>
    </row>
    <row r="8" spans="1:15" ht="15" customHeight="1">
      <c r="D8" s="2445"/>
      <c r="E8" s="3905"/>
      <c r="F8" s="3905"/>
      <c r="G8" s="3905"/>
      <c r="H8" s="3905"/>
      <c r="I8" s="2450"/>
      <c r="J8" s="2450"/>
      <c r="K8" s="2450"/>
      <c r="L8" s="2450"/>
      <c r="M8" s="3907"/>
      <c r="N8" s="2448"/>
    </row>
    <row r="9" spans="1:15" ht="15" customHeight="1">
      <c r="D9" s="2445"/>
      <c r="E9" s="2445"/>
      <c r="F9" s="2445"/>
      <c r="G9" s="2445"/>
      <c r="H9" s="2445"/>
      <c r="I9" s="2445"/>
      <c r="J9" s="2445"/>
      <c r="K9" s="2445"/>
      <c r="L9" s="2445"/>
      <c r="M9" s="2445"/>
      <c r="N9" s="2445"/>
    </row>
    <row r="11" spans="1:15" ht="15" customHeight="1">
      <c r="D11" s="2451" t="s">
        <v>48</v>
      </c>
      <c r="E11" s="2452"/>
      <c r="F11" s="2452"/>
      <c r="G11" s="2452"/>
      <c r="H11" s="2452"/>
      <c r="I11" s="2452"/>
      <c r="J11" s="2452"/>
      <c r="K11" s="2452"/>
      <c r="L11" s="2452"/>
      <c r="M11" s="2452"/>
      <c r="N11" s="2452"/>
    </row>
    <row r="12" spans="1:15" ht="15" customHeight="1">
      <c r="D12" s="2453"/>
      <c r="E12" s="2454"/>
      <c r="F12" s="2454"/>
      <c r="G12" s="2454"/>
      <c r="H12" s="2454"/>
      <c r="I12" s="2454"/>
      <c r="J12" s="2454"/>
      <c r="K12" s="2454"/>
      <c r="L12" s="2454"/>
      <c r="M12" s="2454"/>
      <c r="N12" s="2454"/>
    </row>
    <row r="13" spans="1:15" ht="15" customHeight="1">
      <c r="D13" s="2455"/>
      <c r="E13" s="2456" t="s">
        <v>1625</v>
      </c>
      <c r="F13" s="2457"/>
      <c r="G13" s="2458"/>
      <c r="H13" s="2457"/>
      <c r="I13" s="2459"/>
      <c r="J13" s="2457"/>
      <c r="K13" s="2459"/>
      <c r="L13" s="2459"/>
      <c r="M13" s="2459"/>
      <c r="N13" s="2460"/>
    </row>
    <row r="14" spans="1:15" ht="15" customHeight="1">
      <c r="D14" s="2455"/>
      <c r="E14" s="2461"/>
      <c r="F14" s="2462"/>
      <c r="G14" s="2463"/>
      <c r="H14" s="2462"/>
      <c r="I14" s="2464"/>
      <c r="J14" s="2462"/>
      <c r="K14" s="2464"/>
      <c r="L14" s="2464"/>
      <c r="M14" s="2464"/>
      <c r="N14" s="2460"/>
    </row>
    <row r="15" spans="1:15" ht="15" customHeight="1">
      <c r="D15" s="2455"/>
      <c r="E15" s="2465" t="s">
        <v>494</v>
      </c>
      <c r="F15" s="2466"/>
      <c r="G15" s="2467"/>
      <c r="H15" s="2467"/>
      <c r="I15" s="2466"/>
      <c r="J15" s="2467"/>
      <c r="K15" s="2468"/>
      <c r="L15" s="2469"/>
      <c r="M15" s="2470" t="s">
        <v>9</v>
      </c>
      <c r="N15" s="2460"/>
    </row>
    <row r="16" spans="1:15" ht="15" customHeight="1">
      <c r="D16" s="2455"/>
      <c r="E16" s="2471" t="s">
        <v>321</v>
      </c>
      <c r="F16" s="2472">
        <v>2018</v>
      </c>
      <c r="G16" s="2472">
        <v>2020</v>
      </c>
      <c r="H16" s="2472">
        <v>2025</v>
      </c>
      <c r="I16" s="2472">
        <v>2030</v>
      </c>
      <c r="J16" s="2472">
        <v>2035</v>
      </c>
      <c r="K16" s="2472">
        <v>2040</v>
      </c>
      <c r="L16" s="2472">
        <v>2045</v>
      </c>
      <c r="M16" s="2472">
        <v>2050</v>
      </c>
      <c r="N16" s="2460"/>
    </row>
    <row r="17" spans="4:15" ht="15" customHeight="1">
      <c r="D17" s="2455"/>
      <c r="E17" s="2473" t="s">
        <v>294</v>
      </c>
      <c r="F17" s="2474">
        <v>0</v>
      </c>
      <c r="G17" s="2474">
        <v>0</v>
      </c>
      <c r="H17" s="2474">
        <v>0</v>
      </c>
      <c r="I17" s="2474">
        <v>0</v>
      </c>
      <c r="J17" s="2474">
        <v>0</v>
      </c>
      <c r="K17" s="2474">
        <v>0</v>
      </c>
      <c r="L17" s="2474">
        <v>0</v>
      </c>
      <c r="M17" s="2474">
        <v>0</v>
      </c>
      <c r="N17" s="2460"/>
    </row>
    <row r="18" spans="4:15" ht="15" customHeight="1">
      <c r="D18" s="2455"/>
      <c r="E18" s="2473" t="s">
        <v>296</v>
      </c>
      <c r="F18" s="2474" cm="1">
        <f t="array" ref="F18:M18">SALIDA_DEMANDA_IND_GASOLINA</f>
        <v>3.4012841742838877E-3</v>
      </c>
      <c r="G18" s="2474">
        <v>3.4012841742838877E-3</v>
      </c>
      <c r="H18" s="2474">
        <v>3.9178469702047464E-3</v>
      </c>
      <c r="I18" s="2474">
        <v>4.4411586881671541E-3</v>
      </c>
      <c r="J18" s="2475">
        <v>4.4411586881671541E-3</v>
      </c>
      <c r="K18" s="2474">
        <v>4.4411586881671541E-3</v>
      </c>
      <c r="L18" s="2476">
        <v>4.4411586881671541E-3</v>
      </c>
      <c r="M18" s="2476">
        <v>4.4411586881671541E-3</v>
      </c>
      <c r="N18" s="2460"/>
    </row>
    <row r="19" spans="4:15" ht="15" customHeight="1">
      <c r="D19" s="2455"/>
      <c r="E19" s="2473" t="s">
        <v>487</v>
      </c>
      <c r="F19" s="2474">
        <v>0</v>
      </c>
      <c r="G19" s="2474">
        <v>0</v>
      </c>
      <c r="H19" s="2474">
        <v>0</v>
      </c>
      <c r="I19" s="2474">
        <v>0</v>
      </c>
      <c r="J19" s="2475">
        <v>0</v>
      </c>
      <c r="K19" s="2474">
        <v>0</v>
      </c>
      <c r="L19" s="2476">
        <v>0</v>
      </c>
      <c r="M19" s="2476">
        <v>0</v>
      </c>
      <c r="N19" s="2477"/>
    </row>
    <row r="20" spans="4:15" ht="15" customHeight="1">
      <c r="D20" s="2455"/>
      <c r="E20" s="2473" t="s">
        <v>488</v>
      </c>
      <c r="F20" s="2474">
        <v>0</v>
      </c>
      <c r="G20" s="2474">
        <v>0</v>
      </c>
      <c r="H20" s="2474">
        <v>0</v>
      </c>
      <c r="I20" s="2474">
        <v>0</v>
      </c>
      <c r="J20" s="2475">
        <v>0</v>
      </c>
      <c r="K20" s="2474">
        <v>0</v>
      </c>
      <c r="L20" s="2476">
        <v>0</v>
      </c>
      <c r="M20" s="2476">
        <v>0</v>
      </c>
      <c r="N20" s="2477"/>
    </row>
    <row r="21" spans="4:15" ht="15" customHeight="1">
      <c r="D21" s="2455"/>
      <c r="E21" s="2473" t="s">
        <v>489</v>
      </c>
      <c r="F21" s="2478" cm="1">
        <f t="array" ref="F21:M21">SALIDA_DEMANDA_TRANS_CAR_GASOLINA+SALIDA_DEMANDA_TRANS_PAS_GASOLINA+SALIDA_DEMANDA_TRANS_PAS_GASOLINA</f>
        <v>3.9466392349357831</v>
      </c>
      <c r="G21" s="2478">
        <v>4.5586044316433458</v>
      </c>
      <c r="H21" s="2478">
        <v>5.2820947428959748</v>
      </c>
      <c r="I21" s="2478">
        <v>5.4742375151404827</v>
      </c>
      <c r="J21" s="2479">
        <v>5.9123469153912112</v>
      </c>
      <c r="K21" s="2478">
        <v>6.5138938376883191</v>
      </c>
      <c r="L21" s="2480">
        <v>7.0656956798735333</v>
      </c>
      <c r="M21" s="2480">
        <v>7.8059986856812227</v>
      </c>
      <c r="N21" s="2477"/>
    </row>
    <row r="22" spans="4:15" ht="15" customHeight="1">
      <c r="D22" s="2445"/>
      <c r="E22" s="2473" t="s">
        <v>306</v>
      </c>
      <c r="F22" s="2474">
        <v>0</v>
      </c>
      <c r="G22" s="2474">
        <v>0</v>
      </c>
      <c r="H22" s="2474">
        <v>0</v>
      </c>
      <c r="I22" s="2474">
        <v>0</v>
      </c>
      <c r="J22" s="2475">
        <v>0</v>
      </c>
      <c r="K22" s="2474">
        <v>0</v>
      </c>
      <c r="L22" s="2476">
        <v>0</v>
      </c>
      <c r="M22" s="2476">
        <v>0</v>
      </c>
      <c r="N22" s="2481"/>
    </row>
    <row r="23" spans="4:15" ht="15" customHeight="1">
      <c r="D23" s="2445"/>
      <c r="E23" s="2482" t="s">
        <v>354</v>
      </c>
      <c r="F23" s="2474">
        <v>0</v>
      </c>
      <c r="G23" s="2474">
        <v>0</v>
      </c>
      <c r="H23" s="2474">
        <v>0</v>
      </c>
      <c r="I23" s="2474">
        <v>0</v>
      </c>
      <c r="J23" s="2475">
        <v>0</v>
      </c>
      <c r="K23" s="2474">
        <v>0</v>
      </c>
      <c r="L23" s="2476">
        <v>0</v>
      </c>
      <c r="M23" s="2476">
        <v>0</v>
      </c>
      <c r="N23" s="2481"/>
      <c r="O23" s="3101"/>
    </row>
    <row r="24" spans="4:15" ht="15" customHeight="1">
      <c r="D24" s="2445"/>
      <c r="E24" s="2483" t="s">
        <v>1626</v>
      </c>
      <c r="F24" s="2484">
        <f>SUM(F17:F23)</f>
        <v>3.9500405191100669</v>
      </c>
      <c r="G24" s="2484">
        <f t="shared" ref="G24:M24" si="0">SUM(G17:G23)</f>
        <v>4.5620057158176301</v>
      </c>
      <c r="H24" s="2484">
        <f t="shared" si="0"/>
        <v>5.2860125898661794</v>
      </c>
      <c r="I24" s="2484">
        <f t="shared" si="0"/>
        <v>5.4786786738286501</v>
      </c>
      <c r="J24" s="2484">
        <f t="shared" si="0"/>
        <v>5.9167880740793786</v>
      </c>
      <c r="K24" s="2484">
        <f t="shared" si="0"/>
        <v>6.5183349963764865</v>
      </c>
      <c r="L24" s="2484">
        <f t="shared" si="0"/>
        <v>7.0701368385617007</v>
      </c>
      <c r="M24" s="2484">
        <f t="shared" si="0"/>
        <v>7.8104398443693901</v>
      </c>
      <c r="N24" s="2481"/>
    </row>
    <row r="25" spans="4:15" ht="15" customHeight="1">
      <c r="D25" s="2445"/>
      <c r="E25" s="2473"/>
      <c r="F25" s="2445"/>
      <c r="G25" s="2473"/>
      <c r="H25" s="2473"/>
      <c r="I25" s="2485"/>
      <c r="J25" s="2473"/>
      <c r="K25" s="2486"/>
      <c r="L25" s="2487"/>
      <c r="M25" s="2487"/>
      <c r="N25" s="2481"/>
    </row>
    <row r="26" spans="4:15" ht="15" customHeight="1">
      <c r="D26" s="2488"/>
      <c r="E26" s="2489" t="s">
        <v>526</v>
      </c>
      <c r="F26" s="2445"/>
      <c r="G26" s="2445"/>
      <c r="H26" s="2445"/>
      <c r="I26" s="2445"/>
      <c r="J26" s="2445"/>
      <c r="K26" s="2445"/>
      <c r="L26" s="2445"/>
      <c r="M26" s="2470" t="s">
        <v>9</v>
      </c>
      <c r="N26" s="2488"/>
    </row>
    <row r="27" spans="4:15" ht="15" customHeight="1">
      <c r="D27" s="2488"/>
      <c r="E27" s="2471" t="s">
        <v>321</v>
      </c>
      <c r="F27" s="2472">
        <v>2018</v>
      </c>
      <c r="G27" s="2472">
        <v>2020</v>
      </c>
      <c r="H27" s="2472">
        <v>2025</v>
      </c>
      <c r="I27" s="2472">
        <v>2030</v>
      </c>
      <c r="J27" s="2472">
        <v>2035</v>
      </c>
      <c r="K27" s="2472">
        <v>2040</v>
      </c>
      <c r="L27" s="2472">
        <v>2045</v>
      </c>
      <c r="M27" s="2472">
        <v>2050</v>
      </c>
      <c r="N27" s="2488"/>
    </row>
    <row r="28" spans="4:15" ht="15" customHeight="1">
      <c r="D28" s="2455"/>
      <c r="E28" s="2473" t="s">
        <v>294</v>
      </c>
      <c r="F28" s="2474"/>
      <c r="G28" s="2490"/>
      <c r="H28" s="2490"/>
      <c r="I28" s="2490"/>
      <c r="J28" s="2490"/>
      <c r="K28" s="2490"/>
      <c r="L28" s="2490"/>
      <c r="M28" s="2490"/>
      <c r="N28" s="2477"/>
    </row>
    <row r="29" spans="4:15" ht="15" customHeight="1">
      <c r="D29" s="2455"/>
      <c r="E29" s="2473" t="s">
        <v>296</v>
      </c>
      <c r="F29" s="2474" cm="1">
        <f t="array" ref="F29:M29">SALIDA_DEMANDA_IND_DIESEL</f>
        <v>5.4154731240435613E-2</v>
      </c>
      <c r="G29" s="2474">
        <v>5.4154731240435613E-2</v>
      </c>
      <c r="H29" s="2474">
        <v>6.3164018343519965E-2</v>
      </c>
      <c r="I29" s="2474">
        <v>7.2327049878170735E-2</v>
      </c>
      <c r="J29" s="2475">
        <v>7.2327049878170735E-2</v>
      </c>
      <c r="K29" s="2474">
        <v>7.2327049878170735E-2</v>
      </c>
      <c r="L29" s="2476">
        <v>7.2327049878170735E-2</v>
      </c>
      <c r="M29" s="2476">
        <v>7.2327049878170735E-2</v>
      </c>
      <c r="N29" s="2477"/>
    </row>
    <row r="30" spans="4:15" ht="15" customHeight="1">
      <c r="D30" s="2455"/>
      <c r="E30" s="2473" t="s">
        <v>487</v>
      </c>
      <c r="F30" s="2474">
        <v>0</v>
      </c>
      <c r="G30" s="2474">
        <v>0</v>
      </c>
      <c r="H30" s="2474">
        <v>0</v>
      </c>
      <c r="I30" s="2474">
        <v>0</v>
      </c>
      <c r="J30" s="2475">
        <v>0</v>
      </c>
      <c r="K30" s="2474">
        <v>0</v>
      </c>
      <c r="L30" s="2476">
        <v>0</v>
      </c>
      <c r="M30" s="2476">
        <v>0</v>
      </c>
      <c r="N30" s="2477"/>
    </row>
    <row r="31" spans="4:15" ht="15" customHeight="1">
      <c r="D31" s="2455"/>
      <c r="E31" s="2473" t="s">
        <v>488</v>
      </c>
      <c r="F31" s="2474" cm="1">
        <f t="array" ref="F31:M31">SALIDA_DEMANDA_EDI_COM_UTE_DIESEL</f>
        <v>7.725594468776438E-2</v>
      </c>
      <c r="G31" s="2474">
        <v>8.9665370820217624E-2</v>
      </c>
      <c r="H31" s="2474">
        <v>0.10659046257824199</v>
      </c>
      <c r="I31" s="2474">
        <v>0.1203354148824128</v>
      </c>
      <c r="J31" s="2475">
        <v>0.13253880307230317</v>
      </c>
      <c r="K31" s="2474">
        <v>0.14509025875741058</v>
      </c>
      <c r="L31" s="2476">
        <v>0.15795814962726171</v>
      </c>
      <c r="M31" s="2476">
        <v>0.17124018738856736</v>
      </c>
      <c r="N31" s="2477"/>
    </row>
    <row r="32" spans="4:15" ht="15" customHeight="1">
      <c r="D32" s="2455"/>
      <c r="E32" s="2473" t="s">
        <v>489</v>
      </c>
      <c r="F32" s="2478" cm="1">
        <f t="array" ref="F32:M32">SALIDA_DEMANDA_TRANS_CAR_DIESEL+SALIDA_DEMANDA_TRANS_PAS_DIESEL+SALIDA_DEMANDA_TRANS_NAV_DIESEL</f>
        <v>5.8778687394458817</v>
      </c>
      <c r="G32" s="2478">
        <v>6.7854054099061543</v>
      </c>
      <c r="H32" s="2478">
        <v>7.913694596026061</v>
      </c>
      <c r="I32" s="2478">
        <v>8.4747810740617275</v>
      </c>
      <c r="J32" s="2479">
        <v>8.6993736432198503</v>
      </c>
      <c r="K32" s="2478">
        <v>8.8583742046487668</v>
      </c>
      <c r="L32" s="2480">
        <v>9.3652358030083889</v>
      </c>
      <c r="M32" s="2480">
        <v>10.4591922264272</v>
      </c>
      <c r="N32" s="2477"/>
    </row>
    <row r="33" spans="4:14" ht="15" customHeight="1">
      <c r="D33" s="2445"/>
      <c r="E33" s="2473" t="s">
        <v>306</v>
      </c>
      <c r="F33" s="2474">
        <v>0</v>
      </c>
      <c r="G33" s="2474">
        <v>0</v>
      </c>
      <c r="H33" s="2474">
        <v>0</v>
      </c>
      <c r="I33" s="2474">
        <v>0</v>
      </c>
      <c r="J33" s="2475">
        <v>0</v>
      </c>
      <c r="K33" s="2474">
        <v>0</v>
      </c>
      <c r="L33" s="2476">
        <v>0</v>
      </c>
      <c r="M33" s="2476">
        <v>0</v>
      </c>
      <c r="N33" s="2481"/>
    </row>
    <row r="34" spans="4:14" ht="15" customHeight="1">
      <c r="D34" s="2445"/>
      <c r="E34" s="2482" t="s">
        <v>354</v>
      </c>
      <c r="F34" s="2474">
        <v>0</v>
      </c>
      <c r="G34" s="2474">
        <v>0</v>
      </c>
      <c r="H34" s="2474">
        <v>0</v>
      </c>
      <c r="I34" s="2474">
        <v>0</v>
      </c>
      <c r="J34" s="2475">
        <v>0</v>
      </c>
      <c r="K34" s="2474">
        <v>0</v>
      </c>
      <c r="L34" s="2476">
        <v>0</v>
      </c>
      <c r="M34" s="2476">
        <v>0</v>
      </c>
      <c r="N34" s="2481"/>
    </row>
    <row r="35" spans="4:14" ht="15" customHeight="1">
      <c r="D35" s="2445"/>
      <c r="E35" s="2483" t="s">
        <v>1626</v>
      </c>
      <c r="F35" s="2484">
        <f t="shared" ref="F35:M35" si="1">SUM(F28:F34)</f>
        <v>6.0092794153740821</v>
      </c>
      <c r="G35" s="2484">
        <f t="shared" si="1"/>
        <v>6.9292255119668074</v>
      </c>
      <c r="H35" s="2484">
        <f t="shared" si="1"/>
        <v>8.0834490769478222</v>
      </c>
      <c r="I35" s="2484">
        <f t="shared" si="1"/>
        <v>8.6674435388223117</v>
      </c>
      <c r="J35" s="2484">
        <f t="shared" si="1"/>
        <v>8.9042394961703248</v>
      </c>
      <c r="K35" s="2484">
        <f t="shared" si="1"/>
        <v>9.075791513284349</v>
      </c>
      <c r="L35" s="2484">
        <f t="shared" si="1"/>
        <v>9.5955210025138218</v>
      </c>
      <c r="M35" s="2484">
        <f t="shared" si="1"/>
        <v>10.702759463693939</v>
      </c>
      <c r="N35" s="2481"/>
    </row>
    <row r="36" spans="4:14" ht="15" customHeight="1">
      <c r="D36" s="2445"/>
      <c r="E36" s="2473"/>
      <c r="F36" s="2491"/>
      <c r="G36" s="2492"/>
      <c r="H36" s="2492"/>
      <c r="I36" s="2474"/>
      <c r="J36" s="2492"/>
      <c r="K36" s="2474"/>
      <c r="L36" s="2493"/>
      <c r="M36" s="2493"/>
      <c r="N36" s="2481"/>
    </row>
    <row r="37" spans="4:14" ht="15" customHeight="1">
      <c r="D37" s="2445"/>
      <c r="E37" s="2489" t="s">
        <v>537</v>
      </c>
      <c r="F37" s="2445"/>
      <c r="G37" s="2445"/>
      <c r="H37" s="2445"/>
      <c r="I37" s="2445"/>
      <c r="J37" s="2445"/>
      <c r="K37" s="2445"/>
      <c r="L37" s="2445"/>
      <c r="M37" s="2470" t="s">
        <v>9</v>
      </c>
      <c r="N37" s="2481"/>
    </row>
    <row r="38" spans="4:14" ht="15" customHeight="1">
      <c r="D38" s="2445"/>
      <c r="E38" s="2471" t="s">
        <v>321</v>
      </c>
      <c r="F38" s="2472">
        <v>2018</v>
      </c>
      <c r="G38" s="2472">
        <v>2020</v>
      </c>
      <c r="H38" s="2472">
        <v>2025</v>
      </c>
      <c r="I38" s="2472">
        <v>2030</v>
      </c>
      <c r="J38" s="2472">
        <v>2035</v>
      </c>
      <c r="K38" s="2472">
        <v>2040</v>
      </c>
      <c r="L38" s="2472">
        <v>2045</v>
      </c>
      <c r="M38" s="2472">
        <v>2050</v>
      </c>
      <c r="N38" s="2481"/>
    </row>
    <row r="39" spans="4:14" ht="15" customHeight="1">
      <c r="D39" s="2445"/>
      <c r="E39" s="2473" t="s">
        <v>294</v>
      </c>
      <c r="F39" s="2474">
        <v>0</v>
      </c>
      <c r="G39" s="2474">
        <v>0</v>
      </c>
      <c r="H39" s="2474">
        <v>0</v>
      </c>
      <c r="I39" s="2474">
        <v>0</v>
      </c>
      <c r="J39" s="2475">
        <v>0</v>
      </c>
      <c r="K39" s="2474">
        <v>0</v>
      </c>
      <c r="L39" s="2476">
        <v>0</v>
      </c>
      <c r="M39" s="2476">
        <v>0</v>
      </c>
      <c r="N39" s="2481"/>
    </row>
    <row r="40" spans="4:14" ht="15" customHeight="1">
      <c r="D40" s="2445"/>
      <c r="E40" s="2473" t="s">
        <v>296</v>
      </c>
      <c r="F40" s="2474" cm="1">
        <f t="array" ref="F40:M40">SALIDA_DEMANDA_IND_FUELOIL</f>
        <v>8.5618454762176627E-3</v>
      </c>
      <c r="G40" s="2474">
        <v>8.5618454762176627E-3</v>
      </c>
      <c r="H40" s="2474">
        <v>9.9679769823530964E-3</v>
      </c>
      <c r="I40" s="2474">
        <v>1.1394699896138992E-2</v>
      </c>
      <c r="J40" s="2475">
        <v>1.1394699896138992E-2</v>
      </c>
      <c r="K40" s="2474">
        <v>1.1394699896138992E-2</v>
      </c>
      <c r="L40" s="2476">
        <v>1.1394699896138992E-2</v>
      </c>
      <c r="M40" s="2476">
        <v>1.1394699896138992E-2</v>
      </c>
      <c r="N40" s="2494"/>
    </row>
    <row r="41" spans="4:14" ht="15" customHeight="1">
      <c r="D41" s="2445"/>
      <c r="E41" s="2473" t="s">
        <v>487</v>
      </c>
      <c r="F41" s="2474">
        <v>0</v>
      </c>
      <c r="G41" s="2474">
        <v>0</v>
      </c>
      <c r="H41" s="2474">
        <v>0</v>
      </c>
      <c r="I41" s="2474">
        <v>0</v>
      </c>
      <c r="J41" s="2475">
        <v>0</v>
      </c>
      <c r="K41" s="2474">
        <v>0</v>
      </c>
      <c r="L41" s="2476">
        <v>0</v>
      </c>
      <c r="M41" s="2476">
        <v>0</v>
      </c>
      <c r="N41" s="2481"/>
    </row>
    <row r="42" spans="4:14" ht="15" customHeight="1">
      <c r="D42" s="2445"/>
      <c r="E42" s="2473" t="s">
        <v>488</v>
      </c>
      <c r="F42" s="2474" cm="1">
        <f t="array" ref="F42:M42">SALIDA_DEMANDA_EDI_COM_UTE_FUELOIL</f>
        <v>1.4778755559591468E-4</v>
      </c>
      <c r="G42" s="2474">
        <v>1.715262952084507E-4</v>
      </c>
      <c r="H42" s="2474">
        <v>2.0390332391820529E-4</v>
      </c>
      <c r="I42" s="2474">
        <v>2.3019687208496032E-4</v>
      </c>
      <c r="J42" s="2475">
        <v>2.5354146929182787E-4</v>
      </c>
      <c r="K42" s="2474">
        <v>2.7755190580088153E-4</v>
      </c>
      <c r="L42" s="2476">
        <v>3.0216767025779436E-4</v>
      </c>
      <c r="M42" s="2476">
        <v>3.2757568127894323E-4</v>
      </c>
      <c r="N42" s="2481"/>
    </row>
    <row r="43" spans="4:14" ht="15" customHeight="1">
      <c r="D43" s="2445"/>
      <c r="E43" s="2473" t="s">
        <v>489</v>
      </c>
      <c r="F43" s="2474">
        <v>0</v>
      </c>
      <c r="G43" s="2474">
        <v>0</v>
      </c>
      <c r="H43" s="2474">
        <v>0</v>
      </c>
      <c r="I43" s="2474">
        <v>0</v>
      </c>
      <c r="J43" s="2475">
        <v>0</v>
      </c>
      <c r="K43" s="2474">
        <v>0</v>
      </c>
      <c r="L43" s="2476">
        <v>0</v>
      </c>
      <c r="M43" s="2476">
        <v>0</v>
      </c>
      <c r="N43" s="2481"/>
    </row>
    <row r="44" spans="4:14" ht="15" customHeight="1">
      <c r="D44" s="2445"/>
      <c r="E44" s="2473" t="s">
        <v>306</v>
      </c>
      <c r="F44" s="2474">
        <v>0</v>
      </c>
      <c r="G44" s="2474">
        <v>0</v>
      </c>
      <c r="H44" s="2474">
        <v>0</v>
      </c>
      <c r="I44" s="2474">
        <v>0</v>
      </c>
      <c r="J44" s="2475">
        <v>0</v>
      </c>
      <c r="K44" s="2474">
        <v>0</v>
      </c>
      <c r="L44" s="2476">
        <v>0</v>
      </c>
      <c r="M44" s="2476">
        <v>0</v>
      </c>
      <c r="N44" s="2481"/>
    </row>
    <row r="45" spans="4:14" ht="15" customHeight="1">
      <c r="D45" s="2445"/>
      <c r="E45" s="2482" t="s">
        <v>354</v>
      </c>
      <c r="F45" s="2495">
        <v>0</v>
      </c>
      <c r="G45" s="2495">
        <v>0</v>
      </c>
      <c r="H45" s="2495">
        <v>0</v>
      </c>
      <c r="I45" s="2495">
        <v>0</v>
      </c>
      <c r="J45" s="2496">
        <v>0</v>
      </c>
      <c r="K45" s="2495">
        <v>0</v>
      </c>
      <c r="L45" s="2497">
        <v>0</v>
      </c>
      <c r="M45" s="2497">
        <v>0</v>
      </c>
      <c r="N45" s="2481"/>
    </row>
    <row r="46" spans="4:14" ht="15" customHeight="1">
      <c r="D46" s="2445"/>
      <c r="E46" s="2483" t="s">
        <v>1626</v>
      </c>
      <c r="F46" s="2484">
        <f t="shared" ref="F46:M46" si="2">SUM(F39:F45)</f>
        <v>8.7096330318135774E-3</v>
      </c>
      <c r="G46" s="2484">
        <f t="shared" si="2"/>
        <v>8.7333717714261141E-3</v>
      </c>
      <c r="H46" s="2484">
        <f t="shared" si="2"/>
        <v>1.0171880306271301E-2</v>
      </c>
      <c r="I46" s="2484">
        <f t="shared" si="2"/>
        <v>1.1624896768223952E-2</v>
      </c>
      <c r="J46" s="2484">
        <f t="shared" si="2"/>
        <v>1.1648241365430819E-2</v>
      </c>
      <c r="K46" s="2484">
        <f t="shared" si="2"/>
        <v>1.1672251801939874E-2</v>
      </c>
      <c r="L46" s="2484">
        <f t="shared" si="2"/>
        <v>1.1696867566396787E-2</v>
      </c>
      <c r="M46" s="2484">
        <f t="shared" si="2"/>
        <v>1.1722275577417935E-2</v>
      </c>
      <c r="N46" s="2481"/>
    </row>
    <row r="47" spans="4:14" ht="15" customHeight="1">
      <c r="D47" s="2488"/>
      <c r="E47" s="2445"/>
      <c r="F47" s="2445"/>
      <c r="G47" s="2445"/>
      <c r="H47" s="2445"/>
      <c r="I47" s="2445"/>
      <c r="J47" s="2445"/>
      <c r="K47" s="2445"/>
      <c r="L47" s="2445"/>
      <c r="M47" s="2445"/>
      <c r="N47" s="2488"/>
    </row>
    <row r="48" spans="4:14" ht="15" customHeight="1">
      <c r="D48" s="2488"/>
      <c r="E48" s="2489" t="s">
        <v>513</v>
      </c>
      <c r="F48" s="2445"/>
      <c r="G48" s="2445"/>
      <c r="H48" s="2445"/>
      <c r="I48" s="2445"/>
      <c r="J48" s="2445"/>
      <c r="K48" s="2445"/>
      <c r="L48" s="2445"/>
      <c r="M48" s="2470" t="s">
        <v>9</v>
      </c>
      <c r="N48" s="2488"/>
    </row>
    <row r="49" spans="4:14" ht="15" customHeight="1">
      <c r="D49" s="2488"/>
      <c r="E49" s="2471" t="s">
        <v>321</v>
      </c>
      <c r="F49" s="2472">
        <v>2018</v>
      </c>
      <c r="G49" s="2472">
        <v>2020</v>
      </c>
      <c r="H49" s="2472">
        <v>2025</v>
      </c>
      <c r="I49" s="2472">
        <v>2030</v>
      </c>
      <c r="J49" s="2472">
        <v>2035</v>
      </c>
      <c r="K49" s="2472">
        <v>2040</v>
      </c>
      <c r="L49" s="2472">
        <v>2045</v>
      </c>
      <c r="M49" s="2472">
        <v>2050</v>
      </c>
      <c r="N49" s="2488"/>
    </row>
    <row r="50" spans="4:14" ht="15" customHeight="1">
      <c r="D50" s="2455"/>
      <c r="E50" s="2473" t="s">
        <v>294</v>
      </c>
      <c r="F50" s="2474"/>
      <c r="G50" s="2490"/>
      <c r="H50" s="2490"/>
      <c r="I50" s="2490"/>
      <c r="J50" s="2490"/>
      <c r="K50" s="2490"/>
      <c r="L50" s="2490"/>
      <c r="M50" s="2490"/>
      <c r="N50" s="2477"/>
    </row>
    <row r="51" spans="4:14" ht="15" customHeight="1">
      <c r="D51" s="2455"/>
      <c r="E51" s="2473" t="s">
        <v>296</v>
      </c>
      <c r="F51" s="2474" cm="1">
        <f t="array" ref="F51:M51">SALIDA_DEMANDA_IND_GN</f>
        <v>1.3242476867703259</v>
      </c>
      <c r="G51" s="2474">
        <v>1.3242476867703259</v>
      </c>
      <c r="H51" s="2474">
        <v>1.5461771887129547</v>
      </c>
      <c r="I51" s="2474">
        <v>1.7667438739010923</v>
      </c>
      <c r="J51" s="2475">
        <v>1.7667438739010923</v>
      </c>
      <c r="K51" s="2474">
        <v>1.7667438739010923</v>
      </c>
      <c r="L51" s="2476">
        <v>1.7667438739010923</v>
      </c>
      <c r="M51" s="2476">
        <v>1.7667438739010923</v>
      </c>
      <c r="N51" s="2477"/>
    </row>
    <row r="52" spans="4:14" ht="15" customHeight="1">
      <c r="D52" s="2455"/>
      <c r="E52" s="2473" t="s">
        <v>487</v>
      </c>
      <c r="F52" s="2474">
        <v>0</v>
      </c>
      <c r="G52" s="2474">
        <v>0</v>
      </c>
      <c r="H52" s="2474">
        <v>0</v>
      </c>
      <c r="I52" s="2474">
        <v>0</v>
      </c>
      <c r="J52" s="2475">
        <v>0</v>
      </c>
      <c r="K52" s="2474">
        <v>0</v>
      </c>
      <c r="L52" s="2476">
        <v>0</v>
      </c>
      <c r="M52" s="2476">
        <v>0</v>
      </c>
      <c r="N52" s="2477"/>
    </row>
    <row r="53" spans="4:14" ht="15" customHeight="1">
      <c r="D53" s="2455"/>
      <c r="E53" s="2473" t="s">
        <v>488</v>
      </c>
      <c r="F53" s="2474" cm="1">
        <f t="array" ref="F53:M53">SALIDA_DEMANDA_EDI_RES_URB_IRCO_GN+SALIDA_DEMANDA_EDI_COM_UTE_GN</f>
        <v>1.569993122970027</v>
      </c>
      <c r="G53" s="2474">
        <v>1.7901505464116017</v>
      </c>
      <c r="H53" s="2474">
        <v>2.2249696656521118</v>
      </c>
      <c r="I53" s="2474">
        <v>2.6140824442370127</v>
      </c>
      <c r="J53" s="2475">
        <v>2.9587902420562533</v>
      </c>
      <c r="K53" s="2474">
        <v>3.2966210274366361</v>
      </c>
      <c r="L53" s="2476">
        <v>3.6364348007864296</v>
      </c>
      <c r="M53" s="2476">
        <v>3.9802869238034635</v>
      </c>
      <c r="N53" s="2477"/>
    </row>
    <row r="54" spans="4:14" ht="15" customHeight="1">
      <c r="D54" s="2455"/>
      <c r="E54" s="2473" t="s">
        <v>489</v>
      </c>
      <c r="F54" s="2478" cm="1">
        <f t="array" ref="F54:M54">SALIDA_DEMANDA_TRANS_CAR_GNC+SALIDA_DEMANDA_TRANS_CAR_GNL+SALIDA_DEMANDA_TRANS_PAS_GN</f>
        <v>0.17616184254380915</v>
      </c>
      <c r="G54" s="2478">
        <v>0.21526708706271147</v>
      </c>
      <c r="H54" s="2478">
        <v>0.31368063463743179</v>
      </c>
      <c r="I54" s="2478">
        <v>0.51234603138863222</v>
      </c>
      <c r="J54" s="2479">
        <v>1.0041041080735948</v>
      </c>
      <c r="K54" s="2478">
        <v>1.8141524075256803</v>
      </c>
      <c r="L54" s="2480">
        <v>2.6345583771807419</v>
      </c>
      <c r="M54" s="2480">
        <v>3.3970845547648603</v>
      </c>
      <c r="N54" s="2477"/>
    </row>
    <row r="55" spans="4:14" ht="15" customHeight="1">
      <c r="D55" s="2445"/>
      <c r="E55" s="2473" t="s">
        <v>306</v>
      </c>
      <c r="F55" s="2474">
        <v>0</v>
      </c>
      <c r="G55" s="2474">
        <v>0</v>
      </c>
      <c r="H55" s="2474">
        <v>0</v>
      </c>
      <c r="I55" s="2474">
        <v>0</v>
      </c>
      <c r="J55" s="2475">
        <v>0</v>
      </c>
      <c r="K55" s="2474">
        <v>0</v>
      </c>
      <c r="L55" s="2476">
        <v>0</v>
      </c>
      <c r="M55" s="2476">
        <v>0</v>
      </c>
      <c r="N55" s="2481"/>
    </row>
    <row r="56" spans="4:14" ht="15" customHeight="1">
      <c r="D56" s="2445"/>
      <c r="E56" s="2482" t="s">
        <v>354</v>
      </c>
      <c r="F56" s="2495">
        <v>0</v>
      </c>
      <c r="G56" s="2495">
        <v>0</v>
      </c>
      <c r="H56" s="2495">
        <v>0</v>
      </c>
      <c r="I56" s="2495">
        <v>0</v>
      </c>
      <c r="J56" s="2496">
        <v>0</v>
      </c>
      <c r="K56" s="2495">
        <v>0</v>
      </c>
      <c r="L56" s="2497">
        <v>0</v>
      </c>
      <c r="M56" s="2497">
        <v>0</v>
      </c>
      <c r="N56" s="2481"/>
    </row>
    <row r="57" spans="4:14" ht="15" customHeight="1">
      <c r="D57" s="2445"/>
      <c r="E57" s="2483" t="s">
        <v>1626</v>
      </c>
      <c r="F57" s="2484">
        <f t="shared" ref="F57:M57" si="3">SUM(F50:F56)</f>
        <v>3.0704026522841619</v>
      </c>
      <c r="G57" s="2484">
        <f t="shared" si="3"/>
        <v>3.3296653202446391</v>
      </c>
      <c r="H57" s="2484">
        <f t="shared" si="3"/>
        <v>4.0848274890024987</v>
      </c>
      <c r="I57" s="2484">
        <f t="shared" si="3"/>
        <v>4.8931723495267372</v>
      </c>
      <c r="J57" s="2484">
        <f t="shared" si="3"/>
        <v>5.7296382240309409</v>
      </c>
      <c r="K57" s="2484">
        <f t="shared" si="3"/>
        <v>6.8775173088634087</v>
      </c>
      <c r="L57" s="2484">
        <f t="shared" si="3"/>
        <v>8.0377370518682643</v>
      </c>
      <c r="M57" s="2484">
        <f t="shared" si="3"/>
        <v>9.1441153524694165</v>
      </c>
      <c r="N57" s="2481"/>
    </row>
    <row r="58" spans="4:14" ht="15" customHeight="1">
      <c r="D58" s="2488"/>
      <c r="E58" s="2445"/>
      <c r="F58" s="2445"/>
      <c r="G58" s="2445"/>
      <c r="H58" s="2445"/>
      <c r="I58" s="2445"/>
      <c r="J58" s="2445"/>
      <c r="K58" s="2445"/>
      <c r="L58" s="2445"/>
      <c r="M58" s="2445"/>
      <c r="N58" s="2488"/>
    </row>
    <row r="59" spans="4:14" ht="15" customHeight="1">
      <c r="D59" s="2488"/>
      <c r="E59" s="2489" t="s">
        <v>498</v>
      </c>
      <c r="F59" s="2445"/>
      <c r="G59" s="2445"/>
      <c r="H59" s="2445"/>
      <c r="I59" s="2445"/>
      <c r="J59" s="2445"/>
      <c r="K59" s="2445"/>
      <c r="L59" s="2445"/>
      <c r="M59" s="2470" t="s">
        <v>9</v>
      </c>
      <c r="N59" s="2488"/>
    </row>
    <row r="60" spans="4:14" ht="15" customHeight="1">
      <c r="D60" s="2488"/>
      <c r="E60" s="2471" t="s">
        <v>321</v>
      </c>
      <c r="F60" s="2472">
        <v>2018</v>
      </c>
      <c r="G60" s="2472">
        <v>2020</v>
      </c>
      <c r="H60" s="2472">
        <v>2025</v>
      </c>
      <c r="I60" s="2472">
        <v>2030</v>
      </c>
      <c r="J60" s="2472">
        <v>2035</v>
      </c>
      <c r="K60" s="2472">
        <v>2040</v>
      </c>
      <c r="L60" s="2472">
        <v>2045</v>
      </c>
      <c r="M60" s="2472">
        <v>2050</v>
      </c>
      <c r="N60" s="2488"/>
    </row>
    <row r="61" spans="4:14" ht="15" customHeight="1">
      <c r="D61" s="2455"/>
      <c r="E61" s="2473" t="s">
        <v>294</v>
      </c>
      <c r="F61" s="2474"/>
      <c r="G61" s="2490"/>
      <c r="H61" s="2490"/>
      <c r="I61" s="2490"/>
      <c r="J61" s="2490"/>
      <c r="K61" s="2490"/>
      <c r="L61" s="2490"/>
      <c r="M61" s="2490"/>
      <c r="N61" s="2477"/>
    </row>
    <row r="62" spans="4:14" ht="15" customHeight="1">
      <c r="D62" s="2455"/>
      <c r="E62" s="2473" t="s">
        <v>296</v>
      </c>
      <c r="F62" s="2474" cm="1">
        <f t="array" ref="F62:M62">SALIDA_DEMANDA_IND_GLP</f>
        <v>1.7322703076441241E-2</v>
      </c>
      <c r="G62" s="2474">
        <v>1.7322703076441241E-2</v>
      </c>
      <c r="H62" s="2474">
        <v>1.9960626015659177E-2</v>
      </c>
      <c r="I62" s="2474">
        <v>2.263483738254566E-2</v>
      </c>
      <c r="J62" s="2475">
        <v>2.263483738254566E-2</v>
      </c>
      <c r="K62" s="2474">
        <v>2.263483738254566E-2</v>
      </c>
      <c r="L62" s="2476">
        <v>2.263483738254566E-2</v>
      </c>
      <c r="M62" s="2476">
        <v>2.263483738254566E-2</v>
      </c>
      <c r="N62" s="2477"/>
    </row>
    <row r="63" spans="4:14" ht="15" customHeight="1">
      <c r="D63" s="2455"/>
      <c r="E63" s="2473" t="s">
        <v>487</v>
      </c>
      <c r="F63" s="2474">
        <v>0</v>
      </c>
      <c r="G63" s="2474">
        <v>0</v>
      </c>
      <c r="H63" s="2474">
        <v>0</v>
      </c>
      <c r="I63" s="2474">
        <v>0</v>
      </c>
      <c r="J63" s="2475">
        <v>0</v>
      </c>
      <c r="K63" s="2474">
        <v>0</v>
      </c>
      <c r="L63" s="2476">
        <v>0</v>
      </c>
      <c r="M63" s="2476">
        <v>0</v>
      </c>
      <c r="N63" s="2477"/>
    </row>
    <row r="64" spans="4:14" ht="15" customHeight="1">
      <c r="D64" s="2455"/>
      <c r="E64" s="2473" t="s">
        <v>488</v>
      </c>
      <c r="F64" s="2474" cm="1">
        <f t="array" ref="F64:M64">SALIDA_DEMANDA_EDI_COM_UTE_GLP+SALIDA_DEMANDA_EDI_RES_RURAL_HIDROCARBUROS_GLP+SALIDA_DEMANDA_EDI_RES_URB_IRCO_GLP</f>
        <v>0.71706051129351844</v>
      </c>
      <c r="G64" s="2474">
        <v>0.80093955160299546</v>
      </c>
      <c r="H64" s="2474">
        <v>0.95509737168718012</v>
      </c>
      <c r="I64" s="2474">
        <v>1.0872944846119945</v>
      </c>
      <c r="J64" s="2475">
        <v>1.2188852161409978</v>
      </c>
      <c r="K64" s="2474">
        <v>1.3479274372992054</v>
      </c>
      <c r="L64" s="2476">
        <v>1.4783693150484847</v>
      </c>
      <c r="M64" s="2476">
        <v>1.6110496135206667</v>
      </c>
      <c r="N64" s="2477"/>
    </row>
    <row r="65" spans="4:14" ht="15" customHeight="1">
      <c r="D65" s="2455"/>
      <c r="E65" s="2473" t="s">
        <v>489</v>
      </c>
      <c r="F65" s="2474" cm="1">
        <f t="array" ref="F65:M65">SALIDA_DEMANDA_TRANS_CAR_GLP+SALIDA_DEMANDA_TRANS_PAS_GLP</f>
        <v>0</v>
      </c>
      <c r="G65" s="2474">
        <v>0</v>
      </c>
      <c r="H65" s="2474">
        <v>0</v>
      </c>
      <c r="I65" s="2474">
        <v>0</v>
      </c>
      <c r="J65" s="2475">
        <v>0</v>
      </c>
      <c r="K65" s="2474">
        <v>0</v>
      </c>
      <c r="L65" s="2476">
        <v>0</v>
      </c>
      <c r="M65" s="2476">
        <v>0</v>
      </c>
      <c r="N65" s="2477"/>
    </row>
    <row r="66" spans="4:14" ht="15" customHeight="1">
      <c r="D66" s="2445"/>
      <c r="E66" s="2473" t="s">
        <v>306</v>
      </c>
      <c r="F66" s="2474">
        <v>0</v>
      </c>
      <c r="G66" s="2474">
        <v>0</v>
      </c>
      <c r="H66" s="2474">
        <v>0</v>
      </c>
      <c r="I66" s="2474">
        <v>0</v>
      </c>
      <c r="J66" s="2475">
        <v>0</v>
      </c>
      <c r="K66" s="2474">
        <v>0</v>
      </c>
      <c r="L66" s="2476">
        <v>0</v>
      </c>
      <c r="M66" s="2476">
        <v>0</v>
      </c>
      <c r="N66" s="2481"/>
    </row>
    <row r="67" spans="4:14" ht="15" customHeight="1">
      <c r="D67" s="2445"/>
      <c r="E67" s="2482" t="s">
        <v>354</v>
      </c>
      <c r="F67" s="2495">
        <v>0</v>
      </c>
      <c r="G67" s="2495">
        <v>0</v>
      </c>
      <c r="H67" s="2495">
        <v>0</v>
      </c>
      <c r="I67" s="2495">
        <v>0</v>
      </c>
      <c r="J67" s="2496">
        <v>0</v>
      </c>
      <c r="K67" s="2495">
        <v>0</v>
      </c>
      <c r="L67" s="2497">
        <v>0</v>
      </c>
      <c r="M67" s="2497">
        <v>0</v>
      </c>
      <c r="N67" s="2481"/>
    </row>
    <row r="68" spans="4:14" ht="15" customHeight="1">
      <c r="D68" s="2445"/>
      <c r="E68" s="2483" t="s">
        <v>1626</v>
      </c>
      <c r="F68" s="2484">
        <f t="shared" ref="F68:M68" si="4">SUM(F61:F67)</f>
        <v>0.73438321436995968</v>
      </c>
      <c r="G68" s="2484">
        <f t="shared" si="4"/>
        <v>0.8182622546794367</v>
      </c>
      <c r="H68" s="2484">
        <f t="shared" si="4"/>
        <v>0.9750579977028393</v>
      </c>
      <c r="I68" s="2484">
        <f t="shared" si="4"/>
        <v>1.1099293219945401</v>
      </c>
      <c r="J68" s="2484">
        <f t="shared" si="4"/>
        <v>1.2415200535235433</v>
      </c>
      <c r="K68" s="2484">
        <f t="shared" si="4"/>
        <v>1.370562274681751</v>
      </c>
      <c r="L68" s="2484">
        <f t="shared" si="4"/>
        <v>1.5010041524310302</v>
      </c>
      <c r="M68" s="2484">
        <f t="shared" si="4"/>
        <v>1.6336844509032122</v>
      </c>
      <c r="N68" s="2481"/>
    </row>
    <row r="69" spans="4:14" ht="15" customHeight="1">
      <c r="D69" s="2488"/>
      <c r="E69" s="2445"/>
      <c r="F69" s="2445"/>
      <c r="G69" s="2445"/>
      <c r="H69" s="2445"/>
      <c r="I69" s="2445"/>
      <c r="J69" s="2445"/>
      <c r="K69" s="2445"/>
      <c r="L69" s="2445"/>
      <c r="M69" s="2445"/>
      <c r="N69" s="2488"/>
    </row>
    <row r="70" spans="4:14" ht="15" customHeight="1">
      <c r="D70" s="2488"/>
      <c r="E70" s="2489" t="s">
        <v>514</v>
      </c>
      <c r="F70" s="2445"/>
      <c r="G70" s="2445"/>
      <c r="H70" s="2445"/>
      <c r="I70" s="2445"/>
      <c r="J70" s="2445"/>
      <c r="K70" s="2445"/>
      <c r="L70" s="2445"/>
      <c r="M70" s="2470" t="s">
        <v>9</v>
      </c>
      <c r="N70" s="2488"/>
    </row>
    <row r="71" spans="4:14" ht="15" customHeight="1">
      <c r="D71" s="2488"/>
      <c r="E71" s="2471" t="s">
        <v>321</v>
      </c>
      <c r="F71" s="2472">
        <v>2018</v>
      </c>
      <c r="G71" s="2472">
        <v>2020</v>
      </c>
      <c r="H71" s="2472">
        <v>2025</v>
      </c>
      <c r="I71" s="2472">
        <v>2030</v>
      </c>
      <c r="J71" s="2472">
        <v>2035</v>
      </c>
      <c r="K71" s="2472">
        <v>2040</v>
      </c>
      <c r="L71" s="2472">
        <v>2045</v>
      </c>
      <c r="M71" s="2472">
        <v>2050</v>
      </c>
      <c r="N71" s="2488"/>
    </row>
    <row r="72" spans="4:14" ht="15" customHeight="1">
      <c r="D72" s="2455"/>
      <c r="E72" s="2473" t="s">
        <v>294</v>
      </c>
      <c r="F72" s="2474"/>
      <c r="G72" s="2490"/>
      <c r="H72" s="2490"/>
      <c r="I72" s="2490"/>
      <c r="J72" s="2490"/>
      <c r="K72" s="2490"/>
      <c r="L72" s="2490"/>
      <c r="M72" s="2490"/>
      <c r="N72" s="2477"/>
    </row>
    <row r="73" spans="4:14" ht="15" customHeight="1">
      <c r="D73" s="2455"/>
      <c r="E73" s="2473" t="s">
        <v>296</v>
      </c>
      <c r="F73" s="2474" cm="1">
        <f t="array" ref="F73:M73">SALIDA_DEMANDA_IND_CARBONMINERAL</f>
        <v>2.9678592853414019</v>
      </c>
      <c r="G73" s="2474">
        <v>2.9678592853414019</v>
      </c>
      <c r="H73" s="2474">
        <v>3.5323114638621034</v>
      </c>
      <c r="I73" s="2474">
        <v>4.060843403949713</v>
      </c>
      <c r="J73" s="2475">
        <v>4.060843403949713</v>
      </c>
      <c r="K73" s="2474">
        <v>4.060843403949713</v>
      </c>
      <c r="L73" s="2476">
        <v>4.060843403949713</v>
      </c>
      <c r="M73" s="2476">
        <v>4.060843403949713</v>
      </c>
      <c r="N73" s="2477"/>
    </row>
    <row r="74" spans="4:14" ht="15" customHeight="1">
      <c r="D74" s="2455"/>
      <c r="E74" s="2473" t="s">
        <v>487</v>
      </c>
      <c r="F74" s="2474">
        <v>0</v>
      </c>
      <c r="G74" s="2474">
        <v>0</v>
      </c>
      <c r="H74" s="2474">
        <v>0</v>
      </c>
      <c r="I74" s="2474">
        <v>0</v>
      </c>
      <c r="J74" s="2475">
        <v>0</v>
      </c>
      <c r="K74" s="2474">
        <v>0</v>
      </c>
      <c r="L74" s="2476">
        <v>0</v>
      </c>
      <c r="M74" s="2476">
        <v>0</v>
      </c>
      <c r="N74" s="2477"/>
    </row>
    <row r="75" spans="4:14" ht="15" customHeight="1">
      <c r="D75" s="2455"/>
      <c r="E75" s="2473" t="s">
        <v>488</v>
      </c>
      <c r="F75" s="2474">
        <v>0</v>
      </c>
      <c r="G75" s="2474">
        <v>0</v>
      </c>
      <c r="H75" s="2474">
        <v>0</v>
      </c>
      <c r="I75" s="2474">
        <v>0</v>
      </c>
      <c r="J75" s="2475">
        <v>0</v>
      </c>
      <c r="K75" s="2474">
        <v>0</v>
      </c>
      <c r="L75" s="2476">
        <v>0</v>
      </c>
      <c r="M75" s="2476">
        <v>0</v>
      </c>
      <c r="N75" s="2477"/>
    </row>
    <row r="76" spans="4:14" ht="15" customHeight="1">
      <c r="D76" s="2455"/>
      <c r="E76" s="2473" t="s">
        <v>489</v>
      </c>
      <c r="F76" s="2474">
        <v>0</v>
      </c>
      <c r="G76" s="2474">
        <v>0</v>
      </c>
      <c r="H76" s="2474">
        <v>0</v>
      </c>
      <c r="I76" s="2474">
        <v>0</v>
      </c>
      <c r="J76" s="2475">
        <v>0</v>
      </c>
      <c r="K76" s="2474">
        <v>0</v>
      </c>
      <c r="L76" s="2476">
        <v>0</v>
      </c>
      <c r="M76" s="2476">
        <v>0</v>
      </c>
      <c r="N76" s="2477"/>
    </row>
    <row r="77" spans="4:14" ht="15" customHeight="1">
      <c r="D77" s="2445"/>
      <c r="E77" s="2473" t="s">
        <v>306</v>
      </c>
      <c r="F77" s="2474">
        <v>0</v>
      </c>
      <c r="G77" s="2474">
        <v>0</v>
      </c>
      <c r="H77" s="2474">
        <v>0</v>
      </c>
      <c r="I77" s="2474">
        <v>0</v>
      </c>
      <c r="J77" s="2475">
        <v>0</v>
      </c>
      <c r="K77" s="2474">
        <v>0</v>
      </c>
      <c r="L77" s="2476">
        <v>0</v>
      </c>
      <c r="M77" s="2476">
        <v>0</v>
      </c>
      <c r="N77" s="2481"/>
    </row>
    <row r="78" spans="4:14" ht="15" customHeight="1">
      <c r="D78" s="2445"/>
      <c r="E78" s="2482" t="s">
        <v>354</v>
      </c>
      <c r="F78" s="2495">
        <v>0</v>
      </c>
      <c r="G78" s="2495">
        <v>0</v>
      </c>
      <c r="H78" s="2495">
        <v>0</v>
      </c>
      <c r="I78" s="2495">
        <v>0</v>
      </c>
      <c r="J78" s="2496">
        <v>0</v>
      </c>
      <c r="K78" s="2495">
        <v>0</v>
      </c>
      <c r="L78" s="2497">
        <v>0</v>
      </c>
      <c r="M78" s="2497">
        <v>0</v>
      </c>
      <c r="N78" s="2481"/>
    </row>
    <row r="79" spans="4:14" ht="15" customHeight="1">
      <c r="D79" s="2445"/>
      <c r="E79" s="2483" t="s">
        <v>1626</v>
      </c>
      <c r="F79" s="2484">
        <f t="shared" ref="F79:M79" si="5">SUM(F72:F78)</f>
        <v>2.9678592853414019</v>
      </c>
      <c r="G79" s="2484">
        <f t="shared" si="5"/>
        <v>2.9678592853414019</v>
      </c>
      <c r="H79" s="2484">
        <f t="shared" si="5"/>
        <v>3.5323114638621034</v>
      </c>
      <c r="I79" s="2484">
        <f t="shared" si="5"/>
        <v>4.060843403949713</v>
      </c>
      <c r="J79" s="2484">
        <f t="shared" si="5"/>
        <v>4.060843403949713</v>
      </c>
      <c r="K79" s="2484">
        <f t="shared" si="5"/>
        <v>4.060843403949713</v>
      </c>
      <c r="L79" s="2484">
        <f t="shared" si="5"/>
        <v>4.060843403949713</v>
      </c>
      <c r="M79" s="2484">
        <f t="shared" si="5"/>
        <v>4.060843403949713</v>
      </c>
      <c r="N79" s="2481"/>
    </row>
    <row r="80" spans="4:14" ht="15" customHeight="1">
      <c r="D80" s="2488"/>
      <c r="E80" s="2445"/>
      <c r="F80" s="2445"/>
      <c r="G80" s="2445"/>
      <c r="H80" s="2445"/>
      <c r="I80" s="2445"/>
      <c r="J80" s="2445"/>
      <c r="K80" s="2445"/>
      <c r="L80" s="2445"/>
      <c r="M80" s="2445"/>
      <c r="N80" s="2488"/>
    </row>
    <row r="81" spans="4:14" ht="15" customHeight="1">
      <c r="D81" s="2488"/>
      <c r="E81" s="2498" t="s">
        <v>1627</v>
      </c>
      <c r="F81" s="2445"/>
      <c r="G81" s="2445"/>
      <c r="H81" s="2445"/>
      <c r="I81" s="2445"/>
      <c r="J81" s="2445"/>
      <c r="K81" s="2445"/>
      <c r="L81" s="2445"/>
      <c r="M81" s="2470" t="s">
        <v>9</v>
      </c>
      <c r="N81" s="2488"/>
    </row>
    <row r="82" spans="4:14" ht="15" customHeight="1">
      <c r="D82" s="2488"/>
      <c r="E82" s="2471" t="s">
        <v>321</v>
      </c>
      <c r="F82" s="2472">
        <v>2018</v>
      </c>
      <c r="G82" s="2472">
        <v>2020</v>
      </c>
      <c r="H82" s="2472">
        <v>2025</v>
      </c>
      <c r="I82" s="2472">
        <v>2030</v>
      </c>
      <c r="J82" s="2472">
        <v>2035</v>
      </c>
      <c r="K82" s="2472">
        <v>2040</v>
      </c>
      <c r="L82" s="2472">
        <v>2045</v>
      </c>
      <c r="M82" s="2472">
        <v>2050</v>
      </c>
      <c r="N82" s="2488"/>
    </row>
    <row r="83" spans="4:14" ht="15" customHeight="1">
      <c r="D83" s="2455"/>
      <c r="E83" s="2473" t="s">
        <v>294</v>
      </c>
      <c r="F83" s="2499"/>
      <c r="G83" s="2490"/>
      <c r="H83" s="2490"/>
      <c r="I83" s="2490"/>
      <c r="J83" s="2490"/>
      <c r="K83" s="2490"/>
      <c r="L83" s="2490"/>
      <c r="M83" s="2490"/>
      <c r="N83" s="2477"/>
    </row>
    <row r="84" spans="4:14" ht="15" customHeight="1">
      <c r="D84" s="2455"/>
      <c r="E84" s="2473" t="s">
        <v>296</v>
      </c>
      <c r="F84" s="2499" cm="1">
        <f t="array" ref="F84:M84">SALIDA_DEMANDA_IND_QUEROSENO</f>
        <v>8.2546702476781963E-5</v>
      </c>
      <c r="G84" s="2499">
        <v>8.2546702476781963E-5</v>
      </c>
      <c r="H84" s="2499">
        <v>9.5409726028145272E-5</v>
      </c>
      <c r="I84" s="2499">
        <v>1.0852495961757469E-4</v>
      </c>
      <c r="J84" s="2475">
        <v>1.0852495961757469E-4</v>
      </c>
      <c r="K84" s="2499">
        <v>1.0852495961757469E-4</v>
      </c>
      <c r="L84" s="2476">
        <v>1.0852495961757469E-4</v>
      </c>
      <c r="M84" s="2476">
        <v>1.0852495961757469E-4</v>
      </c>
      <c r="N84" s="2477"/>
    </row>
    <row r="85" spans="4:14" ht="15" customHeight="1">
      <c r="D85" s="2455"/>
      <c r="E85" s="2473" t="s">
        <v>487</v>
      </c>
      <c r="F85" s="2499">
        <v>0</v>
      </c>
      <c r="G85" s="2499">
        <v>0</v>
      </c>
      <c r="H85" s="2499">
        <v>0</v>
      </c>
      <c r="I85" s="2499">
        <v>0</v>
      </c>
      <c r="J85" s="2475">
        <v>0</v>
      </c>
      <c r="K85" s="2499">
        <v>0</v>
      </c>
      <c r="L85" s="2476">
        <v>0</v>
      </c>
      <c r="M85" s="2476">
        <v>0</v>
      </c>
      <c r="N85" s="2477"/>
    </row>
    <row r="86" spans="4:14" ht="15" customHeight="1">
      <c r="D86" s="2455"/>
      <c r="E86" s="2473" t="s">
        <v>488</v>
      </c>
      <c r="F86" s="2499" cm="1">
        <f t="array" ref="F86:M86">SALIDA_DEMANDA_EDI_COM_UTE_QUEROSENO</f>
        <v>1.5092804115232785E-2</v>
      </c>
      <c r="G86" s="2499">
        <v>1.751712289816304E-2</v>
      </c>
      <c r="H86" s="2499">
        <v>2.082362695514672E-2</v>
      </c>
      <c r="I86" s="2499">
        <v>2.3508855561676527E-2</v>
      </c>
      <c r="J86" s="2475">
        <v>2.5892922551427961E-2</v>
      </c>
      <c r="K86" s="2499">
        <v>2.8344988379915049E-2</v>
      </c>
      <c r="L86" s="2476">
        <v>3.0858873325077238E-2</v>
      </c>
      <c r="M86" s="2476">
        <v>3.3453666450612062E-2</v>
      </c>
      <c r="N86" s="2477"/>
    </row>
    <row r="87" spans="4:14" ht="15" customHeight="1">
      <c r="D87" s="2455"/>
      <c r="E87" s="2473" t="s">
        <v>489</v>
      </c>
      <c r="F87" s="2499">
        <v>0</v>
      </c>
      <c r="G87" s="2499">
        <v>0</v>
      </c>
      <c r="H87" s="2499">
        <v>0</v>
      </c>
      <c r="I87" s="2499">
        <v>0</v>
      </c>
      <c r="J87" s="2475">
        <v>0</v>
      </c>
      <c r="K87" s="2499">
        <v>0</v>
      </c>
      <c r="L87" s="2476">
        <v>0</v>
      </c>
      <c r="M87" s="2476">
        <v>0</v>
      </c>
      <c r="N87" s="2477"/>
    </row>
    <row r="88" spans="4:14" ht="15" customHeight="1">
      <c r="D88" s="2445"/>
      <c r="E88" s="2473" t="s">
        <v>306</v>
      </c>
      <c r="F88" s="2474">
        <v>0</v>
      </c>
      <c r="G88" s="2474">
        <v>0</v>
      </c>
      <c r="H88" s="2474">
        <v>0</v>
      </c>
      <c r="I88" s="2474">
        <v>0</v>
      </c>
      <c r="J88" s="2475">
        <v>0</v>
      </c>
      <c r="K88" s="2474">
        <v>0</v>
      </c>
      <c r="L88" s="2476">
        <v>0</v>
      </c>
      <c r="M88" s="2476">
        <v>0</v>
      </c>
      <c r="N88" s="2481"/>
    </row>
    <row r="89" spans="4:14" ht="15" customHeight="1">
      <c r="D89" s="2445"/>
      <c r="E89" s="2482" t="s">
        <v>354</v>
      </c>
      <c r="F89" s="2495">
        <v>0</v>
      </c>
      <c r="G89" s="2495">
        <v>0</v>
      </c>
      <c r="H89" s="2495">
        <v>0</v>
      </c>
      <c r="I89" s="2495">
        <v>0</v>
      </c>
      <c r="J89" s="2496">
        <v>0</v>
      </c>
      <c r="K89" s="2495">
        <v>0</v>
      </c>
      <c r="L89" s="2497">
        <v>0</v>
      </c>
      <c r="M89" s="2497">
        <v>0</v>
      </c>
      <c r="N89" s="2481"/>
    </row>
    <row r="90" spans="4:14" ht="15" customHeight="1">
      <c r="D90" s="2445"/>
      <c r="E90" s="2483" t="s">
        <v>1626</v>
      </c>
      <c r="F90" s="2500">
        <f t="shared" ref="F90:M90" si="6">SUM(F83:F89)</f>
        <v>1.5175350817709567E-2</v>
      </c>
      <c r="G90" s="2500">
        <f t="shared" si="6"/>
        <v>1.7599669600639821E-2</v>
      </c>
      <c r="H90" s="2500">
        <f t="shared" si="6"/>
        <v>2.0919036681174865E-2</v>
      </c>
      <c r="I90" s="2500">
        <f t="shared" si="6"/>
        <v>2.3617380521294102E-2</v>
      </c>
      <c r="J90" s="2500">
        <f t="shared" si="6"/>
        <v>2.6001447511045536E-2</v>
      </c>
      <c r="K90" s="2500">
        <f t="shared" si="6"/>
        <v>2.8453513339532624E-2</v>
      </c>
      <c r="L90" s="2500">
        <f t="shared" si="6"/>
        <v>3.0967398284694813E-2</v>
      </c>
      <c r="M90" s="2500">
        <f t="shared" si="6"/>
        <v>3.3562191410229633E-2</v>
      </c>
      <c r="N90" s="2481"/>
    </row>
    <row r="91" spans="4:14" ht="15" customHeight="1">
      <c r="D91" s="2445"/>
      <c r="E91" s="2485"/>
      <c r="F91" s="2501"/>
      <c r="G91" s="2501"/>
      <c r="H91" s="2501"/>
      <c r="I91" s="2501"/>
      <c r="J91" s="2501"/>
      <c r="K91" s="2501"/>
      <c r="L91" s="2501"/>
      <c r="M91" s="2501"/>
      <c r="N91" s="2481"/>
    </row>
    <row r="92" spans="4:14" ht="15" customHeight="1">
      <c r="D92" s="2488"/>
      <c r="E92" s="2498" t="s">
        <v>507</v>
      </c>
      <c r="F92" s="2445"/>
      <c r="G92" s="2445"/>
      <c r="H92" s="2445"/>
      <c r="I92" s="2445"/>
      <c r="J92" s="2445"/>
      <c r="K92" s="2445"/>
      <c r="L92" s="2445"/>
      <c r="M92" s="2470" t="s">
        <v>9</v>
      </c>
      <c r="N92" s="2488"/>
    </row>
    <row r="93" spans="4:14" ht="15" customHeight="1">
      <c r="D93" s="2488"/>
      <c r="E93" s="2471" t="s">
        <v>321</v>
      </c>
      <c r="F93" s="2472">
        <v>2018</v>
      </c>
      <c r="G93" s="2472">
        <v>2020</v>
      </c>
      <c r="H93" s="2472">
        <v>2025</v>
      </c>
      <c r="I93" s="2472">
        <v>2030</v>
      </c>
      <c r="J93" s="2472">
        <v>2035</v>
      </c>
      <c r="K93" s="2472">
        <v>2040</v>
      </c>
      <c r="L93" s="2472">
        <v>2045</v>
      </c>
      <c r="M93" s="2472">
        <v>2050</v>
      </c>
      <c r="N93" s="2488"/>
    </row>
    <row r="94" spans="4:14" ht="15" customHeight="1">
      <c r="D94" s="2455"/>
      <c r="E94" s="2473" t="s">
        <v>294</v>
      </c>
      <c r="F94" s="2499">
        <v>0</v>
      </c>
      <c r="G94" s="2490">
        <v>0</v>
      </c>
      <c r="H94" s="2490">
        <v>0</v>
      </c>
      <c r="I94" s="2490">
        <v>0</v>
      </c>
      <c r="J94" s="2490">
        <v>0</v>
      </c>
      <c r="K94" s="2490">
        <v>0</v>
      </c>
      <c r="L94" s="2490">
        <v>0</v>
      </c>
      <c r="M94" s="2490">
        <v>0</v>
      </c>
      <c r="N94" s="2477"/>
    </row>
    <row r="95" spans="4:14" ht="15" customHeight="1">
      <c r="D95" s="2455"/>
      <c r="E95" s="2473" t="s">
        <v>296</v>
      </c>
      <c r="F95" s="2499" cm="1">
        <f t="array" ref="F95:M95">SALIDA_DEMANDA_IND_COQUE</f>
        <v>6.2257033987857587E-3</v>
      </c>
      <c r="G95" s="2499">
        <v>6.2257033987857587E-3</v>
      </c>
      <c r="H95" s="2499">
        <v>7.206409873470189E-3</v>
      </c>
      <c r="I95" s="2499">
        <v>8.2090019179727608E-3</v>
      </c>
      <c r="J95" s="2475">
        <v>8.2090019179727608E-3</v>
      </c>
      <c r="K95" s="2499">
        <v>8.2090019179727608E-3</v>
      </c>
      <c r="L95" s="2476">
        <v>8.2090019179727608E-3</v>
      </c>
      <c r="M95" s="2476">
        <v>8.2090019179727608E-3</v>
      </c>
      <c r="N95" s="2477"/>
    </row>
    <row r="96" spans="4:14" ht="15" customHeight="1">
      <c r="D96" s="2455"/>
      <c r="E96" s="2473" t="s">
        <v>487</v>
      </c>
      <c r="F96" s="2499">
        <v>0</v>
      </c>
      <c r="G96" s="2499">
        <v>0</v>
      </c>
      <c r="H96" s="2499">
        <v>0</v>
      </c>
      <c r="I96" s="2499">
        <v>0</v>
      </c>
      <c r="J96" s="2475">
        <v>0</v>
      </c>
      <c r="K96" s="2499">
        <v>0</v>
      </c>
      <c r="L96" s="2476">
        <v>0</v>
      </c>
      <c r="M96" s="2476">
        <v>0</v>
      </c>
      <c r="N96" s="2477"/>
    </row>
    <row r="97" spans="4:14" ht="15" customHeight="1">
      <c r="D97" s="2455"/>
      <c r="E97" s="2473" t="s">
        <v>488</v>
      </c>
      <c r="F97" s="2499">
        <v>0</v>
      </c>
      <c r="G97" s="2499">
        <v>0</v>
      </c>
      <c r="H97" s="2499">
        <v>0</v>
      </c>
      <c r="I97" s="2499">
        <v>0</v>
      </c>
      <c r="J97" s="2475">
        <v>0</v>
      </c>
      <c r="K97" s="2499">
        <v>0</v>
      </c>
      <c r="L97" s="2476">
        <v>0</v>
      </c>
      <c r="M97" s="2476">
        <v>0</v>
      </c>
      <c r="N97" s="2477"/>
    </row>
    <row r="98" spans="4:14" ht="15" customHeight="1">
      <c r="D98" s="2455"/>
      <c r="E98" s="2473" t="s">
        <v>489</v>
      </c>
      <c r="F98" s="2499">
        <v>0</v>
      </c>
      <c r="G98" s="2499">
        <v>0</v>
      </c>
      <c r="H98" s="2499">
        <v>0</v>
      </c>
      <c r="I98" s="2499">
        <v>0</v>
      </c>
      <c r="J98" s="2475">
        <v>0</v>
      </c>
      <c r="K98" s="2499">
        <v>0</v>
      </c>
      <c r="L98" s="2476">
        <v>0</v>
      </c>
      <c r="M98" s="2476">
        <v>0</v>
      </c>
      <c r="N98" s="2477"/>
    </row>
    <row r="99" spans="4:14" ht="15" customHeight="1">
      <c r="D99" s="2445"/>
      <c r="E99" s="2473" t="s">
        <v>306</v>
      </c>
      <c r="F99" s="2474">
        <v>0</v>
      </c>
      <c r="G99" s="2474">
        <v>0</v>
      </c>
      <c r="H99" s="2474">
        <v>0</v>
      </c>
      <c r="I99" s="2474">
        <v>0</v>
      </c>
      <c r="J99" s="2475">
        <v>0</v>
      </c>
      <c r="K99" s="2474">
        <v>0</v>
      </c>
      <c r="L99" s="2476">
        <v>0</v>
      </c>
      <c r="M99" s="2476">
        <v>0</v>
      </c>
      <c r="N99" s="2481"/>
    </row>
    <row r="100" spans="4:14" ht="15" customHeight="1">
      <c r="D100" s="2445"/>
      <c r="E100" s="2482" t="s">
        <v>354</v>
      </c>
      <c r="F100" s="2495">
        <v>0</v>
      </c>
      <c r="G100" s="2495">
        <v>0</v>
      </c>
      <c r="H100" s="2495">
        <v>0</v>
      </c>
      <c r="I100" s="2495">
        <v>0</v>
      </c>
      <c r="J100" s="2496">
        <v>0</v>
      </c>
      <c r="K100" s="2495">
        <v>0</v>
      </c>
      <c r="L100" s="2497">
        <v>0</v>
      </c>
      <c r="M100" s="2497">
        <v>0</v>
      </c>
      <c r="N100" s="2481"/>
    </row>
    <row r="101" spans="4:14" ht="15" customHeight="1">
      <c r="D101" s="2445"/>
      <c r="E101" s="2483" t="s">
        <v>1626</v>
      </c>
      <c r="F101" s="2500">
        <f t="shared" ref="F101:M101" si="7">SUM(F94:F100)</f>
        <v>6.2257033987857587E-3</v>
      </c>
      <c r="G101" s="2500">
        <f t="shared" si="7"/>
        <v>6.2257033987857587E-3</v>
      </c>
      <c r="H101" s="2500">
        <f t="shared" si="7"/>
        <v>7.206409873470189E-3</v>
      </c>
      <c r="I101" s="2500">
        <f t="shared" si="7"/>
        <v>8.2090019179727608E-3</v>
      </c>
      <c r="J101" s="2500">
        <f t="shared" si="7"/>
        <v>8.2090019179727608E-3</v>
      </c>
      <c r="K101" s="2500">
        <f t="shared" si="7"/>
        <v>8.2090019179727608E-3</v>
      </c>
      <c r="L101" s="2500">
        <f t="shared" si="7"/>
        <v>8.2090019179727608E-3</v>
      </c>
      <c r="M101" s="2500">
        <f t="shared" si="7"/>
        <v>8.2090019179727608E-3</v>
      </c>
      <c r="N101" s="2481"/>
    </row>
    <row r="102" spans="4:14" ht="15" customHeight="1">
      <c r="D102" s="2445"/>
      <c r="E102" s="2485"/>
      <c r="F102" s="2501"/>
      <c r="G102" s="2501"/>
      <c r="H102" s="2501"/>
      <c r="I102" s="2501"/>
      <c r="J102" s="2501"/>
      <c r="K102" s="2501"/>
      <c r="L102" s="2501"/>
      <c r="M102" s="2501"/>
      <c r="N102" s="2481"/>
    </row>
    <row r="103" spans="4:14" ht="15" customHeight="1">
      <c r="D103" s="2445"/>
      <c r="E103" s="2485"/>
      <c r="F103" s="2501"/>
      <c r="G103" s="2501"/>
      <c r="H103" s="2501"/>
      <c r="I103" s="2501"/>
      <c r="J103" s="2501"/>
      <c r="K103" s="2501"/>
      <c r="L103" s="2501"/>
      <c r="M103" s="2470" t="s">
        <v>9</v>
      </c>
      <c r="N103" s="2481"/>
    </row>
    <row r="104" spans="4:14" ht="15" customHeight="1">
      <c r="D104" s="2445"/>
      <c r="E104" s="2483" t="s">
        <v>1628</v>
      </c>
      <c r="F104" s="2484" cm="1">
        <f t="array" ref="F104:M104">F24:M24+F35:M35+F46:M46+F57:M57+F68:M68+F79:M79+F90:M90+F101:M101</f>
        <v>16.762075773727982</v>
      </c>
      <c r="G104" s="2484">
        <v>18.639576832820769</v>
      </c>
      <c r="H104" s="2484">
        <v>21.999955944242359</v>
      </c>
      <c r="I104" s="2484">
        <v>24.25351856732944</v>
      </c>
      <c r="J104" s="2484">
        <v>25.898887942548349</v>
      </c>
      <c r="K104" s="2484">
        <v>27.95138426421515</v>
      </c>
      <c r="L104" s="2484">
        <v>30.316115717093592</v>
      </c>
      <c r="M104" s="2484">
        <v>33.405335984291291</v>
      </c>
      <c r="N104" s="2481"/>
    </row>
    <row r="105" spans="4:14" ht="15" customHeight="1">
      <c r="D105" s="2445"/>
      <c r="E105" s="2485"/>
      <c r="F105" s="2502"/>
      <c r="G105" s="2502"/>
      <c r="H105" s="2502"/>
      <c r="I105" s="2502"/>
      <c r="J105" s="2502"/>
      <c r="K105" s="2502"/>
      <c r="L105" s="2502"/>
      <c r="M105" s="2502"/>
      <c r="N105" s="2481"/>
    </row>
    <row r="106" spans="4:14" ht="15" customHeight="1">
      <c r="E106" s="2503"/>
      <c r="F106" s="2503"/>
      <c r="G106" s="2503"/>
      <c r="H106" s="2503"/>
      <c r="I106" s="2503"/>
      <c r="J106" s="2503"/>
      <c r="K106" s="2503"/>
      <c r="L106" s="2503"/>
      <c r="M106" s="2503"/>
    </row>
    <row r="107" spans="4:14" ht="15" customHeight="1">
      <c r="D107" s="2504" t="s">
        <v>1190</v>
      </c>
      <c r="E107" s="2505"/>
      <c r="F107" s="2506"/>
      <c r="G107" s="2506"/>
      <c r="H107" s="2506"/>
      <c r="I107" s="2506"/>
      <c r="J107" s="2506"/>
      <c r="K107" s="2506"/>
      <c r="L107" s="2506"/>
      <c r="M107" s="2506"/>
      <c r="N107" s="892"/>
    </row>
    <row r="108" spans="4:14" ht="15" customHeight="1">
      <c r="D108" s="2507"/>
      <c r="E108" s="2508"/>
      <c r="F108" s="2373"/>
      <c r="G108" s="2373"/>
      <c r="H108" s="2373"/>
      <c r="I108" s="2373"/>
      <c r="J108" s="2373"/>
      <c r="K108" s="2373"/>
      <c r="L108" s="2373"/>
      <c r="M108" s="2373"/>
      <c r="N108" s="699"/>
    </row>
    <row r="109" spans="4:14" ht="15" customHeight="1">
      <c r="D109" s="701"/>
      <c r="E109" s="2509" t="s">
        <v>1629</v>
      </c>
      <c r="F109" s="2510"/>
      <c r="G109" s="2511"/>
      <c r="H109" s="2510"/>
      <c r="I109" s="2512"/>
      <c r="J109" s="2510"/>
      <c r="K109" s="2512"/>
      <c r="L109" s="2512"/>
      <c r="M109" s="2512"/>
      <c r="N109" s="701"/>
    </row>
    <row r="110" spans="4:14" ht="15" customHeight="1">
      <c r="D110" s="701"/>
      <c r="E110" s="2367"/>
      <c r="F110" s="2367"/>
      <c r="G110" s="2367"/>
      <c r="H110" s="2367"/>
      <c r="I110" s="2367"/>
      <c r="J110" s="2367"/>
      <c r="K110" s="2367"/>
      <c r="L110" s="2367"/>
      <c r="M110" s="2367"/>
      <c r="N110" s="701"/>
    </row>
    <row r="111" spans="4:14" ht="15" customHeight="1">
      <c r="D111" s="701"/>
      <c r="E111" s="707"/>
      <c r="F111" s="2421"/>
      <c r="G111" s="2421"/>
      <c r="H111" s="2421"/>
      <c r="I111" s="2421"/>
      <c r="J111" s="2421"/>
      <c r="K111" s="2421"/>
      <c r="L111" s="2421"/>
      <c r="M111" s="2513" t="s">
        <v>788</v>
      </c>
      <c r="N111" s="701"/>
    </row>
    <row r="112" spans="4:14" ht="15" customHeight="1">
      <c r="D112" s="701"/>
      <c r="E112" s="2514" t="s">
        <v>879</v>
      </c>
      <c r="F112" s="2515">
        <v>2018</v>
      </c>
      <c r="G112" s="2515">
        <v>2020</v>
      </c>
      <c r="H112" s="2515">
        <v>2025</v>
      </c>
      <c r="I112" s="2515">
        <v>2030</v>
      </c>
      <c r="J112" s="2515">
        <v>2035</v>
      </c>
      <c r="K112" s="2515">
        <v>2040</v>
      </c>
      <c r="L112" s="2515">
        <v>2045</v>
      </c>
      <c r="M112" s="2515">
        <v>2050</v>
      </c>
      <c r="N112" s="701"/>
    </row>
    <row r="113" spans="4:16" ht="15" customHeight="1">
      <c r="D113" s="701"/>
      <c r="E113" s="2381">
        <v>1</v>
      </c>
      <c r="F113" s="3624">
        <v>0.02</v>
      </c>
      <c r="G113" s="3624">
        <f t="shared" ref="G113:H116" si="8">F113*(1+$O$113)</f>
        <v>0.02</v>
      </c>
      <c r="H113" s="3624">
        <f t="shared" si="8"/>
        <v>0.02</v>
      </c>
      <c r="I113" s="3624">
        <v>7.5999999999999998E-2</v>
      </c>
      <c r="J113" s="3624">
        <v>7.5999999999999998E-2</v>
      </c>
      <c r="K113" s="3624">
        <v>7.5999999999999998E-2</v>
      </c>
      <c r="L113" s="3624">
        <v>7.5999999999999998E-2</v>
      </c>
      <c r="M113" s="3624">
        <v>7.5999999999999998E-2</v>
      </c>
      <c r="N113" s="701"/>
    </row>
    <row r="114" spans="4:16" ht="15" customHeight="1">
      <c r="D114" s="701"/>
      <c r="E114" s="2381">
        <v>2</v>
      </c>
      <c r="F114" s="3624">
        <v>0.02</v>
      </c>
      <c r="G114" s="3624">
        <f t="shared" si="8"/>
        <v>0.02</v>
      </c>
      <c r="H114" s="3624">
        <f t="shared" si="8"/>
        <v>0.02</v>
      </c>
      <c r="I114" s="3624">
        <v>7.5999999999999998E-2</v>
      </c>
      <c r="J114" s="3624">
        <v>7.5999999999999998E-2</v>
      </c>
      <c r="K114" s="3624">
        <v>7.5999999999999998E-2</v>
      </c>
      <c r="L114" s="3624">
        <v>7.5999999999999998E-2</v>
      </c>
      <c r="M114" s="3624">
        <v>7.5999999999999998E-2</v>
      </c>
      <c r="N114" s="701"/>
    </row>
    <row r="115" spans="4:16" ht="15" customHeight="1">
      <c r="D115" s="701"/>
      <c r="E115" s="2381">
        <v>3</v>
      </c>
      <c r="F115" s="3624">
        <v>0.02</v>
      </c>
      <c r="G115" s="3624">
        <f t="shared" si="8"/>
        <v>0.02</v>
      </c>
      <c r="H115" s="3624">
        <f t="shared" si="8"/>
        <v>0.02</v>
      </c>
      <c r="I115" s="3624">
        <v>7.5999999999999998E-2</v>
      </c>
      <c r="J115" s="3624">
        <v>7.5999999999999998E-2</v>
      </c>
      <c r="K115" s="3624">
        <v>7.5999999999999998E-2</v>
      </c>
      <c r="L115" s="3624">
        <v>7.5999999999999998E-2</v>
      </c>
      <c r="M115" s="3624">
        <v>7.5999999999999998E-2</v>
      </c>
      <c r="N115" s="701"/>
    </row>
    <row r="116" spans="4:16" ht="15" customHeight="1">
      <c r="D116" s="701"/>
      <c r="E116" s="2516">
        <v>4</v>
      </c>
      <c r="F116" s="3625">
        <v>0.02</v>
      </c>
      <c r="G116" s="3625">
        <f t="shared" si="8"/>
        <v>0.02</v>
      </c>
      <c r="H116" s="3625">
        <f t="shared" si="8"/>
        <v>0.02</v>
      </c>
      <c r="I116" s="3625">
        <v>0.11</v>
      </c>
      <c r="J116" s="3625">
        <v>0.11</v>
      </c>
      <c r="K116" s="3625">
        <v>0.11</v>
      </c>
      <c r="L116" s="3625">
        <v>0.11</v>
      </c>
      <c r="M116" s="3625">
        <v>0.11</v>
      </c>
      <c r="N116" s="701"/>
    </row>
    <row r="117" spans="4:16" ht="15" customHeight="1">
      <c r="D117" s="701"/>
      <c r="E117" s="701"/>
      <c r="F117" s="701"/>
      <c r="G117" s="701"/>
      <c r="H117" s="701"/>
      <c r="I117" s="701"/>
      <c r="J117" s="701"/>
      <c r="K117" s="701"/>
      <c r="L117" s="701"/>
      <c r="M117" s="701"/>
      <c r="N117" s="701"/>
    </row>
    <row r="119" spans="4:16" ht="15" customHeight="1">
      <c r="D119" s="2504" t="s">
        <v>996</v>
      </c>
      <c r="E119" s="2504"/>
      <c r="F119" s="892"/>
      <c r="G119" s="892"/>
      <c r="H119" s="892"/>
      <c r="I119" s="892"/>
      <c r="J119" s="892"/>
      <c r="K119" s="892"/>
      <c r="L119" s="892"/>
      <c r="M119" s="892"/>
      <c r="N119" s="892"/>
    </row>
    <row r="120" spans="4:16" ht="15" customHeight="1">
      <c r="D120" s="2507"/>
      <c r="E120" s="2507"/>
      <c r="F120" s="699"/>
      <c r="G120" s="699"/>
      <c r="H120" s="699"/>
      <c r="I120" s="699"/>
      <c r="J120" s="699"/>
      <c r="K120" s="699"/>
      <c r="L120" s="699"/>
      <c r="M120" s="699"/>
      <c r="N120" s="699"/>
    </row>
    <row r="121" spans="4:16" ht="15" customHeight="1">
      <c r="D121" s="701"/>
      <c r="E121" s="2314" t="s">
        <v>1130</v>
      </c>
      <c r="F121" s="2315"/>
      <c r="G121" s="2316"/>
      <c r="H121" s="2315"/>
      <c r="I121" s="2317"/>
      <c r="J121" s="2315"/>
      <c r="K121" s="2317"/>
      <c r="L121" s="2317"/>
      <c r="M121" s="2317"/>
      <c r="N121" s="701"/>
      <c r="P121" s="3109"/>
    </row>
    <row r="122" spans="4:16" ht="15" customHeight="1">
      <c r="D122" s="701"/>
      <c r="E122" s="701"/>
      <c r="F122" s="701"/>
      <c r="G122" s="2517"/>
      <c r="H122" s="701"/>
      <c r="I122" s="701"/>
      <c r="J122" s="701"/>
      <c r="K122" s="701"/>
      <c r="L122" s="701"/>
      <c r="M122" s="1681" t="s">
        <v>1630</v>
      </c>
      <c r="N122" s="701"/>
    </row>
    <row r="123" spans="4:16" ht="15" customHeight="1">
      <c r="D123" s="701"/>
      <c r="E123" s="2518" t="s">
        <v>1631</v>
      </c>
      <c r="F123" s="709">
        <v>2018</v>
      </c>
      <c r="G123" s="709">
        <v>2020</v>
      </c>
      <c r="H123" s="709">
        <v>2025</v>
      </c>
      <c r="I123" s="709">
        <v>2030</v>
      </c>
      <c r="J123" s="709">
        <v>2035</v>
      </c>
      <c r="K123" s="709">
        <v>2040</v>
      </c>
      <c r="L123" s="709">
        <v>2045</v>
      </c>
      <c r="M123" s="709">
        <v>2050</v>
      </c>
      <c r="N123" s="701"/>
    </row>
    <row r="124" spans="4:16" ht="15" customHeight="1">
      <c r="D124" s="701"/>
      <c r="E124" s="2049" t="s">
        <v>1632</v>
      </c>
      <c r="F124" s="3626">
        <v>0</v>
      </c>
      <c r="G124" s="3626">
        <v>0</v>
      </c>
      <c r="H124" s="3626">
        <v>0</v>
      </c>
      <c r="I124" s="3626">
        <v>0</v>
      </c>
      <c r="J124" s="3626">
        <v>0</v>
      </c>
      <c r="K124" s="3626">
        <v>0</v>
      </c>
      <c r="L124" s="3626">
        <v>0</v>
      </c>
      <c r="M124" s="3626">
        <v>0</v>
      </c>
      <c r="N124" s="701"/>
    </row>
    <row r="125" spans="4:16" ht="15" customHeight="1">
      <c r="D125" s="701"/>
      <c r="E125" s="2519" t="s">
        <v>1633</v>
      </c>
      <c r="F125" s="3627">
        <v>633.68700000000001</v>
      </c>
      <c r="G125" s="3627">
        <v>363.99</v>
      </c>
      <c r="H125" s="3627">
        <v>212.20392169335238</v>
      </c>
      <c r="I125" s="3627">
        <v>72.265841203863289</v>
      </c>
      <c r="J125" s="3627">
        <v>67.682534224931601</v>
      </c>
      <c r="K125" s="3627">
        <v>207.62576218407361</v>
      </c>
      <c r="L125" s="3627">
        <v>347.56899014321561</v>
      </c>
      <c r="M125" s="3627">
        <v>487.51221810235756</v>
      </c>
      <c r="N125" s="701"/>
    </row>
    <row r="126" spans="4:16" ht="15" customHeight="1">
      <c r="D126" s="701"/>
      <c r="E126" s="2030"/>
      <c r="F126" s="701"/>
      <c r="G126" s="701"/>
      <c r="H126" s="701"/>
      <c r="I126" s="701"/>
      <c r="J126" s="701"/>
      <c r="K126" s="701"/>
      <c r="L126" s="701"/>
      <c r="M126" s="701"/>
      <c r="N126" s="701"/>
      <c r="P126" s="2978"/>
    </row>
    <row r="127" spans="4:16" ht="15" customHeight="1">
      <c r="D127" s="2507"/>
      <c r="E127" s="2507"/>
      <c r="F127" s="699"/>
      <c r="G127" s="699"/>
      <c r="H127" s="699"/>
      <c r="I127" s="699"/>
      <c r="J127" s="699"/>
      <c r="K127" s="699"/>
      <c r="L127" s="699"/>
      <c r="M127" s="699"/>
      <c r="N127" s="699"/>
    </row>
    <row r="128" spans="4:16" ht="15" customHeight="1">
      <c r="D128" s="701"/>
      <c r="E128" s="2314" t="s">
        <v>1133</v>
      </c>
      <c r="F128" s="2315"/>
      <c r="G128" s="2316"/>
      <c r="H128" s="2315"/>
      <c r="I128" s="2317"/>
      <c r="J128" s="2315"/>
      <c r="K128" s="2317"/>
      <c r="L128" s="2317"/>
      <c r="M128" s="2317"/>
      <c r="N128" s="701"/>
    </row>
    <row r="129" spans="4:14" ht="15" customHeight="1">
      <c r="D129" s="701"/>
      <c r="E129" s="701"/>
      <c r="F129" s="701"/>
      <c r="G129" s="701"/>
      <c r="H129" s="701"/>
      <c r="I129" s="701"/>
      <c r="J129" s="701"/>
      <c r="K129" s="701"/>
      <c r="L129" s="701"/>
      <c r="M129" s="701"/>
      <c r="N129" s="701"/>
    </row>
    <row r="130" spans="4:14" ht="15" customHeight="1">
      <c r="D130" s="701"/>
      <c r="E130" s="701"/>
      <c r="F130" s="701"/>
      <c r="G130" s="701"/>
      <c r="H130" s="701"/>
      <c r="I130" s="701"/>
      <c r="J130" s="701"/>
      <c r="K130" s="701"/>
      <c r="L130" s="701"/>
      <c r="M130" s="1681" t="s">
        <v>1634</v>
      </c>
      <c r="N130" s="701"/>
    </row>
    <row r="131" spans="4:14" ht="15" customHeight="1">
      <c r="D131" s="701"/>
      <c r="E131" s="2518" t="s">
        <v>1503</v>
      </c>
      <c r="F131" s="709">
        <v>2018</v>
      </c>
      <c r="G131" s="709">
        <v>2020</v>
      </c>
      <c r="H131" s="709">
        <v>2025</v>
      </c>
      <c r="I131" s="709">
        <v>2030</v>
      </c>
      <c r="J131" s="709">
        <v>2035</v>
      </c>
      <c r="K131" s="709">
        <v>2040</v>
      </c>
      <c r="L131" s="709">
        <v>2045</v>
      </c>
      <c r="M131" s="709">
        <v>2050</v>
      </c>
      <c r="N131" s="701"/>
    </row>
    <row r="132" spans="4:14" ht="15" customHeight="1">
      <c r="D132" s="701"/>
      <c r="E132" s="2520" t="s">
        <v>1635</v>
      </c>
      <c r="F132" s="3628">
        <v>1817516.84</v>
      </c>
      <c r="G132" s="3628">
        <v>1744000</v>
      </c>
      <c r="H132" s="3628">
        <v>841476.33096864133</v>
      </c>
      <c r="I132" s="3628">
        <v>832574.2557846593</v>
      </c>
      <c r="J132" s="3628">
        <v>823687.52900616697</v>
      </c>
      <c r="K132" s="3628">
        <v>814785.45382218505</v>
      </c>
      <c r="L132" s="3628">
        <v>805883.37863820302</v>
      </c>
      <c r="M132" s="3628">
        <v>796981.30345422099</v>
      </c>
      <c r="N132" s="701"/>
    </row>
    <row r="133" spans="4:14" ht="15" customHeight="1">
      <c r="D133" s="701"/>
      <c r="E133" s="1778" t="s">
        <v>1636</v>
      </c>
      <c r="F133" s="2521">
        <v>7.0000000000000007E-2</v>
      </c>
      <c r="G133" s="2521">
        <v>7.0000000000000007E-2</v>
      </c>
      <c r="H133" s="2521">
        <v>7.0000000000000007E-2</v>
      </c>
      <c r="I133" s="2521">
        <v>7.0000000000000007E-2</v>
      </c>
      <c r="J133" s="2521">
        <v>7.0000000000000007E-2</v>
      </c>
      <c r="K133" s="2521">
        <v>7.0000000000000007E-2</v>
      </c>
      <c r="L133" s="2521">
        <v>7.0000000000000007E-2</v>
      </c>
      <c r="M133" s="2521">
        <v>7.0000000000000007E-2</v>
      </c>
      <c r="N133" s="701"/>
    </row>
    <row r="134" spans="4:14" ht="15" customHeight="1">
      <c r="D134" s="701"/>
      <c r="E134" s="2522" t="s">
        <v>1637</v>
      </c>
      <c r="F134" s="2523">
        <v>0.93</v>
      </c>
      <c r="G134" s="2523">
        <v>0.93</v>
      </c>
      <c r="H134" s="2523">
        <v>0.93</v>
      </c>
      <c r="I134" s="2523">
        <v>0.93</v>
      </c>
      <c r="J134" s="2523">
        <v>0.93</v>
      </c>
      <c r="K134" s="2523">
        <v>0.93</v>
      </c>
      <c r="L134" s="2523">
        <v>0.93</v>
      </c>
      <c r="M134" s="2523">
        <v>0.93</v>
      </c>
      <c r="N134" s="701"/>
    </row>
    <row r="135" spans="4:14" ht="15" customHeight="1">
      <c r="D135" s="701"/>
      <c r="E135" s="2030"/>
      <c r="F135" s="701"/>
      <c r="G135" s="701"/>
      <c r="H135" s="701"/>
      <c r="I135" s="701"/>
      <c r="J135" s="701"/>
      <c r="K135" s="701"/>
      <c r="L135" s="701"/>
      <c r="M135" s="701"/>
      <c r="N135" s="701"/>
    </row>
    <row r="136" spans="4:14" ht="15" customHeight="1">
      <c r="D136" s="701"/>
      <c r="E136" s="2030"/>
      <c r="F136" s="701"/>
      <c r="G136" s="701"/>
      <c r="H136" s="701"/>
      <c r="I136" s="701"/>
      <c r="J136" s="701"/>
      <c r="K136" s="701"/>
      <c r="L136" s="701"/>
      <c r="M136" s="701"/>
      <c r="N136" s="701"/>
    </row>
    <row r="137" spans="4:14" ht="15" customHeight="1">
      <c r="D137" s="701"/>
      <c r="E137" s="701"/>
      <c r="F137" s="701"/>
      <c r="G137" s="701"/>
      <c r="H137" s="701"/>
      <c r="I137" s="701"/>
      <c r="J137" s="701"/>
      <c r="K137" s="701"/>
      <c r="L137" s="701"/>
      <c r="M137" s="701"/>
      <c r="N137" s="701"/>
    </row>
    <row r="138" spans="4:14" ht="15" customHeight="1">
      <c r="D138" s="701"/>
      <c r="E138" s="2314" t="s">
        <v>1134</v>
      </c>
      <c r="F138" s="2315"/>
      <c r="G138" s="2316"/>
      <c r="H138" s="2315"/>
      <c r="I138" s="2317"/>
      <c r="J138" s="2315"/>
      <c r="K138" s="2317"/>
      <c r="L138" s="2317"/>
      <c r="M138" s="2317"/>
      <c r="N138" s="701"/>
    </row>
    <row r="139" spans="4:14" ht="15" customHeight="1">
      <c r="D139" s="701"/>
      <c r="E139" s="701"/>
      <c r="F139" s="701"/>
      <c r="G139" s="701"/>
      <c r="H139" s="701"/>
      <c r="I139" s="701"/>
      <c r="J139" s="701"/>
      <c r="K139" s="701"/>
      <c r="L139" s="701"/>
      <c r="M139" s="701"/>
      <c r="N139" s="701"/>
    </row>
    <row r="140" spans="4:14" ht="15" customHeight="1">
      <c r="D140" s="2030"/>
      <c r="E140" s="2524" t="s">
        <v>869</v>
      </c>
      <c r="F140" s="2525"/>
      <c r="G140" s="2526" t="s">
        <v>1470</v>
      </c>
      <c r="H140" s="2515" t="s">
        <v>870</v>
      </c>
      <c r="I140" s="2030"/>
      <c r="J140" s="2030"/>
      <c r="K140" s="2030"/>
      <c r="L140" s="2030"/>
      <c r="M140" s="2030"/>
      <c r="N140" s="701"/>
    </row>
    <row r="141" spans="4:14" ht="15" customHeight="1">
      <c r="D141" s="2030"/>
      <c r="E141" s="2367" t="s">
        <v>1638</v>
      </c>
      <c r="F141" s="2030"/>
      <c r="G141" s="3629">
        <v>13.03</v>
      </c>
      <c r="H141" s="2527" t="s">
        <v>1639</v>
      </c>
      <c r="I141" s="2030"/>
      <c r="J141" s="2030"/>
      <c r="K141" s="2030"/>
      <c r="L141" s="2030"/>
      <c r="M141" s="2030"/>
      <c r="N141" s="701"/>
    </row>
    <row r="142" spans="4:14" ht="15" customHeight="1">
      <c r="D142" s="2030"/>
      <c r="E142" s="2367" t="s">
        <v>1640</v>
      </c>
      <c r="F142" s="2030"/>
      <c r="G142" s="3629">
        <v>3.9089999999999998</v>
      </c>
      <c r="H142" s="2527" t="s">
        <v>1639</v>
      </c>
      <c r="I142" s="2030"/>
      <c r="J142" s="2030"/>
      <c r="K142" s="2030"/>
      <c r="L142" s="2030"/>
      <c r="M142" s="2030"/>
      <c r="N142" s="701"/>
    </row>
    <row r="143" spans="4:14" ht="15" customHeight="1">
      <c r="D143" s="2030"/>
      <c r="E143" s="2367" t="s">
        <v>1641</v>
      </c>
      <c r="F143" s="2030"/>
      <c r="G143" s="3629">
        <v>0.89</v>
      </c>
      <c r="H143" s="2527" t="s">
        <v>1639</v>
      </c>
      <c r="I143" s="2030"/>
      <c r="J143" s="2030"/>
      <c r="K143" s="2030"/>
      <c r="L143" s="2030"/>
      <c r="M143" s="2030"/>
      <c r="N143" s="701"/>
    </row>
    <row r="144" spans="4:14" ht="15" customHeight="1">
      <c r="D144" s="2030"/>
      <c r="E144" s="2367" t="s">
        <v>1642</v>
      </c>
      <c r="F144" s="2030"/>
      <c r="G144" s="3629">
        <v>0.2</v>
      </c>
      <c r="H144" s="2527" t="s">
        <v>1639</v>
      </c>
      <c r="I144" s="2030"/>
      <c r="J144" s="2030"/>
      <c r="K144" s="2030"/>
      <c r="L144" s="2030"/>
      <c r="M144" s="2030"/>
      <c r="N144" s="701"/>
    </row>
    <row r="145" spans="4:16" ht="15" customHeight="1">
      <c r="D145" s="2030"/>
      <c r="E145" s="2367" t="s">
        <v>1643</v>
      </c>
      <c r="F145" s="2030"/>
      <c r="G145" s="3629">
        <v>0.26700000000000002</v>
      </c>
      <c r="H145" s="2527" t="s">
        <v>1644</v>
      </c>
      <c r="I145" s="2030"/>
      <c r="J145" s="2030"/>
      <c r="K145" s="2030"/>
      <c r="L145" s="2030"/>
      <c r="M145" s="2030"/>
      <c r="N145" s="701"/>
    </row>
    <row r="146" spans="4:16" ht="15" customHeight="1">
      <c r="D146" s="2030"/>
      <c r="E146" s="2367" t="s">
        <v>1640</v>
      </c>
      <c r="F146" s="2030"/>
      <c r="G146" s="3629">
        <v>1.7999999999999999E-2</v>
      </c>
      <c r="H146" s="2527" t="s">
        <v>1644</v>
      </c>
      <c r="I146" s="2030"/>
      <c r="J146" s="2030"/>
      <c r="K146" s="2030"/>
      <c r="L146" s="2030"/>
      <c r="M146" s="2030"/>
      <c r="N146" s="701"/>
      <c r="P146" s="2528"/>
    </row>
    <row r="147" spans="4:16" ht="15" customHeight="1">
      <c r="D147" s="2030"/>
      <c r="E147" s="2529" t="s">
        <v>1641</v>
      </c>
      <c r="F147" s="2363"/>
      <c r="G147" s="3630">
        <v>0.44</v>
      </c>
      <c r="H147" s="2530" t="s">
        <v>1644</v>
      </c>
      <c r="I147" s="2030"/>
      <c r="J147" s="2030"/>
      <c r="K147" s="2030"/>
      <c r="L147" s="2030"/>
      <c r="M147" s="2030"/>
      <c r="N147" s="701"/>
    </row>
    <row r="148" spans="4:16" ht="15" customHeight="1">
      <c r="D148" s="701"/>
      <c r="E148" s="701"/>
      <c r="F148" s="701"/>
      <c r="G148" s="701"/>
      <c r="H148" s="701"/>
      <c r="I148" s="701"/>
      <c r="J148" s="701"/>
      <c r="K148" s="701"/>
      <c r="L148" s="701"/>
      <c r="M148" s="701"/>
      <c r="N148" s="701"/>
    </row>
    <row r="149" spans="4:16" ht="15" customHeight="1">
      <c r="D149" s="701"/>
      <c r="E149" s="2509" t="s">
        <v>1135</v>
      </c>
      <c r="F149" s="2315"/>
      <c r="G149" s="2316"/>
      <c r="H149" s="2315"/>
      <c r="I149" s="2317"/>
      <c r="J149" s="2315"/>
      <c r="K149" s="2317"/>
      <c r="L149" s="2317"/>
      <c r="M149" s="2317"/>
      <c r="N149" s="701"/>
    </row>
    <row r="150" spans="4:16" ht="15" customHeight="1">
      <c r="D150" s="701"/>
      <c r="E150" s="701"/>
      <c r="F150" s="701"/>
      <c r="G150" s="701"/>
      <c r="H150" s="701"/>
      <c r="I150" s="701"/>
      <c r="J150" s="701"/>
      <c r="K150" s="701"/>
      <c r="L150" s="701"/>
      <c r="M150" s="701"/>
      <c r="N150" s="701"/>
    </row>
    <row r="151" spans="4:16" ht="15" customHeight="1">
      <c r="D151" s="701"/>
      <c r="E151" s="701"/>
      <c r="F151" s="2531"/>
      <c r="G151" s="2532" t="s">
        <v>1645</v>
      </c>
      <c r="H151" s="699"/>
      <c r="I151" s="2533"/>
      <c r="J151" s="701"/>
      <c r="K151" s="701"/>
      <c r="L151" s="701"/>
      <c r="M151" s="701"/>
      <c r="N151" s="701"/>
    </row>
    <row r="152" spans="4:16" ht="15" customHeight="1">
      <c r="D152" s="701"/>
      <c r="E152" s="2534" t="s">
        <v>1503</v>
      </c>
      <c r="F152" s="2526" t="s">
        <v>1081</v>
      </c>
      <c r="G152" s="2535" t="s">
        <v>1083</v>
      </c>
      <c r="H152" s="699"/>
      <c r="I152" s="2533"/>
      <c r="J152" s="701"/>
      <c r="K152" s="701"/>
      <c r="L152" s="701"/>
      <c r="M152" s="701"/>
      <c r="N152" s="701"/>
    </row>
    <row r="153" spans="4:16" ht="15" customHeight="1">
      <c r="D153" s="701"/>
      <c r="E153" s="699" t="s">
        <v>1471</v>
      </c>
      <c r="F153" s="3631">
        <v>11</v>
      </c>
      <c r="G153" s="2341">
        <v>45</v>
      </c>
      <c r="H153" s="699"/>
      <c r="I153" s="701"/>
      <c r="J153" s="701"/>
      <c r="K153" s="701"/>
      <c r="L153" s="701"/>
      <c r="M153" s="701"/>
      <c r="N153" s="701"/>
    </row>
    <row r="154" spans="4:16" ht="15" customHeight="1">
      <c r="D154" s="701"/>
      <c r="E154" s="1805" t="s">
        <v>1646</v>
      </c>
      <c r="F154" s="3632">
        <v>32</v>
      </c>
      <c r="G154" s="2342">
        <v>45</v>
      </c>
      <c r="H154" s="699"/>
      <c r="I154" s="701"/>
      <c r="J154" s="701"/>
      <c r="K154" s="701"/>
      <c r="L154" s="701"/>
      <c r="M154" s="701"/>
      <c r="N154" s="701"/>
    </row>
    <row r="155" spans="4:16" ht="15" customHeight="1">
      <c r="D155" s="701"/>
      <c r="E155" s="701"/>
      <c r="F155" s="701"/>
      <c r="G155" s="2536"/>
      <c r="H155" s="699"/>
      <c r="I155" s="699"/>
      <c r="J155" s="701"/>
      <c r="K155" s="2537"/>
      <c r="L155" s="2537"/>
      <c r="M155" s="2537"/>
      <c r="N155" s="701"/>
    </row>
    <row r="156" spans="4:16" ht="15" customHeight="1">
      <c r="D156" s="701"/>
      <c r="E156" s="2509" t="s">
        <v>1137</v>
      </c>
      <c r="F156" s="2315"/>
      <c r="G156" s="2316"/>
      <c r="H156" s="2315"/>
      <c r="I156" s="2317"/>
      <c r="J156" s="2315"/>
      <c r="K156" s="2315"/>
      <c r="L156" s="2315"/>
      <c r="M156" s="2315"/>
      <c r="N156" s="701"/>
    </row>
    <row r="157" spans="4:16" ht="15" customHeight="1">
      <c r="D157" s="701"/>
      <c r="E157" s="1802"/>
      <c r="F157" s="699"/>
      <c r="G157" s="699"/>
      <c r="H157" s="2538"/>
      <c r="I157" s="2533"/>
      <c r="J157" s="2533"/>
      <c r="K157" s="2533"/>
      <c r="L157" s="2533"/>
      <c r="M157" s="2533"/>
      <c r="N157" s="701"/>
    </row>
    <row r="158" spans="4:16" ht="15" customHeight="1">
      <c r="D158" s="701"/>
      <c r="E158" s="2518"/>
      <c r="F158" s="709"/>
      <c r="G158" s="709" t="s">
        <v>698</v>
      </c>
      <c r="H158" s="2534" t="s">
        <v>1647</v>
      </c>
      <c r="I158" s="2533"/>
      <c r="J158" s="2537"/>
      <c r="K158" s="2537"/>
      <c r="L158" s="2537"/>
      <c r="M158" s="2537"/>
      <c r="N158" s="701"/>
    </row>
    <row r="159" spans="4:16" ht="15" customHeight="1">
      <c r="D159" s="701"/>
      <c r="E159" s="699" t="s">
        <v>1648</v>
      </c>
      <c r="F159" s="3633">
        <v>50205.038704459897</v>
      </c>
      <c r="G159" s="2539" t="s">
        <v>1649</v>
      </c>
      <c r="H159" s="2341" t="s">
        <v>72</v>
      </c>
      <c r="I159" s="2533"/>
      <c r="J159" s="2537"/>
      <c r="K159" s="2537"/>
      <c r="L159" s="2537"/>
      <c r="M159" s="2537"/>
      <c r="N159" s="701"/>
    </row>
    <row r="160" spans="4:16" ht="15" customHeight="1">
      <c r="D160" s="701"/>
      <c r="E160" s="699" t="s">
        <v>1650</v>
      </c>
      <c r="F160" s="3634">
        <v>1005.5606794542</v>
      </c>
      <c r="G160" s="2741" t="s">
        <v>1649</v>
      </c>
      <c r="H160" s="3635">
        <f>F160/$F$159</f>
        <v>2.0029078861458428E-2</v>
      </c>
      <c r="I160" s="2533"/>
      <c r="J160" s="2537"/>
      <c r="K160" s="2537"/>
      <c r="L160" s="2537"/>
      <c r="M160" s="2537"/>
      <c r="N160" s="701"/>
    </row>
    <row r="161" spans="4:14" ht="15" customHeight="1">
      <c r="D161" s="701"/>
      <c r="E161" s="699" t="s">
        <v>1651</v>
      </c>
      <c r="F161" s="3634">
        <f>F159*0.23</f>
        <v>11547.158902025776</v>
      </c>
      <c r="G161" s="2741" t="s">
        <v>1649</v>
      </c>
      <c r="H161" s="3635">
        <f>F161/$F$159</f>
        <v>0.22999999999999998</v>
      </c>
      <c r="I161" s="2533"/>
      <c r="J161" s="2537"/>
      <c r="K161" s="2537"/>
      <c r="L161" s="2537"/>
      <c r="M161" s="2537"/>
      <c r="N161" s="701"/>
    </row>
    <row r="162" spans="4:14" ht="15" customHeight="1">
      <c r="D162" s="701"/>
      <c r="E162" s="1805" t="s">
        <v>1652</v>
      </c>
      <c r="F162" s="3636">
        <v>21510.288113000002</v>
      </c>
      <c r="G162" s="2742" t="s">
        <v>1649</v>
      </c>
      <c r="H162" s="3637">
        <f>F162/$F$159</f>
        <v>0.42844879056111879</v>
      </c>
      <c r="I162" s="2533"/>
      <c r="J162" s="2537"/>
      <c r="K162" s="2537"/>
      <c r="L162" s="2537"/>
      <c r="M162" s="2537"/>
      <c r="N162" s="701"/>
    </row>
    <row r="163" spans="4:14" ht="15" customHeight="1">
      <c r="D163" s="701"/>
      <c r="E163" s="2386"/>
      <c r="F163" s="699"/>
      <c r="G163" s="699"/>
      <c r="H163" s="2538"/>
      <c r="I163" s="2533"/>
      <c r="J163" s="2533"/>
      <c r="K163" s="2533"/>
      <c r="L163" s="2533"/>
      <c r="M163" s="2533"/>
      <c r="N163" s="701"/>
    </row>
    <row r="164" spans="4:14" ht="15" customHeight="1">
      <c r="D164" s="701"/>
      <c r="E164" s="2509" t="s">
        <v>1138</v>
      </c>
      <c r="F164" s="2315"/>
      <c r="G164" s="2316"/>
      <c r="H164" s="2315"/>
      <c r="I164" s="2317"/>
      <c r="J164" s="2315"/>
      <c r="K164" s="2315"/>
      <c r="L164" s="2315"/>
      <c r="M164" s="2315"/>
      <c r="N164" s="701"/>
    </row>
    <row r="165" spans="4:14" ht="15" customHeight="1">
      <c r="D165" s="701"/>
      <c r="E165" s="1802"/>
      <c r="F165" s="2772"/>
      <c r="G165" s="699"/>
      <c r="H165" s="2538"/>
      <c r="I165" s="2533"/>
      <c r="J165" s="2533"/>
      <c r="K165" s="2537"/>
      <c r="L165" s="2537"/>
      <c r="M165" s="2537"/>
      <c r="N165" s="701"/>
    </row>
    <row r="166" spans="4:14" ht="15" customHeight="1">
      <c r="D166" s="701"/>
      <c r="E166" s="2518"/>
      <c r="F166" s="709" t="s">
        <v>1653</v>
      </c>
      <c r="G166" s="709" t="s">
        <v>1654</v>
      </c>
      <c r="H166" s="2534" t="s">
        <v>1647</v>
      </c>
      <c r="I166" s="2533"/>
      <c r="J166" s="2533"/>
      <c r="K166" s="2537"/>
      <c r="L166" s="2537"/>
      <c r="M166" s="2537"/>
      <c r="N166" s="701"/>
    </row>
    <row r="167" spans="4:14" ht="15" customHeight="1">
      <c r="D167" s="701"/>
      <c r="E167" s="2540" t="s">
        <v>1655</v>
      </c>
      <c r="F167" s="3638">
        <v>23274840049.475197</v>
      </c>
      <c r="G167" s="3639" t="s">
        <v>1656</v>
      </c>
      <c r="H167" s="3640">
        <f>F167/F167</f>
        <v>1</v>
      </c>
      <c r="I167" s="2533"/>
      <c r="J167" s="2533"/>
      <c r="K167" s="2537"/>
      <c r="L167" s="2537"/>
      <c r="M167" s="2537"/>
      <c r="N167" s="701"/>
    </row>
    <row r="168" spans="4:14" ht="15" customHeight="1">
      <c r="D168" s="701"/>
      <c r="E168" s="699" t="s">
        <v>1657</v>
      </c>
      <c r="F168" s="3641">
        <v>4033403994.4969897</v>
      </c>
      <c r="G168" s="3642" t="s">
        <v>1656</v>
      </c>
      <c r="H168" s="3650">
        <f>F168/$F$167</f>
        <v>0.17329459562012908</v>
      </c>
      <c r="I168" s="2533"/>
      <c r="J168" s="2533"/>
      <c r="K168" s="2537"/>
      <c r="L168" s="2537"/>
      <c r="M168" s="2537"/>
      <c r="N168" s="701"/>
    </row>
    <row r="169" spans="4:14" ht="15" customHeight="1">
      <c r="D169" s="701"/>
      <c r="E169" s="1805" t="s">
        <v>1658</v>
      </c>
      <c r="F169" s="3643">
        <v>8007326243.224474</v>
      </c>
      <c r="G169" s="3644" t="s">
        <v>1656</v>
      </c>
      <c r="H169" s="3651">
        <v>0.34</v>
      </c>
      <c r="I169" s="2533"/>
      <c r="J169" s="2533"/>
      <c r="K169" s="2537"/>
      <c r="L169" s="2537"/>
      <c r="M169" s="2537"/>
      <c r="N169" s="701"/>
    </row>
    <row r="170" spans="4:14" ht="15" customHeight="1">
      <c r="D170" s="701"/>
      <c r="E170" s="2386"/>
      <c r="F170" s="701"/>
      <c r="G170" s="701"/>
      <c r="H170" s="701"/>
      <c r="I170" s="2533"/>
      <c r="J170" s="2533"/>
      <c r="K170" s="2537"/>
      <c r="L170" s="2537"/>
      <c r="M170" s="2537"/>
      <c r="N170" s="701"/>
    </row>
    <row r="171" spans="4:14" ht="15" customHeight="1">
      <c r="D171" s="701"/>
      <c r="E171" s="2509" t="s">
        <v>1139</v>
      </c>
      <c r="F171" s="2315"/>
      <c r="G171" s="2316"/>
      <c r="H171" s="2315"/>
      <c r="I171" s="2317"/>
      <c r="J171" s="2315"/>
      <c r="K171" s="2317"/>
      <c r="L171" s="2317"/>
      <c r="M171" s="2317"/>
      <c r="N171" s="701"/>
    </row>
    <row r="172" spans="4:14" ht="15" customHeight="1">
      <c r="D172" s="701"/>
      <c r="E172" s="1679"/>
      <c r="F172" s="701"/>
      <c r="G172" s="2541"/>
      <c r="H172" s="2542"/>
      <c r="I172" s="2320"/>
      <c r="J172" s="2541"/>
      <c r="K172" s="2537"/>
      <c r="L172" s="2537"/>
      <c r="M172" s="2537"/>
      <c r="N172" s="701"/>
    </row>
    <row r="173" spans="4:14" ht="15" customHeight="1">
      <c r="D173" s="701"/>
      <c r="E173" s="2518" t="s">
        <v>869</v>
      </c>
      <c r="F173" s="3645" t="s">
        <v>11</v>
      </c>
      <c r="G173" s="3645" t="s">
        <v>9</v>
      </c>
      <c r="H173" s="3645" t="s">
        <v>1659</v>
      </c>
      <c r="I173" s="701"/>
      <c r="J173" s="2537"/>
      <c r="K173" s="2537"/>
      <c r="L173" s="2537"/>
      <c r="M173" s="701"/>
      <c r="N173" s="701"/>
    </row>
    <row r="174" spans="4:14" ht="15" customHeight="1">
      <c r="D174" s="701"/>
      <c r="E174" s="1804" t="s">
        <v>522</v>
      </c>
      <c r="F174" s="3646">
        <v>52957.132350232001</v>
      </c>
      <c r="G174" s="3646">
        <f t="shared" ref="G174:G181" si="9">F174*UNIDAD_TJ_A_TWH</f>
        <v>14.710314541731112</v>
      </c>
      <c r="H174" s="3647">
        <v>6.8364422736283046E-4</v>
      </c>
      <c r="I174" s="701"/>
      <c r="J174" s="2537"/>
      <c r="K174" s="2537"/>
      <c r="L174" s="2537"/>
      <c r="M174" s="701"/>
      <c r="N174" s="701"/>
    </row>
    <row r="175" spans="4:14" ht="15" customHeight="1">
      <c r="D175" s="701"/>
      <c r="E175" s="699" t="s">
        <v>525</v>
      </c>
      <c r="F175" s="2137">
        <v>0</v>
      </c>
      <c r="G175" s="2137">
        <f t="shared" si="9"/>
        <v>0</v>
      </c>
      <c r="H175" s="2772">
        <v>0</v>
      </c>
      <c r="I175" s="701"/>
      <c r="J175" s="2537"/>
      <c r="K175" s="2537"/>
      <c r="L175" s="2537"/>
      <c r="M175" s="701"/>
      <c r="N175" s="701"/>
    </row>
    <row r="176" spans="4:14" ht="15" customHeight="1">
      <c r="D176" s="701"/>
      <c r="E176" s="699" t="s">
        <v>526</v>
      </c>
      <c r="F176" s="2137">
        <v>29.724724009708464</v>
      </c>
      <c r="G176" s="2137">
        <f t="shared" si="9"/>
        <v>8.2568677804745732E-3</v>
      </c>
      <c r="H176" s="2772">
        <v>3.8372802826249509E-7</v>
      </c>
      <c r="I176" s="701"/>
      <c r="J176" s="2537"/>
      <c r="K176" s="2537"/>
      <c r="L176" s="2537"/>
      <c r="M176" s="701"/>
      <c r="N176" s="701"/>
    </row>
    <row r="177" spans="4:14" ht="15" customHeight="1">
      <c r="D177" s="701"/>
      <c r="E177" s="699" t="s">
        <v>527</v>
      </c>
      <c r="F177" s="2137">
        <v>32.504302928126229</v>
      </c>
      <c r="G177" s="2137">
        <f t="shared" si="9"/>
        <v>9.0289730355906199E-3</v>
      </c>
      <c r="H177" s="2772">
        <v>4.1961069406676236E-7</v>
      </c>
      <c r="I177" s="701"/>
      <c r="J177" s="2537"/>
      <c r="K177" s="2537"/>
      <c r="L177" s="2537"/>
      <c r="M177" s="701"/>
      <c r="N177" s="701"/>
    </row>
    <row r="178" spans="4:14" ht="15" customHeight="1">
      <c r="D178" s="701"/>
      <c r="E178" s="699" t="s">
        <v>498</v>
      </c>
      <c r="F178" s="2137">
        <v>3031.8894873612603</v>
      </c>
      <c r="G178" s="2137">
        <f t="shared" si="9"/>
        <v>0.84219152426701671</v>
      </c>
      <c r="H178" s="2772">
        <v>3.9139841113913646E-5</v>
      </c>
      <c r="I178" s="701"/>
      <c r="J178" s="2537"/>
      <c r="K178" s="2537"/>
      <c r="L178" s="2537"/>
      <c r="M178" s="701"/>
      <c r="N178" s="701"/>
    </row>
    <row r="179" spans="4:14" ht="15" customHeight="1">
      <c r="D179" s="701"/>
      <c r="E179" s="699" t="s">
        <v>528</v>
      </c>
      <c r="F179" s="2137">
        <v>2.476309854353044</v>
      </c>
      <c r="G179" s="2137">
        <f t="shared" si="9"/>
        <v>6.8786384843140113E-4</v>
      </c>
      <c r="H179" s="2772">
        <v>3.196764745292583E-8</v>
      </c>
      <c r="I179" s="701"/>
      <c r="J179" s="2537"/>
      <c r="K179" s="2537"/>
      <c r="L179" s="2537"/>
      <c r="M179" s="701"/>
      <c r="N179" s="701"/>
    </row>
    <row r="180" spans="4:14" ht="15" customHeight="1">
      <c r="D180" s="701"/>
      <c r="E180" s="701" t="s">
        <v>1660</v>
      </c>
      <c r="F180" s="2137">
        <v>0.14369700030135857</v>
      </c>
      <c r="G180" s="2137">
        <f>F180*UNIDAD_TJ_A_TWH</f>
        <v>3.9915833417044049E-5</v>
      </c>
      <c r="H180" s="2772">
        <v>1.8550404900266153E-9</v>
      </c>
      <c r="I180" s="701"/>
      <c r="J180" s="2537"/>
      <c r="K180" s="2537"/>
      <c r="L180" s="2537"/>
      <c r="M180" s="701"/>
      <c r="N180" s="701"/>
    </row>
    <row r="181" spans="4:14" ht="15" customHeight="1">
      <c r="D181" s="701"/>
      <c r="E181" s="3105" t="s">
        <v>338</v>
      </c>
      <c r="F181" s="3648">
        <f>SUM(F174:F180)</f>
        <v>56053.870871385749</v>
      </c>
      <c r="G181" s="3648">
        <f t="shared" si="9"/>
        <v>15.570519686496041</v>
      </c>
      <c r="H181" s="3649">
        <v>1.5479226124873628E-2</v>
      </c>
      <c r="I181" s="701"/>
      <c r="J181" s="2537"/>
      <c r="K181" s="2537"/>
      <c r="L181" s="2537"/>
      <c r="M181" s="701"/>
      <c r="N181" s="701"/>
    </row>
    <row r="182" spans="4:14" ht="15" customHeight="1">
      <c r="D182" s="701"/>
      <c r="E182" s="2353"/>
      <c r="F182" s="2544"/>
      <c r="G182" s="2544"/>
      <c r="H182" s="2537"/>
      <c r="I182" s="2537"/>
      <c r="J182" s="2537"/>
      <c r="K182" s="2537"/>
      <c r="L182" s="2537"/>
      <c r="M182" s="2537"/>
      <c r="N182" s="701"/>
    </row>
    <row r="183" spans="4:14" ht="15" customHeight="1">
      <c r="D183" s="701"/>
      <c r="E183" s="2353"/>
      <c r="F183" s="2777"/>
      <c r="G183" s="2777"/>
      <c r="H183" s="2773"/>
      <c r="I183" s="2773"/>
      <c r="J183" s="2773"/>
      <c r="K183" s="2773"/>
      <c r="L183" s="2773"/>
      <c r="M183" s="2773"/>
      <c r="N183" s="701"/>
    </row>
    <row r="185" spans="4:14" ht="15" customHeight="1">
      <c r="D185" s="2504" t="s">
        <v>1661</v>
      </c>
      <c r="E185" s="2504"/>
      <c r="F185" s="892"/>
      <c r="G185" s="892"/>
      <c r="H185" s="892"/>
      <c r="I185" s="892"/>
      <c r="J185" s="892"/>
      <c r="K185" s="892"/>
      <c r="L185" s="892"/>
      <c r="M185" s="892"/>
      <c r="N185" s="892"/>
    </row>
    <row r="186" spans="4:14" ht="15" customHeight="1">
      <c r="D186" s="2507"/>
      <c r="E186" s="2507"/>
      <c r="F186" s="699"/>
      <c r="G186" s="699"/>
      <c r="H186" s="699"/>
      <c r="I186" s="699"/>
      <c r="J186" s="699"/>
      <c r="K186" s="699"/>
      <c r="L186" s="699"/>
      <c r="M186" s="699"/>
      <c r="N186" s="699"/>
    </row>
    <row r="187" spans="4:14" ht="15" customHeight="1">
      <c r="D187" s="2507"/>
      <c r="E187" s="2504" t="s">
        <v>818</v>
      </c>
      <c r="F187" s="892"/>
      <c r="G187" s="892"/>
      <c r="H187" s="892"/>
      <c r="I187" s="892"/>
      <c r="J187" s="892"/>
      <c r="K187" s="892"/>
      <c r="L187" s="892"/>
      <c r="M187" s="892"/>
      <c r="N187" s="699"/>
    </row>
    <row r="188" spans="4:14" ht="15" customHeight="1">
      <c r="D188" s="701"/>
      <c r="E188" s="699"/>
      <c r="F188" s="2137"/>
      <c r="G188" s="2137"/>
      <c r="H188" s="2772"/>
      <c r="I188" s="701"/>
      <c r="J188" s="2773"/>
      <c r="K188" s="2773"/>
      <c r="L188" s="2773"/>
      <c r="M188" s="1681" t="s">
        <v>1662</v>
      </c>
      <c r="N188" s="701"/>
    </row>
    <row r="189" spans="4:14" ht="15" customHeight="1">
      <c r="D189" s="701"/>
      <c r="E189" s="28"/>
      <c r="F189" s="29">
        <v>2018</v>
      </c>
      <c r="G189" s="29">
        <v>2020</v>
      </c>
      <c r="H189" s="29">
        <v>2025</v>
      </c>
      <c r="I189" s="29">
        <v>2030</v>
      </c>
      <c r="J189" s="29">
        <v>2035</v>
      </c>
      <c r="K189" s="29">
        <v>2040</v>
      </c>
      <c r="L189" s="29">
        <v>2045</v>
      </c>
      <c r="M189" s="29">
        <v>2050</v>
      </c>
      <c r="N189" s="701"/>
    </row>
    <row r="190" spans="4:14" ht="15" customHeight="1">
      <c r="D190" s="701"/>
      <c r="E190" s="2774" t="s">
        <v>500</v>
      </c>
      <c r="F190" s="87"/>
      <c r="G190" s="87"/>
      <c r="H190" s="87"/>
      <c r="I190" s="87"/>
      <c r="J190" s="87"/>
      <c r="K190" s="87"/>
      <c r="L190" s="87"/>
      <c r="M190" s="87"/>
      <c r="N190" s="701"/>
    </row>
    <row r="191" spans="4:14" ht="15" customHeight="1">
      <c r="D191" s="701"/>
      <c r="E191" s="699" t="s">
        <v>820</v>
      </c>
      <c r="F191" s="2775" cm="1">
        <f t="array" ref="F191:M191">SALIDA_GENERACION_ENER_CRUDO/UNIDAD_BOE_A_TEH*COSTOS_COMBUSTIBLES_CRUDO_ALTO*COSTOS_2019_US_dolares_MMCOP</f>
        <v>0</v>
      </c>
      <c r="G191" s="2775">
        <v>0</v>
      </c>
      <c r="H191" s="2775">
        <v>0</v>
      </c>
      <c r="I191" s="2775">
        <v>0</v>
      </c>
      <c r="J191" s="2775">
        <v>0</v>
      </c>
      <c r="K191" s="2775">
        <v>0</v>
      </c>
      <c r="L191" s="2775">
        <v>0</v>
      </c>
      <c r="M191" s="2775">
        <v>0</v>
      </c>
      <c r="N191" s="701"/>
    </row>
    <row r="192" spans="4:14" ht="15" customHeight="1">
      <c r="D192" s="701"/>
      <c r="E192" s="699" t="s">
        <v>821</v>
      </c>
      <c r="F192" s="2775" cm="1">
        <f t="array" ref="F192:M192">SALIDA_GENERACION_ENER_CRUDO/UNIDAD_BOE_A_TEH*COSTOS_COMBUSTIBLES_CRUDO_MEDIO*COSTOS_2019_US_dolares_MMCOP</f>
        <v>0</v>
      </c>
      <c r="G192" s="2775">
        <v>0</v>
      </c>
      <c r="H192" s="2775">
        <v>0</v>
      </c>
      <c r="I192" s="2775">
        <v>0</v>
      </c>
      <c r="J192" s="2775">
        <v>0</v>
      </c>
      <c r="K192" s="2775">
        <v>0</v>
      </c>
      <c r="L192" s="2775">
        <v>0</v>
      </c>
      <c r="M192" s="2775">
        <v>0</v>
      </c>
      <c r="N192" s="701"/>
    </row>
    <row r="193" spans="4:14" ht="15" customHeight="1">
      <c r="D193" s="701"/>
      <c r="E193" s="1805" t="s">
        <v>822</v>
      </c>
      <c r="F193" s="2776" cm="1">
        <f t="array" ref="F193:M193">SALIDA_GENERACION_ENER_CRUDO/UNIDAD_BOE_A_TEH*COSTOS_COMBUSTIBLES_CRUDO_BAJO*COSTOS_2019_US_dolares_MMCOP</f>
        <v>0</v>
      </c>
      <c r="G193" s="2776">
        <v>0</v>
      </c>
      <c r="H193" s="2776">
        <v>0</v>
      </c>
      <c r="I193" s="2776">
        <v>0</v>
      </c>
      <c r="J193" s="2776">
        <v>0</v>
      </c>
      <c r="K193" s="2776">
        <v>0</v>
      </c>
      <c r="L193" s="2776">
        <v>0</v>
      </c>
      <c r="M193" s="2776">
        <v>0</v>
      </c>
      <c r="N193" s="701"/>
    </row>
    <row r="194" spans="4:14" ht="15" customHeight="1">
      <c r="D194" s="701"/>
      <c r="E194" s="699"/>
      <c r="F194" s="2137"/>
      <c r="G194" s="2137"/>
      <c r="H194" s="2772"/>
      <c r="I194" s="701"/>
      <c r="J194" s="2773"/>
      <c r="K194" s="2773"/>
      <c r="L194" s="2773"/>
      <c r="M194" s="701"/>
      <c r="N194" s="701"/>
    </row>
    <row r="195" spans="4:14" ht="15" customHeight="1">
      <c r="D195" s="701"/>
      <c r="E195" s="2774" t="s">
        <v>590</v>
      </c>
      <c r="F195" s="87"/>
      <c r="G195" s="87"/>
      <c r="H195" s="87"/>
      <c r="I195" s="87"/>
      <c r="J195" s="87"/>
      <c r="K195" s="87"/>
      <c r="L195" s="87"/>
      <c r="M195" s="87"/>
      <c r="N195" s="701"/>
    </row>
    <row r="196" spans="4:14" ht="15" customHeight="1">
      <c r="D196" s="701"/>
      <c r="E196" s="699" t="s">
        <v>820</v>
      </c>
      <c r="F196" s="2775" cm="1">
        <f t="array" ref="F196:M196">SALIDA_GENERACION_ENER_GN/UNIDAD_MBTU_A_TWH*COSTOS_COMBUSTIBLES_GAS_NATURAL_ALTO*COSTOS_2019_US_dolares_MMCOP</f>
        <v>3744.4954878099925</v>
      </c>
      <c r="G196" s="2775">
        <v>3067.7337596212537</v>
      </c>
      <c r="H196" s="2775">
        <v>2425.9280870184552</v>
      </c>
      <c r="I196" s="2775">
        <v>711.84430798058713</v>
      </c>
      <c r="J196" s="2775">
        <v>759.51599980009928</v>
      </c>
      <c r="K196" s="2775">
        <v>2365.4151220169015</v>
      </c>
      <c r="L196" s="2775">
        <v>4020.160273860397</v>
      </c>
      <c r="M196" s="2775">
        <v>5724.4928267959158</v>
      </c>
      <c r="N196" s="701"/>
    </row>
    <row r="197" spans="4:14" ht="15" customHeight="1">
      <c r="D197" s="701"/>
      <c r="E197" s="699" t="s">
        <v>821</v>
      </c>
      <c r="F197" s="2775" cm="1">
        <f t="array" ref="F197:M197">SALIDA_GENERACION_ENER_GN/UNIDAD_MBTU_A_TWH*COSTOS_COMBUSTIBLES_GAS_NATURAL_MEDIO*COSTOS_2019_US_dolares_MMCOP</f>
        <v>3395.1796402554769</v>
      </c>
      <c r="G197" s="2775">
        <v>2174.9589166321152</v>
      </c>
      <c r="H197" s="2775">
        <v>1542.697884637912</v>
      </c>
      <c r="I197" s="2775">
        <v>586.29820745052166</v>
      </c>
      <c r="J197" s="2775">
        <v>614.43771896536907</v>
      </c>
      <c r="K197" s="2775">
        <v>1910.1978309805204</v>
      </c>
      <c r="L197" s="2137">
        <v>3240.7618813442864</v>
      </c>
      <c r="M197" s="2137">
        <v>4606.9362407517638</v>
      </c>
      <c r="N197" s="701"/>
    </row>
    <row r="198" spans="4:14" ht="15" customHeight="1">
      <c r="D198" s="701"/>
      <c r="E198" s="1805" t="s">
        <v>822</v>
      </c>
      <c r="F198" s="2776" cm="1">
        <f t="array" ref="F198:M198">SALIDA_GENERACION_ENER_GN/UNIDAD_MBTU_A_TWH*COSTOS_COMBUSTIBLES_GAS_NATURAL_BAJO*COSTOS_2019_US_dolares_MMCOP</f>
        <v>2276.6386510478114</v>
      </c>
      <c r="G198" s="2776">
        <v>1502.05696958666</v>
      </c>
      <c r="H198" s="2776">
        <v>931.93625184269115</v>
      </c>
      <c r="I198" s="2776">
        <v>366.7833838039781</v>
      </c>
      <c r="J198" s="2776">
        <v>363.67069053329527</v>
      </c>
      <c r="K198" s="2776">
        <v>1128.7713905199087</v>
      </c>
      <c r="L198" s="1695">
        <v>1911.9460352600754</v>
      </c>
      <c r="M198" s="1695">
        <v>2713.5978101013434</v>
      </c>
      <c r="N198" s="701"/>
    </row>
    <row r="199" spans="4:14" ht="15" customHeight="1">
      <c r="D199" s="701"/>
      <c r="E199" s="699"/>
      <c r="F199" s="2137"/>
      <c r="G199" s="2137"/>
      <c r="H199" s="2772"/>
      <c r="I199" s="701"/>
      <c r="J199" s="2773"/>
      <c r="K199" s="2773"/>
      <c r="L199" s="2773"/>
      <c r="M199" s="701"/>
      <c r="N199" s="701"/>
    </row>
    <row r="200" spans="4:14" ht="15" customHeight="1">
      <c r="D200" s="701"/>
      <c r="E200" s="2774" t="s">
        <v>514</v>
      </c>
      <c r="F200" s="87"/>
      <c r="G200" s="87"/>
      <c r="H200" s="87"/>
      <c r="I200" s="87"/>
      <c r="J200" s="87"/>
      <c r="K200" s="87"/>
      <c r="L200" s="87"/>
      <c r="M200" s="87"/>
      <c r="N200" s="701"/>
    </row>
    <row r="201" spans="4:14" ht="15" customHeight="1">
      <c r="D201" s="701"/>
      <c r="E201" s="699" t="s">
        <v>820</v>
      </c>
      <c r="F201" s="2775" cm="1">
        <f t="array" ref="F201:M201">SALIDA_GENERACION_ENER_CARBÓN/UNIDAD_MBTU_A_TWH*COSTOS_COMBUSTIBLES_CARBON_ALTO*COSTOS_2019_US_dolares_MMCOP</f>
        <v>260139.33468659726</v>
      </c>
      <c r="G201" s="2775">
        <v>258612.14943093172</v>
      </c>
      <c r="H201" s="2775">
        <v>126814.27158643042</v>
      </c>
      <c r="I201" s="2775">
        <v>125472.68877712572</v>
      </c>
      <c r="J201" s="2775">
        <v>124133.41904163019</v>
      </c>
      <c r="K201" s="2775">
        <v>126731.68124512737</v>
      </c>
      <c r="L201" s="2775">
        <v>129373.74589233017</v>
      </c>
      <c r="M201" s="2775">
        <v>132055.30843946544</v>
      </c>
      <c r="N201" s="701"/>
    </row>
    <row r="202" spans="4:14" ht="15" customHeight="1">
      <c r="D202" s="701"/>
      <c r="E202" s="699" t="s">
        <v>821</v>
      </c>
      <c r="F202" s="2775" cm="1">
        <f t="array" ref="F202:M202">SALIDA_GENERACION_ENER_CARBÓN/UNIDAD_MBTU_A_TWH*COSTOS_COMBUSTIBLES_CARBON_MEDIO*COSTOS_2019_US_dolares_MMCOP</f>
        <v>248128.39693642774</v>
      </c>
      <c r="G202" s="2775">
        <v>241746.13968543615</v>
      </c>
      <c r="H202" s="2775">
        <v>117320.15499707198</v>
      </c>
      <c r="I202" s="2775">
        <v>115408.03459714237</v>
      </c>
      <c r="J202" s="2775">
        <v>114176.1929152962</v>
      </c>
      <c r="K202" s="2775">
        <v>113598.86453578775</v>
      </c>
      <c r="L202" s="2775">
        <v>113007.18767703538</v>
      </c>
      <c r="M202" s="2775">
        <v>112401.16233903915</v>
      </c>
      <c r="N202" s="701"/>
    </row>
    <row r="203" spans="4:14" ht="15" customHeight="1">
      <c r="D203" s="701"/>
      <c r="E203" s="1805" t="s">
        <v>822</v>
      </c>
      <c r="F203" s="2776" cm="1">
        <f t="array" ref="F203:M203">SALIDA_GENERACION_ENER_CARBÓN/UNIDAD_MBTU_A_TWH*COSTOS_COMBUSTIBLES_CARBON_BAJO*COSTOS_2019_US_dolares_MMCOP</f>
        <v>207261.91361572922</v>
      </c>
      <c r="G203" s="2776">
        <v>157416.09095795845</v>
      </c>
      <c r="H203" s="2776">
        <v>70527.723235234022</v>
      </c>
      <c r="I203" s="2776">
        <v>79846.256494534551</v>
      </c>
      <c r="J203" s="2776">
        <v>71028.213034515677</v>
      </c>
      <c r="K203" s="2776">
        <v>56930.760434987271</v>
      </c>
      <c r="L203" s="2776">
        <v>45592.555028321171</v>
      </c>
      <c r="M203" s="2776">
        <v>36546.435069093299</v>
      </c>
      <c r="N203" s="701"/>
    </row>
    <row r="204" spans="4:14" ht="15" customHeight="1">
      <c r="D204" s="701"/>
      <c r="E204" s="699"/>
      <c r="F204" s="2137"/>
      <c r="G204" s="2137"/>
      <c r="H204" s="2772"/>
      <c r="I204" s="701"/>
      <c r="J204" s="2773"/>
      <c r="K204" s="2773"/>
      <c r="L204" s="2773"/>
      <c r="M204" s="701"/>
      <c r="N204" s="701"/>
    </row>
    <row r="205" spans="4:14" ht="15" customHeight="1">
      <c r="D205" s="701"/>
      <c r="E205" s="2353"/>
      <c r="F205" s="2777"/>
      <c r="G205" s="2777"/>
      <c r="H205" s="2773"/>
      <c r="I205" s="2773"/>
      <c r="J205" s="2773"/>
      <c r="K205" s="2773"/>
      <c r="L205" s="2773"/>
      <c r="M205" s="2773"/>
      <c r="N205" s="701"/>
    </row>
    <row r="206" spans="4:14" ht="15" customHeight="1">
      <c r="D206" s="701"/>
      <c r="E206" s="2504" t="s">
        <v>827</v>
      </c>
      <c r="F206" s="892"/>
      <c r="G206" s="892"/>
      <c r="H206" s="892"/>
      <c r="I206" s="892"/>
      <c r="J206" s="892"/>
      <c r="K206" s="892"/>
      <c r="L206" s="892"/>
      <c r="M206" s="892"/>
      <c r="N206" s="701"/>
    </row>
    <row r="207" spans="4:14" ht="15" customHeight="1">
      <c r="D207" s="701"/>
      <c r="E207" s="699"/>
      <c r="F207" s="1688"/>
      <c r="G207" s="1688"/>
      <c r="H207" s="2543"/>
      <c r="I207" s="701"/>
      <c r="J207" s="2537"/>
      <c r="K207" s="2537"/>
      <c r="L207" s="2537"/>
      <c r="M207" s="1681" t="s">
        <v>1662</v>
      </c>
      <c r="N207" s="701"/>
    </row>
    <row r="208" spans="4:14" ht="15" customHeight="1">
      <c r="D208" s="701"/>
      <c r="E208" s="424"/>
      <c r="F208" s="1586">
        <v>2018</v>
      </c>
      <c r="G208" s="1586">
        <v>2020</v>
      </c>
      <c r="H208" s="1586">
        <v>2025</v>
      </c>
      <c r="I208" s="1586">
        <v>2030</v>
      </c>
      <c r="J208" s="1586">
        <v>2035</v>
      </c>
      <c r="K208" s="1586">
        <v>2040</v>
      </c>
      <c r="L208" s="1586">
        <v>2045</v>
      </c>
      <c r="M208" s="1586">
        <v>2050</v>
      </c>
      <c r="N208" s="701"/>
    </row>
    <row r="209" spans="4:14" ht="15" customHeight="1">
      <c r="D209" s="701"/>
      <c r="E209" s="2810" t="s">
        <v>494</v>
      </c>
      <c r="F209" s="2811"/>
      <c r="G209" s="2811"/>
      <c r="H209" s="2811"/>
      <c r="I209" s="2811"/>
      <c r="J209" s="2811"/>
      <c r="K209" s="2811"/>
      <c r="L209" s="2811"/>
      <c r="M209" s="2811"/>
      <c r="N209" s="701"/>
    </row>
    <row r="210" spans="4:14" ht="15" customHeight="1">
      <c r="D210" s="701"/>
      <c r="E210" s="699" t="s">
        <v>820</v>
      </c>
      <c r="F210" s="2812">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55*COSTOS_2019_US_dolares_MMCOP/UNIDAD_MBTU_A_TWH</f>
        <v>1106321.2687640847</v>
      </c>
      <c r="G210" s="2812">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55*COSTOS_2019_US_dolares_MMCOP/UNIDAD_MBTU_A_TWH</f>
        <v>1301782.480883975</v>
      </c>
      <c r="H210" s="2812">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55*COSTOS_2019_US_dolares_MMCOP/UNIDAD_MBTU_A_TWH</f>
        <v>1452501.5051924861</v>
      </c>
      <c r="I210" s="2812">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55*COSTOS_2019_US_dolares_MMCOP/UNIDAD_MBTU_A_TWH</f>
        <v>1731225.1533066349</v>
      </c>
      <c r="J210" s="2812">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55*COSTOS_2019_US_dolares_MMCOP/UNIDAD_MBTU_A_TWH</f>
        <v>2129442.7853990486</v>
      </c>
      <c r="K210" s="2812">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55*COSTOS_2019_US_dolares_MMCOP/UNIDAD_MBTU_A_TWH</f>
        <v>2507936.7991802548</v>
      </c>
      <c r="L210" s="2812">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55*COSTOS_2019_US_dolares_MMCOP/UNIDAD_MBTU_A_TWH</f>
        <v>2895951.6753562484</v>
      </c>
      <c r="M210" s="2812">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55*COSTOS_2019_US_dolares_MMCOP/UNIDAD_MBTU_A_TWH</f>
        <v>3393295.5336070312</v>
      </c>
      <c r="N210" s="701"/>
    </row>
    <row r="211" spans="4:14" ht="15" customHeight="1">
      <c r="D211" s="701"/>
      <c r="E211" s="699" t="s">
        <v>821</v>
      </c>
      <c r="F211" s="2812">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56*COSTOS_2019_US_dolares_MMCOP/UNIDAD_MBTU_A_TWH</f>
        <v>1097936.8362815687</v>
      </c>
      <c r="G211" s="2812">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56*COSTOS_2019_US_dolares_MMCOP/UNIDAD_MBTU_A_TWH</f>
        <v>1301782.480883975</v>
      </c>
      <c r="H211" s="2812">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56*COSTOS_2019_US_dolares_MMCOP/UNIDAD_MBTU_A_TWH</f>
        <v>1398228.3344624126</v>
      </c>
      <c r="I211" s="2812">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56*COSTOS_2019_US_dolares_MMCOP/UNIDAD_MBTU_A_TWH</f>
        <v>1631117.2382631251</v>
      </c>
      <c r="J211" s="2812">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56*COSTOS_2019_US_dolares_MMCOP/UNIDAD_MBTU_A_TWH</f>
        <v>2016409.0274349891</v>
      </c>
      <c r="K211" s="2812">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56*COSTOS_2019_US_dolares_MMCOP/UNIDAD_MBTU_A_TWH</f>
        <v>2341900.7916995878</v>
      </c>
      <c r="L211" s="2812">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56*COSTOS_2019_US_dolares_MMCOP/UNIDAD_MBTU_A_TWH</f>
        <v>2670835.3151295353</v>
      </c>
      <c r="M211" s="2812">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56*COSTOS_2019_US_dolares_MMCOP/UNIDAD_MBTU_A_TWH</f>
        <v>3094867.2160678194</v>
      </c>
      <c r="N211" s="701"/>
    </row>
    <row r="212" spans="4:14" ht="15" customHeight="1">
      <c r="D212" s="701"/>
      <c r="E212" s="1805" t="s">
        <v>822</v>
      </c>
      <c r="F212" s="2776">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57*COSTOS_2019_US_dolares_MMCOP/UNIDAD_MBTU_A_TWH</f>
        <v>1087875.5173025578</v>
      </c>
      <c r="G212" s="2776">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57*COSTOS_2019_US_dolares_MMCOP/UNIDAD_MBTU_A_TWH</f>
        <v>1301782.480883975</v>
      </c>
      <c r="H212" s="2776">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57*COSTOS_2019_US_dolares_MMCOP/UNIDAD_MBTU_A_TWH</f>
        <v>1354131.3832442279</v>
      </c>
      <c r="I212" s="2776">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57*COSTOS_2019_US_dolares_MMCOP/UNIDAD_MBTU_A_TWH</f>
        <v>1562077.2968538082</v>
      </c>
      <c r="J212" s="2776">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57*COSTOS_2019_US_dolares_MMCOP/UNIDAD_MBTU_A_TWH</f>
        <v>1922214.2291316062</v>
      </c>
      <c r="K212" s="2776">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57*COSTOS_2019_US_dolares_MMCOP/UNIDAD_MBTU_A_TWH</f>
        <v>2203537.4521323787</v>
      </c>
      <c r="L212" s="2776">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57*COSTOS_2019_US_dolares_MMCOP/UNIDAD_MBTU_A_TWH</f>
        <v>2483238.3482739511</v>
      </c>
      <c r="M212" s="2776">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57*COSTOS_2019_US_dolares_MMCOP/UNIDAD_MBTU_A_TWH</f>
        <v>2846176.951451818</v>
      </c>
      <c r="N212" s="701"/>
    </row>
    <row r="213" spans="4:14" ht="15" customHeight="1">
      <c r="D213" s="701"/>
      <c r="E213" s="699"/>
      <c r="F213" s="2812"/>
      <c r="G213" s="2812"/>
      <c r="H213" s="2812"/>
      <c r="I213" s="2812"/>
      <c r="J213" s="2812"/>
      <c r="K213" s="2812"/>
      <c r="L213" s="2812"/>
      <c r="M213" s="2812"/>
      <c r="N213" s="701"/>
    </row>
    <row r="214" spans="4:14" ht="15" customHeight="1">
      <c r="D214" s="701"/>
      <c r="E214" s="2810" t="s">
        <v>495</v>
      </c>
      <c r="F214" s="2813"/>
      <c r="G214" s="2813"/>
      <c r="H214" s="2813"/>
      <c r="I214" s="2813"/>
      <c r="J214" s="2813"/>
      <c r="K214" s="2813"/>
      <c r="L214" s="2813"/>
      <c r="M214" s="2813"/>
      <c r="N214" s="701"/>
    </row>
    <row r="215" spans="4:14" ht="15" customHeight="1">
      <c r="D215" s="701"/>
      <c r="E215" s="699" t="s">
        <v>820</v>
      </c>
      <c r="F215" s="2812">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59*COSTOS_2019_US_dolares_MMCOP/UNIDAD_MBTU_A_TWH</f>
        <v>2475065.5090655759</v>
      </c>
      <c r="G215" s="2812">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59*COSTOS_2019_US_dolares_MMCOP/UNIDAD_MBTU_A_TWH</f>
        <v>4292059.8504098812</v>
      </c>
      <c r="H215" s="2812">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59*COSTOS_2019_US_dolares_MMCOP/UNIDAD_MBTU_A_TWH</f>
        <v>5901660.4191266336</v>
      </c>
      <c r="I215" s="2812">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59*COSTOS_2019_US_dolares_MMCOP/UNIDAD_MBTU_A_TWH</f>
        <v>6588901.5267302226</v>
      </c>
      <c r="J215" s="2812">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59*COSTOS_2019_US_dolares_MMCOP/UNIDAD_MBTU_A_TWH</f>
        <v>7099947.5306413965</v>
      </c>
      <c r="K215" s="2812">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59*COSTOS_2019_US_dolares_MMCOP/UNIDAD_MBTU_A_TWH</f>
        <v>7571354.6725876685</v>
      </c>
      <c r="L215" s="2812">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59*COSTOS_2019_US_dolares_MMCOP/UNIDAD_MBTU_A_TWH</f>
        <v>8373743.1319295159</v>
      </c>
      <c r="M215" s="2812">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59*COSTOS_2019_US_dolares_MMCOP/UNIDAD_MBTU_A_TWH</f>
        <v>9767599.0195079222</v>
      </c>
      <c r="N215" s="701"/>
    </row>
    <row r="216" spans="4:14" ht="15" customHeight="1">
      <c r="D216" s="701"/>
      <c r="E216" s="699" t="s">
        <v>821</v>
      </c>
      <c r="F216" s="2812">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60*COSTOS_2019_US_dolares_MMCOP/UNIDAD_MBTU_A_TWH</f>
        <v>1951323.0643894267</v>
      </c>
      <c r="G216" s="2812">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60*COSTOS_2019_US_dolares_MMCOP/UNIDAD_MBTU_A_TWH</f>
        <v>2417762.2154048467</v>
      </c>
      <c r="H216" s="2812">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60*COSTOS_2019_US_dolares_MMCOP/UNIDAD_MBTU_A_TWH</f>
        <v>2981631.8790586428</v>
      </c>
      <c r="I216" s="2812">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60*COSTOS_2019_US_dolares_MMCOP/UNIDAD_MBTU_A_TWH</f>
        <v>3301592.8521307823</v>
      </c>
      <c r="J216" s="2812">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60*COSTOS_2019_US_dolares_MMCOP/UNIDAD_MBTU_A_TWH</f>
        <v>3553059.9012037101</v>
      </c>
      <c r="K216" s="2812">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60*COSTOS_2019_US_dolares_MMCOP/UNIDAD_MBTU_A_TWH</f>
        <v>3769432.7142626033</v>
      </c>
      <c r="L216" s="2812">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60*COSTOS_2019_US_dolares_MMCOP/UNIDAD_MBTU_A_TWH</f>
        <v>4147387.2022033227</v>
      </c>
      <c r="M216" s="2812">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60*COSTOS_2019_US_dolares_MMCOP/UNIDAD_MBTU_A_TWH</f>
        <v>4812574.925662159</v>
      </c>
      <c r="N216" s="701"/>
    </row>
    <row r="217" spans="4:14" ht="15" customHeight="1">
      <c r="D217" s="701"/>
      <c r="E217" s="1805" t="s">
        <v>822</v>
      </c>
      <c r="F217" s="2776">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61*COSTOS_2019_US_dolares_MMCOP/UNIDAD_MBTU_A_TWH</f>
        <v>1436354.6555132638</v>
      </c>
      <c r="G217" s="2776">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61*COSTOS_2019_US_dolares_MMCOP/UNIDAD_MBTU_A_TWH</f>
        <v>1322529.9433267338</v>
      </c>
      <c r="H217" s="2776">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61*COSTOS_2019_US_dolares_MMCOP/UNIDAD_MBTU_A_TWH</f>
        <v>1397654.1332670446</v>
      </c>
      <c r="I217" s="2776">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61*COSTOS_2019_US_dolares_MMCOP/UNIDAD_MBTU_A_TWH</f>
        <v>1510064.8133418227</v>
      </c>
      <c r="J217" s="2776">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61*COSTOS_2019_US_dolares_MMCOP/UNIDAD_MBTU_A_TWH</f>
        <v>1607292.9315037206</v>
      </c>
      <c r="K217" s="2776">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61*COSTOS_2019_US_dolares_MMCOP/UNIDAD_MBTU_A_TWH</f>
        <v>1617658.1729529493</v>
      </c>
      <c r="L217" s="2776">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61*COSTOS_2019_US_dolares_MMCOP/UNIDAD_MBTU_A_TWH</f>
        <v>1688743.539828452</v>
      </c>
      <c r="M217" s="2776">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61*COSTOS_2019_US_dolares_MMCOP/UNIDAD_MBTU_A_TWH</f>
        <v>1859061.9611116673</v>
      </c>
      <c r="N217" s="701"/>
    </row>
    <row r="218" spans="4:14" ht="15" customHeight="1">
      <c r="D218" s="701"/>
      <c r="E218" s="699"/>
      <c r="F218" s="2812"/>
      <c r="G218" s="2812"/>
      <c r="H218" s="2812"/>
      <c r="I218" s="2812"/>
      <c r="J218" s="2812"/>
      <c r="K218" s="2812"/>
      <c r="L218" s="2812"/>
      <c r="M218" s="2812"/>
      <c r="N218" s="701"/>
    </row>
    <row r="219" spans="4:14" ht="15" customHeight="1">
      <c r="D219" s="701"/>
      <c r="E219" s="2810" t="s">
        <v>537</v>
      </c>
      <c r="F219" s="2813"/>
      <c r="G219" s="2813"/>
      <c r="H219" s="2813"/>
      <c r="I219" s="2813"/>
      <c r="J219" s="2813"/>
      <c r="K219" s="2813"/>
      <c r="L219" s="2813"/>
      <c r="M219" s="2813"/>
      <c r="N219" s="701"/>
    </row>
    <row r="220" spans="4:14" ht="15" customHeight="1">
      <c r="D220" s="701"/>
      <c r="E220" s="699" t="s">
        <v>820</v>
      </c>
      <c r="F220" s="2812">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63*COSTOS_2019_US_dolares_MMCOP/UNIDAD_MBTU_A_TWH</f>
        <v>1763.5650187871058</v>
      </c>
      <c r="G220" s="2812">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63*COSTOS_2019_US_dolares_MMCOP/UNIDAD_MBTU_A_TWH</f>
        <v>1953.5880386617309</v>
      </c>
      <c r="H220" s="2812">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63*COSTOS_2019_US_dolares_MMCOP/UNIDAD_MBTU_A_TWH</f>
        <v>2721.7027024780864</v>
      </c>
      <c r="I220" s="2812">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63*COSTOS_2019_US_dolares_MMCOP/UNIDAD_MBTU_A_TWH</f>
        <v>3264.4144848102014</v>
      </c>
      <c r="J220" s="2812">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63*COSTOS_2019_US_dolares_MMCOP/UNIDAD_MBTU_A_TWH</f>
        <v>3448.3721954571315</v>
      </c>
      <c r="K220" s="2812">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63*COSTOS_2019_US_dolares_MMCOP/UNIDAD_MBTU_A_TWH</f>
        <v>3633.0075197522624</v>
      </c>
      <c r="L220" s="2812">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63*COSTOS_2019_US_dolares_MMCOP/UNIDAD_MBTU_A_TWH</f>
        <v>3827.861153307153</v>
      </c>
      <c r="M220" s="2812">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63*COSTOS_2019_US_dolares_MMCOP/UNIDAD_MBTU_A_TWH</f>
        <v>4033.5409488503101</v>
      </c>
      <c r="N220" s="701"/>
    </row>
    <row r="221" spans="4:14" ht="15" customHeight="1">
      <c r="D221" s="701"/>
      <c r="E221" s="699" t="s">
        <v>821</v>
      </c>
      <c r="F221" s="2812">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64*COSTOS_2019_US_dolares_MMCOP/UNIDAD_MBTU_A_TWH</f>
        <v>1036.7070859379689</v>
      </c>
      <c r="G221" s="2812">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64*COSTOS_2019_US_dolares_MMCOP/UNIDAD_MBTU_A_TWH</f>
        <v>1060.9164935935237</v>
      </c>
      <c r="H221" s="2812">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64*COSTOS_2019_US_dolares_MMCOP/UNIDAD_MBTU_A_TWH</f>
        <v>1338.6591556528333</v>
      </c>
      <c r="I221" s="2812">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64*COSTOS_2019_US_dolares_MMCOP/UNIDAD_MBTU_A_TWH</f>
        <v>1605.5529168316903</v>
      </c>
      <c r="J221" s="2812">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64*COSTOS_2019_US_dolares_MMCOP/UNIDAD_MBTU_A_TWH</f>
        <v>1704.0391813962681</v>
      </c>
      <c r="K221" s="2812">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64*COSTOS_2019_US_dolares_MMCOP/UNIDAD_MBTU_A_TWH</f>
        <v>1793.0313494829006</v>
      </c>
      <c r="L221" s="2812">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64*COSTOS_2019_US_dolares_MMCOP/UNIDAD_MBTU_A_TWH</f>
        <v>1887.0159279193854</v>
      </c>
      <c r="M221" s="2812">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64*COSTOS_2019_US_dolares_MMCOP/UNIDAD_MBTU_A_TWH</f>
        <v>1985.9192405903163</v>
      </c>
      <c r="N221" s="701"/>
    </row>
    <row r="222" spans="4:14" ht="15" customHeight="1">
      <c r="D222" s="701"/>
      <c r="E222" s="1805" t="s">
        <v>822</v>
      </c>
      <c r="F222" s="2776">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65*COSTOS_2019_US_dolares_MMCOP/UNIDAD_MBTU_A_TWH</f>
        <v>587.30120974210251</v>
      </c>
      <c r="G222" s="2776">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65*COSTOS_2019_US_dolares_MMCOP/UNIDAD_MBTU_A_TWH</f>
        <v>540.19142563706941</v>
      </c>
      <c r="H222" s="2776">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65*COSTOS_2019_US_dolares_MMCOP/UNIDAD_MBTU_A_TWH</f>
        <v>588.49815010730197</v>
      </c>
      <c r="I222" s="2776">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65*COSTOS_2019_US_dolares_MMCOP/UNIDAD_MBTU_A_TWH</f>
        <v>701.71214061666342</v>
      </c>
      <c r="J222" s="2776">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65*COSTOS_2019_US_dolares_MMCOP/UNIDAD_MBTU_A_TWH</f>
        <v>747.1999200107424</v>
      </c>
      <c r="K222" s="2776">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65*COSTOS_2019_US_dolares_MMCOP/UNIDAD_MBTU_A_TWH</f>
        <v>751.67599949750684</v>
      </c>
      <c r="L222" s="2776">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65*COSTOS_2019_US_dolares_MMCOP/UNIDAD_MBTU_A_TWH</f>
        <v>756.41377380049062</v>
      </c>
      <c r="M222" s="2776">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65*COSTOS_2019_US_dolares_MMCOP/UNIDAD_MBTU_A_TWH</f>
        <v>761.05961642416685</v>
      </c>
      <c r="N222" s="701"/>
    </row>
    <row r="223" spans="4:14" ht="15" customHeight="1">
      <c r="D223" s="701"/>
      <c r="E223" s="699"/>
      <c r="F223" s="2812"/>
      <c r="G223" s="2812"/>
      <c r="H223" s="2812"/>
      <c r="I223" s="2812"/>
      <c r="J223" s="2812"/>
      <c r="K223" s="2812"/>
      <c r="L223" s="2812"/>
      <c r="M223" s="2812"/>
      <c r="N223" s="701"/>
    </row>
    <row r="224" spans="4:14" ht="15" customHeight="1">
      <c r="D224" s="701"/>
      <c r="E224" s="2810" t="s">
        <v>590</v>
      </c>
      <c r="F224" s="2813"/>
      <c r="G224" s="2813"/>
      <c r="H224" s="2813"/>
      <c r="I224" s="2813"/>
      <c r="J224" s="2813"/>
      <c r="K224" s="2813"/>
      <c r="L224" s="2813"/>
      <c r="M224" s="2813"/>
      <c r="N224" s="701"/>
    </row>
    <row r="225" spans="4:14" ht="15" customHeight="1">
      <c r="D225" s="701"/>
      <c r="E225" s="699" t="s">
        <v>820</v>
      </c>
      <c r="F225" s="2812">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67*COSTOS_2019_US_dolares_MMCOP/UNIDAD_MBTU_A_TWH</f>
        <v>391103.44652097061</v>
      </c>
      <c r="G225" s="2812">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67*COSTOS_2019_US_dolares_MMCOP/UNIDAD_MBTU_A_TWH</f>
        <v>612765.5407816167</v>
      </c>
      <c r="H225" s="2812">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67*COSTOS_2019_US_dolares_MMCOP/UNIDAD_MBTU_A_TWH</f>
        <v>1024624.8543661872</v>
      </c>
      <c r="I225" s="2812">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67*COSTOS_2019_US_dolares_MMCOP/UNIDAD_MBTU_A_TWH</f>
        <v>1056743.1434565959</v>
      </c>
      <c r="J225" s="2812">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67*COSTOS_2019_US_dolares_MMCOP/UNIDAD_MBTU_A_TWH</f>
        <v>1412277.6530211808</v>
      </c>
      <c r="K225" s="2812">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67*COSTOS_2019_US_dolares_MMCOP/UNIDAD_MBTU_A_TWH</f>
        <v>1713796.1069380457</v>
      </c>
      <c r="L225" s="2812">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67*COSTOS_2019_US_dolares_MMCOP/UNIDAD_MBTU_A_TWH</f>
        <v>2027149.5072248704</v>
      </c>
      <c r="M225" s="2812">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67*COSTOS_2019_US_dolares_MMCOP/UNIDAD_MBTU_A_TWH</f>
        <v>2337552.5916586332</v>
      </c>
      <c r="N225" s="701"/>
    </row>
    <row r="226" spans="4:14" ht="15" customHeight="1">
      <c r="D226" s="701"/>
      <c r="E226" s="699" t="s">
        <v>821</v>
      </c>
      <c r="F226" s="2812">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68*COSTOS_2019_US_dolares_MMCOP/UNIDAD_MBTU_A_TWH</f>
        <v>354618.25583300757</v>
      </c>
      <c r="G226" s="2812">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68*COSTOS_2019_US_dolares_MMCOP/UNIDAD_MBTU_A_TWH</f>
        <v>434437.92100538046</v>
      </c>
      <c r="H226" s="2812">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68*COSTOS_2019_US_dolares_MMCOP/UNIDAD_MBTU_A_TWH</f>
        <v>651580.15352419671</v>
      </c>
      <c r="I226" s="2812">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68*COSTOS_2019_US_dolares_MMCOP/UNIDAD_MBTU_A_TWH</f>
        <v>870368.14623392036</v>
      </c>
      <c r="J226" s="2812">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68*COSTOS_2019_US_dolares_MMCOP/UNIDAD_MBTU_A_TWH</f>
        <v>1142512.6789909473</v>
      </c>
      <c r="K226" s="2812">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68*COSTOS_2019_US_dolares_MMCOP/UNIDAD_MBTU_A_TWH</f>
        <v>1383981.008553189</v>
      </c>
      <c r="L226" s="2812">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68*COSTOS_2019_US_dolares_MMCOP/UNIDAD_MBTU_A_TWH</f>
        <v>1634141.0300270896</v>
      </c>
      <c r="M226" s="2812">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68*COSTOS_2019_US_dolares_MMCOP/UNIDAD_MBTU_A_TWH</f>
        <v>1881206.9601636501</v>
      </c>
      <c r="N226" s="701"/>
    </row>
    <row r="227" spans="4:14" ht="15" customHeight="1">
      <c r="D227" s="701"/>
      <c r="E227" s="1805" t="s">
        <v>822</v>
      </c>
      <c r="F227" s="2776">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69*COSTOS_2019_US_dolares_MMCOP/UNIDAD_MBTU_A_TWH</f>
        <v>237789.36997155065</v>
      </c>
      <c r="G227" s="2776">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69*COSTOS_2019_US_dolares_MMCOP/UNIDAD_MBTU_A_TWH</f>
        <v>300028.88887176465</v>
      </c>
      <c r="H227" s="2776">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69*COSTOS_2019_US_dolares_MMCOP/UNIDAD_MBTU_A_TWH</f>
        <v>393616.38600609667</v>
      </c>
      <c r="I227" s="2776">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69*COSTOS_2019_US_dolares_MMCOP/UNIDAD_MBTU_A_TWH</f>
        <v>544495.22405850724</v>
      </c>
      <c r="J227" s="2776">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69*COSTOS_2019_US_dolares_MMCOP/UNIDAD_MBTU_A_TWH</f>
        <v>676225.37172901211</v>
      </c>
      <c r="K227" s="2776">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69*COSTOS_2019_US_dolares_MMCOP/UNIDAD_MBTU_A_TWH</f>
        <v>817820.09284129459</v>
      </c>
      <c r="L227" s="2776">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69*COSTOS_2019_US_dolares_MMCOP/UNIDAD_MBTU_A_TWH</f>
        <v>964091.0310016654</v>
      </c>
      <c r="M227" s="2776">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69*COSTOS_2019_US_dolares_MMCOP/UNIDAD_MBTU_A_TWH</f>
        <v>1108076.7826329793</v>
      </c>
      <c r="N227" s="701"/>
    </row>
    <row r="228" spans="4:14" ht="15" customHeight="1">
      <c r="D228" s="701"/>
      <c r="E228" s="699"/>
      <c r="F228" s="2812"/>
      <c r="G228" s="2812"/>
      <c r="H228" s="2812"/>
      <c r="I228" s="2812"/>
      <c r="J228" s="2812"/>
      <c r="K228" s="2812"/>
      <c r="L228" s="2812"/>
      <c r="M228" s="2812"/>
      <c r="N228" s="701"/>
    </row>
    <row r="229" spans="4:14" ht="15" customHeight="1">
      <c r="D229" s="701"/>
      <c r="E229" s="2810" t="s">
        <v>1663</v>
      </c>
      <c r="F229" s="2813"/>
      <c r="G229" s="2813"/>
      <c r="H229" s="2813"/>
      <c r="I229" s="2813"/>
      <c r="J229" s="2813"/>
      <c r="K229" s="2813"/>
      <c r="L229" s="2813"/>
      <c r="M229" s="2813"/>
      <c r="N229" s="701"/>
    </row>
    <row r="230" spans="4:14" ht="15" customHeight="1">
      <c r="D230" s="701"/>
      <c r="E230" s="699" t="s">
        <v>820</v>
      </c>
      <c r="F230" s="2812">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71*COSTOS_2019_US_dolares_MMCOP/UNIDAD_MBTU_A_TWH</f>
        <v>185884.47584397468</v>
      </c>
      <c r="G230" s="2812">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71*COSTOS_2019_US_dolares_MMCOP/UNIDAD_MBTU_A_TWH</f>
        <v>239874.77468265302</v>
      </c>
      <c r="H230" s="2812">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71*COSTOS_2019_US_dolares_MMCOP/UNIDAD_MBTU_A_TWH</f>
        <v>523594.54224937153</v>
      </c>
      <c r="I230" s="2812">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71*COSTOS_2019_US_dolares_MMCOP/UNIDAD_MBTU_A_TWH</f>
        <v>780943.14359494741</v>
      </c>
      <c r="J230" s="2812">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71*COSTOS_2019_US_dolares_MMCOP/UNIDAD_MBTU_A_TWH</f>
        <v>1067387.6931465648</v>
      </c>
      <c r="K230" s="2812">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71*COSTOS_2019_US_dolares_MMCOP/UNIDAD_MBTU_A_TWH</f>
        <v>1437959.7423860705</v>
      </c>
      <c r="L230" s="2812">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71*COSTOS_2019_US_dolares_MMCOP/UNIDAD_MBTU_A_TWH</f>
        <v>1859324.2746737306</v>
      </c>
      <c r="M230" s="2812">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71*COSTOS_2019_US_dolares_MMCOP/UNIDAD_MBTU_A_TWH</f>
        <v>2333483.589117026</v>
      </c>
      <c r="N230" s="701"/>
    </row>
    <row r="231" spans="4:14" ht="15" customHeight="1">
      <c r="D231" s="701"/>
      <c r="E231" s="699" t="s">
        <v>821</v>
      </c>
      <c r="F231" s="2812">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72*COSTOS_2019_US_dolares_MMCOP/UNIDAD_MBTU_A_TWH</f>
        <v>176556.54519262089</v>
      </c>
      <c r="G231" s="2812">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72*COSTOS_2019_US_dolares_MMCOP/UNIDAD_MBTU_A_TWH</f>
        <v>239874.77468265302</v>
      </c>
      <c r="H231" s="2812">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72*COSTOS_2019_US_dolares_MMCOP/UNIDAD_MBTU_A_TWH</f>
        <v>455299.60195597535</v>
      </c>
      <c r="I231" s="2812">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72*COSTOS_2019_US_dolares_MMCOP/UNIDAD_MBTU_A_TWH</f>
        <v>629875.45352248207</v>
      </c>
      <c r="J231" s="2812">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72*COSTOS_2019_US_dolares_MMCOP/UNIDAD_MBTU_A_TWH</f>
        <v>853910.154517252</v>
      </c>
      <c r="K231" s="2812">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72*COSTOS_2019_US_dolares_MMCOP/UNIDAD_MBTU_A_TWH</f>
        <v>1123535.3632050217</v>
      </c>
      <c r="L231" s="2812">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72*COSTOS_2019_US_dolares_MMCOP/UNIDAD_MBTU_A_TWH</f>
        <v>1428655.3595650324</v>
      </c>
      <c r="M231" s="2812">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72*COSTOS_2019_US_dolares_MMCOP/UNIDAD_MBTU_A_TWH</f>
        <v>1770739.6976553644</v>
      </c>
      <c r="N231" s="701"/>
    </row>
    <row r="232" spans="4:14" ht="15" customHeight="1">
      <c r="D232" s="701"/>
      <c r="E232" s="1805" t="s">
        <v>822</v>
      </c>
      <c r="F232" s="2776">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73*COSTOS_2019_US_dolares_MMCOP/UNIDAD_MBTU_A_TWH</f>
        <v>159753.64602867636</v>
      </c>
      <c r="G232" s="2776">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73*COSTOS_2019_US_dolares_MMCOP/UNIDAD_MBTU_A_TWH</f>
        <v>241318.58803370909</v>
      </c>
      <c r="H232" s="2776">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73*COSTOS_2019_US_dolares_MMCOP/UNIDAD_MBTU_A_TWH</f>
        <v>412194.57164439349</v>
      </c>
      <c r="I232" s="2776">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73*COSTOS_2019_US_dolares_MMCOP/UNIDAD_MBTU_A_TWH</f>
        <v>540031.43794401234</v>
      </c>
      <c r="J232" s="2776">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73*COSTOS_2019_US_dolares_MMCOP/UNIDAD_MBTU_A_TWH</f>
        <v>737593.69474046817</v>
      </c>
      <c r="K232" s="2776">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73*COSTOS_2019_US_dolares_MMCOP/UNIDAD_MBTU_A_TWH</f>
        <v>951408.96740349638</v>
      </c>
      <c r="L232" s="2776">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73*COSTOS_2019_US_dolares_MMCOP/UNIDAD_MBTU_A_TWH</f>
        <v>1192229.1825194915</v>
      </c>
      <c r="M232" s="2776">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73*COSTOS_2019_US_dolares_MMCOP/UNIDAD_MBTU_A_TWH</f>
        <v>1461229.6388200952</v>
      </c>
      <c r="N232" s="701"/>
    </row>
    <row r="233" spans="4:14" ht="15" customHeight="1">
      <c r="D233" s="701"/>
      <c r="E233" s="699"/>
      <c r="F233" s="2812"/>
      <c r="G233" s="2812"/>
      <c r="H233" s="2812"/>
      <c r="I233" s="2812"/>
      <c r="J233" s="2812"/>
      <c r="K233" s="2812"/>
      <c r="L233" s="2812"/>
      <c r="M233" s="2812"/>
      <c r="N233" s="701"/>
    </row>
    <row r="234" spans="4:14" ht="15" customHeight="1">
      <c r="D234" s="701"/>
      <c r="E234" s="2810" t="s">
        <v>514</v>
      </c>
      <c r="F234" s="2813"/>
      <c r="G234" s="2813"/>
      <c r="H234" s="2813"/>
      <c r="I234" s="2813"/>
      <c r="J234" s="2813"/>
      <c r="K234" s="2813"/>
      <c r="L234" s="2813"/>
      <c r="M234" s="2813"/>
      <c r="N234" s="701"/>
    </row>
    <row r="235" spans="4:14" ht="15" customHeight="1">
      <c r="D235" s="701"/>
      <c r="E235" s="699" t="s">
        <v>820</v>
      </c>
      <c r="F235" s="2812">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75*COSTOS_2019_US_dolares_MMCOP/UNIDAD_MBTU_A_TWH</f>
        <v>82947.923057046253</v>
      </c>
      <c r="G235" s="2812">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75*COSTOS_2019_US_dolares_MMCOP/UNIDAD_MBTU_A_TWH</f>
        <v>85937.037401444322</v>
      </c>
      <c r="H235" s="2812">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75*COSTOS_2019_US_dolares_MMCOP/UNIDAD_MBTU_A_TWH</f>
        <v>103948.88758723225</v>
      </c>
      <c r="I235" s="2812">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75*COSTOS_2019_US_dolares_MMCOP/UNIDAD_MBTU_A_TWH</f>
        <v>119502.52938482135</v>
      </c>
      <c r="J235" s="2812">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75*COSTOS_2019_US_dolares_MMCOP/UNIDAD_MBTU_A_TWH</f>
        <v>119502.52938482135</v>
      </c>
      <c r="K235" s="2812">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75*COSTOS_2019_US_dolares_MMCOP/UNIDAD_MBTU_A_TWH</f>
        <v>123336.83514048405</v>
      </c>
      <c r="L235" s="2812">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75*COSTOS_2019_US_dolares_MMCOP/UNIDAD_MBTU_A_TWH</f>
        <v>127298.95108800218</v>
      </c>
      <c r="M235" s="2812">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75*COSTOS_2019_US_dolares_MMCOP/UNIDAD_MBTU_A_TWH</f>
        <v>131388.87722737575</v>
      </c>
      <c r="N235" s="701"/>
    </row>
    <row r="236" spans="4:14" ht="15" customHeight="1">
      <c r="D236" s="701"/>
      <c r="E236" s="699" t="s">
        <v>821</v>
      </c>
      <c r="F236" s="2812">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76*COSTOS_2019_US_dolares_MMCOP/UNIDAD_MBTU_A_TWH</f>
        <v>79118.120303286225</v>
      </c>
      <c r="G236" s="2812">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76*COSTOS_2019_US_dolares_MMCOP/UNIDAD_MBTU_A_TWH</f>
        <v>80332.448005697952</v>
      </c>
      <c r="H236" s="2812">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76*COSTOS_2019_US_dolares_MMCOP/UNIDAD_MBTU_A_TWH</f>
        <v>96166.617928295062</v>
      </c>
      <c r="I236" s="2812">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76*COSTOS_2019_US_dolares_MMCOP/UNIDAD_MBTU_A_TWH</f>
        <v>109916.76499566455</v>
      </c>
      <c r="J236" s="2812">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76*COSTOS_2019_US_dolares_MMCOP/UNIDAD_MBTU_A_TWH</f>
        <v>109916.76499566455</v>
      </c>
      <c r="K236" s="2812">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76*COSTOS_2019_US_dolares_MMCOP/UNIDAD_MBTU_A_TWH</f>
        <v>110555.81595494165</v>
      </c>
      <c r="L236" s="2812">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76*COSTOS_2019_US_dolares_MMCOP/UNIDAD_MBTU_A_TWH</f>
        <v>111194.86691421876</v>
      </c>
      <c r="M236" s="2812">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76*COSTOS_2019_US_dolares_MMCOP/UNIDAD_MBTU_A_TWH</f>
        <v>111833.91787349588</v>
      </c>
      <c r="N236" s="701"/>
    </row>
    <row r="237" spans="4:14" ht="15" customHeight="1">
      <c r="D237" s="701"/>
      <c r="E237" s="1805" t="s">
        <v>822</v>
      </c>
      <c r="F237" s="2776">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77*COSTOS_2019_US_dolares_MMCOP/UNIDAD_MBTU_A_TWH</f>
        <v>66087.44995817593</v>
      </c>
      <c r="G237" s="2776">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77*COSTOS_2019_US_dolares_MMCOP/UNIDAD_MBTU_A_TWH</f>
        <v>52309.501026966107</v>
      </c>
      <c r="H237" s="2776">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77*COSTOS_2019_US_dolares_MMCOP/UNIDAD_MBTU_A_TWH</f>
        <v>57811.146037819002</v>
      </c>
      <c r="I237" s="2776">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77*COSTOS_2019_US_dolares_MMCOP/UNIDAD_MBTU_A_TWH</f>
        <v>76047.064153977204</v>
      </c>
      <c r="J237" s="2776">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77*COSTOS_2019_US_dolares_MMCOP/UNIDAD_MBTU_A_TWH</f>
        <v>68378.452642651784</v>
      </c>
      <c r="K237" s="2776">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77*COSTOS_2019_US_dolares_MMCOP/UNIDAD_MBTU_A_TWH</f>
        <v>55405.718169326246</v>
      </c>
      <c r="L237" s="2776">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77*COSTOS_2019_US_dolares_MMCOP/UNIDAD_MBTU_A_TWH</f>
        <v>44861.377341253778</v>
      </c>
      <c r="M237" s="2776">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77*COSTOS_2019_US_dolares_MMCOP/UNIDAD_MBTU_A_TWH</f>
        <v>36361.999582868084</v>
      </c>
      <c r="N237" s="701"/>
    </row>
    <row r="238" spans="4:14" ht="15" customHeight="1">
      <c r="D238" s="701"/>
      <c r="E238" s="699"/>
      <c r="F238" s="2812"/>
      <c r="G238" s="2812"/>
      <c r="H238" s="2812"/>
      <c r="I238" s="2812"/>
      <c r="J238" s="2812"/>
      <c r="K238" s="2812"/>
      <c r="L238" s="2812"/>
      <c r="M238" s="2812"/>
      <c r="N238" s="701"/>
    </row>
    <row r="239" spans="4:14" ht="15" customHeight="1">
      <c r="D239" s="701"/>
      <c r="E239" s="2810" t="s">
        <v>502</v>
      </c>
      <c r="F239" s="2813"/>
      <c r="G239" s="2813"/>
      <c r="H239" s="2813"/>
      <c r="I239" s="2813"/>
      <c r="J239" s="2813"/>
      <c r="K239" s="2813"/>
      <c r="L239" s="2813"/>
      <c r="M239" s="2813"/>
      <c r="N239" s="701"/>
    </row>
    <row r="240" spans="4:14" ht="15" customHeight="1">
      <c r="D240" s="701"/>
      <c r="E240" s="699" t="s">
        <v>820</v>
      </c>
      <c r="F240" s="2812">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79*COSTOS_2019_US_dolares_MMCOP/UNIDAD_MBTU_A_TWH</f>
        <v>3362.3728028993924</v>
      </c>
      <c r="G240" s="2812">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79*COSTOS_2019_US_dolares_MMCOP/UNIDAD_MBTU_A_TWH</f>
        <v>4222.6774499242183</v>
      </c>
      <c r="H240" s="2812">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79*COSTOS_2019_US_dolares_MMCOP/UNIDAD_MBTU_A_TWH</f>
        <v>8082.5146240709819</v>
      </c>
      <c r="I240" s="2812">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79*COSTOS_2019_US_dolares_MMCOP/UNIDAD_MBTU_A_TWH</f>
        <v>11883.373661287833</v>
      </c>
      <c r="J240" s="2812">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79*COSTOS_2019_US_dolares_MMCOP/UNIDAD_MBTU_A_TWH</f>
        <v>15816.58609654819</v>
      </c>
      <c r="K240" s="2812">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79*COSTOS_2019_US_dolares_MMCOP/UNIDAD_MBTU_A_TWH</f>
        <v>20550.534115681679</v>
      </c>
      <c r="L240" s="2812">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79*COSTOS_2019_US_dolares_MMCOP/UNIDAD_MBTU_A_TWH</f>
        <v>26327.206632317913</v>
      </c>
      <c r="M240" s="2812">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79*COSTOS_2019_US_dolares_MMCOP/UNIDAD_MBTU_A_TWH</f>
        <v>33731.432986057378</v>
      </c>
      <c r="N240" s="701"/>
    </row>
    <row r="241" spans="4:14" ht="15" customHeight="1">
      <c r="D241" s="701"/>
      <c r="E241" s="699" t="s">
        <v>821</v>
      </c>
      <c r="F241" s="2812">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80*COSTOS_2019_US_dolares_MMCOP/UNIDAD_MBTU_A_TWH</f>
        <v>3188.8889659796037</v>
      </c>
      <c r="G241" s="2812">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80*COSTOS_2019_US_dolares_MMCOP/UNIDAD_MBTU_A_TWH</f>
        <v>4222.6774499242183</v>
      </c>
      <c r="H241" s="2812">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80*COSTOS_2019_US_dolares_MMCOP/UNIDAD_MBTU_A_TWH</f>
        <v>7713.1155310518016</v>
      </c>
      <c r="I241" s="2812">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80*COSTOS_2019_US_dolares_MMCOP/UNIDAD_MBTU_A_TWH</f>
        <v>10488.98150706128</v>
      </c>
      <c r="J241" s="2812">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80*COSTOS_2019_US_dolares_MMCOP/UNIDAD_MBTU_A_TWH</f>
        <v>13039.095121378405</v>
      </c>
      <c r="K241" s="2812">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80*COSTOS_2019_US_dolares_MMCOP/UNIDAD_MBTU_A_TWH</f>
        <v>15976.010793826237</v>
      </c>
      <c r="L241" s="2812">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80*COSTOS_2019_US_dolares_MMCOP/UNIDAD_MBTU_A_TWH</f>
        <v>19258.640939030764</v>
      </c>
      <c r="M241" s="2812">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80*COSTOS_2019_US_dolares_MMCOP/UNIDAD_MBTU_A_TWH</f>
        <v>23034.345087869588</v>
      </c>
      <c r="N241" s="701"/>
    </row>
    <row r="242" spans="4:14" ht="15" customHeight="1">
      <c r="D242" s="701"/>
      <c r="E242" s="1805" t="s">
        <v>822</v>
      </c>
      <c r="F242" s="2776">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81*COSTOS_2019_US_dolares_MMCOP/UNIDAD_MBTU_A_TWH</f>
        <v>2866.70469741438</v>
      </c>
      <c r="G242" s="2776">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81*COSTOS_2019_US_dolares_MMCOP/UNIDAD_MBTU_A_TWH</f>
        <v>4222.6774499242183</v>
      </c>
      <c r="H242" s="2776">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81*COSTOS_2019_US_dolares_MMCOP/UNIDAD_MBTU_A_TWH</f>
        <v>7514.2083271183956</v>
      </c>
      <c r="I242" s="2776">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81*COSTOS_2019_US_dolares_MMCOP/UNIDAD_MBTU_A_TWH</f>
        <v>9738.1549624777526</v>
      </c>
      <c r="J242" s="2776">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81*COSTOS_2019_US_dolares_MMCOP/UNIDAD_MBTU_A_TWH</f>
        <v>11543.523057825447</v>
      </c>
      <c r="K242" s="2776">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81*COSTOS_2019_US_dolares_MMCOP/UNIDAD_MBTU_A_TWH</f>
        <v>13512.805928211767</v>
      </c>
      <c r="L242" s="2776">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81*COSTOS_2019_US_dolares_MMCOP/UNIDAD_MBTU_A_TWH</f>
        <v>15452.49018110691</v>
      </c>
      <c r="M242" s="2776">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81*COSTOS_2019_US_dolares_MMCOP/UNIDAD_MBTU_A_TWH</f>
        <v>17274.374681153087</v>
      </c>
      <c r="N242" s="701"/>
    </row>
    <row r="243" spans="4:14" ht="15" customHeight="1">
      <c r="D243" s="701"/>
      <c r="E243" s="699"/>
      <c r="F243" s="2812"/>
      <c r="G243" s="2812"/>
      <c r="H243" s="2812"/>
      <c r="I243" s="2812"/>
      <c r="J243" s="2812"/>
      <c r="K243" s="2812"/>
      <c r="L243" s="2812"/>
      <c r="M243" s="2812"/>
      <c r="N243" s="701"/>
    </row>
    <row r="244" spans="4:14" ht="15" customHeight="1">
      <c r="D244" s="701"/>
      <c r="E244" s="2810" t="s">
        <v>507</v>
      </c>
      <c r="F244" s="2813"/>
      <c r="G244" s="2813"/>
      <c r="H244" s="2813"/>
      <c r="I244" s="2813"/>
      <c r="J244" s="2813"/>
      <c r="K244" s="2813"/>
      <c r="L244" s="2813"/>
      <c r="M244" s="2813"/>
      <c r="N244" s="701"/>
    </row>
    <row r="245" spans="4:14" ht="15" customHeight="1">
      <c r="D245" s="701"/>
      <c r="E245" s="699" t="s">
        <v>820</v>
      </c>
      <c r="F245" s="2812">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83*COSTOS_2019_US_dolares_MMCOP/UNIDAD_MBTU_A_TWH</f>
        <v>174.00055624236523</v>
      </c>
      <c r="G245" s="2812">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83*COSTOS_2019_US_dolares_MMCOP/UNIDAD_MBTU_A_TWH</f>
        <v>180.27084655740541</v>
      </c>
      <c r="H245" s="2812">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83*COSTOS_2019_US_dolares_MMCOP/UNIDAD_MBTU_A_TWH</f>
        <v>212.07028245064097</v>
      </c>
      <c r="I245" s="2812">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83*COSTOS_2019_US_dolares_MMCOP/UNIDAD_MBTU_A_TWH</f>
        <v>241.57456846733965</v>
      </c>
      <c r="J245" s="2812">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83*COSTOS_2019_US_dolares_MMCOP/UNIDAD_MBTU_A_TWH</f>
        <v>241.57456846733965</v>
      </c>
      <c r="K245" s="2812">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83*COSTOS_2019_US_dolares_MMCOP/UNIDAD_MBTU_A_TWH</f>
        <v>249.32562414008851</v>
      </c>
      <c r="L245" s="2812">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83*COSTOS_2019_US_dolares_MMCOP/UNIDAD_MBTU_A_TWH</f>
        <v>257.33504833526234</v>
      </c>
      <c r="M245" s="2812">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83*COSTOS_2019_US_dolares_MMCOP/UNIDAD_MBTU_A_TWH</f>
        <v>265.60284105286109</v>
      </c>
      <c r="N245" s="701"/>
    </row>
    <row r="246" spans="4:14" ht="15" customHeight="1">
      <c r="D246" s="701"/>
      <c r="E246" s="699" t="s">
        <v>821</v>
      </c>
      <c r="F246" s="2812">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84*COSTOS_2019_US_dolares_MMCOP/UNIDAD_MBTU_A_TWH</f>
        <v>165.96674677621999</v>
      </c>
      <c r="G246" s="2812">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84*COSTOS_2019_US_dolares_MMCOP/UNIDAD_MBTU_A_TWH</f>
        <v>168.51405221670507</v>
      </c>
      <c r="H246" s="2812">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84*COSTOS_2019_US_dolares_MMCOP/UNIDAD_MBTU_A_TWH</f>
        <v>196.19336290888171</v>
      </c>
      <c r="I246" s="2812">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84*COSTOS_2019_US_dolares_MMCOP/UNIDAD_MBTU_A_TWH</f>
        <v>222.19692928546749</v>
      </c>
      <c r="J246" s="2812">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84*COSTOS_2019_US_dolares_MMCOP/UNIDAD_MBTU_A_TWH</f>
        <v>222.19692928546749</v>
      </c>
      <c r="K246" s="2812">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84*COSTOS_2019_US_dolares_MMCOP/UNIDAD_MBTU_A_TWH</f>
        <v>223.4887718975923</v>
      </c>
      <c r="L246" s="2812">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84*COSTOS_2019_US_dolares_MMCOP/UNIDAD_MBTU_A_TWH</f>
        <v>224.78061450971714</v>
      </c>
      <c r="M246" s="2812">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84*COSTOS_2019_US_dolares_MMCOP/UNIDAD_MBTU_A_TWH</f>
        <v>226.07245712184189</v>
      </c>
      <c r="N246" s="701"/>
    </row>
    <row r="247" spans="4:14" ht="15" customHeight="1">
      <c r="D247" s="701"/>
      <c r="E247" s="1805" t="s">
        <v>822</v>
      </c>
      <c r="F247" s="2776">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85*COSTOS_2019_US_dolares_MMCOP/UNIDAD_MBTU_A_TWH</f>
        <v>138.63219993409166</v>
      </c>
      <c r="G247" s="2776">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85*COSTOS_2019_US_dolares_MMCOP/UNIDAD_MBTU_A_TWH</f>
        <v>109.7300805132033</v>
      </c>
      <c r="H247" s="2776">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85*COSTOS_2019_US_dolares_MMCOP/UNIDAD_MBTU_A_TWH</f>
        <v>117.94283088163991</v>
      </c>
      <c r="I247" s="2776">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85*COSTOS_2019_US_dolares_MMCOP/UNIDAD_MBTU_A_TWH</f>
        <v>153.72927084285249</v>
      </c>
      <c r="J247" s="2776">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85*COSTOS_2019_US_dolares_MMCOP/UNIDAD_MBTU_A_TWH</f>
        <v>138.22715949735479</v>
      </c>
      <c r="K247" s="2776">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85*COSTOS_2019_US_dolares_MMCOP/UNIDAD_MBTU_A_TWH</f>
        <v>112.00275447122111</v>
      </c>
      <c r="L247" s="2776">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85*COSTOS_2019_US_dolares_MMCOP/UNIDAD_MBTU_A_TWH</f>
        <v>90.687351371161725</v>
      </c>
      <c r="M247" s="2776">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85*COSTOS_2019_US_dolares_MMCOP/UNIDAD_MBTU_A_TWH</f>
        <v>73.505844629901745</v>
      </c>
      <c r="N247" s="701"/>
    </row>
    <row r="248" spans="4:14" ht="15" customHeight="1">
      <c r="D248" s="701"/>
      <c r="E248" s="699"/>
      <c r="F248" s="2544"/>
      <c r="G248" s="2544"/>
      <c r="H248" s="2537"/>
      <c r="I248" s="2537"/>
      <c r="J248" s="2537"/>
      <c r="K248" s="2537"/>
      <c r="L248" s="2537"/>
      <c r="M248" s="2537"/>
      <c r="N248" s="701"/>
    </row>
    <row r="250" spans="4:14" ht="15" customHeight="1">
      <c r="D250" s="2545" t="s">
        <v>52</v>
      </c>
      <c r="E250" s="2546"/>
      <c r="F250" s="2546"/>
      <c r="G250" s="2546"/>
      <c r="H250" s="2546"/>
      <c r="I250" s="2546"/>
      <c r="J250" s="2546"/>
      <c r="K250" s="2546"/>
      <c r="L250" s="2546"/>
      <c r="M250" s="2546"/>
      <c r="N250" s="2546"/>
    </row>
    <row r="251" spans="4:14" ht="15" customHeight="1">
      <c r="D251" s="2445"/>
      <c r="E251" s="2445"/>
      <c r="F251" s="2445"/>
      <c r="G251" s="2445"/>
      <c r="H251" s="2445"/>
      <c r="I251" s="2445"/>
      <c r="J251" s="2445"/>
      <c r="K251" s="2445"/>
      <c r="L251" s="2445"/>
      <c r="M251" s="2445"/>
      <c r="N251" s="2445"/>
    </row>
    <row r="252" spans="4:14" ht="15" customHeight="1">
      <c r="D252" s="2445"/>
      <c r="E252" s="2547" t="s">
        <v>1664</v>
      </c>
      <c r="F252" s="2547"/>
      <c r="G252" s="2547"/>
      <c r="H252" s="2547"/>
      <c r="I252" s="2547"/>
      <c r="J252" s="2547"/>
      <c r="K252" s="2547"/>
      <c r="L252" s="2547"/>
      <c r="M252" s="2547"/>
      <c r="N252" s="2445"/>
    </row>
    <row r="253" spans="4:14" ht="15" customHeight="1">
      <c r="D253" s="2445"/>
      <c r="E253" s="2548"/>
      <c r="F253" s="2548"/>
      <c r="G253" s="2548"/>
      <c r="H253" s="2548"/>
      <c r="I253" s="2548"/>
      <c r="J253" s="2548"/>
      <c r="K253" s="2548"/>
      <c r="L253" s="2548"/>
      <c r="M253" s="2548"/>
      <c r="N253" s="2445"/>
    </row>
    <row r="254" spans="4:14" ht="15" customHeight="1">
      <c r="D254" s="2488"/>
      <c r="E254" s="2549" t="s">
        <v>1665</v>
      </c>
      <c r="F254" s="2488"/>
      <c r="G254" s="2488"/>
      <c r="H254" s="2488"/>
      <c r="I254" s="2488"/>
      <c r="J254" s="2488"/>
      <c r="K254" s="2488"/>
      <c r="L254" s="2488"/>
      <c r="M254" s="2550" t="s">
        <v>9</v>
      </c>
      <c r="N254" s="2488"/>
    </row>
    <row r="255" spans="4:14" ht="15" customHeight="1">
      <c r="D255" s="2488"/>
      <c r="E255" s="2551" t="s">
        <v>1666</v>
      </c>
      <c r="F255" s="2551">
        <v>2018</v>
      </c>
      <c r="G255" s="2551">
        <v>2020</v>
      </c>
      <c r="H255" s="2551">
        <v>2025</v>
      </c>
      <c r="I255" s="2551">
        <v>2030</v>
      </c>
      <c r="J255" s="2551">
        <v>2035</v>
      </c>
      <c r="K255" s="2551">
        <v>2040</v>
      </c>
      <c r="L255" s="2551">
        <v>2045</v>
      </c>
      <c r="M255" s="2551">
        <v>2050</v>
      </c>
      <c r="N255" s="2488"/>
    </row>
    <row r="256" spans="4:14" ht="15" customHeight="1">
      <c r="D256" s="2488"/>
      <c r="E256" s="2549" t="s">
        <v>521</v>
      </c>
      <c r="F256" s="2552" cm="1">
        <f t="array" ref="F256:M256">_xlfn.ANCHORARRAY(G372)*UNIDAD_M3_A_IT*PCB_PETROLEO_L_A_TWH</f>
        <v>0</v>
      </c>
      <c r="G256" s="2552">
        <v>0</v>
      </c>
      <c r="H256" s="2552">
        <v>0</v>
      </c>
      <c r="I256" s="2552">
        <v>0</v>
      </c>
      <c r="J256" s="2552">
        <v>0</v>
      </c>
      <c r="K256" s="2552">
        <v>0</v>
      </c>
      <c r="L256" s="2552">
        <v>0</v>
      </c>
      <c r="M256" s="2552">
        <v>0</v>
      </c>
      <c r="N256" s="2488"/>
    </row>
    <row r="257" spans="4:14" ht="15" customHeight="1">
      <c r="D257" s="2488"/>
      <c r="E257" s="2549" t="s">
        <v>522</v>
      </c>
      <c r="F257" s="2552" cm="1">
        <f t="array" ref="F257:M257">_xlfn.ANCHORARRAY(G378)*DENSIDAD_GAS_NATURAL_GENERICO_M3_A_KG*PCB_GAS_NATURAL_KG_A_TWH</f>
        <v>6.0327002400000024E-2</v>
      </c>
      <c r="G257" s="2552">
        <v>3.4651848000000006E-2</v>
      </c>
      <c r="H257" s="2552">
        <v>2.0201813345207154E-2</v>
      </c>
      <c r="I257" s="2552">
        <v>6.8797080826077869E-3</v>
      </c>
      <c r="J257" s="2552">
        <v>6.4433772582134898E-3</v>
      </c>
      <c r="K257" s="2552">
        <v>1.9765972559923812E-2</v>
      </c>
      <c r="L257" s="2552">
        <v>3.3088567861634131E-2</v>
      </c>
      <c r="M257" s="2552">
        <v>4.6411163163344454E-2</v>
      </c>
      <c r="N257" s="2488"/>
    </row>
    <row r="258" spans="4:14" ht="15" customHeight="1">
      <c r="D258" s="2488"/>
      <c r="E258" s="2549" t="s">
        <v>514</v>
      </c>
      <c r="F258" s="2552" cm="1">
        <f t="array" ref="F258:M258">SF_PRODUCCION_CARBON_T*UNIDAD_T_A_KG*PCB_CARBON_MINERAL_TWH_KG</f>
        <v>14.520060079935245</v>
      </c>
      <c r="G258" s="2552">
        <v>13.93273736017052</v>
      </c>
      <c r="H258" s="2552">
        <v>6.7225164645561941</v>
      </c>
      <c r="I258" s="2552">
        <v>6.651398187320579</v>
      </c>
      <c r="J258" s="2552">
        <v>6.5804025278043357</v>
      </c>
      <c r="K258" s="2552">
        <v>6.5092842505687214</v>
      </c>
      <c r="L258" s="2552">
        <v>6.4381659733331063</v>
      </c>
      <c r="M258" s="2552">
        <v>6.3670476960974911</v>
      </c>
      <c r="N258" s="2488"/>
    </row>
    <row r="259" spans="4:14" ht="15" customHeight="1">
      <c r="D259" s="2488"/>
      <c r="E259" s="2553" t="s">
        <v>1667</v>
      </c>
      <c r="F259" s="2554">
        <f>SUM(F256:F258)</f>
        <v>14.580387082335244</v>
      </c>
      <c r="G259" s="2554">
        <f t="shared" ref="G259:M259" si="10">SUM(G256:G258)</f>
        <v>13.96738920817052</v>
      </c>
      <c r="H259" s="2554">
        <f t="shared" si="10"/>
        <v>6.7427182779014014</v>
      </c>
      <c r="I259" s="2554">
        <f t="shared" si="10"/>
        <v>6.6582778954031872</v>
      </c>
      <c r="J259" s="2554">
        <f t="shared" si="10"/>
        <v>6.5868459050625487</v>
      </c>
      <c r="K259" s="2554">
        <f>SUM(K256:K258)</f>
        <v>6.5290502231286451</v>
      </c>
      <c r="L259" s="2554">
        <f t="shared" si="10"/>
        <v>6.4712545411947406</v>
      </c>
      <c r="M259" s="2554">
        <f t="shared" si="10"/>
        <v>6.4134588592608353</v>
      </c>
      <c r="N259" s="2488"/>
    </row>
    <row r="260" spans="4:14" ht="15" customHeight="1">
      <c r="D260" s="2488"/>
      <c r="E260" s="2549"/>
      <c r="F260" s="2555"/>
      <c r="G260" s="2555"/>
      <c r="H260" s="2555"/>
      <c r="I260" s="2555"/>
      <c r="J260" s="2555"/>
      <c r="K260" s="2555"/>
      <c r="L260" s="2555"/>
      <c r="M260" s="2555"/>
      <c r="N260" s="2488"/>
    </row>
    <row r="261" spans="4:14" ht="15" customHeight="1">
      <c r="D261" s="2445"/>
      <c r="E261" s="2547" t="s">
        <v>1668</v>
      </c>
      <c r="F261" s="2547"/>
      <c r="G261" s="2547"/>
      <c r="H261" s="2547"/>
      <c r="I261" s="2547"/>
      <c r="J261" s="2547"/>
      <c r="K261" s="2547"/>
      <c r="L261" s="2547"/>
      <c r="M261" s="2547"/>
      <c r="N261" s="2445"/>
    </row>
    <row r="262" spans="4:14" ht="15" customHeight="1">
      <c r="D262" s="2488"/>
      <c r="E262" s="2549"/>
      <c r="F262" s="2555"/>
      <c r="G262" s="2555"/>
      <c r="H262" s="2555"/>
      <c r="I262" s="2555"/>
      <c r="J262" s="2555"/>
      <c r="K262" s="2555"/>
      <c r="L262" s="2555"/>
      <c r="M262" s="2555"/>
      <c r="N262" s="2488"/>
    </row>
    <row r="263" spans="4:14" ht="15" customHeight="1">
      <c r="D263" s="2488"/>
      <c r="E263" s="2549" t="s">
        <v>1669</v>
      </c>
      <c r="F263" s="2488"/>
      <c r="G263" s="2488"/>
      <c r="H263" s="2488"/>
      <c r="I263" s="2488"/>
      <c r="J263" s="2488"/>
      <c r="K263" s="2488"/>
      <c r="L263" s="2488"/>
      <c r="M263" s="2550" t="s">
        <v>9</v>
      </c>
      <c r="N263" s="2488"/>
    </row>
    <row r="264" spans="4:14" ht="15" customHeight="1">
      <c r="D264" s="2488"/>
      <c r="E264" s="2551" t="s">
        <v>1666</v>
      </c>
      <c r="F264" s="2551">
        <v>2018</v>
      </c>
      <c r="G264" s="2551">
        <v>2020</v>
      </c>
      <c r="H264" s="2551">
        <v>2025</v>
      </c>
      <c r="I264" s="2551">
        <v>2030</v>
      </c>
      <c r="J264" s="2551">
        <v>2035</v>
      </c>
      <c r="K264" s="2551">
        <v>2040</v>
      </c>
      <c r="L264" s="2551">
        <v>2045</v>
      </c>
      <c r="M264" s="2551">
        <v>2050</v>
      </c>
      <c r="N264" s="2488"/>
    </row>
    <row r="265" spans="4:14" ht="15" customHeight="1">
      <c r="D265" s="2488"/>
      <c r="E265" s="2549" t="s">
        <v>522</v>
      </c>
      <c r="F265" s="2552" cm="1">
        <f t="array" ref="F265:M265">_xlfn.ANCHORARRAY(G468)</f>
        <v>0</v>
      </c>
      <c r="G265" s="2552">
        <v>0</v>
      </c>
      <c r="H265" s="2552">
        <v>0</v>
      </c>
      <c r="I265" s="2552">
        <v>0</v>
      </c>
      <c r="J265" s="2552">
        <v>0</v>
      </c>
      <c r="K265" s="2552">
        <v>0</v>
      </c>
      <c r="L265" s="2552">
        <v>0</v>
      </c>
      <c r="M265" s="2552">
        <v>0</v>
      </c>
      <c r="N265" s="2488"/>
    </row>
    <row r="266" spans="4:14" ht="15" customHeight="1">
      <c r="D266" s="2488"/>
      <c r="E266" s="2549" t="s">
        <v>525</v>
      </c>
      <c r="F266" s="2552" cm="1">
        <f t="array" ref="F266:M266">_xlfn.ANCHORARRAY(G469)</f>
        <v>0</v>
      </c>
      <c r="G266" s="2552">
        <v>0</v>
      </c>
      <c r="H266" s="2552">
        <v>0</v>
      </c>
      <c r="I266" s="2552">
        <v>0</v>
      </c>
      <c r="J266" s="2552">
        <v>0</v>
      </c>
      <c r="K266" s="2552">
        <v>0</v>
      </c>
      <c r="L266" s="2552">
        <v>0</v>
      </c>
      <c r="M266" s="2552">
        <v>0</v>
      </c>
      <c r="N266" s="2488"/>
    </row>
    <row r="267" spans="4:14" ht="15" customHeight="1">
      <c r="D267" s="2488"/>
      <c r="E267" s="2549" t="s">
        <v>526</v>
      </c>
      <c r="F267" s="2552" cm="1">
        <f t="array" ref="F267:M267">_xlfn.ANCHORARRAY(G470)</f>
        <v>0</v>
      </c>
      <c r="G267" s="2552">
        <v>0</v>
      </c>
      <c r="H267" s="2552">
        <v>0</v>
      </c>
      <c r="I267" s="2552">
        <v>0</v>
      </c>
      <c r="J267" s="2552">
        <v>0</v>
      </c>
      <c r="K267" s="2552">
        <v>0</v>
      </c>
      <c r="L267" s="2552">
        <v>0</v>
      </c>
      <c r="M267" s="2552">
        <v>0</v>
      </c>
      <c r="N267" s="2488"/>
    </row>
    <row r="268" spans="4:14" ht="15" customHeight="1">
      <c r="D268" s="2488"/>
      <c r="E268" s="2549" t="s">
        <v>527</v>
      </c>
      <c r="F268" s="2552" cm="1">
        <f t="array" ref="F268:M268">_xlfn.ANCHORARRAY(G471)</f>
        <v>0</v>
      </c>
      <c r="G268" s="2552">
        <v>0</v>
      </c>
      <c r="H268" s="2552">
        <v>0</v>
      </c>
      <c r="I268" s="2552">
        <v>0</v>
      </c>
      <c r="J268" s="2552">
        <v>0</v>
      </c>
      <c r="K268" s="2552">
        <v>0</v>
      </c>
      <c r="L268" s="2552">
        <v>0</v>
      </c>
      <c r="M268" s="2552">
        <v>0</v>
      </c>
      <c r="N268" s="2488"/>
    </row>
    <row r="269" spans="4:14" ht="15" customHeight="1">
      <c r="D269" s="2488"/>
      <c r="E269" s="2549" t="s">
        <v>498</v>
      </c>
      <c r="F269" s="2552" cm="1">
        <f t="array" ref="F269:M269">_xlfn.ANCHORARRAY(G472)</f>
        <v>0</v>
      </c>
      <c r="G269" s="2552">
        <v>0</v>
      </c>
      <c r="H269" s="2552">
        <v>0</v>
      </c>
      <c r="I269" s="2552">
        <v>0</v>
      </c>
      <c r="J269" s="2552">
        <v>0</v>
      </c>
      <c r="K269" s="2552">
        <v>0</v>
      </c>
      <c r="L269" s="2552">
        <v>0</v>
      </c>
      <c r="M269" s="2552">
        <v>0</v>
      </c>
      <c r="N269" s="2488"/>
    </row>
    <row r="270" spans="4:14" ht="15" customHeight="1">
      <c r="D270" s="2488"/>
      <c r="E270" s="2549" t="s">
        <v>1495</v>
      </c>
      <c r="F270" s="2552" cm="1">
        <f t="array" ref="F270:M270">_xlfn.ANCHORARRAY(G473)</f>
        <v>0</v>
      </c>
      <c r="G270" s="2552">
        <v>0</v>
      </c>
      <c r="H270" s="2552">
        <v>0</v>
      </c>
      <c r="I270" s="2552">
        <v>0</v>
      </c>
      <c r="J270" s="2552">
        <v>0</v>
      </c>
      <c r="K270" s="2552">
        <v>0</v>
      </c>
      <c r="L270" s="2552">
        <v>0</v>
      </c>
      <c r="M270" s="2552">
        <v>0</v>
      </c>
      <c r="N270" s="2488"/>
    </row>
    <row r="271" spans="4:14" ht="15" customHeight="1">
      <c r="D271" s="2488"/>
      <c r="E271" s="2549" t="s">
        <v>502</v>
      </c>
      <c r="F271" s="2552" cm="1">
        <f t="array" ref="F271:M271">_xlfn.ANCHORARRAY(G474)</f>
        <v>0</v>
      </c>
      <c r="G271" s="2552">
        <v>0</v>
      </c>
      <c r="H271" s="2552">
        <v>0</v>
      </c>
      <c r="I271" s="2552">
        <v>0</v>
      </c>
      <c r="J271" s="2552">
        <v>0</v>
      </c>
      <c r="K271" s="2552">
        <v>0</v>
      </c>
      <c r="L271" s="2552">
        <v>0</v>
      </c>
      <c r="M271" s="2552">
        <v>0</v>
      </c>
      <c r="N271" s="2488"/>
    </row>
    <row r="272" spans="4:14" ht="15" customHeight="1">
      <c r="D272" s="2488"/>
      <c r="E272" s="2553" t="s">
        <v>1667</v>
      </c>
      <c r="F272" s="2554">
        <f t="shared" ref="F272:M272" si="11">SUM(F265:F271)</f>
        <v>0</v>
      </c>
      <c r="G272" s="2554">
        <f t="shared" si="11"/>
        <v>0</v>
      </c>
      <c r="H272" s="2554">
        <f t="shared" si="11"/>
        <v>0</v>
      </c>
      <c r="I272" s="2554">
        <f t="shared" si="11"/>
        <v>0</v>
      </c>
      <c r="J272" s="2554">
        <f t="shared" si="11"/>
        <v>0</v>
      </c>
      <c r="K272" s="2554">
        <f t="shared" si="11"/>
        <v>0</v>
      </c>
      <c r="L272" s="2554">
        <f t="shared" si="11"/>
        <v>0</v>
      </c>
      <c r="M272" s="2554">
        <f t="shared" si="11"/>
        <v>0</v>
      </c>
      <c r="N272" s="3099"/>
    </row>
    <row r="273" spans="4:21" ht="15" customHeight="1">
      <c r="D273" s="2488"/>
      <c r="E273" s="2549"/>
      <c r="F273" s="2556"/>
      <c r="G273" s="2556"/>
      <c r="H273" s="2556"/>
      <c r="I273" s="2556"/>
      <c r="J273" s="2556"/>
      <c r="K273" s="2556"/>
      <c r="L273" s="2556"/>
      <c r="M273" s="2556"/>
      <c r="N273" s="2488"/>
      <c r="O273" s="3100"/>
    </row>
    <row r="274" spans="4:21" ht="15" customHeight="1">
      <c r="D274" s="2445"/>
      <c r="E274" s="2547" t="s">
        <v>1670</v>
      </c>
      <c r="F274" s="2547"/>
      <c r="G274" s="2547"/>
      <c r="H274" s="2547"/>
      <c r="I274" s="2547"/>
      <c r="J274" s="2547"/>
      <c r="K274" s="2547"/>
      <c r="L274" s="2547"/>
      <c r="M274" s="2547"/>
      <c r="N274" s="2445"/>
    </row>
    <row r="275" spans="4:21" ht="15" customHeight="1">
      <c r="D275" s="2488"/>
      <c r="E275" s="2549"/>
      <c r="F275" s="2556"/>
      <c r="G275" s="2556"/>
      <c r="H275" s="2556"/>
      <c r="I275" s="2556"/>
      <c r="J275" s="2556"/>
      <c r="K275" s="2556"/>
      <c r="L275" s="2556"/>
      <c r="M275" s="2556"/>
      <c r="N275" s="2488"/>
    </row>
    <row r="276" spans="4:21" ht="15" customHeight="1">
      <c r="D276" s="2488"/>
      <c r="E276" s="2549" t="s">
        <v>1665</v>
      </c>
      <c r="F276" s="2488"/>
      <c r="G276" s="2488"/>
      <c r="H276" s="2488"/>
      <c r="I276" s="2488"/>
      <c r="J276" s="2488"/>
      <c r="K276" s="2488"/>
      <c r="L276" s="2488"/>
      <c r="M276" s="2550" t="s">
        <v>9</v>
      </c>
      <c r="N276" s="2488"/>
    </row>
    <row r="277" spans="4:21" ht="15" customHeight="1">
      <c r="D277" s="2488"/>
      <c r="E277" s="2551" t="s">
        <v>1666</v>
      </c>
      <c r="F277" s="2551">
        <v>2018</v>
      </c>
      <c r="G277" s="2551">
        <v>2020</v>
      </c>
      <c r="H277" s="2551">
        <v>2025</v>
      </c>
      <c r="I277" s="2551">
        <v>2030</v>
      </c>
      <c r="J277" s="2551">
        <v>2035</v>
      </c>
      <c r="K277" s="2551">
        <v>2040</v>
      </c>
      <c r="L277" s="2551">
        <v>2045</v>
      </c>
      <c r="M277" s="2551">
        <v>2050</v>
      </c>
      <c r="N277" s="2488"/>
    </row>
    <row r="278" spans="4:21" ht="15" customHeight="1">
      <c r="D278" s="2488"/>
      <c r="E278" s="2465" t="s">
        <v>494</v>
      </c>
      <c r="F278" s="3110" cm="1">
        <f t="array" ref="F278:M278">F24:M24</f>
        <v>3.9500405191100669</v>
      </c>
      <c r="G278" s="3110">
        <v>4.5620057158176301</v>
      </c>
      <c r="H278" s="3110">
        <v>5.2860125898661794</v>
      </c>
      <c r="I278" s="3110">
        <v>5.4786786738286501</v>
      </c>
      <c r="J278" s="3110">
        <v>5.9167880740793786</v>
      </c>
      <c r="K278" s="3110">
        <v>6.5183349963764865</v>
      </c>
      <c r="L278" s="3110">
        <v>7.0701368385617007</v>
      </c>
      <c r="M278" s="3110">
        <v>7.8104398443693901</v>
      </c>
      <c r="N278" s="2488"/>
    </row>
    <row r="279" spans="4:21" ht="15" customHeight="1">
      <c r="D279" s="2488"/>
      <c r="E279" s="2549" t="s">
        <v>495</v>
      </c>
      <c r="F279" s="3110" cm="1">
        <f t="array" ref="F279:M279">F35:M35</f>
        <v>6.0092794153740821</v>
      </c>
      <c r="G279" s="3110">
        <v>6.9292255119668074</v>
      </c>
      <c r="H279" s="3110">
        <v>8.0834490769478222</v>
      </c>
      <c r="I279" s="3110">
        <v>8.6674435388223117</v>
      </c>
      <c r="J279" s="3110">
        <v>8.9042394961703248</v>
      </c>
      <c r="K279" s="3110">
        <v>9.075791513284349</v>
      </c>
      <c r="L279" s="3110">
        <v>9.5955210025138218</v>
      </c>
      <c r="M279" s="3110">
        <v>10.702759463693939</v>
      </c>
      <c r="N279" s="2488"/>
    </row>
    <row r="280" spans="4:21" ht="15" customHeight="1">
      <c r="D280" s="2488"/>
      <c r="E280" s="2465" t="s">
        <v>537</v>
      </c>
      <c r="F280" s="3110" cm="1">
        <f t="array" ref="F280:M280">F46:M46</f>
        <v>8.7096330318135774E-3</v>
      </c>
      <c r="G280" s="3110">
        <v>8.7333717714261141E-3</v>
      </c>
      <c r="H280" s="3110">
        <v>1.0171880306271301E-2</v>
      </c>
      <c r="I280" s="3110">
        <v>1.1624896768223952E-2</v>
      </c>
      <c r="J280" s="3110">
        <v>1.1648241365430819E-2</v>
      </c>
      <c r="K280" s="3110">
        <v>1.1672251801939874E-2</v>
      </c>
      <c r="L280" s="3110">
        <v>1.1696867566396787E-2</v>
      </c>
      <c r="M280" s="3110">
        <v>1.1722275577417935E-2</v>
      </c>
      <c r="N280" s="2488"/>
    </row>
    <row r="281" spans="4:21" ht="15" customHeight="1">
      <c r="D281" s="2488"/>
      <c r="E281" s="2549" t="s">
        <v>893</v>
      </c>
      <c r="F281" s="3110" cm="1">
        <f t="array" ref="F281:M281">F57:M57</f>
        <v>3.0704026522841619</v>
      </c>
      <c r="G281" s="3110">
        <v>3.3296653202446391</v>
      </c>
      <c r="H281" s="3110">
        <v>4.0848274890024987</v>
      </c>
      <c r="I281" s="3110">
        <v>4.8931723495267372</v>
      </c>
      <c r="J281" s="3110">
        <v>5.7296382240309409</v>
      </c>
      <c r="K281" s="3110">
        <v>6.8775173088634087</v>
      </c>
      <c r="L281" s="3110">
        <v>8.0377370518682643</v>
      </c>
      <c r="M281" s="3110">
        <v>9.1441153524694165</v>
      </c>
      <c r="N281" s="2488"/>
    </row>
    <row r="282" spans="4:21" ht="15" customHeight="1">
      <c r="D282" s="2488"/>
      <c r="E282" s="2549" t="s">
        <v>498</v>
      </c>
      <c r="F282" s="3110" cm="1">
        <f t="array" ref="F282:M282">F68:M68</f>
        <v>0.73438321436995968</v>
      </c>
      <c r="G282" s="3110">
        <v>0.8182622546794367</v>
      </c>
      <c r="H282" s="3110">
        <v>0.9750579977028393</v>
      </c>
      <c r="I282" s="3110">
        <v>1.1099293219945401</v>
      </c>
      <c r="J282" s="3110">
        <v>1.2415200535235433</v>
      </c>
      <c r="K282" s="3110">
        <v>1.370562274681751</v>
      </c>
      <c r="L282" s="3110">
        <v>1.5010041524310302</v>
      </c>
      <c r="M282" s="3110">
        <v>1.6336844509032122</v>
      </c>
      <c r="N282" s="2488"/>
    </row>
    <row r="283" spans="4:21" ht="15" customHeight="1">
      <c r="D283" s="2488"/>
      <c r="E283" s="2549" t="s">
        <v>531</v>
      </c>
      <c r="F283" s="3110" cm="1">
        <f t="array" ref="F283:M283">F79:M79</f>
        <v>2.9678592853414019</v>
      </c>
      <c r="G283" s="3110">
        <v>2.9678592853414019</v>
      </c>
      <c r="H283" s="3110">
        <v>3.5323114638621034</v>
      </c>
      <c r="I283" s="3110">
        <v>4.060843403949713</v>
      </c>
      <c r="J283" s="3110">
        <v>4.060843403949713</v>
      </c>
      <c r="K283" s="3110">
        <v>4.060843403949713</v>
      </c>
      <c r="L283" s="3110">
        <v>4.060843403949713</v>
      </c>
      <c r="M283" s="3110">
        <v>4.060843403949713</v>
      </c>
      <c r="N283" s="2488"/>
      <c r="P283" s="3100"/>
      <c r="Q283" s="3100"/>
      <c r="R283" s="3100"/>
      <c r="S283" s="3100"/>
      <c r="T283" s="3100"/>
      <c r="U283" s="3100"/>
    </row>
    <row r="284" spans="4:21" ht="15" customHeight="1">
      <c r="D284" s="2488"/>
      <c r="E284" s="2549" t="s">
        <v>502</v>
      </c>
      <c r="F284" s="3110" cm="1">
        <f t="array" ref="F284:M284">F90:M90</f>
        <v>1.5175350817709567E-2</v>
      </c>
      <c r="G284" s="3110">
        <v>1.7599669600639821E-2</v>
      </c>
      <c r="H284" s="3110">
        <v>2.0919036681174865E-2</v>
      </c>
      <c r="I284" s="3110">
        <v>2.3617380521294102E-2</v>
      </c>
      <c r="J284" s="3110">
        <v>2.6001447511045536E-2</v>
      </c>
      <c r="K284" s="3110">
        <v>2.8453513339532624E-2</v>
      </c>
      <c r="L284" s="3110">
        <v>3.0967398284694813E-2</v>
      </c>
      <c r="M284" s="3110">
        <v>3.3562191410229633E-2</v>
      </c>
      <c r="N284" s="2488"/>
    </row>
    <row r="285" spans="4:21" ht="15" customHeight="1">
      <c r="D285" s="2488"/>
      <c r="E285" s="2549" t="s">
        <v>507</v>
      </c>
      <c r="F285" s="3110" cm="1">
        <f t="array" ref="F285:M285">F101:M101</f>
        <v>6.2257033987857587E-3</v>
      </c>
      <c r="G285" s="3110">
        <v>6.2257033987857587E-3</v>
      </c>
      <c r="H285" s="3110">
        <v>7.206409873470189E-3</v>
      </c>
      <c r="I285" s="3110">
        <v>8.2090019179727608E-3</v>
      </c>
      <c r="J285" s="3110">
        <v>8.2090019179727608E-3</v>
      </c>
      <c r="K285" s="3110">
        <v>8.2090019179727608E-3</v>
      </c>
      <c r="L285" s="3110">
        <v>8.2090019179727608E-3</v>
      </c>
      <c r="M285" s="3110">
        <v>8.2090019179727608E-3</v>
      </c>
      <c r="N285" s="2488"/>
    </row>
    <row r="286" spans="4:21" ht="15" customHeight="1">
      <c r="D286" s="2488"/>
      <c r="E286" s="2553" t="s">
        <v>1667</v>
      </c>
      <c r="F286" s="3111">
        <f t="shared" ref="F286:M286" si="12">SUM(F278:F285)</f>
        <v>16.762075773727982</v>
      </c>
      <c r="G286" s="3111">
        <f t="shared" si="12"/>
        <v>18.639576832820769</v>
      </c>
      <c r="H286" s="3111">
        <f t="shared" si="12"/>
        <v>21.999955944242359</v>
      </c>
      <c r="I286" s="3111">
        <f t="shared" si="12"/>
        <v>24.25351856732944</v>
      </c>
      <c r="J286" s="3111">
        <f t="shared" si="12"/>
        <v>25.898887942548349</v>
      </c>
      <c r="K286" s="3111">
        <f t="shared" si="12"/>
        <v>27.95138426421515</v>
      </c>
      <c r="L286" s="3111">
        <f t="shared" si="12"/>
        <v>30.316115717093592</v>
      </c>
      <c r="M286" s="3111">
        <f t="shared" si="12"/>
        <v>33.405335984291291</v>
      </c>
      <c r="N286" s="2488"/>
    </row>
    <row r="287" spans="4:21" ht="15" customHeight="1">
      <c r="D287" s="2488"/>
      <c r="E287" s="2549"/>
      <c r="F287" s="2556"/>
      <c r="G287" s="2556"/>
      <c r="H287" s="2556"/>
      <c r="I287" s="2556"/>
      <c r="J287" s="2556"/>
      <c r="K287" s="2556"/>
      <c r="L287" s="2556"/>
      <c r="M287" s="2556"/>
      <c r="N287" s="2488"/>
    </row>
    <row r="288" spans="4:21" ht="15" customHeight="1">
      <c r="D288" s="2488"/>
      <c r="E288" s="2549"/>
      <c r="F288" s="2549"/>
      <c r="G288" s="2549"/>
      <c r="H288" s="2549"/>
      <c r="I288" s="2549"/>
      <c r="J288" s="2549"/>
      <c r="K288" s="2549"/>
      <c r="L288" s="2549"/>
      <c r="M288" s="2549"/>
      <c r="N288" s="2488"/>
    </row>
    <row r="289" spans="4:15" ht="15" customHeight="1">
      <c r="D289" s="695"/>
      <c r="E289" s="695"/>
      <c r="F289" s="695"/>
      <c r="G289" s="695"/>
      <c r="H289" s="695"/>
      <c r="I289" s="695"/>
      <c r="J289" s="695"/>
      <c r="K289" s="695"/>
      <c r="L289" s="695"/>
      <c r="M289" s="695"/>
      <c r="N289" s="695"/>
    </row>
    <row r="290" spans="4:15" ht="15" customHeight="1">
      <c r="D290" s="2557" t="s">
        <v>1671</v>
      </c>
      <c r="E290" s="2558"/>
      <c r="F290" s="2558"/>
      <c r="G290" s="2558"/>
      <c r="H290" s="2558"/>
      <c r="I290" s="2558"/>
      <c r="J290" s="2558"/>
      <c r="K290" s="2558"/>
      <c r="L290" s="2558"/>
      <c r="M290" s="2558"/>
      <c r="N290" s="2558"/>
    </row>
    <row r="291" spans="4:15" ht="15" customHeight="1">
      <c r="D291" s="2559"/>
      <c r="E291" s="2559"/>
      <c r="F291" s="2559"/>
      <c r="G291" s="2559"/>
      <c r="H291" s="2559"/>
      <c r="I291" s="2559"/>
      <c r="J291" s="2559"/>
      <c r="K291" s="2559"/>
      <c r="L291" s="2559"/>
      <c r="M291" s="2559"/>
      <c r="N291" s="2559"/>
    </row>
    <row r="292" spans="4:15" ht="15" customHeight="1">
      <c r="D292" s="2559"/>
      <c r="E292" s="2560" t="s">
        <v>1672</v>
      </c>
      <c r="F292" s="2560"/>
      <c r="G292" s="2560"/>
      <c r="H292" s="2560"/>
      <c r="I292" s="2560"/>
      <c r="J292" s="2560"/>
      <c r="K292" s="2560"/>
      <c r="L292" s="2560"/>
      <c r="M292" s="2560"/>
      <c r="N292" s="2559"/>
    </row>
    <row r="293" spans="4:15" ht="15" customHeight="1">
      <c r="D293" s="2559"/>
      <c r="E293" s="2561"/>
      <c r="F293" s="2559"/>
      <c r="G293" s="2559"/>
      <c r="H293" s="2559"/>
      <c r="I293" s="2559"/>
      <c r="J293" s="2559"/>
      <c r="K293" s="2559"/>
      <c r="L293" s="2559"/>
      <c r="M293" s="2559"/>
      <c r="N293" s="2559"/>
    </row>
    <row r="294" spans="4:15" ht="15" customHeight="1">
      <c r="D294" s="2559"/>
      <c r="E294" s="2562"/>
      <c r="F294" s="2559"/>
      <c r="G294" s="2559"/>
      <c r="H294" s="2559"/>
      <c r="I294" s="2559"/>
      <c r="J294" s="2559"/>
      <c r="K294" s="2559"/>
      <c r="L294" s="2563"/>
      <c r="M294" s="2563" t="s">
        <v>29</v>
      </c>
      <c r="N294" s="2559"/>
    </row>
    <row r="295" spans="4:15" ht="15" customHeight="1">
      <c r="D295" s="2559"/>
      <c r="E295" s="2564" t="s">
        <v>1673</v>
      </c>
      <c r="F295" s="2565">
        <v>2018</v>
      </c>
      <c r="G295" s="2565" t="s">
        <v>322</v>
      </c>
      <c r="H295" s="2565" t="s">
        <v>323</v>
      </c>
      <c r="I295" s="2565" t="s">
        <v>324</v>
      </c>
      <c r="J295" s="2565" t="s">
        <v>325</v>
      </c>
      <c r="K295" s="2565" t="s">
        <v>326</v>
      </c>
      <c r="L295" s="2565" t="s">
        <v>327</v>
      </c>
      <c r="M295" s="2565">
        <v>2050</v>
      </c>
      <c r="N295" s="2559"/>
    </row>
    <row r="296" spans="4:15" ht="15" customHeight="1">
      <c r="D296" s="2559"/>
      <c r="E296" s="2566" t="s">
        <v>521</v>
      </c>
      <c r="F296" s="2567"/>
      <c r="G296" s="2567"/>
      <c r="H296" s="2567"/>
      <c r="I296" s="2567"/>
      <c r="J296" s="2567"/>
      <c r="K296" s="2567"/>
      <c r="L296" s="2567"/>
      <c r="M296" s="2567"/>
      <c r="N296" s="2559"/>
      <c r="O296" s="3100"/>
    </row>
    <row r="297" spans="4:15" ht="15" customHeight="1">
      <c r="D297" s="2559"/>
      <c r="E297" s="2568" t="s">
        <v>694</v>
      </c>
      <c r="F297" s="2569" cm="1">
        <f t="array" ref="F297:M297">G390:N390</f>
        <v>2.5544424000000002E-3</v>
      </c>
      <c r="G297" s="2569">
        <v>2.5544424000000002E-3</v>
      </c>
      <c r="H297" s="2569">
        <v>2.5544424000000002E-3</v>
      </c>
      <c r="I297" s="2569">
        <v>2.5544424000000002E-3</v>
      </c>
      <c r="J297" s="2569">
        <v>2.5544424000000002E-3</v>
      </c>
      <c r="K297" s="2569">
        <v>2.5544424000000002E-3</v>
      </c>
      <c r="L297" s="2569">
        <v>2.5544424000000002E-3</v>
      </c>
      <c r="M297" s="2569">
        <v>2.5544424000000002E-3</v>
      </c>
      <c r="N297" s="2559"/>
      <c r="O297" s="3347"/>
    </row>
    <row r="298" spans="4:15" ht="15" customHeight="1">
      <c r="D298" s="2559"/>
      <c r="E298" s="2568" t="s">
        <v>695</v>
      </c>
      <c r="F298" s="2569" cm="1">
        <f t="array" ref="F298:M298">G401:N401</f>
        <v>4.82375E-5</v>
      </c>
      <c r="G298" s="2569">
        <v>4.82375E-5</v>
      </c>
      <c r="H298" s="2569">
        <v>4.82375E-5</v>
      </c>
      <c r="I298" s="2569">
        <v>4.82375E-5</v>
      </c>
      <c r="J298" s="2569">
        <v>4.82375E-5</v>
      </c>
      <c r="K298" s="2569">
        <v>4.82375E-5</v>
      </c>
      <c r="L298" s="2569">
        <v>4.82375E-5</v>
      </c>
      <c r="M298" s="2569">
        <v>4.82375E-5</v>
      </c>
      <c r="N298" s="2559"/>
      <c r="O298" s="3347"/>
    </row>
    <row r="299" spans="4:15" ht="15" customHeight="1">
      <c r="D299" s="2559"/>
      <c r="E299" s="2568" t="s">
        <v>1616</v>
      </c>
      <c r="F299" s="2569" cm="1">
        <f t="array" ref="F299:M299">G412:N412</f>
        <v>1.8687999999999998E-8</v>
      </c>
      <c r="G299" s="2569">
        <v>1.8687999999999998E-8</v>
      </c>
      <c r="H299" s="2569">
        <v>1.8687999999999998E-8</v>
      </c>
      <c r="I299" s="2569">
        <v>1.8687999999999998E-8</v>
      </c>
      <c r="J299" s="2569">
        <v>1.8687999999999998E-8</v>
      </c>
      <c r="K299" s="2569">
        <v>1.8687999999999998E-8</v>
      </c>
      <c r="L299" s="2569">
        <v>1.8687999999999998E-8</v>
      </c>
      <c r="M299" s="2569">
        <v>1.8687999999999998E-8</v>
      </c>
      <c r="N299" s="2559"/>
      <c r="O299" s="3347"/>
    </row>
    <row r="300" spans="4:15" ht="15" customHeight="1">
      <c r="D300" s="2559"/>
      <c r="E300" s="2570" t="s">
        <v>1674</v>
      </c>
      <c r="F300" s="2571" cm="1">
        <f t="array" ref="F300:M300">_xlfn.ANCHORARRAY(G415)</f>
        <v>3.9100447200000003E-3</v>
      </c>
      <c r="G300" s="2571">
        <v>3.9100447200000003E-3</v>
      </c>
      <c r="H300" s="2571">
        <v>3.9100447200000003E-3</v>
      </c>
      <c r="I300" s="2571">
        <v>3.9100447200000003E-3</v>
      </c>
      <c r="J300" s="2571">
        <v>3.9100447200000003E-3</v>
      </c>
      <c r="K300" s="2571">
        <v>3.9100447200000003E-3</v>
      </c>
      <c r="L300" s="2571">
        <v>3.9100447200000003E-3</v>
      </c>
      <c r="M300" s="2571">
        <v>3.9100447200000003E-3</v>
      </c>
      <c r="N300" s="2559"/>
      <c r="O300" s="3347"/>
    </row>
    <row r="301" spans="4:15" ht="15" customHeight="1">
      <c r="D301" s="2559"/>
      <c r="E301" s="2566" t="s">
        <v>522</v>
      </c>
      <c r="F301" s="2567"/>
      <c r="G301" s="2567"/>
      <c r="H301" s="2567"/>
      <c r="I301" s="2567"/>
      <c r="J301" s="2567"/>
      <c r="K301" s="2567"/>
      <c r="L301" s="2567"/>
      <c r="M301" s="2567"/>
      <c r="N301" s="2559"/>
      <c r="O301" s="3347"/>
    </row>
    <row r="302" spans="4:15" ht="15" customHeight="1">
      <c r="D302" s="2559"/>
      <c r="E302" s="2568" t="s">
        <v>694</v>
      </c>
      <c r="F302" s="2569" cm="1">
        <f t="array" ref="F302:M302">G427:N427</f>
        <v>3.6199961073090999E-3</v>
      </c>
      <c r="G302" s="2569">
        <v>3.6194711908026978E-3</v>
      </c>
      <c r="H302" s="2569">
        <v>3.6191757666120504E-3</v>
      </c>
      <c r="I302" s="2569">
        <v>3.6189034024095446E-3</v>
      </c>
      <c r="J302" s="2569">
        <v>3.6188944818302013E-3</v>
      </c>
      <c r="K302" s="2569">
        <v>3.6191668560513275E-3</v>
      </c>
      <c r="L302" s="2569">
        <v>3.6194392302724525E-3</v>
      </c>
      <c r="M302" s="2569">
        <v>3.6197116044935783E-3</v>
      </c>
      <c r="N302" s="2559"/>
      <c r="O302" s="3347"/>
    </row>
    <row r="303" spans="4:15" ht="15" customHeight="1">
      <c r="D303" s="2559"/>
      <c r="E303" s="2568" t="s">
        <v>695</v>
      </c>
      <c r="F303" s="2569" cm="1">
        <f t="array" ref="F303:M303">G438:N438</f>
        <v>8.3251785426945453E-5</v>
      </c>
      <c r="G303" s="2569">
        <v>7.6593826531517209E-2</v>
      </c>
      <c r="H303" s="2569">
        <v>7.6592230844238676E-2</v>
      </c>
      <c r="I303" s="2569">
        <v>7.6590759711857415E-2</v>
      </c>
      <c r="J303" s="2569">
        <v>7.6590711528751812E-2</v>
      </c>
      <c r="K303" s="2569">
        <v>7.6592182715247065E-2</v>
      </c>
      <c r="L303" s="2569">
        <v>7.6593653901742317E-2</v>
      </c>
      <c r="M303" s="2569">
        <v>7.6595125088237584E-2</v>
      </c>
      <c r="N303" s="2559"/>
      <c r="O303" s="3347"/>
    </row>
    <row r="304" spans="4:15" ht="15" customHeight="1">
      <c r="D304" s="2559"/>
      <c r="E304" s="2568" t="s">
        <v>1616</v>
      </c>
      <c r="F304" s="2569" cm="1">
        <f t="array" ref="F304:M304">G449:N449</f>
        <v>2.6728600397511856E-8</v>
      </c>
      <c r="G304" s="2569">
        <v>2.6537676200853639E-8</v>
      </c>
      <c r="H304" s="2569">
        <v>2.6430223633473959E-8</v>
      </c>
      <c r="I304" s="2569">
        <v>2.6331158513730882E-8</v>
      </c>
      <c r="J304" s="2569">
        <v>2.6327913894016943E-8</v>
      </c>
      <c r="K304" s="2569">
        <v>2.6426982657762393E-8</v>
      </c>
      <c r="L304" s="2569">
        <v>2.6526051421507846E-8</v>
      </c>
      <c r="M304" s="2569">
        <v>2.6625120185253296E-8</v>
      </c>
      <c r="N304" s="2559"/>
      <c r="O304" s="3347"/>
    </row>
    <row r="305" spans="4:15" ht="15" customHeight="1">
      <c r="D305" s="2559"/>
      <c r="E305" s="2570" t="s">
        <v>1675</v>
      </c>
      <c r="F305" s="2571" cm="1">
        <f t="array" ref="F305:M305">_xlfn.ANCHORARRAY(G452)</f>
        <v>5.9581291783689138E-3</v>
      </c>
      <c r="G305" s="2571">
        <v>2.1482536465574777</v>
      </c>
      <c r="H305" s="2571">
        <v>2.1482086434145575</v>
      </c>
      <c r="I305" s="2571">
        <v>2.1481671530914235</v>
      </c>
      <c r="J305" s="2571">
        <v>2.1481657941840626</v>
      </c>
      <c r="K305" s="2571">
        <v>2.1482072860333736</v>
      </c>
      <c r="L305" s="2571">
        <v>2.1482487778826842</v>
      </c>
      <c r="M305" s="2571">
        <v>2.1482902697319948</v>
      </c>
      <c r="N305" s="2559"/>
      <c r="O305" s="3347"/>
    </row>
    <row r="306" spans="4:15" ht="15" customHeight="1">
      <c r="D306" s="2559"/>
      <c r="E306" s="2566" t="s">
        <v>514</v>
      </c>
      <c r="F306" s="2567"/>
      <c r="G306" s="2567"/>
      <c r="H306" s="2567"/>
      <c r="I306" s="2567"/>
      <c r="J306" s="2567"/>
      <c r="K306" s="2567"/>
      <c r="L306" s="2567"/>
      <c r="M306" s="2567"/>
      <c r="N306" s="2559"/>
      <c r="O306" s="3347"/>
    </row>
    <row r="307" spans="4:15" ht="15" customHeight="1">
      <c r="D307" s="2559"/>
      <c r="E307" s="2568" t="s">
        <v>694</v>
      </c>
      <c r="F307" s="2569" cm="1">
        <f t="array" ref="F307:M307">_xlfn.ANCHORARRAY(G458)+_xlfn.ANCHORARRAY(G461)</f>
        <v>6.0007603058552593E-4</v>
      </c>
      <c r="G307" s="2569">
        <v>5.7580352176608005E-4</v>
      </c>
      <c r="H307" s="2569">
        <v>2.7782398787531151E-4</v>
      </c>
      <c r="I307" s="2569">
        <v>2.7488485585583719E-4</v>
      </c>
      <c r="J307" s="2569">
        <v>2.7195079130536192E-4</v>
      </c>
      <c r="K307" s="2569">
        <v>2.6901165928588759E-4</v>
      </c>
      <c r="L307" s="2569">
        <v>2.6607252726641321E-4</v>
      </c>
      <c r="M307" s="2569">
        <v>2.6313339524693889E-4</v>
      </c>
      <c r="N307" s="2559"/>
      <c r="O307" s="3347"/>
    </row>
    <row r="308" spans="4:15" ht="15" customHeight="1">
      <c r="D308" s="2559"/>
      <c r="E308" s="2568" t="s">
        <v>695</v>
      </c>
      <c r="F308" s="2569" cm="1">
        <f t="array" ref="F308:M308">_xlfn.ANCHORARRAY(G459)+_xlfn.ANCHORARRAY(G462)</f>
        <v>4.7970012760814402E-3</v>
      </c>
      <c r="G308" s="2569">
        <v>4.6029671040000008E-3</v>
      </c>
      <c r="H308" s="2569">
        <v>2.2209219439468303E-3</v>
      </c>
      <c r="I308" s="2569">
        <v>2.1974265544805441E-3</v>
      </c>
      <c r="J308" s="2569">
        <v>2.1739716743064408E-3</v>
      </c>
      <c r="K308" s="2569">
        <v>2.1504762848401542E-3</v>
      </c>
      <c r="L308" s="2569">
        <v>2.1269808953738676E-3</v>
      </c>
      <c r="M308" s="2569">
        <v>2.103485505907581E-3</v>
      </c>
      <c r="N308" s="2559"/>
      <c r="O308" s="3347"/>
    </row>
    <row r="309" spans="4:15" ht="15" customHeight="1">
      <c r="D309" s="2559"/>
      <c r="E309" s="2568" t="s">
        <v>1616</v>
      </c>
      <c r="F309" s="2569" t="s">
        <v>72</v>
      </c>
      <c r="G309" s="2569" t="s">
        <v>72</v>
      </c>
      <c r="H309" s="2569" t="s">
        <v>72</v>
      </c>
      <c r="I309" s="2569" t="s">
        <v>72</v>
      </c>
      <c r="J309" s="2569" t="s">
        <v>72</v>
      </c>
      <c r="K309" s="2569" t="s">
        <v>72</v>
      </c>
      <c r="L309" s="2569" t="s">
        <v>72</v>
      </c>
      <c r="M309" s="2569" t="s">
        <v>72</v>
      </c>
      <c r="N309" s="2559"/>
      <c r="O309" s="3347"/>
    </row>
    <row r="310" spans="4:15" ht="15" customHeight="1">
      <c r="D310" s="2559"/>
      <c r="E310" s="2570" t="s">
        <v>1676</v>
      </c>
      <c r="F310" s="2572" cm="1">
        <f t="array" ref="F310:M310">_xlfn.ANCHORARRAY(G463)</f>
        <v>0.13491611176086585</v>
      </c>
      <c r="G310" s="2572">
        <v>0.12945888243376608</v>
      </c>
      <c r="H310" s="2572">
        <v>6.2463638418386563E-2</v>
      </c>
      <c r="I310" s="2572">
        <v>6.180282838131107E-2</v>
      </c>
      <c r="J310" s="2572">
        <v>6.1143157671885703E-2</v>
      </c>
      <c r="K310" s="2572">
        <v>6.048234763481021E-2</v>
      </c>
      <c r="L310" s="2572">
        <v>5.9821537597734703E-2</v>
      </c>
      <c r="M310" s="2572">
        <v>5.916072756065921E-2</v>
      </c>
      <c r="N310" s="2559"/>
      <c r="O310" s="3347"/>
    </row>
    <row r="311" spans="4:15" ht="15" customHeight="1">
      <c r="D311" s="2559"/>
      <c r="E311" s="2573" t="s">
        <v>1677</v>
      </c>
      <c r="F311" s="2574" cm="1">
        <f t="array" ref="F311:M311">_xlfn.ANCHORARRAY(F300)+_xlfn.ANCHORARRAY(F305)+_xlfn.ANCHORARRAY(F310)</f>
        <v>0.14478428565923476</v>
      </c>
      <c r="G311" s="2574">
        <v>2.2816225737112439</v>
      </c>
      <c r="H311" s="2574">
        <v>2.2145823265529443</v>
      </c>
      <c r="I311" s="2574">
        <v>2.2138800261927347</v>
      </c>
      <c r="J311" s="2574">
        <v>2.2132189965759483</v>
      </c>
      <c r="K311" s="2574">
        <v>2.2125996783881838</v>
      </c>
      <c r="L311" s="2574">
        <v>2.2119803602004189</v>
      </c>
      <c r="M311" s="2574">
        <v>2.2113610420126539</v>
      </c>
      <c r="N311" s="2559"/>
      <c r="O311" s="3347"/>
    </row>
    <row r="312" spans="4:15" ht="15" customHeight="1">
      <c r="D312" s="2559"/>
      <c r="E312" s="2566"/>
      <c r="F312" s="2575"/>
      <c r="G312" s="2575"/>
      <c r="H312" s="2575"/>
      <c r="I312" s="2575"/>
      <c r="J312" s="2575"/>
      <c r="K312" s="2575"/>
      <c r="L312" s="2575"/>
      <c r="M312" s="2563" t="s">
        <v>29</v>
      </c>
      <c r="N312" s="2559"/>
      <c r="O312" s="3100"/>
    </row>
    <row r="313" spans="4:15" ht="15" customHeight="1">
      <c r="D313" s="2559"/>
      <c r="E313" s="2564" t="s">
        <v>1678</v>
      </c>
      <c r="F313" s="2565">
        <v>2018</v>
      </c>
      <c r="G313" s="2565" t="s">
        <v>322</v>
      </c>
      <c r="H313" s="2565" t="s">
        <v>323</v>
      </c>
      <c r="I313" s="2565" t="s">
        <v>324</v>
      </c>
      <c r="J313" s="2565" t="s">
        <v>325</v>
      </c>
      <c r="K313" s="2565" t="s">
        <v>326</v>
      </c>
      <c r="L313" s="2565" t="s">
        <v>327</v>
      </c>
      <c r="M313" s="2565">
        <v>2050</v>
      </c>
      <c r="N313" s="2559"/>
      <c r="O313" s="3100"/>
    </row>
    <row r="314" spans="4:15" ht="15" customHeight="1">
      <c r="D314" s="2559"/>
      <c r="E314" s="2566" t="s">
        <v>522</v>
      </c>
      <c r="F314" s="2567"/>
      <c r="G314" s="2567"/>
      <c r="H314" s="2567"/>
      <c r="I314" s="2567"/>
      <c r="J314" s="2567"/>
      <c r="K314" s="2567"/>
      <c r="L314" s="2567"/>
      <c r="M314" s="2567"/>
      <c r="N314" s="2559"/>
      <c r="O314" s="3100"/>
    </row>
    <row r="315" spans="4:15" ht="15" customHeight="1">
      <c r="D315" s="2559"/>
      <c r="E315" s="2568" t="s">
        <v>694</v>
      </c>
      <c r="F315" s="2576" cm="1">
        <f t="array" ref="F315:M315">_xlfn.ANCHORARRAY(G481)</f>
        <v>0</v>
      </c>
      <c r="G315" s="2576">
        <v>0</v>
      </c>
      <c r="H315" s="2577">
        <v>0</v>
      </c>
      <c r="I315" s="2577">
        <v>0</v>
      </c>
      <c r="J315" s="2577">
        <v>0</v>
      </c>
      <c r="K315" s="2577">
        <v>0</v>
      </c>
      <c r="L315" s="2577">
        <v>0</v>
      </c>
      <c r="M315" s="2577">
        <v>0</v>
      </c>
      <c r="N315" s="2559"/>
      <c r="O315" s="3100"/>
    </row>
    <row r="316" spans="4:15" ht="15" customHeight="1">
      <c r="D316" s="2559"/>
      <c r="E316" s="2568" t="s">
        <v>695</v>
      </c>
      <c r="F316" s="2576" cm="1">
        <f t="array" ref="F316:M316">_xlfn.ANCHORARRAY(G492)</f>
        <v>0</v>
      </c>
      <c r="G316" s="2576">
        <v>0</v>
      </c>
      <c r="H316" s="2577">
        <v>0</v>
      </c>
      <c r="I316" s="2577">
        <v>0</v>
      </c>
      <c r="J316" s="2577">
        <v>0</v>
      </c>
      <c r="K316" s="2577">
        <v>0</v>
      </c>
      <c r="L316" s="2577">
        <v>0</v>
      </c>
      <c r="M316" s="2577">
        <v>0</v>
      </c>
      <c r="N316" s="2559"/>
    </row>
    <row r="317" spans="4:15" ht="15" customHeight="1">
      <c r="D317" s="2559"/>
      <c r="E317" s="2568" t="s">
        <v>1616</v>
      </c>
      <c r="F317" s="2576" cm="1">
        <f t="array" ref="F317:M317">_xlfn.ANCHORARRAY(G503)</f>
        <v>0</v>
      </c>
      <c r="G317" s="2576">
        <v>0</v>
      </c>
      <c r="H317" s="2577">
        <v>0</v>
      </c>
      <c r="I317" s="2577">
        <v>0</v>
      </c>
      <c r="J317" s="2577">
        <v>0</v>
      </c>
      <c r="K317" s="2577">
        <v>0</v>
      </c>
      <c r="L317" s="2577">
        <v>0</v>
      </c>
      <c r="M317" s="2577">
        <v>0</v>
      </c>
      <c r="N317" s="2559"/>
    </row>
    <row r="318" spans="4:15" ht="15" customHeight="1">
      <c r="D318" s="2559"/>
      <c r="E318" s="2570" t="s">
        <v>1675</v>
      </c>
      <c r="F318" s="2578" cm="1">
        <f t="array" ref="F318:M318">_xlfn.ANCHORARRAY(F315)*PCG_CO2+_xlfn.ANCHORARRAY(F316)*PCG_CH4+_xlfn.ANCHORARRAY(F317)*PCG_N2O</f>
        <v>0</v>
      </c>
      <c r="G318" s="2578">
        <v>0</v>
      </c>
      <c r="H318" s="2572">
        <v>0</v>
      </c>
      <c r="I318" s="2572">
        <v>0</v>
      </c>
      <c r="J318" s="2572">
        <v>0</v>
      </c>
      <c r="K318" s="2572">
        <v>0</v>
      </c>
      <c r="L318" s="2572">
        <v>0</v>
      </c>
      <c r="M318" s="2572">
        <v>0</v>
      </c>
      <c r="N318" s="2559"/>
    </row>
    <row r="319" spans="4:15" ht="15" customHeight="1">
      <c r="D319" s="2559"/>
      <c r="E319" s="2566" t="s">
        <v>525</v>
      </c>
      <c r="F319" s="2569"/>
      <c r="G319" s="2569"/>
      <c r="H319" s="2569"/>
      <c r="I319" s="2569"/>
      <c r="J319" s="2569"/>
      <c r="K319" s="2569"/>
      <c r="L319" s="2569"/>
      <c r="M319" s="2569"/>
      <c r="N319" s="2559"/>
    </row>
    <row r="320" spans="4:15" ht="15" customHeight="1">
      <c r="D320" s="2559"/>
      <c r="E320" s="2568" t="s">
        <v>694</v>
      </c>
      <c r="F320" s="2576" cm="1">
        <f t="array" ref="F320:M320">_xlfn.ANCHORARRAY(G482)</f>
        <v>0</v>
      </c>
      <c r="G320" s="2576">
        <v>0</v>
      </c>
      <c r="H320" s="2577">
        <v>0</v>
      </c>
      <c r="I320" s="2577">
        <v>0</v>
      </c>
      <c r="J320" s="2577">
        <v>0</v>
      </c>
      <c r="K320" s="2577">
        <v>0</v>
      </c>
      <c r="L320" s="2577">
        <v>0</v>
      </c>
      <c r="M320" s="2577">
        <v>0</v>
      </c>
      <c r="N320" s="2559"/>
    </row>
    <row r="321" spans="4:17" ht="15" customHeight="1">
      <c r="D321" s="2559"/>
      <c r="E321" s="2568" t="s">
        <v>695</v>
      </c>
      <c r="F321" s="2576" cm="1">
        <f t="array" ref="F321:M321">_xlfn.ANCHORARRAY(G493)</f>
        <v>0</v>
      </c>
      <c r="G321" s="2576">
        <v>0</v>
      </c>
      <c r="H321" s="2577">
        <v>0</v>
      </c>
      <c r="I321" s="2577">
        <v>0</v>
      </c>
      <c r="J321" s="2577">
        <v>0</v>
      </c>
      <c r="K321" s="2577">
        <v>0</v>
      </c>
      <c r="L321" s="2577">
        <v>0</v>
      </c>
      <c r="M321" s="2577">
        <v>0</v>
      </c>
      <c r="N321" s="2559"/>
    </row>
    <row r="322" spans="4:17" ht="15" customHeight="1">
      <c r="D322" s="2559"/>
      <c r="E322" s="2568" t="s">
        <v>1616</v>
      </c>
      <c r="F322" s="2576" cm="1">
        <f t="array" ref="F322:M322">_xlfn.ANCHORARRAY(G504)</f>
        <v>0</v>
      </c>
      <c r="G322" s="2576">
        <v>0</v>
      </c>
      <c r="H322" s="2577">
        <v>0</v>
      </c>
      <c r="I322" s="2577">
        <v>0</v>
      </c>
      <c r="J322" s="2577">
        <v>0</v>
      </c>
      <c r="K322" s="2577">
        <v>0</v>
      </c>
      <c r="L322" s="2577">
        <v>0</v>
      </c>
      <c r="M322" s="2577">
        <v>0</v>
      </c>
      <c r="N322" s="2559"/>
    </row>
    <row r="323" spans="4:17" ht="15" customHeight="1">
      <c r="D323" s="2559"/>
      <c r="E323" s="2570" t="s">
        <v>1679</v>
      </c>
      <c r="F323" s="2578" cm="1">
        <f t="array" ref="F323:M323">_xlfn.ANCHORARRAY(F320)*PCG_CO2+_xlfn.ANCHORARRAY(F321)*PCG_CH4+_xlfn.ANCHORARRAY(F322)*PCG_N2O</f>
        <v>0</v>
      </c>
      <c r="G323" s="2578">
        <v>0</v>
      </c>
      <c r="H323" s="2572">
        <v>0</v>
      </c>
      <c r="I323" s="2572">
        <v>0</v>
      </c>
      <c r="J323" s="2572">
        <v>0</v>
      </c>
      <c r="K323" s="2572">
        <v>0</v>
      </c>
      <c r="L323" s="2572">
        <v>0</v>
      </c>
      <c r="M323" s="2572">
        <v>0</v>
      </c>
      <c r="N323" s="2559"/>
    </row>
    <row r="324" spans="4:17" ht="15" customHeight="1">
      <c r="D324" s="2559"/>
      <c r="E324" s="2566" t="s">
        <v>526</v>
      </c>
      <c r="F324" s="2569"/>
      <c r="G324" s="2569"/>
      <c r="H324" s="2569"/>
      <c r="I324" s="2569"/>
      <c r="J324" s="2569"/>
      <c r="K324" s="2569"/>
      <c r="L324" s="2569"/>
      <c r="M324" s="2569"/>
      <c r="N324" s="2559"/>
    </row>
    <row r="325" spans="4:17" ht="15" customHeight="1">
      <c r="D325" s="2559"/>
      <c r="E325" s="2568" t="s">
        <v>694</v>
      </c>
      <c r="F325" s="2576" cm="1">
        <f t="array" ref="F325:M325">_xlfn.ANCHORARRAY(G483)</f>
        <v>0</v>
      </c>
      <c r="G325" s="2576">
        <v>0</v>
      </c>
      <c r="H325" s="2577">
        <v>0</v>
      </c>
      <c r="I325" s="2577">
        <v>0</v>
      </c>
      <c r="J325" s="2577">
        <v>0</v>
      </c>
      <c r="K325" s="2577">
        <v>0</v>
      </c>
      <c r="L325" s="2577">
        <v>0</v>
      </c>
      <c r="M325" s="2577">
        <v>0</v>
      </c>
      <c r="N325" s="2559"/>
    </row>
    <row r="326" spans="4:17" ht="15" customHeight="1">
      <c r="D326" s="2559"/>
      <c r="E326" s="2568" t="s">
        <v>695</v>
      </c>
      <c r="F326" s="2576" cm="1">
        <f t="array" ref="F326:M326">_xlfn.ANCHORARRAY(G494)</f>
        <v>0</v>
      </c>
      <c r="G326" s="2576">
        <v>0</v>
      </c>
      <c r="H326" s="2577">
        <v>0</v>
      </c>
      <c r="I326" s="2577">
        <v>0</v>
      </c>
      <c r="J326" s="2577">
        <v>0</v>
      </c>
      <c r="K326" s="2577">
        <v>0</v>
      </c>
      <c r="L326" s="2577">
        <v>0</v>
      </c>
      <c r="M326" s="2577">
        <v>0</v>
      </c>
      <c r="N326" s="2559"/>
    </row>
    <row r="327" spans="4:17" ht="15" customHeight="1">
      <c r="D327" s="2559"/>
      <c r="E327" s="2568" t="s">
        <v>1616</v>
      </c>
      <c r="F327" s="2576" cm="1">
        <f t="array" ref="F327:M327">_xlfn.ANCHORARRAY(G505)</f>
        <v>0</v>
      </c>
      <c r="G327" s="2576">
        <v>0</v>
      </c>
      <c r="H327" s="2577">
        <v>0</v>
      </c>
      <c r="I327" s="2577">
        <v>0</v>
      </c>
      <c r="J327" s="2577">
        <v>0</v>
      </c>
      <c r="K327" s="2577">
        <v>0</v>
      </c>
      <c r="L327" s="2577">
        <v>0</v>
      </c>
      <c r="M327" s="2577">
        <v>0</v>
      </c>
      <c r="N327" s="2559"/>
    </row>
    <row r="328" spans="4:17" ht="15" customHeight="1">
      <c r="D328" s="2559"/>
      <c r="E328" s="2570" t="s">
        <v>1680</v>
      </c>
      <c r="F328" s="2578" cm="1">
        <f t="array" ref="F328:M328">_xlfn.ANCHORARRAY(F325)*PCG_CO2+_xlfn.ANCHORARRAY(F326)*PCG_CH4+_xlfn.ANCHORARRAY(F327)*PCG_N2O</f>
        <v>0</v>
      </c>
      <c r="G328" s="2578">
        <v>0</v>
      </c>
      <c r="H328" s="2572">
        <v>0</v>
      </c>
      <c r="I328" s="2572">
        <v>0</v>
      </c>
      <c r="J328" s="2572">
        <v>0</v>
      </c>
      <c r="K328" s="2572">
        <v>0</v>
      </c>
      <c r="L328" s="2572">
        <v>0</v>
      </c>
      <c r="M328" s="2572">
        <v>0</v>
      </c>
      <c r="N328" s="2559"/>
    </row>
    <row r="329" spans="4:17" ht="15" customHeight="1">
      <c r="D329" s="2559"/>
      <c r="E329" s="2566" t="s">
        <v>527</v>
      </c>
      <c r="F329" s="2569"/>
      <c r="G329" s="2569"/>
      <c r="H329" s="2569"/>
      <c r="I329" s="2569"/>
      <c r="J329" s="2569"/>
      <c r="K329" s="2569"/>
      <c r="L329" s="2569"/>
      <c r="M329" s="2569"/>
      <c r="N329" s="2559"/>
    </row>
    <row r="330" spans="4:17" ht="15" customHeight="1">
      <c r="D330" s="2559"/>
      <c r="E330" s="2568" t="s">
        <v>694</v>
      </c>
      <c r="F330" s="2576" cm="1">
        <f t="array" ref="F330:M330">_xlfn.ANCHORARRAY(G484)</f>
        <v>0</v>
      </c>
      <c r="G330" s="2576">
        <v>0</v>
      </c>
      <c r="H330" s="2577">
        <v>0</v>
      </c>
      <c r="I330" s="2577">
        <v>0</v>
      </c>
      <c r="J330" s="2577">
        <v>0</v>
      </c>
      <c r="K330" s="2577">
        <v>0</v>
      </c>
      <c r="L330" s="2577">
        <v>0</v>
      </c>
      <c r="M330" s="2577">
        <v>0</v>
      </c>
      <c r="N330" s="2559"/>
      <c r="Q330" s="2605"/>
    </row>
    <row r="331" spans="4:17" ht="15" customHeight="1">
      <c r="D331" s="2559"/>
      <c r="E331" s="2568" t="s">
        <v>695</v>
      </c>
      <c r="F331" s="2576" cm="1">
        <f t="array" ref="F331:M331">_xlfn.ANCHORARRAY(G495)</f>
        <v>0</v>
      </c>
      <c r="G331" s="2576">
        <v>0</v>
      </c>
      <c r="H331" s="2577">
        <v>0</v>
      </c>
      <c r="I331" s="2577">
        <v>0</v>
      </c>
      <c r="J331" s="2577">
        <v>0</v>
      </c>
      <c r="K331" s="2577">
        <v>0</v>
      </c>
      <c r="L331" s="2577">
        <v>0</v>
      </c>
      <c r="M331" s="2577">
        <v>0</v>
      </c>
      <c r="N331" s="2559"/>
    </row>
    <row r="332" spans="4:17" ht="15" customHeight="1">
      <c r="D332" s="2559"/>
      <c r="E332" s="2568" t="s">
        <v>1616</v>
      </c>
      <c r="F332" s="2576" cm="1">
        <f t="array" ref="F332:M332">_xlfn.ANCHORARRAY(G506)</f>
        <v>0</v>
      </c>
      <c r="G332" s="2576">
        <v>0</v>
      </c>
      <c r="H332" s="2577">
        <v>0</v>
      </c>
      <c r="I332" s="2577">
        <v>0</v>
      </c>
      <c r="J332" s="2577">
        <v>0</v>
      </c>
      <c r="K332" s="2577">
        <v>0</v>
      </c>
      <c r="L332" s="2577">
        <v>0</v>
      </c>
      <c r="M332" s="2577">
        <v>0</v>
      </c>
      <c r="N332" s="2559"/>
    </row>
    <row r="333" spans="4:17" ht="15" customHeight="1">
      <c r="D333" s="2559"/>
      <c r="E333" s="2570" t="s">
        <v>1681</v>
      </c>
      <c r="F333" s="2578" cm="1">
        <f t="array" ref="F333:M333">_xlfn.ANCHORARRAY(F330)*PCG_CO2+_xlfn.ANCHORARRAY(F331)*PCG_CH4+_xlfn.ANCHORARRAY(F332)*PCG_N2O</f>
        <v>0</v>
      </c>
      <c r="G333" s="2578">
        <v>0</v>
      </c>
      <c r="H333" s="2572">
        <v>0</v>
      </c>
      <c r="I333" s="2572">
        <v>0</v>
      </c>
      <c r="J333" s="2572">
        <v>0</v>
      </c>
      <c r="K333" s="2572">
        <v>0</v>
      </c>
      <c r="L333" s="2572">
        <v>0</v>
      </c>
      <c r="M333" s="2572">
        <v>0</v>
      </c>
      <c r="N333" s="2559"/>
    </row>
    <row r="334" spans="4:17" ht="15" customHeight="1">
      <c r="D334" s="2559"/>
      <c r="E334" s="2566" t="s">
        <v>498</v>
      </c>
      <c r="F334" s="2569"/>
      <c r="G334" s="2569"/>
      <c r="H334" s="2569"/>
      <c r="I334" s="2569"/>
      <c r="J334" s="2569"/>
      <c r="K334" s="2569"/>
      <c r="L334" s="2569"/>
      <c r="M334" s="2569"/>
      <c r="N334" s="2559"/>
    </row>
    <row r="335" spans="4:17" ht="15" customHeight="1">
      <c r="D335" s="2559"/>
      <c r="E335" s="2568" t="s">
        <v>694</v>
      </c>
      <c r="F335" s="2576" cm="1">
        <f t="array" ref="F335:M335">_xlfn.ANCHORARRAY(G485)</f>
        <v>0</v>
      </c>
      <c r="G335" s="2576">
        <v>0</v>
      </c>
      <c r="H335" s="2577">
        <v>0</v>
      </c>
      <c r="I335" s="2577">
        <v>0</v>
      </c>
      <c r="J335" s="2577">
        <v>0</v>
      </c>
      <c r="K335" s="2577">
        <v>0</v>
      </c>
      <c r="L335" s="2577">
        <v>0</v>
      </c>
      <c r="M335" s="2577">
        <v>0</v>
      </c>
      <c r="N335" s="2559"/>
    </row>
    <row r="336" spans="4:17" ht="15" customHeight="1">
      <c r="D336" s="2559"/>
      <c r="E336" s="2568" t="s">
        <v>695</v>
      </c>
      <c r="F336" s="2576" cm="1">
        <f t="array" ref="F336:M336">_xlfn.ANCHORARRAY(G496)</f>
        <v>0</v>
      </c>
      <c r="G336" s="2576">
        <v>0</v>
      </c>
      <c r="H336" s="2577">
        <v>0</v>
      </c>
      <c r="I336" s="2577">
        <v>0</v>
      </c>
      <c r="J336" s="2577">
        <v>0</v>
      </c>
      <c r="K336" s="2577">
        <v>0</v>
      </c>
      <c r="L336" s="2577">
        <v>0</v>
      </c>
      <c r="M336" s="2577">
        <v>0</v>
      </c>
      <c r="N336" s="2559"/>
    </row>
    <row r="337" spans="4:18" ht="15" customHeight="1">
      <c r="D337" s="2559"/>
      <c r="E337" s="2568" t="s">
        <v>1616</v>
      </c>
      <c r="F337" s="2576" cm="1">
        <f t="array" ref="F337:M337">_xlfn.ANCHORARRAY(G507)</f>
        <v>0</v>
      </c>
      <c r="G337" s="2576">
        <v>0</v>
      </c>
      <c r="H337" s="2577">
        <v>0</v>
      </c>
      <c r="I337" s="2577">
        <v>0</v>
      </c>
      <c r="J337" s="2577">
        <v>0</v>
      </c>
      <c r="K337" s="2577">
        <v>0</v>
      </c>
      <c r="L337" s="2577">
        <v>0</v>
      </c>
      <c r="M337" s="2577">
        <v>0</v>
      </c>
      <c r="N337" s="2559"/>
    </row>
    <row r="338" spans="4:18" ht="15" customHeight="1">
      <c r="D338" s="2559"/>
      <c r="E338" s="2570" t="s">
        <v>1682</v>
      </c>
      <c r="F338" s="2578" cm="1">
        <f t="array" ref="F338:M338">_xlfn.ANCHORARRAY(F335)*PCG_CO2+_xlfn.ANCHORARRAY(F336)*PCG_CH4+_xlfn.ANCHORARRAY(F337)*PCG_N2O</f>
        <v>0</v>
      </c>
      <c r="G338" s="2578">
        <v>0</v>
      </c>
      <c r="H338" s="2572">
        <v>0</v>
      </c>
      <c r="I338" s="2572">
        <v>0</v>
      </c>
      <c r="J338" s="2572">
        <v>0</v>
      </c>
      <c r="K338" s="2572">
        <v>0</v>
      </c>
      <c r="L338" s="2572">
        <v>0</v>
      </c>
      <c r="M338" s="2572">
        <v>0</v>
      </c>
      <c r="N338" s="2559"/>
    </row>
    <row r="339" spans="4:18" ht="15" customHeight="1">
      <c r="D339" s="2559"/>
      <c r="E339" s="2566" t="s">
        <v>528</v>
      </c>
      <c r="F339" s="2569"/>
      <c r="G339" s="2569"/>
      <c r="H339" s="2569"/>
      <c r="I339" s="2569"/>
      <c r="J339" s="2569"/>
      <c r="K339" s="2569"/>
      <c r="L339" s="2569"/>
      <c r="M339" s="2569"/>
      <c r="N339" s="2559"/>
    </row>
    <row r="340" spans="4:18" ht="15" customHeight="1">
      <c r="D340" s="2559"/>
      <c r="E340" s="2568" t="s">
        <v>694</v>
      </c>
      <c r="F340" s="2576" cm="1">
        <f t="array" ref="F340:M340">_xlfn.ANCHORARRAY(G486)</f>
        <v>0</v>
      </c>
      <c r="G340" s="2576">
        <v>0</v>
      </c>
      <c r="H340" s="2577">
        <v>0</v>
      </c>
      <c r="I340" s="2577">
        <v>0</v>
      </c>
      <c r="J340" s="2577">
        <v>0</v>
      </c>
      <c r="K340" s="2577">
        <v>0</v>
      </c>
      <c r="L340" s="2577">
        <v>0</v>
      </c>
      <c r="M340" s="2577">
        <v>0</v>
      </c>
      <c r="N340" s="2559"/>
    </row>
    <row r="341" spans="4:18" ht="15" customHeight="1">
      <c r="D341" s="2559"/>
      <c r="E341" s="2568" t="s">
        <v>695</v>
      </c>
      <c r="F341" s="2576" cm="1">
        <f t="array" ref="F341:M341">_xlfn.ANCHORARRAY(G497)</f>
        <v>0</v>
      </c>
      <c r="G341" s="2576">
        <v>0</v>
      </c>
      <c r="H341" s="2577">
        <v>0</v>
      </c>
      <c r="I341" s="2577">
        <v>0</v>
      </c>
      <c r="J341" s="2577">
        <v>0</v>
      </c>
      <c r="K341" s="2577">
        <v>0</v>
      </c>
      <c r="L341" s="2577">
        <v>0</v>
      </c>
      <c r="M341" s="2577">
        <v>0</v>
      </c>
      <c r="N341" s="2559"/>
    </row>
    <row r="342" spans="4:18" ht="15" customHeight="1">
      <c r="D342" s="2559"/>
      <c r="E342" s="2568" t="s">
        <v>1616</v>
      </c>
      <c r="F342" s="2576" cm="1">
        <f t="array" ref="F342:M342">_xlfn.ANCHORARRAY(G508)</f>
        <v>0</v>
      </c>
      <c r="G342" s="2576">
        <v>0</v>
      </c>
      <c r="H342" s="2577">
        <v>0</v>
      </c>
      <c r="I342" s="2577">
        <v>0</v>
      </c>
      <c r="J342" s="2577">
        <v>0</v>
      </c>
      <c r="K342" s="2577">
        <v>0</v>
      </c>
      <c r="L342" s="2577">
        <v>0</v>
      </c>
      <c r="M342" s="2577">
        <v>0</v>
      </c>
      <c r="N342" s="2559"/>
    </row>
    <row r="343" spans="4:18" ht="15" customHeight="1">
      <c r="D343" s="2559"/>
      <c r="E343" s="2570" t="s">
        <v>1683</v>
      </c>
      <c r="F343" s="2578" cm="1">
        <f t="array" ref="F343:M343">_xlfn.ANCHORARRAY(F340)*PCG_CO2+_xlfn.ANCHORARRAY(F341)*PCG_CH4+_xlfn.ANCHORARRAY(F342)*PCG_N2O</f>
        <v>0</v>
      </c>
      <c r="G343" s="2578">
        <v>0</v>
      </c>
      <c r="H343" s="2572">
        <v>0</v>
      </c>
      <c r="I343" s="2572">
        <v>0</v>
      </c>
      <c r="J343" s="2572">
        <v>0</v>
      </c>
      <c r="K343" s="2572">
        <v>0</v>
      </c>
      <c r="L343" s="2572">
        <v>0</v>
      </c>
      <c r="M343" s="2572">
        <v>0</v>
      </c>
      <c r="N343" s="2559"/>
    </row>
    <row r="344" spans="4:18" ht="15" customHeight="1">
      <c r="D344" s="2559"/>
      <c r="E344" s="2566" t="s">
        <v>502</v>
      </c>
      <c r="F344" s="2569"/>
      <c r="G344" s="2569"/>
      <c r="H344" s="2569"/>
      <c r="I344" s="2569"/>
      <c r="J344" s="2569"/>
      <c r="K344" s="2569"/>
      <c r="L344" s="2569"/>
      <c r="M344" s="2569"/>
      <c r="N344" s="2559"/>
    </row>
    <row r="345" spans="4:18" ht="15" customHeight="1">
      <c r="D345" s="2559"/>
      <c r="E345" s="2568" t="s">
        <v>694</v>
      </c>
      <c r="F345" s="2576" cm="1">
        <f t="array" ref="F345:M345">_xlfn.ANCHORARRAY(G487)</f>
        <v>0</v>
      </c>
      <c r="G345" s="2576">
        <v>0</v>
      </c>
      <c r="H345" s="2577">
        <v>0</v>
      </c>
      <c r="I345" s="2577">
        <v>0</v>
      </c>
      <c r="J345" s="2577">
        <v>0</v>
      </c>
      <c r="K345" s="2577">
        <v>0</v>
      </c>
      <c r="L345" s="2577">
        <v>0</v>
      </c>
      <c r="M345" s="2577">
        <v>0</v>
      </c>
      <c r="N345" s="2559"/>
    </row>
    <row r="346" spans="4:18" ht="15" customHeight="1">
      <c r="D346" s="2559"/>
      <c r="E346" s="2568" t="s">
        <v>695</v>
      </c>
      <c r="F346" s="2576" cm="1">
        <f t="array" ref="F346:M346">_xlfn.ANCHORARRAY(G498)</f>
        <v>0</v>
      </c>
      <c r="G346" s="2576">
        <v>0</v>
      </c>
      <c r="H346" s="2577">
        <v>0</v>
      </c>
      <c r="I346" s="2577">
        <v>0</v>
      </c>
      <c r="J346" s="2577">
        <v>0</v>
      </c>
      <c r="K346" s="2577">
        <v>0</v>
      </c>
      <c r="L346" s="2577">
        <v>0</v>
      </c>
      <c r="M346" s="2577">
        <v>0</v>
      </c>
      <c r="N346" s="2559"/>
    </row>
    <row r="347" spans="4:18" ht="15" customHeight="1">
      <c r="D347" s="2559"/>
      <c r="E347" s="2568" t="s">
        <v>1616</v>
      </c>
      <c r="F347" s="2576" cm="1">
        <f t="array" ref="F347:M347">_xlfn.ANCHORARRAY(G509)</f>
        <v>0</v>
      </c>
      <c r="G347" s="2576">
        <v>0</v>
      </c>
      <c r="H347" s="2577">
        <v>0</v>
      </c>
      <c r="I347" s="2577">
        <v>0</v>
      </c>
      <c r="J347" s="2577">
        <v>0</v>
      </c>
      <c r="K347" s="2577">
        <v>0</v>
      </c>
      <c r="L347" s="2577">
        <v>0</v>
      </c>
      <c r="M347" s="2577">
        <v>0</v>
      </c>
      <c r="N347" s="2559"/>
    </row>
    <row r="348" spans="4:18" ht="15" customHeight="1">
      <c r="D348" s="2559"/>
      <c r="E348" s="2570" t="s">
        <v>1684</v>
      </c>
      <c r="F348" s="2578" cm="1">
        <f t="array" ref="F348:M348">_xlfn.ANCHORARRAY(F345)*PCG_CO2+_xlfn.ANCHORARRAY(F346)*PCG_CH4+_xlfn.ANCHORARRAY(F347)*PCG_N2O</f>
        <v>0</v>
      </c>
      <c r="G348" s="2578">
        <v>0</v>
      </c>
      <c r="H348" s="2572">
        <v>0</v>
      </c>
      <c r="I348" s="2572">
        <v>0</v>
      </c>
      <c r="J348" s="2572">
        <v>0</v>
      </c>
      <c r="K348" s="2572">
        <v>0</v>
      </c>
      <c r="L348" s="2572">
        <v>0</v>
      </c>
      <c r="M348" s="2572">
        <v>0</v>
      </c>
      <c r="N348" s="2559"/>
    </row>
    <row r="349" spans="4:18" ht="15" customHeight="1">
      <c r="D349" s="2559"/>
      <c r="E349" s="2573" t="s">
        <v>1685</v>
      </c>
      <c r="F349" s="2574" cm="1">
        <f t="array" ref="F349:M349">_xlfn.ANCHORARRAY(G513)</f>
        <v>0</v>
      </c>
      <c r="G349" s="2574">
        <v>0</v>
      </c>
      <c r="H349" s="2574">
        <v>0</v>
      </c>
      <c r="I349" s="2574">
        <v>0</v>
      </c>
      <c r="J349" s="2574">
        <v>0</v>
      </c>
      <c r="K349" s="2574">
        <v>0</v>
      </c>
      <c r="L349" s="2574">
        <v>0</v>
      </c>
      <c r="M349" s="2574">
        <v>0</v>
      </c>
      <c r="N349" s="2559"/>
    </row>
    <row r="350" spans="4:18" ht="15" customHeight="1">
      <c r="D350" s="2559"/>
      <c r="E350" s="2579"/>
      <c r="F350" s="2580"/>
      <c r="G350" s="2580"/>
      <c r="H350" s="2580"/>
      <c r="I350" s="2580"/>
      <c r="J350" s="2580"/>
      <c r="K350" s="2580"/>
      <c r="L350" s="2580"/>
      <c r="M350" s="2580"/>
      <c r="N350" s="2559"/>
    </row>
    <row r="351" spans="4:18" ht="15" customHeight="1">
      <c r="D351" s="2559"/>
      <c r="E351" s="2573" t="s">
        <v>1686</v>
      </c>
      <c r="F351" s="2574" cm="1">
        <f t="array" ref="F351:M351">_xlfn.ANCHORARRAY(F311)+_xlfn.ANCHORARRAY(F349)</f>
        <v>0.14478428565923476</v>
      </c>
      <c r="G351" s="2574">
        <v>2.2816225737112439</v>
      </c>
      <c r="H351" s="2574">
        <v>2.2145823265529443</v>
      </c>
      <c r="I351" s="2574">
        <v>2.2138800261927347</v>
      </c>
      <c r="J351" s="2574">
        <v>2.2132189965759483</v>
      </c>
      <c r="K351" s="2574">
        <v>2.2125996783881838</v>
      </c>
      <c r="L351" s="2574">
        <v>2.2119803602004189</v>
      </c>
      <c r="M351" s="2574">
        <v>2.2113610420126539</v>
      </c>
      <c r="N351" s="2559"/>
      <c r="R351" s="2613"/>
    </row>
    <row r="352" spans="4:18" ht="15" customHeight="1">
      <c r="D352" s="2559"/>
      <c r="E352" s="2579"/>
      <c r="F352" s="2580"/>
      <c r="G352" s="2580"/>
      <c r="H352" s="2580"/>
      <c r="I352" s="2580"/>
      <c r="J352" s="2580"/>
      <c r="K352" s="2580"/>
      <c r="L352" s="2580"/>
      <c r="M352" s="2580"/>
      <c r="N352" s="2559"/>
    </row>
    <row r="353" spans="4:14" ht="15" customHeight="1">
      <c r="D353" s="2559"/>
      <c r="E353" s="2566"/>
      <c r="F353" s="2575"/>
      <c r="G353" s="2575"/>
      <c r="H353" s="2575"/>
      <c r="I353" s="2575"/>
      <c r="J353" s="2575"/>
      <c r="K353" s="2575"/>
      <c r="L353" s="2575"/>
      <c r="M353" s="2575"/>
      <c r="N353" s="2559"/>
    </row>
    <row r="354" spans="4:14" ht="15" customHeight="1">
      <c r="D354" s="695"/>
      <c r="E354" s="695"/>
      <c r="F354" s="695"/>
      <c r="G354" s="695"/>
      <c r="H354" s="695"/>
      <c r="I354" s="695"/>
      <c r="J354" s="695"/>
      <c r="K354" s="695"/>
      <c r="L354" s="695"/>
      <c r="M354" s="695"/>
      <c r="N354" s="695"/>
    </row>
    <row r="355" spans="4:14" ht="15" customHeight="1">
      <c r="D355" s="2581" t="s">
        <v>797</v>
      </c>
      <c r="E355" s="2582"/>
      <c r="F355" s="2582"/>
      <c r="G355" s="2582"/>
      <c r="H355" s="2582"/>
      <c r="I355" s="2582"/>
      <c r="J355" s="2582"/>
      <c r="K355" s="2582"/>
      <c r="L355" s="2582"/>
      <c r="M355" s="2582"/>
      <c r="N355" s="2582"/>
    </row>
    <row r="356" spans="4:14" ht="15" customHeight="1">
      <c r="D356" s="2583"/>
      <c r="E356" s="2583"/>
      <c r="F356" s="2583"/>
      <c r="G356" s="2583"/>
      <c r="H356" s="2583"/>
      <c r="I356" s="2583"/>
      <c r="J356" s="2583"/>
      <c r="K356" s="2583"/>
      <c r="L356" s="2583"/>
      <c r="M356" s="2583"/>
      <c r="N356" s="2583"/>
    </row>
    <row r="357" spans="4:14" ht="15" customHeight="1">
      <c r="D357" s="2583"/>
      <c r="E357" s="2584" t="s">
        <v>1687</v>
      </c>
      <c r="F357" s="2583"/>
      <c r="G357" s="2583"/>
      <c r="H357" s="2583"/>
      <c r="I357" s="2583"/>
      <c r="J357" s="2583"/>
      <c r="K357" s="2583"/>
      <c r="L357" s="2583"/>
      <c r="M357" s="2584" t="s">
        <v>803</v>
      </c>
      <c r="N357" s="2584"/>
    </row>
    <row r="358" spans="4:14" ht="15" customHeight="1">
      <c r="D358" s="2583"/>
      <c r="E358" s="2585" t="s">
        <v>699</v>
      </c>
      <c r="F358" s="2585">
        <v>2018</v>
      </c>
      <c r="G358" s="2585" t="s">
        <v>322</v>
      </c>
      <c r="H358" s="2585" t="s">
        <v>323</v>
      </c>
      <c r="I358" s="2585" t="s">
        <v>324</v>
      </c>
      <c r="J358" s="2585" t="s">
        <v>325</v>
      </c>
      <c r="K358" s="2585" t="s">
        <v>326</v>
      </c>
      <c r="L358" s="2585" t="s">
        <v>327</v>
      </c>
      <c r="M358" s="2585" t="s">
        <v>328</v>
      </c>
      <c r="N358" s="2586"/>
    </row>
    <row r="359" spans="4:14" ht="15" customHeight="1">
      <c r="D359" s="2583"/>
      <c r="E359" s="3102" t="s">
        <v>1688</v>
      </c>
      <c r="F359" s="2587" cm="1">
        <f t="array" ref="F359:M359">_xlfn.ANCHORARRAY(F191)+_xlfn.ANCHORARRAY(F196)+_xlfn.ANCHORARRAY(F201)</f>
        <v>263883.83017440722</v>
      </c>
      <c r="G359" s="2587">
        <v>261679.88319055297</v>
      </c>
      <c r="H359" s="2587">
        <v>129240.19967344888</v>
      </c>
      <c r="I359" s="2587">
        <v>126184.5330851063</v>
      </c>
      <c r="J359" s="2587">
        <v>124892.93504143029</v>
      </c>
      <c r="K359" s="2587">
        <v>129097.09636714427</v>
      </c>
      <c r="L359" s="2587">
        <v>133393.90616619057</v>
      </c>
      <c r="M359" s="2587">
        <v>137779.80126626135</v>
      </c>
      <c r="N359" s="2588"/>
    </row>
    <row r="360" spans="4:14" ht="15" customHeight="1">
      <c r="D360" s="2583"/>
      <c r="E360" s="2583" t="s">
        <v>1689</v>
      </c>
      <c r="F360" s="2588" cm="1">
        <f t="array" ref="F360:M360">_xlfn.ANCHORARRAY(F192)+_xlfn.ANCHORARRAY(F197)+_xlfn.ANCHORARRAY(F202)</f>
        <v>251523.57657668323</v>
      </c>
      <c r="G360" s="2588">
        <v>243921.09860206826</v>
      </c>
      <c r="H360" s="2588">
        <v>118862.85288170988</v>
      </c>
      <c r="I360" s="2588">
        <v>115994.33280459289</v>
      </c>
      <c r="J360" s="2588">
        <v>114790.63063426157</v>
      </c>
      <c r="K360" s="2588">
        <v>115509.06236676828</v>
      </c>
      <c r="L360" s="2588">
        <v>116247.94955837967</v>
      </c>
      <c r="M360" s="2588">
        <v>117008.09857979091</v>
      </c>
      <c r="N360" s="2588"/>
    </row>
    <row r="361" spans="4:14" ht="15" customHeight="1">
      <c r="D361" s="2583"/>
      <c r="E361" s="3103" t="s">
        <v>1690</v>
      </c>
      <c r="F361" s="3104" cm="1">
        <f t="array" ref="F361:M361">_xlfn.ANCHORARRAY(F193)+_xlfn.ANCHORARRAY(F198)+_xlfn.ANCHORARRAY(F203)</f>
        <v>209538.55226677703</v>
      </c>
      <c r="G361" s="3104">
        <v>158918.14792754513</v>
      </c>
      <c r="H361" s="3104">
        <v>71459.659487076715</v>
      </c>
      <c r="I361" s="3104">
        <v>80213.039878338532</v>
      </c>
      <c r="J361" s="3104">
        <v>71391.883725048974</v>
      </c>
      <c r="K361" s="3104">
        <v>58059.531825507176</v>
      </c>
      <c r="L361" s="3104">
        <v>47504.501063581243</v>
      </c>
      <c r="M361" s="3104">
        <v>39260.032879194645</v>
      </c>
      <c r="N361" s="2588"/>
    </row>
    <row r="362" spans="4:14" ht="15" customHeight="1">
      <c r="D362" s="2589"/>
      <c r="E362" s="2589"/>
      <c r="F362" s="2589"/>
      <c r="G362" s="2589"/>
      <c r="H362" s="2589"/>
      <c r="I362" s="2589"/>
      <c r="J362" s="2589"/>
      <c r="K362" s="2589"/>
      <c r="L362" s="2589"/>
      <c r="M362" s="2589"/>
      <c r="N362" s="2589"/>
    </row>
    <row r="366" spans="4:14" ht="15" customHeight="1">
      <c r="D366" s="2590"/>
      <c r="E366" s="2590" t="s">
        <v>1691</v>
      </c>
    </row>
    <row r="367" spans="4:14" ht="15" customHeight="1">
      <c r="D367" s="2590"/>
      <c r="E367" s="2590"/>
      <c r="G367" s="694"/>
      <c r="N367" s="2591" t="s">
        <v>1653</v>
      </c>
    </row>
    <row r="368" spans="4:14" ht="15" customHeight="1">
      <c r="E368" s="2592" t="s">
        <v>1081</v>
      </c>
      <c r="F368" s="2592"/>
      <c r="G368" s="2592">
        <v>2018</v>
      </c>
      <c r="H368" s="2592">
        <v>2020</v>
      </c>
      <c r="I368" s="2592">
        <v>2025</v>
      </c>
      <c r="J368" s="2592">
        <v>2030</v>
      </c>
      <c r="K368" s="2592">
        <v>2035</v>
      </c>
      <c r="L368" s="2592">
        <v>2040</v>
      </c>
      <c r="M368" s="2592">
        <v>2045</v>
      </c>
      <c r="N368" s="2592">
        <v>2050</v>
      </c>
    </row>
    <row r="369" spans="4:16" ht="15" customHeight="1">
      <c r="E369" s="2593" t="s">
        <v>1692</v>
      </c>
      <c r="F369" s="2594"/>
      <c r="G369" s="2948" cm="1">
        <f t="array" ref="G369:N369">INDEX(SF_PRODUCCION_CRUDO,0)*UNIDAD_KBI_A_BL*UNIDAD_BI_A_GAL*UNIDAD_GAL_A_IT/1000</f>
        <v>0</v>
      </c>
      <c r="H369" s="2948">
        <v>0</v>
      </c>
      <c r="I369" s="2948">
        <v>0</v>
      </c>
      <c r="J369" s="2948">
        <v>0</v>
      </c>
      <c r="K369" s="2948">
        <v>0</v>
      </c>
      <c r="L369" s="2948">
        <v>0</v>
      </c>
      <c r="M369" s="2948">
        <v>0</v>
      </c>
      <c r="N369" s="2948">
        <v>0</v>
      </c>
    </row>
    <row r="370" spans="4:16" ht="15" customHeight="1">
      <c r="E370" s="2596" t="s">
        <v>1693</v>
      </c>
      <c r="G370" s="2597" cm="1">
        <f t="array" ref="G370:N370">_xlfn.ANCHORARRAY(G369)*SF_PORCENTAJE_GLP_PRODUCIDO</f>
        <v>0</v>
      </c>
      <c r="H370" s="2597">
        <v>0</v>
      </c>
      <c r="I370" s="2597">
        <v>0</v>
      </c>
      <c r="J370" s="2597">
        <v>0</v>
      </c>
      <c r="K370" s="2597">
        <v>0</v>
      </c>
      <c r="L370" s="2597">
        <v>0</v>
      </c>
      <c r="M370" s="2597">
        <v>0</v>
      </c>
      <c r="N370" s="2597">
        <v>0</v>
      </c>
      <c r="P370" s="2950"/>
    </row>
    <row r="371" spans="4:16" ht="15" customHeight="1">
      <c r="E371" s="2596" t="s">
        <v>1694</v>
      </c>
      <c r="G371" s="2597" cm="1">
        <f t="array" ref="G371:N371">_xlfn.ANCHORARRAY(G369)*SF_PORCENTAJE_CRUDO_TRANSPORTADO_OLEODUCTO</f>
        <v>0</v>
      </c>
      <c r="H371" s="2597">
        <v>0</v>
      </c>
      <c r="I371" s="2597">
        <v>0</v>
      </c>
      <c r="J371" s="2597">
        <v>0</v>
      </c>
      <c r="K371" s="2597">
        <v>0</v>
      </c>
      <c r="L371" s="2597">
        <v>0</v>
      </c>
      <c r="M371" s="2597">
        <v>0</v>
      </c>
      <c r="N371" s="2597">
        <v>0</v>
      </c>
      <c r="P371" s="2966"/>
    </row>
    <row r="372" spans="4:16" ht="15" customHeight="1">
      <c r="E372" s="2598" t="s">
        <v>1695</v>
      </c>
      <c r="F372" s="2599"/>
      <c r="G372" s="2600" cm="1">
        <f t="array" ref="G372:N372">_xlfn.ANCHORARRAY(G369)*SF_PORCENTAJE_CRUDO_REFINERIA</f>
        <v>0</v>
      </c>
      <c r="H372" s="2600">
        <v>0</v>
      </c>
      <c r="I372" s="2600">
        <v>0</v>
      </c>
      <c r="J372" s="2600">
        <v>0</v>
      </c>
      <c r="K372" s="2600">
        <v>0</v>
      </c>
      <c r="L372" s="2600">
        <v>0</v>
      </c>
      <c r="M372" s="2600">
        <v>0</v>
      </c>
      <c r="N372" s="2600">
        <v>0</v>
      </c>
    </row>
    <row r="373" spans="4:16" ht="15" customHeight="1">
      <c r="E373" s="2596"/>
      <c r="G373" s="2601"/>
      <c r="H373" s="2601"/>
      <c r="I373" s="2601"/>
      <c r="J373" s="2601"/>
      <c r="K373" s="2601"/>
      <c r="L373" s="2601"/>
      <c r="M373" s="2601"/>
      <c r="N373" s="2601"/>
    </row>
    <row r="374" spans="4:16" ht="15" customHeight="1">
      <c r="E374" s="2602"/>
      <c r="H374" s="2603"/>
      <c r="I374" s="2603"/>
      <c r="J374" s="2603"/>
      <c r="K374" s="2603"/>
      <c r="L374" s="2603"/>
      <c r="M374" s="2603"/>
      <c r="N374" s="2604" t="s">
        <v>1653</v>
      </c>
    </row>
    <row r="375" spans="4:16" ht="15" customHeight="1">
      <c r="E375" s="2592" t="s">
        <v>1696</v>
      </c>
      <c r="F375" s="2592"/>
      <c r="G375" s="2592">
        <v>2018</v>
      </c>
      <c r="H375" s="2592">
        <v>2020</v>
      </c>
      <c r="I375" s="2592">
        <v>2025</v>
      </c>
      <c r="J375" s="2592">
        <v>2030</v>
      </c>
      <c r="K375" s="2592">
        <v>2035</v>
      </c>
      <c r="L375" s="2592">
        <v>2040</v>
      </c>
      <c r="M375" s="2592">
        <v>2045</v>
      </c>
      <c r="N375" s="2592">
        <v>2050</v>
      </c>
      <c r="P375" s="2950"/>
    </row>
    <row r="376" spans="4:16" ht="15" customHeight="1">
      <c r="E376" s="2593" t="s">
        <v>1697</v>
      </c>
      <c r="F376" s="2594"/>
      <c r="G376" s="2595" cm="1">
        <f t="array" ref="G376:N376">INDEX(SF_PRODUCCION_GAS_NATURAL,0)*UNIDAD_MPC_A_M3</f>
        <v>17944015.900474224</v>
      </c>
      <c r="H376" s="2595">
        <v>10307048.034145584</v>
      </c>
      <c r="I376" s="2595">
        <v>6008945.3389583537</v>
      </c>
      <c r="J376" s="2595">
        <v>2046340.5492352978</v>
      </c>
      <c r="K376" s="2595">
        <v>1916555.7606776902</v>
      </c>
      <c r="L376" s="2595">
        <v>5879306.3104957119</v>
      </c>
      <c r="M376" s="2595">
        <v>9842056.860313734</v>
      </c>
      <c r="N376" s="2595">
        <v>13804807.410131754</v>
      </c>
      <c r="P376" s="2966"/>
    </row>
    <row r="377" spans="4:16" ht="15" customHeight="1">
      <c r="E377" s="2596" t="s">
        <v>1698</v>
      </c>
      <c r="G377" s="2597" cm="1">
        <f t="array" ref="G377:N377">_xlfn.ANCHORARRAY(G376)*SF_PORCENTAJE_TRANSMISION_ALMACENAMIENTO</f>
        <v>3109600.9792738473</v>
      </c>
      <c r="H377" s="2597">
        <v>1786155.7211145055</v>
      </c>
      <c r="I377" s="2597">
        <v>1041317.7526182474</v>
      </c>
      <c r="J377" s="2597">
        <v>354619.75798080378</v>
      </c>
      <c r="K377" s="2597">
        <v>332128.75553006923</v>
      </c>
      <c r="L377" s="2597">
        <v>1018852.0096042275</v>
      </c>
      <c r="M377" s="2597">
        <v>1705575.2636783859</v>
      </c>
      <c r="N377" s="2597">
        <v>2392298.517752544</v>
      </c>
    </row>
    <row r="378" spans="4:16" ht="15" customHeight="1">
      <c r="E378" s="2598" t="s">
        <v>1699</v>
      </c>
      <c r="F378" s="2599"/>
      <c r="G378" s="2600" cm="1">
        <f t="array" ref="G378:N378">_xlfn.ANCHORARRAY(G376)*SF_PORCENTAJE_PROCESAMIENTO_GAS</f>
        <v>6100965.4061612366</v>
      </c>
      <c r="H378" s="2600">
        <v>3504396.3316094987</v>
      </c>
      <c r="I378" s="2600">
        <v>2043041.4152458403</v>
      </c>
      <c r="J378" s="2600">
        <v>695755.78674000129</v>
      </c>
      <c r="K378" s="2600">
        <v>651628.95863041468</v>
      </c>
      <c r="L378" s="2600">
        <v>1998964.1455685422</v>
      </c>
      <c r="M378" s="2600">
        <v>3346299.3325066697</v>
      </c>
      <c r="N378" s="2600">
        <v>4693634.5194447972</v>
      </c>
    </row>
    <row r="379" spans="4:16" ht="15" customHeight="1">
      <c r="E379" s="2596"/>
      <c r="G379" s="2603"/>
      <c r="H379" s="2603"/>
      <c r="I379" s="2603"/>
      <c r="J379" s="2603"/>
      <c r="K379" s="2603"/>
      <c r="L379" s="2603"/>
      <c r="M379" s="2603"/>
      <c r="N379" s="2603"/>
    </row>
    <row r="380" spans="4:16" ht="15" customHeight="1">
      <c r="D380" s="2590"/>
      <c r="E380" s="2590" t="s">
        <v>1700</v>
      </c>
    </row>
    <row r="381" spans="4:16" ht="15" customHeight="1">
      <c r="D381" s="2605"/>
      <c r="E381" s="2606"/>
      <c r="G381" s="2603"/>
      <c r="H381" s="2603"/>
      <c r="I381" s="2603"/>
      <c r="J381" s="2603"/>
      <c r="K381" s="2603"/>
      <c r="L381" s="2603"/>
      <c r="M381" s="2603"/>
      <c r="N381" s="2607" t="s">
        <v>1701</v>
      </c>
    </row>
    <row r="382" spans="4:16" ht="15" customHeight="1">
      <c r="D382" s="2605"/>
      <c r="E382" s="2592" t="s">
        <v>694</v>
      </c>
      <c r="F382" s="2592"/>
      <c r="G382" s="2592">
        <v>2018</v>
      </c>
      <c r="H382" s="2592">
        <v>2020</v>
      </c>
      <c r="I382" s="2592">
        <v>2025</v>
      </c>
      <c r="J382" s="2592">
        <v>2030</v>
      </c>
      <c r="K382" s="2592">
        <v>2035</v>
      </c>
      <c r="L382" s="2592">
        <v>2040</v>
      </c>
      <c r="M382" s="2592">
        <v>2045</v>
      </c>
      <c r="N382" s="2592">
        <v>2050</v>
      </c>
    </row>
    <row r="383" spans="4:16" ht="15" customHeight="1">
      <c r="D383" s="2605"/>
      <c r="E383" s="679" t="s">
        <v>1471</v>
      </c>
      <c r="G383" s="2608" cm="1">
        <f t="array" ref="G383">SF_NUMERO_DE_POZOS_PERFORACION_POZO_crudo*FE_CRUDO_PERFORACION_POZO_CO2_GG_DA*UNIDAD_Gg_A_T*UNIDAD_T_A_MT</f>
        <v>9.8999999999999984E-6</v>
      </c>
      <c r="H383" s="2608" cm="1">
        <f t="array" ref="H383">SF_NUMERO_DE_POZOS_PERFORACION_POZO_crudo*FE_CRUDO_PERFORACION_POZO_CO2_GG_DA*UNIDAD_Gg_A_T*UNIDAD_T_A_MT</f>
        <v>9.8999999999999984E-6</v>
      </c>
      <c r="I383" s="2608" cm="1">
        <f t="array" ref="I383">SF_NUMERO_DE_POZOS_PERFORACION_POZO_crudo*FE_CRUDO_PERFORACION_POZO_CO2_GG_DA*UNIDAD_Gg_A_T*UNIDAD_T_A_MT</f>
        <v>9.8999999999999984E-6</v>
      </c>
      <c r="J383" s="2608" cm="1">
        <f t="array" ref="J383">SF_NUMERO_DE_POZOS_PERFORACION_POZO_crudo*FE_CRUDO_PERFORACION_POZO_CO2_GG_DA*UNIDAD_Gg_A_T*UNIDAD_T_A_MT</f>
        <v>9.8999999999999984E-6</v>
      </c>
      <c r="K383" s="2608" cm="1">
        <f t="array" ref="K383">SF_NUMERO_DE_POZOS_PERFORACION_POZO_crudo*FE_CRUDO_PERFORACION_POZO_CO2_GG_DA*UNIDAD_Gg_A_T*UNIDAD_T_A_MT</f>
        <v>9.8999999999999984E-6</v>
      </c>
      <c r="L383" s="2608" cm="1">
        <f t="array" ref="L383">SF_NUMERO_DE_POZOS_PERFORACION_POZO_crudo*FE_CRUDO_PERFORACION_POZO_CO2_GG_DA*UNIDAD_Gg_A_T*UNIDAD_T_A_MT</f>
        <v>9.8999999999999984E-6</v>
      </c>
      <c r="M383" s="2608" cm="1">
        <f t="array" ref="M383">SF_NUMERO_DE_POZOS_PERFORACION_POZO_crudo*FE_CRUDO_PERFORACION_POZO_CO2_GG_DA*UNIDAD_Gg_A_T*UNIDAD_T_A_MT</f>
        <v>9.8999999999999984E-6</v>
      </c>
      <c r="N383" s="2608" cm="1">
        <f t="array" ref="N383">SF_NUMERO_DE_POZOS_PERFORACION_POZO_crudo*FE_CRUDO_PERFORACION_POZO_CO2_GG_DA*UNIDAD_Gg_A_T*UNIDAD_T_A_MT</f>
        <v>9.8999999999999984E-6</v>
      </c>
    </row>
    <row r="384" spans="4:16" ht="15" customHeight="1">
      <c r="D384" s="2605"/>
      <c r="E384" s="679" t="s">
        <v>1473</v>
      </c>
      <c r="G384" s="2608" cm="1">
        <f t="array" ref="G384">SF_NUMERO_DE_POZOS_EN_PRODUCCION_CRUDO*FE_CRUDO_PRUEBA_POZO_CO2_MT_TPC*UNIDAD_Gg_A_T*UNIDAD_T_A_MT</f>
        <v>2.5439999999999998E-3</v>
      </c>
      <c r="H384" s="2608" cm="1">
        <f t="array" ref="H384">SF_NUMERO_DE_POZOS_EN_PRODUCCION_CRUDO*FE_CRUDO_PRUEBA_POZO_CO2_MT_TPC*UNIDAD_Gg_A_T*UNIDAD_T_A_MT</f>
        <v>2.5439999999999998E-3</v>
      </c>
      <c r="I384" s="2608" cm="1">
        <f t="array" ref="I384">SF_NUMERO_DE_POZOS_EN_PRODUCCION_CRUDO*FE_CRUDO_PRUEBA_POZO_CO2_MT_TPC*UNIDAD_Gg_A_T*UNIDAD_T_A_MT</f>
        <v>2.5439999999999998E-3</v>
      </c>
      <c r="J384" s="2608" cm="1">
        <f t="array" ref="J384">SF_NUMERO_DE_POZOS_EN_PRODUCCION_CRUDO*FE_CRUDO_PRUEBA_POZO_CO2_MT_TPC*UNIDAD_Gg_A_T*UNIDAD_T_A_MT</f>
        <v>2.5439999999999998E-3</v>
      </c>
      <c r="K384" s="2608" cm="1">
        <f t="array" ref="K384">SF_NUMERO_DE_POZOS_EN_PRODUCCION_CRUDO*FE_CRUDO_PRUEBA_POZO_CO2_MT_TPC*UNIDAD_Gg_A_T*UNIDAD_T_A_MT</f>
        <v>2.5439999999999998E-3</v>
      </c>
      <c r="L384" s="2608" cm="1">
        <f t="array" ref="L384">SF_NUMERO_DE_POZOS_EN_PRODUCCION_CRUDO*FE_CRUDO_PRUEBA_POZO_CO2_MT_TPC*UNIDAD_Gg_A_T*UNIDAD_T_A_MT</f>
        <v>2.5439999999999998E-3</v>
      </c>
      <c r="M384" s="2608" cm="1">
        <f t="array" ref="M384">SF_NUMERO_DE_POZOS_EN_PRODUCCION_CRUDO*FE_CRUDO_PRUEBA_POZO_CO2_MT_TPC*UNIDAD_Gg_A_T*UNIDAD_T_A_MT</f>
        <v>2.5439999999999998E-3</v>
      </c>
      <c r="N384" s="2608" cm="1">
        <f t="array" ref="N384">SF_NUMERO_DE_POZOS_EN_PRODUCCION_CRUDO*FE_CRUDO_PRUEBA_POZO_CO2_MT_TPC*UNIDAD_Gg_A_T*UNIDAD_T_A_MT</f>
        <v>2.5439999999999998E-3</v>
      </c>
    </row>
    <row r="385" spans="4:16" ht="15" customHeight="1">
      <c r="D385" s="2605"/>
      <c r="E385" s="679" t="s">
        <v>1474</v>
      </c>
      <c r="G385" s="2608" cm="1">
        <f t="array" ref="G385">SF_NUMERO_DE_POZOS_EN_PRODUCCION_CRUDO*FE_CRUDO_SERVICIO_POZO_CO2_MT_TPC*UNIDAD_Gg_A_T*UNIDAD_T_A_MT</f>
        <v>5.4239999999999999E-7</v>
      </c>
      <c r="H385" s="2608" cm="1">
        <f t="array" ref="H385">SF_NUMERO_DE_POZOS_EN_PRODUCCION_CRUDO*FE_CRUDO_SERVICIO_POZO_CO2_MT_TPC*UNIDAD_Gg_A_T*UNIDAD_T_A_MT</f>
        <v>5.4239999999999999E-7</v>
      </c>
      <c r="I385" s="2608" cm="1">
        <f t="array" ref="I385">SF_NUMERO_DE_POZOS_EN_PRODUCCION_CRUDO*FE_CRUDO_SERVICIO_POZO_CO2_MT_TPC*UNIDAD_Gg_A_T*UNIDAD_T_A_MT</f>
        <v>5.4239999999999999E-7</v>
      </c>
      <c r="J385" s="2608" cm="1">
        <f t="array" ref="J385">SF_NUMERO_DE_POZOS_EN_PRODUCCION_CRUDO*FE_CRUDO_SERVICIO_POZO_CO2_MT_TPC*UNIDAD_Gg_A_T*UNIDAD_T_A_MT</f>
        <v>5.4239999999999999E-7</v>
      </c>
      <c r="K385" s="2608" cm="1">
        <f t="array" ref="K385">SF_NUMERO_DE_POZOS_EN_PRODUCCION_CRUDO*FE_CRUDO_SERVICIO_POZO_CO2_MT_TPC*UNIDAD_Gg_A_T*UNIDAD_T_A_MT</f>
        <v>5.4239999999999999E-7</v>
      </c>
      <c r="L385" s="2608" cm="1">
        <f t="array" ref="L385">SF_NUMERO_DE_POZOS_EN_PRODUCCION_CRUDO*FE_CRUDO_SERVICIO_POZO_CO2_MT_TPC*UNIDAD_Gg_A_T*UNIDAD_T_A_MT</f>
        <v>5.4239999999999999E-7</v>
      </c>
      <c r="M385" s="2608" cm="1">
        <f t="array" ref="M385">SF_NUMERO_DE_POZOS_EN_PRODUCCION_CRUDO*FE_CRUDO_SERVICIO_POZO_CO2_MT_TPC*UNIDAD_Gg_A_T*UNIDAD_T_A_MT</f>
        <v>5.4239999999999999E-7</v>
      </c>
      <c r="N385" s="2608" cm="1">
        <f t="array" ref="N385">SF_NUMERO_DE_POZOS_EN_PRODUCCION_CRUDO*FE_CRUDO_SERVICIO_POZO_CO2_MT_TPC*UNIDAD_Gg_A_T*UNIDAD_T_A_MT</f>
        <v>5.4239999999999999E-7</v>
      </c>
    </row>
    <row r="386" spans="4:16" ht="15" customHeight="1">
      <c r="D386" s="2605"/>
      <c r="E386" s="679" t="s">
        <v>1702</v>
      </c>
      <c r="G386" s="2608" cm="1">
        <f t="array" ref="G386:N386">_xlfn.ANCHORARRAY(G369)*FE_CRUDO_PRODUCCION_CO2_MT_TPC*UNIDAD_Gg_A_T*UNIDAD_T_A_MT/1000</f>
        <v>0</v>
      </c>
      <c r="H386" s="2608">
        <v>0</v>
      </c>
      <c r="I386" s="2608">
        <v>0</v>
      </c>
      <c r="J386" s="2608">
        <v>0</v>
      </c>
      <c r="K386" s="2608">
        <v>0</v>
      </c>
      <c r="L386" s="2608">
        <v>0</v>
      </c>
      <c r="M386" s="2608">
        <v>0</v>
      </c>
      <c r="N386" s="2608">
        <v>0</v>
      </c>
    </row>
    <row r="387" spans="4:16" ht="15" customHeight="1">
      <c r="D387" s="2605"/>
      <c r="E387" s="679" t="s">
        <v>1703</v>
      </c>
      <c r="G387" s="2608" cm="1">
        <f t="array" ref="G387:N387">_xlfn.ANCHORARRAY($G$370)*FE_CRUDO_TRANSPORTE_GLP_CO2_MT_TPC*UNIDAD_Gg_A_T*UNIDAD_T_A_MT/1000</f>
        <v>0</v>
      </c>
      <c r="H387" s="2608">
        <v>0</v>
      </c>
      <c r="I387" s="2608">
        <v>0</v>
      </c>
      <c r="J387" s="2608">
        <v>0</v>
      </c>
      <c r="K387" s="2608">
        <v>0</v>
      </c>
      <c r="L387" s="2608">
        <v>0</v>
      </c>
      <c r="M387" s="2608">
        <v>0</v>
      </c>
      <c r="N387" s="2608">
        <v>0</v>
      </c>
    </row>
    <row r="388" spans="4:16" ht="15" customHeight="1">
      <c r="D388" s="2605"/>
      <c r="E388" s="679" t="s">
        <v>1479</v>
      </c>
      <c r="G388" s="2608" cm="1">
        <f t="array" ref="G388:N388">_xlfn.ANCHORARRAY($G$371)*FE_CRUDO_TRANSPORTE_OLEODUCTO_CO2_MT_TPC*UNIDAD_Gg_A_T*UNIDAD_T_A_MT/1000</f>
        <v>0</v>
      </c>
      <c r="H388" s="2608">
        <v>0</v>
      </c>
      <c r="I388" s="2608">
        <v>0</v>
      </c>
      <c r="J388" s="2608">
        <v>0</v>
      </c>
      <c r="K388" s="2608">
        <v>0</v>
      </c>
      <c r="L388" s="2608">
        <v>0</v>
      </c>
      <c r="M388" s="2608">
        <v>0</v>
      </c>
      <c r="N388" s="2608">
        <v>0</v>
      </c>
    </row>
    <row r="389" spans="4:16" ht="15" customHeight="1">
      <c r="D389" s="2605"/>
      <c r="E389" s="679" t="s">
        <v>1480</v>
      </c>
      <c r="G389" s="2608" cm="1">
        <f t="array" ref="G389:N389">_xlfn.ANCHORARRAY($G$372)*FE_CRUDO_REFINACION_CO2_MT_TPC*UNIDAD_Gg_A_T*UNIDAD_T_A_MT/1000</f>
        <v>0</v>
      </c>
      <c r="H389" s="2608">
        <v>0</v>
      </c>
      <c r="I389" s="2608">
        <v>0</v>
      </c>
      <c r="J389" s="2608">
        <v>0</v>
      </c>
      <c r="K389" s="2608">
        <v>0</v>
      </c>
      <c r="L389" s="2608">
        <v>0</v>
      </c>
      <c r="M389" s="2608">
        <v>0</v>
      </c>
      <c r="N389" s="2608">
        <v>0</v>
      </c>
    </row>
    <row r="390" spans="4:16" ht="15" customHeight="1">
      <c r="D390" s="2605"/>
      <c r="E390" s="2609" t="s">
        <v>1704</v>
      </c>
      <c r="F390" s="2594"/>
      <c r="G390" s="2610">
        <f>SUM(G383:G389)</f>
        <v>2.5544424000000002E-3</v>
      </c>
      <c r="H390" s="2610">
        <f t="shared" ref="H390:N390" si="13">SUM(H383:H389)</f>
        <v>2.5544424000000002E-3</v>
      </c>
      <c r="I390" s="2610">
        <f t="shared" si="13"/>
        <v>2.5544424000000002E-3</v>
      </c>
      <c r="J390" s="2610">
        <f t="shared" si="13"/>
        <v>2.5544424000000002E-3</v>
      </c>
      <c r="K390" s="2610">
        <f t="shared" si="13"/>
        <v>2.5544424000000002E-3</v>
      </c>
      <c r="L390" s="2610">
        <f t="shared" si="13"/>
        <v>2.5544424000000002E-3</v>
      </c>
      <c r="M390" s="2610">
        <f t="shared" si="13"/>
        <v>2.5544424000000002E-3</v>
      </c>
      <c r="N390" s="2610">
        <f t="shared" si="13"/>
        <v>2.5544424000000002E-3</v>
      </c>
    </row>
    <row r="391" spans="4:16" ht="15" customHeight="1">
      <c r="D391" s="2605"/>
      <c r="E391" s="2605"/>
      <c r="F391" s="2611"/>
      <c r="G391" s="2612"/>
      <c r="H391" s="2612"/>
      <c r="I391" s="2612"/>
      <c r="J391" s="2612"/>
      <c r="K391" s="2612"/>
      <c r="L391" s="2612"/>
      <c r="M391" s="2612"/>
    </row>
    <row r="392" spans="4:16" ht="15" customHeight="1">
      <c r="D392" s="2605"/>
      <c r="N392" s="2607" t="s">
        <v>1705</v>
      </c>
    </row>
    <row r="393" spans="4:16" ht="15" customHeight="1">
      <c r="D393" s="2605"/>
      <c r="E393" s="2592" t="s">
        <v>695</v>
      </c>
      <c r="F393" s="2592"/>
      <c r="G393" s="2592">
        <v>2018</v>
      </c>
      <c r="H393" s="2592">
        <v>2020</v>
      </c>
      <c r="I393" s="2592">
        <v>2025</v>
      </c>
      <c r="J393" s="2592">
        <v>2030</v>
      </c>
      <c r="K393" s="2592">
        <v>2035</v>
      </c>
      <c r="L393" s="2592">
        <v>2040</v>
      </c>
      <c r="M393" s="2592">
        <v>2045</v>
      </c>
      <c r="N393" s="2592">
        <v>2050</v>
      </c>
    </row>
    <row r="394" spans="4:16" ht="15" customHeight="1">
      <c r="D394" s="2605"/>
      <c r="E394" s="679" t="s">
        <v>1471</v>
      </c>
      <c r="G394" s="2608" cm="1">
        <f t="array" ref="G394">SF_NUMERO_DE_POZOS_PERFORACION_POZO_crudo*FE_CRUDO_PERFORACION_POZO_CH4_MT_TPC*UNIDAD_Gg_A_T*UNIDAD_T_A_MT</f>
        <v>3.2615E-6</v>
      </c>
      <c r="H394" s="2608" cm="1">
        <f t="array" ref="H394">SF_NUMERO_DE_POZOS_PERFORACION_POZO_crudo*FE_CRUDO_PERFORACION_POZO_CH4_MT_TPC*UNIDAD_Gg_A_T*UNIDAD_T_A_MT</f>
        <v>3.2615E-6</v>
      </c>
      <c r="I394" s="2608" cm="1">
        <f t="array" ref="I394">SF_NUMERO_DE_POZOS_PERFORACION_POZO_crudo*FE_CRUDO_PERFORACION_POZO_CH4_MT_TPC*UNIDAD_Gg_A_T*UNIDAD_T_A_MT</f>
        <v>3.2615E-6</v>
      </c>
      <c r="J394" s="2608" cm="1">
        <f t="array" ref="J394">SF_NUMERO_DE_POZOS_PERFORACION_POZO_crudo*FE_CRUDO_PERFORACION_POZO_CH4_MT_TPC*UNIDAD_Gg_A_T*UNIDAD_T_A_MT</f>
        <v>3.2615E-6</v>
      </c>
      <c r="K394" s="2608" cm="1">
        <f t="array" ref="K394">SF_NUMERO_DE_POZOS_PERFORACION_POZO_crudo*FE_CRUDO_PERFORACION_POZO_CH4_MT_TPC*UNIDAD_Gg_A_T*UNIDAD_T_A_MT</f>
        <v>3.2615E-6</v>
      </c>
      <c r="L394" s="2608" cm="1">
        <f t="array" ref="L394">SF_NUMERO_DE_POZOS_PERFORACION_POZO_crudo*FE_CRUDO_PERFORACION_POZO_CH4_MT_TPC*UNIDAD_Gg_A_T*UNIDAD_T_A_MT</f>
        <v>3.2615E-6</v>
      </c>
      <c r="M394" s="2608" cm="1">
        <f t="array" ref="M394">SF_NUMERO_DE_POZOS_PERFORACION_POZO_crudo*FE_CRUDO_PERFORACION_POZO_CH4_MT_TPC*UNIDAD_Gg_A_T*UNIDAD_T_A_MT</f>
        <v>3.2615E-6</v>
      </c>
      <c r="N394" s="2608" cm="1">
        <f t="array" ref="N394">SF_NUMERO_DE_POZOS_PERFORACION_POZO_crudo*FE_CRUDO_PERFORACION_POZO_CH4_MT_TPC*UNIDAD_Gg_A_T*UNIDAD_T_A_MT</f>
        <v>3.2615E-6</v>
      </c>
      <c r="P394" s="2614"/>
    </row>
    <row r="395" spans="4:16" ht="15" customHeight="1">
      <c r="D395" s="2605"/>
      <c r="E395" s="679" t="s">
        <v>1473</v>
      </c>
      <c r="G395" s="2608" cm="1">
        <f t="array" ref="G395">SF_NUMERO_DE_POZOS_EN_PRODUCCION_CRUDO*FE_CRUDO_PRUEBA_POZO_CH4_MT_TPC*UNIDAD_Gg_A_T*UNIDAD_T_A_MT</f>
        <v>1.4416000000000001E-5</v>
      </c>
      <c r="H395" s="2608" cm="1">
        <f t="array" ref="H395">SF_NUMERO_DE_POZOS_EN_PRODUCCION_CRUDO*FE_CRUDO_PRUEBA_POZO_CH4_MT_TPC*UNIDAD_Gg_A_T*UNIDAD_T_A_MT</f>
        <v>1.4416000000000001E-5</v>
      </c>
      <c r="I395" s="2608" cm="1">
        <f t="array" ref="I395">SF_NUMERO_DE_POZOS_EN_PRODUCCION_CRUDO*FE_CRUDO_PRUEBA_POZO_CH4_MT_TPC*UNIDAD_Gg_A_T*UNIDAD_T_A_MT</f>
        <v>1.4416000000000001E-5</v>
      </c>
      <c r="J395" s="2608" cm="1">
        <f t="array" ref="J395">SF_NUMERO_DE_POZOS_EN_PRODUCCION_CRUDO*FE_CRUDO_PRUEBA_POZO_CH4_MT_TPC*UNIDAD_Gg_A_T*UNIDAD_T_A_MT</f>
        <v>1.4416000000000001E-5</v>
      </c>
      <c r="K395" s="2608" cm="1">
        <f t="array" ref="K395">SF_NUMERO_DE_POZOS_EN_PRODUCCION_CRUDO*FE_CRUDO_PRUEBA_POZO_CH4_MT_TPC*UNIDAD_Gg_A_T*UNIDAD_T_A_MT</f>
        <v>1.4416000000000001E-5</v>
      </c>
      <c r="L395" s="2608" cm="1">
        <f t="array" ref="L395">SF_NUMERO_DE_POZOS_EN_PRODUCCION_CRUDO*FE_CRUDO_PRUEBA_POZO_CH4_MT_TPC*UNIDAD_Gg_A_T*UNIDAD_T_A_MT</f>
        <v>1.4416000000000001E-5</v>
      </c>
      <c r="M395" s="2608" cm="1">
        <f t="array" ref="M395">SF_NUMERO_DE_POZOS_EN_PRODUCCION_CRUDO*FE_CRUDO_PRUEBA_POZO_CH4_MT_TPC*UNIDAD_Gg_A_T*UNIDAD_T_A_MT</f>
        <v>1.4416000000000001E-5</v>
      </c>
      <c r="N395" s="2608" cm="1">
        <f t="array" ref="N395">SF_NUMERO_DE_POZOS_EN_PRODUCCION_CRUDO*FE_CRUDO_PRUEBA_POZO_CH4_MT_TPC*UNIDAD_Gg_A_T*UNIDAD_T_A_MT</f>
        <v>1.4416000000000001E-5</v>
      </c>
    </row>
    <row r="396" spans="4:16" ht="15" customHeight="1">
      <c r="D396" s="2605"/>
      <c r="E396" s="679" t="s">
        <v>1474</v>
      </c>
      <c r="G396" s="2608" cm="1">
        <f t="array" ref="G396">SF_NUMERO_DE_POZOS_EN_PRODUCCION_CRUDO*FE_CRUDO_SERVICIO_POZO_CH4_MT_TPC*UNIDAD_Gg_A_T*UNIDAD_T_A_MT</f>
        <v>3.0559999999999999E-5</v>
      </c>
      <c r="H396" s="2608" cm="1">
        <f t="array" ref="H396">SF_NUMERO_DE_POZOS_EN_PRODUCCION_CRUDO*FE_CRUDO_SERVICIO_POZO_CH4_MT_TPC*UNIDAD_Gg_A_T*UNIDAD_T_A_MT</f>
        <v>3.0559999999999999E-5</v>
      </c>
      <c r="I396" s="2608" cm="1">
        <f t="array" ref="I396">SF_NUMERO_DE_POZOS_EN_PRODUCCION_CRUDO*FE_CRUDO_SERVICIO_POZO_CH4_MT_TPC*UNIDAD_Gg_A_T*UNIDAD_T_A_MT</f>
        <v>3.0559999999999999E-5</v>
      </c>
      <c r="J396" s="2608" cm="1">
        <f t="array" ref="J396">SF_NUMERO_DE_POZOS_EN_PRODUCCION_CRUDO*FE_CRUDO_SERVICIO_POZO_CH4_MT_TPC*UNIDAD_Gg_A_T*UNIDAD_T_A_MT</f>
        <v>3.0559999999999999E-5</v>
      </c>
      <c r="K396" s="2608" cm="1">
        <f t="array" ref="K396">SF_NUMERO_DE_POZOS_EN_PRODUCCION_CRUDO*FE_CRUDO_SERVICIO_POZO_CH4_MT_TPC*UNIDAD_Gg_A_T*UNIDAD_T_A_MT</f>
        <v>3.0559999999999999E-5</v>
      </c>
      <c r="L396" s="2608" cm="1">
        <f t="array" ref="L396">SF_NUMERO_DE_POZOS_EN_PRODUCCION_CRUDO*FE_CRUDO_SERVICIO_POZO_CH4_MT_TPC*UNIDAD_Gg_A_T*UNIDAD_T_A_MT</f>
        <v>3.0559999999999999E-5</v>
      </c>
      <c r="M396" s="2608" cm="1">
        <f t="array" ref="M396">SF_NUMERO_DE_POZOS_EN_PRODUCCION_CRUDO*FE_CRUDO_SERVICIO_POZO_CH4_MT_TPC*UNIDAD_Gg_A_T*UNIDAD_T_A_MT</f>
        <v>3.0559999999999999E-5</v>
      </c>
      <c r="N396" s="2608" cm="1">
        <f t="array" ref="N396">SF_NUMERO_DE_POZOS_EN_PRODUCCION_CRUDO*FE_CRUDO_SERVICIO_POZO_CH4_MT_TPC*UNIDAD_Gg_A_T*UNIDAD_T_A_MT</f>
        <v>3.0559999999999999E-5</v>
      </c>
    </row>
    <row r="397" spans="4:16" ht="15" customHeight="1">
      <c r="D397" s="2605"/>
      <c r="E397" s="679" t="s">
        <v>1702</v>
      </c>
      <c r="G397" s="2608" cm="1">
        <f t="array" ref="G397:N397">_xlfn.ANCHORARRAY($G$369)*FE_CRUDO_PRODUCCION_CH4_MT_TPC*UNIDAD_Gg_A_T*UNIDAD_T_A_MT/1000</f>
        <v>0</v>
      </c>
      <c r="H397" s="2608">
        <v>0</v>
      </c>
      <c r="I397" s="2608">
        <v>0</v>
      </c>
      <c r="J397" s="2608">
        <v>0</v>
      </c>
      <c r="K397" s="2608">
        <v>0</v>
      </c>
      <c r="L397" s="2608">
        <v>0</v>
      </c>
      <c r="M397" s="2608">
        <v>0</v>
      </c>
      <c r="N397" s="2608">
        <v>0</v>
      </c>
    </row>
    <row r="398" spans="4:16" ht="15" customHeight="1">
      <c r="D398" s="2605"/>
      <c r="E398" s="679" t="s">
        <v>1703</v>
      </c>
      <c r="G398" s="2608" cm="1">
        <f t="array" ref="G398:N398">_xlfn.ANCHORARRAY($G$370)*FE_CRUDO_TRANSPORTE_GLP_CH4_MT_TPC*UNIDAD_Gg_A_T*UNIDAD_T_A_MT/1000</f>
        <v>0</v>
      </c>
      <c r="H398" s="2608">
        <v>0</v>
      </c>
      <c r="I398" s="2608">
        <v>0</v>
      </c>
      <c r="J398" s="2608">
        <v>0</v>
      </c>
      <c r="K398" s="2608">
        <v>0</v>
      </c>
      <c r="L398" s="2608">
        <v>0</v>
      </c>
      <c r="M398" s="2608">
        <v>0</v>
      </c>
      <c r="N398" s="2608">
        <v>0</v>
      </c>
    </row>
    <row r="399" spans="4:16" ht="15" customHeight="1">
      <c r="D399" s="2605"/>
      <c r="E399" s="679" t="s">
        <v>1479</v>
      </c>
      <c r="G399" s="2608" cm="1">
        <f t="array" ref="G399:N399">_xlfn.ANCHORARRAY($G$371)*FE_CRUDO_TRANSPORTE_OLEODUCTO_CH4_MT_TPC*UNIDAD_Gg_A_T*UNIDAD_T_A_MT/1000</f>
        <v>0</v>
      </c>
      <c r="H399" s="2608">
        <v>0</v>
      </c>
      <c r="I399" s="2608">
        <v>0</v>
      </c>
      <c r="J399" s="2608">
        <v>0</v>
      </c>
      <c r="K399" s="2608">
        <v>0</v>
      </c>
      <c r="L399" s="2608">
        <v>0</v>
      </c>
      <c r="M399" s="2608">
        <v>0</v>
      </c>
      <c r="N399" s="2608">
        <v>0</v>
      </c>
    </row>
    <row r="400" spans="4:16" ht="15" customHeight="1">
      <c r="D400" s="2605"/>
      <c r="E400" s="679" t="s">
        <v>1480</v>
      </c>
      <c r="G400" s="2608" cm="1">
        <f t="array" ref="G400:N400">_xlfn.ANCHORARRAY($G$372)*FE_CRUDO_REFINACION_CH4_MT_TPC*UNIDAD_Gg_A_T*UNIDAD_T_A_MT/1000</f>
        <v>0</v>
      </c>
      <c r="H400" s="2608">
        <v>0</v>
      </c>
      <c r="I400" s="2608">
        <v>0</v>
      </c>
      <c r="J400" s="2608">
        <v>0</v>
      </c>
      <c r="K400" s="2608">
        <v>0</v>
      </c>
      <c r="L400" s="2608">
        <v>0</v>
      </c>
      <c r="M400" s="2608">
        <v>0</v>
      </c>
      <c r="N400" s="2608">
        <v>0</v>
      </c>
    </row>
    <row r="401" spans="4:15" ht="15" customHeight="1">
      <c r="D401" s="2605"/>
      <c r="E401" s="2609" t="s">
        <v>1704</v>
      </c>
      <c r="F401" s="2594"/>
      <c r="G401" s="2610">
        <f t="shared" ref="G401:N401" si="14">SUM(G394:G400)</f>
        <v>4.82375E-5</v>
      </c>
      <c r="H401" s="2610">
        <f t="shared" si="14"/>
        <v>4.82375E-5</v>
      </c>
      <c r="I401" s="2610">
        <f t="shared" si="14"/>
        <v>4.82375E-5</v>
      </c>
      <c r="J401" s="2610">
        <f t="shared" si="14"/>
        <v>4.82375E-5</v>
      </c>
      <c r="K401" s="2610">
        <f t="shared" si="14"/>
        <v>4.82375E-5</v>
      </c>
      <c r="L401" s="2610">
        <f t="shared" si="14"/>
        <v>4.82375E-5</v>
      </c>
      <c r="M401" s="2610">
        <f t="shared" si="14"/>
        <v>4.82375E-5</v>
      </c>
      <c r="N401" s="2610">
        <f t="shared" si="14"/>
        <v>4.82375E-5</v>
      </c>
    </row>
    <row r="402" spans="4:15" ht="15" customHeight="1">
      <c r="D402" s="2605"/>
      <c r="E402" s="2605"/>
      <c r="F402" s="2611"/>
      <c r="G402" s="2612"/>
      <c r="H402" s="2612"/>
      <c r="I402" s="2612"/>
      <c r="J402" s="2612"/>
      <c r="K402" s="2612"/>
      <c r="L402" s="2612"/>
      <c r="M402" s="2612"/>
      <c r="N402" s="2612"/>
    </row>
    <row r="403" spans="4:15" ht="15" customHeight="1">
      <c r="D403" s="2605"/>
      <c r="E403" s="2302"/>
      <c r="G403" s="2603"/>
      <c r="H403" s="2603"/>
      <c r="I403" s="2603"/>
      <c r="J403" s="2603"/>
      <c r="K403" s="2603"/>
      <c r="L403" s="2603"/>
      <c r="M403" s="2603"/>
      <c r="N403" s="2607" t="s">
        <v>1706</v>
      </c>
    </row>
    <row r="404" spans="4:15" ht="15" customHeight="1">
      <c r="D404" s="2605"/>
      <c r="E404" s="2592" t="s">
        <v>1616</v>
      </c>
      <c r="F404" s="2592"/>
      <c r="G404" s="2592">
        <v>2018</v>
      </c>
      <c r="H404" s="2592">
        <v>2020</v>
      </c>
      <c r="I404" s="2592">
        <v>2025</v>
      </c>
      <c r="J404" s="2592">
        <v>2030</v>
      </c>
      <c r="K404" s="2592">
        <v>2035</v>
      </c>
      <c r="L404" s="2592">
        <v>2040</v>
      </c>
      <c r="M404" s="2592">
        <v>2045</v>
      </c>
      <c r="N404" s="2592">
        <v>2050</v>
      </c>
    </row>
    <row r="405" spans="4:15" ht="15" customHeight="1">
      <c r="D405" s="2605"/>
      <c r="E405" s="679" t="s">
        <v>1471</v>
      </c>
      <c r="G405" s="2597" cm="1">
        <f t="array" ref="G405">SF_NUMERO_DE_POZOS_PERFORACION_POZO_crudo*FE_CRUDO_PERFORACION_POZO_N2O_MT_TPC*UNIDAD_Gg_A_T*UNIDAD_T_A_MT</f>
        <v>0</v>
      </c>
      <c r="H405" s="2597" cm="1">
        <f t="array" ref="H405">SF_NUMERO_DE_POZOS_PERFORACION_POZO_crudo*FE_CRUDO_PERFORACION_POZO_N2O_MT_TPC*UNIDAD_Gg_A_T*UNIDAD_T_A_MT</f>
        <v>0</v>
      </c>
      <c r="I405" s="2597" cm="1">
        <f t="array" ref="I405">SF_NUMERO_DE_POZOS_PERFORACION_POZO_crudo*FE_CRUDO_PERFORACION_POZO_N2O_MT_TPC*UNIDAD_Gg_A_T*UNIDAD_T_A_MT</f>
        <v>0</v>
      </c>
      <c r="J405" s="2597" cm="1">
        <f t="array" ref="J405">SF_NUMERO_DE_POZOS_PERFORACION_POZO_crudo*FE_CRUDO_PERFORACION_POZO_N2O_MT_TPC*UNIDAD_Gg_A_T*UNIDAD_T_A_MT</f>
        <v>0</v>
      </c>
      <c r="K405" s="2597" cm="1">
        <f t="array" ref="K405">SF_NUMERO_DE_POZOS_PERFORACION_POZO_crudo*FE_CRUDO_PERFORACION_POZO_N2O_MT_TPC*UNIDAD_Gg_A_T*UNIDAD_T_A_MT</f>
        <v>0</v>
      </c>
      <c r="L405" s="2597" cm="1">
        <f t="array" ref="L405">SF_NUMERO_DE_POZOS_PERFORACION_POZO_crudo*FE_CRUDO_PERFORACION_POZO_N2O_MT_TPC*UNIDAD_Gg_A_T*UNIDAD_T_A_MT</f>
        <v>0</v>
      </c>
      <c r="M405" s="2597" cm="1">
        <f t="array" ref="M405">SF_NUMERO_DE_POZOS_PERFORACION_POZO_crudo*FE_CRUDO_PERFORACION_POZO_N2O_MT_TPC*UNIDAD_Gg_A_T*UNIDAD_T_A_MT</f>
        <v>0</v>
      </c>
      <c r="N405" s="2597" cm="1">
        <f t="array" ref="N405">SF_NUMERO_DE_POZOS_PERFORACION_POZO_crudo*FE_CRUDO_PERFORACION_POZO_N2O_MT_TPC*UNIDAD_Gg_A_T*UNIDAD_T_A_MT</f>
        <v>0</v>
      </c>
      <c r="O405" s="2605"/>
    </row>
    <row r="406" spans="4:15" ht="15" customHeight="1">
      <c r="D406" s="2605"/>
      <c r="E406" s="679" t="s">
        <v>1473</v>
      </c>
      <c r="G406" s="2597" cm="1">
        <f t="array" ref="G406">SF_NUMERO_DE_POZOS_EN_PRODUCCION_CRUDO*FE_CRUDO_PRUEBA_POZO_N2O_MT_TPC*UNIDAD_Gg_A_T*UNIDAD_T_A_MT</f>
        <v>1.8687999999999998E-8</v>
      </c>
      <c r="H406" s="2597" cm="1">
        <f t="array" ref="H406">SF_NUMERO_DE_POZOS_EN_PRODUCCION_CRUDO*FE_CRUDO_PRUEBA_POZO_N2O_MT_TPC*UNIDAD_Gg_A_T*UNIDAD_T_A_MT</f>
        <v>1.8687999999999998E-8</v>
      </c>
      <c r="I406" s="2597" cm="1">
        <f t="array" ref="I406">SF_NUMERO_DE_POZOS_EN_PRODUCCION_CRUDO*FE_CRUDO_PRUEBA_POZO_N2O_MT_TPC*UNIDAD_Gg_A_T*UNIDAD_T_A_MT</f>
        <v>1.8687999999999998E-8</v>
      </c>
      <c r="J406" s="2597" cm="1">
        <f t="array" ref="J406">SF_NUMERO_DE_POZOS_EN_PRODUCCION_CRUDO*FE_CRUDO_PRUEBA_POZO_N2O_MT_TPC*UNIDAD_Gg_A_T*UNIDAD_T_A_MT</f>
        <v>1.8687999999999998E-8</v>
      </c>
      <c r="K406" s="2597" cm="1">
        <f t="array" ref="K406">SF_NUMERO_DE_POZOS_EN_PRODUCCION_CRUDO*FE_CRUDO_PRUEBA_POZO_N2O_MT_TPC*UNIDAD_Gg_A_T*UNIDAD_T_A_MT</f>
        <v>1.8687999999999998E-8</v>
      </c>
      <c r="L406" s="2597" cm="1">
        <f t="array" ref="L406">SF_NUMERO_DE_POZOS_EN_PRODUCCION_CRUDO*FE_CRUDO_PRUEBA_POZO_N2O_MT_TPC*UNIDAD_Gg_A_T*UNIDAD_T_A_MT</f>
        <v>1.8687999999999998E-8</v>
      </c>
      <c r="M406" s="2597" cm="1">
        <f t="array" ref="M406">SF_NUMERO_DE_POZOS_EN_PRODUCCION_CRUDO*FE_CRUDO_PRUEBA_POZO_N2O_MT_TPC*UNIDAD_Gg_A_T*UNIDAD_T_A_MT</f>
        <v>1.8687999999999998E-8</v>
      </c>
      <c r="N406" s="2597" cm="1">
        <f t="array" ref="N406">SF_NUMERO_DE_POZOS_EN_PRODUCCION_CRUDO*FE_CRUDO_PRUEBA_POZO_N2O_MT_TPC*UNIDAD_Gg_A_T*UNIDAD_T_A_MT</f>
        <v>1.8687999999999998E-8</v>
      </c>
    </row>
    <row r="407" spans="4:15" ht="15" customHeight="1">
      <c r="D407" s="2605"/>
      <c r="E407" s="679" t="s">
        <v>1474</v>
      </c>
      <c r="G407" s="2597" cm="1">
        <f t="array" ref="G407">SF_NUMERO_DE_POZOS_EN_PRODUCCION_CRUDO*FE_CRUDO_SERVICIO_POZO_N2O_MT_TPC*UNIDAD_Gg_A_T*UNIDAD_T_A_MT</f>
        <v>0</v>
      </c>
      <c r="H407" s="2597" cm="1">
        <f t="array" ref="H407">SF_NUMERO_DE_POZOS_EN_PRODUCCION_CRUDO*FE_CRUDO_SERVICIO_POZO_N2O_MT_TPC*UNIDAD_Gg_A_T*UNIDAD_T_A_MT</f>
        <v>0</v>
      </c>
      <c r="I407" s="2597" cm="1">
        <f t="array" ref="I407">SF_NUMERO_DE_POZOS_EN_PRODUCCION_CRUDO*FE_CRUDO_SERVICIO_POZO_N2O_MT_TPC*UNIDAD_Gg_A_T*UNIDAD_T_A_MT</f>
        <v>0</v>
      </c>
      <c r="J407" s="2597" cm="1">
        <f t="array" ref="J407">SF_NUMERO_DE_POZOS_EN_PRODUCCION_CRUDO*FE_CRUDO_SERVICIO_POZO_N2O_MT_TPC*UNIDAD_Gg_A_T*UNIDAD_T_A_MT</f>
        <v>0</v>
      </c>
      <c r="K407" s="2597" cm="1">
        <f t="array" ref="K407">SF_NUMERO_DE_POZOS_EN_PRODUCCION_CRUDO*FE_CRUDO_SERVICIO_POZO_N2O_MT_TPC*UNIDAD_Gg_A_T*UNIDAD_T_A_MT</f>
        <v>0</v>
      </c>
      <c r="L407" s="2597" cm="1">
        <f t="array" ref="L407">SF_NUMERO_DE_POZOS_EN_PRODUCCION_CRUDO*FE_CRUDO_SERVICIO_POZO_N2O_MT_TPC*UNIDAD_Gg_A_T*UNIDAD_T_A_MT</f>
        <v>0</v>
      </c>
      <c r="M407" s="2597" cm="1">
        <f t="array" ref="M407">SF_NUMERO_DE_POZOS_EN_PRODUCCION_CRUDO*FE_CRUDO_SERVICIO_POZO_N2O_MT_TPC*UNIDAD_Gg_A_T*UNIDAD_T_A_MT</f>
        <v>0</v>
      </c>
      <c r="N407" s="2597" cm="1">
        <f t="array" ref="N407">SF_NUMERO_DE_POZOS_EN_PRODUCCION_CRUDO*FE_CRUDO_SERVICIO_POZO_N2O_MT_TPC*UNIDAD_Gg_A_T*UNIDAD_T_A_MT</f>
        <v>0</v>
      </c>
    </row>
    <row r="408" spans="4:15" ht="15" customHeight="1">
      <c r="D408" s="2605"/>
      <c r="E408" s="679" t="s">
        <v>1702</v>
      </c>
      <c r="G408" s="2597" cm="1">
        <f t="array" ref="G408:N408">_xlfn.ANCHORARRAY($G$369)*FE_CRUDO_PRODUCCION_N2O_MT_TPC*UNIDAD_Gg_A_T*UNIDAD_T_A_MT/1000</f>
        <v>0</v>
      </c>
      <c r="H408" s="2597">
        <v>0</v>
      </c>
      <c r="I408" s="2597">
        <v>0</v>
      </c>
      <c r="J408" s="2597">
        <v>0</v>
      </c>
      <c r="K408" s="2597">
        <v>0</v>
      </c>
      <c r="L408" s="2597">
        <v>0</v>
      </c>
      <c r="M408" s="2597">
        <v>0</v>
      </c>
      <c r="N408" s="2597">
        <v>0</v>
      </c>
    </row>
    <row r="409" spans="4:15" ht="15" customHeight="1">
      <c r="D409" s="2605"/>
      <c r="E409" s="679" t="s">
        <v>1703</v>
      </c>
      <c r="G409" s="2597" cm="1">
        <f t="array" ref="G409:N409">_xlfn.ANCHORARRAY($G$370)*FE_CRUDO_TRANSPORTE_GLP_N2O_MT_TPC*UNIDAD_Gg_A_T*UNIDAD_T_A_MT/1000</f>
        <v>0</v>
      </c>
      <c r="H409" s="2597">
        <v>0</v>
      </c>
      <c r="I409" s="2597">
        <v>0</v>
      </c>
      <c r="J409" s="2597">
        <v>0</v>
      </c>
      <c r="K409" s="2597">
        <v>0</v>
      </c>
      <c r="L409" s="2597">
        <v>0</v>
      </c>
      <c r="M409" s="2597">
        <v>0</v>
      </c>
      <c r="N409" s="2597">
        <v>0</v>
      </c>
    </row>
    <row r="410" spans="4:15" ht="15" customHeight="1">
      <c r="D410" s="2605"/>
      <c r="E410" s="679" t="s">
        <v>1479</v>
      </c>
      <c r="G410" s="2597" cm="1">
        <f t="array" ref="G410:N410">_xlfn.ANCHORARRAY($G$371)*FE_CRUDO_TRANSPORTE_OLEODUCTO_N2O_MT_TPC*UNIDAD_Gg_A_T*UNIDAD_T_A_MT/1000</f>
        <v>0</v>
      </c>
      <c r="H410" s="2597">
        <v>0</v>
      </c>
      <c r="I410" s="2597">
        <v>0</v>
      </c>
      <c r="J410" s="2597">
        <v>0</v>
      </c>
      <c r="K410" s="2597">
        <v>0</v>
      </c>
      <c r="L410" s="2597">
        <v>0</v>
      </c>
      <c r="M410" s="2597">
        <v>0</v>
      </c>
      <c r="N410" s="2597">
        <v>0</v>
      </c>
    </row>
    <row r="411" spans="4:15" ht="15" customHeight="1">
      <c r="D411" s="2605"/>
      <c r="E411" s="679" t="s">
        <v>1480</v>
      </c>
      <c r="G411" s="2597" cm="1">
        <f t="array" ref="G411:N411">_xlfn.ANCHORARRAY($G$372)*FE_CRUDO_REFINACION_N2O_MT_TPC*UNIDAD_Gg_A_T*UNIDAD_T_A_MT/1000</f>
        <v>0</v>
      </c>
      <c r="H411" s="2597">
        <v>0</v>
      </c>
      <c r="I411" s="2597">
        <v>0</v>
      </c>
      <c r="J411" s="2597">
        <v>0</v>
      </c>
      <c r="K411" s="2597">
        <v>0</v>
      </c>
      <c r="L411" s="2597">
        <v>0</v>
      </c>
      <c r="M411" s="2597">
        <v>0</v>
      </c>
      <c r="N411" s="2597">
        <v>0</v>
      </c>
    </row>
    <row r="412" spans="4:15" ht="15" customHeight="1">
      <c r="D412" s="2605"/>
      <c r="E412" s="2609" t="s">
        <v>1704</v>
      </c>
      <c r="F412" s="2594"/>
      <c r="G412" s="2610">
        <f>SUM(G405:G411)</f>
        <v>1.8687999999999998E-8</v>
      </c>
      <c r="H412" s="2610">
        <f t="shared" ref="H412:N412" si="15">SUM(H405:H411)</f>
        <v>1.8687999999999998E-8</v>
      </c>
      <c r="I412" s="2610">
        <f t="shared" si="15"/>
        <v>1.8687999999999998E-8</v>
      </c>
      <c r="J412" s="2610">
        <f t="shared" si="15"/>
        <v>1.8687999999999998E-8</v>
      </c>
      <c r="K412" s="2610">
        <f t="shared" si="15"/>
        <v>1.8687999999999998E-8</v>
      </c>
      <c r="L412" s="2610">
        <f t="shared" si="15"/>
        <v>1.8687999999999998E-8</v>
      </c>
      <c r="M412" s="2610">
        <f t="shared" si="15"/>
        <v>1.8687999999999998E-8</v>
      </c>
      <c r="N412" s="2610">
        <f t="shared" si="15"/>
        <v>1.8687999999999998E-8</v>
      </c>
    </row>
    <row r="413" spans="4:15" ht="15" customHeight="1">
      <c r="D413" s="2605"/>
      <c r="E413" s="2605"/>
      <c r="F413" s="2611"/>
      <c r="G413" s="2612"/>
      <c r="H413" s="2612"/>
      <c r="I413" s="2612"/>
      <c r="J413" s="2612"/>
      <c r="K413" s="2612"/>
      <c r="L413" s="2612"/>
      <c r="M413" s="2612"/>
    </row>
    <row r="414" spans="4:15" ht="15" customHeight="1">
      <c r="D414" s="2605"/>
      <c r="E414" s="2605"/>
      <c r="F414" s="2611"/>
      <c r="G414" s="2612"/>
      <c r="H414" s="2612"/>
      <c r="I414" s="2612"/>
      <c r="J414" s="2612"/>
      <c r="K414" s="2612"/>
      <c r="L414" s="2612"/>
      <c r="M414" s="2612"/>
      <c r="N414" s="2607" t="s">
        <v>35</v>
      </c>
    </row>
    <row r="415" spans="4:15" ht="15" customHeight="1">
      <c r="D415" s="2605"/>
      <c r="E415" s="2615" t="s">
        <v>1707</v>
      </c>
      <c r="F415" s="2616"/>
      <c r="G415" s="2617" cm="1">
        <f t="array" ref="G415:N415">G390:N390*PCG_CO2+G401:N401*PCG_CH4+G412:N412*PCG_N2O</f>
        <v>3.9100447200000003E-3</v>
      </c>
      <c r="H415" s="2617">
        <v>3.9100447200000003E-3</v>
      </c>
      <c r="I415" s="2617">
        <v>3.9100447200000003E-3</v>
      </c>
      <c r="J415" s="2617">
        <v>3.9100447200000003E-3</v>
      </c>
      <c r="K415" s="2617">
        <v>3.9100447200000003E-3</v>
      </c>
      <c r="L415" s="2617">
        <v>3.9100447200000003E-3</v>
      </c>
      <c r="M415" s="2617">
        <v>3.9100447200000003E-3</v>
      </c>
      <c r="N415" s="2618">
        <v>3.9100447200000003E-3</v>
      </c>
    </row>
    <row r="416" spans="4:15" ht="15" customHeight="1">
      <c r="D416" s="2605"/>
      <c r="E416" s="2605"/>
      <c r="F416" s="2611"/>
      <c r="G416" s="2612"/>
      <c r="H416" s="2612"/>
      <c r="I416" s="2612"/>
      <c r="J416" s="2612"/>
      <c r="K416" s="2612"/>
      <c r="L416" s="2612"/>
      <c r="M416" s="2612"/>
    </row>
    <row r="417" spans="4:14" ht="15" customHeight="1">
      <c r="D417" s="2590"/>
      <c r="E417" s="2590" t="s">
        <v>1708</v>
      </c>
    </row>
    <row r="418" spans="4:14" ht="15" customHeight="1">
      <c r="D418" s="2605"/>
      <c r="E418" s="2619"/>
      <c r="F418" s="680"/>
      <c r="G418" s="2620"/>
      <c r="H418" s="2620"/>
      <c r="I418" s="2620"/>
      <c r="J418" s="2620"/>
      <c r="K418" s="2620"/>
      <c r="L418" s="2620"/>
      <c r="M418" s="2620"/>
      <c r="N418" s="2607" t="s">
        <v>1701</v>
      </c>
    </row>
    <row r="419" spans="4:14" ht="15" customHeight="1">
      <c r="E419" s="2592" t="s">
        <v>694</v>
      </c>
      <c r="F419" s="2592"/>
      <c r="G419" s="2592">
        <v>2018</v>
      </c>
      <c r="H419" s="2592">
        <v>2020</v>
      </c>
      <c r="I419" s="2592">
        <v>2025</v>
      </c>
      <c r="J419" s="2592">
        <v>2030</v>
      </c>
      <c r="K419" s="2592">
        <v>2035</v>
      </c>
      <c r="L419" s="2592">
        <v>2040</v>
      </c>
      <c r="M419" s="2592">
        <v>2045</v>
      </c>
      <c r="N419" s="2592">
        <v>2050</v>
      </c>
    </row>
    <row r="420" spans="4:14" ht="15" customHeight="1">
      <c r="E420" s="679" t="s">
        <v>1471</v>
      </c>
      <c r="G420" s="2621" cm="1">
        <f t="array" ref="G420">SF_NUMERO_DE_POZOS_PERFORACION_POZO_gas*FE_GAS_PERFORACION_POZO_CO2_CO2E_TPC*UNIDAD_Gg_A_T*UNIDAD_T_A_MT</f>
        <v>4.0499999999999995E-5</v>
      </c>
      <c r="H420" s="2621" cm="1">
        <f t="array" ref="H420">SF_NUMERO_DE_POZOS_PERFORACION_POZO_gas*FE_GAS_PERFORACION_POZO_CO2_CO2E_TPC*UNIDAD_Gg_A_T*UNIDAD_T_A_MT</f>
        <v>4.0499999999999995E-5</v>
      </c>
      <c r="I420" s="2621" cm="1">
        <f t="array" ref="I420">SF_NUMERO_DE_POZOS_PERFORACION_POZO_gas*FE_GAS_PERFORACION_POZO_CO2_CO2E_TPC*UNIDAD_Gg_A_T*UNIDAD_T_A_MT</f>
        <v>4.0499999999999995E-5</v>
      </c>
      <c r="J420" s="2621" cm="1">
        <f t="array" ref="J420">SF_NUMERO_DE_POZOS_PERFORACION_POZO_gas*FE_GAS_PERFORACION_POZO_CO2_CO2E_TPC*UNIDAD_Gg_A_T*UNIDAD_T_A_MT</f>
        <v>4.0499999999999995E-5</v>
      </c>
      <c r="K420" s="2621" cm="1">
        <f t="array" ref="K420">SF_NUMERO_DE_POZOS_PERFORACION_POZO_gas*FE_GAS_PERFORACION_POZO_CO2_CO2E_TPC*UNIDAD_Gg_A_T*UNIDAD_T_A_MT</f>
        <v>4.0499999999999995E-5</v>
      </c>
      <c r="L420" s="2621" cm="1">
        <f t="array" ref="L420">SF_NUMERO_DE_POZOS_PERFORACION_POZO_gas*FE_GAS_PERFORACION_POZO_CO2_CO2E_TPC*UNIDAD_Gg_A_T*UNIDAD_T_A_MT</f>
        <v>4.0499999999999995E-5</v>
      </c>
      <c r="M420" s="2621" cm="1">
        <f t="array" ref="M420">SF_NUMERO_DE_POZOS_PERFORACION_POZO_gas*FE_GAS_PERFORACION_POZO_CO2_CO2E_TPC*UNIDAD_Gg_A_T*UNIDAD_T_A_MT</f>
        <v>4.0499999999999995E-5</v>
      </c>
      <c r="N420" s="2621" cm="1">
        <f t="array" ref="N420">SF_NUMERO_DE_POZOS_PERFORACION_POZO_gas*FE_GAS_PERFORACION_POZO_CO2_CO2E_TPC*UNIDAD_Gg_A_T*UNIDAD_T_A_MT</f>
        <v>4.0499999999999995E-5</v>
      </c>
    </row>
    <row r="421" spans="4:14" ht="15" customHeight="1">
      <c r="E421" s="679" t="s">
        <v>1473</v>
      </c>
      <c r="G421" s="2621" cm="1">
        <f t="array" ref="G421">SF_NUMERO_DE_POZOS_EN_PRODUCCION_GAS*FE_GAS_PRUEBA_POZO_CO2_MT_CO2E_TPC*UNIDAD_Gg_A_T*UNIDAD_T_A_MT</f>
        <v>3.5775E-3</v>
      </c>
      <c r="H421" s="2621" cm="1">
        <f t="array" ref="H421">SF_NUMERO_DE_POZOS_EN_PRODUCCION_GAS*FE_GAS_PRUEBA_POZO_CO2_MT_CO2E_TPC*UNIDAD_Gg_A_T*UNIDAD_T_A_MT</f>
        <v>3.5775E-3</v>
      </c>
      <c r="I421" s="2621" cm="1">
        <f t="array" ref="I421">SF_NUMERO_DE_POZOS_EN_PRODUCCION_GAS*FE_GAS_PRUEBA_POZO_CO2_MT_CO2E_TPC*UNIDAD_Gg_A_T*UNIDAD_T_A_MT</f>
        <v>3.5775E-3</v>
      </c>
      <c r="J421" s="2621" cm="1">
        <f t="array" ref="J421">SF_NUMERO_DE_POZOS_EN_PRODUCCION_GAS*FE_GAS_PRUEBA_POZO_CO2_MT_CO2E_TPC*UNIDAD_Gg_A_T*UNIDAD_T_A_MT</f>
        <v>3.5775E-3</v>
      </c>
      <c r="K421" s="2621" cm="1">
        <f t="array" ref="K421">SF_NUMERO_DE_POZOS_EN_PRODUCCION_GAS*FE_GAS_PRUEBA_POZO_CO2_MT_CO2E_TPC*UNIDAD_Gg_A_T*UNIDAD_T_A_MT</f>
        <v>3.5775E-3</v>
      </c>
      <c r="L421" s="2621" cm="1">
        <f t="array" ref="L421">SF_NUMERO_DE_POZOS_EN_PRODUCCION_GAS*FE_GAS_PRUEBA_POZO_CO2_MT_CO2E_TPC*UNIDAD_Gg_A_T*UNIDAD_T_A_MT</f>
        <v>3.5775E-3</v>
      </c>
      <c r="M421" s="2621" cm="1">
        <f t="array" ref="M421">SF_NUMERO_DE_POZOS_EN_PRODUCCION_GAS*FE_GAS_PRUEBA_POZO_CO2_MT_CO2E_TPC*UNIDAD_Gg_A_T*UNIDAD_T_A_MT</f>
        <v>3.5775E-3</v>
      </c>
      <c r="N421" s="2621" cm="1">
        <f t="array" ref="N421">SF_NUMERO_DE_POZOS_EN_PRODUCCION_GAS*FE_GAS_PRUEBA_POZO_CO2_MT_CO2E_TPC*UNIDAD_Gg_A_T*UNIDAD_T_A_MT</f>
        <v>3.5775E-3</v>
      </c>
    </row>
    <row r="422" spans="4:14" ht="15" customHeight="1">
      <c r="E422" s="679" t="s">
        <v>1474</v>
      </c>
      <c r="G422" s="2621" cm="1">
        <f t="array" ref="G422">SF_NUMERO_DE_POZOS_EN_PRODUCCION_GAS*FE_GAS_SERVICIO_POZO_CO2_MT_CO2E_TPC*UNIDAD_Gg_A_T*UNIDAD_T_A_MT</f>
        <v>7.6274999999999992E-7</v>
      </c>
      <c r="H422" s="2621" cm="1">
        <f t="array" ref="H422">SF_NUMERO_DE_POZOS_EN_PRODUCCION_GAS*FE_GAS_SERVICIO_POZO_CO2_MT_CO2E_TPC*UNIDAD_Gg_A_T*UNIDAD_T_A_MT</f>
        <v>7.6274999999999992E-7</v>
      </c>
      <c r="I422" s="2621" cm="1">
        <f t="array" ref="I422">SF_NUMERO_DE_POZOS_EN_PRODUCCION_GAS*FE_GAS_SERVICIO_POZO_CO2_MT_CO2E_TPC*UNIDAD_Gg_A_T*UNIDAD_T_A_MT</f>
        <v>7.6274999999999992E-7</v>
      </c>
      <c r="J422" s="2621" cm="1">
        <f t="array" ref="J422">SF_NUMERO_DE_POZOS_EN_PRODUCCION_GAS*FE_GAS_SERVICIO_POZO_CO2_MT_CO2E_TPC*UNIDAD_Gg_A_T*UNIDAD_T_A_MT</f>
        <v>7.6274999999999992E-7</v>
      </c>
      <c r="K422" s="2621" cm="1">
        <f t="array" ref="K422">SF_NUMERO_DE_POZOS_EN_PRODUCCION_GAS*FE_GAS_SERVICIO_POZO_CO2_MT_CO2E_TPC*UNIDAD_Gg_A_T*UNIDAD_T_A_MT</f>
        <v>7.6274999999999992E-7</v>
      </c>
      <c r="L422" s="2621" cm="1">
        <f t="array" ref="L422">SF_NUMERO_DE_POZOS_EN_PRODUCCION_GAS*FE_GAS_SERVICIO_POZO_CO2_MT_CO2E_TPC*UNIDAD_Gg_A_T*UNIDAD_T_A_MT</f>
        <v>7.6274999999999992E-7</v>
      </c>
      <c r="M422" s="2621" cm="1">
        <f t="array" ref="M422">SF_NUMERO_DE_POZOS_EN_PRODUCCION_GAS*FE_GAS_SERVICIO_POZO_CO2_MT_CO2E_TPC*UNIDAD_Gg_A_T*UNIDAD_T_A_MT</f>
        <v>7.6274999999999992E-7</v>
      </c>
      <c r="N422" s="2621" cm="1">
        <f t="array" ref="N422">SF_NUMERO_DE_POZOS_EN_PRODUCCION_GAS*FE_GAS_SERVICIO_POZO_CO2_MT_CO2E_TPC*UNIDAD_Gg_A_T*UNIDAD_T_A_MT</f>
        <v>7.6274999999999992E-7</v>
      </c>
    </row>
    <row r="423" spans="4:14" ht="15" customHeight="1">
      <c r="E423" s="679" t="s">
        <v>1484</v>
      </c>
      <c r="G423" s="2621" cm="1">
        <f t="array" ref="G423:N423">_xlfn.ANCHORARRAY($G$376)*FE_GAS_PRODUCCION_GAS_CO2_MT_CO2E_TPC*UNIDAD_Gg_A_T*UNIDAD_T_A_MT*UNIDAD_Gg_A_T*UNIDAD_T_A_MT/1000000</f>
        <v>8.6131276322276266E-10</v>
      </c>
      <c r="H423" s="2621">
        <v>4.9473830563898812E-10</v>
      </c>
      <c r="I423" s="2621">
        <v>2.8842937627000096E-10</v>
      </c>
      <c r="J423" s="2621">
        <v>9.8224346363294299E-11</v>
      </c>
      <c r="K423" s="2621">
        <v>9.1994676512529116E-11</v>
      </c>
      <c r="L423" s="2621">
        <v>2.8220670290379416E-10</v>
      </c>
      <c r="M423" s="2621">
        <v>4.7241872929505914E-10</v>
      </c>
      <c r="N423" s="2621">
        <v>6.6263075568632434E-10</v>
      </c>
    </row>
    <row r="424" spans="4:14" ht="15" customHeight="1">
      <c r="E424" s="679" t="s">
        <v>1485</v>
      </c>
      <c r="G424" s="2621" cm="1">
        <f t="array" ref="G424:N424">_xlfn.ANCHORARRAY($G$377)*FE_GAS_TRANSMISION_ALMACENAMIENTO_GAS_CO2_MT_CO2E_TPC*UNIDAD_Gg_A_T*UNIDAD_T_A_MT*UNIDAD_Gg_A_T*UNIDAD_T_A_MT/1000000</f>
        <v>1.0098429180191819E-10</v>
      </c>
      <c r="H424" s="2621">
        <v>5.8005407043193569E-11</v>
      </c>
      <c r="I424" s="2621">
        <v>3.3816794016277586E-11</v>
      </c>
      <c r="J424" s="2621">
        <v>1.1516276640426603E-11</v>
      </c>
      <c r="K424" s="2621">
        <v>1.0785881335838999E-11</v>
      </c>
      <c r="L424" s="2621">
        <v>3.3087219011897277E-11</v>
      </c>
      <c r="M424" s="2621">
        <v>5.5388556687955578E-11</v>
      </c>
      <c r="N424" s="2621">
        <v>7.7689894364013865E-11</v>
      </c>
    </row>
    <row r="425" spans="4:14" ht="15" customHeight="1">
      <c r="E425" s="679" t="s">
        <v>1486</v>
      </c>
      <c r="G425" s="2621" cm="1">
        <f t="array" ref="G425:N425">_xlfn.ANCHORARRAY($G$378)*FE_GAS_PROCESAMIENTO_GAS_GAS_CO2_MT_CO2E_TPC*UNIDAD_Gg_A_T*UNIDAD_T_A_MT*UNIDAD_Gg_A_T*UNIDAD_T_A_MT/1000000</f>
        <v>6.4975281575617167E-7</v>
      </c>
      <c r="H425" s="2621">
        <v>3.7321820931641161E-7</v>
      </c>
      <c r="I425" s="2621">
        <v>2.1758391072368196E-7</v>
      </c>
      <c r="J425" s="2621">
        <v>7.4097991287810122E-8</v>
      </c>
      <c r="K425" s="2621">
        <v>6.9398484094139142E-8</v>
      </c>
      <c r="L425" s="2621">
        <v>2.1288968150304975E-7</v>
      </c>
      <c r="M425" s="2621">
        <v>3.5638087891196027E-7</v>
      </c>
      <c r="N425" s="2621">
        <v>4.998720763208708E-7</v>
      </c>
    </row>
    <row r="426" spans="4:14" ht="15" customHeight="1">
      <c r="E426" s="679" t="s">
        <v>1487</v>
      </c>
      <c r="G426" s="2621" cm="1">
        <f t="array" ref="G426:N426">_xlfn.ANCHORARRAY($G$378)*FE_GAS_DISTRIBUCION_CO2_MT_CO2E_TPC*UNIDAD_Gg_A_T*UNIDAD_T_A_MT/1000000</f>
        <v>5.826421962883981E-7</v>
      </c>
      <c r="H426" s="2621">
        <v>3.346698496687071E-7</v>
      </c>
      <c r="I426" s="2621">
        <v>1.9511045515597774E-7</v>
      </c>
      <c r="J426" s="2621">
        <v>6.6444677633670129E-8</v>
      </c>
      <c r="K426" s="2621">
        <v>6.2230565549204602E-8</v>
      </c>
      <c r="L426" s="2621">
        <v>1.9090107590179578E-7</v>
      </c>
      <c r="M426" s="2621">
        <v>3.195715862543869E-7</v>
      </c>
      <c r="N426" s="2621">
        <v>4.4824209660697807E-7</v>
      </c>
    </row>
    <row r="427" spans="4:14" ht="15" customHeight="1">
      <c r="E427" s="2609" t="s">
        <v>1704</v>
      </c>
      <c r="F427" s="2594"/>
      <c r="G427" s="2610">
        <f>SUM(G420:G426)</f>
        <v>3.6199961073090999E-3</v>
      </c>
      <c r="H427" s="2610">
        <f t="shared" ref="H427:N427" si="16">SUM(H420:H426)</f>
        <v>3.6194711908026978E-3</v>
      </c>
      <c r="I427" s="2610">
        <f t="shared" si="16"/>
        <v>3.6191757666120504E-3</v>
      </c>
      <c r="J427" s="2610">
        <f t="shared" si="16"/>
        <v>3.6189034024095446E-3</v>
      </c>
      <c r="K427" s="2610">
        <f t="shared" si="16"/>
        <v>3.6188944818302013E-3</v>
      </c>
      <c r="L427" s="2610">
        <f t="shared" si="16"/>
        <v>3.6191668560513275E-3</v>
      </c>
      <c r="M427" s="2610">
        <f t="shared" si="16"/>
        <v>3.6194392302724525E-3</v>
      </c>
      <c r="N427" s="2610">
        <f t="shared" si="16"/>
        <v>3.6197116044935783E-3</v>
      </c>
    </row>
    <row r="428" spans="4:14" ht="15" customHeight="1">
      <c r="E428" s="2605"/>
      <c r="F428" s="2611"/>
      <c r="G428" s="2605"/>
      <c r="H428" s="2612"/>
      <c r="I428" s="2612"/>
      <c r="J428" s="2612"/>
      <c r="K428" s="2612"/>
      <c r="L428" s="2612"/>
      <c r="M428" s="2612"/>
      <c r="N428" s="2612"/>
    </row>
    <row r="429" spans="4:14" ht="15" customHeight="1">
      <c r="E429" s="2622"/>
      <c r="N429" s="2607" t="s">
        <v>1705</v>
      </c>
    </row>
    <row r="430" spans="4:14" ht="15" customHeight="1">
      <c r="E430" s="2592" t="s">
        <v>695</v>
      </c>
      <c r="F430" s="2592"/>
      <c r="G430" s="2592">
        <v>2018</v>
      </c>
      <c r="H430" s="2592">
        <v>2020</v>
      </c>
      <c r="I430" s="2592">
        <v>2025</v>
      </c>
      <c r="J430" s="2592">
        <v>2030</v>
      </c>
      <c r="K430" s="2592">
        <v>2035</v>
      </c>
      <c r="L430" s="2592">
        <v>2040</v>
      </c>
      <c r="M430" s="2592">
        <v>2045</v>
      </c>
      <c r="N430" s="2592">
        <v>2050</v>
      </c>
    </row>
    <row r="431" spans="4:14" ht="15" customHeight="1">
      <c r="E431" s="679" t="s">
        <v>1471</v>
      </c>
      <c r="G431" s="2808" cm="1">
        <f t="array" ref="G431">SF_NUMERO_DE_POZOS_PERFORACION_POZO_gas*FE_GAS_PERFORACION_POZO_CH4_MT_CO2E_TPC*UNIDAD_Gg_A_T*UNIDAD_T_A_MT</f>
        <v>1.3342499999999998E-5</v>
      </c>
      <c r="H431" s="2808">
        <f t="shared" ref="H431:N431" si="17">SF_NUMERO_DE_POZOS_PERFORACION_POZO_gas*FE_GAS_PERFORACION_POZO_CH4_MT_CO2E_TPC</f>
        <v>1.33425E-2</v>
      </c>
      <c r="I431" s="2808">
        <f t="shared" si="17"/>
        <v>1.33425E-2</v>
      </c>
      <c r="J431" s="2808">
        <f t="shared" si="17"/>
        <v>1.33425E-2</v>
      </c>
      <c r="K431" s="2808">
        <f t="shared" si="17"/>
        <v>1.33425E-2</v>
      </c>
      <c r="L431" s="2808">
        <f t="shared" si="17"/>
        <v>1.33425E-2</v>
      </c>
      <c r="M431" s="2808">
        <f t="shared" si="17"/>
        <v>1.33425E-2</v>
      </c>
      <c r="N431" s="2808">
        <f t="shared" si="17"/>
        <v>1.33425E-2</v>
      </c>
    </row>
    <row r="432" spans="4:14" ht="15" customHeight="1">
      <c r="E432" s="679" t="s">
        <v>1473</v>
      </c>
      <c r="G432" s="2808" cm="1">
        <f t="array" ref="G432">SF_NUMERO_DE_POZOS_EN_PRODUCCION_GAS*FE_GAS_PRUEBA_POZO_CH4_MT_CO2E_TPC*UNIDAD_Gg_A_T*UNIDAD_T_A_MT</f>
        <v>2.0272499999999996E-5</v>
      </c>
      <c r="H432" s="2808">
        <f t="shared" ref="H432:N432" si="18">SF_NUMERO_DE_POZOS_EN_PRODUCCION_GAS*FE_GAS_PRUEBA_POZO_CH4_MT_CO2E_TPC</f>
        <v>2.0272499999999999E-2</v>
      </c>
      <c r="I432" s="2808">
        <f t="shared" si="18"/>
        <v>2.0272499999999999E-2</v>
      </c>
      <c r="J432" s="2808">
        <f t="shared" si="18"/>
        <v>2.0272499999999999E-2</v>
      </c>
      <c r="K432" s="2808">
        <f t="shared" si="18"/>
        <v>2.0272499999999999E-2</v>
      </c>
      <c r="L432" s="2808">
        <f t="shared" si="18"/>
        <v>2.0272499999999999E-2</v>
      </c>
      <c r="M432" s="2808">
        <f t="shared" si="18"/>
        <v>2.0272499999999999E-2</v>
      </c>
      <c r="N432" s="2808">
        <f t="shared" si="18"/>
        <v>2.0272499999999999E-2</v>
      </c>
    </row>
    <row r="433" spans="5:14" ht="15" customHeight="1">
      <c r="E433" s="679" t="s">
        <v>1474</v>
      </c>
      <c r="G433" s="2808" cm="1">
        <f t="array" ref="G433">SF_NUMERO_DE_POZOS_EN_PRODUCCION_GAS*FE_GAS_SERVICIO_POZO_CH4_MT_CO2E_TPC*UNIDAD_Gg_A_T*UNIDAD_T_A_MT</f>
        <v>4.2975000000000001E-5</v>
      </c>
      <c r="H433" s="2808">
        <f t="shared" ref="H433:N433" si="19">SF_NUMERO_DE_POZOS_EN_PRODUCCION_GAS*FE_GAS_SERVICIO_POZO_CH4_MT_CO2E_TPC</f>
        <v>4.2974999999999999E-2</v>
      </c>
      <c r="I433" s="2808">
        <f t="shared" si="19"/>
        <v>4.2974999999999999E-2</v>
      </c>
      <c r="J433" s="2808">
        <f t="shared" si="19"/>
        <v>4.2974999999999999E-2</v>
      </c>
      <c r="K433" s="2808">
        <f t="shared" si="19"/>
        <v>4.2974999999999999E-2</v>
      </c>
      <c r="L433" s="2808">
        <f t="shared" si="19"/>
        <v>4.2974999999999999E-2</v>
      </c>
      <c r="M433" s="2808">
        <f t="shared" si="19"/>
        <v>4.2974999999999999E-2</v>
      </c>
      <c r="N433" s="2808">
        <f t="shared" si="19"/>
        <v>4.2974999999999999E-2</v>
      </c>
    </row>
    <row r="434" spans="5:14" ht="15" customHeight="1">
      <c r="E434" s="679" t="s">
        <v>1484</v>
      </c>
      <c r="G434" s="2808" cm="1">
        <f t="array" ref="G434:N434">_xlfn.ANCHORARRAY($G$376)*FE_GAS_PRODUCCION_GAS_CH4_MT_CO2E_TPC*UNIDAD_Gg_A_T*UNIDAD_T_A_MT/1000000</f>
        <v>1.5790733992417315E-8</v>
      </c>
      <c r="H434" s="2809">
        <v>9.0702022700481154E-9</v>
      </c>
      <c r="I434" s="2809">
        <v>5.2878718982833517E-9</v>
      </c>
      <c r="J434" s="2809">
        <v>1.8007796833270622E-9</v>
      </c>
      <c r="K434" s="2809">
        <v>1.6865690693963673E-9</v>
      </c>
      <c r="L434" s="2809">
        <v>5.1737895532362263E-9</v>
      </c>
      <c r="M434" s="2809">
        <v>8.6610100370760851E-9</v>
      </c>
      <c r="N434" s="2809">
        <v>1.2148230520915945E-8</v>
      </c>
    </row>
    <row r="435" spans="5:14" ht="15" customHeight="1">
      <c r="E435" s="679" t="s">
        <v>1485</v>
      </c>
      <c r="G435" s="2808" cm="1">
        <f t="array" ref="G435:N435">_xlfn.ANCHORARRAY($G$377)*FE_GAS_TRANSMISION_ALMACENAMIENTO_GAS_CH4_MT_CO2E_TPC*UNIDAD_Gg_A_T*UNIDAD_T_A_MT/1000000</f>
        <v>1.0487129302601049E-6</v>
      </c>
      <c r="H435" s="2809">
        <v>6.0238101694586687E-7</v>
      </c>
      <c r="I435" s="2809">
        <v>3.5118441207050386E-7</v>
      </c>
      <c r="J435" s="2809">
        <v>1.1959551337902606E-7</v>
      </c>
      <c r="K435" s="2809">
        <v>1.1201042280251584E-7</v>
      </c>
      <c r="L435" s="2809">
        <v>3.436078402390257E-7</v>
      </c>
      <c r="M435" s="2809">
        <v>5.7520525767553538E-7</v>
      </c>
      <c r="N435" s="2809">
        <v>8.0680267511204543E-7</v>
      </c>
    </row>
    <row r="436" spans="5:14" ht="15" customHeight="1">
      <c r="E436" s="679" t="s">
        <v>1486</v>
      </c>
      <c r="G436" s="2808" t="str" cm="1">
        <f t="array" ref="G436">IF(FE_GAS_PROCESAMIENTO_GAS_GAS_CH4_MT_CO2E_TPC="-","-",_xlfn.ANCHORARRAY($G$378)*FE_GAS_PROCESAMIENTO_GAS_GAS_CH4_MT_CO2E_TPC*UNIDAD_Gg_A_T*UNIDAD_T_A_MT/1000000)</f>
        <v>-</v>
      </c>
      <c r="H436" s="2808" t="str" cm="1">
        <f t="array" ref="H436">IF(FE_GAS_PROCESAMIENTO_GAS_GAS_CH4_MT_CO2E_TPC="-","-",_xlfn.ANCHORARRAY($G$378)*FE_GAS_PROCESAMIENTO_GAS_GAS_CH4_MT_CO2E_TPC)</f>
        <v>-</v>
      </c>
      <c r="I436" s="2808" t="str" cm="1">
        <f t="array" ref="I436">IF(FE_GAS_PROCESAMIENTO_GAS_GAS_CH4_MT_CO2E_TPC="-","-",_xlfn.ANCHORARRAY($G$378)*FE_GAS_PROCESAMIENTO_GAS_GAS_CH4_MT_CO2E_TPC)</f>
        <v>-</v>
      </c>
      <c r="J436" s="2808" t="str" cm="1">
        <f t="array" ref="J436">IF(FE_GAS_PROCESAMIENTO_GAS_GAS_CH4_MT_CO2E_TPC="-","-",_xlfn.ANCHORARRAY($G$378)*FE_GAS_PROCESAMIENTO_GAS_GAS_CH4_MT_CO2E_TPC)</f>
        <v>-</v>
      </c>
      <c r="K436" s="2808" t="str" cm="1">
        <f t="array" ref="K436">IF(FE_GAS_PROCESAMIENTO_GAS_GAS_CH4_MT_CO2E_TPC="-","-",_xlfn.ANCHORARRAY($G$378)*FE_GAS_PROCESAMIENTO_GAS_GAS_CH4_MT_CO2E_TPC)</f>
        <v>-</v>
      </c>
      <c r="L436" s="2808" t="str" cm="1">
        <f t="array" ref="L436">IF(FE_GAS_PROCESAMIENTO_GAS_GAS_CH4_MT_CO2E_TPC="-","-",_xlfn.ANCHORARRAY($G$378)*FE_GAS_PROCESAMIENTO_GAS_GAS_CH4_MT_CO2E_TPC)</f>
        <v>-</v>
      </c>
      <c r="M436" s="2808" t="str" cm="1">
        <f t="array" ref="M436">IF(FE_GAS_PROCESAMIENTO_GAS_GAS_CH4_MT_CO2E_TPC="-","-",_xlfn.ANCHORARRAY($G$378)*FE_GAS_PROCESAMIENTO_GAS_GAS_CH4_MT_CO2E_TPC)</f>
        <v>-</v>
      </c>
      <c r="N436" s="2808" t="str" cm="1">
        <f t="array" ref="N436">IF(FE_GAS_PROCESAMIENTO_GAS_GAS_CH4_MT_CO2E_TPC="-","-",_xlfn.ANCHORARRAY($G$378)*FE_GAS_PROCESAMIENTO_GAS_GAS_CH4_MT_CO2E_TPC)</f>
        <v>-</v>
      </c>
    </row>
    <row r="437" spans="5:14" ht="15" customHeight="1">
      <c r="E437" s="679" t="s">
        <v>1487</v>
      </c>
      <c r="G437" s="2808" cm="1">
        <f t="array" ref="G437:N437">_xlfn.ANCHORARRAY($G$377)*FE_GAS_DISTRIBUCION_CH4_MT_CO2E_TPC*UNIDAD_Gg_A_T*UNIDAD_T_A_MT/1000000</f>
        <v>5.5972817626929258E-6</v>
      </c>
      <c r="H437" s="2809">
        <v>3.2150802980061099E-6</v>
      </c>
      <c r="I437" s="2809">
        <v>1.8743719547128453E-6</v>
      </c>
      <c r="J437" s="2809">
        <v>6.3831556436544677E-7</v>
      </c>
      <c r="K437" s="2809">
        <v>5.9783175995412452E-7</v>
      </c>
      <c r="L437" s="2809">
        <v>1.8339336172876094E-6</v>
      </c>
      <c r="M437" s="2809">
        <v>3.0700354746210949E-6</v>
      </c>
      <c r="N437" s="2809">
        <v>4.3061373319545792E-6</v>
      </c>
    </row>
    <row r="438" spans="5:14" ht="15" customHeight="1">
      <c r="E438" s="2609" t="s">
        <v>1704</v>
      </c>
      <c r="F438" s="2594"/>
      <c r="G438" s="2610">
        <f t="shared" ref="G438:N438" si="20">SUM(G431:G437)</f>
        <v>8.3251785426945453E-5</v>
      </c>
      <c r="H438" s="2610">
        <f t="shared" si="20"/>
        <v>7.6593826531517209E-2</v>
      </c>
      <c r="I438" s="2610">
        <f t="shared" si="20"/>
        <v>7.6592230844238676E-2</v>
      </c>
      <c r="J438" s="2610">
        <f t="shared" si="20"/>
        <v>7.6590759711857415E-2</v>
      </c>
      <c r="K438" s="2610">
        <f t="shared" si="20"/>
        <v>7.6590711528751812E-2</v>
      </c>
      <c r="L438" s="2610">
        <f t="shared" si="20"/>
        <v>7.6592182715247065E-2</v>
      </c>
      <c r="M438" s="2610">
        <f t="shared" si="20"/>
        <v>7.6593653901742317E-2</v>
      </c>
      <c r="N438" s="2610">
        <f t="shared" si="20"/>
        <v>7.6595125088237584E-2</v>
      </c>
    </row>
    <row r="439" spans="5:14" ht="15" customHeight="1">
      <c r="E439" s="2605"/>
      <c r="F439" s="2611"/>
      <c r="G439" s="2605"/>
      <c r="H439" s="2612"/>
      <c r="I439" s="2612"/>
      <c r="J439" s="2612"/>
      <c r="K439" s="2612"/>
      <c r="L439" s="2612"/>
      <c r="M439" s="2612"/>
      <c r="N439" s="2612"/>
    </row>
    <row r="440" spans="5:14" ht="15" customHeight="1">
      <c r="E440" s="2623"/>
      <c r="N440" s="2607" t="s">
        <v>1706</v>
      </c>
    </row>
    <row r="441" spans="5:14" ht="15" customHeight="1">
      <c r="E441" s="2592" t="s">
        <v>1616</v>
      </c>
      <c r="F441" s="2592"/>
      <c r="G441" s="2592">
        <v>2018</v>
      </c>
      <c r="H441" s="2592">
        <v>2020</v>
      </c>
      <c r="I441" s="2592">
        <v>2025</v>
      </c>
      <c r="J441" s="2592">
        <v>2030</v>
      </c>
      <c r="K441" s="2592">
        <v>2035</v>
      </c>
      <c r="L441" s="2592">
        <v>2040</v>
      </c>
      <c r="M441" s="2592">
        <v>2045</v>
      </c>
      <c r="N441" s="2592">
        <v>2050</v>
      </c>
    </row>
    <row r="442" spans="5:14" ht="15" customHeight="1">
      <c r="E442" s="679" t="s">
        <v>1471</v>
      </c>
      <c r="G442" s="2624" cm="1">
        <f t="array" ref="G442">SF_NUMERO_DE_POZOS_PERFORACION_POZO_gas*FE_GAS_PERFORACION_POZO_N2O_MT_CO2E_TPC*UNIDAD_Gg_A_T*UNIDAD_T_A_MT</f>
        <v>0</v>
      </c>
      <c r="H442" s="2624" cm="1">
        <f t="array" ref="H442">SF_NUMERO_DE_POZOS_PERFORACION_POZO_gas*FE_GAS_PERFORACION_POZO_N2O_MT_CO2E_TPC*UNIDAD_Gg_A_T*UNIDAD_T_A_MT</f>
        <v>0</v>
      </c>
      <c r="I442" s="2624" cm="1">
        <f t="array" ref="I442">SF_NUMERO_DE_POZOS_PERFORACION_POZO_gas*FE_GAS_PERFORACION_POZO_N2O_MT_CO2E_TPC*UNIDAD_Gg_A_T*UNIDAD_T_A_MT</f>
        <v>0</v>
      </c>
      <c r="J442" s="2624" cm="1">
        <f t="array" ref="J442">SF_NUMERO_DE_POZOS_PERFORACION_POZO_gas*FE_GAS_PERFORACION_POZO_N2O_MT_CO2E_TPC*UNIDAD_Gg_A_T*UNIDAD_T_A_MT</f>
        <v>0</v>
      </c>
      <c r="K442" s="2624" cm="1">
        <f t="array" ref="K442">SF_NUMERO_DE_POZOS_PERFORACION_POZO_gas*FE_GAS_PERFORACION_POZO_N2O_MT_CO2E_TPC*UNIDAD_Gg_A_T*UNIDAD_T_A_MT</f>
        <v>0</v>
      </c>
      <c r="L442" s="2624" cm="1">
        <f t="array" ref="L442">SF_NUMERO_DE_POZOS_PERFORACION_POZO_gas*FE_GAS_PERFORACION_POZO_N2O_MT_CO2E_TPC*UNIDAD_Gg_A_T*UNIDAD_T_A_MT</f>
        <v>0</v>
      </c>
      <c r="M442" s="2624" cm="1">
        <f t="array" ref="M442">SF_NUMERO_DE_POZOS_PERFORACION_POZO_gas*FE_GAS_PERFORACION_POZO_N2O_MT_CO2E_TPC*UNIDAD_Gg_A_T*UNIDAD_T_A_MT</f>
        <v>0</v>
      </c>
      <c r="N442" s="2624" cm="1">
        <f t="array" ref="N442">SF_NUMERO_DE_POZOS_PERFORACION_POZO_gas*FE_GAS_PERFORACION_POZO_N2O_MT_CO2E_TPC*UNIDAD_Gg_A_T*UNIDAD_T_A_MT</f>
        <v>0</v>
      </c>
    </row>
    <row r="443" spans="5:14" ht="15" customHeight="1">
      <c r="E443" s="679" t="s">
        <v>1473</v>
      </c>
      <c r="G443" s="2624" cm="1">
        <f t="array" ref="G443">SF_NUMERO_DE_POZOS_EN_PRODUCCION_GAS*FE_GAS_PRUEBA_POZO_N2O_MT_CO2E_TPC*UNIDAD_Gg_A_T*UNIDAD_T_A_MT</f>
        <v>2.6280000000000001E-8</v>
      </c>
      <c r="H443" s="2624" cm="1">
        <f t="array" ref="H443">SF_NUMERO_DE_POZOS_EN_PRODUCCION_GAS*FE_GAS_PRUEBA_POZO_N2O_MT_CO2E_TPC*UNIDAD_Gg_A_T*UNIDAD_T_A_MT</f>
        <v>2.6280000000000001E-8</v>
      </c>
      <c r="I443" s="2624" cm="1">
        <f t="array" ref="I443">SF_NUMERO_DE_POZOS_EN_PRODUCCION_GAS*FE_GAS_PRUEBA_POZO_N2O_MT_CO2E_TPC*UNIDAD_Gg_A_T*UNIDAD_T_A_MT</f>
        <v>2.6280000000000001E-8</v>
      </c>
      <c r="J443" s="2624" cm="1">
        <f t="array" ref="J443">SF_NUMERO_DE_POZOS_EN_PRODUCCION_GAS*FE_GAS_PRUEBA_POZO_N2O_MT_CO2E_TPC*UNIDAD_Gg_A_T*UNIDAD_T_A_MT</f>
        <v>2.6280000000000001E-8</v>
      </c>
      <c r="K443" s="2624" cm="1">
        <f t="array" ref="K443">SF_NUMERO_DE_POZOS_EN_PRODUCCION_GAS*FE_GAS_PRUEBA_POZO_N2O_MT_CO2E_TPC*UNIDAD_Gg_A_T*UNIDAD_T_A_MT</f>
        <v>2.6280000000000001E-8</v>
      </c>
      <c r="L443" s="2624" cm="1">
        <f t="array" ref="L443">SF_NUMERO_DE_POZOS_EN_PRODUCCION_GAS*FE_GAS_PRUEBA_POZO_N2O_MT_CO2E_TPC*UNIDAD_Gg_A_T*UNIDAD_T_A_MT</f>
        <v>2.6280000000000001E-8</v>
      </c>
      <c r="M443" s="2624" cm="1">
        <f t="array" ref="M443">SF_NUMERO_DE_POZOS_EN_PRODUCCION_GAS*FE_GAS_PRUEBA_POZO_N2O_MT_CO2E_TPC*UNIDAD_Gg_A_T*UNIDAD_T_A_MT</f>
        <v>2.6280000000000001E-8</v>
      </c>
      <c r="N443" s="2624" cm="1">
        <f t="array" ref="N443">SF_NUMERO_DE_POZOS_EN_PRODUCCION_GAS*FE_GAS_PRUEBA_POZO_N2O_MT_CO2E_TPC*UNIDAD_Gg_A_T*UNIDAD_T_A_MT</f>
        <v>2.6280000000000001E-8</v>
      </c>
    </row>
    <row r="444" spans="5:14" ht="15" customHeight="1">
      <c r="E444" s="679" t="s">
        <v>1474</v>
      </c>
      <c r="G444" s="2624" cm="1">
        <f t="array" ref="G444">SF_NUMERO_DE_POZOS_EN_PRODUCCION_GAS*FE_GAS_SERVICIO_POZO_N2O_MT_CO2E_TPC*UNIDAD_Gg_A_T*UNIDAD_T_A_MT</f>
        <v>0</v>
      </c>
      <c r="H444" s="2624" cm="1">
        <f t="array" ref="H444">SF_NUMERO_DE_POZOS_EN_PRODUCCION_GAS*FE_GAS_SERVICIO_POZO_N2O_MT_CO2E_TPC*UNIDAD_Gg_A_T*UNIDAD_T_A_MT</f>
        <v>0</v>
      </c>
      <c r="I444" s="2624" cm="1">
        <f t="array" ref="I444">SF_NUMERO_DE_POZOS_EN_PRODUCCION_GAS*FE_GAS_SERVICIO_POZO_N2O_MT_CO2E_TPC*UNIDAD_Gg_A_T*UNIDAD_T_A_MT</f>
        <v>0</v>
      </c>
      <c r="J444" s="2624" cm="1">
        <f t="array" ref="J444">SF_NUMERO_DE_POZOS_EN_PRODUCCION_GAS*FE_GAS_SERVICIO_POZO_N2O_MT_CO2E_TPC*UNIDAD_Gg_A_T*UNIDAD_T_A_MT</f>
        <v>0</v>
      </c>
      <c r="K444" s="2624" cm="1">
        <f t="array" ref="K444">SF_NUMERO_DE_POZOS_EN_PRODUCCION_GAS*FE_GAS_SERVICIO_POZO_N2O_MT_CO2E_TPC*UNIDAD_Gg_A_T*UNIDAD_T_A_MT</f>
        <v>0</v>
      </c>
      <c r="L444" s="2624" cm="1">
        <f t="array" ref="L444">SF_NUMERO_DE_POZOS_EN_PRODUCCION_GAS*FE_GAS_SERVICIO_POZO_N2O_MT_CO2E_TPC*UNIDAD_Gg_A_T*UNIDAD_T_A_MT</f>
        <v>0</v>
      </c>
      <c r="M444" s="2624" cm="1">
        <f t="array" ref="M444">SF_NUMERO_DE_POZOS_EN_PRODUCCION_GAS*FE_GAS_SERVICIO_POZO_N2O_MT_CO2E_TPC*UNIDAD_Gg_A_T*UNIDAD_T_A_MT</f>
        <v>0</v>
      </c>
      <c r="N444" s="2624" cm="1">
        <f t="array" ref="N444">SF_NUMERO_DE_POZOS_EN_PRODUCCION_GAS*FE_GAS_SERVICIO_POZO_N2O_MT_CO2E_TPC*UNIDAD_Gg_A_T*UNIDAD_T_A_MT</f>
        <v>0</v>
      </c>
    </row>
    <row r="445" spans="5:14" ht="15" customHeight="1">
      <c r="E445" s="679" t="s">
        <v>1484</v>
      </c>
      <c r="G445" s="2624" cm="1">
        <f t="array" ref="G445:N445">_xlfn.ANCHORARRAY($G$376)*FE_GAS_PRODUCCION_GAS_N2O_MT_CO2E_TPC*UNIDAD_Gg_A_T*UNIDAD_T_A_MT/1000000</f>
        <v>4.4860039751185556E-10</v>
      </c>
      <c r="H445" s="2597">
        <v>2.5767620085363955E-10</v>
      </c>
      <c r="I445" s="2597">
        <v>1.5022363347395885E-10</v>
      </c>
      <c r="J445" s="2597">
        <v>5.1158513730882438E-11</v>
      </c>
      <c r="K445" s="2597">
        <v>4.7913894016942253E-11</v>
      </c>
      <c r="L445" s="2597">
        <v>1.469826577623928E-10</v>
      </c>
      <c r="M445" s="2597">
        <v>2.4605142150784335E-10</v>
      </c>
      <c r="N445" s="2597">
        <v>3.4512018525329386E-10</v>
      </c>
    </row>
    <row r="446" spans="5:14" ht="15" customHeight="1">
      <c r="E446" s="679" t="s">
        <v>1485</v>
      </c>
      <c r="G446" s="2624" cm="1">
        <f t="array" ref="G446:N446">_xlfn.ANCHORARRAY($G$377)*FE_GAS_TRANSMISION_ALMACENAMIENTO_GAS_N2O_MT_CO2E_TPC*UNIDAD_Gg_A_T*UNIDAD_T_A_MT/1000000</f>
        <v>0</v>
      </c>
      <c r="H446" s="2597">
        <v>0</v>
      </c>
      <c r="I446" s="2597">
        <v>0</v>
      </c>
      <c r="J446" s="2597">
        <v>0</v>
      </c>
      <c r="K446" s="2597">
        <v>0</v>
      </c>
      <c r="L446" s="2597">
        <v>0</v>
      </c>
      <c r="M446" s="2597">
        <v>0</v>
      </c>
      <c r="N446" s="2597">
        <v>0</v>
      </c>
    </row>
    <row r="447" spans="5:14" ht="15" customHeight="1">
      <c r="E447" s="679" t="s">
        <v>1486</v>
      </c>
      <c r="G447" s="2624" cm="1">
        <f t="array" ref="G447:N447">_xlfn.ANCHORARRAY($G$378)*FE_GAS_PROCESAMIENTO_GAS_GAS_N2O_MT_CO2E_TPC*UNIDAD_Gg_A_T*UNIDAD_T_A_MT/1000000</f>
        <v>0</v>
      </c>
      <c r="H447" s="2597">
        <v>0</v>
      </c>
      <c r="I447" s="2597">
        <v>0</v>
      </c>
      <c r="J447" s="2597">
        <v>0</v>
      </c>
      <c r="K447" s="2597">
        <v>0</v>
      </c>
      <c r="L447" s="2597">
        <v>0</v>
      </c>
      <c r="M447" s="2597">
        <v>0</v>
      </c>
      <c r="N447" s="2597">
        <v>0</v>
      </c>
    </row>
    <row r="448" spans="5:14" ht="15" customHeight="1">
      <c r="E448" s="679" t="s">
        <v>1487</v>
      </c>
      <c r="G448" s="2624" cm="1">
        <f t="array" ref="G448:N448">_xlfn.ANCHORARRAY($G$377)*FE_GAS_DISTRIBUCION_N2O_MT_CO2E_TPC*UNIDAD_Gg_A_T*UNIDAD_T_A_MT/1000000</f>
        <v>0</v>
      </c>
      <c r="H448" s="2597">
        <v>0</v>
      </c>
      <c r="I448" s="2597">
        <v>0</v>
      </c>
      <c r="J448" s="2597">
        <v>0</v>
      </c>
      <c r="K448" s="2597">
        <v>0</v>
      </c>
      <c r="L448" s="2597">
        <v>0</v>
      </c>
      <c r="M448" s="2597">
        <v>0</v>
      </c>
      <c r="N448" s="2597">
        <v>0</v>
      </c>
    </row>
    <row r="449" spans="4:14" ht="15" customHeight="1">
      <c r="E449" s="2609" t="s">
        <v>1704</v>
      </c>
      <c r="F449" s="2594"/>
      <c r="G449" s="2610">
        <f t="shared" ref="G449:N449" si="21">SUM(G442:G448)</f>
        <v>2.6728600397511856E-8</v>
      </c>
      <c r="H449" s="2610">
        <f t="shared" si="21"/>
        <v>2.6537676200853639E-8</v>
      </c>
      <c r="I449" s="2610">
        <f t="shared" si="21"/>
        <v>2.6430223633473959E-8</v>
      </c>
      <c r="J449" s="2610">
        <f t="shared" si="21"/>
        <v>2.6331158513730882E-8</v>
      </c>
      <c r="K449" s="2610">
        <f t="shared" si="21"/>
        <v>2.6327913894016943E-8</v>
      </c>
      <c r="L449" s="2610">
        <f t="shared" si="21"/>
        <v>2.6426982657762393E-8</v>
      </c>
      <c r="M449" s="2625">
        <f t="shared" si="21"/>
        <v>2.6526051421507846E-8</v>
      </c>
      <c r="N449" s="2625">
        <f t="shared" si="21"/>
        <v>2.6625120185253296E-8</v>
      </c>
    </row>
    <row r="450" spans="4:14" ht="15" customHeight="1">
      <c r="E450" s="2605"/>
      <c r="F450" s="2611"/>
      <c r="G450" s="2605"/>
      <c r="H450" s="2612"/>
      <c r="I450" s="2612"/>
      <c r="J450" s="2612"/>
      <c r="K450" s="2612"/>
      <c r="L450" s="2612"/>
      <c r="M450" s="2612"/>
      <c r="N450" s="2612"/>
    </row>
    <row r="451" spans="4:14" ht="15" customHeight="1">
      <c r="D451" s="2605"/>
      <c r="E451" s="2605"/>
      <c r="F451" s="2611"/>
      <c r="G451" s="2612"/>
      <c r="H451" s="2612"/>
      <c r="I451" s="2612"/>
      <c r="J451" s="2612"/>
      <c r="K451" s="2612"/>
      <c r="L451" s="2612"/>
      <c r="M451" s="2612"/>
      <c r="N451" s="2607" t="s">
        <v>35</v>
      </c>
    </row>
    <row r="452" spans="4:14" ht="15" customHeight="1">
      <c r="D452" s="2605"/>
      <c r="E452" s="2615" t="s">
        <v>1709</v>
      </c>
      <c r="F452" s="2616"/>
      <c r="G452" s="2617" cm="1">
        <f t="array" ref="G452:N452">G427:N427*PCG_CO2+G438:N438*PCG_CH4+G449:N449*PCG_N2O</f>
        <v>5.9581291783689138E-3</v>
      </c>
      <c r="H452" s="2617">
        <v>2.1482536465574777</v>
      </c>
      <c r="I452" s="2617">
        <v>2.1482086434145575</v>
      </c>
      <c r="J452" s="2617">
        <v>2.1481671530914235</v>
      </c>
      <c r="K452" s="2617">
        <v>2.1481657941840626</v>
      </c>
      <c r="L452" s="2617">
        <v>2.1482072860333736</v>
      </c>
      <c r="M452" s="2617">
        <v>2.1482487778826842</v>
      </c>
      <c r="N452" s="2618">
        <v>2.1482902697319948</v>
      </c>
    </row>
    <row r="453" spans="4:14" ht="15" customHeight="1">
      <c r="E453" s="2605"/>
      <c r="F453" s="2611"/>
      <c r="G453" s="2605"/>
      <c r="H453" s="2612"/>
      <c r="I453" s="2612"/>
      <c r="J453" s="2612"/>
      <c r="K453" s="2612"/>
      <c r="L453" s="2612"/>
      <c r="M453" s="2612"/>
      <c r="N453" s="2612"/>
    </row>
    <row r="454" spans="4:14" ht="15" customHeight="1">
      <c r="D454" s="2590"/>
      <c r="E454" s="2590" t="s">
        <v>1710</v>
      </c>
    </row>
    <row r="455" spans="4:14" ht="15" customHeight="1">
      <c r="D455" s="2605"/>
      <c r="E455" s="2619"/>
      <c r="F455" s="680"/>
      <c r="G455" s="2620"/>
      <c r="H455" s="2620"/>
      <c r="I455" s="2620"/>
      <c r="J455" s="2620"/>
      <c r="K455" s="2620"/>
      <c r="L455" s="2620"/>
      <c r="M455" s="2620"/>
      <c r="N455" s="2607" t="s">
        <v>35</v>
      </c>
    </row>
    <row r="456" spans="4:14" ht="15" customHeight="1">
      <c r="E456" s="2592" t="s">
        <v>694</v>
      </c>
      <c r="F456" s="2592"/>
      <c r="G456" s="2592">
        <v>2018</v>
      </c>
      <c r="H456" s="2592">
        <v>2020</v>
      </c>
      <c r="I456" s="2592">
        <v>2025</v>
      </c>
      <c r="J456" s="2592">
        <v>2030</v>
      </c>
      <c r="K456" s="2592">
        <v>2035</v>
      </c>
      <c r="L456" s="2592">
        <v>2040</v>
      </c>
      <c r="M456" s="2592">
        <v>2045</v>
      </c>
      <c r="N456" s="2592">
        <v>2050</v>
      </c>
    </row>
    <row r="457" spans="4:14" ht="15" customHeight="1">
      <c r="E457" s="679" t="s">
        <v>1711</v>
      </c>
      <c r="G457" s="2626" cm="1">
        <f t="array" ref="G457:N457">_xlfn.ANCHORARRAY(G458)*PCG_CO2+_xlfn.ANCHORARRAY(G459)*PCG_CH4</f>
        <v>7.2437492381171559E-2</v>
      </c>
      <c r="H457" s="2626">
        <v>6.950746421296608E-2</v>
      </c>
      <c r="I457" s="2626">
        <v>3.3537205252787174E-2</v>
      </c>
      <c r="J457" s="2626">
        <v>3.3182411289328598E-2</v>
      </c>
      <c r="K457" s="2626">
        <v>3.2828229039600122E-2</v>
      </c>
      <c r="L457" s="2626">
        <v>3.2473435076141539E-2</v>
      </c>
      <c r="M457" s="2626">
        <v>3.2118641112682964E-2</v>
      </c>
      <c r="N457" s="2626">
        <v>3.1763847149224395E-2</v>
      </c>
    </row>
    <row r="458" spans="4:14" ht="15" customHeight="1">
      <c r="E458" s="2628" t="s">
        <v>694</v>
      </c>
      <c r="F458" s="2628"/>
      <c r="G458" s="2629" cm="1">
        <f t="array" ref="G458:N458">(SF_PRODUCCION_CARBON_T*SF_PRODUCCION_CARBON_SUBTERRANEA_PORCENTAJE*FE_PROD_CARBON_EXTRACCION_SUBTERRANEA_M3_CO2_T+SF_PRODUCCION_CARBON_T*SF_PRODUCCION_CARBON_SUBTERRANEA_PORCENTAJE*FE_PROD_CARBON_EXTRACCION_SUBTERRANEA_M3_CO2_T*FE_PROD_CARBON_POST_EXTRACCION_SUBTERRANEA_M3_CO2_T)*DENSIDAD_CO2_M3_A_KG*UNIDAD_KG_A_MT</f>
        <v>2.6661826680037776E-5</v>
      </c>
      <c r="H458" s="2629">
        <v>2.5583380966080004E-5</v>
      </c>
      <c r="I458" s="2629">
        <v>1.2343927493755721E-5</v>
      </c>
      <c r="J458" s="2629">
        <v>1.2213339660716443E-5</v>
      </c>
      <c r="K458" s="2629">
        <v>1.2082976979113443E-5</v>
      </c>
      <c r="L458" s="2629">
        <v>1.1952389146074168E-5</v>
      </c>
      <c r="M458" s="2629">
        <v>1.182180131303489E-5</v>
      </c>
      <c r="N458" s="2629">
        <v>1.1691213479995614E-5</v>
      </c>
    </row>
    <row r="459" spans="4:14" ht="15" customHeight="1">
      <c r="E459" s="2628" t="s">
        <v>695</v>
      </c>
      <c r="F459" s="2628"/>
      <c r="G459" s="2629" cm="1">
        <f t="array" ref="G459:N459">(SF_PRODUCCION_CARBON_T*SF_PRODUCCION_CARBON_SUBTERRANEA_PORCENTAJE*FE_PROD_CARBON_EXTRACCION_SUBTERRANEA_VENTEO_M3_CH4_T+SF_PRODUCCION_CARBON_T*SF_PRODUCCION_CARBON_SUBTERRANEA_PORCENTAJE*FE_PROD_CARBON_POST_EXTRACCION_SUBTERRANEA_M3_CH4_T)*DENSIDAD_CH4_M3_A_KG*UNIDAD_KG_A_MT</f>
        <v>2.5861010912318402E-3</v>
      </c>
      <c r="H459" s="2629">
        <v>2.4814957440000003E-3</v>
      </c>
      <c r="I459" s="2629">
        <v>1.1973164759033364E-3</v>
      </c>
      <c r="J459" s="2629">
        <v>1.184649926773853E-3</v>
      </c>
      <c r="K459" s="2629">
        <v>1.1720052165221789E-3</v>
      </c>
      <c r="L459" s="2629">
        <v>1.1593386673926954E-3</v>
      </c>
      <c r="M459" s="2629">
        <v>1.1466721182632118E-3</v>
      </c>
      <c r="N459" s="2629">
        <v>1.1340055691337284E-3</v>
      </c>
    </row>
    <row r="460" spans="4:14" ht="15" customHeight="1">
      <c r="E460" s="679" t="s">
        <v>1712</v>
      </c>
      <c r="G460" s="2626" cm="1">
        <f t="array" ref="G460:N460">G461:N461*PCG_CO2+_xlfn.ANCHORARRAY(G462)*PCG_CH4</f>
        <v>6.2478619379694296E-2</v>
      </c>
      <c r="H460" s="2626">
        <v>5.9951418220800003E-2</v>
      </c>
      <c r="I460" s="2626">
        <v>2.892643316559939E-2</v>
      </c>
      <c r="J460" s="2626">
        <v>2.8620417091982469E-2</v>
      </c>
      <c r="K460" s="2626">
        <v>2.8314928632285581E-2</v>
      </c>
      <c r="L460" s="2626">
        <v>2.8008912558668667E-2</v>
      </c>
      <c r="M460" s="2626">
        <v>2.770289648505174E-2</v>
      </c>
      <c r="N460" s="2626">
        <v>2.7396880411434815E-2</v>
      </c>
    </row>
    <row r="461" spans="4:14" ht="15" customHeight="1">
      <c r="E461" s="2628" t="s">
        <v>694</v>
      </c>
      <c r="F461" s="2628"/>
      <c r="G461" s="2630" cm="1">
        <f t="array" ref="G461:N461">SF_PRODUCCION_CARBON_T*SF_PRODUCCION_CARBON_CIELO_ABIERTO_PORCENTAJE*G147*DENSIDAD_CO2_M3_A_KG*UNIDAD_KG_A_MT</f>
        <v>5.7341420390548815E-4</v>
      </c>
      <c r="H461" s="2629">
        <v>5.5022014080000005E-4</v>
      </c>
      <c r="I461" s="2629">
        <v>2.6548006038155578E-4</v>
      </c>
      <c r="J461" s="2629">
        <v>2.6267151619512074E-4</v>
      </c>
      <c r="K461" s="2629">
        <v>2.5986781432624847E-4</v>
      </c>
      <c r="L461" s="2629">
        <v>2.5705927013981343E-4</v>
      </c>
      <c r="M461" s="2629">
        <v>2.5425072595337833E-4</v>
      </c>
      <c r="N461" s="2629">
        <v>2.5144218176694329E-4</v>
      </c>
    </row>
    <row r="462" spans="4:14" ht="15" customHeight="1">
      <c r="E462" s="2628" t="s">
        <v>695</v>
      </c>
      <c r="F462" s="2628"/>
      <c r="G462" s="2629" cm="1">
        <f t="array" ref="G462:N462">(SF_PRODUCCION_CARBON_T*SF_PRODUCCION_CARBON_CIELO_ABIERTO_PORCENTAJE*FE_PROD_CARBON_EXTRACCION_CIELO_ABIERTO_M3_CH4_T+SF_PRODUCCION_CARBON_T*SF_PRODUCCION_CARBON_CIELO_ABIERTO_PORCENTAJE*FE_PROD_CARBON_POST_EXTRACCION_CIELO_ABIERTO)*DENSIDAD_CH4_M3_A_KG*UNIDAD_KG_A_MT</f>
        <v>2.2109001848496001E-3</v>
      </c>
      <c r="H462" s="2629">
        <v>2.1214713600000001E-3</v>
      </c>
      <c r="I462" s="2629">
        <v>1.0236054680434941E-3</v>
      </c>
      <c r="J462" s="2629">
        <v>1.012776627706691E-3</v>
      </c>
      <c r="K462" s="2629">
        <v>1.0019664577842619E-3</v>
      </c>
      <c r="L462" s="2629">
        <v>9.9113761744745905E-4</v>
      </c>
      <c r="M462" s="2629">
        <v>9.8030877711065582E-4</v>
      </c>
      <c r="N462" s="2629">
        <v>9.6947993677385259E-4</v>
      </c>
    </row>
    <row r="463" spans="4:14" ht="15" customHeight="1">
      <c r="E463" s="2609" t="s">
        <v>1704</v>
      </c>
      <c r="F463" s="2594"/>
      <c r="G463" s="2610" cm="1">
        <f t="array" ref="G463:N463">_xlfn.ANCHORARRAY(G457)+_xlfn.ANCHORARRAY(G460)</f>
        <v>0.13491611176086585</v>
      </c>
      <c r="H463" s="2610">
        <v>0.12945888243376608</v>
      </c>
      <c r="I463" s="2610">
        <v>6.2463638418386563E-2</v>
      </c>
      <c r="J463" s="2610">
        <v>6.180282838131107E-2</v>
      </c>
      <c r="K463" s="2610">
        <v>6.1143157671885703E-2</v>
      </c>
      <c r="L463" s="2610">
        <v>6.048234763481021E-2</v>
      </c>
      <c r="M463" s="2610">
        <v>5.9821537597734703E-2</v>
      </c>
      <c r="N463" s="2610">
        <v>5.916072756065921E-2</v>
      </c>
    </row>
    <row r="464" spans="4:14" ht="15" customHeight="1">
      <c r="E464" s="2218"/>
      <c r="F464" s="2631"/>
      <c r="G464" s="2218"/>
      <c r="H464" s="2612"/>
      <c r="I464" s="2612"/>
      <c r="J464" s="2612"/>
      <c r="K464" s="2612"/>
      <c r="L464" s="2612"/>
      <c r="M464" s="2612"/>
      <c r="N464" s="2612"/>
    </row>
    <row r="465" spans="4:15" ht="15" customHeight="1">
      <c r="E465" s="2632" t="s">
        <v>1713</v>
      </c>
      <c r="F465" s="2503"/>
      <c r="G465" s="2597"/>
      <c r="H465" s="2503"/>
      <c r="I465" s="2503"/>
      <c r="J465" s="2503"/>
      <c r="K465" s="2503"/>
      <c r="L465" s="2503"/>
      <c r="M465" s="2503"/>
      <c r="N465" s="2503"/>
    </row>
    <row r="466" spans="4:15" ht="15" customHeight="1">
      <c r="E466" s="2632"/>
      <c r="F466" s="2503"/>
      <c r="G466" s="2503"/>
      <c r="H466" s="2503"/>
      <c r="I466" s="2503"/>
      <c r="J466" s="2503"/>
      <c r="K466" s="2503"/>
      <c r="L466" s="2503"/>
      <c r="M466" s="2503"/>
      <c r="N466" s="2591" t="s">
        <v>9</v>
      </c>
      <c r="O466" s="2627"/>
    </row>
    <row r="467" spans="4:15" ht="15" customHeight="1">
      <c r="E467" s="2633"/>
      <c r="F467" s="2633"/>
      <c r="G467" s="2633">
        <v>2018</v>
      </c>
      <c r="H467" s="2633">
        <v>2020</v>
      </c>
      <c r="I467" s="2633">
        <v>2025</v>
      </c>
      <c r="J467" s="2633">
        <v>2030</v>
      </c>
      <c r="K467" s="2633">
        <v>2035</v>
      </c>
      <c r="L467" s="2633">
        <v>2040</v>
      </c>
      <c r="M467" s="2633">
        <v>2045</v>
      </c>
      <c r="N467" s="2633">
        <v>2050</v>
      </c>
      <c r="O467" s="2627"/>
    </row>
    <row r="468" spans="4:15" ht="15" customHeight="1">
      <c r="E468" s="2634" t="s">
        <v>522</v>
      </c>
      <c r="F468" s="2635"/>
      <c r="G468" s="2944" cm="1">
        <f t="array" ref="G468:N468">(_xlfn.ANCHORARRAY($G$372)*SF_CONSUMO_ENERGETICOS_REFINERIA_GAS_NATURAL)*(1-INDEX(ST_EFICIENCIA_ENERGETICA_REFINACION_PETROLEO,0))</f>
        <v>0</v>
      </c>
      <c r="H468" s="2944">
        <v>0</v>
      </c>
      <c r="I468" s="2944">
        <v>0</v>
      </c>
      <c r="J468" s="2944">
        <v>0</v>
      </c>
      <c r="K468" s="2944">
        <v>0</v>
      </c>
      <c r="L468" s="2944">
        <v>0</v>
      </c>
      <c r="M468" s="2944">
        <v>0</v>
      </c>
      <c r="N468" s="2944">
        <v>0</v>
      </c>
      <c r="O468" s="2627"/>
    </row>
    <row r="469" spans="4:15" ht="15" customHeight="1">
      <c r="E469" s="2636" t="s">
        <v>525</v>
      </c>
      <c r="F469" s="697"/>
      <c r="G469" s="2945" cm="1">
        <f t="array" ref="G469:N469">_xlfn.ANCHORARRAY($G$372)*SF_CONSUMO_ENERGETICOS_REFINERIA_PETROLEO*(1-INDEX(ST_EFICIENCIA_ENERGETICA_REFINACION_PETROLEO,0))</f>
        <v>0</v>
      </c>
      <c r="H469" s="2945">
        <v>0</v>
      </c>
      <c r="I469" s="2945">
        <v>0</v>
      </c>
      <c r="J469" s="2945">
        <v>0</v>
      </c>
      <c r="K469" s="2945">
        <v>0</v>
      </c>
      <c r="L469" s="2945">
        <v>0</v>
      </c>
      <c r="M469" s="2945">
        <v>0</v>
      </c>
      <c r="N469" s="2945">
        <v>0</v>
      </c>
    </row>
    <row r="470" spans="4:15" ht="15" customHeight="1">
      <c r="E470" s="2636" t="s">
        <v>526</v>
      </c>
      <c r="F470" s="697"/>
      <c r="G470" s="2945" cm="1">
        <f t="array" ref="G470:N470">(_xlfn.ANCHORARRAY($G$372)*SF_CONSUMO_ENERGETICOS_REFINERIA_DIESEL)*(1-INDEX(ST_EFICIENCIA_ENERGETICA_REFINACION_PETROLEO,0))</f>
        <v>0</v>
      </c>
      <c r="H470" s="2945">
        <v>0</v>
      </c>
      <c r="I470" s="2945">
        <v>0</v>
      </c>
      <c r="J470" s="2945">
        <v>0</v>
      </c>
      <c r="K470" s="2945">
        <v>0</v>
      </c>
      <c r="L470" s="2945">
        <v>0</v>
      </c>
      <c r="M470" s="2945">
        <v>0</v>
      </c>
      <c r="N470" s="2945">
        <v>0</v>
      </c>
    </row>
    <row r="471" spans="4:15" ht="15" customHeight="1">
      <c r="E471" s="2636" t="s">
        <v>527</v>
      </c>
      <c r="F471" s="2637"/>
      <c r="G471" s="2945" cm="1">
        <f t="array" ref="G471:N471">_xlfn.ANCHORARRAY($G$372)*SF_CONSUMO_ENERGETICOS_REFINERIA_FUEL_OIL*(1-INDEX(ST_EFICIENCIA_ENERGETICA_REFINACION_PETROLEO,0))</f>
        <v>0</v>
      </c>
      <c r="H471" s="2946">
        <v>0</v>
      </c>
      <c r="I471" s="2946">
        <v>0</v>
      </c>
      <c r="J471" s="2946">
        <v>0</v>
      </c>
      <c r="K471" s="2946">
        <v>0</v>
      </c>
      <c r="L471" s="2946">
        <v>0</v>
      </c>
      <c r="M471" s="2946">
        <v>0</v>
      </c>
      <c r="N471" s="2946">
        <v>0</v>
      </c>
    </row>
    <row r="472" spans="4:15" ht="15" customHeight="1">
      <c r="E472" s="2636" t="s">
        <v>498</v>
      </c>
      <c r="F472" s="697"/>
      <c r="G472" s="2945" cm="1">
        <f t="array" ref="G472:N472">_xlfn.ANCHORARRAY($G$372)*SF_CONSUMO_ENERGETICOS_REFINERIA_GLP*(1-INDEX(ST_EFICIENCIA_ENERGETICA_REFINACION_PETROLEO,0))</f>
        <v>0</v>
      </c>
      <c r="H472" s="2945">
        <v>0</v>
      </c>
      <c r="I472" s="2945">
        <v>0</v>
      </c>
      <c r="J472" s="2945">
        <v>0</v>
      </c>
      <c r="K472" s="2945">
        <v>0</v>
      </c>
      <c r="L472" s="2945">
        <v>0</v>
      </c>
      <c r="M472" s="2945">
        <v>0</v>
      </c>
      <c r="N472" s="2945">
        <v>0</v>
      </c>
    </row>
    <row r="473" spans="4:15" ht="15" customHeight="1">
      <c r="D473" s="2638"/>
      <c r="E473" s="2636" t="s">
        <v>528</v>
      </c>
      <c r="F473" s="697"/>
      <c r="G473" s="2945" cm="1">
        <f t="array" ref="G473:N473">_xlfn.ANCHORARRAY($G$372)*SF_CONSUMO_ENERGETICOS_REFINERIA_GASOLINA_MOTOR*(1-INDEX(ST_EFICIENCIA_ENERGETICA_REFINACION_PETROLEO,0))</f>
        <v>0</v>
      </c>
      <c r="H473" s="2945">
        <v>0</v>
      </c>
      <c r="I473" s="2945">
        <v>0</v>
      </c>
      <c r="J473" s="2945">
        <v>0</v>
      </c>
      <c r="K473" s="2945">
        <v>0</v>
      </c>
      <c r="L473" s="2945">
        <v>0</v>
      </c>
      <c r="M473" s="2945">
        <v>0</v>
      </c>
      <c r="N473" s="2945">
        <v>0</v>
      </c>
    </row>
    <row r="474" spans="4:15" ht="15" customHeight="1">
      <c r="D474" s="2590"/>
      <c r="E474" s="2636" t="s">
        <v>1660</v>
      </c>
      <c r="F474" s="697"/>
      <c r="G474" s="2945" cm="1">
        <f t="array" ref="G474:N474">_xlfn.ANCHORARRAY($G$372)*SF_CONSUMO_ENERGETICOS_REFINERIA_QUEROSENO*(1-INDEX(ST_EFICIENCIA_ENERGETICA_REFINACION_PETROLEO,0))</f>
        <v>0</v>
      </c>
      <c r="H474" s="2945">
        <v>0</v>
      </c>
      <c r="I474" s="2945">
        <v>0</v>
      </c>
      <c r="J474" s="2945">
        <v>0</v>
      </c>
      <c r="K474" s="2945">
        <v>0</v>
      </c>
      <c r="L474" s="2945">
        <v>0</v>
      </c>
      <c r="M474" s="2945">
        <v>0</v>
      </c>
      <c r="N474" s="2945">
        <v>0</v>
      </c>
    </row>
    <row r="475" spans="4:15" ht="15" customHeight="1">
      <c r="D475" s="2605"/>
      <c r="E475" s="3106" t="s">
        <v>1714</v>
      </c>
      <c r="F475" s="3107"/>
      <c r="G475" s="3108">
        <f t="shared" ref="G475:N475" si="22">SUM(G468:G474)</f>
        <v>0</v>
      </c>
      <c r="H475" s="3108">
        <f t="shared" si="22"/>
        <v>0</v>
      </c>
      <c r="I475" s="3108">
        <f t="shared" si="22"/>
        <v>0</v>
      </c>
      <c r="J475" s="3108">
        <f t="shared" si="22"/>
        <v>0</v>
      </c>
      <c r="K475" s="3108">
        <f t="shared" si="22"/>
        <v>0</v>
      </c>
      <c r="L475" s="3108">
        <f t="shared" si="22"/>
        <v>0</v>
      </c>
      <c r="M475" s="3108">
        <f t="shared" si="22"/>
        <v>0</v>
      </c>
      <c r="N475" s="3108">
        <f t="shared" si="22"/>
        <v>0</v>
      </c>
    </row>
    <row r="476" spans="4:15" ht="15" customHeight="1">
      <c r="D476" s="2605"/>
      <c r="E476" s="2605"/>
      <c r="F476" s="2605"/>
      <c r="G476" s="2639"/>
      <c r="H476" s="2640"/>
      <c r="I476" s="2640"/>
      <c r="J476" s="2640"/>
      <c r="K476" s="2640"/>
      <c r="L476" s="2640"/>
      <c r="M476" s="2640"/>
      <c r="N476" s="2640"/>
    </row>
    <row r="477" spans="4:15" ht="15" customHeight="1">
      <c r="D477" s="2605"/>
      <c r="E477" s="2632" t="s">
        <v>1715</v>
      </c>
      <c r="F477" s="2627"/>
      <c r="G477" s="2641"/>
      <c r="H477" s="2627"/>
      <c r="I477" s="2627"/>
      <c r="J477" s="2627"/>
      <c r="K477" s="2627"/>
      <c r="L477" s="2627"/>
      <c r="M477" s="2627"/>
      <c r="N477" s="2627"/>
    </row>
    <row r="478" spans="4:15" ht="15" customHeight="1">
      <c r="D478" s="2605"/>
      <c r="E478" s="2627"/>
      <c r="F478" s="2627"/>
      <c r="G478" s="2642"/>
      <c r="H478" s="2627"/>
      <c r="I478" s="2627"/>
      <c r="J478" s="2627"/>
      <c r="K478" s="2627"/>
      <c r="L478" s="2627"/>
      <c r="M478" s="2627"/>
      <c r="N478" s="2627"/>
    </row>
    <row r="479" spans="4:15" ht="15" customHeight="1">
      <c r="E479" s="2632"/>
      <c r="F479" s="2503"/>
      <c r="G479" s="2503"/>
      <c r="H479" s="2503"/>
      <c r="I479" s="2503"/>
      <c r="J479" s="2503"/>
      <c r="K479" s="2503"/>
      <c r="L479" s="2503"/>
      <c r="M479" s="2503"/>
      <c r="N479" s="2604" t="s">
        <v>1716</v>
      </c>
    </row>
    <row r="480" spans="4:15" ht="15" customHeight="1">
      <c r="E480" s="2633" t="s">
        <v>694</v>
      </c>
      <c r="F480" s="2633"/>
      <c r="G480" s="2633">
        <v>2018</v>
      </c>
      <c r="H480" s="2633">
        <v>2020</v>
      </c>
      <c r="I480" s="2633">
        <v>2025</v>
      </c>
      <c r="J480" s="2633">
        <v>2030</v>
      </c>
      <c r="K480" s="2633">
        <v>2035</v>
      </c>
      <c r="L480" s="2633">
        <v>2040</v>
      </c>
      <c r="M480" s="2633">
        <v>2045</v>
      </c>
      <c r="N480" s="2633">
        <v>2050</v>
      </c>
    </row>
    <row r="481" spans="4:14" ht="15" customHeight="1">
      <c r="E481" s="2634" t="s">
        <v>522</v>
      </c>
      <c r="F481" s="2635"/>
      <c r="G481" s="2643" cm="1">
        <f t="array" ref="G481:N481">_xlfn.ANCHORARRAY(G468)*FE_COMBUSTION_REFINACION_CREUDO_CO2_GAS_NATURAL_CO2_TJ/UNIDAD_TJ_A_TWH*UNIDAD_KG_A_MT</f>
        <v>0</v>
      </c>
      <c r="H481" s="2643">
        <v>0</v>
      </c>
      <c r="I481" s="2643">
        <v>0</v>
      </c>
      <c r="J481" s="2643">
        <v>0</v>
      </c>
      <c r="K481" s="2643">
        <v>0</v>
      </c>
      <c r="L481" s="2643">
        <v>0</v>
      </c>
      <c r="M481" s="2643">
        <v>0</v>
      </c>
      <c r="N481" s="2643">
        <v>0</v>
      </c>
    </row>
    <row r="482" spans="4:14" ht="15" customHeight="1">
      <c r="E482" s="2636" t="s">
        <v>525</v>
      </c>
      <c r="F482" s="697"/>
      <c r="G482" s="2644" cm="1">
        <f t="array" ref="G482:N482">_xlfn.ANCHORARRAY(G469)*FE_COMBUSTION_REFINACION_CREUDO_CO2_PETROLEO_CO2_TJ/UNIDAD_TJ_A_TWH*UNIDAD_KG_A_MT</f>
        <v>0</v>
      </c>
      <c r="H482" s="2644">
        <v>0</v>
      </c>
      <c r="I482" s="2644">
        <v>0</v>
      </c>
      <c r="J482" s="2644">
        <v>0</v>
      </c>
      <c r="K482" s="2644">
        <v>0</v>
      </c>
      <c r="L482" s="2644">
        <v>0</v>
      </c>
      <c r="M482" s="2644">
        <v>0</v>
      </c>
      <c r="N482" s="2644">
        <v>0</v>
      </c>
    </row>
    <row r="483" spans="4:14" ht="15" customHeight="1">
      <c r="E483" s="2636" t="s">
        <v>526</v>
      </c>
      <c r="F483" s="697"/>
      <c r="G483" s="2644" cm="1">
        <f t="array" ref="G483:N483">_xlfn.ANCHORARRAY(G470)*FE_COMBUSTION_REFINACION_CREUDO_CO2_DIESEL_OIL_CO2_TJ*UNIDAD_TWH_A_TJ*UNIDAD_KG_A_MT</f>
        <v>0</v>
      </c>
      <c r="H483" s="2644">
        <v>0</v>
      </c>
      <c r="I483" s="2644">
        <v>0</v>
      </c>
      <c r="J483" s="2644">
        <v>0</v>
      </c>
      <c r="K483" s="2644">
        <v>0</v>
      </c>
      <c r="L483" s="2644">
        <v>0</v>
      </c>
      <c r="M483" s="2644">
        <v>0</v>
      </c>
      <c r="N483" s="2644">
        <v>0</v>
      </c>
    </row>
    <row r="484" spans="4:14" ht="15" customHeight="1">
      <c r="E484" s="2636" t="s">
        <v>527</v>
      </c>
      <c r="F484" s="2637"/>
      <c r="G484" s="2644" cm="1">
        <f t="array" ref="G484:N484">_xlfn.ANCHORARRAY(G471)*FE_COMBUSTION_REFINACION_CREUDO_CO2_FUEL_OIL_CO2_TJ/UNIDAD_TJ_A_TWH*UNIDAD_KG_A_MT</f>
        <v>0</v>
      </c>
      <c r="H484" s="2645">
        <v>0</v>
      </c>
      <c r="I484" s="2645">
        <v>0</v>
      </c>
      <c r="J484" s="2645">
        <v>0</v>
      </c>
      <c r="K484" s="2645">
        <v>0</v>
      </c>
      <c r="L484" s="2645">
        <v>0</v>
      </c>
      <c r="M484" s="2645">
        <v>0</v>
      </c>
      <c r="N484" s="2645">
        <v>0</v>
      </c>
    </row>
    <row r="485" spans="4:14" ht="15" customHeight="1">
      <c r="E485" s="2636" t="s">
        <v>498</v>
      </c>
      <c r="F485" s="697"/>
      <c r="G485" s="2644" cm="1">
        <f t="array" ref="G485:N485">_xlfn.ANCHORARRAY(G472)*FE_COMBUSTION_REFINACION_CREUDO_CO2_GLP_CO2_TJ/UNIDAD_TJ_A_TWH*UNIDAD_KG_A_MT</f>
        <v>0</v>
      </c>
      <c r="H485" s="2644">
        <v>0</v>
      </c>
      <c r="I485" s="2644">
        <v>0</v>
      </c>
      <c r="J485" s="2644">
        <v>0</v>
      </c>
      <c r="K485" s="2644">
        <v>0</v>
      </c>
      <c r="L485" s="2644">
        <v>0</v>
      </c>
      <c r="M485" s="2644">
        <v>0</v>
      </c>
      <c r="N485" s="2644">
        <v>0</v>
      </c>
    </row>
    <row r="486" spans="4:14" ht="15" customHeight="1">
      <c r="D486" s="2638"/>
      <c r="E486" s="2636" t="s">
        <v>528</v>
      </c>
      <c r="F486" s="697"/>
      <c r="G486" s="2644" cm="1">
        <f t="array" ref="G486:N486">_xlfn.ANCHORARRAY(G473)*FE_COMBUSTION_REFINACION_CREUDO_CO2_GASOLINA_MOTORES_CO2_TJ/UNIDAD_TJ_A_TWH*UNIDAD_KG_A_MT</f>
        <v>0</v>
      </c>
      <c r="H486" s="2644">
        <v>0</v>
      </c>
      <c r="I486" s="2644">
        <v>0</v>
      </c>
      <c r="J486" s="2644">
        <v>0</v>
      </c>
      <c r="K486" s="2644">
        <v>0</v>
      </c>
      <c r="L486" s="2644">
        <v>0</v>
      </c>
      <c r="M486" s="2644">
        <v>0</v>
      </c>
      <c r="N486" s="2644">
        <v>0</v>
      </c>
    </row>
    <row r="487" spans="4:14" ht="15" customHeight="1">
      <c r="D487" s="2590"/>
      <c r="E487" s="2636" t="s">
        <v>1660</v>
      </c>
      <c r="F487" s="697"/>
      <c r="G487" s="2644" cm="1">
        <f t="array" ref="G487:N487">_xlfn.ANCHORARRAY(G474)*FE_COMBUSTION_REFINACION_CREUDO_CO2_QUEROSENO_CO2_TJ/UNIDAD_TJ_A_TWH*UNIDAD_KG_A_MT</f>
        <v>0</v>
      </c>
      <c r="H487" s="2644">
        <v>0</v>
      </c>
      <c r="I487" s="2644">
        <v>0</v>
      </c>
      <c r="J487" s="2644">
        <v>0</v>
      </c>
      <c r="K487" s="2644">
        <v>0</v>
      </c>
      <c r="L487" s="2644">
        <v>0</v>
      </c>
      <c r="M487" s="2644">
        <v>0</v>
      </c>
      <c r="N487" s="2644">
        <v>0</v>
      </c>
    </row>
    <row r="488" spans="4:14" ht="15" customHeight="1">
      <c r="D488" s="2605"/>
      <c r="E488" s="2646" t="s">
        <v>338</v>
      </c>
      <c r="F488" s="2646"/>
      <c r="G488" s="2647">
        <f t="shared" ref="G488:N488" si="23">SUM(G481:G487)</f>
        <v>0</v>
      </c>
      <c r="H488" s="2647">
        <f t="shared" si="23"/>
        <v>0</v>
      </c>
      <c r="I488" s="2647">
        <f t="shared" si="23"/>
        <v>0</v>
      </c>
      <c r="J488" s="2647">
        <f t="shared" si="23"/>
        <v>0</v>
      </c>
      <c r="K488" s="2647">
        <f t="shared" si="23"/>
        <v>0</v>
      </c>
      <c r="L488" s="2647">
        <f t="shared" si="23"/>
        <v>0</v>
      </c>
      <c r="M488" s="2647">
        <f t="shared" si="23"/>
        <v>0</v>
      </c>
      <c r="N488" s="2647">
        <f t="shared" si="23"/>
        <v>0</v>
      </c>
    </row>
    <row r="489" spans="4:14" ht="15" customHeight="1">
      <c r="D489" s="2605"/>
      <c r="E489" s="684"/>
      <c r="F489" s="684"/>
      <c r="G489" s="2648"/>
      <c r="H489" s="2648"/>
      <c r="I489" s="2648"/>
      <c r="J489" s="2648"/>
      <c r="K489" s="2648"/>
      <c r="L489" s="2648"/>
      <c r="M489" s="2648"/>
      <c r="N489" s="2648"/>
    </row>
    <row r="490" spans="4:14" ht="15" customHeight="1">
      <c r="E490" s="2632"/>
      <c r="F490" s="2503"/>
      <c r="G490" s="2503"/>
      <c r="H490" s="2503"/>
      <c r="I490" s="2503"/>
      <c r="J490" s="2503"/>
      <c r="K490" s="2503"/>
      <c r="L490" s="2503"/>
      <c r="M490" s="2503"/>
      <c r="N490" s="2604" t="s">
        <v>1705</v>
      </c>
    </row>
    <row r="491" spans="4:14" ht="15" customHeight="1">
      <c r="E491" s="2633" t="s">
        <v>695</v>
      </c>
      <c r="F491" s="2633"/>
      <c r="G491" s="2633">
        <v>2018</v>
      </c>
      <c r="H491" s="2633">
        <v>2020</v>
      </c>
      <c r="I491" s="2633">
        <v>2025</v>
      </c>
      <c r="J491" s="2633">
        <v>2030</v>
      </c>
      <c r="K491" s="2633">
        <v>2035</v>
      </c>
      <c r="L491" s="2633">
        <v>2040</v>
      </c>
      <c r="M491" s="2633">
        <v>2045</v>
      </c>
      <c r="N491" s="2633">
        <v>2050</v>
      </c>
    </row>
    <row r="492" spans="4:14" ht="15" customHeight="1">
      <c r="E492" s="2634" t="s">
        <v>522</v>
      </c>
      <c r="F492" s="2635"/>
      <c r="G492" s="2643" cm="1">
        <f t="array" ref="G492:N492">_xlfn.ANCHORARRAY(G468)*FE_COMBUSTION_REFINACION_CREUDO_CH4_GAS_NATURAL_KGCH4_TJ/UNIDAD_TJ_A_TWH*UNIDAD_KG_A_MT</f>
        <v>0</v>
      </c>
      <c r="H492" s="2643">
        <v>0</v>
      </c>
      <c r="I492" s="2643">
        <v>0</v>
      </c>
      <c r="J492" s="2643">
        <v>0</v>
      </c>
      <c r="K492" s="2643">
        <v>0</v>
      </c>
      <c r="L492" s="2643">
        <v>0</v>
      </c>
      <c r="M492" s="2643">
        <v>0</v>
      </c>
      <c r="N492" s="2643">
        <v>0</v>
      </c>
    </row>
    <row r="493" spans="4:14" ht="15" customHeight="1">
      <c r="E493" s="2636" t="s">
        <v>525</v>
      </c>
      <c r="F493" s="697"/>
      <c r="G493" s="2644" cm="1">
        <f t="array" ref="G493:N493">_xlfn.ANCHORARRAY(G469)*FE_COMBUSTION_REFINACION_CREUDO_CH4_PETROLEO_KGCH4_TJ/UNIDAD_TJ_A_TWH*UNIDAD_KG_A_MT</f>
        <v>0</v>
      </c>
      <c r="H493" s="2644">
        <v>0</v>
      </c>
      <c r="I493" s="2644">
        <v>0</v>
      </c>
      <c r="J493" s="2644">
        <v>0</v>
      </c>
      <c r="K493" s="2644">
        <v>0</v>
      </c>
      <c r="L493" s="2644">
        <v>0</v>
      </c>
      <c r="M493" s="2644">
        <v>0</v>
      </c>
      <c r="N493" s="2644">
        <v>0</v>
      </c>
    </row>
    <row r="494" spans="4:14" ht="15" customHeight="1">
      <c r="E494" s="2636" t="s">
        <v>526</v>
      </c>
      <c r="F494" s="697"/>
      <c r="G494" s="2644" cm="1">
        <f t="array" ref="G494:N494">_xlfn.ANCHORARRAY(G470)*FE_COMBUSTION_REFINACION_CREUDO_CH4_DIESEL_OIL_KGCH4_TJ/UNIDAD_TJ_A_TWH*UNIDAD_KG_A_MT</f>
        <v>0</v>
      </c>
      <c r="H494" s="2644">
        <v>0</v>
      </c>
      <c r="I494" s="2644">
        <v>0</v>
      </c>
      <c r="J494" s="2644">
        <v>0</v>
      </c>
      <c r="K494" s="2644">
        <v>0</v>
      </c>
      <c r="L494" s="2644">
        <v>0</v>
      </c>
      <c r="M494" s="2644">
        <v>0</v>
      </c>
      <c r="N494" s="2644">
        <v>0</v>
      </c>
    </row>
    <row r="495" spans="4:14" ht="15" customHeight="1">
      <c r="E495" s="2636" t="s">
        <v>527</v>
      </c>
      <c r="F495" s="2637"/>
      <c r="G495" s="2644" cm="1">
        <f t="array" ref="G495:N495">_xlfn.ANCHORARRAY(G471)*FE_COMBUSTION_REFINACION_CREUDO_CH4_FUEL_OIL_KGCH4_TJ/UNIDAD_TJ_A_TWH*UNIDAD_KG_A_MT</f>
        <v>0</v>
      </c>
      <c r="H495" s="2645">
        <v>0</v>
      </c>
      <c r="I495" s="2645">
        <v>0</v>
      </c>
      <c r="J495" s="2645">
        <v>0</v>
      </c>
      <c r="K495" s="2645">
        <v>0</v>
      </c>
      <c r="L495" s="2645">
        <v>0</v>
      </c>
      <c r="M495" s="2645">
        <v>0</v>
      </c>
      <c r="N495" s="2645">
        <v>0</v>
      </c>
    </row>
    <row r="496" spans="4:14" ht="15" customHeight="1">
      <c r="E496" s="2636" t="s">
        <v>498</v>
      </c>
      <c r="F496" s="697"/>
      <c r="G496" s="2644" cm="1">
        <f t="array" ref="G496:N496">_xlfn.ANCHORARRAY(G472)*FE_COMBUSTION_REFINACION_CREUDO_CH4_GLP_KGCH4_TJ/UNIDAD_TJ_A_TWH*UNIDAD_KG_A_MT</f>
        <v>0</v>
      </c>
      <c r="H496" s="2644">
        <v>0</v>
      </c>
      <c r="I496" s="2644">
        <v>0</v>
      </c>
      <c r="J496" s="2644">
        <v>0</v>
      </c>
      <c r="K496" s="2644">
        <v>0</v>
      </c>
      <c r="L496" s="2644">
        <v>0</v>
      </c>
      <c r="M496" s="2644">
        <v>0</v>
      </c>
      <c r="N496" s="2644">
        <v>0</v>
      </c>
    </row>
    <row r="497" spans="4:14" ht="15" customHeight="1">
      <c r="D497" s="2638"/>
      <c r="E497" s="2636" t="s">
        <v>528</v>
      </c>
      <c r="F497" s="697"/>
      <c r="G497" s="2644" cm="1">
        <f t="array" ref="G497:N497">_xlfn.ANCHORARRAY(G473)*FE_COMBUSTION_REFINACION_CREUDO_CH4_GASOLINA_MOTORES_KGCH4_TJ/UNIDAD_TJ_A_TWH*UNIDAD_KG_A_MT</f>
        <v>0</v>
      </c>
      <c r="H497" s="2644">
        <v>0</v>
      </c>
      <c r="I497" s="2644">
        <v>0</v>
      </c>
      <c r="J497" s="2644">
        <v>0</v>
      </c>
      <c r="K497" s="2644">
        <v>0</v>
      </c>
      <c r="L497" s="2644">
        <v>0</v>
      </c>
      <c r="M497" s="2644">
        <v>0</v>
      </c>
      <c r="N497" s="2644">
        <v>0</v>
      </c>
    </row>
    <row r="498" spans="4:14" ht="15" customHeight="1">
      <c r="D498" s="2590"/>
      <c r="E498" s="2636" t="s">
        <v>1660</v>
      </c>
      <c r="F498" s="697"/>
      <c r="G498" s="2644" cm="1">
        <f t="array" ref="G498:N498">_xlfn.ANCHORARRAY(G474)*FE_COMBUSTION_REFINACION_CREUDO_CH4_QUEROSENO_MOTORES_KGCH4_TJ/UNIDAD_TJ_A_TWH*UNIDAD_KG_A_MT</f>
        <v>0</v>
      </c>
      <c r="H498" s="2644">
        <v>0</v>
      </c>
      <c r="I498" s="2644">
        <v>0</v>
      </c>
      <c r="J498" s="2644">
        <v>0</v>
      </c>
      <c r="K498" s="2644">
        <v>0</v>
      </c>
      <c r="L498" s="2644">
        <v>0</v>
      </c>
      <c r="M498" s="2644">
        <v>0</v>
      </c>
      <c r="N498" s="2644">
        <v>0</v>
      </c>
    </row>
    <row r="499" spans="4:14" ht="15" customHeight="1">
      <c r="E499" s="2646" t="s">
        <v>338</v>
      </c>
      <c r="F499" s="2646"/>
      <c r="G499" s="2647">
        <f t="shared" ref="G499:N499" si="24">SUM(G492:G498)</f>
        <v>0</v>
      </c>
      <c r="H499" s="2647">
        <f t="shared" si="24"/>
        <v>0</v>
      </c>
      <c r="I499" s="2647">
        <f t="shared" si="24"/>
        <v>0</v>
      </c>
      <c r="J499" s="2647">
        <f t="shared" si="24"/>
        <v>0</v>
      </c>
      <c r="K499" s="2647">
        <f t="shared" si="24"/>
        <v>0</v>
      </c>
      <c r="L499" s="2647">
        <f t="shared" si="24"/>
        <v>0</v>
      </c>
      <c r="M499" s="2647">
        <f t="shared" si="24"/>
        <v>0</v>
      </c>
      <c r="N499" s="2647">
        <f t="shared" si="24"/>
        <v>0</v>
      </c>
    </row>
    <row r="500" spans="4:14" ht="15" customHeight="1">
      <c r="E500" s="684"/>
      <c r="F500" s="684"/>
      <c r="G500" s="2648"/>
      <c r="H500" s="2648"/>
      <c r="I500" s="2648"/>
      <c r="J500" s="2648"/>
      <c r="K500" s="2648"/>
      <c r="L500" s="2648"/>
      <c r="M500" s="2648"/>
      <c r="N500" s="2648"/>
    </row>
    <row r="501" spans="4:14" ht="15" customHeight="1">
      <c r="E501" s="2632"/>
      <c r="F501" s="2503"/>
      <c r="G501" s="2503"/>
      <c r="H501" s="2503"/>
      <c r="I501" s="2503"/>
      <c r="J501" s="2503"/>
      <c r="K501" s="2503"/>
      <c r="L501" s="2503"/>
      <c r="M501" s="2503"/>
      <c r="N501" s="2604" t="s">
        <v>1706</v>
      </c>
    </row>
    <row r="502" spans="4:14" ht="15" customHeight="1">
      <c r="E502" s="2633" t="s">
        <v>1616</v>
      </c>
      <c r="F502" s="2633"/>
      <c r="G502" s="2633">
        <v>2018</v>
      </c>
      <c r="H502" s="2633">
        <v>2020</v>
      </c>
      <c r="I502" s="2633">
        <v>2025</v>
      </c>
      <c r="J502" s="2633">
        <v>2030</v>
      </c>
      <c r="K502" s="2633">
        <v>2035</v>
      </c>
      <c r="L502" s="2633">
        <v>2040</v>
      </c>
      <c r="M502" s="2633">
        <v>2045</v>
      </c>
      <c r="N502" s="2633">
        <v>2050</v>
      </c>
    </row>
    <row r="503" spans="4:14" ht="15" customHeight="1">
      <c r="E503" s="2634" t="s">
        <v>522</v>
      </c>
      <c r="F503" s="2635"/>
      <c r="G503" s="2643" cm="1">
        <f t="array" ref="G503:N503">_xlfn.ANCHORARRAY(G468)*FE_COMBUSTION_REFINACION_CREUDO_N2O_GAS_NATURAL_KGN2O_TJ/UNIDAD_TJ_A_TWH*UNIDAD_KG_A_MT</f>
        <v>0</v>
      </c>
      <c r="H503" s="2643">
        <v>0</v>
      </c>
      <c r="I503" s="2643">
        <v>0</v>
      </c>
      <c r="J503" s="2643">
        <v>0</v>
      </c>
      <c r="K503" s="2643">
        <v>0</v>
      </c>
      <c r="L503" s="2643">
        <v>0</v>
      </c>
      <c r="M503" s="2643">
        <v>0</v>
      </c>
      <c r="N503" s="2643">
        <v>0</v>
      </c>
    </row>
    <row r="504" spans="4:14" ht="15" customHeight="1">
      <c r="E504" s="2636" t="s">
        <v>525</v>
      </c>
      <c r="F504" s="697"/>
      <c r="G504" s="2644" cm="1">
        <f t="array" ref="G504:N504">IF(_xlfn.ANCHORARRAY(G469)*FE_COMBUSTION_REFINACION_CREUDO_N2O_PETROLEO_KGN2O_TJ/UNIDAD_TJ_A_TWH*UNIDAD_KG_A_MT=0,0,"-")</f>
        <v>0</v>
      </c>
      <c r="H504" s="2644">
        <v>0</v>
      </c>
      <c r="I504" s="2644">
        <v>0</v>
      </c>
      <c r="J504" s="2644">
        <v>0</v>
      </c>
      <c r="K504" s="2644">
        <v>0</v>
      </c>
      <c r="L504" s="2644">
        <v>0</v>
      </c>
      <c r="M504" s="2644">
        <v>0</v>
      </c>
      <c r="N504" s="2644">
        <v>0</v>
      </c>
    </row>
    <row r="505" spans="4:14" ht="15" customHeight="1">
      <c r="E505" s="2636" t="s">
        <v>526</v>
      </c>
      <c r="F505" s="697"/>
      <c r="G505" s="2644" cm="1">
        <f t="array" ref="G505:N505">_xlfn.ANCHORARRAY(G470)*FE_COMBUSTION_REFINACION_CREUDO_N2O_DIESEL_OIL_KGN2O_TJ/UNIDAD_TJ_A_TWH*UNIDAD_KG_A_MT</f>
        <v>0</v>
      </c>
      <c r="H505" s="2644">
        <v>0</v>
      </c>
      <c r="I505" s="2644">
        <v>0</v>
      </c>
      <c r="J505" s="2644">
        <v>0</v>
      </c>
      <c r="K505" s="2644">
        <v>0</v>
      </c>
      <c r="L505" s="2644">
        <v>0</v>
      </c>
      <c r="M505" s="2644">
        <v>0</v>
      </c>
      <c r="N505" s="2644">
        <v>0</v>
      </c>
    </row>
    <row r="506" spans="4:14" ht="15" customHeight="1">
      <c r="E506" s="2636" t="s">
        <v>527</v>
      </c>
      <c r="F506" s="2637"/>
      <c r="G506" s="2644" cm="1">
        <f t="array" ref="G506:N506">_xlfn.ANCHORARRAY(G471)*FE_COMBUSTION_REFINACION_CREUDO_N2O_FUEL_OIL_KGN2O_TJ/UNIDAD_TJ_A_TWH*UNIDAD_KG_A_MT</f>
        <v>0</v>
      </c>
      <c r="H506" s="2645">
        <v>0</v>
      </c>
      <c r="I506" s="2645">
        <v>0</v>
      </c>
      <c r="J506" s="2645">
        <v>0</v>
      </c>
      <c r="K506" s="2645">
        <v>0</v>
      </c>
      <c r="L506" s="2645">
        <v>0</v>
      </c>
      <c r="M506" s="2645">
        <v>0</v>
      </c>
      <c r="N506" s="2645">
        <v>0</v>
      </c>
    </row>
    <row r="507" spans="4:14" ht="15" customHeight="1">
      <c r="E507" s="2636" t="s">
        <v>498</v>
      </c>
      <c r="F507" s="697"/>
      <c r="G507" s="2644" cm="1">
        <f t="array" ref="G507:N507">_xlfn.ANCHORARRAY(G472)*FE_COMBUSTION_REFINACION_CREUDO_N2O_GLP_KGN2O_TJ/UNIDAD_TJ_A_TWH*UNIDAD_KG_A_MT</f>
        <v>0</v>
      </c>
      <c r="H507" s="2644">
        <v>0</v>
      </c>
      <c r="I507" s="2644">
        <v>0</v>
      </c>
      <c r="J507" s="2644">
        <v>0</v>
      </c>
      <c r="K507" s="2644">
        <v>0</v>
      </c>
      <c r="L507" s="2644">
        <v>0</v>
      </c>
      <c r="M507" s="2644">
        <v>0</v>
      </c>
      <c r="N507" s="2644">
        <v>0</v>
      </c>
    </row>
    <row r="508" spans="4:14" ht="15" customHeight="1">
      <c r="D508" s="2638"/>
      <c r="E508" s="2636" t="s">
        <v>528</v>
      </c>
      <c r="F508" s="697"/>
      <c r="G508" s="2644" cm="1">
        <f t="array" ref="G508:N508">_xlfn.ANCHORARRAY(G473)*FE_COMBUSTION_REFINACION_CREUDO_N2O_GASOLINA_MOTORES_KGN2O_TJ/UNIDAD_TJ_A_TWH*UNIDAD_KG_A_MT</f>
        <v>0</v>
      </c>
      <c r="H508" s="2644">
        <v>0</v>
      </c>
      <c r="I508" s="2644">
        <v>0</v>
      </c>
      <c r="J508" s="2644">
        <v>0</v>
      </c>
      <c r="K508" s="2644">
        <v>0</v>
      </c>
      <c r="L508" s="2644">
        <v>0</v>
      </c>
      <c r="M508" s="2644">
        <v>0</v>
      </c>
      <c r="N508" s="2644">
        <v>0</v>
      </c>
    </row>
    <row r="509" spans="4:14" ht="15" customHeight="1">
      <c r="D509" s="2590"/>
      <c r="E509" s="2636" t="s">
        <v>1660</v>
      </c>
      <c r="F509" s="697"/>
      <c r="G509" s="2644" cm="1">
        <f t="array" ref="G509:N509">_xlfn.ANCHORARRAY(G474)*FE_COMBUSTION_REFINACION_CREUDO_N2O_QUEROSENO_MOTORES_KGN2O_TJ/UNIDAD_TJ_A_TWH*UNIDAD_KG_A_MT</f>
        <v>0</v>
      </c>
      <c r="H509" s="2644">
        <v>0</v>
      </c>
      <c r="I509" s="2644">
        <v>0</v>
      </c>
      <c r="J509" s="2644">
        <v>0</v>
      </c>
      <c r="K509" s="2644">
        <v>0</v>
      </c>
      <c r="L509" s="2644">
        <v>0</v>
      </c>
      <c r="M509" s="2644">
        <v>0</v>
      </c>
      <c r="N509" s="2644">
        <v>0</v>
      </c>
    </row>
    <row r="510" spans="4:14" ht="15" customHeight="1">
      <c r="E510" s="2646" t="s">
        <v>338</v>
      </c>
      <c r="F510" s="2646"/>
      <c r="G510" s="2647">
        <f t="shared" ref="G510:N510" si="25">SUM(G503:G509)</f>
        <v>0</v>
      </c>
      <c r="H510" s="2647">
        <f t="shared" si="25"/>
        <v>0</v>
      </c>
      <c r="I510" s="2647">
        <f t="shared" si="25"/>
        <v>0</v>
      </c>
      <c r="J510" s="2647">
        <f t="shared" si="25"/>
        <v>0</v>
      </c>
      <c r="K510" s="2647">
        <f t="shared" si="25"/>
        <v>0</v>
      </c>
      <c r="L510" s="2647">
        <f t="shared" si="25"/>
        <v>0</v>
      </c>
      <c r="M510" s="2647">
        <f t="shared" si="25"/>
        <v>0</v>
      </c>
      <c r="N510" s="2647">
        <f t="shared" si="25"/>
        <v>0</v>
      </c>
    </row>
    <row r="511" spans="4:14" ht="15" customHeight="1">
      <c r="E511" s="684"/>
      <c r="F511" s="684"/>
      <c r="G511" s="2648"/>
      <c r="H511" s="2648"/>
      <c r="I511" s="2648"/>
      <c r="J511" s="2648"/>
      <c r="K511" s="2648"/>
      <c r="L511" s="2648"/>
      <c r="M511" s="2648"/>
      <c r="N511" s="2648"/>
    </row>
    <row r="512" spans="4:14" ht="15" customHeight="1">
      <c r="E512" s="2605"/>
      <c r="F512" s="2611"/>
      <c r="G512" s="2612"/>
      <c r="H512" s="2612"/>
      <c r="I512" s="2612"/>
      <c r="J512" s="2612"/>
      <c r="K512" s="2612"/>
      <c r="L512" s="2612"/>
      <c r="M512" s="2612"/>
      <c r="N512" s="2607" t="s">
        <v>35</v>
      </c>
    </row>
    <row r="513" spans="4:14" ht="15" customHeight="1">
      <c r="E513" s="2615" t="s">
        <v>1717</v>
      </c>
      <c r="F513" s="2616"/>
      <c r="G513" s="2617" cm="1">
        <f t="array" ref="G513:N513">G488:N488*PCG_CO2+G499:N499*PCG_CH4+G510:N510*PCG_N2O</f>
        <v>0</v>
      </c>
      <c r="H513" s="2617">
        <v>0</v>
      </c>
      <c r="I513" s="2617">
        <v>0</v>
      </c>
      <c r="J513" s="2617">
        <v>0</v>
      </c>
      <c r="K513" s="2617">
        <v>0</v>
      </c>
      <c r="L513" s="2617">
        <v>0</v>
      </c>
      <c r="M513" s="2617">
        <v>0</v>
      </c>
      <c r="N513" s="2618">
        <v>0</v>
      </c>
    </row>
    <row r="514" spans="4:14" ht="15" customHeight="1">
      <c r="E514" s="684"/>
      <c r="F514" s="684"/>
      <c r="G514" s="2648"/>
      <c r="H514" s="2648"/>
      <c r="I514" s="2648"/>
      <c r="J514" s="2648"/>
      <c r="K514" s="2648"/>
      <c r="L514" s="2648"/>
      <c r="M514" s="2648"/>
      <c r="N514" s="2648"/>
    </row>
    <row r="515" spans="4:14" ht="15" customHeight="1">
      <c r="E515" s="684"/>
      <c r="F515" s="684"/>
      <c r="G515" s="2648"/>
      <c r="H515" s="2648"/>
      <c r="I515" s="2648"/>
      <c r="J515" s="2648"/>
      <c r="K515" s="2648"/>
      <c r="L515" s="2648"/>
      <c r="M515" s="2648"/>
      <c r="N515" s="2648"/>
    </row>
    <row r="516" spans="4:14" ht="15" customHeight="1">
      <c r="E516" s="2590" t="s">
        <v>1718</v>
      </c>
    </row>
    <row r="517" spans="4:14" ht="15" customHeight="1">
      <c r="E517" s="2590"/>
      <c r="N517" s="2604" t="s">
        <v>29</v>
      </c>
    </row>
    <row r="518" spans="4:14" ht="15" customHeight="1">
      <c r="D518" s="2605"/>
      <c r="E518" s="2592"/>
      <c r="F518" s="2592"/>
      <c r="G518" s="2592">
        <v>2018</v>
      </c>
      <c r="H518" s="2592">
        <v>2020</v>
      </c>
      <c r="I518" s="2592">
        <v>2025</v>
      </c>
      <c r="J518" s="2592">
        <v>2030</v>
      </c>
      <c r="K518" s="2592">
        <v>2035</v>
      </c>
      <c r="L518" s="2592">
        <v>2040</v>
      </c>
      <c r="M518" s="2592">
        <v>2045</v>
      </c>
      <c r="N518" s="2592">
        <v>2050</v>
      </c>
    </row>
    <row r="519" spans="4:14" ht="15" customHeight="1">
      <c r="D519" s="2627"/>
      <c r="E519" s="2649" t="s">
        <v>1719</v>
      </c>
      <c r="F519" s="2650"/>
      <c r="G519" s="2651" cm="1">
        <f t="array" ref="G519:N519">_xlfn.ANCHORARRAY(G415)+_xlfn.ANCHORARRAY(G452)+_xlfn.ANCHORARRAY(G463)+_xlfn.ANCHORARRAY(G513)</f>
        <v>0.14478428565923476</v>
      </c>
      <c r="H519" s="2652">
        <v>2.2816225737112439</v>
      </c>
      <c r="I519" s="2652">
        <v>2.2145823265529443</v>
      </c>
      <c r="J519" s="2652">
        <v>2.2138800261927347</v>
      </c>
      <c r="K519" s="2652">
        <v>2.2132189965759483</v>
      </c>
      <c r="L519" s="2652">
        <v>2.2125996783881838</v>
      </c>
      <c r="M519" s="2652">
        <v>2.2119803602004189</v>
      </c>
      <c r="N519" s="2652">
        <v>2.2113610420126539</v>
      </c>
    </row>
    <row r="520" spans="4:14" ht="15" customHeight="1">
      <c r="D520" s="2627"/>
      <c r="E520" s="2627"/>
      <c r="F520" s="2627"/>
      <c r="G520" s="2627"/>
      <c r="H520" s="2627"/>
      <c r="I520" s="2627"/>
      <c r="J520" s="2627"/>
      <c r="K520" s="2627"/>
      <c r="L520" s="2627"/>
      <c r="M520" s="2627"/>
      <c r="N520" s="2627"/>
    </row>
    <row r="521" spans="4:14" ht="15" customHeight="1">
      <c r="D521" s="2627"/>
      <c r="E521" s="2627"/>
      <c r="F521" s="2627"/>
      <c r="G521" s="2627"/>
      <c r="H521" s="2627"/>
      <c r="I521" s="2627"/>
      <c r="J521" s="2627"/>
      <c r="K521" s="2627"/>
      <c r="L521" s="2627"/>
      <c r="M521" s="2627"/>
      <c r="N521" s="2627"/>
    </row>
    <row r="522" spans="4:14" ht="15" customHeight="1">
      <c r="D522" s="2627"/>
      <c r="E522" s="2627"/>
      <c r="F522" s="2627"/>
      <c r="G522" s="2627"/>
      <c r="H522" s="2627"/>
      <c r="I522" s="2627"/>
      <c r="J522" s="2627"/>
      <c r="K522" s="2627"/>
      <c r="L522" s="2627"/>
      <c r="M522" s="2627"/>
      <c r="N522" s="2627"/>
    </row>
    <row r="523" spans="4:14" ht="15" customHeight="1">
      <c r="D523" s="2627"/>
    </row>
    <row r="524" spans="4:14" ht="15" customHeight="1">
      <c r="D524" s="2590"/>
    </row>
    <row r="525" spans="4:14" ht="15" customHeight="1">
      <c r="D525" s="2605"/>
    </row>
  </sheetData>
  <sheetProtection algorithmName="SHA-512" hashValue="qbXdrSO01e8C+7utWHTbF4fUfk4UjZFKk9Q5I0VWQqh9QTFGHH9n6FdZkz7x9D9H2mKKF9YB8YpHTOCn/w6eKQ==" saltValue="3x+epV0FmZu0vCTBRQA7iw==" spinCount="100000" sheet="1" objects="1" scenarios="1"/>
  <mergeCells count="2">
    <mergeCell ref="E7:H8"/>
    <mergeCell ref="M7:M8"/>
  </mergeCells>
  <pageMargins left="0.7" right="0.7" top="0.75" bottom="0.75" header="0.3" footer="0.3"/>
  <pageSetup paperSize="9" orientation="portrait" r:id="rId1"/>
  <customProperties>
    <customPr name="_pios_id" r:id="rId2"/>
  </customProperties>
  <ignoredErrors>
    <ignoredError sqref="M79 F90:M90" formulaRange="1"/>
    <ignoredError sqref="G295:L295 G358:M358" numberStoredAsText="1"/>
  </ignoredErrors>
  <drawing r:id="rId3"/>
  <legacyDrawing r:id="rId4"/>
  <mc:AlternateContent xmlns:mc="http://schemas.openxmlformats.org/markup-compatibility/2006">
    <mc:Choice Requires="x14">
      <controls>
        <mc:AlternateContent xmlns:mc="http://schemas.openxmlformats.org/markup-compatibility/2006">
          <mc:Choice Requires="x14">
            <control shapeId="30722" r:id="rId5" name="Spinner 2">
              <controlPr defaultSize="0" autoPict="0">
                <anchor moveWithCells="1" sizeWithCells="1">
                  <from>
                    <xdr:col>13</xdr:col>
                    <xdr:colOff>76200</xdr:colOff>
                    <xdr:row>6</xdr:row>
                    <xdr:rowOff>57150</xdr:rowOff>
                  </from>
                  <to>
                    <xdr:col>13</xdr:col>
                    <xdr:colOff>266700</xdr:colOff>
                    <xdr:row>7</xdr:row>
                    <xdr:rowOff>161925</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445BD-F5EB-4550-9491-F13EDB8E04F7}">
  <sheetPr codeName="Hoja45"/>
  <dimension ref="A3:O321"/>
  <sheetViews>
    <sheetView showGridLines="0" zoomScale="80" zoomScaleNormal="80" workbookViewId="0"/>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41.28515625" customWidth="1"/>
    <col min="6" max="13" width="11.7109375" customWidth="1"/>
  </cols>
  <sheetData>
    <row r="3" spans="1:15" ht="15" customHeight="1">
      <c r="D3" s="3"/>
      <c r="E3" s="2"/>
    </row>
    <row r="5" spans="1:15" ht="15" customHeight="1">
      <c r="A5" s="1559"/>
    </row>
    <row r="11" spans="1:15" ht="15" customHeight="1">
      <c r="D11" s="982" t="s">
        <v>48</v>
      </c>
      <c r="E11" s="983"/>
      <c r="F11" s="983"/>
      <c r="G11" s="983"/>
      <c r="H11" s="983"/>
      <c r="I11" s="983"/>
      <c r="J11" s="983"/>
      <c r="K11" s="983"/>
      <c r="L11" s="983"/>
      <c r="M11" s="983"/>
      <c r="N11" s="983"/>
    </row>
    <row r="12" spans="1:15" ht="15" customHeight="1">
      <c r="D12" s="1034"/>
      <c r="E12" s="1869"/>
      <c r="F12" s="1869"/>
      <c r="G12" s="1869"/>
      <c r="H12" s="1869"/>
      <c r="I12" s="1869"/>
      <c r="J12" s="1869"/>
      <c r="K12" s="1869"/>
      <c r="L12" s="1869"/>
      <c r="M12" s="1869"/>
      <c r="N12" s="1869"/>
    </row>
    <row r="13" spans="1:15" ht="15" customHeight="1">
      <c r="D13" s="985"/>
      <c r="E13" s="998" t="s">
        <v>1475</v>
      </c>
      <c r="F13" s="390"/>
      <c r="G13" s="391"/>
      <c r="H13" s="390"/>
      <c r="I13" s="999"/>
      <c r="J13" s="390"/>
      <c r="K13" s="999"/>
      <c r="L13" s="999"/>
      <c r="M13" s="999"/>
      <c r="N13" s="996"/>
    </row>
    <row r="14" spans="1:15" ht="15" customHeight="1">
      <c r="D14" s="985"/>
      <c r="E14" s="1000"/>
      <c r="F14" s="992"/>
      <c r="G14" s="992"/>
      <c r="H14" s="992"/>
      <c r="I14" s="991"/>
      <c r="J14" s="992"/>
      <c r="K14" s="1870"/>
      <c r="L14" s="994"/>
      <c r="M14" s="994"/>
      <c r="N14" s="996"/>
    </row>
    <row r="15" spans="1:15" ht="15" customHeight="1">
      <c r="D15" s="985"/>
      <c r="E15" s="6"/>
      <c r="F15" s="1016"/>
      <c r="G15" s="992"/>
      <c r="H15" s="992"/>
      <c r="I15" s="991"/>
      <c r="J15" s="992"/>
      <c r="K15" s="1870"/>
      <c r="L15" s="994"/>
      <c r="M15" s="52" t="s">
        <v>9</v>
      </c>
      <c r="N15" s="996"/>
    </row>
    <row r="16" spans="1:15" ht="15" customHeight="1">
      <c r="D16" s="985"/>
      <c r="E16" s="53" t="s">
        <v>869</v>
      </c>
      <c r="F16" s="1017">
        <v>2018</v>
      </c>
      <c r="G16" s="1017">
        <v>2020</v>
      </c>
      <c r="H16" s="1017">
        <v>2025</v>
      </c>
      <c r="I16" s="1017">
        <v>2030</v>
      </c>
      <c r="J16" s="1017">
        <v>2035</v>
      </c>
      <c r="K16" s="1017">
        <v>2040</v>
      </c>
      <c r="L16" s="1017">
        <v>2045</v>
      </c>
      <c r="M16" s="1017">
        <v>2050</v>
      </c>
      <c r="N16" s="996"/>
      <c r="O16" s="1035"/>
    </row>
    <row r="17" spans="4:14" ht="15" customHeight="1">
      <c r="D17" s="50"/>
      <c r="E17" s="1039" t="s">
        <v>62</v>
      </c>
      <c r="F17" s="2068" t="s">
        <v>72</v>
      </c>
      <c r="G17" s="2068" t="s">
        <v>72</v>
      </c>
      <c r="H17" s="2068" t="s">
        <v>72</v>
      </c>
      <c r="I17" s="2068" t="s">
        <v>72</v>
      </c>
      <c r="J17" s="2068" t="s">
        <v>72</v>
      </c>
      <c r="K17" s="2068" t="s">
        <v>72</v>
      </c>
      <c r="L17" s="2068" t="s">
        <v>72</v>
      </c>
      <c r="M17" s="2068" t="s">
        <v>72</v>
      </c>
      <c r="N17" s="461"/>
    </row>
    <row r="18" spans="4:14" ht="15" customHeight="1">
      <c r="D18" s="50"/>
      <c r="E18" s="1014" t="s">
        <v>292</v>
      </c>
      <c r="F18" s="2068" t="s">
        <v>72</v>
      </c>
      <c r="G18" s="2068" t="s">
        <v>72</v>
      </c>
      <c r="H18" s="2068" t="s">
        <v>72</v>
      </c>
      <c r="I18" s="2068" t="s">
        <v>72</v>
      </c>
      <c r="J18" s="2068" t="s">
        <v>72</v>
      </c>
      <c r="K18" s="2068" t="s">
        <v>72</v>
      </c>
      <c r="L18" s="2068" t="s">
        <v>72</v>
      </c>
      <c r="M18" s="2068" t="s">
        <v>72</v>
      </c>
      <c r="N18" s="461"/>
    </row>
    <row r="19" spans="4:14" ht="15" customHeight="1">
      <c r="D19" s="50"/>
      <c r="E19" s="1014" t="s">
        <v>1720</v>
      </c>
      <c r="F19" s="2068" t="s">
        <v>72</v>
      </c>
      <c r="G19" s="2068" t="s">
        <v>72</v>
      </c>
      <c r="H19" s="2068" t="s">
        <v>72</v>
      </c>
      <c r="I19" s="2068" t="s">
        <v>72</v>
      </c>
      <c r="J19" s="2068" t="s">
        <v>72</v>
      </c>
      <c r="K19" s="2068" t="s">
        <v>72</v>
      </c>
      <c r="L19" s="2068" t="s">
        <v>72</v>
      </c>
      <c r="M19" s="2068" t="s">
        <v>72</v>
      </c>
      <c r="N19" s="461"/>
    </row>
    <row r="20" spans="4:14" ht="15" customHeight="1">
      <c r="D20" s="50"/>
      <c r="E20" s="1014" t="s">
        <v>487</v>
      </c>
      <c r="F20" s="2068" t="s">
        <v>72</v>
      </c>
      <c r="G20" s="2068" t="s">
        <v>72</v>
      </c>
      <c r="H20" s="2068" t="s">
        <v>72</v>
      </c>
      <c r="I20" s="2068" t="s">
        <v>72</v>
      </c>
      <c r="J20" s="2068" t="s">
        <v>72</v>
      </c>
      <c r="K20" s="2068" t="s">
        <v>72</v>
      </c>
      <c r="L20" s="2068" t="s">
        <v>72</v>
      </c>
      <c r="M20" s="2068" t="s">
        <v>72</v>
      </c>
      <c r="N20" s="461"/>
    </row>
    <row r="21" spans="4:14" ht="15" customHeight="1">
      <c r="D21" s="50"/>
      <c r="E21" s="1014" t="s">
        <v>488</v>
      </c>
      <c r="F21" s="2069" t="s">
        <v>72</v>
      </c>
      <c r="G21" s="2069" t="s">
        <v>72</v>
      </c>
      <c r="H21" s="2069" t="s">
        <v>72</v>
      </c>
      <c r="I21" s="2069" t="s">
        <v>72</v>
      </c>
      <c r="J21" s="2069" t="s">
        <v>72</v>
      </c>
      <c r="K21" s="2069" t="s">
        <v>72</v>
      </c>
      <c r="L21" s="2069" t="s">
        <v>72</v>
      </c>
      <c r="M21" s="2069" t="s">
        <v>72</v>
      </c>
      <c r="N21" s="461"/>
    </row>
    <row r="22" spans="4:14" ht="15" customHeight="1">
      <c r="D22" s="50"/>
      <c r="E22" s="1014" t="s">
        <v>489</v>
      </c>
      <c r="F22" s="2069" t="s">
        <v>72</v>
      </c>
      <c r="G22" s="2069" t="s">
        <v>72</v>
      </c>
      <c r="H22" s="2069" t="s">
        <v>72</v>
      </c>
      <c r="I22" s="2069" t="s">
        <v>72</v>
      </c>
      <c r="J22" s="2069" t="s">
        <v>72</v>
      </c>
      <c r="K22" s="2069" t="s">
        <v>72</v>
      </c>
      <c r="L22" s="2069" t="s">
        <v>72</v>
      </c>
      <c r="M22" s="2069" t="s">
        <v>72</v>
      </c>
      <c r="N22" s="461"/>
    </row>
    <row r="23" spans="4:14" ht="15" customHeight="1">
      <c r="D23" s="50"/>
      <c r="E23" s="1014" t="s">
        <v>306</v>
      </c>
      <c r="F23" s="2075" cm="1">
        <f t="array" ref="F23:M23">SALIDA_GENERACION_AGRO_BIOCOMBUSTIBLES</f>
        <v>0</v>
      </c>
      <c r="G23" s="2075">
        <v>0</v>
      </c>
      <c r="H23" s="2075">
        <v>0</v>
      </c>
      <c r="I23" s="2075">
        <v>0</v>
      </c>
      <c r="J23" s="2075">
        <v>0</v>
      </c>
      <c r="K23" s="2075">
        <v>0</v>
      </c>
      <c r="L23" s="2075">
        <v>0</v>
      </c>
      <c r="M23" s="2075">
        <v>0</v>
      </c>
      <c r="N23" s="461"/>
    </row>
    <row r="24" spans="4:14" ht="15" customHeight="1">
      <c r="D24" s="50"/>
      <c r="E24" s="1014" t="s">
        <v>308</v>
      </c>
      <c r="F24" s="2069" t="s">
        <v>72</v>
      </c>
      <c r="G24" s="2069" t="s">
        <v>72</v>
      </c>
      <c r="H24" s="2069" t="s">
        <v>72</v>
      </c>
      <c r="I24" s="2069" t="s">
        <v>72</v>
      </c>
      <c r="J24" s="2069" t="s">
        <v>72</v>
      </c>
      <c r="K24" s="2069" t="s">
        <v>72</v>
      </c>
      <c r="L24" s="2069" t="s">
        <v>72</v>
      </c>
      <c r="M24" s="2069" t="s">
        <v>72</v>
      </c>
      <c r="N24" s="461"/>
    </row>
    <row r="25" spans="4:14" ht="15" customHeight="1">
      <c r="D25" s="50"/>
      <c r="E25" s="1015" t="s">
        <v>310</v>
      </c>
      <c r="F25" s="2068" t="s">
        <v>72</v>
      </c>
      <c r="G25" s="2068" t="s">
        <v>72</v>
      </c>
      <c r="H25" s="2068" t="s">
        <v>72</v>
      </c>
      <c r="I25" s="2068" t="s">
        <v>72</v>
      </c>
      <c r="J25" s="2068" t="s">
        <v>72</v>
      </c>
      <c r="K25" s="2068" t="s">
        <v>72</v>
      </c>
      <c r="L25" s="2068" t="s">
        <v>72</v>
      </c>
      <c r="M25" s="2068" t="s">
        <v>72</v>
      </c>
      <c r="N25" s="461"/>
    </row>
    <row r="26" spans="4:14" ht="15" customHeight="1">
      <c r="D26" s="985"/>
      <c r="E26" s="1042" t="s">
        <v>338</v>
      </c>
      <c r="F26" s="2065">
        <f>SUM(F17:F25)</f>
        <v>0</v>
      </c>
      <c r="G26" s="2065">
        <f>SUM(G17:G25)</f>
        <v>0</v>
      </c>
      <c r="H26" s="2065">
        <f t="shared" ref="H26:M26" si="0">SUM(H17:H25)</f>
        <v>0</v>
      </c>
      <c r="I26" s="2065">
        <f t="shared" si="0"/>
        <v>0</v>
      </c>
      <c r="J26" s="2065">
        <f t="shared" si="0"/>
        <v>0</v>
      </c>
      <c r="K26" s="2065">
        <f t="shared" si="0"/>
        <v>0</v>
      </c>
      <c r="L26" s="2065">
        <f t="shared" si="0"/>
        <v>0</v>
      </c>
      <c r="M26" s="2065">
        <f t="shared" si="0"/>
        <v>0</v>
      </c>
      <c r="N26" s="996"/>
    </row>
    <row r="27" spans="4:14" ht="15" customHeight="1">
      <c r="D27" s="985"/>
      <c r="E27" s="1013"/>
      <c r="F27" s="1871"/>
      <c r="G27" s="992"/>
      <c r="H27" s="992"/>
      <c r="I27" s="991"/>
      <c r="J27" s="992"/>
      <c r="K27" s="1870"/>
      <c r="L27" s="994"/>
      <c r="M27" s="994"/>
      <c r="N27" s="996"/>
    </row>
    <row r="269" spans="4:14" ht="15" customHeight="1">
      <c r="D269" s="1005"/>
      <c r="E269" s="1001"/>
      <c r="F269" s="1002"/>
      <c r="G269" s="223"/>
      <c r="H269" s="223"/>
      <c r="I269" s="1003"/>
      <c r="J269" s="223"/>
      <c r="K269" s="1004"/>
      <c r="L269" s="1006"/>
      <c r="M269" s="1006"/>
      <c r="N269" s="1007"/>
    </row>
    <row r="271" spans="4:14" ht="15" customHeight="1">
      <c r="D271" s="1005"/>
      <c r="E271" s="1001"/>
      <c r="F271" s="1002"/>
      <c r="G271" s="223"/>
      <c r="H271" s="223"/>
      <c r="I271" s="1003"/>
      <c r="J271" s="223"/>
      <c r="K271" s="1004"/>
      <c r="L271" s="1006"/>
      <c r="M271" s="1006"/>
      <c r="N271" s="1007"/>
    </row>
    <row r="273" spans="4:14" ht="15" customHeight="1">
      <c r="D273" s="1005"/>
      <c r="E273" s="1001"/>
      <c r="F273" s="1002"/>
      <c r="G273" s="223"/>
      <c r="H273" s="223"/>
      <c r="I273" s="1003"/>
      <c r="J273" s="223"/>
      <c r="K273" s="1004"/>
      <c r="L273" s="1006"/>
      <c r="M273" s="1006"/>
      <c r="N273" s="1007"/>
    </row>
    <row r="275" spans="4:14" ht="15" customHeight="1">
      <c r="D275" s="1005"/>
      <c r="E275" s="1001"/>
      <c r="F275" s="1002"/>
      <c r="G275" s="223"/>
      <c r="H275" s="223"/>
      <c r="I275" s="1003"/>
      <c r="J275" s="223"/>
      <c r="K275" s="1004"/>
      <c r="L275" s="1006"/>
      <c r="M275" s="1006"/>
      <c r="N275" s="1007"/>
    </row>
    <row r="277" spans="4:14" ht="15" customHeight="1">
      <c r="D277" s="1005"/>
      <c r="E277" s="1001"/>
      <c r="F277" s="1002"/>
      <c r="G277" s="223"/>
      <c r="H277" s="223"/>
      <c r="I277" s="1003"/>
      <c r="J277" s="223"/>
      <c r="K277" s="1004"/>
      <c r="L277" s="1006"/>
      <c r="M277" s="1006"/>
      <c r="N277" s="1007"/>
    </row>
    <row r="279" spans="4:14" ht="15" customHeight="1">
      <c r="D279" s="1005"/>
      <c r="E279" s="1001"/>
      <c r="F279" s="1002"/>
      <c r="G279" s="223"/>
      <c r="H279" s="223"/>
      <c r="I279" s="1003"/>
      <c r="J279" s="223"/>
      <c r="K279" s="1004"/>
      <c r="L279" s="1006"/>
      <c r="M279" s="1006"/>
      <c r="N279" s="1007"/>
    </row>
    <row r="281" spans="4:14" ht="15" customHeight="1">
      <c r="D281" s="1005"/>
      <c r="E281" s="1001"/>
      <c r="F281" s="1002"/>
      <c r="G281" s="223"/>
      <c r="H281" s="223"/>
      <c r="I281" s="1003"/>
      <c r="J281" s="223"/>
      <c r="K281" s="1004"/>
      <c r="L281" s="1006"/>
      <c r="M281" s="1006"/>
      <c r="N281" s="1007"/>
    </row>
    <row r="283" spans="4:14" ht="15" customHeight="1">
      <c r="D283" s="1005"/>
      <c r="E283" s="1001"/>
      <c r="F283" s="1002"/>
      <c r="G283" s="223"/>
      <c r="H283" s="223"/>
      <c r="I283" s="1003"/>
      <c r="J283" s="223"/>
      <c r="K283" s="1004"/>
      <c r="L283" s="1006"/>
      <c r="M283" s="1006"/>
      <c r="N283" s="1007"/>
    </row>
    <row r="285" spans="4:14" ht="15" customHeight="1">
      <c r="D285" s="1005"/>
      <c r="E285" s="1001"/>
      <c r="F285" s="1002"/>
      <c r="G285" s="223"/>
      <c r="H285" s="223"/>
      <c r="I285" s="1003"/>
      <c r="J285" s="223"/>
      <c r="K285" s="1004"/>
      <c r="L285" s="1006"/>
      <c r="M285" s="1006"/>
      <c r="N285" s="1007"/>
    </row>
    <row r="287" spans="4:14" ht="15" customHeight="1">
      <c r="D287" s="1005"/>
      <c r="E287" s="1001"/>
      <c r="F287" s="1002"/>
      <c r="G287" s="223"/>
      <c r="H287" s="223"/>
      <c r="I287" s="1003"/>
      <c r="J287" s="223"/>
      <c r="K287" s="1004"/>
      <c r="L287" s="1006"/>
      <c r="M287" s="1006"/>
      <c r="N287" s="1007"/>
    </row>
    <row r="289" spans="4:14" ht="15" customHeight="1">
      <c r="D289" s="1005"/>
      <c r="E289" s="1001"/>
      <c r="F289" s="1002"/>
      <c r="G289" s="223"/>
      <c r="H289" s="223"/>
      <c r="I289" s="1003"/>
      <c r="J289" s="223"/>
      <c r="K289" s="1004"/>
      <c r="L289" s="1006"/>
      <c r="M289" s="1006"/>
      <c r="N289" s="1007"/>
    </row>
    <row r="291" spans="4:14" ht="15" customHeight="1">
      <c r="D291" s="1005"/>
      <c r="E291" s="1001"/>
      <c r="F291" s="1002"/>
      <c r="G291" s="223"/>
      <c r="H291" s="223"/>
      <c r="I291" s="1003"/>
      <c r="J291" s="223"/>
      <c r="K291" s="1004"/>
      <c r="L291" s="1006"/>
      <c r="M291" s="1006"/>
      <c r="N291" s="1007"/>
    </row>
    <row r="293" spans="4:14" ht="15" customHeight="1">
      <c r="D293" s="1005"/>
      <c r="E293" s="1001"/>
      <c r="F293" s="1002"/>
      <c r="G293" s="223"/>
      <c r="H293" s="223"/>
      <c r="I293" s="1003"/>
      <c r="J293" s="223"/>
      <c r="K293" s="1004"/>
      <c r="L293" s="1006"/>
      <c r="M293" s="1006"/>
      <c r="N293" s="1007"/>
    </row>
    <row r="295" spans="4:14" ht="15" customHeight="1">
      <c r="D295" s="1005"/>
      <c r="E295" s="1001"/>
      <c r="F295" s="1002"/>
      <c r="G295" s="223"/>
      <c r="H295" s="223"/>
      <c r="I295" s="1003"/>
      <c r="J295" s="223"/>
      <c r="K295" s="1004"/>
      <c r="L295" s="1006"/>
      <c r="M295" s="1006"/>
      <c r="N295" s="1007"/>
    </row>
    <row r="297" spans="4:14" ht="15" customHeight="1">
      <c r="D297" s="1005"/>
      <c r="E297" s="1001"/>
      <c r="F297" s="1002"/>
      <c r="G297" s="223"/>
      <c r="H297" s="223"/>
      <c r="I297" s="1003"/>
      <c r="J297" s="223"/>
      <c r="K297" s="1004"/>
      <c r="L297" s="1006"/>
      <c r="M297" s="1006"/>
      <c r="N297" s="1007"/>
    </row>
    <row r="299" spans="4:14" ht="15" customHeight="1">
      <c r="D299" s="1005"/>
      <c r="E299" s="1001"/>
      <c r="F299" s="1002"/>
      <c r="G299" s="223"/>
      <c r="H299" s="223"/>
      <c r="I299" s="1003"/>
      <c r="J299" s="223"/>
      <c r="K299" s="1004"/>
      <c r="L299" s="1006"/>
      <c r="M299" s="1006"/>
      <c r="N299" s="1007"/>
    </row>
    <row r="301" spans="4:14" ht="15" customHeight="1">
      <c r="D301" s="1005"/>
      <c r="E301" s="1001"/>
      <c r="F301" s="1002"/>
      <c r="G301" s="223"/>
      <c r="H301" s="223"/>
      <c r="I301" s="1003"/>
      <c r="J301" s="223"/>
      <c r="K301" s="1004"/>
      <c r="L301" s="1006"/>
      <c r="M301" s="1006"/>
      <c r="N301" s="1007"/>
    </row>
    <row r="303" spans="4:14" ht="15" customHeight="1">
      <c r="D303" s="1005"/>
      <c r="E303" s="1001"/>
      <c r="F303" s="1002"/>
      <c r="G303" s="223"/>
      <c r="H303" s="223"/>
      <c r="I303" s="1003"/>
      <c r="J303" s="223"/>
      <c r="K303" s="1004"/>
      <c r="L303" s="1006"/>
      <c r="M303" s="1006"/>
      <c r="N303" s="1007"/>
    </row>
    <row r="305" spans="4:14" ht="15" customHeight="1">
      <c r="D305" s="1005"/>
      <c r="E305" s="1001"/>
      <c r="F305" s="1002"/>
      <c r="G305" s="223"/>
      <c r="H305" s="223"/>
      <c r="I305" s="1003"/>
      <c r="J305" s="223"/>
      <c r="K305" s="1004"/>
      <c r="L305" s="1006"/>
      <c r="M305" s="1006"/>
      <c r="N305" s="1007"/>
    </row>
    <row r="307" spans="4:14" ht="15" customHeight="1">
      <c r="D307" s="1005"/>
      <c r="E307" s="1001"/>
      <c r="F307" s="1002"/>
      <c r="G307" s="223"/>
      <c r="H307" s="223"/>
      <c r="I307" s="1003"/>
      <c r="J307" s="223"/>
      <c r="K307" s="1004"/>
      <c r="L307" s="1006"/>
      <c r="M307" s="1006"/>
      <c r="N307" s="1007"/>
    </row>
    <row r="309" spans="4:14" ht="15" customHeight="1">
      <c r="D309" s="1005"/>
      <c r="E309" s="1001"/>
      <c r="F309" s="1002"/>
      <c r="G309" s="223"/>
      <c r="H309" s="223"/>
      <c r="I309" s="1003"/>
      <c r="J309" s="223"/>
      <c r="K309" s="1004"/>
      <c r="L309" s="1006"/>
      <c r="M309" s="1006"/>
      <c r="N309" s="1007"/>
    </row>
    <row r="311" spans="4:14" ht="15" customHeight="1">
      <c r="D311" s="1005"/>
      <c r="E311" s="1001"/>
      <c r="F311" s="1002"/>
      <c r="G311" s="223"/>
      <c r="H311" s="223"/>
      <c r="I311" s="1003"/>
      <c r="J311" s="223"/>
      <c r="K311" s="1004"/>
      <c r="L311" s="1006"/>
      <c r="M311" s="1006"/>
      <c r="N311" s="1007"/>
    </row>
    <row r="313" spans="4:14" ht="15" customHeight="1">
      <c r="D313" s="1005"/>
      <c r="E313" s="1001"/>
      <c r="F313" s="1002"/>
      <c r="G313" s="223"/>
      <c r="H313" s="223"/>
      <c r="I313" s="1003"/>
      <c r="J313" s="223"/>
      <c r="K313" s="1004"/>
      <c r="L313" s="1006"/>
      <c r="M313" s="1006"/>
      <c r="N313" s="1007"/>
    </row>
    <row r="315" spans="4:14" ht="15" customHeight="1">
      <c r="D315" s="1005"/>
      <c r="E315" s="1001"/>
      <c r="F315" s="1002"/>
      <c r="G315" s="223"/>
      <c r="H315" s="223"/>
      <c r="I315" s="1003"/>
      <c r="J315" s="223"/>
      <c r="K315" s="1004"/>
      <c r="L315" s="1006"/>
      <c r="M315" s="1006"/>
      <c r="N315" s="1007"/>
    </row>
    <row r="317" spans="4:14" ht="15" customHeight="1">
      <c r="D317" s="1005"/>
      <c r="E317" s="1001"/>
      <c r="F317" s="1002"/>
      <c r="G317" s="223"/>
      <c r="H317" s="223"/>
      <c r="I317" s="1003"/>
      <c r="J317" s="223"/>
      <c r="K317" s="1004"/>
      <c r="L317" s="1006"/>
      <c r="M317" s="1006"/>
      <c r="N317" s="1007"/>
    </row>
    <row r="319" spans="4:14" ht="15" customHeight="1">
      <c r="D319" s="1005"/>
      <c r="E319" s="1001"/>
      <c r="F319" s="1002"/>
      <c r="G319" s="223"/>
      <c r="H319" s="223"/>
      <c r="I319" s="1003"/>
      <c r="J319" s="223"/>
      <c r="K319" s="1004"/>
      <c r="L319" s="1006"/>
      <c r="M319" s="1006"/>
      <c r="N319" s="1007"/>
    </row>
    <row r="321" spans="4:14" ht="15" customHeight="1">
      <c r="D321" s="1005"/>
      <c r="E321" s="1001"/>
      <c r="F321" s="1002"/>
      <c r="G321" s="223"/>
      <c r="H321" s="223"/>
      <c r="I321" s="1003"/>
      <c r="J321" s="223"/>
      <c r="K321" s="1004"/>
      <c r="L321" s="1006"/>
      <c r="M321" s="1006"/>
      <c r="N321" s="1007"/>
    </row>
  </sheetData>
  <sheetProtection algorithmName="SHA-512" hashValue="d8LuK+pCK1zuObh05e2ruSlharyROqOmOa3YHTUnlRaxiTEVm5g8Y6mDkgldTh5ABjkewABIAe6KBaAdMggFQQ==" saltValue="u76X06A5EKvPHSE21LvhvQ==" spinCount="100000" sheet="1" objects="1" scenarios="1"/>
  <pageMargins left="0.7" right="0.7" top="0.75" bottom="0.75" header="0.3" footer="0.3"/>
  <pageSetup paperSize="9" orientation="portrait" r:id="rId1"/>
  <customProperties>
    <customPr name="_pios_id" r:id="rId2"/>
  </customProperties>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FE371-4270-4D69-9013-F27B0566DD31}">
  <sheetPr codeName="Hoja8"/>
  <dimension ref="A5:W402"/>
  <sheetViews>
    <sheetView showGridLines="0" topLeftCell="B1" zoomScale="80" zoomScaleNormal="80" workbookViewId="0">
      <selection activeCell="F17" sqref="F17:M19"/>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40.28515625" customWidth="1"/>
    <col min="6" max="6" width="17.7109375" bestFit="1" customWidth="1"/>
    <col min="7" max="7" width="13.85546875" bestFit="1" customWidth="1"/>
    <col min="8" max="8" width="17.140625" bestFit="1" customWidth="1"/>
    <col min="9" max="9" width="17.5703125" customWidth="1"/>
    <col min="10" max="12" width="13.85546875" bestFit="1" customWidth="1"/>
    <col min="13" max="13" width="12.85546875" bestFit="1" customWidth="1"/>
    <col min="14" max="14" width="13.28515625" customWidth="1"/>
    <col min="15" max="15" width="14.140625" bestFit="1" customWidth="1"/>
    <col min="16" max="16" width="20.140625" bestFit="1" customWidth="1"/>
    <col min="17" max="18" width="13.140625" bestFit="1" customWidth="1"/>
    <col min="19" max="22" width="14.140625" bestFit="1" customWidth="1"/>
  </cols>
  <sheetData>
    <row r="5" spans="1:14" ht="15" customHeight="1">
      <c r="A5" s="1559"/>
    </row>
    <row r="11" spans="1:14" ht="15" customHeight="1">
      <c r="D11" s="982" t="s">
        <v>48</v>
      </c>
      <c r="E11" s="983"/>
      <c r="F11" s="983"/>
      <c r="G11" s="983"/>
      <c r="H11" s="983"/>
      <c r="I11" s="983"/>
      <c r="J11" s="983"/>
      <c r="K11" s="983"/>
      <c r="L11" s="983"/>
      <c r="M11" s="983"/>
      <c r="N11" s="983"/>
    </row>
    <row r="12" spans="1:14" ht="15" customHeight="1">
      <c r="D12" s="984"/>
      <c r="E12" s="219"/>
      <c r="F12" s="219"/>
      <c r="G12" s="219"/>
      <c r="H12" s="219"/>
      <c r="I12" s="219"/>
      <c r="J12" s="219"/>
      <c r="K12" s="219"/>
      <c r="L12" s="219"/>
      <c r="M12" s="219"/>
      <c r="N12" s="219"/>
    </row>
    <row r="13" spans="1:14" ht="15" customHeight="1">
      <c r="D13" s="985"/>
      <c r="E13" s="998" t="s">
        <v>552</v>
      </c>
      <c r="F13" s="390"/>
      <c r="G13" s="391"/>
      <c r="H13" s="390"/>
      <c r="I13" s="999"/>
      <c r="J13" s="390"/>
      <c r="K13" s="999"/>
      <c r="L13" s="999"/>
      <c r="M13" s="999"/>
      <c r="N13" s="990"/>
    </row>
    <row r="14" spans="1:14" ht="15" customHeight="1">
      <c r="D14" s="985"/>
      <c r="E14" s="986"/>
      <c r="F14" s="987"/>
      <c r="G14" s="988"/>
      <c r="H14" s="987"/>
      <c r="I14" s="989"/>
      <c r="J14" s="987"/>
      <c r="K14" s="989"/>
      <c r="L14" s="989"/>
      <c r="M14" s="989"/>
      <c r="N14" s="990"/>
    </row>
    <row r="15" spans="1:14" ht="15" customHeight="1">
      <c r="D15" s="985"/>
      <c r="E15" s="311"/>
      <c r="F15" s="991"/>
      <c r="G15" s="992"/>
      <c r="H15" s="992"/>
      <c r="I15" s="991"/>
      <c r="J15" s="992"/>
      <c r="K15" s="993"/>
      <c r="L15" s="994"/>
      <c r="M15" s="1339" t="s">
        <v>9</v>
      </c>
      <c r="N15" s="990"/>
    </row>
    <row r="16" spans="1:14" ht="15" customHeight="1">
      <c r="D16" s="985"/>
      <c r="E16" s="53"/>
      <c r="F16" s="104">
        <v>2018</v>
      </c>
      <c r="G16" s="104">
        <v>2020</v>
      </c>
      <c r="H16" s="104">
        <v>2025</v>
      </c>
      <c r="I16" s="104">
        <v>2030</v>
      </c>
      <c r="J16" s="104">
        <v>2035</v>
      </c>
      <c r="K16" s="104">
        <v>2040</v>
      </c>
      <c r="L16" s="104">
        <v>2045</v>
      </c>
      <c r="M16" s="104">
        <v>2050</v>
      </c>
      <c r="N16" s="990"/>
    </row>
    <row r="17" spans="4:23" ht="15" customHeight="1">
      <c r="D17" s="985"/>
      <c r="E17" s="310" t="s">
        <v>500</v>
      </c>
      <c r="F17" s="3388">
        <v>10.717588132703632</v>
      </c>
      <c r="G17" s="3388">
        <v>12.335826523835941</v>
      </c>
      <c r="H17" s="3388">
        <v>14.375610581504287</v>
      </c>
      <c r="I17" s="3388">
        <v>15.29129381193502</v>
      </c>
      <c r="J17" s="3388">
        <v>16.100197312649723</v>
      </c>
      <c r="K17" s="3388">
        <v>17.00481454948406</v>
      </c>
      <c r="L17" s="3388">
        <v>18.209326259357642</v>
      </c>
      <c r="M17" s="3388">
        <v>20.192168225954187</v>
      </c>
      <c r="N17" s="2129"/>
    </row>
    <row r="18" spans="4:23" ht="15" customHeight="1">
      <c r="D18" s="985"/>
      <c r="E18" s="310" t="s">
        <v>530</v>
      </c>
      <c r="F18" s="1340">
        <v>3.0100756498841617</v>
      </c>
      <c r="G18" s="1340">
        <v>3.2950134722446389</v>
      </c>
      <c r="H18" s="1340">
        <v>4.0646256756572914</v>
      </c>
      <c r="I18" s="1340">
        <v>4.886292641444129</v>
      </c>
      <c r="J18" s="3622">
        <v>5.7231948467727278</v>
      </c>
      <c r="K18" s="1340">
        <v>6.857751336303485</v>
      </c>
      <c r="L18" s="3623">
        <v>8.0046484840066299</v>
      </c>
      <c r="M18" s="3623">
        <v>9.0977041893060715</v>
      </c>
      <c r="N18" s="2129"/>
      <c r="O18" s="2947"/>
    </row>
    <row r="19" spans="4:23" ht="15" customHeight="1">
      <c r="D19" s="985"/>
      <c r="E19" s="310" t="s">
        <v>514</v>
      </c>
      <c r="F19" s="1340">
        <v>0</v>
      </c>
      <c r="G19" s="1340">
        <v>0</v>
      </c>
      <c r="H19" s="1340">
        <v>0</v>
      </c>
      <c r="I19" s="1340">
        <v>0</v>
      </c>
      <c r="J19" s="1340">
        <v>0</v>
      </c>
      <c r="K19" s="1340">
        <v>0</v>
      </c>
      <c r="L19" s="1340">
        <v>0</v>
      </c>
      <c r="M19" s="1340">
        <v>0</v>
      </c>
      <c r="N19" s="2130"/>
    </row>
    <row r="20" spans="4:23" ht="15" customHeight="1">
      <c r="D20" s="50"/>
      <c r="E20" s="1336"/>
      <c r="F20" s="1627">
        <f>SUM(F17:F19)</f>
        <v>13.727663782587793</v>
      </c>
      <c r="G20" s="1627">
        <f t="shared" ref="G20:M20" si="0">SUM(G17:G19)</f>
        <v>15.63083999608058</v>
      </c>
      <c r="H20" s="1627">
        <f t="shared" si="0"/>
        <v>18.44023625716158</v>
      </c>
      <c r="I20" s="1627">
        <f t="shared" si="0"/>
        <v>20.177586453379149</v>
      </c>
      <c r="J20" s="1627">
        <f t="shared" si="0"/>
        <v>21.82339215942245</v>
      </c>
      <c r="K20" s="1627">
        <f t="shared" si="0"/>
        <v>23.862565885787546</v>
      </c>
      <c r="L20" s="1627">
        <f t="shared" si="0"/>
        <v>26.213974743364272</v>
      </c>
      <c r="M20" s="1627">
        <f t="shared" si="0"/>
        <v>29.289872415260259</v>
      </c>
      <c r="N20" s="101"/>
    </row>
    <row r="21" spans="4:23" ht="15" customHeight="1">
      <c r="D21" s="50"/>
      <c r="E21" s="992"/>
      <c r="F21" s="6"/>
      <c r="G21" s="992"/>
      <c r="H21" s="992"/>
      <c r="I21" s="991"/>
      <c r="J21" s="992"/>
      <c r="K21" s="993"/>
      <c r="L21" s="997"/>
      <c r="M21" s="997"/>
      <c r="N21" s="101"/>
    </row>
    <row r="22" spans="4:23" ht="15" customHeight="1">
      <c r="D22" s="985"/>
      <c r="E22" s="998" t="s">
        <v>554</v>
      </c>
      <c r="F22" s="390"/>
      <c r="G22" s="391"/>
      <c r="H22" s="390"/>
      <c r="I22" s="999"/>
      <c r="J22" s="390"/>
      <c r="K22" s="999"/>
      <c r="L22" s="999"/>
      <c r="M22" s="999"/>
      <c r="N22" s="990"/>
    </row>
    <row r="23" spans="4:23" ht="15" customHeight="1">
      <c r="D23" s="985"/>
      <c r="E23" s="986"/>
      <c r="F23" s="987"/>
      <c r="G23" s="988"/>
      <c r="H23" s="987"/>
      <c r="I23" s="989"/>
      <c r="J23" s="987"/>
      <c r="K23" s="989"/>
      <c r="L23" s="989"/>
      <c r="M23" s="989"/>
      <c r="N23" s="990"/>
    </row>
    <row r="24" spans="4:23" ht="15" customHeight="1">
      <c r="D24" s="985"/>
      <c r="E24" s="311"/>
      <c r="F24" s="991"/>
      <c r="G24" s="992"/>
      <c r="H24" s="992"/>
      <c r="I24" s="991"/>
      <c r="J24" s="992"/>
      <c r="K24" s="993"/>
      <c r="L24" s="994"/>
      <c r="M24" s="1339"/>
      <c r="N24" s="990"/>
    </row>
    <row r="25" spans="4:23" ht="15" customHeight="1">
      <c r="D25" s="985"/>
      <c r="E25" s="53"/>
      <c r="F25" s="104">
        <v>2018</v>
      </c>
      <c r="G25" s="104">
        <v>2020</v>
      </c>
      <c r="H25" s="104">
        <v>2025</v>
      </c>
      <c r="I25" s="104">
        <v>2030</v>
      </c>
      <c r="J25" s="104">
        <v>2035</v>
      </c>
      <c r="K25" s="104">
        <v>2040</v>
      </c>
      <c r="L25" s="104">
        <v>2045</v>
      </c>
      <c r="M25" s="104">
        <v>2050</v>
      </c>
      <c r="N25" s="990"/>
    </row>
    <row r="26" spans="4:23" ht="15" customHeight="1">
      <c r="D26" s="985"/>
      <c r="E26" s="310" t="s">
        <v>500</v>
      </c>
      <c r="F26" s="3388" cm="1">
        <f t="array" ref="F26:M26">IF((ENER_CombFosil!F24:$M$24+ENER_CombFosil!$F$35:$M$35+ENER_CombFosil!$F$46:$M$46+ENER_CombFosil!$F$68:$M$68+ENER_CombFosil!$F$90:$M$90)-SALIDA_GENERACION_ENER_CRUDO&lt;0,ABS((ENER_CombFosil!$F$24:$M$24+ENER_CombFosil!$F$35:$M$35+ENER_CombFosil!$F$46:$M$46+ENER_CombFosil!$F$68:$M$68+ENER_CombFosil!$F$90:$M$90)-SALIDA_GENERACION_ENER_CRUDO),0)</f>
        <v>0</v>
      </c>
      <c r="G26" s="1340">
        <v>0</v>
      </c>
      <c r="H26" s="1340">
        <v>0</v>
      </c>
      <c r="I26" s="1340">
        <v>0</v>
      </c>
      <c r="J26" s="1340">
        <v>0</v>
      </c>
      <c r="K26" s="1340">
        <v>0</v>
      </c>
      <c r="L26" s="1340">
        <v>0</v>
      </c>
      <c r="M26" s="1340">
        <v>0</v>
      </c>
      <c r="N26" s="2129"/>
      <c r="O26" s="1503"/>
      <c r="Q26" s="1503"/>
      <c r="R26" s="1503"/>
      <c r="S26" s="1503"/>
      <c r="T26" s="1503"/>
      <c r="U26" s="1503"/>
      <c r="V26" s="1503"/>
      <c r="W26" s="1503"/>
    </row>
    <row r="27" spans="4:23" ht="15" customHeight="1">
      <c r="D27" s="985"/>
      <c r="E27" s="310" t="s">
        <v>530</v>
      </c>
      <c r="F27" s="1340" cm="1">
        <f t="array" ref="F27:M27">IF(ENER_CombFosil!$F$57:$M$57-SALIDA_GENERACION_ENER_GN&lt;0,ABS(ENER_CombFosil!$F$57:$M$57-SALIDA_GENERACION_ENER_GN),0)</f>
        <v>0</v>
      </c>
      <c r="G27" s="1340">
        <v>0</v>
      </c>
      <c r="H27" s="1340">
        <v>0</v>
      </c>
      <c r="I27" s="1340">
        <v>0</v>
      </c>
      <c r="J27" s="3622">
        <v>0</v>
      </c>
      <c r="K27" s="1340">
        <v>0</v>
      </c>
      <c r="L27" s="3623">
        <v>0</v>
      </c>
      <c r="M27" s="3623">
        <v>0</v>
      </c>
      <c r="N27" s="2129"/>
    </row>
    <row r="28" spans="4:23" ht="15" customHeight="1">
      <c r="D28" s="985"/>
      <c r="E28" s="310" t="s">
        <v>514</v>
      </c>
      <c r="F28" s="1340" cm="1">
        <f t="array" ref="F28:M28">IF(ENER_CombFosil!$F$79:$M$79-SALIDA_GENERACION_ENER_CARBÓN&lt;0,ABS(ENER_CombFosil!$F$79:$M$79-SALIDA_GENERACION_ENER_CARBÓN),0)</f>
        <v>11.552200794593844</v>
      </c>
      <c r="G28" s="1340">
        <v>10.964878074829119</v>
      </c>
      <c r="H28" s="1340">
        <v>3.1902050006940907</v>
      </c>
      <c r="I28" s="1340">
        <v>2.590554783370866</v>
      </c>
      <c r="J28" s="3622">
        <v>2.5195591238546227</v>
      </c>
      <c r="K28" s="1340">
        <v>2.4484408466190084</v>
      </c>
      <c r="L28" s="3623">
        <v>2.3773225693833933</v>
      </c>
      <c r="M28" s="3623">
        <v>2.3062042921477781</v>
      </c>
      <c r="N28" s="2130"/>
    </row>
    <row r="29" spans="4:23" ht="15" customHeight="1">
      <c r="D29" s="50"/>
      <c r="E29" s="1336"/>
      <c r="F29" s="1627">
        <f t="shared" ref="F29:M29" si="1">SUM(F26:F28)</f>
        <v>11.552200794593844</v>
      </c>
      <c r="G29" s="1627">
        <f t="shared" si="1"/>
        <v>10.964878074829119</v>
      </c>
      <c r="H29" s="1627">
        <f t="shared" si="1"/>
        <v>3.1902050006940907</v>
      </c>
      <c r="I29" s="1627">
        <f t="shared" si="1"/>
        <v>2.590554783370866</v>
      </c>
      <c r="J29" s="1627">
        <f t="shared" si="1"/>
        <v>2.5195591238546227</v>
      </c>
      <c r="K29" s="1627">
        <f t="shared" si="1"/>
        <v>2.4484408466190084</v>
      </c>
      <c r="L29" s="1627">
        <f t="shared" si="1"/>
        <v>2.3773225693833933</v>
      </c>
      <c r="M29" s="1627">
        <f t="shared" si="1"/>
        <v>2.3062042921477781</v>
      </c>
      <c r="N29" s="101"/>
    </row>
    <row r="30" spans="4:23" ht="15" customHeight="1">
      <c r="D30" s="213"/>
      <c r="E30" s="6"/>
      <c r="F30" s="6"/>
      <c r="G30" s="6"/>
      <c r="H30" s="6"/>
      <c r="I30" s="6"/>
      <c r="J30" s="6"/>
      <c r="K30" s="6"/>
      <c r="L30" s="6"/>
      <c r="M30" s="6"/>
      <c r="N30" s="6"/>
    </row>
    <row r="32" spans="4:23" ht="15" customHeight="1">
      <c r="D32" s="680"/>
      <c r="F32" s="680"/>
      <c r="H32" s="680"/>
      <c r="J32" s="680"/>
      <c r="L32" s="680"/>
      <c r="N32" s="680"/>
      <c r="P32" s="680"/>
    </row>
    <row r="33" spans="4:16" ht="15" customHeight="1">
      <c r="D33" s="680"/>
      <c r="F33" s="680"/>
      <c r="H33" s="680"/>
      <c r="J33" s="680"/>
      <c r="L33" s="680"/>
      <c r="N33" s="680"/>
      <c r="P33" s="680"/>
    </row>
    <row r="34" spans="4:16" ht="15" customHeight="1">
      <c r="D34" s="680"/>
      <c r="F34" s="680"/>
      <c r="H34" s="680"/>
      <c r="J34" s="680"/>
      <c r="L34" s="680"/>
      <c r="N34" s="680"/>
      <c r="P34" s="680"/>
    </row>
    <row r="35" spans="4:16" ht="15" customHeight="1">
      <c r="D35" s="680"/>
      <c r="F35" s="680"/>
      <c r="H35" s="680"/>
      <c r="J35" s="680"/>
      <c r="L35" s="680"/>
      <c r="N35" s="680"/>
      <c r="P35" s="680"/>
    </row>
    <row r="36" spans="4:16" ht="15" customHeight="1">
      <c r="D36" s="680"/>
      <c r="F36" s="680"/>
      <c r="H36" s="680"/>
      <c r="J36" s="680"/>
      <c r="L36" s="680"/>
      <c r="N36" s="680"/>
      <c r="P36" s="680"/>
    </row>
    <row r="37" spans="4:16" ht="15" customHeight="1">
      <c r="D37" s="680"/>
      <c r="F37" s="680"/>
      <c r="H37" s="680"/>
      <c r="J37" s="680"/>
      <c r="L37" s="680"/>
      <c r="N37" s="680"/>
      <c r="P37" s="680"/>
    </row>
    <row r="38" spans="4:16" ht="15" customHeight="1">
      <c r="D38" s="680"/>
      <c r="F38" s="680"/>
      <c r="H38" s="680"/>
      <c r="J38" s="680"/>
      <c r="L38" s="680"/>
      <c r="N38" s="680"/>
      <c r="P38" s="680"/>
    </row>
    <row r="39" spans="4:16" ht="15" customHeight="1">
      <c r="D39" s="680"/>
      <c r="F39" s="680"/>
      <c r="H39" s="680"/>
      <c r="J39" s="680"/>
      <c r="L39" s="680"/>
      <c r="N39" s="680"/>
      <c r="P39" s="680"/>
    </row>
    <row r="40" spans="4:16" ht="15" customHeight="1">
      <c r="D40" s="680"/>
      <c r="F40" s="680"/>
      <c r="H40" s="680"/>
      <c r="J40" s="680"/>
      <c r="L40" s="680"/>
      <c r="N40" s="680"/>
      <c r="P40" s="680"/>
    </row>
    <row r="41" spans="4:16" ht="15" customHeight="1">
      <c r="D41" s="680"/>
      <c r="F41" s="680"/>
      <c r="H41" s="680"/>
      <c r="J41" s="680"/>
      <c r="L41" s="680"/>
      <c r="N41" s="680"/>
      <c r="P41" s="680"/>
    </row>
    <row r="146" spans="16:16" ht="15" customHeight="1">
      <c r="P146" s="1844"/>
    </row>
    <row r="317" spans="17:17" ht="15" customHeight="1">
      <c r="Q317" s="186"/>
    </row>
    <row r="338" spans="15:18" ht="15" customHeight="1">
      <c r="R338" s="2044"/>
    </row>
    <row r="339" spans="15:18" ht="15" customHeight="1">
      <c r="O339" s="186"/>
      <c r="P339" s="2045"/>
    </row>
    <row r="400" spans="15:15" ht="15" customHeight="1">
      <c r="O400" s="1385"/>
    </row>
    <row r="401" spans="15:15" ht="15" customHeight="1">
      <c r="O401" s="1385"/>
    </row>
    <row r="402" spans="15:15" ht="15" customHeight="1">
      <c r="O402" s="1385"/>
    </row>
  </sheetData>
  <sheetProtection algorithmName="SHA-512" hashValue="XkcwYNknldfJ8TfcxB1WSx0q8THLMGSLOl213Qbu7ZSbLNLTvGS43YRcJ/R+MSfOIdafkFf6m6VuSjbkpoe7pQ==" saltValue="N9W8p6eXxN1oSlD8BChGVA==" spinCount="100000" sheet="1" objects="1" scenarios="1"/>
  <pageMargins left="0.7" right="0.7" top="0.75" bottom="0.75" header="0.3" footer="0.3"/>
  <pageSetup paperSize="9" orientation="portrait" r:id="rId1"/>
  <customProperties>
    <customPr name="_pios_id" r:id="rId2"/>
  </customProperties>
  <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73F25-BFAF-4F8B-BE60-4867D44673B4}">
  <sheetPr codeName="Hoja46"/>
  <dimension ref="A4:N581"/>
  <sheetViews>
    <sheetView showGridLines="0" zoomScale="80" zoomScaleNormal="80" workbookViewId="0"/>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31.28515625" customWidth="1"/>
    <col min="6" max="14" width="11.7109375" customWidth="1"/>
    <col min="15" max="15" width="12" bestFit="1" customWidth="1"/>
    <col min="16" max="16" width="11.85546875" bestFit="1" customWidth="1"/>
  </cols>
  <sheetData>
    <row r="4" spans="1:14" ht="15" customHeight="1">
      <c r="D4" s="396" t="s">
        <v>1622</v>
      </c>
      <c r="E4" s="5"/>
      <c r="F4" s="5"/>
      <c r="G4" s="5"/>
      <c r="H4" s="5"/>
      <c r="I4" s="5"/>
      <c r="J4" s="5"/>
      <c r="K4" s="5"/>
      <c r="L4" s="5"/>
      <c r="M4" s="5"/>
      <c r="N4" s="5"/>
    </row>
    <row r="5" spans="1:14" ht="15" customHeight="1">
      <c r="A5" s="1559"/>
      <c r="D5" s="6"/>
      <c r="E5" s="6"/>
      <c r="F5" s="6"/>
      <c r="G5" s="6"/>
      <c r="H5" s="6"/>
      <c r="I5" s="6"/>
      <c r="J5" s="6"/>
      <c r="K5" s="6"/>
      <c r="L5" s="6"/>
      <c r="M5" s="6"/>
      <c r="N5" s="6"/>
    </row>
    <row r="6" spans="1:14" ht="15" customHeight="1">
      <c r="D6" s="6"/>
      <c r="E6" s="126" t="s">
        <v>1623</v>
      </c>
      <c r="F6" s="128"/>
      <c r="G6" s="128"/>
      <c r="H6" s="128"/>
      <c r="I6" s="128"/>
      <c r="J6" s="128"/>
      <c r="K6" s="128"/>
      <c r="L6" s="128"/>
      <c r="M6" s="128" t="s">
        <v>879</v>
      </c>
      <c r="N6" s="397"/>
    </row>
    <row r="7" spans="1:14" ht="15" customHeight="1">
      <c r="D7" s="6"/>
      <c r="E7" s="3908" t="s">
        <v>371</v>
      </c>
      <c r="F7" s="3908"/>
      <c r="G7" s="3908"/>
      <c r="H7" s="3908"/>
      <c r="I7" s="3908"/>
      <c r="J7" s="3908"/>
      <c r="K7" s="128"/>
      <c r="L7" s="128"/>
      <c r="M7" s="3910">
        <f>TRAYECTORIA_PARTICIPACION_COMBUSTIBLES_FOSILES_GENERACION_ELECTRICA</f>
        <v>1</v>
      </c>
      <c r="N7" s="397"/>
    </row>
    <row r="8" spans="1:14" ht="15" customHeight="1">
      <c r="D8" s="6"/>
      <c r="E8" s="3909"/>
      <c r="F8" s="3909"/>
      <c r="G8" s="3909"/>
      <c r="H8" s="3909"/>
      <c r="I8" s="3909"/>
      <c r="J8" s="3909"/>
      <c r="K8" s="1595"/>
      <c r="L8" s="1595"/>
      <c r="M8" s="3911"/>
      <c r="N8" s="397"/>
    </row>
    <row r="9" spans="1:14" ht="15" customHeight="1">
      <c r="D9" s="6"/>
      <c r="E9" s="6"/>
      <c r="F9" s="6"/>
      <c r="G9" s="6"/>
      <c r="H9" s="6"/>
      <c r="I9" s="6"/>
      <c r="J9" s="6"/>
      <c r="K9" s="6"/>
      <c r="L9" s="6"/>
      <c r="M9" s="6"/>
      <c r="N9" s="6"/>
    </row>
    <row r="11" spans="1:14" ht="15" customHeight="1">
      <c r="D11" s="396" t="s">
        <v>48</v>
      </c>
      <c r="E11" s="5"/>
      <c r="F11" s="5"/>
      <c r="G11" s="5"/>
      <c r="H11" s="5"/>
      <c r="I11" s="5"/>
      <c r="J11" s="5"/>
      <c r="K11" s="5"/>
      <c r="L11" s="5"/>
      <c r="M11" s="5"/>
      <c r="N11" s="5"/>
    </row>
    <row r="12" spans="1:14" ht="15" customHeight="1">
      <c r="D12" s="50"/>
      <c r="E12" s="50"/>
      <c r="F12" s="50"/>
      <c r="G12" s="50"/>
      <c r="H12" s="50"/>
      <c r="I12" s="50"/>
      <c r="J12" s="50"/>
      <c r="K12" s="50"/>
      <c r="L12" s="50"/>
      <c r="M12" s="50"/>
      <c r="N12" s="50"/>
    </row>
    <row r="13" spans="1:14" ht="15" customHeight="1">
      <c r="D13" s="50"/>
      <c r="E13" s="48" t="s">
        <v>1721</v>
      </c>
      <c r="F13" s="48"/>
      <c r="G13" s="48"/>
      <c r="H13" s="48"/>
      <c r="I13" s="48"/>
      <c r="J13" s="48"/>
      <c r="K13" s="48"/>
      <c r="L13" s="48"/>
      <c r="M13" s="48"/>
      <c r="N13" s="50"/>
    </row>
    <row r="14" spans="1:14" ht="15" customHeight="1">
      <c r="D14" s="50"/>
      <c r="E14" s="1041"/>
      <c r="F14" s="50"/>
      <c r="G14" s="50"/>
      <c r="H14" s="50"/>
      <c r="I14" s="50"/>
      <c r="J14" s="50"/>
      <c r="K14" s="50"/>
      <c r="L14" s="50"/>
      <c r="M14" s="52" t="s">
        <v>9</v>
      </c>
      <c r="N14" s="52"/>
    </row>
    <row r="15" spans="1:14" ht="15" customHeight="1">
      <c r="D15" s="50"/>
      <c r="E15" s="1040" t="s">
        <v>286</v>
      </c>
      <c r="F15" s="459">
        <v>2018</v>
      </c>
      <c r="G15" s="459" t="s">
        <v>322</v>
      </c>
      <c r="H15" s="459" t="s">
        <v>323</v>
      </c>
      <c r="I15" s="459" t="s">
        <v>324</v>
      </c>
      <c r="J15" s="459" t="s">
        <v>325</v>
      </c>
      <c r="K15" s="459" t="s">
        <v>326</v>
      </c>
      <c r="L15" s="459" t="s">
        <v>327</v>
      </c>
      <c r="M15" s="459" t="s">
        <v>328</v>
      </c>
      <c r="N15" s="461"/>
    </row>
    <row r="16" spans="1:14" ht="15" customHeight="1">
      <c r="D16" s="50"/>
      <c r="E16" s="1039" t="s">
        <v>62</v>
      </c>
      <c r="F16" s="2075" t="s">
        <v>72</v>
      </c>
      <c r="G16" s="2075" t="s">
        <v>72</v>
      </c>
      <c r="H16" s="2075" t="s">
        <v>72</v>
      </c>
      <c r="I16" s="2075" t="s">
        <v>72</v>
      </c>
      <c r="J16" s="2075" t="s">
        <v>72</v>
      </c>
      <c r="K16" s="2075" t="s">
        <v>72</v>
      </c>
      <c r="L16" s="2075" t="s">
        <v>72</v>
      </c>
      <c r="M16" s="2075" t="s">
        <v>72</v>
      </c>
      <c r="N16" s="461"/>
    </row>
    <row r="17" spans="4:14" ht="15" customHeight="1">
      <c r="D17" s="50"/>
      <c r="E17" s="1014" t="s">
        <v>1720</v>
      </c>
      <c r="F17" s="2075" cm="1">
        <f t="array" ref="F17:M17">SALIDA_GENERACION_IND_INYECTADO_A_RED</f>
        <v>0</v>
      </c>
      <c r="G17" s="2075">
        <v>0</v>
      </c>
      <c r="H17" s="2075">
        <v>0</v>
      </c>
      <c r="I17" s="2075">
        <v>0</v>
      </c>
      <c r="J17" s="2075">
        <v>0</v>
      </c>
      <c r="K17" s="2075">
        <v>0</v>
      </c>
      <c r="L17" s="2075">
        <v>0</v>
      </c>
      <c r="M17" s="2075">
        <v>0</v>
      </c>
      <c r="N17" s="461"/>
    </row>
    <row r="18" spans="4:14" ht="15" customHeight="1">
      <c r="D18" s="50"/>
      <c r="E18" s="1014" t="s">
        <v>487</v>
      </c>
      <c r="F18" s="2075" cm="1">
        <f t="array" ref="F18:M18">SALIDA_GENERACION_RES_SOL_INYECT_RED+SALIDA_GENERACION_AGUAS_RES_INYECTADA_RED</f>
        <v>8.2983241269553848E-12</v>
      </c>
      <c r="G18" s="2075">
        <v>9.009188814620217E-12</v>
      </c>
      <c r="H18" s="2075">
        <v>1.0843255572503704E-11</v>
      </c>
      <c r="I18" s="2075">
        <v>1.2779510215300475E-11</v>
      </c>
      <c r="J18" s="2075">
        <v>1.2933248009276829E-11</v>
      </c>
      <c r="K18" s="2075">
        <v>1.309109052451993E-11</v>
      </c>
      <c r="L18" s="2075">
        <v>1.3253204376270684E-11</v>
      </c>
      <c r="M18" s="2075">
        <v>1.341976532091919E-11</v>
      </c>
      <c r="N18" s="461"/>
    </row>
    <row r="19" spans="4:14" ht="15" customHeight="1">
      <c r="D19" s="50"/>
      <c r="E19" s="1014" t="s">
        <v>488</v>
      </c>
      <c r="F19" s="2075" cm="1">
        <f t="array" ref="F19:M19">SALIDA_GENERACION_EDI_RES_IRCO_INYECTADO_A_RED</f>
        <v>0</v>
      </c>
      <c r="G19" s="2075">
        <v>0</v>
      </c>
      <c r="H19" s="2075">
        <v>0</v>
      </c>
      <c r="I19" s="2075">
        <v>0</v>
      </c>
      <c r="J19" s="2075">
        <v>0</v>
      </c>
      <c r="K19" s="2075">
        <v>0</v>
      </c>
      <c r="L19" s="2075">
        <v>0</v>
      </c>
      <c r="M19" s="2075">
        <v>0</v>
      </c>
      <c r="N19" s="461"/>
    </row>
    <row r="20" spans="4:14" ht="15" customHeight="1">
      <c r="D20" s="50"/>
      <c r="E20" s="1014" t="s">
        <v>489</v>
      </c>
      <c r="F20" s="2075" t="s">
        <v>72</v>
      </c>
      <c r="G20" s="2075" t="s">
        <v>72</v>
      </c>
      <c r="H20" s="2075" t="s">
        <v>72</v>
      </c>
      <c r="I20" s="2075" t="s">
        <v>72</v>
      </c>
      <c r="J20" s="2075" t="s">
        <v>72</v>
      </c>
      <c r="K20" s="2075" t="s">
        <v>72</v>
      </c>
      <c r="L20" s="2075" t="s">
        <v>72</v>
      </c>
      <c r="M20" s="2075" t="s">
        <v>72</v>
      </c>
      <c r="N20" s="461"/>
    </row>
    <row r="21" spans="4:14" ht="15" customHeight="1">
      <c r="D21" s="50"/>
      <c r="E21" s="1014" t="s">
        <v>306</v>
      </c>
      <c r="F21" s="2075" cm="1">
        <f t="array" ref="F21:M21">SALIDA_GENERACION_AGRO_CULTIVOS</f>
        <v>0.46444490631670859</v>
      </c>
      <c r="G21" s="2075">
        <v>0.46387377706626448</v>
      </c>
      <c r="H21" s="2075">
        <v>0.46366236768120134</v>
      </c>
      <c r="I21" s="2075">
        <v>0.46345123002734379</v>
      </c>
      <c r="J21" s="2075">
        <v>0.4632403637554271</v>
      </c>
      <c r="K21" s="2075">
        <v>0.46302976851663546</v>
      </c>
      <c r="L21" s="2075">
        <v>0.46281944396260133</v>
      </c>
      <c r="M21" s="2075">
        <v>0.46260938974540505</v>
      </c>
      <c r="N21" s="461"/>
    </row>
    <row r="22" spans="4:14" ht="15" customHeight="1">
      <c r="D22" s="50"/>
      <c r="E22" s="1014" t="s">
        <v>308</v>
      </c>
      <c r="F22" s="2075" cm="1">
        <f t="array" ref="F22:M22">SALIDA_GENERACION_GANA_TWH</f>
        <v>0</v>
      </c>
      <c r="G22" s="2075">
        <v>0</v>
      </c>
      <c r="H22" s="2075">
        <v>0</v>
      </c>
      <c r="I22" s="2075">
        <v>0</v>
      </c>
      <c r="J22" s="2075">
        <v>0</v>
      </c>
      <c r="K22" s="2075">
        <v>0</v>
      </c>
      <c r="L22" s="2075">
        <v>0</v>
      </c>
      <c r="M22" s="2075">
        <v>0</v>
      </c>
      <c r="N22" s="461"/>
    </row>
    <row r="23" spans="4:14" ht="15" customHeight="1">
      <c r="D23" s="50"/>
      <c r="E23" s="1015" t="s">
        <v>310</v>
      </c>
      <c r="F23" s="2075" t="s">
        <v>72</v>
      </c>
      <c r="G23" s="2075" t="s">
        <v>72</v>
      </c>
      <c r="H23" s="2075" t="s">
        <v>72</v>
      </c>
      <c r="I23" s="2075" t="s">
        <v>72</v>
      </c>
      <c r="J23" s="2075" t="s">
        <v>72</v>
      </c>
      <c r="K23" s="2075" t="s">
        <v>72</v>
      </c>
      <c r="L23" s="2075" t="s">
        <v>72</v>
      </c>
      <c r="M23" s="2075" t="s">
        <v>72</v>
      </c>
      <c r="N23" s="461"/>
    </row>
    <row r="24" spans="4:14" ht="15" customHeight="1">
      <c r="D24" s="50"/>
      <c r="E24" s="55" t="s">
        <v>338</v>
      </c>
      <c r="F24" s="2085">
        <f t="shared" ref="F24:M24" si="0">SUM(F16:F22)</f>
        <v>0.4644449063250069</v>
      </c>
      <c r="G24" s="2085">
        <f t="shared" si="0"/>
        <v>0.46387377707527366</v>
      </c>
      <c r="H24" s="2085">
        <f t="shared" si="0"/>
        <v>0.46366236769204461</v>
      </c>
      <c r="I24" s="2085">
        <f t="shared" si="0"/>
        <v>0.46345123004012329</v>
      </c>
      <c r="J24" s="2085">
        <f t="shared" si="0"/>
        <v>0.46324036376836036</v>
      </c>
      <c r="K24" s="2085">
        <f t="shared" si="0"/>
        <v>0.46302976852972655</v>
      </c>
      <c r="L24" s="2085">
        <f t="shared" si="0"/>
        <v>0.46281944397585456</v>
      </c>
      <c r="M24" s="2085">
        <f t="shared" si="0"/>
        <v>0.46260938975882482</v>
      </c>
      <c r="N24" s="474"/>
    </row>
    <row r="25" spans="4:14" ht="15" customHeight="1">
      <c r="D25" s="50"/>
      <c r="E25" s="51"/>
      <c r="F25" s="474"/>
      <c r="G25" s="474"/>
      <c r="H25" s="474"/>
      <c r="I25" s="474"/>
      <c r="J25" s="474"/>
      <c r="K25" s="474"/>
      <c r="L25" s="474"/>
      <c r="M25" s="474"/>
      <c r="N25" s="474"/>
    </row>
    <row r="26" spans="4:14" ht="15" customHeight="1">
      <c r="D26" s="50"/>
      <c r="E26" s="48" t="s">
        <v>1722</v>
      </c>
      <c r="F26" s="48"/>
      <c r="G26" s="48"/>
      <c r="H26" s="48"/>
      <c r="I26" s="48"/>
      <c r="J26" s="48"/>
      <c r="K26" s="48"/>
      <c r="L26" s="48"/>
      <c r="M26" s="48"/>
      <c r="N26" s="50"/>
    </row>
    <row r="27" spans="4:14" ht="15" customHeight="1">
      <c r="D27" s="50"/>
      <c r="E27" s="1041"/>
      <c r="F27" s="50"/>
      <c r="G27" s="50"/>
      <c r="H27" s="50"/>
      <c r="I27" s="50"/>
      <c r="J27" s="50"/>
      <c r="K27" s="50"/>
      <c r="L27" s="50"/>
      <c r="M27" s="52" t="s">
        <v>9</v>
      </c>
      <c r="N27" s="52"/>
    </row>
    <row r="28" spans="4:14" ht="15" customHeight="1">
      <c r="D28" s="50"/>
      <c r="E28" s="1040" t="s">
        <v>286</v>
      </c>
      <c r="F28" s="459">
        <v>2018</v>
      </c>
      <c r="G28" s="459" t="s">
        <v>322</v>
      </c>
      <c r="H28" s="459" t="s">
        <v>323</v>
      </c>
      <c r="I28" s="459" t="s">
        <v>324</v>
      </c>
      <c r="J28" s="459" t="s">
        <v>325</v>
      </c>
      <c r="K28" s="459" t="s">
        <v>326</v>
      </c>
      <c r="L28" s="459" t="s">
        <v>327</v>
      </c>
      <c r="M28" s="459" t="s">
        <v>328</v>
      </c>
      <c r="N28" s="461"/>
    </row>
    <row r="29" spans="4:14" ht="15" customHeight="1">
      <c r="D29" s="50"/>
      <c r="E29" s="1039" t="s">
        <v>62</v>
      </c>
      <c r="F29" s="2075" t="s">
        <v>72</v>
      </c>
      <c r="G29" s="2075" t="s">
        <v>72</v>
      </c>
      <c r="H29" s="2075" t="s">
        <v>72</v>
      </c>
      <c r="I29" s="2075" t="s">
        <v>72</v>
      </c>
      <c r="J29" s="2075" t="s">
        <v>72</v>
      </c>
      <c r="K29" s="2075" t="s">
        <v>72</v>
      </c>
      <c r="L29" s="2075" t="s">
        <v>72</v>
      </c>
      <c r="M29" s="2075" t="s">
        <v>72</v>
      </c>
      <c r="N29" s="461"/>
    </row>
    <row r="30" spans="4:14" ht="15" customHeight="1">
      <c r="D30" s="50"/>
      <c r="E30" s="1014" t="s">
        <v>1720</v>
      </c>
      <c r="F30" s="2075" cm="1">
        <f t="array" ref="F30:M30">SALIDA_DEMANDA_IND_ELECTRICIDAD</f>
        <v>1.1105359253796188</v>
      </c>
      <c r="G30" s="2075">
        <v>1.1105359253796188</v>
      </c>
      <c r="H30" s="2075">
        <v>1.2779400846760602</v>
      </c>
      <c r="I30" s="2075">
        <v>1.4472075486028639</v>
      </c>
      <c r="J30" s="2075">
        <v>1.4472075486028639</v>
      </c>
      <c r="K30" s="2075">
        <v>1.4472075486028639</v>
      </c>
      <c r="L30" s="2075">
        <v>1.4472075486028639</v>
      </c>
      <c r="M30" s="2075">
        <v>1.4472075486028639</v>
      </c>
      <c r="N30" s="461"/>
    </row>
    <row r="31" spans="4:14" ht="15" customHeight="1">
      <c r="D31" s="50"/>
      <c r="E31" s="1014" t="s">
        <v>487</v>
      </c>
      <c r="F31" s="2075" cm="1">
        <f t="array" ref="F31:M31">(IF(SALIDA_RESIDUOS_BALANCE_TOTAL&gt;0,SALIDA_RESIDUOS_BALANCE_TOTAL,0))+(IF(SALIDA_DEMANDA_AGUAS_RES_ENERGETICO&gt;0,SALIDA_DEMANDA_AGUAS_RES_ENERGETICO,0))</f>
        <v>0</v>
      </c>
      <c r="G31" s="2075">
        <v>0</v>
      </c>
      <c r="H31" s="2075">
        <v>0</v>
      </c>
      <c r="I31" s="2075">
        <v>0</v>
      </c>
      <c r="J31" s="2075">
        <v>0</v>
      </c>
      <c r="K31" s="2075">
        <v>0</v>
      </c>
      <c r="L31" s="2075">
        <v>0</v>
      </c>
      <c r="M31" s="2075">
        <v>0</v>
      </c>
      <c r="N31" s="461"/>
    </row>
    <row r="32" spans="4:14" ht="15" customHeight="1">
      <c r="D32" s="50"/>
      <c r="E32" s="1014" t="s">
        <v>488</v>
      </c>
      <c r="F32" s="2088" cm="1">
        <f t="array" ref="F32:M32">SALIDA_DEMANDA_EDI_RES_URB_AER_ELECTRICIDAD+SALIDA_DEMANDA_EDI_RES_URB_IRCO_ELECTRICIDAD+SALIDA_DEMANDA_EDI_RES_RURAL_ELECTRICIDAD+SALIDA_DEMANDA_EDI_COM_AEC_ELECTRICIDAD+SALIDA_DEMANDA_EDI_COM_UTE_ELECTRICIDAD</f>
        <v>2.4956767646552338</v>
      </c>
      <c r="G32" s="2075">
        <v>2.9696845015880791</v>
      </c>
      <c r="H32" s="2075">
        <v>3.7535246156516902</v>
      </c>
      <c r="I32" s="2075">
        <v>4.492538701781136</v>
      </c>
      <c r="J32" s="2075">
        <v>5.1692154383240059</v>
      </c>
      <c r="K32" s="2075">
        <v>5.8756467754649666</v>
      </c>
      <c r="L32" s="2075">
        <v>6.5486292461482893</v>
      </c>
      <c r="M32" s="2075">
        <v>7.2209865852126551</v>
      </c>
      <c r="N32" s="461"/>
    </row>
    <row r="33" spans="4:14" ht="15" customHeight="1">
      <c r="D33" s="50"/>
      <c r="E33" s="1014" t="s">
        <v>489</v>
      </c>
      <c r="F33" s="2075" cm="1">
        <f t="array" ref="F33:M33">SALIDA_DEMANDA_TRANS_PAS_ELECTRICIDAD+SALIDA_DEMANDA_TRANS_CAR_Electricidad</f>
        <v>1.0000380374251177E-2</v>
      </c>
      <c r="G33" s="2075">
        <v>1.0002071007158175E-2</v>
      </c>
      <c r="H33" s="2075">
        <v>1.0011280006724257E-2</v>
      </c>
      <c r="I33" s="2075">
        <v>1.0058731399680707E-2</v>
      </c>
      <c r="J33" s="2075">
        <v>5.009720492731462E-2</v>
      </c>
      <c r="K33" s="2075">
        <v>0.10012001303443238</v>
      </c>
      <c r="L33" s="2075">
        <v>0.15013127195712794</v>
      </c>
      <c r="M33" s="2075">
        <v>0.20013815422342404</v>
      </c>
      <c r="N33" s="461"/>
    </row>
    <row r="34" spans="4:14" ht="15" customHeight="1">
      <c r="D34" s="50"/>
      <c r="E34" s="1014" t="s">
        <v>306</v>
      </c>
      <c r="F34" s="2075" t="s">
        <v>72</v>
      </c>
      <c r="G34" s="2075" t="s">
        <v>72</v>
      </c>
      <c r="H34" s="2075" t="s">
        <v>72</v>
      </c>
      <c r="I34" s="2075" t="s">
        <v>72</v>
      </c>
      <c r="J34" s="2075" t="s">
        <v>72</v>
      </c>
      <c r="K34" s="2075" t="s">
        <v>72</v>
      </c>
      <c r="L34" s="2075" t="s">
        <v>72</v>
      </c>
      <c r="M34" s="2075" t="s">
        <v>72</v>
      </c>
      <c r="N34" s="461"/>
    </row>
    <row r="35" spans="4:14" ht="15" customHeight="1">
      <c r="D35" s="50"/>
      <c r="E35" s="1014" t="s">
        <v>308</v>
      </c>
      <c r="F35" s="2075" t="s">
        <v>72</v>
      </c>
      <c r="G35" s="2075" t="s">
        <v>72</v>
      </c>
      <c r="H35" s="2075" t="s">
        <v>72</v>
      </c>
      <c r="I35" s="2075" t="s">
        <v>72</v>
      </c>
      <c r="J35" s="2075" t="s">
        <v>72</v>
      </c>
      <c r="K35" s="2075" t="s">
        <v>72</v>
      </c>
      <c r="L35" s="2075" t="s">
        <v>72</v>
      </c>
      <c r="M35" s="2075" t="s">
        <v>72</v>
      </c>
      <c r="N35" s="461"/>
    </row>
    <row r="36" spans="4:14" ht="15" customHeight="1">
      <c r="D36" s="50"/>
      <c r="E36" s="1015" t="s">
        <v>310</v>
      </c>
      <c r="F36" s="2075" t="s">
        <v>72</v>
      </c>
      <c r="G36" s="2075" t="s">
        <v>72</v>
      </c>
      <c r="H36" s="2075" t="s">
        <v>72</v>
      </c>
      <c r="I36" s="2075" t="s">
        <v>72</v>
      </c>
      <c r="J36" s="2075" t="s">
        <v>72</v>
      </c>
      <c r="K36" s="2075" t="s">
        <v>72</v>
      </c>
      <c r="L36" s="2075" t="s">
        <v>72</v>
      </c>
      <c r="M36" s="2075" t="s">
        <v>72</v>
      </c>
      <c r="N36" s="461"/>
    </row>
    <row r="37" spans="4:14" ht="15" customHeight="1">
      <c r="D37" s="50"/>
      <c r="E37" s="55" t="s">
        <v>338</v>
      </c>
      <c r="F37" s="2085">
        <f t="shared" ref="F37:M37" si="1">SUM(F29:F35)</f>
        <v>3.6162130704091036</v>
      </c>
      <c r="G37" s="2085">
        <f t="shared" si="1"/>
        <v>4.0902224979748558</v>
      </c>
      <c r="H37" s="2085">
        <f t="shared" si="1"/>
        <v>5.0414759803344742</v>
      </c>
      <c r="I37" s="2085">
        <f t="shared" si="1"/>
        <v>5.9498049817836804</v>
      </c>
      <c r="J37" s="2085">
        <f t="shared" si="1"/>
        <v>6.6665201918541843</v>
      </c>
      <c r="K37" s="2085">
        <f t="shared" si="1"/>
        <v>7.4229743371022634</v>
      </c>
      <c r="L37" s="2085">
        <f t="shared" si="1"/>
        <v>8.1459680667082814</v>
      </c>
      <c r="M37" s="2085">
        <f t="shared" si="1"/>
        <v>8.8683322880389426</v>
      </c>
      <c r="N37" s="474"/>
    </row>
    <row r="38" spans="4:14" ht="15" customHeight="1">
      <c r="D38" s="6"/>
      <c r="E38" s="6"/>
      <c r="F38" s="6"/>
      <c r="G38" s="6"/>
      <c r="H38" s="6"/>
      <c r="I38" s="6"/>
      <c r="J38" s="6"/>
      <c r="K38" s="6"/>
      <c r="L38" s="6"/>
      <c r="M38" s="6"/>
      <c r="N38" s="6"/>
    </row>
    <row r="39" spans="4:14" ht="15" customHeight="1">
      <c r="D39" s="50"/>
      <c r="E39" s="48" t="s">
        <v>1723</v>
      </c>
      <c r="F39" s="48"/>
      <c r="G39" s="48"/>
      <c r="H39" s="48"/>
      <c r="I39" s="48"/>
      <c r="J39" s="48"/>
      <c r="K39" s="48"/>
      <c r="L39" s="48"/>
      <c r="M39" s="48"/>
      <c r="N39" s="50"/>
    </row>
    <row r="40" spans="4:14" ht="15" customHeight="1">
      <c r="D40" s="50"/>
      <c r="E40" s="1041"/>
      <c r="F40" s="50"/>
      <c r="G40" s="50"/>
      <c r="H40" s="50"/>
      <c r="I40" s="50"/>
      <c r="J40" s="50"/>
      <c r="K40" s="50"/>
      <c r="L40" s="50"/>
      <c r="M40" s="52" t="s">
        <v>1724</v>
      </c>
      <c r="N40" s="52"/>
    </row>
    <row r="41" spans="4:14" ht="15" customHeight="1">
      <c r="D41" s="50"/>
      <c r="E41" s="1040" t="s">
        <v>286</v>
      </c>
      <c r="F41" s="459">
        <v>2018</v>
      </c>
      <c r="G41" s="459" t="s">
        <v>322</v>
      </c>
      <c r="H41" s="459" t="s">
        <v>323</v>
      </c>
      <c r="I41" s="459" t="s">
        <v>324</v>
      </c>
      <c r="J41" s="459" t="s">
        <v>325</v>
      </c>
      <c r="K41" s="459" t="s">
        <v>326</v>
      </c>
      <c r="L41" s="459" t="s">
        <v>327</v>
      </c>
      <c r="M41" s="459" t="s">
        <v>328</v>
      </c>
      <c r="N41" s="461"/>
    </row>
    <row r="42" spans="4:14" ht="15" customHeight="1">
      <c r="D42" s="50"/>
      <c r="E42" s="1039" t="s">
        <v>62</v>
      </c>
      <c r="F42" s="2075" t="s">
        <v>72</v>
      </c>
      <c r="G42" s="2075" t="s">
        <v>72</v>
      </c>
      <c r="H42" s="2075" t="s">
        <v>72</v>
      </c>
      <c r="I42" s="2075" t="s">
        <v>72</v>
      </c>
      <c r="J42" s="2075" t="s">
        <v>72</v>
      </c>
      <c r="K42" s="2075" t="s">
        <v>72</v>
      </c>
      <c r="L42" s="2075" t="s">
        <v>72</v>
      </c>
      <c r="M42" s="2075" t="s">
        <v>72</v>
      </c>
      <c r="N42" s="461"/>
    </row>
    <row r="43" spans="4:14" ht="15" customHeight="1">
      <c r="D43" s="50"/>
      <c r="E43" s="1014" t="s">
        <v>1720</v>
      </c>
      <c r="F43" s="2075" t="s">
        <v>72</v>
      </c>
      <c r="G43" s="2075" t="s">
        <v>72</v>
      </c>
      <c r="H43" s="2075" t="s">
        <v>72</v>
      </c>
      <c r="I43" s="2075" t="s">
        <v>72</v>
      </c>
      <c r="J43" s="2075" t="s">
        <v>72</v>
      </c>
      <c r="K43" s="2075" t="s">
        <v>72</v>
      </c>
      <c r="L43" s="2075" t="s">
        <v>72</v>
      </c>
      <c r="M43" s="2075" t="s">
        <v>72</v>
      </c>
      <c r="N43" s="461"/>
    </row>
    <row r="44" spans="4:14" ht="15" customHeight="1">
      <c r="D44" s="50"/>
      <c r="E44" s="1014" t="s">
        <v>487</v>
      </c>
      <c r="F44" s="2075" cm="1">
        <f t="array" ref="F44:M44">SALIDA_EMISIONES_ENERGIA_RES_SOL_TOTAL</f>
        <v>0.11406631102344174</v>
      </c>
      <c r="G44" s="2075">
        <v>0.12383764693636037</v>
      </c>
      <c r="H44" s="2075">
        <v>0.14904818656362481</v>
      </c>
      <c r="I44" s="2075">
        <v>0.17566337065705123</v>
      </c>
      <c r="J44" s="2075">
        <v>0.17777660493851313</v>
      </c>
      <c r="K44" s="2075">
        <v>0.17994626150542858</v>
      </c>
      <c r="L44" s="2075">
        <v>0.18217463060165887</v>
      </c>
      <c r="M44" s="2075">
        <v>0.18446412812260057</v>
      </c>
      <c r="N44" s="461"/>
    </row>
    <row r="45" spans="4:14" ht="15" customHeight="1">
      <c r="D45" s="50"/>
      <c r="E45" s="1014" t="s">
        <v>488</v>
      </c>
      <c r="F45" s="2075" t="s">
        <v>72</v>
      </c>
      <c r="G45" s="2075" t="s">
        <v>72</v>
      </c>
      <c r="H45" s="2075" t="s">
        <v>72</v>
      </c>
      <c r="I45" s="2075" t="s">
        <v>72</v>
      </c>
      <c r="J45" s="2075" t="s">
        <v>72</v>
      </c>
      <c r="K45" s="2075" t="s">
        <v>72</v>
      </c>
      <c r="L45" s="2075" t="s">
        <v>72</v>
      </c>
      <c r="M45" s="2075" t="s">
        <v>72</v>
      </c>
      <c r="N45" s="461"/>
    </row>
    <row r="46" spans="4:14" ht="15" customHeight="1">
      <c r="D46" s="50"/>
      <c r="E46" s="1014" t="s">
        <v>489</v>
      </c>
      <c r="F46" s="2075" t="s">
        <v>72</v>
      </c>
      <c r="G46" s="2075" t="s">
        <v>72</v>
      </c>
      <c r="H46" s="2075" t="s">
        <v>72</v>
      </c>
      <c r="I46" s="2075" t="s">
        <v>72</v>
      </c>
      <c r="J46" s="2075" t="s">
        <v>72</v>
      </c>
      <c r="K46" s="2075" t="s">
        <v>72</v>
      </c>
      <c r="L46" s="2075" t="s">
        <v>72</v>
      </c>
      <c r="M46" s="2075" t="s">
        <v>72</v>
      </c>
      <c r="N46" s="461"/>
    </row>
    <row r="47" spans="4:14" ht="15" customHeight="1">
      <c r="D47" s="50"/>
      <c r="E47" s="1014" t="s">
        <v>306</v>
      </c>
      <c r="F47" s="2075"/>
      <c r="G47" s="2075"/>
      <c r="H47" s="2075"/>
      <c r="I47" s="2075"/>
      <c r="J47" s="2075"/>
      <c r="K47" s="2075"/>
      <c r="L47" s="2075"/>
      <c r="M47" s="2075"/>
      <c r="N47" s="461"/>
    </row>
    <row r="48" spans="4:14" ht="15" customHeight="1">
      <c r="D48" s="50"/>
      <c r="E48" s="1014" t="s">
        <v>308</v>
      </c>
      <c r="F48" s="2075" t="s">
        <v>72</v>
      </c>
      <c r="G48" s="2075" t="s">
        <v>72</v>
      </c>
      <c r="H48" s="2075" t="s">
        <v>72</v>
      </c>
      <c r="I48" s="2075" t="s">
        <v>72</v>
      </c>
      <c r="J48" s="2075" t="s">
        <v>72</v>
      </c>
      <c r="K48" s="2075" t="s">
        <v>72</v>
      </c>
      <c r="L48" s="2075" t="s">
        <v>72</v>
      </c>
      <c r="M48" s="2075" t="s">
        <v>72</v>
      </c>
      <c r="N48" s="461"/>
    </row>
    <row r="49" spans="4:14" ht="15" customHeight="1">
      <c r="D49" s="50"/>
      <c r="E49" s="1015" t="s">
        <v>310</v>
      </c>
      <c r="F49" s="2075" t="s">
        <v>72</v>
      </c>
      <c r="G49" s="2075" t="s">
        <v>72</v>
      </c>
      <c r="H49" s="2075" t="s">
        <v>72</v>
      </c>
      <c r="I49" s="2075" t="s">
        <v>72</v>
      </c>
      <c r="J49" s="2075" t="s">
        <v>72</v>
      </c>
      <c r="K49" s="2075" t="s">
        <v>72</v>
      </c>
      <c r="L49" s="2075" t="s">
        <v>72</v>
      </c>
      <c r="M49" s="2075" t="s">
        <v>72</v>
      </c>
      <c r="N49" s="461"/>
    </row>
    <row r="50" spans="4:14" ht="15" customHeight="1">
      <c r="D50" s="50"/>
      <c r="E50" s="55" t="s">
        <v>338</v>
      </c>
      <c r="F50" s="2085">
        <f t="shared" ref="F50:M50" si="2">SUM(F42:F48)</f>
        <v>0.11406631102344174</v>
      </c>
      <c r="G50" s="2085">
        <f t="shared" si="2"/>
        <v>0.12383764693636037</v>
      </c>
      <c r="H50" s="2085">
        <f t="shared" si="2"/>
        <v>0.14904818656362481</v>
      </c>
      <c r="I50" s="2085">
        <f t="shared" si="2"/>
        <v>0.17566337065705123</v>
      </c>
      <c r="J50" s="2085">
        <f t="shared" si="2"/>
        <v>0.17777660493851313</v>
      </c>
      <c r="K50" s="2085">
        <f t="shared" si="2"/>
        <v>0.17994626150542858</v>
      </c>
      <c r="L50" s="2085">
        <f t="shared" si="2"/>
        <v>0.18217463060165887</v>
      </c>
      <c r="M50" s="2085">
        <f t="shared" si="2"/>
        <v>0.18446412812260057</v>
      </c>
      <c r="N50" s="474"/>
    </row>
    <row r="51" spans="4:14" ht="15" customHeight="1">
      <c r="D51" s="50"/>
      <c r="E51" s="51"/>
      <c r="F51" s="2091"/>
      <c r="G51" s="2091"/>
      <c r="H51" s="2091"/>
      <c r="I51" s="2091"/>
      <c r="J51" s="2091"/>
      <c r="K51" s="2091"/>
      <c r="L51" s="2091"/>
      <c r="M51" s="2091"/>
      <c r="N51" s="474"/>
    </row>
    <row r="53" spans="4:14" ht="15" customHeight="1">
      <c r="D53" s="978" t="s">
        <v>1190</v>
      </c>
      <c r="E53" s="978"/>
      <c r="F53" s="336"/>
      <c r="G53" s="336"/>
      <c r="H53" s="336"/>
      <c r="I53" s="336"/>
      <c r="J53" s="336"/>
      <c r="K53" s="336"/>
      <c r="L53" s="336"/>
      <c r="M53" s="336"/>
      <c r="N53" s="336"/>
    </row>
    <row r="54" spans="4:14" ht="15" customHeight="1">
      <c r="D54" s="979"/>
      <c r="E54" s="979"/>
      <c r="F54" s="146"/>
      <c r="G54" s="146"/>
      <c r="H54" s="146"/>
      <c r="I54" s="146"/>
      <c r="J54" s="146"/>
      <c r="K54" s="146"/>
      <c r="L54" s="146"/>
      <c r="M54" s="146"/>
      <c r="N54" s="146"/>
    </row>
    <row r="55" spans="4:14" ht="15" customHeight="1">
      <c r="D55" s="12"/>
      <c r="E55" s="1028" t="s">
        <v>1725</v>
      </c>
      <c r="F55" s="1024"/>
      <c r="G55" s="1025"/>
      <c r="H55" s="1024"/>
      <c r="I55" s="1026"/>
      <c r="J55" s="1024"/>
      <c r="K55" s="1026"/>
      <c r="L55" s="1026"/>
      <c r="M55" s="1026"/>
      <c r="N55" s="12"/>
    </row>
    <row r="56" spans="4:14" ht="15" customHeight="1">
      <c r="D56" s="12"/>
      <c r="E56" s="12"/>
      <c r="F56" s="12"/>
      <c r="G56" s="12"/>
      <c r="H56" s="12"/>
      <c r="I56" s="12"/>
      <c r="J56" s="12"/>
      <c r="K56" s="12"/>
      <c r="L56" s="12"/>
      <c r="M56" s="12"/>
      <c r="N56" s="12"/>
    </row>
    <row r="57" spans="4:14" ht="15" customHeight="1">
      <c r="D57" s="12"/>
      <c r="E57" s="3652" t="s">
        <v>1726</v>
      </c>
      <c r="F57" s="12"/>
      <c r="G57" s="12"/>
      <c r="H57" s="12"/>
      <c r="I57" s="12"/>
      <c r="J57" s="12"/>
      <c r="K57" s="12"/>
      <c r="L57" s="12"/>
      <c r="M57" s="12"/>
      <c r="N57" s="12"/>
    </row>
    <row r="58" spans="4:14" ht="15" customHeight="1">
      <c r="D58" s="12"/>
      <c r="E58" s="12"/>
      <c r="F58" s="12"/>
      <c r="G58" s="12"/>
      <c r="H58" s="12"/>
      <c r="I58" s="12"/>
      <c r="J58" s="12"/>
      <c r="K58" s="12"/>
      <c r="L58" s="12"/>
      <c r="M58" s="33" t="s">
        <v>752</v>
      </c>
      <c r="N58" s="12"/>
    </row>
    <row r="59" spans="4:14" ht="15" customHeight="1">
      <c r="D59" s="12"/>
      <c r="E59" s="424" t="s">
        <v>859</v>
      </c>
      <c r="F59" s="3075">
        <v>2018</v>
      </c>
      <c r="G59" s="3075">
        <v>2020</v>
      </c>
      <c r="H59" s="3075">
        <v>2025</v>
      </c>
      <c r="I59" s="3075">
        <v>2030</v>
      </c>
      <c r="J59" s="3075">
        <v>2035</v>
      </c>
      <c r="K59" s="3075">
        <v>2040</v>
      </c>
      <c r="L59" s="3075">
        <v>2045</v>
      </c>
      <c r="M59" s="3075">
        <v>2050</v>
      </c>
      <c r="N59" s="12"/>
    </row>
    <row r="60" spans="4:14" ht="15" customHeight="1">
      <c r="D60" s="12"/>
      <c r="E60" s="920" t="s">
        <v>535</v>
      </c>
      <c r="F60" s="3653">
        <v>277.42640876232002</v>
      </c>
      <c r="G60" s="3653">
        <v>277.42640876232002</v>
      </c>
      <c r="H60" s="3653">
        <v>416.13961314348001</v>
      </c>
      <c r="I60" s="3653">
        <v>416.13961314348001</v>
      </c>
      <c r="J60" s="3653">
        <v>416.13961314348001</v>
      </c>
      <c r="K60" s="3653">
        <v>416.13961314348001</v>
      </c>
      <c r="L60" s="3653">
        <v>416.13961314348001</v>
      </c>
      <c r="M60" s="3653">
        <v>416.13961314348001</v>
      </c>
      <c r="N60" s="12"/>
    </row>
    <row r="61" spans="4:14" ht="15" customHeight="1">
      <c r="D61" s="12"/>
      <c r="E61" s="920" t="s">
        <v>536</v>
      </c>
      <c r="F61" s="3653">
        <v>277.42640876232002</v>
      </c>
      <c r="G61" s="3653">
        <v>277.42640876232002</v>
      </c>
      <c r="H61" s="3653">
        <v>277.42640876232002</v>
      </c>
      <c r="I61" s="3653">
        <v>277.42640876232002</v>
      </c>
      <c r="J61" s="3653">
        <v>277.42640876232002</v>
      </c>
      <c r="K61" s="3653">
        <v>277.42640876232002</v>
      </c>
      <c r="L61" s="3653">
        <v>277.42640876232002</v>
      </c>
      <c r="M61" s="3653">
        <v>277.42640876232002</v>
      </c>
      <c r="N61" s="12"/>
    </row>
    <row r="62" spans="4:14" ht="15" customHeight="1">
      <c r="D62" s="12"/>
      <c r="E62" s="920" t="s">
        <v>526</v>
      </c>
      <c r="F62" s="3653">
        <v>138.71320438116001</v>
      </c>
      <c r="G62" s="3653">
        <v>0</v>
      </c>
      <c r="H62" s="3653">
        <v>0</v>
      </c>
      <c r="I62" s="3653">
        <v>0</v>
      </c>
      <c r="J62" s="3653">
        <v>0</v>
      </c>
      <c r="K62" s="3653">
        <v>0</v>
      </c>
      <c r="L62" s="3653">
        <v>0</v>
      </c>
      <c r="M62" s="3653">
        <v>0</v>
      </c>
      <c r="N62" s="12"/>
    </row>
    <row r="63" spans="4:14" ht="15" customHeight="1">
      <c r="D63" s="12"/>
      <c r="E63" s="920" t="s">
        <v>537</v>
      </c>
      <c r="F63" s="3653">
        <v>0</v>
      </c>
      <c r="G63" s="3653">
        <v>0</v>
      </c>
      <c r="H63" s="3653">
        <v>0</v>
      </c>
      <c r="I63" s="3653">
        <v>0</v>
      </c>
      <c r="J63" s="3653">
        <v>0</v>
      </c>
      <c r="K63" s="3653">
        <v>0</v>
      </c>
      <c r="L63" s="3653">
        <v>0</v>
      </c>
      <c r="M63" s="3653">
        <v>0</v>
      </c>
      <c r="N63" s="12"/>
    </row>
    <row r="64" spans="4:14" ht="15" customHeight="1">
      <c r="D64" s="12"/>
      <c r="E64" s="920" t="s">
        <v>525</v>
      </c>
      <c r="F64" s="3653">
        <v>0</v>
      </c>
      <c r="G64" s="3653">
        <v>0</v>
      </c>
      <c r="H64" s="3653">
        <v>0</v>
      </c>
      <c r="I64" s="3653">
        <v>0</v>
      </c>
      <c r="J64" s="3653">
        <v>0</v>
      </c>
      <c r="K64" s="3653">
        <v>0</v>
      </c>
      <c r="L64" s="3653">
        <v>0</v>
      </c>
      <c r="M64" s="3653">
        <v>0</v>
      </c>
      <c r="N64" s="12"/>
    </row>
    <row r="65" spans="4:14" ht="15" customHeight="1">
      <c r="D65" s="12"/>
      <c r="E65" s="920" t="s">
        <v>1663</v>
      </c>
      <c r="F65" s="3653">
        <v>0</v>
      </c>
      <c r="G65" s="3653">
        <v>0</v>
      </c>
      <c r="H65" s="3653">
        <v>0</v>
      </c>
      <c r="I65" s="3653">
        <v>0</v>
      </c>
      <c r="J65" s="3653">
        <v>0</v>
      </c>
      <c r="K65" s="3653">
        <v>0</v>
      </c>
      <c r="L65" s="3653">
        <v>0</v>
      </c>
      <c r="M65" s="3653">
        <v>0</v>
      </c>
      <c r="N65" s="12"/>
    </row>
    <row r="66" spans="4:14" ht="15" customHeight="1">
      <c r="D66" s="12"/>
      <c r="E66" s="920" t="s">
        <v>538</v>
      </c>
      <c r="F66" s="3653">
        <v>0</v>
      </c>
      <c r="G66" s="3653">
        <v>0</v>
      </c>
      <c r="H66" s="3653">
        <v>0</v>
      </c>
      <c r="I66" s="3653">
        <v>0</v>
      </c>
      <c r="J66" s="3653">
        <v>0</v>
      </c>
      <c r="K66" s="3653">
        <v>0</v>
      </c>
      <c r="L66" s="3653">
        <v>0</v>
      </c>
      <c r="M66" s="3653">
        <v>0</v>
      </c>
      <c r="N66" s="12"/>
    </row>
    <row r="67" spans="4:14" ht="15" customHeight="1">
      <c r="D67" s="12"/>
      <c r="E67" s="920" t="s">
        <v>539</v>
      </c>
      <c r="F67" s="3653">
        <v>0</v>
      </c>
      <c r="G67" s="3653">
        <v>0</v>
      </c>
      <c r="H67" s="3653">
        <v>0</v>
      </c>
      <c r="I67" s="3653">
        <v>0</v>
      </c>
      <c r="J67" s="3653">
        <v>0</v>
      </c>
      <c r="K67" s="3653">
        <v>0</v>
      </c>
      <c r="L67" s="3653">
        <v>0</v>
      </c>
      <c r="M67" s="3653">
        <v>0</v>
      </c>
      <c r="N67" s="12"/>
    </row>
    <row r="68" spans="4:14" ht="15" customHeight="1">
      <c r="D68" s="12"/>
      <c r="E68" s="920" t="s">
        <v>542</v>
      </c>
      <c r="F68" s="3653">
        <v>1525.84524819276</v>
      </c>
      <c r="G68" s="3653">
        <v>1525.84524819276</v>
      </c>
      <c r="H68" s="3653">
        <v>1941.9848613362399</v>
      </c>
      <c r="I68" s="3653">
        <v>1941.9848613362399</v>
      </c>
      <c r="J68" s="3653">
        <v>1941.9848613362399</v>
      </c>
      <c r="K68" s="3653">
        <v>1941.9848613362399</v>
      </c>
      <c r="L68" s="3653">
        <v>1941.9848613362399</v>
      </c>
      <c r="M68" s="3653">
        <v>2080.6980657173999</v>
      </c>
      <c r="N68" s="12"/>
    </row>
    <row r="69" spans="4:14" ht="15" customHeight="1">
      <c r="D69" s="12"/>
      <c r="E69" s="920" t="s">
        <v>543</v>
      </c>
      <c r="F69" s="3653">
        <v>138.71320438116001</v>
      </c>
      <c r="G69" s="3653">
        <v>138.71320438116001</v>
      </c>
      <c r="H69" s="3653">
        <v>138.71320438116001</v>
      </c>
      <c r="I69" s="3653">
        <v>138.71320438116001</v>
      </c>
      <c r="J69" s="3653">
        <v>138.71320438116001</v>
      </c>
      <c r="K69" s="3653">
        <v>138.71320438116001</v>
      </c>
      <c r="L69" s="3653">
        <v>138.71320438116001</v>
      </c>
      <c r="M69" s="3653">
        <v>138.71320438116001</v>
      </c>
      <c r="N69" s="12"/>
    </row>
    <row r="70" spans="4:14" ht="15" customHeight="1">
      <c r="D70" s="12"/>
      <c r="E70" s="920" t="s">
        <v>1727</v>
      </c>
      <c r="F70" s="3653">
        <v>0</v>
      </c>
      <c r="G70" s="3653">
        <v>0</v>
      </c>
      <c r="H70" s="3653">
        <v>0</v>
      </c>
      <c r="I70" s="3653">
        <v>0</v>
      </c>
      <c r="J70" s="3653">
        <v>138.71320438116001</v>
      </c>
      <c r="K70" s="3653">
        <v>138.71320438116001</v>
      </c>
      <c r="L70" s="3653">
        <v>138.71320438116001</v>
      </c>
      <c r="M70" s="3653">
        <v>138.71320438116001</v>
      </c>
      <c r="N70" s="12"/>
    </row>
    <row r="71" spans="4:14" ht="15" customHeight="1">
      <c r="D71" s="12"/>
      <c r="E71" s="920" t="s">
        <v>545</v>
      </c>
      <c r="F71" s="3690">
        <v>0</v>
      </c>
      <c r="G71" s="3690">
        <v>0</v>
      </c>
      <c r="H71" s="3690">
        <v>138.71320438116001</v>
      </c>
      <c r="I71" s="3690">
        <v>138.71320438116001</v>
      </c>
      <c r="J71" s="3690">
        <v>277.42640876232002</v>
      </c>
      <c r="K71" s="3690">
        <v>554.85281752464005</v>
      </c>
      <c r="L71" s="3690">
        <v>970.99243066811994</v>
      </c>
      <c r="M71" s="3690">
        <v>1248.4188394304399</v>
      </c>
      <c r="N71" s="12"/>
    </row>
    <row r="72" spans="4:14" ht="15" customHeight="1">
      <c r="D72" s="12"/>
      <c r="E72" s="920" t="s">
        <v>546</v>
      </c>
      <c r="F72" s="3685">
        <v>0</v>
      </c>
      <c r="G72" s="3685">
        <v>0</v>
      </c>
      <c r="H72" s="3685">
        <v>277.42640876232002</v>
      </c>
      <c r="I72" s="3685">
        <v>416.13961314348001</v>
      </c>
      <c r="J72" s="3685">
        <v>693.56602190579997</v>
      </c>
      <c r="K72" s="3685">
        <v>832.27922628696001</v>
      </c>
      <c r="L72" s="3685">
        <v>832.27922628696001</v>
      </c>
      <c r="M72" s="3685">
        <v>832.27922628696001</v>
      </c>
      <c r="N72" s="12"/>
    </row>
    <row r="73" spans="4:14" ht="15" customHeight="1">
      <c r="D73" s="12"/>
      <c r="E73" s="920" t="s">
        <v>547</v>
      </c>
      <c r="F73" s="3690">
        <v>0</v>
      </c>
      <c r="G73" s="3690">
        <v>0</v>
      </c>
      <c r="H73" s="3690">
        <v>0</v>
      </c>
      <c r="I73" s="3690">
        <v>0</v>
      </c>
      <c r="J73" s="3690">
        <v>0</v>
      </c>
      <c r="K73" s="3690">
        <v>0</v>
      </c>
      <c r="L73" s="3690">
        <v>277.42640876232002</v>
      </c>
      <c r="M73" s="3690">
        <v>277.42640876232002</v>
      </c>
      <c r="N73" s="12"/>
    </row>
    <row r="74" spans="4:14" ht="15" customHeight="1">
      <c r="D74" s="12"/>
      <c r="E74" s="920" t="s">
        <v>548</v>
      </c>
      <c r="F74" s="3653">
        <v>0</v>
      </c>
      <c r="G74" s="3653">
        <v>0</v>
      </c>
      <c r="H74" s="3653">
        <v>0</v>
      </c>
      <c r="I74" s="3653">
        <v>0</v>
      </c>
      <c r="J74" s="3653">
        <v>0</v>
      </c>
      <c r="K74" s="3653">
        <v>0</v>
      </c>
      <c r="L74" s="3653">
        <v>0</v>
      </c>
      <c r="M74" s="3653">
        <v>0</v>
      </c>
      <c r="N74" s="12"/>
    </row>
    <row r="75" spans="4:14" ht="15" customHeight="1">
      <c r="D75" s="12"/>
      <c r="E75" s="3068" t="s">
        <v>549</v>
      </c>
      <c r="F75" s="3653">
        <v>0</v>
      </c>
      <c r="G75" s="3653">
        <v>0</v>
      </c>
      <c r="H75" s="3653">
        <v>0</v>
      </c>
      <c r="I75" s="3653">
        <v>0</v>
      </c>
      <c r="J75" s="3653">
        <v>0</v>
      </c>
      <c r="K75" s="3653">
        <v>0</v>
      </c>
      <c r="L75" s="3653">
        <v>0</v>
      </c>
      <c r="M75" s="3653">
        <v>0</v>
      </c>
      <c r="N75" s="12"/>
    </row>
    <row r="76" spans="4:14" ht="15" customHeight="1">
      <c r="D76" s="12"/>
      <c r="E76" s="3683" t="s">
        <v>162</v>
      </c>
      <c r="F76" s="3684">
        <v>0</v>
      </c>
      <c r="G76" s="3684">
        <v>0</v>
      </c>
      <c r="H76" s="3684">
        <v>0</v>
      </c>
      <c r="I76" s="3684">
        <v>0</v>
      </c>
      <c r="J76" s="3684">
        <v>0</v>
      </c>
      <c r="K76" s="3684">
        <v>0</v>
      </c>
      <c r="L76" s="3684">
        <v>0</v>
      </c>
      <c r="M76" s="3684">
        <v>0</v>
      </c>
      <c r="N76" s="12"/>
    </row>
    <row r="77" spans="4:14" ht="15" customHeight="1">
      <c r="D77" s="12"/>
      <c r="E77" s="3068" t="s">
        <v>504</v>
      </c>
      <c r="F77" s="3653">
        <v>0</v>
      </c>
      <c r="G77" s="3653">
        <v>0</v>
      </c>
      <c r="H77" s="3653">
        <v>0</v>
      </c>
      <c r="I77" s="3653">
        <v>0</v>
      </c>
      <c r="J77" s="3653">
        <v>0</v>
      </c>
      <c r="K77" s="3653">
        <v>0</v>
      </c>
      <c r="L77" s="3653">
        <v>0</v>
      </c>
      <c r="M77" s="3653">
        <v>0</v>
      </c>
      <c r="N77" s="12"/>
    </row>
    <row r="78" spans="4:14" ht="15" customHeight="1">
      <c r="D78" s="12"/>
      <c r="E78" s="1029" t="s">
        <v>1728</v>
      </c>
      <c r="F78" s="1031">
        <f t="shared" ref="F78:M78" si="3">SUM(F60:F77)</f>
        <v>2358.12447447972</v>
      </c>
      <c r="G78" s="1031">
        <f t="shared" si="3"/>
        <v>2219.4112700985597</v>
      </c>
      <c r="H78" s="1031">
        <f t="shared" si="3"/>
        <v>3190.4037007666798</v>
      </c>
      <c r="I78" s="1031">
        <f t="shared" si="3"/>
        <v>3329.1169051478396</v>
      </c>
      <c r="J78" s="1031">
        <f t="shared" si="3"/>
        <v>3883.9697226724797</v>
      </c>
      <c r="K78" s="1031">
        <f t="shared" si="3"/>
        <v>4300.1093358159596</v>
      </c>
      <c r="L78" s="1031">
        <f t="shared" si="3"/>
        <v>4993.6753577217596</v>
      </c>
      <c r="M78" s="1031">
        <f t="shared" si="3"/>
        <v>5409.814970865239</v>
      </c>
      <c r="N78" s="12"/>
    </row>
    <row r="79" spans="4:14" ht="15" customHeight="1">
      <c r="D79" s="12"/>
      <c r="E79" s="12"/>
      <c r="F79" s="12"/>
      <c r="G79" s="12"/>
      <c r="H79" s="12"/>
      <c r="I79" s="12"/>
      <c r="J79" s="12"/>
      <c r="K79" s="12"/>
      <c r="L79" s="12"/>
      <c r="M79" s="12"/>
      <c r="N79" s="12"/>
    </row>
    <row r="80" spans="4:14" ht="15" customHeight="1">
      <c r="D80" s="12"/>
      <c r="E80" s="12"/>
      <c r="F80" s="12"/>
      <c r="G80" s="12"/>
      <c r="H80" s="12"/>
      <c r="I80" s="12"/>
      <c r="J80" s="12"/>
      <c r="K80" s="12"/>
      <c r="L80" s="12"/>
      <c r="M80" s="12"/>
      <c r="N80" s="12"/>
    </row>
    <row r="81" spans="4:14" ht="15" customHeight="1">
      <c r="D81" s="12"/>
      <c r="E81" s="3652" t="s">
        <v>1729</v>
      </c>
      <c r="F81" s="12"/>
      <c r="G81" s="12"/>
      <c r="H81" s="12"/>
      <c r="I81" s="12"/>
      <c r="J81" s="12"/>
      <c r="K81" s="12"/>
      <c r="L81" s="12"/>
      <c r="M81" s="12"/>
      <c r="N81" s="12"/>
    </row>
    <row r="82" spans="4:14" ht="15" customHeight="1">
      <c r="D82" s="12"/>
      <c r="E82" s="12"/>
      <c r="F82" s="12"/>
      <c r="G82" s="12"/>
      <c r="H82" s="12"/>
      <c r="I82" s="12"/>
      <c r="J82" s="12"/>
      <c r="K82" s="12"/>
      <c r="L82" s="12"/>
      <c r="M82" s="33" t="s">
        <v>752</v>
      </c>
      <c r="N82" s="12"/>
    </row>
    <row r="83" spans="4:14" ht="15" customHeight="1">
      <c r="D83" s="12"/>
      <c r="E83" s="424" t="s">
        <v>859</v>
      </c>
      <c r="F83" s="3069">
        <v>2018</v>
      </c>
      <c r="G83" s="3069">
        <v>2020</v>
      </c>
      <c r="H83" s="3069">
        <v>2025</v>
      </c>
      <c r="I83" s="3069">
        <v>2030</v>
      </c>
      <c r="J83" s="3069">
        <v>2035</v>
      </c>
      <c r="K83" s="3069">
        <v>2040</v>
      </c>
      <c r="L83" s="3069">
        <v>2045</v>
      </c>
      <c r="M83" s="3069">
        <v>2050</v>
      </c>
      <c r="N83" s="12"/>
    </row>
    <row r="84" spans="4:14" ht="15" customHeight="1">
      <c r="D84" s="12"/>
      <c r="E84" s="920" t="s">
        <v>535</v>
      </c>
      <c r="F84" s="3653">
        <v>277.42640876232002</v>
      </c>
      <c r="G84" s="3653">
        <v>277.42640876232002</v>
      </c>
      <c r="H84" s="3653">
        <v>416.13961314348001</v>
      </c>
      <c r="I84" s="3653">
        <v>416.13961314348001</v>
      </c>
      <c r="J84" s="3653">
        <v>416.13961314348001</v>
      </c>
      <c r="K84" s="3653">
        <v>554.85281752464005</v>
      </c>
      <c r="L84" s="3653">
        <v>554.85281752464005</v>
      </c>
      <c r="M84" s="3653">
        <v>554.85281752464005</v>
      </c>
      <c r="N84" s="12"/>
    </row>
    <row r="85" spans="4:14" ht="15" customHeight="1">
      <c r="D85" s="12"/>
      <c r="E85" s="920" t="s">
        <v>536</v>
      </c>
      <c r="F85" s="3653">
        <v>277.42640876232002</v>
      </c>
      <c r="G85" s="3653">
        <v>277.42640876232002</v>
      </c>
      <c r="H85" s="3653">
        <v>277.42640876232002</v>
      </c>
      <c r="I85" s="3653">
        <v>277.42640876232002</v>
      </c>
      <c r="J85" s="3653">
        <v>277.42640876232002</v>
      </c>
      <c r="K85" s="3653">
        <v>416.13961314348001</v>
      </c>
      <c r="L85" s="3653">
        <v>416.13961314348001</v>
      </c>
      <c r="M85" s="3653">
        <v>416.13961314348001</v>
      </c>
      <c r="N85" s="12"/>
    </row>
    <row r="86" spans="4:14" ht="15" customHeight="1">
      <c r="D86" s="12"/>
      <c r="E86" s="920" t="s">
        <v>526</v>
      </c>
      <c r="F86" s="3653">
        <v>138.71320438116001</v>
      </c>
      <c r="G86" s="3653">
        <v>138.71320438116001</v>
      </c>
      <c r="H86" s="3653">
        <v>138.71320438116001</v>
      </c>
      <c r="I86" s="3653">
        <v>138.71320438116001</v>
      </c>
      <c r="J86" s="3653">
        <v>138.71320438116001</v>
      </c>
      <c r="K86" s="3653">
        <v>138.71320438116001</v>
      </c>
      <c r="L86" s="3653">
        <v>138.71320438116001</v>
      </c>
      <c r="M86" s="3653">
        <v>138.71320438116001</v>
      </c>
      <c r="N86" s="12"/>
    </row>
    <row r="87" spans="4:14" ht="15" customHeight="1">
      <c r="D87" s="12"/>
      <c r="E87" s="920" t="s">
        <v>537</v>
      </c>
      <c r="F87" s="3653">
        <v>0</v>
      </c>
      <c r="G87" s="3653">
        <v>0</v>
      </c>
      <c r="H87" s="3653">
        <v>0</v>
      </c>
      <c r="I87" s="3653">
        <v>0</v>
      </c>
      <c r="J87" s="3653">
        <v>0</v>
      </c>
      <c r="K87" s="3653">
        <v>0</v>
      </c>
      <c r="L87" s="3653">
        <v>0</v>
      </c>
      <c r="M87" s="3653">
        <v>0</v>
      </c>
      <c r="N87" s="12"/>
    </row>
    <row r="88" spans="4:14" ht="15" customHeight="1">
      <c r="D88" s="12"/>
      <c r="E88" s="920" t="s">
        <v>525</v>
      </c>
      <c r="F88" s="3653">
        <v>0</v>
      </c>
      <c r="G88" s="3653">
        <v>0</v>
      </c>
      <c r="H88" s="3653">
        <v>0</v>
      </c>
      <c r="I88" s="3653">
        <v>0</v>
      </c>
      <c r="J88" s="3653">
        <v>0</v>
      </c>
      <c r="K88" s="3653">
        <v>0</v>
      </c>
      <c r="L88" s="3653">
        <v>0</v>
      </c>
      <c r="M88" s="3653">
        <v>0</v>
      </c>
      <c r="N88" s="12"/>
    </row>
    <row r="89" spans="4:14" ht="15" customHeight="1">
      <c r="D89" s="12"/>
      <c r="E89" s="920" t="s">
        <v>1663</v>
      </c>
      <c r="F89" s="3653">
        <v>0</v>
      </c>
      <c r="G89" s="3653">
        <v>0</v>
      </c>
      <c r="H89" s="3653">
        <v>0</v>
      </c>
      <c r="I89" s="3653">
        <v>0</v>
      </c>
      <c r="J89" s="3653">
        <v>0</v>
      </c>
      <c r="K89" s="3653">
        <v>0</v>
      </c>
      <c r="L89" s="3653">
        <v>0</v>
      </c>
      <c r="M89" s="3653">
        <v>0</v>
      </c>
      <c r="N89" s="12"/>
    </row>
    <row r="90" spans="4:14" ht="15" customHeight="1">
      <c r="D90" s="12"/>
      <c r="E90" s="920" t="s">
        <v>538</v>
      </c>
      <c r="F90" s="3653">
        <v>0</v>
      </c>
      <c r="G90" s="3653">
        <v>0</v>
      </c>
      <c r="H90" s="3653">
        <v>0</v>
      </c>
      <c r="I90" s="3653">
        <v>0</v>
      </c>
      <c r="J90" s="3653">
        <v>0</v>
      </c>
      <c r="K90" s="3653">
        <v>0</v>
      </c>
      <c r="L90" s="3653">
        <v>0</v>
      </c>
      <c r="M90" s="3653">
        <v>0</v>
      </c>
      <c r="N90" s="12"/>
    </row>
    <row r="91" spans="4:14" ht="15" customHeight="1">
      <c r="D91" s="12"/>
      <c r="E91" s="920" t="s">
        <v>539</v>
      </c>
      <c r="F91" s="3653">
        <v>0</v>
      </c>
      <c r="G91" s="3653">
        <v>0</v>
      </c>
      <c r="H91" s="3653">
        <v>0</v>
      </c>
      <c r="I91" s="3653">
        <v>0</v>
      </c>
      <c r="J91" s="3653">
        <v>0</v>
      </c>
      <c r="K91" s="3653">
        <v>0</v>
      </c>
      <c r="L91" s="3653">
        <v>0</v>
      </c>
      <c r="M91" s="3653">
        <v>0</v>
      </c>
      <c r="N91" s="12"/>
    </row>
    <row r="92" spans="4:14" ht="15" customHeight="1">
      <c r="D92" s="12"/>
      <c r="E92" s="920" t="s">
        <v>542</v>
      </c>
      <c r="F92" s="3653">
        <v>1525.84524819276</v>
      </c>
      <c r="G92" s="3653">
        <v>1525.84524819276</v>
      </c>
      <c r="H92" s="3653">
        <v>1941.9848613362399</v>
      </c>
      <c r="I92" s="3653">
        <v>1941.9848613362399</v>
      </c>
      <c r="J92" s="3653">
        <v>1941.9848613362399</v>
      </c>
      <c r="K92" s="3653">
        <v>1941.9848613362399</v>
      </c>
      <c r="L92" s="3653">
        <v>1941.9848613362399</v>
      </c>
      <c r="M92" s="3653">
        <v>2080.6980657173999</v>
      </c>
      <c r="N92" s="12"/>
    </row>
    <row r="93" spans="4:14" ht="15" customHeight="1">
      <c r="D93" s="12"/>
      <c r="E93" s="920" t="s">
        <v>543</v>
      </c>
      <c r="F93" s="3690">
        <v>138.71320438116001</v>
      </c>
      <c r="G93" s="3690">
        <v>138.71320438116001</v>
      </c>
      <c r="H93" s="3690">
        <v>138.71320438116001</v>
      </c>
      <c r="I93" s="3690">
        <v>138.71320438116001</v>
      </c>
      <c r="J93" s="3690">
        <v>138.71320438116001</v>
      </c>
      <c r="K93" s="3690">
        <v>138.71320438116001</v>
      </c>
      <c r="L93" s="3690">
        <v>138.71320438116001</v>
      </c>
      <c r="M93" s="3690">
        <v>138.71320438116001</v>
      </c>
      <c r="N93" s="12"/>
    </row>
    <row r="94" spans="4:14" ht="15" customHeight="1">
      <c r="D94" s="12"/>
      <c r="E94" s="920" t="s">
        <v>1727</v>
      </c>
      <c r="F94" s="3690">
        <v>0</v>
      </c>
      <c r="G94" s="3690">
        <v>0</v>
      </c>
      <c r="H94" s="3690">
        <v>0</v>
      </c>
      <c r="I94" s="3690">
        <v>138.71320438116001</v>
      </c>
      <c r="J94" s="3690">
        <v>138.71320438116001</v>
      </c>
      <c r="K94" s="3690">
        <v>138.71320438116001</v>
      </c>
      <c r="L94" s="3690">
        <v>138.71320438116001</v>
      </c>
      <c r="M94" s="3690">
        <v>138.71320438116001</v>
      </c>
      <c r="N94" s="12"/>
    </row>
    <row r="95" spans="4:14" ht="15" customHeight="1">
      <c r="D95" s="12"/>
      <c r="E95" s="920" t="s">
        <v>545</v>
      </c>
      <c r="F95" s="3690">
        <v>0</v>
      </c>
      <c r="G95" s="3690">
        <v>0</v>
      </c>
      <c r="H95" s="3690">
        <v>138.71320438116001</v>
      </c>
      <c r="I95" s="3690">
        <v>138.71320438116001</v>
      </c>
      <c r="J95" s="3690">
        <v>277.42640876232002</v>
      </c>
      <c r="K95" s="3690">
        <v>554.85281752464005</v>
      </c>
      <c r="L95" s="3690">
        <v>970.99243066811994</v>
      </c>
      <c r="M95" s="3690">
        <v>1248.4188394304399</v>
      </c>
      <c r="N95" s="12"/>
    </row>
    <row r="96" spans="4:14" ht="15" customHeight="1">
      <c r="D96" s="12"/>
      <c r="E96" s="920" t="s">
        <v>546</v>
      </c>
      <c r="F96" s="3685">
        <v>0</v>
      </c>
      <c r="G96" s="3685">
        <v>0</v>
      </c>
      <c r="H96" s="3685">
        <v>277.42640876232002</v>
      </c>
      <c r="I96" s="3685">
        <v>416.13961314348001</v>
      </c>
      <c r="J96" s="3685">
        <v>693.56602190579997</v>
      </c>
      <c r="K96" s="3685">
        <v>832.27922628696001</v>
      </c>
      <c r="L96" s="3685">
        <v>970.99243066811994</v>
      </c>
      <c r="M96" s="3685">
        <v>970.99243066811994</v>
      </c>
      <c r="N96" s="12"/>
    </row>
    <row r="97" spans="4:14" ht="15" customHeight="1">
      <c r="D97" s="12"/>
      <c r="E97" s="920" t="s">
        <v>547</v>
      </c>
      <c r="F97" s="3690">
        <v>0</v>
      </c>
      <c r="G97" s="3690">
        <v>0</v>
      </c>
      <c r="H97" s="3690">
        <v>0</v>
      </c>
      <c r="I97" s="3690">
        <v>0</v>
      </c>
      <c r="J97" s="3690">
        <v>0</v>
      </c>
      <c r="K97" s="3690">
        <v>0</v>
      </c>
      <c r="L97" s="3690">
        <v>277.42640876232002</v>
      </c>
      <c r="M97" s="3690">
        <v>277.42640876232002</v>
      </c>
      <c r="N97" s="12"/>
    </row>
    <row r="98" spans="4:14" ht="15" customHeight="1">
      <c r="D98" s="12"/>
      <c r="E98" s="920" t="s">
        <v>548</v>
      </c>
      <c r="F98" s="3690">
        <v>0</v>
      </c>
      <c r="G98" s="3690">
        <v>0</v>
      </c>
      <c r="H98" s="3690">
        <v>0</v>
      </c>
      <c r="I98" s="3690">
        <v>0</v>
      </c>
      <c r="J98" s="3690">
        <v>0</v>
      </c>
      <c r="K98" s="3690">
        <v>0</v>
      </c>
      <c r="L98" s="3690">
        <v>0</v>
      </c>
      <c r="M98" s="3690">
        <v>0</v>
      </c>
      <c r="N98" s="12"/>
    </row>
    <row r="99" spans="4:14" ht="15" customHeight="1">
      <c r="D99" s="12"/>
      <c r="E99" s="3068" t="s">
        <v>549</v>
      </c>
      <c r="F99" s="3653">
        <v>0</v>
      </c>
      <c r="G99" s="3653">
        <v>0</v>
      </c>
      <c r="H99" s="3653">
        <v>0</v>
      </c>
      <c r="I99" s="3653">
        <v>0</v>
      </c>
      <c r="J99" s="3653">
        <v>0</v>
      </c>
      <c r="K99" s="3653">
        <v>0</v>
      </c>
      <c r="L99" s="3653">
        <v>0</v>
      </c>
      <c r="M99" s="3653">
        <v>0</v>
      </c>
      <c r="N99" s="12"/>
    </row>
    <row r="100" spans="4:14" ht="15" customHeight="1">
      <c r="D100" s="12"/>
      <c r="E100" s="920" t="s">
        <v>162</v>
      </c>
      <c r="F100" s="3653">
        <v>0</v>
      </c>
      <c r="G100" s="3653">
        <v>0</v>
      </c>
      <c r="H100" s="3653">
        <v>0</v>
      </c>
      <c r="I100" s="3653">
        <v>0</v>
      </c>
      <c r="J100" s="3653">
        <v>0</v>
      </c>
      <c r="K100" s="3653">
        <v>0</v>
      </c>
      <c r="L100" s="3653">
        <v>0</v>
      </c>
      <c r="M100" s="3653">
        <v>0</v>
      </c>
      <c r="N100" s="12"/>
    </row>
    <row r="101" spans="4:14" ht="15" customHeight="1">
      <c r="D101" s="12"/>
      <c r="E101" s="3068" t="s">
        <v>504</v>
      </c>
      <c r="F101" s="3653">
        <v>0</v>
      </c>
      <c r="G101" s="3653">
        <v>0</v>
      </c>
      <c r="H101" s="3653">
        <v>0</v>
      </c>
      <c r="I101" s="3653">
        <v>0</v>
      </c>
      <c r="J101" s="3653">
        <v>0</v>
      </c>
      <c r="K101" s="3653">
        <v>0</v>
      </c>
      <c r="L101" s="3653">
        <v>0</v>
      </c>
      <c r="M101" s="3653">
        <v>0</v>
      </c>
      <c r="N101" s="12"/>
    </row>
    <row r="102" spans="4:14" ht="15" customHeight="1">
      <c r="D102" s="12"/>
      <c r="E102" s="1029" t="s">
        <v>1728</v>
      </c>
      <c r="F102" s="1031">
        <f t="shared" ref="F102:M102" si="4">SUM(F84:F101)</f>
        <v>2358.12447447972</v>
      </c>
      <c r="G102" s="1031">
        <f t="shared" si="4"/>
        <v>2358.12447447972</v>
      </c>
      <c r="H102" s="1031">
        <f t="shared" si="4"/>
        <v>3329.1169051478396</v>
      </c>
      <c r="I102" s="1031">
        <f t="shared" si="4"/>
        <v>3606.5433139101592</v>
      </c>
      <c r="J102" s="1031">
        <f t="shared" si="4"/>
        <v>4022.6829270536396</v>
      </c>
      <c r="K102" s="1031">
        <f t="shared" si="4"/>
        <v>4716.24894895944</v>
      </c>
      <c r="L102" s="1031">
        <f t="shared" si="4"/>
        <v>5548.5281752463989</v>
      </c>
      <c r="M102" s="1031">
        <f t="shared" si="4"/>
        <v>5964.6677883898792</v>
      </c>
      <c r="N102" s="12"/>
    </row>
    <row r="103" spans="4:14" ht="15" customHeight="1">
      <c r="D103" s="12"/>
      <c r="E103" s="12"/>
      <c r="F103" s="12"/>
      <c r="G103" s="12"/>
      <c r="H103" s="12"/>
      <c r="I103" s="12"/>
      <c r="J103" s="12"/>
      <c r="K103" s="12"/>
      <c r="L103" s="12"/>
      <c r="M103" s="12"/>
      <c r="N103" s="12"/>
    </row>
    <row r="104" spans="4:14" ht="15" customHeight="1">
      <c r="D104" s="12"/>
      <c r="E104" s="12"/>
      <c r="F104" s="12"/>
      <c r="G104" s="12"/>
      <c r="H104" s="12"/>
      <c r="I104" s="12"/>
      <c r="J104" s="12"/>
      <c r="K104" s="12"/>
      <c r="L104" s="12"/>
      <c r="M104" s="12"/>
      <c r="N104" s="12"/>
    </row>
    <row r="105" spans="4:14" ht="15" customHeight="1">
      <c r="D105" s="12"/>
      <c r="E105" s="3652" t="s">
        <v>1730</v>
      </c>
      <c r="F105" s="12"/>
      <c r="G105" s="12"/>
      <c r="H105" s="12"/>
      <c r="I105" s="12"/>
      <c r="J105" s="12"/>
      <c r="K105" s="12"/>
      <c r="L105" s="12"/>
      <c r="M105" s="12"/>
      <c r="N105" s="12"/>
    </row>
    <row r="106" spans="4:14" ht="15" customHeight="1">
      <c r="D106" s="12"/>
      <c r="E106" s="12"/>
      <c r="F106" s="12"/>
      <c r="G106" s="12"/>
      <c r="H106" s="12"/>
      <c r="I106" s="12"/>
      <c r="J106" s="12"/>
      <c r="K106" s="12"/>
      <c r="L106" s="12"/>
      <c r="M106" s="33" t="s">
        <v>752</v>
      </c>
      <c r="N106" s="12"/>
    </row>
    <row r="107" spans="4:14" ht="15" customHeight="1">
      <c r="D107" s="12"/>
      <c r="E107" s="424" t="s">
        <v>859</v>
      </c>
      <c r="F107" s="3069">
        <v>2018</v>
      </c>
      <c r="G107" s="3069">
        <v>2020</v>
      </c>
      <c r="H107" s="3069">
        <v>2025</v>
      </c>
      <c r="I107" s="3069">
        <v>2030</v>
      </c>
      <c r="J107" s="3069">
        <v>2035</v>
      </c>
      <c r="K107" s="3069">
        <v>2040</v>
      </c>
      <c r="L107" s="3069">
        <v>2045</v>
      </c>
      <c r="M107" s="3069">
        <v>2050</v>
      </c>
      <c r="N107" s="12"/>
    </row>
    <row r="108" spans="4:14" ht="15" customHeight="1">
      <c r="D108" s="12"/>
      <c r="E108" s="920" t="s">
        <v>535</v>
      </c>
      <c r="F108" s="3653">
        <v>277.42640876232002</v>
      </c>
      <c r="G108" s="3653">
        <v>277.42640876232002</v>
      </c>
      <c r="H108" s="3653">
        <v>416.13961314348001</v>
      </c>
      <c r="I108" s="3653">
        <v>416.13961314348001</v>
      </c>
      <c r="J108" s="3653">
        <v>416.13961314348001</v>
      </c>
      <c r="K108" s="3653">
        <v>416.13961314348001</v>
      </c>
      <c r="L108" s="3653">
        <v>416.13961314348001</v>
      </c>
      <c r="M108" s="3653">
        <v>416.13961314348001</v>
      </c>
      <c r="N108" s="12"/>
    </row>
    <row r="109" spans="4:14" ht="15" customHeight="1">
      <c r="D109" s="12"/>
      <c r="E109" s="920" t="s">
        <v>536</v>
      </c>
      <c r="F109" s="3653">
        <v>277.42640876232002</v>
      </c>
      <c r="G109" s="3653">
        <v>277.42640876232002</v>
      </c>
      <c r="H109" s="3653">
        <v>277.42640876232002</v>
      </c>
      <c r="I109" s="3653">
        <v>138.71320438116001</v>
      </c>
      <c r="J109" s="3653">
        <v>138.71320438116001</v>
      </c>
      <c r="K109" s="3653">
        <v>277.42640876232002</v>
      </c>
      <c r="L109" s="3653">
        <v>277.42640876232002</v>
      </c>
      <c r="M109" s="3653">
        <v>277.42640876232002</v>
      </c>
      <c r="N109" s="12"/>
    </row>
    <row r="110" spans="4:14" ht="15" customHeight="1">
      <c r="D110" s="12"/>
      <c r="E110" s="920" t="s">
        <v>526</v>
      </c>
      <c r="F110" s="3653">
        <v>138.71320438116001</v>
      </c>
      <c r="G110" s="3653">
        <v>277.42640876232002</v>
      </c>
      <c r="H110" s="3653">
        <v>416.13961314348001</v>
      </c>
      <c r="I110" s="3653">
        <v>554.85281752464005</v>
      </c>
      <c r="J110" s="3653">
        <v>693.56602190579997</v>
      </c>
      <c r="K110" s="3653">
        <v>832.27922628696001</v>
      </c>
      <c r="L110" s="3653">
        <v>970.99243066811994</v>
      </c>
      <c r="M110" s="3653">
        <v>1109.7056350492801</v>
      </c>
      <c r="N110" s="12"/>
    </row>
    <row r="111" spans="4:14" ht="15" customHeight="1">
      <c r="D111" s="12"/>
      <c r="E111" s="920" t="s">
        <v>537</v>
      </c>
      <c r="F111" s="3653">
        <v>0</v>
      </c>
      <c r="G111" s="3653">
        <v>0</v>
      </c>
      <c r="H111" s="3653">
        <v>0</v>
      </c>
      <c r="I111" s="3653">
        <v>0</v>
      </c>
      <c r="J111" s="3653">
        <v>0</v>
      </c>
      <c r="K111" s="3653">
        <v>0</v>
      </c>
      <c r="L111" s="3653">
        <v>0</v>
      </c>
      <c r="M111" s="3653">
        <v>0</v>
      </c>
      <c r="N111" s="12"/>
    </row>
    <row r="112" spans="4:14" ht="15" customHeight="1">
      <c r="D112" s="12"/>
      <c r="E112" s="920" t="s">
        <v>525</v>
      </c>
      <c r="F112" s="3653">
        <v>0</v>
      </c>
      <c r="G112" s="3653">
        <v>0</v>
      </c>
      <c r="H112" s="3653">
        <v>0</v>
      </c>
      <c r="I112" s="3653">
        <v>0</v>
      </c>
      <c r="J112" s="3653">
        <v>0</v>
      </c>
      <c r="K112" s="3653">
        <v>0</v>
      </c>
      <c r="L112" s="3653">
        <v>0</v>
      </c>
      <c r="M112" s="3653">
        <v>0</v>
      </c>
      <c r="N112" s="12"/>
    </row>
    <row r="113" spans="4:14" ht="15" customHeight="1">
      <c r="D113" s="12"/>
      <c r="E113" s="920" t="s">
        <v>1663</v>
      </c>
      <c r="F113" s="3653">
        <v>0</v>
      </c>
      <c r="G113" s="3653">
        <v>0</v>
      </c>
      <c r="H113" s="3653">
        <v>0</v>
      </c>
      <c r="I113" s="3653">
        <v>0</v>
      </c>
      <c r="J113" s="3653">
        <v>0</v>
      </c>
      <c r="K113" s="3653">
        <v>0</v>
      </c>
      <c r="L113" s="3653">
        <v>0</v>
      </c>
      <c r="M113" s="3653">
        <v>0</v>
      </c>
      <c r="N113" s="12"/>
    </row>
    <row r="114" spans="4:14" ht="15" customHeight="1">
      <c r="D114" s="12"/>
      <c r="E114" s="920" t="s">
        <v>538</v>
      </c>
      <c r="F114" s="3653">
        <v>0</v>
      </c>
      <c r="G114" s="3653">
        <v>0</v>
      </c>
      <c r="H114" s="3653">
        <v>0</v>
      </c>
      <c r="I114" s="3653">
        <v>0</v>
      </c>
      <c r="J114" s="3653">
        <v>0</v>
      </c>
      <c r="K114" s="3653">
        <v>0</v>
      </c>
      <c r="L114" s="3653">
        <v>0</v>
      </c>
      <c r="M114" s="3653">
        <v>0</v>
      </c>
      <c r="N114" s="12"/>
    </row>
    <row r="115" spans="4:14" ht="15" customHeight="1">
      <c r="D115" s="12"/>
      <c r="E115" s="920" t="s">
        <v>539</v>
      </c>
      <c r="F115" s="3653">
        <v>0</v>
      </c>
      <c r="G115" s="3653">
        <v>0</v>
      </c>
      <c r="H115" s="3653">
        <v>0</v>
      </c>
      <c r="I115" s="3653">
        <v>0</v>
      </c>
      <c r="J115" s="3653">
        <v>0</v>
      </c>
      <c r="K115" s="3653">
        <v>0</v>
      </c>
      <c r="L115" s="3653">
        <v>0</v>
      </c>
      <c r="M115" s="3653">
        <v>0</v>
      </c>
      <c r="N115" s="12"/>
    </row>
    <row r="116" spans="4:14" ht="15" customHeight="1">
      <c r="D116" s="12"/>
      <c r="E116" s="920" t="s">
        <v>542</v>
      </c>
      <c r="F116" s="3653">
        <v>1525.84524819276</v>
      </c>
      <c r="G116" s="3653">
        <v>1525.84524819276</v>
      </c>
      <c r="H116" s="3653">
        <v>1941.9848613362399</v>
      </c>
      <c r="I116" s="3653">
        <v>1941.9848613362399</v>
      </c>
      <c r="J116" s="3653">
        <v>1941.9848613362399</v>
      </c>
      <c r="K116" s="3653">
        <v>1941.9848613362399</v>
      </c>
      <c r="L116" s="3653">
        <v>1941.9848613362399</v>
      </c>
      <c r="M116" s="3653">
        <v>2080.6980657173999</v>
      </c>
      <c r="N116" s="12"/>
    </row>
    <row r="117" spans="4:14" ht="15" customHeight="1">
      <c r="D117" s="12"/>
      <c r="E117" s="920" t="s">
        <v>543</v>
      </c>
      <c r="F117" s="3653">
        <v>138.71320438116001</v>
      </c>
      <c r="G117" s="3653">
        <v>138.71320438116001</v>
      </c>
      <c r="H117" s="3653">
        <v>138.71320438116001</v>
      </c>
      <c r="I117" s="3653">
        <v>138.71320438116001</v>
      </c>
      <c r="J117" s="3653">
        <v>138.71320438116001</v>
      </c>
      <c r="K117" s="3653">
        <v>138.71320438116001</v>
      </c>
      <c r="L117" s="3653">
        <v>138.71320438116001</v>
      </c>
      <c r="M117" s="3653">
        <v>138.71320438116001</v>
      </c>
      <c r="N117" s="12"/>
    </row>
    <row r="118" spans="4:14" ht="15" customHeight="1">
      <c r="D118" s="12"/>
      <c r="E118" s="920" t="s">
        <v>1727</v>
      </c>
      <c r="F118" s="3653">
        <v>0</v>
      </c>
      <c r="G118" s="3653">
        <v>0</v>
      </c>
      <c r="H118" s="3653">
        <v>0</v>
      </c>
      <c r="I118" s="3653">
        <v>138.71320438116001</v>
      </c>
      <c r="J118" s="3653">
        <v>138.71320438116001</v>
      </c>
      <c r="K118" s="3653">
        <v>138.71320438116001</v>
      </c>
      <c r="L118" s="3653">
        <v>138.71320438116001</v>
      </c>
      <c r="M118" s="3653">
        <v>138.71320438116001</v>
      </c>
      <c r="N118" s="12"/>
    </row>
    <row r="119" spans="4:14" ht="15" customHeight="1">
      <c r="D119" s="12"/>
      <c r="E119" s="920" t="s">
        <v>545</v>
      </c>
      <c r="F119" s="3690">
        <v>0</v>
      </c>
      <c r="G119" s="3690">
        <v>0</v>
      </c>
      <c r="H119" s="3690">
        <v>138.71320438116001</v>
      </c>
      <c r="I119" s="3690">
        <v>138.71320438116001</v>
      </c>
      <c r="J119" s="3690">
        <v>277.42640876232002</v>
      </c>
      <c r="K119" s="3690">
        <v>554.85281752464005</v>
      </c>
      <c r="L119" s="3690">
        <v>970.99243066811994</v>
      </c>
      <c r="M119" s="3690">
        <v>1248.4188394304399</v>
      </c>
      <c r="N119" s="12"/>
    </row>
    <row r="120" spans="4:14" ht="15" customHeight="1">
      <c r="D120" s="12"/>
      <c r="E120" s="920" t="s">
        <v>546</v>
      </c>
      <c r="F120" s="3685">
        <v>0</v>
      </c>
      <c r="G120" s="3685">
        <v>0</v>
      </c>
      <c r="H120" s="3685">
        <v>277.42640876232002</v>
      </c>
      <c r="I120" s="3685">
        <v>416.13961314348001</v>
      </c>
      <c r="J120" s="3685">
        <v>693.56602190579997</v>
      </c>
      <c r="K120" s="3685">
        <v>970.99243066811994</v>
      </c>
      <c r="L120" s="3685">
        <v>970.99243066811994</v>
      </c>
      <c r="M120" s="3685">
        <v>970.99243066811994</v>
      </c>
      <c r="N120" s="12"/>
    </row>
    <row r="121" spans="4:14" ht="15" customHeight="1">
      <c r="D121" s="12"/>
      <c r="E121" s="920" t="s">
        <v>547</v>
      </c>
      <c r="F121" s="3690">
        <v>0</v>
      </c>
      <c r="G121" s="3690">
        <v>0</v>
      </c>
      <c r="H121" s="3690">
        <v>0</v>
      </c>
      <c r="I121" s="3690">
        <v>0</v>
      </c>
      <c r="J121" s="3690">
        <v>0</v>
      </c>
      <c r="K121" s="3690">
        <v>0</v>
      </c>
      <c r="L121" s="3690">
        <v>0</v>
      </c>
      <c r="M121" s="3690">
        <v>0</v>
      </c>
      <c r="N121" s="12"/>
    </row>
    <row r="122" spans="4:14" ht="15" customHeight="1">
      <c r="D122" s="12"/>
      <c r="E122" s="920" t="s">
        <v>548</v>
      </c>
      <c r="F122" s="3690">
        <v>0</v>
      </c>
      <c r="G122" s="3690">
        <v>0</v>
      </c>
      <c r="H122" s="3690">
        <v>0</v>
      </c>
      <c r="I122" s="3690">
        <v>0</v>
      </c>
      <c r="J122" s="3690">
        <v>0</v>
      </c>
      <c r="K122" s="3690">
        <v>0</v>
      </c>
      <c r="L122" s="3690">
        <v>0</v>
      </c>
      <c r="M122" s="3690">
        <v>0</v>
      </c>
      <c r="N122" s="12"/>
    </row>
    <row r="123" spans="4:14" ht="15" customHeight="1">
      <c r="D123" s="12"/>
      <c r="E123" s="3068" t="s">
        <v>549</v>
      </c>
      <c r="F123" s="3653">
        <v>0</v>
      </c>
      <c r="G123" s="3653">
        <v>0</v>
      </c>
      <c r="H123" s="3653">
        <v>0</v>
      </c>
      <c r="I123" s="3653">
        <v>0</v>
      </c>
      <c r="J123" s="3653">
        <v>0</v>
      </c>
      <c r="K123" s="3653">
        <v>0</v>
      </c>
      <c r="L123" s="3653">
        <v>0</v>
      </c>
      <c r="M123" s="3653">
        <v>0</v>
      </c>
      <c r="N123" s="12"/>
    </row>
    <row r="124" spans="4:14" ht="15" customHeight="1">
      <c r="D124" s="12"/>
      <c r="E124" s="920" t="s">
        <v>162</v>
      </c>
      <c r="F124" s="3653">
        <v>0</v>
      </c>
      <c r="G124" s="3653">
        <v>0</v>
      </c>
      <c r="H124" s="3653">
        <v>0</v>
      </c>
      <c r="I124" s="3653">
        <v>0</v>
      </c>
      <c r="J124" s="3653">
        <v>0</v>
      </c>
      <c r="K124" s="3653">
        <v>0</v>
      </c>
      <c r="L124" s="3653">
        <v>0</v>
      </c>
      <c r="M124" s="3653">
        <v>0</v>
      </c>
      <c r="N124" s="12"/>
    </row>
    <row r="125" spans="4:14" ht="15" customHeight="1">
      <c r="D125" s="12"/>
      <c r="E125" s="3068" t="s">
        <v>504</v>
      </c>
      <c r="F125" s="3653">
        <v>0</v>
      </c>
      <c r="G125" s="3653">
        <v>0</v>
      </c>
      <c r="H125" s="3653">
        <v>0</v>
      </c>
      <c r="I125" s="3653">
        <v>0</v>
      </c>
      <c r="J125" s="3653">
        <v>0</v>
      </c>
      <c r="K125" s="3653">
        <v>0</v>
      </c>
      <c r="L125" s="3653">
        <v>0</v>
      </c>
      <c r="M125" s="3653">
        <v>0</v>
      </c>
      <c r="N125" s="12"/>
    </row>
    <row r="126" spans="4:14" ht="15" customHeight="1">
      <c r="D126" s="12"/>
      <c r="E126" s="1029" t="s">
        <v>1728</v>
      </c>
      <c r="F126" s="1031">
        <f t="shared" ref="F126:M126" si="5">SUM(F108:F125)</f>
        <v>2358.12447447972</v>
      </c>
      <c r="G126" s="1031">
        <f t="shared" si="5"/>
        <v>2496.8376788608798</v>
      </c>
      <c r="H126" s="1031">
        <f t="shared" si="5"/>
        <v>3606.5433139101592</v>
      </c>
      <c r="I126" s="1031">
        <f t="shared" si="5"/>
        <v>3883.9697226724793</v>
      </c>
      <c r="J126" s="1031">
        <f t="shared" si="5"/>
        <v>4438.8225401971195</v>
      </c>
      <c r="K126" s="1031">
        <f t="shared" si="5"/>
        <v>5271.1017664840792</v>
      </c>
      <c r="L126" s="1031">
        <f t="shared" si="5"/>
        <v>5825.9545840087185</v>
      </c>
      <c r="M126" s="1031">
        <f t="shared" si="5"/>
        <v>6380.8074015333596</v>
      </c>
      <c r="N126" s="12"/>
    </row>
    <row r="127" spans="4:14" ht="15" customHeight="1">
      <c r="D127" s="12"/>
      <c r="E127" s="12"/>
      <c r="F127" s="12"/>
      <c r="G127" s="12"/>
      <c r="H127" s="12"/>
      <c r="I127" s="12"/>
      <c r="J127" s="12"/>
      <c r="K127" s="12"/>
      <c r="L127" s="12"/>
      <c r="M127" s="12"/>
      <c r="N127" s="12"/>
    </row>
    <row r="128" spans="4:14" ht="15" customHeight="1">
      <c r="D128" s="12"/>
      <c r="E128" s="12"/>
      <c r="F128" s="12"/>
      <c r="G128" s="12"/>
      <c r="H128" s="12"/>
      <c r="I128" s="12"/>
      <c r="J128" s="12"/>
      <c r="K128" s="12"/>
      <c r="L128" s="12"/>
      <c r="M128" s="12"/>
      <c r="N128" s="12"/>
    </row>
    <row r="129" spans="4:14" ht="15" customHeight="1">
      <c r="D129" s="12"/>
      <c r="E129" s="3652" t="s">
        <v>1731</v>
      </c>
      <c r="F129" s="12"/>
      <c r="G129" s="12"/>
      <c r="H129" s="12"/>
      <c r="I129" s="12"/>
      <c r="J129" s="12"/>
      <c r="K129" s="12"/>
      <c r="L129" s="12"/>
      <c r="M129" s="12"/>
      <c r="N129" s="12"/>
    </row>
    <row r="130" spans="4:14" ht="15" customHeight="1">
      <c r="D130" s="12"/>
      <c r="E130" s="12"/>
      <c r="F130" s="12"/>
      <c r="G130" s="12"/>
      <c r="H130" s="12"/>
      <c r="I130" s="12"/>
      <c r="J130" s="12"/>
      <c r="K130" s="12"/>
      <c r="L130" s="12"/>
      <c r="M130" s="33" t="s">
        <v>752</v>
      </c>
      <c r="N130" s="12"/>
    </row>
    <row r="131" spans="4:14" ht="15" customHeight="1">
      <c r="D131" s="12"/>
      <c r="E131" s="424" t="s">
        <v>859</v>
      </c>
      <c r="F131" s="3069">
        <v>2018</v>
      </c>
      <c r="G131" s="3069">
        <v>2020</v>
      </c>
      <c r="H131" s="3069">
        <v>2025</v>
      </c>
      <c r="I131" s="3069">
        <v>2030</v>
      </c>
      <c r="J131" s="3069">
        <v>2035</v>
      </c>
      <c r="K131" s="3069">
        <v>2040</v>
      </c>
      <c r="L131" s="3069">
        <v>2045</v>
      </c>
      <c r="M131" s="3069">
        <v>2050</v>
      </c>
      <c r="N131" s="12"/>
    </row>
    <row r="132" spans="4:14" ht="15" customHeight="1">
      <c r="D132" s="12"/>
      <c r="E132" s="920" t="s">
        <v>535</v>
      </c>
      <c r="F132" s="3653">
        <v>277.42640876232002</v>
      </c>
      <c r="G132" s="3653">
        <v>277.42640876232002</v>
      </c>
      <c r="H132" s="3653">
        <v>416.13961314348001</v>
      </c>
      <c r="I132" s="3653">
        <v>277.42640876232002</v>
      </c>
      <c r="J132" s="3653">
        <v>277.42640876232002</v>
      </c>
      <c r="K132" s="3653">
        <v>277.42640876232002</v>
      </c>
      <c r="L132" s="3653">
        <v>277.42640876232002</v>
      </c>
      <c r="M132" s="3653">
        <v>277.42640876232002</v>
      </c>
      <c r="N132" s="12"/>
    </row>
    <row r="133" spans="4:14" ht="15" customHeight="1">
      <c r="D133" s="12"/>
      <c r="E133" s="920" t="s">
        <v>536</v>
      </c>
      <c r="F133" s="3653">
        <v>277.42640876232002</v>
      </c>
      <c r="G133" s="3653">
        <v>277.42640876232002</v>
      </c>
      <c r="H133" s="3653">
        <v>277.42640876232002</v>
      </c>
      <c r="I133" s="3653">
        <v>138.71320438116001</v>
      </c>
      <c r="J133" s="3653">
        <v>138.71320438116001</v>
      </c>
      <c r="K133" s="3653">
        <v>277.42640876232002</v>
      </c>
      <c r="L133" s="3653">
        <v>277.42640876232002</v>
      </c>
      <c r="M133" s="3653">
        <v>277.42640876232002</v>
      </c>
      <c r="N133" s="12"/>
    </row>
    <row r="134" spans="4:14" ht="15" customHeight="1">
      <c r="D134" s="12"/>
      <c r="E134" s="920" t="s">
        <v>526</v>
      </c>
      <c r="F134" s="3653">
        <v>138.71320438116001</v>
      </c>
      <c r="G134" s="3653">
        <v>138.71320438116001</v>
      </c>
      <c r="H134" s="3653">
        <v>138.71320438116001</v>
      </c>
      <c r="I134" s="3653">
        <v>138.71320438116001</v>
      </c>
      <c r="J134" s="3653">
        <v>138.71320438116001</v>
      </c>
      <c r="K134" s="3653">
        <v>0</v>
      </c>
      <c r="L134" s="3653">
        <v>0</v>
      </c>
      <c r="M134" s="3653">
        <v>0</v>
      </c>
      <c r="N134" s="12"/>
    </row>
    <row r="135" spans="4:14" ht="15" customHeight="1">
      <c r="D135" s="12"/>
      <c r="E135" s="920" t="s">
        <v>537</v>
      </c>
      <c r="F135" s="3653">
        <v>0</v>
      </c>
      <c r="G135" s="3653">
        <v>0</v>
      </c>
      <c r="H135" s="3653">
        <v>0</v>
      </c>
      <c r="I135" s="3653">
        <v>0</v>
      </c>
      <c r="J135" s="3653">
        <v>0</v>
      </c>
      <c r="K135" s="3653">
        <v>0</v>
      </c>
      <c r="L135" s="3653">
        <v>0</v>
      </c>
      <c r="M135" s="3653">
        <v>0</v>
      </c>
      <c r="N135" s="12"/>
    </row>
    <row r="136" spans="4:14" ht="15" customHeight="1">
      <c r="D136" s="12"/>
      <c r="E136" s="920" t="s">
        <v>525</v>
      </c>
      <c r="F136" s="3653">
        <v>0</v>
      </c>
      <c r="G136" s="3653">
        <v>0</v>
      </c>
      <c r="H136" s="3653">
        <v>0</v>
      </c>
      <c r="I136" s="3653">
        <v>0</v>
      </c>
      <c r="J136" s="3653">
        <v>0</v>
      </c>
      <c r="K136" s="3653">
        <v>0</v>
      </c>
      <c r="L136" s="3653">
        <v>0</v>
      </c>
      <c r="M136" s="3653">
        <v>0</v>
      </c>
      <c r="N136" s="12"/>
    </row>
    <row r="137" spans="4:14" ht="15" customHeight="1">
      <c r="D137" s="12"/>
      <c r="E137" s="920" t="s">
        <v>1663</v>
      </c>
      <c r="F137" s="3653">
        <v>0</v>
      </c>
      <c r="G137" s="3653">
        <v>0</v>
      </c>
      <c r="H137" s="3653">
        <v>0</v>
      </c>
      <c r="I137" s="3653">
        <v>0</v>
      </c>
      <c r="J137" s="3653">
        <v>0</v>
      </c>
      <c r="K137" s="3653">
        <v>0</v>
      </c>
      <c r="L137" s="3653">
        <v>0</v>
      </c>
      <c r="M137" s="3653">
        <v>0</v>
      </c>
      <c r="N137" s="12"/>
    </row>
    <row r="138" spans="4:14" ht="15" customHeight="1">
      <c r="D138" s="12"/>
      <c r="E138" s="920" t="s">
        <v>538</v>
      </c>
      <c r="F138" s="3653">
        <v>0</v>
      </c>
      <c r="G138" s="3653">
        <v>0</v>
      </c>
      <c r="H138" s="3653">
        <v>0</v>
      </c>
      <c r="I138" s="3653">
        <v>0</v>
      </c>
      <c r="J138" s="3653">
        <v>0</v>
      </c>
      <c r="K138" s="3653">
        <v>0</v>
      </c>
      <c r="L138" s="3653">
        <v>0</v>
      </c>
      <c r="M138" s="3653">
        <v>0</v>
      </c>
      <c r="N138" s="12"/>
    </row>
    <row r="139" spans="4:14" ht="15" customHeight="1">
      <c r="D139" s="12"/>
      <c r="E139" s="920" t="s">
        <v>539</v>
      </c>
      <c r="F139" s="3653">
        <v>0</v>
      </c>
      <c r="G139" s="3653">
        <v>0</v>
      </c>
      <c r="H139" s="3653">
        <v>0</v>
      </c>
      <c r="I139" s="3653">
        <v>0</v>
      </c>
      <c r="J139" s="3653">
        <v>0</v>
      </c>
      <c r="K139" s="3653">
        <v>0</v>
      </c>
      <c r="L139" s="3653">
        <v>0</v>
      </c>
      <c r="M139" s="3653">
        <v>0</v>
      </c>
      <c r="N139" s="12"/>
    </row>
    <row r="140" spans="4:14" ht="15" customHeight="1">
      <c r="D140" s="12"/>
      <c r="E140" s="920" t="s">
        <v>542</v>
      </c>
      <c r="F140" s="3653">
        <v>1525.84524819276</v>
      </c>
      <c r="G140" s="3653">
        <v>1525.84524819276</v>
      </c>
      <c r="H140" s="3653">
        <v>1941.9848613362399</v>
      </c>
      <c r="I140" s="3653">
        <v>1941.9848613362399</v>
      </c>
      <c r="J140" s="3653">
        <v>1941.9848613362399</v>
      </c>
      <c r="K140" s="3653">
        <v>1941.9848613362399</v>
      </c>
      <c r="L140" s="3653">
        <v>1941.9848613362399</v>
      </c>
      <c r="M140" s="3653">
        <v>2080.6980657173999</v>
      </c>
      <c r="N140" s="12"/>
    </row>
    <row r="141" spans="4:14" ht="15" customHeight="1">
      <c r="D141" s="12"/>
      <c r="E141" s="920" t="s">
        <v>543</v>
      </c>
      <c r="F141" s="3653">
        <v>138.71320438116001</v>
      </c>
      <c r="G141" s="3653">
        <v>138.71320438116001</v>
      </c>
      <c r="H141" s="3653">
        <v>138.71320438116001</v>
      </c>
      <c r="I141" s="3653">
        <v>138.71320438116001</v>
      </c>
      <c r="J141" s="3653">
        <v>138.71320438116001</v>
      </c>
      <c r="K141" s="3653">
        <v>138.71320438116001</v>
      </c>
      <c r="L141" s="3653">
        <v>138.71320438116001</v>
      </c>
      <c r="M141" s="3653">
        <v>138.71320438116001</v>
      </c>
      <c r="N141" s="12"/>
    </row>
    <row r="142" spans="4:14" ht="15" customHeight="1">
      <c r="D142" s="12"/>
      <c r="E142" s="920" t="s">
        <v>1727</v>
      </c>
      <c r="F142" s="3690">
        <v>0</v>
      </c>
      <c r="G142" s="3690">
        <v>0</v>
      </c>
      <c r="H142" s="3690">
        <v>0</v>
      </c>
      <c r="I142" s="3690">
        <v>138.71320438116001</v>
      </c>
      <c r="J142" s="3690">
        <v>138.71320438116001</v>
      </c>
      <c r="K142" s="3690">
        <v>138.71320438116001</v>
      </c>
      <c r="L142" s="3690">
        <v>138.71320438116001</v>
      </c>
      <c r="M142" s="3690">
        <v>138.71320438116001</v>
      </c>
      <c r="N142" s="12"/>
    </row>
    <row r="143" spans="4:14" ht="15" customHeight="1">
      <c r="D143" s="12"/>
      <c r="E143" s="920" t="s">
        <v>545</v>
      </c>
      <c r="F143" s="3690">
        <v>0</v>
      </c>
      <c r="G143" s="3690">
        <v>0</v>
      </c>
      <c r="H143" s="3690">
        <v>138.71320438116001</v>
      </c>
      <c r="I143" s="3690">
        <v>138.71320438116001</v>
      </c>
      <c r="J143" s="3690">
        <v>277.42640876232002</v>
      </c>
      <c r="K143" s="3690">
        <v>554.85281752464005</v>
      </c>
      <c r="L143" s="3690">
        <v>970.99243066811994</v>
      </c>
      <c r="M143" s="3690">
        <v>1248.4188394304399</v>
      </c>
      <c r="N143" s="12"/>
    </row>
    <row r="144" spans="4:14" ht="15" customHeight="1">
      <c r="D144" s="12"/>
      <c r="E144" s="920" t="s">
        <v>546</v>
      </c>
      <c r="F144" s="3685">
        <v>0</v>
      </c>
      <c r="G144" s="3685">
        <v>0</v>
      </c>
      <c r="H144" s="3685">
        <v>277.42640876232002</v>
      </c>
      <c r="I144" s="3685">
        <v>416.13961314348001</v>
      </c>
      <c r="J144" s="3685">
        <v>693.56602190579997</v>
      </c>
      <c r="K144" s="3685">
        <v>970.99243066811994</v>
      </c>
      <c r="L144" s="3685">
        <v>970.99243066811994</v>
      </c>
      <c r="M144" s="3685">
        <v>970.99243066811994</v>
      </c>
      <c r="N144" s="12"/>
    </row>
    <row r="145" spans="4:14" ht="15" customHeight="1">
      <c r="D145" s="12"/>
      <c r="E145" s="920" t="s">
        <v>547</v>
      </c>
      <c r="F145" s="3690">
        <v>0</v>
      </c>
      <c r="G145" s="3690">
        <v>0</v>
      </c>
      <c r="H145" s="3690">
        <v>0</v>
      </c>
      <c r="I145" s="3690">
        <v>0</v>
      </c>
      <c r="J145" s="3690">
        <v>0</v>
      </c>
      <c r="K145" s="3690">
        <v>0</v>
      </c>
      <c r="L145" s="3690">
        <v>277.42640876232002</v>
      </c>
      <c r="M145" s="3690">
        <v>277.42640876232002</v>
      </c>
      <c r="N145" s="12"/>
    </row>
    <row r="146" spans="4:14" ht="15" customHeight="1">
      <c r="D146" s="12"/>
      <c r="E146" s="920" t="s">
        <v>548</v>
      </c>
      <c r="F146" s="3690">
        <v>0</v>
      </c>
      <c r="G146" s="3690">
        <v>0</v>
      </c>
      <c r="H146" s="3690">
        <v>0</v>
      </c>
      <c r="I146" s="3690">
        <v>0</v>
      </c>
      <c r="J146" s="3690">
        <v>0</v>
      </c>
      <c r="K146" s="3690">
        <v>138.71320438116001</v>
      </c>
      <c r="L146" s="3690">
        <v>138.71320438116001</v>
      </c>
      <c r="M146" s="3690">
        <v>277.42640876232002</v>
      </c>
      <c r="N146" s="12"/>
    </row>
    <row r="147" spans="4:14" ht="15" customHeight="1">
      <c r="D147" s="12"/>
      <c r="E147" s="3068" t="s">
        <v>549</v>
      </c>
      <c r="F147" s="3690">
        <v>0</v>
      </c>
      <c r="G147" s="3690">
        <v>0</v>
      </c>
      <c r="H147" s="3690">
        <v>0</v>
      </c>
      <c r="I147" s="3690">
        <v>0</v>
      </c>
      <c r="J147" s="3690">
        <v>0</v>
      </c>
      <c r="K147" s="3690">
        <v>0</v>
      </c>
      <c r="L147" s="3690">
        <v>0</v>
      </c>
      <c r="M147" s="3690">
        <v>0</v>
      </c>
      <c r="N147" s="12"/>
    </row>
    <row r="148" spans="4:14" ht="15" customHeight="1">
      <c r="D148" s="12"/>
      <c r="E148" s="920" t="s">
        <v>162</v>
      </c>
      <c r="F148" s="3653">
        <v>0</v>
      </c>
      <c r="G148" s="3653">
        <v>0</v>
      </c>
      <c r="H148" s="3653">
        <v>0</v>
      </c>
      <c r="I148" s="3653">
        <v>0</v>
      </c>
      <c r="J148" s="3653">
        <v>0</v>
      </c>
      <c r="K148" s="3653">
        <v>0</v>
      </c>
      <c r="L148" s="3653">
        <v>0</v>
      </c>
      <c r="M148" s="3653">
        <v>0</v>
      </c>
      <c r="N148" s="12"/>
    </row>
    <row r="149" spans="4:14" ht="15" customHeight="1">
      <c r="D149" s="12"/>
      <c r="E149" s="3068" t="s">
        <v>504</v>
      </c>
      <c r="F149" s="3653">
        <v>0</v>
      </c>
      <c r="G149" s="3653">
        <v>0</v>
      </c>
      <c r="H149" s="3653">
        <v>0</v>
      </c>
      <c r="I149" s="3653">
        <v>0</v>
      </c>
      <c r="J149" s="3653">
        <v>0</v>
      </c>
      <c r="K149" s="3653">
        <v>0</v>
      </c>
      <c r="L149" s="3653">
        <v>0</v>
      </c>
      <c r="M149" s="3653">
        <v>0</v>
      </c>
      <c r="N149" s="12"/>
    </row>
    <row r="150" spans="4:14" ht="15" customHeight="1">
      <c r="D150" s="12"/>
      <c r="E150" s="1029" t="s">
        <v>1728</v>
      </c>
      <c r="F150" s="1031">
        <f t="shared" ref="F150:L150" si="6">SUM(F132:F149)</f>
        <v>2358.12447447972</v>
      </c>
      <c r="G150" s="1031">
        <f t="shared" si="6"/>
        <v>2358.12447447972</v>
      </c>
      <c r="H150" s="1031">
        <f t="shared" si="6"/>
        <v>3329.1169051478396</v>
      </c>
      <c r="I150" s="1031">
        <f t="shared" si="6"/>
        <v>3329.1169051478391</v>
      </c>
      <c r="J150" s="1031">
        <f t="shared" si="6"/>
        <v>3745.2565182913195</v>
      </c>
      <c r="K150" s="1031">
        <f t="shared" si="6"/>
        <v>4438.8225401971195</v>
      </c>
      <c r="L150" s="1031">
        <f t="shared" si="6"/>
        <v>5132.3885621029185</v>
      </c>
      <c r="M150" s="1031">
        <f>SUM(M132:M149)</f>
        <v>5687.2413796275587</v>
      </c>
      <c r="N150" s="12"/>
    </row>
    <row r="151" spans="4:14" ht="15" customHeight="1">
      <c r="D151" s="12"/>
      <c r="E151" s="12"/>
      <c r="F151" s="12"/>
      <c r="G151" s="12"/>
      <c r="H151" s="12"/>
      <c r="I151" s="12"/>
      <c r="J151" s="12"/>
      <c r="K151" s="12"/>
      <c r="L151" s="12"/>
      <c r="M151" s="12"/>
      <c r="N151" s="12"/>
    </row>
    <row r="152" spans="4:14" ht="15" customHeight="1">
      <c r="D152" s="12"/>
      <c r="E152" s="12"/>
      <c r="F152" s="12"/>
      <c r="G152" s="12"/>
      <c r="H152" s="12"/>
      <c r="I152" s="12"/>
      <c r="J152" s="12"/>
      <c r="K152" s="12"/>
      <c r="L152" s="12"/>
      <c r="M152" s="12"/>
      <c r="N152" s="12"/>
    </row>
    <row r="154" spans="4:14" ht="15" customHeight="1">
      <c r="D154" s="978" t="s">
        <v>996</v>
      </c>
      <c r="E154" s="978"/>
      <c r="F154" s="336"/>
      <c r="G154" s="336"/>
      <c r="H154" s="336"/>
      <c r="I154" s="336"/>
      <c r="J154" s="336"/>
      <c r="K154" s="336"/>
      <c r="L154" s="336"/>
      <c r="M154" s="336"/>
      <c r="N154" s="336"/>
    </row>
    <row r="155" spans="4:14" ht="15" customHeight="1">
      <c r="D155" s="12"/>
      <c r="E155" s="12"/>
      <c r="F155" s="12"/>
      <c r="G155" s="12"/>
      <c r="H155" s="12"/>
      <c r="I155" s="12"/>
      <c r="J155" s="12"/>
      <c r="K155" s="12"/>
      <c r="L155" s="12"/>
      <c r="M155" s="12"/>
      <c r="N155" s="12"/>
    </row>
    <row r="156" spans="4:14" ht="15" customHeight="1">
      <c r="D156" s="12"/>
      <c r="E156" s="1027" t="s">
        <v>1732</v>
      </c>
      <c r="F156" s="1020"/>
      <c r="G156" s="1021"/>
      <c r="H156" s="1020"/>
      <c r="I156" s="1022"/>
      <c r="J156" s="1020"/>
      <c r="K156" s="1022"/>
      <c r="L156" s="1022"/>
      <c r="M156" s="1022"/>
      <c r="N156" s="12"/>
    </row>
    <row r="157" spans="4:14" ht="15" customHeight="1">
      <c r="D157" s="12"/>
      <c r="E157" s="1028"/>
      <c r="F157" s="1024"/>
      <c r="G157" s="536" t="s">
        <v>768</v>
      </c>
      <c r="H157" s="1024"/>
      <c r="I157" s="1026"/>
      <c r="J157" s="1024"/>
      <c r="K157" s="1026"/>
      <c r="L157" s="1026"/>
      <c r="M157" s="1026"/>
      <c r="N157" s="12"/>
    </row>
    <row r="158" spans="4:14" ht="15" customHeight="1">
      <c r="D158" s="12"/>
      <c r="E158" s="1029" t="s">
        <v>1733</v>
      </c>
      <c r="F158" s="1030"/>
      <c r="G158" s="1030">
        <v>8760</v>
      </c>
      <c r="H158" s="1024"/>
      <c r="I158" s="1026"/>
      <c r="J158" s="1024"/>
      <c r="K158" s="1026"/>
      <c r="L158" s="1026"/>
      <c r="M158" s="1026"/>
      <c r="N158" s="12"/>
    </row>
    <row r="159" spans="4:14" ht="15" customHeight="1">
      <c r="D159" s="12"/>
      <c r="E159" s="1028"/>
      <c r="F159" s="1024"/>
      <c r="G159" s="1025"/>
      <c r="H159" s="1024"/>
      <c r="I159" s="1026"/>
      <c r="J159" s="1024"/>
      <c r="K159" s="1026"/>
      <c r="L159" s="1026"/>
      <c r="M159" s="1026"/>
      <c r="N159" s="12"/>
    </row>
    <row r="160" spans="4:14" ht="15" customHeight="1">
      <c r="D160" s="12"/>
      <c r="E160" s="1028"/>
      <c r="F160" s="1024"/>
      <c r="G160" s="1025"/>
      <c r="H160" s="1024"/>
      <c r="I160" s="1026"/>
      <c r="J160" s="1024"/>
      <c r="K160" s="1026"/>
      <c r="L160" s="1026"/>
      <c r="M160" s="1026"/>
      <c r="N160" s="12"/>
    </row>
    <row r="161" spans="4:14" ht="15" customHeight="1">
      <c r="D161" s="12"/>
      <c r="E161" s="1027" t="s">
        <v>1734</v>
      </c>
      <c r="F161" s="1020"/>
      <c r="G161" s="1021"/>
      <c r="H161" s="1020"/>
      <c r="I161" s="1022"/>
      <c r="J161" s="1020"/>
      <c r="K161" s="1022"/>
      <c r="L161" s="1022"/>
      <c r="M161" s="1022"/>
      <c r="N161" s="12"/>
    </row>
    <row r="162" spans="4:14" ht="15" customHeight="1">
      <c r="D162" s="12"/>
      <c r="E162" s="1028"/>
      <c r="F162" s="1024"/>
      <c r="G162" s="1025"/>
      <c r="H162" s="1024"/>
      <c r="I162" s="1026"/>
      <c r="J162" s="1024"/>
      <c r="K162" s="1026"/>
      <c r="L162" s="1026"/>
      <c r="M162" s="1026"/>
      <c r="N162" s="12"/>
    </row>
    <row r="163" spans="4:14" ht="15" customHeight="1">
      <c r="D163" s="12"/>
      <c r="E163" s="920" t="s">
        <v>1735</v>
      </c>
      <c r="F163" s="1024"/>
      <c r="G163" s="1025"/>
      <c r="H163" s="1024"/>
      <c r="I163" s="1026"/>
      <c r="J163" s="1024"/>
      <c r="K163" s="1026"/>
      <c r="L163" s="1026"/>
      <c r="M163" s="536" t="s">
        <v>788</v>
      </c>
      <c r="N163" s="12"/>
    </row>
    <row r="164" spans="4:14" ht="15" customHeight="1">
      <c r="D164" s="12"/>
      <c r="E164" s="424" t="s">
        <v>859</v>
      </c>
      <c r="F164" s="3075">
        <v>2018</v>
      </c>
      <c r="G164" s="3075">
        <v>2020</v>
      </c>
      <c r="H164" s="3075">
        <v>2025</v>
      </c>
      <c r="I164" s="3075">
        <v>2030</v>
      </c>
      <c r="J164" s="3075">
        <v>2035</v>
      </c>
      <c r="K164" s="3075">
        <v>2040</v>
      </c>
      <c r="L164" s="3075">
        <v>2045</v>
      </c>
      <c r="M164" s="3075">
        <v>2050</v>
      </c>
      <c r="N164" s="12"/>
    </row>
    <row r="165" spans="4:14" ht="15" customHeight="1">
      <c r="D165" s="12"/>
      <c r="E165" s="920" t="s">
        <v>535</v>
      </c>
      <c r="F165" s="3070">
        <v>0.28999999999999998</v>
      </c>
      <c r="G165" s="3070">
        <v>0.28999999999999998</v>
      </c>
      <c r="H165" s="3070">
        <v>0.28999999999999998</v>
      </c>
      <c r="I165" s="3070">
        <v>0.28999999999999998</v>
      </c>
      <c r="J165" s="3070">
        <v>0.28999999999999998</v>
      </c>
      <c r="K165" s="3070">
        <v>0.28999999999999998</v>
      </c>
      <c r="L165" s="3070">
        <v>0.28999999999999998</v>
      </c>
      <c r="M165" s="3070">
        <v>0.28999999999999998</v>
      </c>
      <c r="N165" s="12"/>
    </row>
    <row r="166" spans="4:14" ht="15" customHeight="1">
      <c r="D166" s="12"/>
      <c r="E166" s="920" t="s">
        <v>536</v>
      </c>
      <c r="F166" s="3070">
        <v>0.59</v>
      </c>
      <c r="G166" s="3070">
        <v>0.59</v>
      </c>
      <c r="H166" s="3070">
        <v>0.59</v>
      </c>
      <c r="I166" s="3070">
        <v>0.59</v>
      </c>
      <c r="J166" s="3070">
        <v>0.59</v>
      </c>
      <c r="K166" s="3070">
        <v>0.59</v>
      </c>
      <c r="L166" s="3070">
        <v>0.59</v>
      </c>
      <c r="M166" s="3070">
        <v>0.59</v>
      </c>
      <c r="N166" s="12"/>
    </row>
    <row r="167" spans="4:14" ht="15" customHeight="1">
      <c r="D167" s="12"/>
      <c r="E167" s="920" t="s">
        <v>526</v>
      </c>
      <c r="F167" s="3070">
        <v>0.04</v>
      </c>
      <c r="G167" s="3070">
        <v>0.04</v>
      </c>
      <c r="H167" s="3070">
        <v>0.04</v>
      </c>
      <c r="I167" s="3070">
        <v>0.04</v>
      </c>
      <c r="J167" s="3070">
        <v>0.04</v>
      </c>
      <c r="K167" s="3070">
        <v>0.04</v>
      </c>
      <c r="L167" s="3070">
        <v>0.04</v>
      </c>
      <c r="M167" s="3070">
        <v>0.04</v>
      </c>
      <c r="N167" s="12"/>
    </row>
    <row r="168" spans="4:14" ht="15" customHeight="1">
      <c r="D168" s="12"/>
      <c r="E168" s="920" t="s">
        <v>537</v>
      </c>
      <c r="F168" s="3070">
        <v>0.01</v>
      </c>
      <c r="G168" s="3070">
        <v>0.01</v>
      </c>
      <c r="H168" s="3070">
        <v>0.01</v>
      </c>
      <c r="I168" s="3070">
        <v>0.01</v>
      </c>
      <c r="J168" s="3070">
        <v>0.01</v>
      </c>
      <c r="K168" s="3070">
        <v>0.01</v>
      </c>
      <c r="L168" s="3070">
        <v>0.01</v>
      </c>
      <c r="M168" s="3070">
        <v>0.01</v>
      </c>
      <c r="N168" s="12"/>
    </row>
    <row r="169" spans="4:14" ht="15" customHeight="1">
      <c r="D169" s="12"/>
      <c r="E169" s="920" t="s">
        <v>525</v>
      </c>
      <c r="F169" s="3070">
        <v>0.04</v>
      </c>
      <c r="G169" s="3070">
        <v>0.04</v>
      </c>
      <c r="H169" s="3070">
        <v>0.04</v>
      </c>
      <c r="I169" s="3070">
        <v>0.04</v>
      </c>
      <c r="J169" s="3070">
        <v>0.04</v>
      </c>
      <c r="K169" s="3070">
        <v>0.04</v>
      </c>
      <c r="L169" s="3070">
        <v>0.04</v>
      </c>
      <c r="M169" s="3070">
        <v>0.04</v>
      </c>
      <c r="N169" s="12"/>
    </row>
    <row r="170" spans="4:14" ht="15" customHeight="1">
      <c r="D170" s="12"/>
      <c r="E170" s="920" t="s">
        <v>498</v>
      </c>
      <c r="F170" s="3070">
        <v>0.04</v>
      </c>
      <c r="G170" s="3070">
        <v>0.04</v>
      </c>
      <c r="H170" s="3070">
        <v>0.04</v>
      </c>
      <c r="I170" s="3070">
        <v>0.04</v>
      </c>
      <c r="J170" s="3070">
        <v>0.04</v>
      </c>
      <c r="K170" s="3070">
        <v>0.04</v>
      </c>
      <c r="L170" s="3070">
        <v>0.04</v>
      </c>
      <c r="M170" s="3070">
        <v>0.04</v>
      </c>
      <c r="N170" s="516"/>
    </row>
    <row r="171" spans="4:14" ht="15" customHeight="1">
      <c r="D171" s="12"/>
      <c r="E171" s="920" t="s">
        <v>538</v>
      </c>
      <c r="F171" s="3070">
        <v>0</v>
      </c>
      <c r="G171" s="3070">
        <v>0</v>
      </c>
      <c r="H171" s="3070">
        <v>0</v>
      </c>
      <c r="I171" s="3070">
        <v>0</v>
      </c>
      <c r="J171" s="3070">
        <v>0</v>
      </c>
      <c r="K171" s="3070">
        <v>0</v>
      </c>
      <c r="L171" s="3070">
        <v>0</v>
      </c>
      <c r="M171" s="3070">
        <v>0</v>
      </c>
      <c r="N171" s="12"/>
    </row>
    <row r="172" spans="4:14" ht="15" customHeight="1">
      <c r="D172" s="12"/>
      <c r="E172" s="920" t="s">
        <v>539</v>
      </c>
      <c r="F172" s="3070">
        <v>0</v>
      </c>
      <c r="G172" s="3070">
        <v>0</v>
      </c>
      <c r="H172" s="3070">
        <v>0</v>
      </c>
      <c r="I172" s="3070">
        <v>0</v>
      </c>
      <c r="J172" s="3070">
        <v>0</v>
      </c>
      <c r="K172" s="3070">
        <v>0</v>
      </c>
      <c r="L172" s="3070">
        <v>0</v>
      </c>
      <c r="M172" s="3070">
        <v>0</v>
      </c>
      <c r="N172" s="12"/>
    </row>
    <row r="173" spans="4:14" ht="15" customHeight="1">
      <c r="D173" s="12"/>
      <c r="E173" s="920" t="s">
        <v>542</v>
      </c>
      <c r="F173" s="3374">
        <v>0.48</v>
      </c>
      <c r="G173" s="3374">
        <v>0.48</v>
      </c>
      <c r="H173" s="3374">
        <v>0.48</v>
      </c>
      <c r="I173" s="3374">
        <v>0.48</v>
      </c>
      <c r="J173" s="3374">
        <v>0.48</v>
      </c>
      <c r="K173" s="3374">
        <v>0.48</v>
      </c>
      <c r="L173" s="3374">
        <v>0.48</v>
      </c>
      <c r="M173" s="3374">
        <v>0.48</v>
      </c>
      <c r="N173" s="516"/>
    </row>
    <row r="174" spans="4:14" ht="15" customHeight="1">
      <c r="D174" s="12"/>
      <c r="E174" s="920" t="s">
        <v>543</v>
      </c>
      <c r="F174" s="3374">
        <v>0.48</v>
      </c>
      <c r="G174" s="3374">
        <v>0.48</v>
      </c>
      <c r="H174" s="3374">
        <v>0.48</v>
      </c>
      <c r="I174" s="3374">
        <v>0.48</v>
      </c>
      <c r="J174" s="3374">
        <v>0.48</v>
      </c>
      <c r="K174" s="3374">
        <v>0.48</v>
      </c>
      <c r="L174" s="3374">
        <v>0.48</v>
      </c>
      <c r="M174" s="3374">
        <v>0.48</v>
      </c>
      <c r="N174" s="12"/>
    </row>
    <row r="175" spans="4:14" ht="15" customHeight="1">
      <c r="D175" s="12"/>
      <c r="E175" s="920" t="s">
        <v>1727</v>
      </c>
      <c r="F175" s="3374">
        <v>0</v>
      </c>
      <c r="G175" s="3374">
        <v>0</v>
      </c>
      <c r="H175" s="3374">
        <v>0</v>
      </c>
      <c r="I175" s="3374">
        <v>0</v>
      </c>
      <c r="J175" s="3374">
        <v>0</v>
      </c>
      <c r="K175" s="3374">
        <v>0</v>
      </c>
      <c r="L175" s="3374">
        <v>0</v>
      </c>
      <c r="M175" s="3374">
        <v>0</v>
      </c>
      <c r="N175" s="12"/>
    </row>
    <row r="176" spans="4:14" ht="15" customHeight="1">
      <c r="D176" s="12"/>
      <c r="E176" s="920" t="s">
        <v>545</v>
      </c>
      <c r="F176" s="3374">
        <v>0.31</v>
      </c>
      <c r="G176" s="3374">
        <v>0.31</v>
      </c>
      <c r="H176" s="3374">
        <v>0.31</v>
      </c>
      <c r="I176" s="3374">
        <v>0.31</v>
      </c>
      <c r="J176" s="3374">
        <v>0.31</v>
      </c>
      <c r="K176" s="3374">
        <v>0.31</v>
      </c>
      <c r="L176" s="3374">
        <v>0.31</v>
      </c>
      <c r="M176" s="3374">
        <v>0.31</v>
      </c>
      <c r="N176" s="12"/>
    </row>
    <row r="177" spans="4:14" ht="15" customHeight="1">
      <c r="D177" s="12"/>
      <c r="E177" s="920" t="s">
        <v>546</v>
      </c>
      <c r="F177" s="1023">
        <v>0.36</v>
      </c>
      <c r="G177" s="1023">
        <v>0.36</v>
      </c>
      <c r="H177" s="1023">
        <v>0.36</v>
      </c>
      <c r="I177" s="1023">
        <v>0.36</v>
      </c>
      <c r="J177" s="1023">
        <v>0.36</v>
      </c>
      <c r="K177" s="1023">
        <v>0.36</v>
      </c>
      <c r="L177" s="1023">
        <v>0.36</v>
      </c>
      <c r="M177" s="1023">
        <v>0.36</v>
      </c>
      <c r="N177" s="12"/>
    </row>
    <row r="178" spans="4:14" ht="15" customHeight="1">
      <c r="D178" s="12"/>
      <c r="E178" s="920" t="s">
        <v>547</v>
      </c>
      <c r="F178" s="3374">
        <v>0.06</v>
      </c>
      <c r="G178" s="3374">
        <v>0.06</v>
      </c>
      <c r="H178" s="3374">
        <v>0.06</v>
      </c>
      <c r="I178" s="3374">
        <v>0.06</v>
      </c>
      <c r="J178" s="3374">
        <v>0.06</v>
      </c>
      <c r="K178" s="3374">
        <v>0.06</v>
      </c>
      <c r="L178" s="3374">
        <v>0.06</v>
      </c>
      <c r="M178" s="3374">
        <v>0.06</v>
      </c>
      <c r="N178" s="12"/>
    </row>
    <row r="179" spans="4:14" ht="15" customHeight="1">
      <c r="D179" s="12"/>
      <c r="E179" s="920" t="s">
        <v>548</v>
      </c>
      <c r="F179" s="3374">
        <v>0</v>
      </c>
      <c r="G179" s="3374">
        <v>0</v>
      </c>
      <c r="H179" s="3374">
        <v>0</v>
      </c>
      <c r="I179" s="3374">
        <v>0</v>
      </c>
      <c r="J179" s="3374">
        <v>0</v>
      </c>
      <c r="K179" s="3374">
        <v>0</v>
      </c>
      <c r="L179" s="3374">
        <v>0</v>
      </c>
      <c r="M179" s="3374">
        <v>0</v>
      </c>
      <c r="N179" s="12"/>
    </row>
    <row r="180" spans="4:14" ht="15" customHeight="1">
      <c r="D180" s="12"/>
      <c r="E180" s="3375" t="s">
        <v>549</v>
      </c>
      <c r="F180" s="3070">
        <v>0</v>
      </c>
      <c r="G180" s="3070">
        <v>0</v>
      </c>
      <c r="H180" s="3070">
        <v>0</v>
      </c>
      <c r="I180" s="3070">
        <v>0</v>
      </c>
      <c r="J180" s="3070">
        <v>0</v>
      </c>
      <c r="K180" s="3070">
        <v>0</v>
      </c>
      <c r="L180" s="3070">
        <v>0</v>
      </c>
      <c r="M180" s="3070">
        <v>0</v>
      </c>
      <c r="N180" s="12"/>
    </row>
    <row r="181" spans="4:14" ht="15" customHeight="1">
      <c r="D181" s="12"/>
      <c r="E181" s="3079" t="s">
        <v>162</v>
      </c>
      <c r="F181" s="3070">
        <v>0.41</v>
      </c>
      <c r="G181" s="3070">
        <v>0.41</v>
      </c>
      <c r="H181" s="3070">
        <v>0.41</v>
      </c>
      <c r="I181" s="3070">
        <v>0.41</v>
      </c>
      <c r="J181" s="3070">
        <v>0.41</v>
      </c>
      <c r="K181" s="3070">
        <v>0.41</v>
      </c>
      <c r="L181" s="3070">
        <v>0.41</v>
      </c>
      <c r="M181" s="3070">
        <v>0.41</v>
      </c>
      <c r="N181" s="12"/>
    </row>
    <row r="182" spans="4:14" ht="15" customHeight="1">
      <c r="D182" s="12"/>
      <c r="E182" s="3080" t="s">
        <v>504</v>
      </c>
      <c r="F182" s="3376">
        <v>0.75</v>
      </c>
      <c r="G182" s="3376">
        <v>0.75</v>
      </c>
      <c r="H182" s="3376">
        <v>0.75</v>
      </c>
      <c r="I182" s="3376">
        <v>0.75</v>
      </c>
      <c r="J182" s="3376">
        <v>0.75</v>
      </c>
      <c r="K182" s="3376">
        <v>0.75</v>
      </c>
      <c r="L182" s="3376">
        <v>0.75</v>
      </c>
      <c r="M182" s="3376">
        <v>0.75</v>
      </c>
      <c r="N182" s="12"/>
    </row>
    <row r="183" spans="4:14" ht="15" customHeight="1">
      <c r="D183" s="12"/>
      <c r="E183" s="920"/>
      <c r="F183" s="1023"/>
      <c r="G183" s="1023"/>
      <c r="H183" s="1023"/>
      <c r="I183" s="1023"/>
      <c r="J183" s="1023"/>
      <c r="K183" s="1023"/>
      <c r="L183" s="1023"/>
      <c r="M183" s="1023"/>
      <c r="N183" s="12"/>
    </row>
    <row r="185" spans="4:14" ht="15" customHeight="1">
      <c r="D185" s="978" t="s">
        <v>51</v>
      </c>
      <c r="E185" s="978"/>
      <c r="F185" s="336"/>
      <c r="G185" s="336"/>
      <c r="H185" s="336"/>
      <c r="I185" s="336"/>
      <c r="J185" s="336"/>
      <c r="K185" s="336"/>
      <c r="L185" s="336"/>
      <c r="M185" s="336"/>
      <c r="N185" s="336"/>
    </row>
    <row r="186" spans="4:14" ht="15" customHeight="1">
      <c r="D186" s="12"/>
      <c r="E186" s="12"/>
      <c r="F186" s="12"/>
      <c r="G186" s="12"/>
      <c r="H186" s="12"/>
      <c r="I186" s="12"/>
      <c r="J186" s="12"/>
      <c r="K186" s="12"/>
      <c r="L186" s="12"/>
      <c r="M186" s="12"/>
      <c r="N186" s="12"/>
    </row>
    <row r="187" spans="4:14" ht="15" customHeight="1">
      <c r="D187" s="12"/>
      <c r="E187" s="1027" t="s">
        <v>1736</v>
      </c>
      <c r="F187" s="1020"/>
      <c r="G187" s="1021"/>
      <c r="H187" s="1020"/>
      <c r="I187" s="1022"/>
      <c r="J187" s="1020"/>
      <c r="K187" s="1022"/>
      <c r="L187" s="1022"/>
      <c r="M187" s="1022"/>
      <c r="N187" s="12"/>
    </row>
    <row r="188" spans="4:14" ht="15" customHeight="1">
      <c r="D188" s="12"/>
      <c r="E188" s="12"/>
      <c r="F188" s="12"/>
      <c r="G188" s="12"/>
      <c r="H188" s="12"/>
      <c r="I188" s="12"/>
      <c r="J188" s="12"/>
      <c r="K188" s="12"/>
      <c r="L188" s="12"/>
      <c r="M188" s="12"/>
      <c r="N188" s="12"/>
    </row>
    <row r="189" spans="4:14" ht="15" customHeight="1">
      <c r="D189" s="12"/>
      <c r="E189" s="1019" t="s">
        <v>1735</v>
      </c>
      <c r="F189" s="12"/>
      <c r="G189" s="12"/>
      <c r="H189" s="12"/>
      <c r="I189" s="12"/>
      <c r="J189" s="12"/>
      <c r="K189" s="12"/>
      <c r="L189" s="12"/>
      <c r="M189" s="1874" t="s">
        <v>803</v>
      </c>
      <c r="N189" s="12"/>
    </row>
    <row r="190" spans="4:14" ht="15" customHeight="1">
      <c r="D190" s="12"/>
      <c r="E190" s="424" t="s">
        <v>859</v>
      </c>
      <c r="F190" s="424">
        <v>2018</v>
      </c>
      <c r="G190" s="424">
        <v>2020</v>
      </c>
      <c r="H190" s="424">
        <v>2025</v>
      </c>
      <c r="I190" s="424">
        <v>2030</v>
      </c>
      <c r="J190" s="424">
        <v>2035</v>
      </c>
      <c r="K190" s="424">
        <v>2040</v>
      </c>
      <c r="L190" s="424">
        <v>2045</v>
      </c>
      <c r="M190" s="424">
        <v>2050</v>
      </c>
      <c r="N190" s="12"/>
    </row>
    <row r="191" spans="4:14" ht="15" customHeight="1">
      <c r="D191" s="12"/>
      <c r="E191" s="2653" t="s">
        <v>535</v>
      </c>
      <c r="F191" s="12">
        <v>0</v>
      </c>
      <c r="G191" s="3076">
        <f>(INDEX(ST_CAPACIDAD_GENERACION_COMBUSTIBLES_FOSILES,TERMOELECTRICA_GAS_NATURAL,_2020)-INDEX(ST_CAPACIDAD_GENERACION_COMBUSTIBLES_FOSILES,TERMOELECTRICA_GAS_NATURAL,_2018))*COSTOS_CAPITAL_ELECTRICIDAD_TERMOELECTRICA_GN_USD_KW_ALTO/UNIDAD_KW_A_MW*COSTOS_2019_US_dolares_MMCOP</f>
        <v>0</v>
      </c>
      <c r="H191" s="3076" cm="1">
        <f t="array" ref="H191">(INDEX(ST_CAPACIDAD_GENERACION_COMBUSTIBLES_FOSILES,TERMOELECTRICA_GAS_NATURAL,_2025)-INDEX(ST_CAPACIDAD_GENERACION_COMBUSTIBLES_FOSILES,TERMOELECTRICA_GAS_NATURAL,_2020))*COSTOS_CAPITAL_ELECTRICIDAD_TERMOELECTRICA_GN_USD_KW_ALTO/UNIDAD_KW_A_MW*COSTOS_2019_US_dolares_MMCOP</f>
        <v>4787.4592894449916</v>
      </c>
      <c r="I191" s="3076">
        <f>(INDEX(ST_CAPACIDAD_GENERACION_COMBUSTIBLES_FOSILES,TERMOELECTRICA_GAS_NATURAL,_2030)-INDEX(ST_CAPACIDAD_GENERACION_COMBUSTIBLES_FOSILES,TERMOELECTRICA_GAS_NATURAL,_2025))*COSTOS_CAPITAL_ELECTRICIDAD_TERMOELECTRICA_GN_USD_KW_ALTO/UNIDAD_KW_A_MW*COSTOS_2019_US_dolares_MMCOP</f>
        <v>0</v>
      </c>
      <c r="J191" s="3076">
        <f>(INDEX(ST_CAPACIDAD_GENERACION_COMBUSTIBLES_FOSILES,TERMOELECTRICA_GAS_NATURAL,_2035)-INDEX(ST_CAPACIDAD_GENERACION_COMBUSTIBLES_FOSILES,TERMOELECTRICA_GAS_NATURAL,_2030))*COSTOS_CAPITAL_ELECTRICIDAD_TERMOELECTRICA_GN_USD_KW_ALTO/UNIDAD_KW_A_MW*COSTOS_2019_US_dolares_MMCOP</f>
        <v>0</v>
      </c>
      <c r="K191" s="3076">
        <f>(INDEX(ST_CAPACIDAD_GENERACION_COMBUSTIBLES_FOSILES,TERMOELECTRICA_GAS_NATURAL,_2040)-INDEX(ST_CAPACIDAD_GENERACION_COMBUSTIBLES_FOSILES,TERMOELECTRICA_GAS_NATURAL,_2035))*COSTOS_CAPITAL_ELECTRICIDAD_TERMOELECTRICA_GN_USD_KW_ALTO/UNIDAD_KW_A_MW*COSTOS_2019_US_dolares_MMCOP</f>
        <v>0</v>
      </c>
      <c r="L191" s="3076">
        <f>(INDEX(ST_CAPACIDAD_GENERACION_COMBUSTIBLES_FOSILES,TERMOELECTRICA_GAS_NATURAL,_2045)-INDEX(ST_CAPACIDAD_GENERACION_COMBUSTIBLES_FOSILES,TERMOELECTRICA_GAS_NATURAL,_2040))*COSTOS_CAPITAL_ELECTRICIDAD_TERMOELECTRICA_GN_USD_KW_ALTO/UNIDAD_KW_A_MW*COSTOS_2019_US_dolares_MMCOP</f>
        <v>0</v>
      </c>
      <c r="M191" s="3076">
        <f>(INDEX(ST_CAPACIDAD_GENERACION_COMBUSTIBLES_FOSILES,TERMOELECTRICA_GAS_NATURAL,_2050)-INDEX(ST_CAPACIDAD_GENERACION_COMBUSTIBLES_FOSILES,TERMOELECTRICA_GAS_NATURAL,_2045))*COSTOS_CAPITAL_ELECTRICIDAD_TERMOELECTRICA_GN_USD_KW_ALTO/UNIDAD_KW_A_MW*COSTOS_2019_US_dolares_MMCOP</f>
        <v>0</v>
      </c>
      <c r="N191" s="12"/>
    </row>
    <row r="192" spans="4:14" ht="15" customHeight="1">
      <c r="D192" s="12"/>
      <c r="E192" s="920" t="s">
        <v>536</v>
      </c>
      <c r="F192" s="12">
        <v>0</v>
      </c>
      <c r="G192" s="3076">
        <f>IF(((INDEX(ST_CAPACIDAD_GENERACION_COMBUSTIBLES_FOSILES,Termoelectrica_carbon,_2020)-INDEX(ST_CAPACIDAD_GENERACION_COMBUSTIBLES_FOSILES,Termoelectrica_carbon,_2018))*COSTOS_CAPITAL_ELECTRICIDAD_TERMOELECTRICA_CARBON_USD_KW_ALTO/UNIDAD_KW_A_MW*COSTOS_2019_US_dolares_MMCOP)&gt;0,((INDEX(ST_CAPACIDAD_GENERACION_COMBUSTIBLES_FOSILES,Termoelectrica_carbon,_2020)-INDEX(ST_CAPACIDAD_GENERACION_COMBUSTIBLES_FOSILES,Termoelectrica_carbon,_2018))*COSTOS_CAPITAL_ELECTRICIDAD_TERMOELECTRICA_CARBON_USD_KW_ALTO/UNIDAD_KW_A_MW*COSTOS_2019_US_dolares_MMCOP),0)</f>
        <v>0</v>
      </c>
      <c r="H192" s="3076">
        <f>IF(((INDEX(ST_CAPACIDAD_GENERACION_COMBUSTIBLES_FOSILES,Termoelectrica_carbon,_2025)-INDEX(ST_CAPACIDAD_GENERACION_COMBUSTIBLES_FOSILES,Termoelectrica_carbon,_2020))*COSTOS_CAPITAL_ELECTRICIDAD_TERMOELECTRICA_CARBON_USD_KW_ALTO/UNIDAD_KW_A_MW*COSTOS_2019_US_dolares_MMCOP)&gt;0,((INDEX(ST_CAPACIDAD_GENERACION_COMBUSTIBLES_FOSILES,Termoelectrica_carbon,_2025)-INDEX(ST_CAPACIDAD_GENERACION_COMBUSTIBLES_FOSILES,Termoelectrica_carbon,_2020))*COSTOS_CAPITAL_ELECTRICIDAD_TERMOELECTRICA_CARBON_USD_KW_ALTO/UNIDAD_KW_A_MW*COSTOS_2019_US_dolares_MMCOP),0)</f>
        <v>0</v>
      </c>
      <c r="I192" s="3076">
        <f>(INDEX(ST_CAPACIDAD_GENERACION_COMBUSTIBLES_FOSILES,Termoelectrica_carbon,_2030)-INDEX(ST_CAPACIDAD_GENERACION_COMBUSTIBLES_FOSILES,Termoelectrica_carbon,_2025))*COSTOS_CAPITAL_ELECTRICIDAD_TERMOELECTRICA_CARBON_USD_KW_ALTO/UNIDAD_KW_A_MW*COSTOS_2019_US_dolares_MMCOP</f>
        <v>0</v>
      </c>
      <c r="J192" s="3076">
        <f>(INDEX(ST_CAPACIDAD_GENERACION_COMBUSTIBLES_FOSILES,Termoelectrica_carbon,_2035)-INDEX(ST_CAPACIDAD_GENERACION_COMBUSTIBLES_FOSILES,Termoelectrica_carbon,_2030))*COSTOS_CAPITAL_ELECTRICIDAD_TERMOELECTRICA_CARBON_USD_KW_ALTO/UNIDAD_KW_A_MW*COSTOS_2019_US_dolares_MMCOP</f>
        <v>0</v>
      </c>
      <c r="K192" s="3076">
        <f>(INDEX(ST_CAPACIDAD_GENERACION_COMBUSTIBLES_FOSILES,Termoelectrica_carbon,_2040)-INDEX(ST_CAPACIDAD_GENERACION_COMBUSTIBLES_FOSILES,Termoelectrica_carbon,_2035))*COSTOS_CAPITAL_ELECTRICIDAD_TERMOELECTRICA_CARBON_USD_KW_ALTO/UNIDAD_KW_A_MW*COSTOS_2019_US_dolares_MMCOP</f>
        <v>0</v>
      </c>
      <c r="L192" s="3076">
        <f>(INDEX(ST_CAPACIDAD_GENERACION_COMBUSTIBLES_FOSILES,Termoelectrica_carbon,_2045)-INDEX(ST_CAPACIDAD_GENERACION_COMBUSTIBLES_FOSILES,Termoelectrica_carbon,_2040))*COSTOS_CAPITAL_ELECTRICIDAD_TERMOELECTRICA_CARBON_USD_KW_ALTO/UNIDAD_KW_A_MW*COSTOS_2019_US_dolares_MMCOP</f>
        <v>0</v>
      </c>
      <c r="M192" s="3076">
        <f>(INDEX(ST_CAPACIDAD_GENERACION_COMBUSTIBLES_FOSILES,Termoelectrica_carbon,_2050)-INDEX(ST_CAPACIDAD_GENERACION_COMBUSTIBLES_FOSILES,Termoelectrica_carbon,_2045))*COSTOS_CAPITAL_ELECTRICIDAD_TERMOELECTRICA_CARBON_USD_KW_ALTO/UNIDAD_KW_A_MW*COSTOS_2019_US_dolares_MMCOP</f>
        <v>0</v>
      </c>
      <c r="N192" s="12"/>
    </row>
    <row r="193" spans="4:14" ht="15" customHeight="1">
      <c r="D193" s="12"/>
      <c r="E193" s="920" t="s">
        <v>526</v>
      </c>
      <c r="F193" s="12">
        <v>0</v>
      </c>
      <c r="G193" s="3076">
        <f>IF(((INDEX(ST_CAPACIDAD_GENERACION_COMBUSTIBLES_FOSILES,DIESEL,_2020)-INDEX(ST_CAPACIDAD_GENERACION_COMBUSTIBLES_FOSILES,DIESEL,_2018))*COSTOS_CAPITAL_ELECTRICIDAD_ACPM_DIESEL_USD_KW_ALTO/UNIDAD_KW_A_MW*COSTOS_2019_US_dolares_MMCOP)&gt;0,((INDEX(ST_CAPACIDAD_GENERACION_COMBUSTIBLES_FOSILES,DIESEL,_2020)-INDEX(ST_CAPACIDAD_GENERACION_COMBUSTIBLES_FOSILES,DIESEL,_2018))*COSTOS_CAPITAL_ELECTRICIDAD_ACPM_DIESEL_USD_KW_ALTO/UNIDAD_KW_A_MW*COSTOS_2019_US_dolares_MMCOP),0)</f>
        <v>0</v>
      </c>
      <c r="H193" s="3076">
        <f>IF(((INDEX(ST_CAPACIDAD_GENERACION_COMBUSTIBLES_FOSILES,DIESEL,_2025)-INDEX(ST_CAPACIDAD_GENERACION_COMBUSTIBLES_FOSILES,DIESEL,_2020))*COSTOS_CAPITAL_ELECTRICIDAD_ACPM_DIESEL_USD_KW_ALTO/UNIDAD_KW_A_MW*COSTOS_2019_US_dolares_MMCOP)&gt;0,((INDEX(ST_CAPACIDAD_GENERACION_COMBUSTIBLES_FOSILES,DIESEL,_2025)-INDEX(ST_CAPACIDAD_GENERACION_COMBUSTIBLES_FOSILES,DIESEL,_2020))*COSTOS_CAPITAL_ELECTRICIDAD_ACPM_DIESEL_USD_KW_ALTO/UNIDAD_KW_A_MW*COSTOS_2019_US_dolares_MMCOP),0)</f>
        <v>0</v>
      </c>
      <c r="I193" s="3076">
        <f>(INDEX(ST_CAPACIDAD_GENERACION_COMBUSTIBLES_FOSILES,DIESEL,_2030)-INDEX(ST_CAPACIDAD_GENERACION_COMBUSTIBLES_FOSILES,DIESEL,_2025))*COSTOS_CAPITAL_ELECTRICIDAD_ACPM_DIESEL_USD_KW_ALTO/UNIDAD_KW_A_MW*COSTOS_2019_US_dolares_MMCOP</f>
        <v>0</v>
      </c>
      <c r="J193" s="3076">
        <f>(INDEX(ST_CAPACIDAD_GENERACION_COMBUSTIBLES_FOSILES,DIESEL,_2035)-INDEX(ST_CAPACIDAD_GENERACION_COMBUSTIBLES_FOSILES,DIESEL,_2030))*COSTOS_CAPITAL_ELECTRICIDAD_ACPM_DIESEL_USD_KW_ALTO/UNIDAD_KW_A_MW*COSTOS_2019_US_dolares_MMCOP</f>
        <v>0</v>
      </c>
      <c r="K193" s="3076">
        <f>(INDEX(ST_CAPACIDAD_GENERACION_COMBUSTIBLES_FOSILES,DIESEL,_2040)-INDEX(ST_CAPACIDAD_GENERACION_COMBUSTIBLES_FOSILES,DIESEL,_2035))*COSTOS_CAPITAL_ELECTRICIDAD_ACPM_DIESEL_USD_KW_ALTO/UNIDAD_KW_A_MW*COSTOS_2019_US_dolares_MMCOP</f>
        <v>0</v>
      </c>
      <c r="L193" s="3076">
        <f>(INDEX(ST_CAPACIDAD_GENERACION_COMBUSTIBLES_FOSILES,DIESEL,_2045)-INDEX(ST_CAPACIDAD_GENERACION_COMBUSTIBLES_FOSILES,DIESEL,_2040))*COSTOS_CAPITAL_ELECTRICIDAD_ACPM_DIESEL_USD_KW_ALTO/UNIDAD_KW_A_MW*COSTOS_2019_US_dolares_MMCOP</f>
        <v>0</v>
      </c>
      <c r="M193" s="3076">
        <f>(INDEX(ST_CAPACIDAD_GENERACION_COMBUSTIBLES_FOSILES,DIESEL,_2050)-INDEX(ST_CAPACIDAD_GENERACION_COMBUSTIBLES_FOSILES,DIESEL,_2045))*COSTOS_CAPITAL_ELECTRICIDAD_ACPM_DIESEL_USD_KW_ALTO/UNIDAD_KW_A_MW*COSTOS_2019_US_dolares_MMCOP</f>
        <v>0</v>
      </c>
      <c r="N193" s="12"/>
    </row>
    <row r="194" spans="4:14" ht="15" customHeight="1">
      <c r="D194" s="12"/>
      <c r="E194" s="920" t="s">
        <v>537</v>
      </c>
      <c r="F194" s="12">
        <v>0</v>
      </c>
      <c r="G194" s="3076">
        <f>(INDEX(ST_CAPACIDAD_GENERACION_COMBUSTIBLES_FOSILES,FUEL_OIL,_2020)-INDEX(ST_CAPACIDAD_GENERACION_COMBUSTIBLES_FOSILES,FUEL_OIL,_2018))*COSTOS_CAPITAL_ELECTRICIDAD_FUEL_OIL_USD_KW_ALTO/UNIDAD_KW_A_MW*COSTOS_2019_US_dolares_MMCOP</f>
        <v>0</v>
      </c>
      <c r="H194" s="3076">
        <f>(INDEX(ST_CAPACIDAD_GENERACION_COMBUSTIBLES_FOSILES,FUEL_OIL,_2025)-INDEX(ST_CAPACIDAD_GENERACION_COMBUSTIBLES_FOSILES,FUEL_OIL,_2020))*COSTOS_CAPITAL_ELECTRICIDAD_FUEL_OIL_USD_KW_ALTO/UNIDAD_KW_A_MW*COSTOS_2019_US_dolares_MMCOP</f>
        <v>0</v>
      </c>
      <c r="I194" s="3076">
        <f>(INDEX(ST_CAPACIDAD_GENERACION_COMBUSTIBLES_FOSILES,FUEL_OIL,_2030)-INDEX(ST_CAPACIDAD_GENERACION_COMBUSTIBLES_FOSILES,FUEL_OIL,_2025))*COSTOS_CAPITAL_ELECTRICIDAD_FUEL_OIL_USD_KW_ALTO/UNIDAD_KW_A_MW*COSTOS_2019_US_dolares_MMCOP</f>
        <v>0</v>
      </c>
      <c r="J194" s="3076">
        <f>(INDEX(ST_CAPACIDAD_GENERACION_COMBUSTIBLES_FOSILES,FUEL_OIL,_2035)-INDEX(ST_CAPACIDAD_GENERACION_COMBUSTIBLES_FOSILES,FUEL_OIL,_2030))*COSTOS_CAPITAL_ELECTRICIDAD_FUEL_OIL_USD_KW_ALTO/UNIDAD_KW_A_MW*COSTOS_2019_US_dolares_MMCOP</f>
        <v>0</v>
      </c>
      <c r="K194" s="3076">
        <f>(INDEX(ST_CAPACIDAD_GENERACION_COMBUSTIBLES_FOSILES,FUEL_OIL,_2040)-INDEX(ST_CAPACIDAD_GENERACION_COMBUSTIBLES_FOSILES,FUEL_OIL,_2035))*COSTOS_CAPITAL_ELECTRICIDAD_FUEL_OIL_USD_KW_ALTO/UNIDAD_KW_A_MW*COSTOS_2019_US_dolares_MMCOP</f>
        <v>0</v>
      </c>
      <c r="L194" s="3076">
        <f>(INDEX(ST_CAPACIDAD_GENERACION_COMBUSTIBLES_FOSILES,FUEL_OIL,_2045)-INDEX(ST_CAPACIDAD_GENERACION_COMBUSTIBLES_FOSILES,FUEL_OIL,_2040))*COSTOS_CAPITAL_ELECTRICIDAD_FUEL_OIL_USD_KW_ALTO/UNIDAD_KW_A_MW*COSTOS_2019_US_dolares_MMCOP</f>
        <v>0</v>
      </c>
      <c r="M194" s="3076">
        <f>(INDEX(ST_CAPACIDAD_GENERACION_COMBUSTIBLES_FOSILES,FUEL_OIL,_2050)-INDEX(ST_CAPACIDAD_GENERACION_COMBUSTIBLES_FOSILES,FUEL_OIL,_2045))*COSTOS_CAPITAL_ELECTRICIDAD_FUEL_OIL_USD_KW_ALTO/UNIDAD_KW_A_MW*COSTOS_2019_US_dolares_MMCOP</f>
        <v>0</v>
      </c>
      <c r="N194" s="12"/>
    </row>
    <row r="195" spans="4:14" ht="15" customHeight="1">
      <c r="D195" s="12"/>
      <c r="E195" s="920" t="s">
        <v>525</v>
      </c>
      <c r="F195" s="12">
        <v>0</v>
      </c>
      <c r="G195" s="3076">
        <f>IF(((INDEX(ST_CAPACIDAD_GENERACION_COMBUSTIBLES_FOSILES,PETROLEO,_2020)-INDEX(ST_CAPACIDAD_GENERACION_COMBUSTIBLES_FOSILES,PETROLEO,_2018))*COSTOS_CAPITAL_ELECTRICIDAD_PETRÓLEO_USD_KW_ALTO/UNIDAD_KW_A_MW*COSTOS_2019_US_dolares_MMCOP)&gt;0,((INDEX(ST_CAPACIDAD_GENERACION_COMBUSTIBLES_FOSILES,PETROLEO,_2020)-INDEX(ST_CAPACIDAD_GENERACION_COMBUSTIBLES_FOSILES,PETROLEO,_2018))*COSTOS_CAPITAL_ELECTRICIDAD_PETRÓLEO_USD_KW_ALTO/UNIDAD_KW_A_MW*COSTOS_2019_US_dolares_MMCOP),0)</f>
        <v>0</v>
      </c>
      <c r="H195" s="3076">
        <f>(INDEX(ST_CAPACIDAD_GENERACION_COMBUSTIBLES_FOSILES,PETROLEO,_2025)-INDEX(ST_CAPACIDAD_GENERACION_COMBUSTIBLES_FOSILES,PETROLEO,_2020))*COSTOS_CAPITAL_ELECTRICIDAD_PETRÓLEO_USD_KW_ALTO/UNIDAD_KW_A_MW*COSTOS_2019_US_dolares_MMCOP</f>
        <v>0</v>
      </c>
      <c r="I195" s="3076">
        <f>(INDEX(ST_CAPACIDAD_GENERACION_COMBUSTIBLES_FOSILES,PETROLEO,_2030)-INDEX(ST_CAPACIDAD_GENERACION_COMBUSTIBLES_FOSILES,PETROLEO,_2025))*COSTOS_CAPITAL_ELECTRICIDAD_PETRÓLEO_USD_KW_ALTO/UNIDAD_KW_A_MW*COSTOS_2019_US_dolares_MMCOP</f>
        <v>0</v>
      </c>
      <c r="J195" s="3076">
        <f>(INDEX(ST_CAPACIDAD_GENERACION_COMBUSTIBLES_FOSILES,PETROLEO,_2035)-INDEX(ST_CAPACIDAD_GENERACION_COMBUSTIBLES_FOSILES,PETROLEO,_2030))*COSTOS_CAPITAL_ELECTRICIDAD_PETRÓLEO_USD_KW_ALTO/UNIDAD_KW_A_MW*COSTOS_2019_US_dolares_MMCOP</f>
        <v>0</v>
      </c>
      <c r="K195" s="3076">
        <f>(INDEX(ST_CAPACIDAD_GENERACION_COMBUSTIBLES_FOSILES,PETROLEO,_2040)-INDEX(ST_CAPACIDAD_GENERACION_COMBUSTIBLES_FOSILES,PETROLEO,_2035))*COSTOS_CAPITAL_ELECTRICIDAD_PETRÓLEO_USD_KW_ALTO/UNIDAD_KW_A_MW*COSTOS_2019_US_dolares_MMCOP</f>
        <v>0</v>
      </c>
      <c r="L195" s="3076">
        <f>(INDEX(ST_CAPACIDAD_GENERACION_COMBUSTIBLES_FOSILES,PETROLEO,_2045)-INDEX(ST_CAPACIDAD_GENERACION_COMBUSTIBLES_FOSILES,PETROLEO,_2040))*COSTOS_CAPITAL_ELECTRICIDAD_PETRÓLEO_USD_KW_ALTO/UNIDAD_KW_A_MW*COSTOS_2019_US_dolares_MMCOP</f>
        <v>0</v>
      </c>
      <c r="M195" s="3076">
        <f>(INDEX(ST_CAPACIDAD_GENERACION_COMBUSTIBLES_FOSILES,PETROLEO,_2050)-INDEX(ST_CAPACIDAD_GENERACION_COMBUSTIBLES_FOSILES,PETROLEO,_2045))*COSTOS_CAPITAL_ELECTRICIDAD_PETRÓLEO_USD_KW_ALTO/UNIDAD_KW_A_MW*COSTOS_2019_US_dolares_MMCOP</f>
        <v>0</v>
      </c>
      <c r="N195" s="12"/>
    </row>
    <row r="196" spans="4:14" ht="15" customHeight="1">
      <c r="D196" s="12"/>
      <c r="E196" s="920" t="s">
        <v>498</v>
      </c>
      <c r="F196" s="12">
        <v>0</v>
      </c>
      <c r="G196" s="3076">
        <f>IF(((INDEX(ST_CAPACIDAD_GENERACION_COMBUSTIBLES_FOSILES,GLP,_2020)-INDEX(ST_CAPACIDAD_GENERACION_COMBUSTIBLES_FOSILES,GLP,_2018))*COSTOS_CAPITAL_ELECTRICIDAD_GLP_USD_KW_ALTO/UNIDAD_KW_A_MW*COSTOS_2019_US_dolares_MMCOP)&gt;0,((INDEX(ST_CAPACIDAD_GENERACION_COMBUSTIBLES_FOSILES,GLP,_2020)-INDEX(ST_CAPACIDAD_GENERACION_COMBUSTIBLES_FOSILES,GLP,_2018))*COSTOS_CAPITAL_ELECTRICIDAD_GLP_USD_KW_ALTO/UNIDAD_KW_A_MW*COSTOS_2019_US_dolares_MMCOP),0)</f>
        <v>0</v>
      </c>
      <c r="H196" s="3076">
        <f>(INDEX(ST_CAPACIDAD_GENERACION_COMBUSTIBLES_FOSILES,GLP,_2025)-INDEX(ST_CAPACIDAD_GENERACION_COMBUSTIBLES_FOSILES,GLP,_2020))*COSTOS_CAPITAL_ELECTRICIDAD_GLP_USD_KW_ALTO/UNIDAD_KW_A_MW*COSTOS_2019_US_dolares_MMCOP</f>
        <v>0</v>
      </c>
      <c r="I196" s="3076">
        <f>(INDEX(ST_CAPACIDAD_GENERACION_COMBUSTIBLES_FOSILES,GLP,_2030)-INDEX(ST_CAPACIDAD_GENERACION_COMBUSTIBLES_FOSILES,GLP,_2025))*COSTOS_CAPITAL_ELECTRICIDAD_GLP_USD_KW_ALTO/UNIDAD_KW_A_MW*COSTOS_2019_US_dolares_MMCOP</f>
        <v>0</v>
      </c>
      <c r="J196" s="3076">
        <f>(INDEX(ST_CAPACIDAD_GENERACION_COMBUSTIBLES_FOSILES,GLP,_2035)-INDEX(ST_CAPACIDAD_GENERACION_COMBUSTIBLES_FOSILES,GLP,_2030))*COSTOS_CAPITAL_ELECTRICIDAD_GLP_USD_KW_ALTO/UNIDAD_KW_A_MW*COSTOS_2019_US_dolares_MMCOP</f>
        <v>0</v>
      </c>
      <c r="K196" s="3076">
        <f>(INDEX(ST_CAPACIDAD_GENERACION_COMBUSTIBLES_FOSILES,GLP,_2040)-INDEX(ST_CAPACIDAD_GENERACION_COMBUSTIBLES_FOSILES,GLP,_2035))*COSTOS_CAPITAL_ELECTRICIDAD_GLP_USD_KW_ALTO/UNIDAD_KW_A_MW*COSTOS_2019_US_dolares_MMCOP</f>
        <v>0</v>
      </c>
      <c r="L196" s="3076">
        <f>(INDEX(ST_CAPACIDAD_GENERACION_COMBUSTIBLES_FOSILES,GLP,_2045)-INDEX(ST_CAPACIDAD_GENERACION_COMBUSTIBLES_FOSILES,GLP,_2040))*COSTOS_CAPITAL_ELECTRICIDAD_GLP_USD_KW_ALTO/UNIDAD_KW_A_MW*COSTOS_2019_US_dolares_MMCOP</f>
        <v>0</v>
      </c>
      <c r="M196" s="3076">
        <f>(INDEX(ST_CAPACIDAD_GENERACION_COMBUSTIBLES_FOSILES,GLP,_2050)-INDEX(ST_CAPACIDAD_GENERACION_COMBUSTIBLES_FOSILES,GLP,_2045))*COSTOS_CAPITAL_ELECTRICIDAD_GLP_USD_KW_ALTO/UNIDAD_KW_A_MW*COSTOS_2019_US_dolares_MMCOP</f>
        <v>0</v>
      </c>
      <c r="N196" s="12"/>
    </row>
    <row r="197" spans="4:14" ht="15" customHeight="1">
      <c r="D197" s="12"/>
      <c r="E197" s="920" t="s">
        <v>538</v>
      </c>
      <c r="F197" s="447">
        <v>0</v>
      </c>
      <c r="G197" s="1407">
        <f>(INDEX(ST_CAPACIDAD_GENERACION_COMBUSTIBLES_FOSILES,TERMOELECTRICA_GAS_NATURAL_CCUS,_2020)-INDEX(ST_CAPACIDAD_GENERACION_COMBUSTIBLES_FOSILES,TERMOELECTRICA_GAS_NATURAL_CCUS,_2018))*COSTOS_CAPITAL_ELECTRICIDAD_TERMOELECTRICA_GN_CCUS_USD_KW_ALTO/UNIDAD_KW_A_MW*COSTOS_2019_US_dolares_MMCOP</f>
        <v>0</v>
      </c>
      <c r="H197" s="1407">
        <f>(INDEX(ST_CAPACIDAD_GENERACION_COMBUSTIBLES_FOSILES,TERMOELECTRICA_GAS_NATURAL_CCUS,_2025)-INDEX(ST_CAPACIDAD_GENERACION_COMBUSTIBLES_FOSILES,TERMOELECTRICA_GAS_NATURAL_CCUS,_2020))*COSTOS_CAPITAL_ELECTRICIDAD_TERMOELECTRICA_GN_CCUS_USD_KW_ALTO/UNIDAD_KW_A_MW*COSTOS_2019_US_dolares_MMCOP</f>
        <v>0</v>
      </c>
      <c r="I197" s="1407">
        <f>(INDEX(ST_CAPACIDAD_GENERACION_COMBUSTIBLES_FOSILES,TERMOELECTRICA_GAS_NATURAL_CCUS,_2030)-INDEX(ST_CAPACIDAD_GENERACION_COMBUSTIBLES_FOSILES,TERMOELECTRICA_GAS_NATURAL_CCUS,_2025))*COSTOS_CAPITAL_ELECTRICIDAD_TERMOELECTRICA_GN_CCUS_USD_KW_ALTO/UNIDAD_KW_A_MW*COSTOS_2019_US_dolares_MMCOP</f>
        <v>0</v>
      </c>
      <c r="J197" s="1407">
        <f>(INDEX(ST_CAPACIDAD_GENERACION_COMBUSTIBLES_FOSILES,TERMOELECTRICA_GAS_NATURAL_CCUS,_2035)-INDEX(ST_CAPACIDAD_GENERACION_COMBUSTIBLES_FOSILES,TERMOELECTRICA_GAS_NATURAL_CCUS,_2030))*COSTOS_CAPITAL_ELECTRICIDAD_TERMOELECTRICA_GN_CCUS_USD_KW_ALTO/UNIDAD_KW_A_MW*COSTOS_2019_US_dolares_MMCOP</f>
        <v>0</v>
      </c>
      <c r="K197" s="1407">
        <f>(INDEX(ST_CAPACIDAD_GENERACION_COMBUSTIBLES_FOSILES,TERMOELECTRICA_GAS_NATURAL_CCUS,_2040)-INDEX(ST_CAPACIDAD_GENERACION_COMBUSTIBLES_FOSILES,TERMOELECTRICA_GAS_NATURAL_CCUS,_2035))*COSTOS_CAPITAL_ELECTRICIDAD_TERMOELECTRICA_GN_CCUS_USD_KW_ALTO/UNIDAD_KW_A_MW*COSTOS_2019_US_dolares_MMCOP</f>
        <v>0</v>
      </c>
      <c r="L197" s="1407">
        <f>(INDEX(ST_CAPACIDAD_GENERACION_COMBUSTIBLES_FOSILES,TERMOELECTRICA_GAS_NATURAL_CCUS,_2045)-INDEX(ST_CAPACIDAD_GENERACION_COMBUSTIBLES_FOSILES,TERMOELECTRICA_GAS_NATURAL_CCUS,_2040))*COSTOS_CAPITAL_ELECTRICIDAD_TERMOELECTRICA_GN_CCUS_USD_KW_ALTO/UNIDAD_KW_A_MW*COSTOS_2019_US_dolares_MMCOP</f>
        <v>0</v>
      </c>
      <c r="M197" s="1407">
        <f>(INDEX(ST_CAPACIDAD_GENERACION_COMBUSTIBLES_FOSILES,TERMOELECTRICA_GAS_NATURAL_CCUS,_2050)-INDEX(ST_CAPACIDAD_GENERACION_COMBUSTIBLES_FOSILES,TERMOELECTRICA_GAS_NATURAL_CCUS,_2045))*COSTOS_CAPITAL_ELECTRICIDAD_TERMOELECTRICA_GN_CCUS_USD_KW_ALTO/UNIDAD_KW_A_MW*COSTOS_2019_US_dolares_MMCOP</f>
        <v>0</v>
      </c>
      <c r="N197" s="12"/>
    </row>
    <row r="198" spans="4:14" ht="15" customHeight="1">
      <c r="D198" s="12"/>
      <c r="E198" s="1019" t="s">
        <v>539</v>
      </c>
      <c r="F198" s="1174">
        <v>0</v>
      </c>
      <c r="G198" s="3077">
        <f>(INDEX(ST_CAPACIDAD_GENERACION_COMBUSTIBLES_FOSILES,TERMOELECTRICA_CARBON_CCUS,_2020)-INDEX(ST_CAPACIDAD_GENERACION_COMBUSTIBLES_FOSILES,TERMOELECTRICA_CARBON_CCUS,_2018))*COSTOS_CAPITAL_ELECTRICIDAD_TERMOELECTRICA_CARBON_CCUS_USD_KW_ALTO/UNIDAD_KW_A_MW*COSTOS_2019_US_dolares_MMCOP</f>
        <v>0</v>
      </c>
      <c r="H198" s="3077">
        <f>(INDEX(ST_CAPACIDAD_GENERACION_COMBUSTIBLES_FOSILES,TERMOELECTRICA_CARBON_CCUS,_2025)-INDEX(ST_CAPACIDAD_GENERACION_COMBUSTIBLES_FOSILES,TERMOELECTRICA_CARBON_CCUS,_2020))*COSTOS_CAPITAL_ELECTRICIDAD_TERMOELECTRICA_CARBON_CCUS_USD_KW_ALTO/UNIDAD_KW_A_MW*COSTOS_2019_US_dolares_MMCOP</f>
        <v>0</v>
      </c>
      <c r="I198" s="3077">
        <f>(INDEX(ST_CAPACIDAD_GENERACION_COMBUSTIBLES_FOSILES,TERMOELECTRICA_CARBON_CCUS,_2030)-INDEX(ST_CAPACIDAD_GENERACION_COMBUSTIBLES_FOSILES,TERMOELECTRICA_CARBON_CCUS,_2025))*COSTOS_CAPITAL_ELECTRICIDAD_TERMOELECTRICA_CARBON_CCUS_USD_KW_ALTO/UNIDAD_KW_A_MW*COSTOS_2019_US_dolares_MMCOP</f>
        <v>0</v>
      </c>
      <c r="J198" s="3077">
        <f>(INDEX(ST_CAPACIDAD_GENERACION_COMBUSTIBLES_FOSILES,TERMOELECTRICA_CARBON_CCUS,_2035)-INDEX(ST_CAPACIDAD_GENERACION_COMBUSTIBLES_FOSILES,TERMOELECTRICA_CARBON_CCUS,_2030))*COSTOS_CAPITAL_ELECTRICIDAD_TERMOELECTRICA_CARBON_CCUS_USD_KW_ALTO/UNIDAD_KW_A_MW*COSTOS_2019_US_dolares_MMCOP</f>
        <v>0</v>
      </c>
      <c r="K198" s="3077">
        <f>(INDEX(ST_CAPACIDAD_GENERACION_COMBUSTIBLES_FOSILES,TERMOELECTRICA_CARBON_CCUS,_2040)-INDEX(ST_CAPACIDAD_GENERACION_COMBUSTIBLES_FOSILES,TERMOELECTRICA_CARBON_CCUS,_2035))*COSTOS_CAPITAL_ELECTRICIDAD_TERMOELECTRICA_CARBON_CCUS_USD_KW_ALTO/UNIDAD_KW_A_MW*COSTOS_2019_US_dolares_MMCOP</f>
        <v>0</v>
      </c>
      <c r="L198" s="3077">
        <f>(INDEX(ST_CAPACIDAD_GENERACION_COMBUSTIBLES_FOSILES,TERMOELECTRICA_CARBON_CCUS,_2045)-INDEX(ST_CAPACIDAD_GENERACION_COMBUSTIBLES_FOSILES,TERMOELECTRICA_CARBON_CCUS,_2040))*COSTOS_CAPITAL_ELECTRICIDAD_TERMOELECTRICA_CARBON_CCUS_USD_KW_ALTO/UNIDAD_KW_A_MW*COSTOS_2019_US_dolares_MMCOP</f>
        <v>0</v>
      </c>
      <c r="M198" s="3077">
        <f>(INDEX(ST_CAPACIDAD_GENERACION_COMBUSTIBLES_FOSILES,TERMOELECTRICA_CARBON_CCUS,_2050)-INDEX(ST_CAPACIDAD_GENERACION_COMBUSTIBLES_FOSILES,TERMOELECTRICA_CARBON_CCUS,_2045))*COSTOS_CAPITAL_ELECTRICIDAD_TERMOELECTRICA_CARBON_CCUS_USD_KW_ALTO/UNIDAD_KW_A_MW*COSTOS_2019_US_dolares_MMCOP</f>
        <v>0</v>
      </c>
      <c r="N198" s="12"/>
    </row>
    <row r="199" spans="4:14" ht="15" customHeight="1">
      <c r="D199" s="12"/>
      <c r="E199" s="2677" t="s">
        <v>338</v>
      </c>
      <c r="F199" s="2679">
        <f t="shared" ref="F199:M199" si="7">SUM(F191:F198)</f>
        <v>0</v>
      </c>
      <c r="G199" s="3078">
        <f t="shared" si="7"/>
        <v>0</v>
      </c>
      <c r="H199" s="3078">
        <f t="shared" si="7"/>
        <v>4787.4592894449916</v>
      </c>
      <c r="I199" s="3078">
        <f t="shared" si="7"/>
        <v>0</v>
      </c>
      <c r="J199" s="3078">
        <f t="shared" si="7"/>
        <v>0</v>
      </c>
      <c r="K199" s="3078">
        <f t="shared" si="7"/>
        <v>0</v>
      </c>
      <c r="L199" s="3078">
        <f t="shared" si="7"/>
        <v>0</v>
      </c>
      <c r="M199" s="3078">
        <f t="shared" si="7"/>
        <v>0</v>
      </c>
      <c r="N199" s="12"/>
    </row>
    <row r="200" spans="4:14" ht="15" customHeight="1">
      <c r="D200" s="12"/>
      <c r="E200" s="920"/>
      <c r="F200" s="12"/>
      <c r="G200" s="12"/>
      <c r="H200" s="12"/>
      <c r="I200" s="12"/>
      <c r="J200" s="12"/>
      <c r="K200" s="12"/>
      <c r="L200" s="12"/>
      <c r="M200" s="12"/>
      <c r="N200" s="12"/>
    </row>
    <row r="201" spans="4:14" ht="15" customHeight="1">
      <c r="D201" s="12"/>
      <c r="E201" s="1019" t="s">
        <v>1737</v>
      </c>
      <c r="F201" s="12"/>
      <c r="G201" s="12"/>
      <c r="H201" s="12"/>
      <c r="I201" s="12"/>
      <c r="J201" s="12"/>
      <c r="K201" s="12"/>
      <c r="L201" s="12"/>
      <c r="M201" s="1874" t="s">
        <v>803</v>
      </c>
      <c r="N201" s="12"/>
    </row>
    <row r="202" spans="4:14" ht="15" customHeight="1">
      <c r="D202" s="12"/>
      <c r="E202" s="424" t="s">
        <v>859</v>
      </c>
      <c r="F202" s="424">
        <v>2018</v>
      </c>
      <c r="G202" s="424">
        <v>2020</v>
      </c>
      <c r="H202" s="424">
        <v>2025</v>
      </c>
      <c r="I202" s="424">
        <v>2030</v>
      </c>
      <c r="J202" s="424">
        <v>2035</v>
      </c>
      <c r="K202" s="424">
        <v>2040</v>
      </c>
      <c r="L202" s="424">
        <v>2045</v>
      </c>
      <c r="M202" s="424">
        <v>2050</v>
      </c>
      <c r="N202" s="12"/>
    </row>
    <row r="203" spans="4:14" ht="15" customHeight="1">
      <c r="D203" s="12"/>
      <c r="E203" s="2653" t="s">
        <v>542</v>
      </c>
      <c r="F203" s="12">
        <v>0</v>
      </c>
      <c r="G203" s="3076">
        <f>(INDEX(ST_CAPACIDAD_GENERACION_ENERGIAS_RENOVABLES_NO_CONVENCIONALES,HIDRO_GRANDES_CENTRALES_HIDROELECTRICAS,_2020)-INDEX(ST_CAPACIDAD_GENERACION_ENERGIAS_RENOVABLES_NO_CONVENCIONALES,HIDRO_GRANDES_CENTRALES_HIDROELECTRICAS,_2018))*COSTOS_CAPITAL_GRANDES_CENTRALES_HIDROELECTRICAS_USD_KW_ALTO/UNIDAD_KW_A_MW*COSTOS_2019_US_dolares_MMCOP</f>
        <v>0</v>
      </c>
      <c r="H203" s="3076">
        <f>(INDEX(ST_CAPACIDAD_GENERACION_ENERGIAS_RENOVABLES_NO_CONVENCIONALES,HIDRO_GRANDES_CENTRALES_HIDROELECTRICAS,_2025)-INDEX(ST_CAPACIDAD_GENERACION_ENERGIAS_RENOVABLES_NO_CONVENCIONALES,HIDRO_GRANDES_CENTRALES_HIDROELECTRICAS,_2020))*COSTOS_CAPITAL_GRANDES_CENTRALES_HIDROELECTRICAS_USD_KW_ALTO/UNIDAD_KW_A_MW*COSTOS_2019_US_dolares_MMCOP</f>
        <v>31630.572105285704</v>
      </c>
      <c r="I203" s="3076">
        <f>(INDEX(ST_CAPACIDAD_GENERACION_ENERGIAS_RENOVABLES_NO_CONVENCIONALES,HIDRO_GRANDES_CENTRALES_HIDROELECTRICAS,_2030)-INDEX(ST_CAPACIDAD_GENERACION_ENERGIAS_RENOVABLES_NO_CONVENCIONALES,HIDRO_GRANDES_CENTRALES_HIDROELECTRICAS,_2025))*COSTOS_CAPITAL_GRANDES_CENTRALES_HIDROELECTRICAS_USD_KW_ALTO/UNIDAD_KW_A_MW*COSTOS_2019_US_dolares_MMCOP</f>
        <v>0</v>
      </c>
      <c r="J203" s="3076">
        <f>(INDEX(ST_CAPACIDAD_GENERACION_ENERGIAS_RENOVABLES_NO_CONVENCIONALES,HIDRO_GRANDES_CENTRALES_HIDROELECTRICAS,_2035)-INDEX(ST_CAPACIDAD_GENERACION_ENERGIAS_RENOVABLES_NO_CONVENCIONALES,HIDRO_GRANDES_CENTRALES_HIDROELECTRICAS,_2030))*COSTOS_CAPITAL_GRANDES_CENTRALES_HIDROELECTRICAS_USD_KW_ALTO/UNIDAD_KW_A_MW*COSTOS_2019_US_dolares_MMCOP</f>
        <v>0</v>
      </c>
      <c r="K203" s="3076">
        <f>(INDEX(ST_CAPACIDAD_GENERACION_ENERGIAS_RENOVABLES_NO_CONVENCIONALES,HIDRO_GRANDES_CENTRALES_HIDROELECTRICAS,_2040)-INDEX(ST_CAPACIDAD_GENERACION_ENERGIAS_RENOVABLES_NO_CONVENCIONALES,HIDRO_GRANDES_CENTRALES_HIDROELECTRICAS,_2035))*COSTOS_CAPITAL_GRANDES_CENTRALES_HIDROELECTRICAS_USD_KW_ALTO/UNIDAD_KW_A_MW*COSTOS_2019_US_dolares_MMCOP</f>
        <v>0</v>
      </c>
      <c r="L203" s="3076">
        <f>(INDEX(ST_CAPACIDAD_GENERACION_ENERGIAS_RENOVABLES_NO_CONVENCIONALES,HIDRO_GRANDES_CENTRALES_HIDROELECTRICAS,_2045)-INDEX(ST_CAPACIDAD_GENERACION_ENERGIAS_RENOVABLES_NO_CONVENCIONALES,HIDRO_GRANDES_CENTRALES_HIDROELECTRICAS,_2040))*COSTOS_CAPITAL_GRANDES_CENTRALES_HIDROELECTRICAS_USD_KW_ALTO/UNIDAD_KW_A_MW*COSTOS_2019_US_dolares_MMCOP</f>
        <v>0</v>
      </c>
      <c r="M203" s="3076">
        <f>(INDEX(ST_CAPACIDAD_GENERACION_ENERGIAS_RENOVABLES_NO_CONVENCIONALES,HIDRO_GRANDES_CENTRALES_HIDROELECTRICAS,_2050)-INDEX(ST_CAPACIDAD_GENERACION_ENERGIAS_RENOVABLES_NO_CONVENCIONALES,HIDRO_GRANDES_CENTRALES_HIDROELECTRICAS,_2045))*COSTOS_CAPITAL_GRANDES_CENTRALES_HIDROELECTRICAS_USD_KW_ALTO/UNIDAD_KW_A_MW*COSTOS_2019_US_dolares_MMCOP</f>
        <v>10543.524035095239</v>
      </c>
      <c r="N203" s="12"/>
    </row>
    <row r="204" spans="4:14" ht="15" customHeight="1">
      <c r="D204" s="12"/>
      <c r="E204" s="920" t="s">
        <v>543</v>
      </c>
      <c r="F204" s="12">
        <v>0</v>
      </c>
      <c r="G204" s="3076">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ALTO/UNIDAD_KW_A_MW*COSTOS_2019_US_dolares_MMCOP</f>
        <v>0</v>
      </c>
      <c r="H204" s="3076">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ALTO/UNIDAD_KW_A_MW*COSTOS_2019_US_dolares_MMCOP</f>
        <v>0</v>
      </c>
      <c r="I204" s="3076">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ALTO/UNIDAD_KW_A_MW*COSTOS_2019_US_dolares_MMCOP</f>
        <v>0</v>
      </c>
      <c r="J204" s="3076">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ALTO/UNIDAD_KW_A_MW*COSTOS_2019_US_dolares_MMCOP</f>
        <v>0</v>
      </c>
      <c r="K204" s="3076">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ALTO/UNIDAD_KW_A_MW*COSTOS_2019_US_dolares_MMCOP</f>
        <v>0</v>
      </c>
      <c r="L204" s="3076">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ALTO/UNIDAD_KW_A_MW*COSTOS_2019_US_dolares_MMCOP</f>
        <v>0</v>
      </c>
      <c r="M204" s="3076">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ALTO/UNIDAD_KW_A_MW*COSTOS_2019_US_dolares_MMCOP</f>
        <v>0</v>
      </c>
      <c r="N204" s="12"/>
    </row>
    <row r="205" spans="4:14" ht="15" customHeight="1">
      <c r="D205" s="12"/>
      <c r="E205" s="920" t="s">
        <v>1727</v>
      </c>
      <c r="F205" s="12">
        <v>0</v>
      </c>
      <c r="G205" s="3076">
        <f>(INDEX(ST_CAPACIDAD_GENERACION_ENERGIAS_RENOVABLES_NO_CONVENCIONALES,SOLAR_DISTRIBUIDA_TERCIARIO,_2020)-INDEX(ST_CAPACIDAD_GENERACION_ENERGIAS_RENOVABLES_NO_CONVENCIONALES,SOLAR_DISTRIBUIDA_TERCIARIO,_2018))*COSTOS_CAPITAL_SOLAR_TERMICA_USD_KW_ALTO/UNIDAD_KW_A_MW*COSTOS_2019_US_dolares_MMCOP</f>
        <v>0</v>
      </c>
      <c r="H205" s="3076">
        <f>(INDEX(ST_CAPACIDAD_GENERACION_ENERGIAS_RENOVABLES_NO_CONVENCIONALES,SOLAR_DISTRIBUIDA_TERCIARIO,_2025)-INDEX(ST_CAPACIDAD_GENERACION_ENERGIAS_RENOVABLES_NO_CONVENCIONALES,SOLAR_DISTRIBUIDA_TERCIARIO,_2020))*COSTOS_CAPITAL_SOLAR_TERMICA_USD_KW_ALTO/UNIDAD_KW_A_MW*COSTOS_2019_US_dolares_MMCOP</f>
        <v>0</v>
      </c>
      <c r="I205" s="3076">
        <f>(INDEX(ST_CAPACIDAD_GENERACION_ENERGIAS_RENOVABLES_NO_CONVENCIONALES,SOLAR_DISTRIBUIDA_TERCIARIO,_2030)-INDEX(ST_CAPACIDAD_GENERACION_ENERGIAS_RENOVABLES_NO_CONVENCIONALES,SOLAR_DISTRIBUIDA_TERCIARIO,_2025))*COSTOS_CAPITAL_SOLAR_TERMICA_USD_KW_ALTO/UNIDAD_KW_A_MW*COSTOS_2019_US_dolares_MMCOP</f>
        <v>0</v>
      </c>
      <c r="J205" s="3076">
        <f>(INDEX(ST_CAPACIDAD_GENERACION_ENERGIAS_RENOVABLES_NO_CONVENCIONALES,SOLAR_DISTRIBUIDA_TERCIARIO,_2035)-INDEX(ST_CAPACIDAD_GENERACION_ENERGIAS_RENOVABLES_NO_CONVENCIONALES,SOLAR_DISTRIBUIDA_TERCIARIO,_2030))*COSTOS_CAPITAL_SOLAR_TERMICA_USD_KW_ALTO/UNIDAD_KW_A_MW*COSTOS_2019_US_dolares_MMCOP</f>
        <v>12561.236768519797</v>
      </c>
      <c r="K205" s="3076">
        <f>(INDEX(ST_CAPACIDAD_GENERACION_ENERGIAS_RENOVABLES_NO_CONVENCIONALES,SOLAR_DISTRIBUIDA_TERCIARIO,_2040)-INDEX(ST_CAPACIDAD_GENERACION_ENERGIAS_RENOVABLES_NO_CONVENCIONALES,SOLAR_DISTRIBUIDA_TERCIARIO,_2035))*COSTOS_CAPITAL_SOLAR_TERMICA_USD_KW_ALTO/UNIDAD_KW_A_MW*COSTOS_2019_US_dolares_MMCOP</f>
        <v>0</v>
      </c>
      <c r="L205" s="3076">
        <f>(INDEX(ST_CAPACIDAD_GENERACION_ENERGIAS_RENOVABLES_NO_CONVENCIONALES,SOLAR_DISTRIBUIDA_TERCIARIO,_2045)-INDEX(ST_CAPACIDAD_GENERACION_ENERGIAS_RENOVABLES_NO_CONVENCIONALES,SOLAR_DISTRIBUIDA_TERCIARIO,_2040))*COSTOS_CAPITAL_SOLAR_TERMICA_USD_KW_ALTO/UNIDAD_KW_A_MW*COSTOS_2019_US_dolares_MMCOP</f>
        <v>0</v>
      </c>
      <c r="M205" s="3076">
        <f>(INDEX(ST_CAPACIDAD_GENERACION_ENERGIAS_RENOVABLES_NO_CONVENCIONALES,SOLAR_DISTRIBUIDA_TERCIARIO,_2050)-INDEX(ST_CAPACIDAD_GENERACION_ENERGIAS_RENOVABLES_NO_CONVENCIONALES,SOLAR_DISTRIBUIDA_TERCIARIO,_2045))*COSTOS_CAPITAL_SOLAR_TERMICA_USD_KW_ALTO/UNIDAD_KW_A_MW*COSTOS_2019_US_dolares_MMCOP</f>
        <v>0</v>
      </c>
      <c r="N205" s="12"/>
    </row>
    <row r="206" spans="4:14" ht="15" customHeight="1">
      <c r="D206" s="12"/>
      <c r="E206" s="920" t="s">
        <v>545</v>
      </c>
      <c r="F206" s="12">
        <v>0</v>
      </c>
      <c r="G206" s="3076">
        <f>(INDEX(ST_CAPACIDAD_GENERACION_ENERGIAS_RENOVABLES_NO_CONVENCIONALES,SOLAR_SOLAR_FOTOVOLTAICA,_2020)-INDEX(ST_CAPACIDAD_GENERACION_ENERGIAS_RENOVABLES_NO_CONVENCIONALES,SOLAR_SOLAR_FOTOVOLTAICA,_2018))*COSTOS_CAPITAL_SOLAR_FOTOVOLTAICA_USD_KW_ALTO/UNIDAD_KW_A_MW*COSTOS_2019_US_dolares_MMCOP</f>
        <v>0</v>
      </c>
      <c r="H206" s="3076">
        <f>(INDEX(ST_CAPACIDAD_GENERACION_ENERGIAS_RENOVABLES_NO_CONVENCIONALES,SOLAR_SOLAR_FOTOVOLTAICA,_2025)-INDEX(ST_CAPACIDAD_GENERACION_ENERGIAS_RENOVABLES_NO_CONVENCIONALES,SOLAR_SOLAR_FOTOVOLTAICA,_2020))*COSTOS_CAPITAL_SOLAR_FOTOVOLTAICA_USD_KW_ALTO/UNIDAD_KW_A_MW*COSTOS_2019_US_dolares_MMCOP</f>
        <v>5035.9773920151201</v>
      </c>
      <c r="I206" s="3076">
        <f>(INDEX(ST_CAPACIDAD_GENERACION_ENERGIAS_RENOVABLES_NO_CONVENCIONALES,SOLAR_SOLAR_FOTOVOLTAICA,_2030)-INDEX(ST_CAPACIDAD_GENERACION_ENERGIAS_RENOVABLES_NO_CONVENCIONALES,SOLAR_SOLAR_FOTOVOLTAICA,_2025))*COSTOS_CAPITAL_SOLAR_FOTOVOLTAICA_USD_KW_ALTO/UNIDAD_KW_A_MW*COSTOS_2019_US_dolares_MMCOP</f>
        <v>0</v>
      </c>
      <c r="J206" s="3076">
        <f>(INDEX(ST_CAPACIDAD_GENERACION_ENERGIAS_RENOVABLES_NO_CONVENCIONALES,SOLAR_SOLAR_FOTOVOLTAICA,_2035)-INDEX(ST_CAPACIDAD_GENERACION_ENERGIAS_RENOVABLES_NO_CONVENCIONALES,SOLAR_SOLAR_FOTOVOLTAICA,_2030))*COSTOS_CAPITAL_SOLAR_FOTOVOLTAICA_USD_KW_ALTO/UNIDAD_KW_A_MW*COSTOS_2019_US_dolares_MMCOP</f>
        <v>5035.9773920151201</v>
      </c>
      <c r="K206" s="3076">
        <f>(INDEX(ST_CAPACIDAD_GENERACION_ENERGIAS_RENOVABLES_NO_CONVENCIONALES,SOLAR_SOLAR_FOTOVOLTAICA,_2040)-INDEX(ST_CAPACIDAD_GENERACION_ENERGIAS_RENOVABLES_NO_CONVENCIONALES,SOLAR_SOLAR_FOTOVOLTAICA,_2035))*COSTOS_CAPITAL_SOLAR_FOTOVOLTAICA_USD_KW_ALTO/UNIDAD_KW_A_MW*COSTOS_2019_US_dolares_MMCOP</f>
        <v>10071.95478403024</v>
      </c>
      <c r="L206" s="3076">
        <f>(INDEX(ST_CAPACIDAD_GENERACION_ENERGIAS_RENOVABLES_NO_CONVENCIONALES,SOLAR_SOLAR_FOTOVOLTAICA,_2045)-INDEX(ST_CAPACIDAD_GENERACION_ENERGIAS_RENOVABLES_NO_CONVENCIONALES,SOLAR_SOLAR_FOTOVOLTAICA,_2040))*COSTOS_CAPITAL_SOLAR_FOTOVOLTAICA_USD_KW_ALTO/UNIDAD_KW_A_MW*COSTOS_2019_US_dolares_MMCOP</f>
        <v>15107.932176045355</v>
      </c>
      <c r="M206" s="3076">
        <f>(INDEX(ST_CAPACIDAD_GENERACION_ENERGIAS_RENOVABLES_NO_CONVENCIONALES,SOLAR_SOLAR_FOTOVOLTAICA,_2050)-INDEX(ST_CAPACIDAD_GENERACION_ENERGIAS_RENOVABLES_NO_CONVENCIONALES,SOLAR_SOLAR_FOTOVOLTAICA,_2045))*COSTOS_CAPITAL_SOLAR_FOTOVOLTAICA_USD_KW_ALTO/UNIDAD_KW_A_MW*COSTOS_2019_US_dolares_MMCOP</f>
        <v>10071.954784030238</v>
      </c>
      <c r="N206" s="12"/>
    </row>
    <row r="207" spans="4:14" ht="15" customHeight="1">
      <c r="D207" s="12"/>
      <c r="E207" s="920" t="s">
        <v>546</v>
      </c>
      <c r="F207" s="12">
        <v>0</v>
      </c>
      <c r="G207" s="3076">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H207" s="3076">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I207" s="3076">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J207" s="3076">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K207" s="3076">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L207" s="3076">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M207" s="3076">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N207" s="12"/>
    </row>
    <row r="208" spans="4:14" ht="15" customHeight="1">
      <c r="D208" s="12"/>
      <c r="E208" s="920" t="s">
        <v>547</v>
      </c>
      <c r="F208" s="12">
        <v>0</v>
      </c>
      <c r="G208" s="3076">
        <f>(INDEX(ST_CAPACIDAD_GENERACION_ENERGIAS_RENOVABLES_NO_CONVENCIONALES,EOLICA_EOLICA_COSTA_ADENTRO_RESTO_PAIS,_2020)-INDEX(ST_CAPACIDAD_GENERACION_ENERGIAS_RENOVABLES_NO_CONVENCIONALES,EOLICA_EOLICA_COSTA_ADENTRO_RESTO_PAIS,_2018))*COSTOS_CAPITAL_EOLICA_COSTA_AFUERA_USD_KW_ALTO/UNIDAD_KW_A_MW*COSTOS_2019_US_dolares_MMCOP</f>
        <v>0</v>
      </c>
      <c r="H208" s="3076">
        <f>(INDEX(ST_CAPACIDAD_GENERACION_ENERGIAS_RENOVABLES_NO_CONVENCIONALES,EOLICA_EOLICA_COSTA_ADENTRO_RESTO_PAIS,_2025)-INDEX(ST_CAPACIDAD_GENERACION_ENERGIAS_RENOVABLES_NO_CONVENCIONALES,EOLICA_EOLICA_COSTA_ADENTRO_RESTO_PAIS,_2020))*COSTOS_CAPITAL_EOLICA_COSTA_AFUERA_USD_KW_ALTO/UNIDAD_KW_A_MW*COSTOS_2019_US_dolares_MMCOP</f>
        <v>0</v>
      </c>
      <c r="I208" s="3076">
        <f>(INDEX(ST_CAPACIDAD_GENERACION_ENERGIAS_RENOVABLES_NO_CONVENCIONALES,EOLICA_EOLICA_COSTA_ADENTRO_RESTO_PAIS,_2030)-INDEX(ST_CAPACIDAD_GENERACION_ENERGIAS_RENOVABLES_NO_CONVENCIONALES,EOLICA_EOLICA_COSTA_ADENTRO_RESTO_PAIS,_2025))*COSTOS_CAPITAL_EOLICA_COSTA_AFUERA_USD_KW_ALTO/UNIDAD_KW_A_MW*COSTOS_2019_US_dolares_MMCOP</f>
        <v>0</v>
      </c>
      <c r="J208" s="3076">
        <f>(INDEX(ST_CAPACIDAD_GENERACION_ENERGIAS_RENOVABLES_NO_CONVENCIONALES,EOLICA_EOLICA_COSTA_ADENTRO_RESTO_PAIS,_2035)-INDEX(ST_CAPACIDAD_GENERACION_ENERGIAS_RENOVABLES_NO_CONVENCIONALES,EOLICA_EOLICA_COSTA_ADENTRO_RESTO_PAIS,_2030))*COSTOS_CAPITAL_EOLICA_COSTA_AFUERA_USD_KW_ALTO/UNIDAD_KW_A_MW*COSTOS_2019_US_dolares_MMCOP</f>
        <v>0</v>
      </c>
      <c r="K208" s="3076">
        <f>(INDEX(ST_CAPACIDAD_GENERACION_ENERGIAS_RENOVABLES_NO_CONVENCIONALES,EOLICA_EOLICA_COSTA_ADENTRO_RESTO_PAIS,_2040)-INDEX(ST_CAPACIDAD_GENERACION_ENERGIAS_RENOVABLES_NO_CONVENCIONALES,EOLICA_EOLICA_COSTA_ADENTRO_RESTO_PAIS,_2035))*COSTOS_CAPITAL_EOLICA_COSTA_AFUERA_USD_KW_ALTO/UNIDAD_KW_A_MW*COSTOS_2019_US_dolares_MMCOP</f>
        <v>0</v>
      </c>
      <c r="L208" s="3076">
        <f>(INDEX(ST_CAPACIDAD_GENERACION_ENERGIAS_RENOVABLES_NO_CONVENCIONALES,EOLICA_EOLICA_COSTA_ADENTRO_RESTO_PAIS,_2045)-INDEX(ST_CAPACIDAD_GENERACION_ENERGIAS_RENOVABLES_NO_CONVENCIONALES,EOLICA_EOLICA_COSTA_ADENTRO_RESTO_PAIS,_2040))*COSTOS_CAPITAL_EOLICA_COSTA_AFUERA_USD_KW_ALTO/UNIDAD_KW_A_MW*COSTOS_2019_US_dolares_MMCOP</f>
        <v>42085.67946890551</v>
      </c>
      <c r="M208" s="3076">
        <f>(INDEX(ST_CAPACIDAD_GENERACION_ENERGIAS_RENOVABLES_NO_CONVENCIONALES,EOLICA_EOLICA_COSTA_ADENTRO_RESTO_PAIS,_2050)-INDEX(ST_CAPACIDAD_GENERACION_ENERGIAS_RENOVABLES_NO_CONVENCIONALES,EOLICA_EOLICA_COSTA_ADENTRO_RESTO_PAIS,_2045))*COSTOS_CAPITAL_EOLICA_COSTA_AFUERA_USD_KW_ALTO/UNIDAD_KW_A_MW*COSTOS_2019_US_dolares_MMCOP</f>
        <v>0</v>
      </c>
      <c r="N208" s="12"/>
    </row>
    <row r="209" spans="4:14" ht="15" customHeight="1">
      <c r="D209" s="12"/>
      <c r="E209" s="920" t="s">
        <v>548</v>
      </c>
      <c r="F209" s="12">
        <v>0</v>
      </c>
      <c r="G209" s="3076">
        <f>(INDEX(ST_CAPACIDAD_GENERACION_ENERGIAS_RENOVABLES_NO_CONVENCIONALES,EOLICA_EOLICA_COSTA_AFUERA,_2020)-INDEX(ST_CAPACIDAD_GENERACION_ENERGIAS_RENOVABLES_NO_CONVENCIONALES,EOLICA_EOLICA_COSTA_AFUERA,_2018))*COSTOS_CAPITAL_EOLICA_COSTA_AFUERA_USD_KW_ALTO/UNIDAD_KW_A_MW*COSTOS_2019_US_dolares_MMCOP</f>
        <v>0</v>
      </c>
      <c r="H209" s="3076">
        <f>(INDEX(ST_CAPACIDAD_GENERACION_ENERGIAS_RENOVABLES_NO_CONVENCIONALES,EOLICA_EOLICA_COSTA_AFUERA,_2025)-INDEX(ST_CAPACIDAD_GENERACION_ENERGIAS_RENOVABLES_NO_CONVENCIONALES,EOLICA_EOLICA_COSTA_AFUERA,_2020))*COSTOS_CAPITAL_EOLICA_COSTA_AFUERA_USD_KW_ALTO/UNIDAD_KW_A_MW*COSTOS_2019_US_dolares_MMCOP</f>
        <v>0</v>
      </c>
      <c r="I209" s="3076">
        <f>(INDEX(ST_CAPACIDAD_GENERACION_ENERGIAS_RENOVABLES_NO_CONVENCIONALES,EOLICA_EOLICA_COSTA_AFUERA,_2030)-INDEX(ST_CAPACIDAD_GENERACION_ENERGIAS_RENOVABLES_NO_CONVENCIONALES,EOLICA_EOLICA_COSTA_AFUERA,_2025))*COSTOS_CAPITAL_EOLICA_COSTA_AFUERA_USD_KW_ALTO/UNIDAD_KW_A_MW*COSTOS_2019_US_dolares_MMCOP</f>
        <v>0</v>
      </c>
      <c r="J209" s="3076">
        <f>(INDEX(ST_CAPACIDAD_GENERACION_ENERGIAS_RENOVABLES_NO_CONVENCIONALES,EOLICA_EOLICA_COSTA_AFUERA,_2035)-INDEX(ST_CAPACIDAD_GENERACION_ENERGIAS_RENOVABLES_NO_CONVENCIONALES,EOLICA_EOLICA_COSTA_AFUERA,_2030))*COSTOS_CAPITAL_EOLICA_COSTA_AFUERA_USD_KW_ALTO/UNIDAD_KW_A_MW*COSTOS_2019_US_dolares_MMCOP</f>
        <v>0</v>
      </c>
      <c r="K209" s="3076">
        <f>(INDEX(ST_CAPACIDAD_GENERACION_ENERGIAS_RENOVABLES_NO_CONVENCIONALES,EOLICA_EOLICA_COSTA_AFUERA,_2040)-INDEX(ST_CAPACIDAD_GENERACION_ENERGIAS_RENOVABLES_NO_CONVENCIONALES,EOLICA_EOLICA_COSTA_AFUERA,_2035))*COSTOS_CAPITAL_EOLICA_COSTA_AFUERA_USD_KW_ALTO/UNIDAD_KW_A_MW*COSTOS_2019_US_dolares_MMCOP</f>
        <v>0</v>
      </c>
      <c r="L209" s="3076">
        <f>(INDEX(ST_CAPACIDAD_GENERACION_ENERGIAS_RENOVABLES_NO_CONVENCIONALES,EOLICA_EOLICA_COSTA_AFUERA,_2045)-INDEX(ST_CAPACIDAD_GENERACION_ENERGIAS_RENOVABLES_NO_CONVENCIONALES,EOLICA_EOLICA_COSTA_AFUERA,_2040))*COSTOS_CAPITAL_EOLICA_COSTA_AFUERA_USD_KW_ALTO/UNIDAD_KW_A_MW*COSTOS_2019_US_dolares_MMCOP</f>
        <v>0</v>
      </c>
      <c r="M209" s="3076">
        <f>(INDEX(ST_CAPACIDAD_GENERACION_ENERGIAS_RENOVABLES_NO_CONVENCIONALES,EOLICA_EOLICA_COSTA_AFUERA,_2050)-INDEX(ST_CAPACIDAD_GENERACION_ENERGIAS_RENOVABLES_NO_CONVENCIONALES,EOLICA_EOLICA_COSTA_AFUERA,_2045))*COSTOS_CAPITAL_EOLICA_COSTA_AFUERA_USD_KW_ALTO/UNIDAD_KW_A_MW*COSTOS_2019_US_dolares_MMCOP</f>
        <v>0</v>
      </c>
      <c r="N209" s="12"/>
    </row>
    <row r="210" spans="4:14" ht="15" customHeight="1">
      <c r="D210" s="12"/>
      <c r="E210" s="920" t="s">
        <v>549</v>
      </c>
      <c r="F210" s="12">
        <v>0</v>
      </c>
      <c r="G210" s="3076">
        <f>(INDEX(ST_CAPACIDAD_GENERACION_ENERGIAS_RENOVABLES_NO_CONVENCIONALES,HIDROGENO_VERDE,_2020)-INDEX(ST_CAPACIDAD_GENERACION_ENERGIAS_RENOVABLES_NO_CONVENCIONALES,HIDROGENO_VERDE,_2018))*COSTOS_CAPITAL_H2_USD_KW_ALTO/UNIDAD_KW_A_MW*COSTOS_2019_US_dolares_MMCOP</f>
        <v>0</v>
      </c>
      <c r="H210" s="3076">
        <f>(INDEX(ST_CAPACIDAD_GENERACION_ENERGIAS_RENOVABLES_NO_CONVENCIONALES,HIDROGENO_VERDE,_2025)-INDEX(ST_CAPACIDAD_GENERACION_ENERGIAS_RENOVABLES_NO_CONVENCIONALES,HIDROGENO_VERDE,_2020))*COSTOS_CAPITAL_H2_USD_KW_ALTO/UNIDAD_KW_A_MW*COSTOS_2019_US_dolares_MMCOP</f>
        <v>0</v>
      </c>
      <c r="I210" s="3076">
        <f>(INDEX(ST_CAPACIDAD_GENERACION_ENERGIAS_RENOVABLES_NO_CONVENCIONALES,HIDROGENO_VERDE,_2030)-INDEX(ST_CAPACIDAD_GENERACION_ENERGIAS_RENOVABLES_NO_CONVENCIONALES,HIDROGENO_VERDE,_2025))*COSTOS_CAPITAL_H2_USD_KW_ALTO/UNIDAD_KW_A_MW*COSTOS_2019_US_dolares_MMCOP</f>
        <v>0</v>
      </c>
      <c r="J210" s="3076">
        <f>(INDEX(ST_CAPACIDAD_GENERACION_ENERGIAS_RENOVABLES_NO_CONVENCIONALES,HIDROGENO_VERDE,_2035)-INDEX(ST_CAPACIDAD_GENERACION_ENERGIAS_RENOVABLES_NO_CONVENCIONALES,HIDROGENO_VERDE,_2030))*COSTOS_CAPITAL_H2_USD_KW_ALTO/UNIDAD_KW_A_MW*COSTOS_2019_US_dolares_MMCOP</f>
        <v>0</v>
      </c>
      <c r="K210" s="3076">
        <f>(INDEX(ST_CAPACIDAD_GENERACION_ENERGIAS_RENOVABLES_NO_CONVENCIONALES,HIDROGENO_VERDE,_2040)-INDEX(ST_CAPACIDAD_GENERACION_ENERGIAS_RENOVABLES_NO_CONVENCIONALES,HIDROGENO_VERDE,_2035))*COSTOS_CAPITAL_H2_USD_KW_ALTO/UNIDAD_KW_A_MW*COSTOS_2019_US_dolares_MMCOP</f>
        <v>0</v>
      </c>
      <c r="L210" s="3076">
        <f>(INDEX(ST_CAPACIDAD_GENERACION_ENERGIAS_RENOVABLES_NO_CONVENCIONALES,HIDROGENO_VERDE,_2045)-INDEX(ST_CAPACIDAD_GENERACION_ENERGIAS_RENOVABLES_NO_CONVENCIONALES,HIDROGENO_VERDE,_2040))*COSTOS_CAPITAL_H2_USD_KW_ALTO/UNIDAD_KW_A_MW*COSTOS_2019_US_dolares_MMCOP</f>
        <v>0</v>
      </c>
      <c r="M210" s="3076">
        <f>(INDEX(ST_CAPACIDAD_GENERACION_ENERGIAS_RENOVABLES_NO_CONVENCIONALES,HIDROGENO_VERDE,_2050)-INDEX(ST_CAPACIDAD_GENERACION_ENERGIAS_RENOVABLES_NO_CONVENCIONALES,HIDROGENO_VERDE,_2045))*COSTOS_CAPITAL_H2_USD_KW_ALTO/UNIDAD_KW_A_MW*COSTOS_2019_US_dolares_MMCOP</f>
        <v>0</v>
      </c>
      <c r="N210" s="12"/>
    </row>
    <row r="211" spans="4:14" ht="15" customHeight="1">
      <c r="D211" s="12"/>
      <c r="E211" s="920" t="s">
        <v>162</v>
      </c>
      <c r="F211" s="12">
        <v>0</v>
      </c>
      <c r="G211" s="3076">
        <f>(INDEX(ST_CAPACIDAD_GENERACION_ENERGIAS_RENOVABLES_NO_CONVENCIONALES,BIOMASA,_2020)-INDEX(ST_CAPACIDAD_GENERACION_ENERGIAS_RENOVABLES_NO_CONVENCIONALES,BIOMASA,_2018))*COSTOS_CAPITAL_BIOMASA_USD_KW_ALTO/UNIDAD_KW_A_MW*COSTOS_2019_US_dolares_MMCOP</f>
        <v>0</v>
      </c>
      <c r="H211" s="3076">
        <f>(INDEX(ST_CAPACIDAD_GENERACION_ENERGIAS_RENOVABLES_NO_CONVENCIONALES,BIOMASA,_2025)-INDEX(ST_CAPACIDAD_GENERACION_ENERGIAS_RENOVABLES_NO_CONVENCIONALES,BIOMASA,_2020))*COSTOS_CAPITAL_BIOMASA_USD_KW_ALTO/UNIDAD_KW_A_MW*COSTOS_2019_US_dolares_MMCOP</f>
        <v>0</v>
      </c>
      <c r="I211" s="3076">
        <f>(INDEX(ST_CAPACIDAD_GENERACION_ENERGIAS_RENOVABLES_NO_CONVENCIONALES,BIOMASA,_2030)-INDEX(ST_CAPACIDAD_GENERACION_ENERGIAS_RENOVABLES_NO_CONVENCIONALES,BIOMASA,_2025))*COSTOS_CAPITAL_BIOMASA_USD_KW_ALTO/UNIDAD_KW_A_MW*COSTOS_2019_US_dolares_MMCOP</f>
        <v>0</v>
      </c>
      <c r="J211" s="3076">
        <f>(INDEX(ST_CAPACIDAD_GENERACION_ENERGIAS_RENOVABLES_NO_CONVENCIONALES,BIOMASA,_2035)-INDEX(ST_CAPACIDAD_GENERACION_ENERGIAS_RENOVABLES_NO_CONVENCIONALES,BIOMASA,_2030))*COSTOS_CAPITAL_BIOMASA_USD_KW_ALTO/UNIDAD_KW_A_MW*COSTOS_2019_US_dolares_MMCOP</f>
        <v>0</v>
      </c>
      <c r="K211" s="3076">
        <f>(INDEX(ST_CAPACIDAD_GENERACION_ENERGIAS_RENOVABLES_NO_CONVENCIONALES,BIOMASA,_2040)-INDEX(ST_CAPACIDAD_GENERACION_ENERGIAS_RENOVABLES_NO_CONVENCIONALES,BIOMASA,_2035))*COSTOS_CAPITAL_BIOMASA_USD_KW_ALTO/UNIDAD_KW_A_MW*COSTOS_2019_US_dolares_MMCOP</f>
        <v>0</v>
      </c>
      <c r="L211" s="3076">
        <f>(INDEX(ST_CAPACIDAD_GENERACION_ENERGIAS_RENOVABLES_NO_CONVENCIONALES,BIOMASA,_2045)-INDEX(ST_CAPACIDAD_GENERACION_ENERGIAS_RENOVABLES_NO_CONVENCIONALES,BIOMASA,_2040))*COSTOS_CAPITAL_BIOMASA_USD_KW_ALTO/UNIDAD_KW_A_MW*COSTOS_2019_US_dolares_MMCOP</f>
        <v>0</v>
      </c>
      <c r="M211" s="3076">
        <f>(INDEX(ST_CAPACIDAD_GENERACION_ENERGIAS_RENOVABLES_NO_CONVENCIONALES,BIOMASA,_2050)-INDEX(ST_CAPACIDAD_GENERACION_ENERGIAS_RENOVABLES_NO_CONVENCIONALES,BIOMASA,_2045))*COSTOS_CAPITAL_BIOMASA_USD_KW_ALTO/UNIDAD_KW_A_MW*COSTOS_2019_US_dolares_MMCOP</f>
        <v>0</v>
      </c>
      <c r="N211" s="12"/>
    </row>
    <row r="212" spans="4:14" ht="15" customHeight="1">
      <c r="D212" s="12"/>
      <c r="E212" s="1019" t="s">
        <v>504</v>
      </c>
      <c r="F212" s="275">
        <v>0</v>
      </c>
      <c r="G212" s="2668">
        <f>(INDEX(ST_CAPACIDAD_GENERACION_ENERGIAS_RENOVABLES_NO_CONVENCIONALES,BAGAZO,_2020)-INDEX(ST_CAPACIDAD_GENERACION_ENERGIAS_RENOVABLES_NO_CONVENCIONALES,BAGAZO,_2018))*COSTOS_CAPITAL_BAGAZO_USD_KW_ALTO/UNIDAD_KW_A_MW*COSTOS_2019_US_dolares_MMCOP</f>
        <v>0</v>
      </c>
      <c r="H212" s="2668">
        <f>(INDEX(ST_CAPACIDAD_GENERACION_ENERGIAS_RENOVABLES_NO_CONVENCIONALES,BAGAZO,_2025)-INDEX(ST_CAPACIDAD_GENERACION_ENERGIAS_RENOVABLES_NO_CONVENCIONALES,BAGAZO,_2020))*COSTOS_CAPITAL_BAGAZO_USD_KW_ALTO/UNIDAD_KW_A_MW*COSTOS_2019_US_dolares_MMCOP</f>
        <v>0</v>
      </c>
      <c r="I212" s="2668">
        <f>(INDEX(ST_CAPACIDAD_GENERACION_ENERGIAS_RENOVABLES_NO_CONVENCIONALES,BAGAZO,_2030)-INDEX(ST_CAPACIDAD_GENERACION_ENERGIAS_RENOVABLES_NO_CONVENCIONALES,BAGAZO,_2025))*COSTOS_CAPITAL_BAGAZO_USD_KW_ALTO/UNIDAD_KW_A_MW*COSTOS_2019_US_dolares_MMCOP</f>
        <v>0</v>
      </c>
      <c r="J212" s="2668">
        <f>(INDEX(ST_CAPACIDAD_GENERACION_ENERGIAS_RENOVABLES_NO_CONVENCIONALES,BAGAZO,_2035)-INDEX(ST_CAPACIDAD_GENERACION_ENERGIAS_RENOVABLES_NO_CONVENCIONALES,BAGAZO,_2030))*COSTOS_CAPITAL_BAGAZO_USD_KW_ALTO/UNIDAD_KW_A_MW*COSTOS_2019_US_dolares_MMCOP</f>
        <v>0</v>
      </c>
      <c r="K212" s="2668">
        <f>(INDEX(ST_CAPACIDAD_GENERACION_ENERGIAS_RENOVABLES_NO_CONVENCIONALES,BAGAZO,_2040)-INDEX(ST_CAPACIDAD_GENERACION_ENERGIAS_RENOVABLES_NO_CONVENCIONALES,BAGAZO,_2035))*COSTOS_CAPITAL_BAGAZO_USD_KW_ALTO/UNIDAD_KW_A_MW*COSTOS_2019_US_dolares_MMCOP</f>
        <v>0</v>
      </c>
      <c r="L212" s="2668">
        <f>(INDEX(ST_CAPACIDAD_GENERACION_ENERGIAS_RENOVABLES_NO_CONVENCIONALES,BAGAZO,_2045)-INDEX(ST_CAPACIDAD_GENERACION_ENERGIAS_RENOVABLES_NO_CONVENCIONALES,BAGAZO,_2040))*COSTOS_CAPITAL_BAGAZO_USD_KW_ALTO/UNIDAD_KW_A_MW*COSTOS_2019_US_dolares_MMCOP</f>
        <v>0</v>
      </c>
      <c r="M212" s="2668">
        <f>(INDEX(ST_CAPACIDAD_GENERACION_ENERGIAS_RENOVABLES_NO_CONVENCIONALES,BAGAZO,_2050)-INDEX(ST_CAPACIDAD_GENERACION_ENERGIAS_RENOVABLES_NO_CONVENCIONALES,BAGAZO,_2045))*COSTOS_CAPITAL_BAGAZO_USD_KW_ALTO/UNIDAD_KW_A_MW*COSTOS_2019_US_dolares_MMCOP</f>
        <v>0</v>
      </c>
      <c r="N212" s="12"/>
    </row>
    <row r="213" spans="4:14" ht="15" customHeight="1">
      <c r="D213" s="12"/>
      <c r="E213" s="2677" t="s">
        <v>338</v>
      </c>
      <c r="F213" s="2679">
        <f t="shared" ref="F213:M213" si="8">SUM(F203:F212)</f>
        <v>0</v>
      </c>
      <c r="G213" s="3078">
        <f t="shared" si="8"/>
        <v>0</v>
      </c>
      <c r="H213" s="3078">
        <f t="shared" si="8"/>
        <v>36666.549497300824</v>
      </c>
      <c r="I213" s="3078">
        <f t="shared" si="8"/>
        <v>0</v>
      </c>
      <c r="J213" s="3078">
        <f t="shared" si="8"/>
        <v>17597.214160534917</v>
      </c>
      <c r="K213" s="3078">
        <f t="shared" si="8"/>
        <v>10071.95478403024</v>
      </c>
      <c r="L213" s="3078">
        <f t="shared" si="8"/>
        <v>57193.611644950863</v>
      </c>
      <c r="M213" s="3078">
        <f t="shared" si="8"/>
        <v>20615.478819125477</v>
      </c>
      <c r="N213" s="12"/>
    </row>
    <row r="214" spans="4:14" ht="15" customHeight="1">
      <c r="D214" s="12"/>
      <c r="E214" s="12"/>
      <c r="F214" s="12"/>
      <c r="G214" s="12"/>
      <c r="H214" s="12"/>
      <c r="I214" s="12"/>
      <c r="J214" s="12"/>
      <c r="K214" s="12"/>
      <c r="L214" s="12"/>
      <c r="M214" s="12"/>
      <c r="N214" s="12"/>
    </row>
    <row r="215" spans="4:14" ht="15" customHeight="1">
      <c r="D215" s="12"/>
      <c r="E215" s="1027" t="s">
        <v>1738</v>
      </c>
      <c r="F215" s="1020"/>
      <c r="G215" s="1021"/>
      <c r="H215" s="1020"/>
      <c r="I215" s="1022"/>
      <c r="J215" s="1020"/>
      <c r="K215" s="1022"/>
      <c r="L215" s="1022"/>
      <c r="M215" s="1022"/>
      <c r="N215" s="12"/>
    </row>
    <row r="216" spans="4:14" ht="15" customHeight="1">
      <c r="D216" s="12"/>
      <c r="E216" s="12"/>
      <c r="F216" s="12"/>
      <c r="G216" s="12"/>
      <c r="H216" s="12"/>
      <c r="I216" s="12"/>
      <c r="J216" s="12"/>
      <c r="K216" s="12"/>
      <c r="L216" s="12"/>
      <c r="M216" s="12"/>
      <c r="N216" s="12"/>
    </row>
    <row r="217" spans="4:14" ht="15" customHeight="1">
      <c r="D217" s="12"/>
      <c r="E217" s="1019" t="s">
        <v>1735</v>
      </c>
      <c r="F217" s="12"/>
      <c r="G217" s="12"/>
      <c r="H217" s="12"/>
      <c r="I217" s="12"/>
      <c r="J217" s="12"/>
      <c r="K217" s="12"/>
      <c r="L217" s="12"/>
      <c r="M217" s="1874" t="s">
        <v>803</v>
      </c>
      <c r="N217" s="12"/>
    </row>
    <row r="218" spans="4:14" ht="15" customHeight="1">
      <c r="D218" s="12"/>
      <c r="E218" s="424" t="s">
        <v>859</v>
      </c>
      <c r="F218" s="424">
        <v>2018</v>
      </c>
      <c r="G218" s="424">
        <v>2020</v>
      </c>
      <c r="H218" s="424">
        <v>2025</v>
      </c>
      <c r="I218" s="424">
        <v>2030</v>
      </c>
      <c r="J218" s="424">
        <v>2035</v>
      </c>
      <c r="K218" s="424">
        <v>2040</v>
      </c>
      <c r="L218" s="424">
        <v>2045</v>
      </c>
      <c r="M218" s="424">
        <v>2050</v>
      </c>
      <c r="N218" s="12"/>
    </row>
    <row r="219" spans="4:14" ht="15" customHeight="1">
      <c r="D219" s="12"/>
      <c r="E219" s="2653" t="s">
        <v>535</v>
      </c>
      <c r="F219" s="12">
        <v>0</v>
      </c>
      <c r="G219" s="3076">
        <f>(INDEX(ST_CAPACIDAD_GENERACION_COMBUSTIBLES_FOSILES,TERMOELECTRICA_GAS_NATURAL,_2020)-INDEX(ST_CAPACIDAD_GENERACION_COMBUSTIBLES_FOSILES,TERMOELECTRICA_GAS_NATURAL,_2018))*COSTOS_CAPITAL_ELECTRICIDAD_TERMOELECTRICA_GN_USD_KW_MEDIO/UNIDAD_KW_A_MW*COSTOS_2019_US_dolares_MMCOP</f>
        <v>0</v>
      </c>
      <c r="H219" s="3076">
        <f>(INDEX(ST_CAPACIDAD_GENERACION_COMBUSTIBLES_FOSILES,TERMOELECTRICA_GAS_NATURAL,_2025)-INDEX(ST_CAPACIDAD_GENERACION_COMBUSTIBLES_FOSILES,TERMOELECTRICA_GAS_NATURAL,_2020))*COSTOS_CAPITAL_ELECTRICIDAD_TERMOELECTRICA_GN_USD_KW_MEDIO/UNIDAD_KW_A_MW*COSTOS_2019_US_dolares_MMCOP</f>
        <v>4050.9270910688392</v>
      </c>
      <c r="I219" s="3076">
        <f>(INDEX(ST_CAPACIDAD_GENERACION_COMBUSTIBLES_FOSILES,TERMOELECTRICA_GAS_NATURAL,_2030)-INDEX(ST_CAPACIDAD_GENERACION_COMBUSTIBLES_FOSILES,TERMOELECTRICA_GAS_NATURAL,_2025))*COSTOS_CAPITAL_ELECTRICIDAD_TERMOELECTRICA_GN_USD_KW_MEDIO/UNIDAD_KW_A_MW*COSTOS_2019_US_dolares_MMCOP</f>
        <v>0</v>
      </c>
      <c r="J219" s="3076">
        <f>(INDEX(ST_CAPACIDAD_GENERACION_COMBUSTIBLES_FOSILES,TERMOELECTRICA_GAS_NATURAL,_2035)-INDEX(ST_CAPACIDAD_GENERACION_COMBUSTIBLES_FOSILES,TERMOELECTRICA_GAS_NATURAL,_2030))*COSTOS_CAPITAL_ELECTRICIDAD_TERMOELECTRICA_GN_USD_KW_MEDIO/UNIDAD_KW_A_MW*COSTOS_2019_US_dolares_MMCOP</f>
        <v>0</v>
      </c>
      <c r="K219" s="3076">
        <f>(INDEX(ST_CAPACIDAD_GENERACION_COMBUSTIBLES_FOSILES,TERMOELECTRICA_GAS_NATURAL,_2040)-INDEX(ST_CAPACIDAD_GENERACION_COMBUSTIBLES_FOSILES,TERMOELECTRICA_GAS_NATURAL,_2035))*COSTOS_CAPITAL_ELECTRICIDAD_TERMOELECTRICA_GN_USD_KW_MEDIO/UNIDAD_KW_A_MW*COSTOS_2019_US_dolares_MMCOP</f>
        <v>0</v>
      </c>
      <c r="L219" s="3076">
        <f>(INDEX(ST_CAPACIDAD_GENERACION_COMBUSTIBLES_FOSILES,TERMOELECTRICA_GAS_NATURAL,_2045)-INDEX(ST_CAPACIDAD_GENERACION_COMBUSTIBLES_FOSILES,TERMOELECTRICA_GAS_NATURAL,_2040))*COSTOS_CAPITAL_ELECTRICIDAD_TERMOELECTRICA_GN_USD_KW_MEDIO/UNIDAD_KW_A_MW*COSTOS_2019_US_dolares_MMCOP</f>
        <v>0</v>
      </c>
      <c r="M219" s="3076">
        <f>(INDEX(ST_CAPACIDAD_GENERACION_COMBUSTIBLES_FOSILES,TERMOELECTRICA_GAS_NATURAL,_2050)-INDEX(ST_CAPACIDAD_GENERACION_COMBUSTIBLES_FOSILES,TERMOELECTRICA_GAS_NATURAL,_2045))*COSTOS_CAPITAL_ELECTRICIDAD_TERMOELECTRICA_GN_USD_KW_MEDIO/UNIDAD_KW_A_MW*COSTOS_2019_US_dolares_MMCOP</f>
        <v>0</v>
      </c>
      <c r="N219" s="12"/>
    </row>
    <row r="220" spans="4:14" ht="15" customHeight="1">
      <c r="D220" s="12"/>
      <c r="E220" s="920" t="s">
        <v>536</v>
      </c>
      <c r="F220" s="12">
        <v>0</v>
      </c>
      <c r="G220" s="3076">
        <f>IF(((INDEX(ST_CAPACIDAD_GENERACION_COMBUSTIBLES_FOSILES,Termoelectrica_carbon,_2020)-INDEX(ST_CAPACIDAD_GENERACION_COMBUSTIBLES_FOSILES,Termoelectrica_carbon,_2018))*COSTOS_CAPITAL_ELECTRICIDAD_TERMOELECTRICA_CARBON_USD_KW_MEDIO/UNIDAD_KW_A_MW*COSTOS_2019_US_dolares_MMCOP)&gt;0,((INDEX(ST_CAPACIDAD_GENERACION_COMBUSTIBLES_FOSILES,Termoelectrica_carbon,_2020)-INDEX(ST_CAPACIDAD_GENERACION_COMBUSTIBLES_FOSILES,Termoelectrica_carbon,_2018))*COSTOS_CAPITAL_ELECTRICIDAD_TERMOELECTRICA_CARBON_USD_KW_MEDIO/UNIDAD_KW_A_MW*COSTOS_2019_US_dolares_MMCOP),0)</f>
        <v>0</v>
      </c>
      <c r="H220" s="3076">
        <f>IF(((INDEX(ST_CAPACIDAD_GENERACION_COMBUSTIBLES_FOSILES,Termoelectrica_carbon,_2025)-INDEX(ST_CAPACIDAD_GENERACION_COMBUSTIBLES_FOSILES,Termoelectrica_carbon,_2020))*COSTOS_CAPITAL_ELECTRICIDAD_TERMOELECTRICA_CARBON_USD_KW_MEDIO/UNIDAD_KW_A_MW*COSTOS_2019_US_dolares_MMCOP)&gt;0,((INDEX(ST_CAPACIDAD_GENERACION_COMBUSTIBLES_FOSILES,Termoelectrica_carbon,_2025)-INDEX(ST_CAPACIDAD_GENERACION_COMBUSTIBLES_FOSILES,Termoelectrica_carbon,_2020))*COSTOS_CAPITAL_ELECTRICIDAD_TERMOELECTRICA_CARBON_USD_KW_MEDIO/UNIDAD_KW_A_MW*COSTOS_2019_US_dolares_MMCOP),0)</f>
        <v>0</v>
      </c>
      <c r="I220" s="3076">
        <f>(INDEX(ST_CAPACIDAD_GENERACION_COMBUSTIBLES_FOSILES,Termoelectrica_carbon,_2030)-INDEX(ST_CAPACIDAD_GENERACION_COMBUSTIBLES_FOSILES,Termoelectrica_carbon,_2025))*COSTOS_CAPITAL_ELECTRICIDAD_TERMOELECTRICA_CARBON_USD_KW_MEDIO/UNIDAD_KW_A_MW*COSTOS_2019_US_dolares_MMCOP</f>
        <v>0</v>
      </c>
      <c r="J220" s="3076">
        <f>(INDEX(ST_CAPACIDAD_GENERACION_COMBUSTIBLES_FOSILES,Termoelectrica_carbon,_2035)-INDEX(ST_CAPACIDAD_GENERACION_COMBUSTIBLES_FOSILES,Termoelectrica_carbon,_2030))*COSTOS_CAPITAL_ELECTRICIDAD_TERMOELECTRICA_CARBON_USD_KW_MEDIO/UNIDAD_KW_A_MW*COSTOS_2019_US_dolares_MMCOP</f>
        <v>0</v>
      </c>
      <c r="K220" s="3076">
        <f>(INDEX(ST_CAPACIDAD_GENERACION_COMBUSTIBLES_FOSILES,Termoelectrica_carbon,_2040)-INDEX(ST_CAPACIDAD_GENERACION_COMBUSTIBLES_FOSILES,Termoelectrica_carbon,_2035))*COSTOS_CAPITAL_ELECTRICIDAD_TERMOELECTRICA_CARBON_USD_KW_MEDIO/UNIDAD_KW_A_MW*COSTOS_2019_US_dolares_MMCOP</f>
        <v>0</v>
      </c>
      <c r="L220" s="3076">
        <f>(INDEX(ST_CAPACIDAD_GENERACION_COMBUSTIBLES_FOSILES,Termoelectrica_carbon,_2045)-INDEX(ST_CAPACIDAD_GENERACION_COMBUSTIBLES_FOSILES,Termoelectrica_carbon,_2040))*COSTOS_CAPITAL_ELECTRICIDAD_TERMOELECTRICA_CARBON_USD_KW_MEDIO/UNIDAD_KW_A_MW*COSTOS_2019_US_dolares_MMCOP</f>
        <v>0</v>
      </c>
      <c r="M220" s="3076">
        <f>(INDEX(ST_CAPACIDAD_GENERACION_COMBUSTIBLES_FOSILES,Termoelectrica_carbon,_2050)-INDEX(ST_CAPACIDAD_GENERACION_COMBUSTIBLES_FOSILES,Termoelectrica_carbon,_2045))*COSTOS_CAPITAL_ELECTRICIDAD_TERMOELECTRICA_CARBON_USD_KW_MEDIO/UNIDAD_KW_A_MW*COSTOS_2019_US_dolares_MMCOP</f>
        <v>0</v>
      </c>
      <c r="N220" s="12"/>
    </row>
    <row r="221" spans="4:14" ht="15" customHeight="1">
      <c r="D221" s="12"/>
      <c r="E221" s="920" t="s">
        <v>526</v>
      </c>
      <c r="F221" s="12">
        <v>0</v>
      </c>
      <c r="G221" s="3076">
        <f>IF(((INDEX(ST_CAPACIDAD_GENERACION_COMBUSTIBLES_FOSILES,DIESEL,_2020)-INDEX(ST_CAPACIDAD_GENERACION_COMBUSTIBLES_FOSILES,DIESEL,_2018))*COSTOS_CAPITAL_ELECTRICIDAD_ACPM_DIESEL_USD_KW_MEDIO/UNIDAD_KW_A_MW*COSTOS_2019_US_dolares_MMCOP)&gt;0,((INDEX(ST_CAPACIDAD_GENERACION_COMBUSTIBLES_FOSILES,DIESEL,_2020)-INDEX(ST_CAPACIDAD_GENERACION_COMBUSTIBLES_FOSILES,DIESEL,_2018))*COSTOS_CAPITAL_ELECTRICIDAD_ACPM_DIESEL_USD_KW_MEDIO/UNIDAD_KW_A_MW*COSTOS_2019_US_dolares_MMCOP),0)</f>
        <v>0</v>
      </c>
      <c r="H221" s="3076">
        <f>IF(((INDEX(ST_CAPACIDAD_GENERACION_COMBUSTIBLES_FOSILES,DIESEL,_2025)-INDEX(ST_CAPACIDAD_GENERACION_COMBUSTIBLES_FOSILES,DIESEL,_2020))*COSTOS_CAPITAL_ELECTRICIDAD_ACPM_DIESEL_USD_KW_MEDIO/UNIDAD_KW_A_MW*COSTOS_2019_US_dolares_MMCOP)&gt;0,((INDEX(ST_CAPACIDAD_GENERACION_COMBUSTIBLES_FOSILES,DIESEL,_2025)-INDEX(ST_CAPACIDAD_GENERACION_COMBUSTIBLES_FOSILES,DIESEL,_2020))*COSTOS_CAPITAL_ELECTRICIDAD_ACPM_DIESEL_USD_KW_MEDIO/UNIDAD_KW_A_MW*COSTOS_2019_US_dolares_MMCOP),0)</f>
        <v>0</v>
      </c>
      <c r="I221" s="3076">
        <f>(INDEX(ST_CAPACIDAD_GENERACION_COMBUSTIBLES_FOSILES,DIESEL,_2030)-INDEX(ST_CAPACIDAD_GENERACION_COMBUSTIBLES_FOSILES,DIESEL,_2025))*COSTOS_CAPITAL_ELECTRICIDAD_ACPM_DIESEL_USD_KW_MEDIO/UNIDAD_KW_A_MW*COSTOS_2019_US_dolares_MMCOP</f>
        <v>0</v>
      </c>
      <c r="J221" s="3076">
        <f>(INDEX(ST_CAPACIDAD_GENERACION_COMBUSTIBLES_FOSILES,DIESEL,_2035)-INDEX(ST_CAPACIDAD_GENERACION_COMBUSTIBLES_FOSILES,DIESEL,_2030))*COSTOS_CAPITAL_ELECTRICIDAD_ACPM_DIESEL_USD_KW_MEDIO/UNIDAD_KW_A_MW*COSTOS_2019_US_dolares_MMCOP</f>
        <v>0</v>
      </c>
      <c r="K221" s="3076">
        <f>(INDEX(ST_CAPACIDAD_GENERACION_COMBUSTIBLES_FOSILES,DIESEL,_2040)-INDEX(ST_CAPACIDAD_GENERACION_COMBUSTIBLES_FOSILES,DIESEL,_2035))*COSTOS_CAPITAL_ELECTRICIDAD_ACPM_DIESEL_USD_KW_MEDIO/UNIDAD_KW_A_MW*COSTOS_2019_US_dolares_MMCOP</f>
        <v>0</v>
      </c>
      <c r="L221" s="3076">
        <f>(INDEX(ST_CAPACIDAD_GENERACION_COMBUSTIBLES_FOSILES,DIESEL,_2045)-INDEX(ST_CAPACIDAD_GENERACION_COMBUSTIBLES_FOSILES,DIESEL,_2040))*COSTOS_CAPITAL_ELECTRICIDAD_ACPM_DIESEL_USD_KW_MEDIO/UNIDAD_KW_A_MW*COSTOS_2019_US_dolares_MMCOP</f>
        <v>0</v>
      </c>
      <c r="M221" s="3076">
        <f>(INDEX(ST_CAPACIDAD_GENERACION_COMBUSTIBLES_FOSILES,DIESEL,_2050)-INDEX(ST_CAPACIDAD_GENERACION_COMBUSTIBLES_FOSILES,DIESEL,_2045))*COSTOS_CAPITAL_ELECTRICIDAD_ACPM_DIESEL_USD_KW_MEDIO/UNIDAD_KW_A_MW*COSTOS_2019_US_dolares_MMCOP</f>
        <v>0</v>
      </c>
      <c r="N221" s="12"/>
    </row>
    <row r="222" spans="4:14" ht="15" customHeight="1">
      <c r="D222" s="12"/>
      <c r="E222" s="920" t="s">
        <v>537</v>
      </c>
      <c r="F222" s="12">
        <v>0</v>
      </c>
      <c r="G222" s="3076">
        <f>(INDEX(ST_CAPACIDAD_GENERACION_COMBUSTIBLES_FOSILES,FUEL_OIL,_2020)-INDEX(ST_CAPACIDAD_GENERACION_COMBUSTIBLES_FOSILES,FUEL_OIL,_2018))*COSTOS_CAPITAL_ELECTRICIDAD_FUEL_OIL_USD_KW_MEDIO/UNIDAD_KW_A_MW*COSTOS_2019_US_dolares_MMCOP</f>
        <v>0</v>
      </c>
      <c r="H222" s="3076">
        <f>(INDEX(ST_CAPACIDAD_GENERACION_COMBUSTIBLES_FOSILES,FUEL_OIL,_2025)-INDEX(ST_CAPACIDAD_GENERACION_COMBUSTIBLES_FOSILES,FUEL_OIL,_2020))*COSTOS_CAPITAL_ELECTRICIDAD_FUEL_OIL_USD_KW_MEDIO/UNIDAD_KW_A_MW*COSTOS_2019_US_dolares_MMCOP</f>
        <v>0</v>
      </c>
      <c r="I222" s="3076">
        <f>(INDEX(ST_CAPACIDAD_GENERACION_COMBUSTIBLES_FOSILES,FUEL_OIL,_2030)-INDEX(ST_CAPACIDAD_GENERACION_COMBUSTIBLES_FOSILES,FUEL_OIL,_2025))*COSTOS_CAPITAL_ELECTRICIDAD_FUEL_OIL_USD_KW_MEDIO/UNIDAD_KW_A_MW*COSTOS_2019_US_dolares_MMCOP</f>
        <v>0</v>
      </c>
      <c r="J222" s="3076">
        <f>(INDEX(ST_CAPACIDAD_GENERACION_COMBUSTIBLES_FOSILES,FUEL_OIL,_2035)-INDEX(ST_CAPACIDAD_GENERACION_COMBUSTIBLES_FOSILES,FUEL_OIL,_2030))*COSTOS_CAPITAL_ELECTRICIDAD_FUEL_OIL_USD_KW_MEDIO/UNIDAD_KW_A_MW*COSTOS_2019_US_dolares_MMCOP</f>
        <v>0</v>
      </c>
      <c r="K222" s="3076">
        <f>(INDEX(ST_CAPACIDAD_GENERACION_COMBUSTIBLES_FOSILES,FUEL_OIL,_2040)-INDEX(ST_CAPACIDAD_GENERACION_COMBUSTIBLES_FOSILES,FUEL_OIL,_2035))*COSTOS_CAPITAL_ELECTRICIDAD_FUEL_OIL_USD_KW_MEDIO/UNIDAD_KW_A_MW*COSTOS_2019_US_dolares_MMCOP</f>
        <v>0</v>
      </c>
      <c r="L222" s="3076">
        <f>(INDEX(ST_CAPACIDAD_GENERACION_COMBUSTIBLES_FOSILES,FUEL_OIL,_2045)-INDEX(ST_CAPACIDAD_GENERACION_COMBUSTIBLES_FOSILES,FUEL_OIL,_2040))*COSTOS_CAPITAL_ELECTRICIDAD_FUEL_OIL_USD_KW_MEDIO/UNIDAD_KW_A_MW*COSTOS_2019_US_dolares_MMCOP</f>
        <v>0</v>
      </c>
      <c r="M222" s="3076">
        <f>(INDEX(ST_CAPACIDAD_GENERACION_COMBUSTIBLES_FOSILES,FUEL_OIL,_2050)-INDEX(ST_CAPACIDAD_GENERACION_COMBUSTIBLES_FOSILES,FUEL_OIL,_2045))*COSTOS_CAPITAL_ELECTRICIDAD_FUEL_OIL_USD_KW_MEDIO/UNIDAD_KW_A_MW*COSTOS_2019_US_dolares_MMCOP</f>
        <v>0</v>
      </c>
      <c r="N222" s="12"/>
    </row>
    <row r="223" spans="4:14" ht="15" customHeight="1">
      <c r="D223" s="12"/>
      <c r="E223" s="920" t="s">
        <v>525</v>
      </c>
      <c r="F223" s="12">
        <v>0</v>
      </c>
      <c r="G223" s="3076">
        <f>IF(((INDEX(ST_CAPACIDAD_GENERACION_COMBUSTIBLES_FOSILES,PETROLEO,_2020)-INDEX(ST_CAPACIDAD_GENERACION_COMBUSTIBLES_FOSILES,PETROLEO,_2018))*COSTOS_CAPITAL_ELECTRICIDAD_PETROLEO_USD_KW_MEDIO/UNIDAD_KW_A_MW*COSTOS_2019_US_dolares_MMCOP)&gt;0,((INDEX(ST_CAPACIDAD_GENERACION_COMBUSTIBLES_FOSILES,PETROLEO,_2020)-INDEX(ST_CAPACIDAD_GENERACION_COMBUSTIBLES_FOSILES,PETROLEO,_2018))*COSTOS_CAPITAL_ELECTRICIDAD_PETROLEO_USD_KW_MEDIO/UNIDAD_KW_A_MW*COSTOS_2019_US_dolares_MMCOP),0)</f>
        <v>0</v>
      </c>
      <c r="H223" s="3076">
        <f>(INDEX(ST_CAPACIDAD_GENERACION_COMBUSTIBLES_FOSILES,PETROLEO,_2025)-INDEX(ST_CAPACIDAD_GENERACION_COMBUSTIBLES_FOSILES,PETROLEO,_2020))*COSTOS_CAPITAL_ELECTRICIDAD_PETROLEO_USD_KW_MEDIO/UNIDAD_KW_A_MW*COSTOS_2019_US_dolares_MMCOP</f>
        <v>0</v>
      </c>
      <c r="I223" s="3076">
        <f>(INDEX(ST_CAPACIDAD_GENERACION_COMBUSTIBLES_FOSILES,PETROLEO,_2030)-INDEX(ST_CAPACIDAD_GENERACION_COMBUSTIBLES_FOSILES,PETROLEO,_2025))*COSTOS_CAPITAL_ELECTRICIDAD_PETROLEO_USD_KW_MEDIO/UNIDAD_KW_A_MW*COSTOS_2019_US_dolares_MMCOP</f>
        <v>0</v>
      </c>
      <c r="J223" s="3076">
        <f>(INDEX(ST_CAPACIDAD_GENERACION_COMBUSTIBLES_FOSILES,PETROLEO,_2035)-INDEX(ST_CAPACIDAD_GENERACION_COMBUSTIBLES_FOSILES,PETROLEO,_2030))*COSTOS_CAPITAL_ELECTRICIDAD_PETROLEO_USD_KW_MEDIO/UNIDAD_KW_A_MW*COSTOS_2019_US_dolares_MMCOP</f>
        <v>0</v>
      </c>
      <c r="K223" s="3076">
        <f>(INDEX(ST_CAPACIDAD_GENERACION_COMBUSTIBLES_FOSILES,PETROLEO,_2040)-INDEX(ST_CAPACIDAD_GENERACION_COMBUSTIBLES_FOSILES,PETROLEO,_2035))*COSTOS_CAPITAL_ELECTRICIDAD_PETROLEO_USD_KW_MEDIO/UNIDAD_KW_A_MW*COSTOS_2019_US_dolares_MMCOP</f>
        <v>0</v>
      </c>
      <c r="L223" s="3076">
        <f>(INDEX(ST_CAPACIDAD_GENERACION_COMBUSTIBLES_FOSILES,PETROLEO,_2045)-INDEX(ST_CAPACIDAD_GENERACION_COMBUSTIBLES_FOSILES,PETROLEO,_2040))*COSTOS_CAPITAL_ELECTRICIDAD_PETROLEO_USD_KW_MEDIO/UNIDAD_KW_A_MW*COSTOS_2019_US_dolares_MMCOP</f>
        <v>0</v>
      </c>
      <c r="M223" s="3076">
        <f>(INDEX(ST_CAPACIDAD_GENERACION_COMBUSTIBLES_FOSILES,PETROLEO,_2050)-INDEX(ST_CAPACIDAD_GENERACION_COMBUSTIBLES_FOSILES,PETROLEO,_2045))*COSTOS_CAPITAL_ELECTRICIDAD_PETROLEO_USD_KW_MEDIO/UNIDAD_KW_A_MW*COSTOS_2019_US_dolares_MMCOP</f>
        <v>0</v>
      </c>
      <c r="N223" s="12"/>
    </row>
    <row r="224" spans="4:14" ht="15" customHeight="1">
      <c r="D224" s="12"/>
      <c r="E224" s="920" t="s">
        <v>498</v>
      </c>
      <c r="F224" s="12">
        <v>0</v>
      </c>
      <c r="G224" s="3076">
        <f>IF(((INDEX(ST_CAPACIDAD_GENERACION_COMBUSTIBLES_FOSILES,GLP,_2020)-INDEX(ST_CAPACIDAD_GENERACION_COMBUSTIBLES_FOSILES,GLP,_2018))*COSTOS_CAPITAL_ELECTRICIDAD_GLP_USD_KW_MEIDO/UNIDAD_KW_A_MW*COSTOS_2019_US_dolares_MMCOP)&gt;0,((INDEX(ST_CAPACIDAD_GENERACION_COMBUSTIBLES_FOSILES,GLP,_2020)-INDEX(ST_CAPACIDAD_GENERACION_COMBUSTIBLES_FOSILES,GLP,_2018))*COSTOS_CAPITAL_ELECTRICIDAD_GLP_USD_KW_MEIDO/UNIDAD_KW_A_MW*COSTOS_2019_US_dolares_MMCOP),0)</f>
        <v>0</v>
      </c>
      <c r="H224" s="3076">
        <f>(INDEX(ST_CAPACIDAD_GENERACION_COMBUSTIBLES_FOSILES,GLP,_2025)-INDEX(ST_CAPACIDAD_GENERACION_COMBUSTIBLES_FOSILES,GLP,_2020))*COSTOS_CAPITAL_ELECTRICIDAD_GLP_USD_KW_MEIDO/UNIDAD_KW_A_MW*COSTOS_2019_US_dolares_MMCOP</f>
        <v>0</v>
      </c>
      <c r="I224" s="3076">
        <f>(INDEX(ST_CAPACIDAD_GENERACION_COMBUSTIBLES_FOSILES,GLP,_2030)-INDEX(ST_CAPACIDAD_GENERACION_COMBUSTIBLES_FOSILES,GLP,_2025))*COSTOS_CAPITAL_ELECTRICIDAD_GLP_USD_KW_MEIDO/UNIDAD_KW_A_MW*COSTOS_2019_US_dolares_MMCOP</f>
        <v>0</v>
      </c>
      <c r="J224" s="3076">
        <f>(INDEX(ST_CAPACIDAD_GENERACION_COMBUSTIBLES_FOSILES,GLP,_2035)-INDEX(ST_CAPACIDAD_GENERACION_COMBUSTIBLES_FOSILES,GLP,_2030))*COSTOS_CAPITAL_ELECTRICIDAD_GLP_USD_KW_MEIDO/UNIDAD_KW_A_MW*COSTOS_2019_US_dolares_MMCOP</f>
        <v>0</v>
      </c>
      <c r="K224" s="3076">
        <f>(INDEX(ST_CAPACIDAD_GENERACION_COMBUSTIBLES_FOSILES,GLP,_2040)-INDEX(ST_CAPACIDAD_GENERACION_COMBUSTIBLES_FOSILES,GLP,_2035))*COSTOS_CAPITAL_ELECTRICIDAD_GLP_USD_KW_MEIDO/UNIDAD_KW_A_MW*COSTOS_2019_US_dolares_MMCOP</f>
        <v>0</v>
      </c>
      <c r="L224" s="3076">
        <f>(INDEX(ST_CAPACIDAD_GENERACION_COMBUSTIBLES_FOSILES,GLP,_2045)-INDEX(ST_CAPACIDAD_GENERACION_COMBUSTIBLES_FOSILES,GLP,_2040))*COSTOS_CAPITAL_ELECTRICIDAD_GLP_USD_KW_MEIDO/UNIDAD_KW_A_MW*COSTOS_2019_US_dolares_MMCOP</f>
        <v>0</v>
      </c>
      <c r="M224" s="3076">
        <f>(INDEX(ST_CAPACIDAD_GENERACION_COMBUSTIBLES_FOSILES,GLP,_2050)-INDEX(ST_CAPACIDAD_GENERACION_COMBUSTIBLES_FOSILES,GLP,_2045))*COSTOS_CAPITAL_ELECTRICIDAD_PETROLEO_USD_KW_MEDIO/UNIDAD_KW_A_MW*COSTOS_2019_US_dolares_MMCOP</f>
        <v>0</v>
      </c>
      <c r="N224" s="12"/>
    </row>
    <row r="225" spans="4:14" ht="15" customHeight="1">
      <c r="D225" s="12"/>
      <c r="E225" s="920" t="s">
        <v>538</v>
      </c>
      <c r="F225" s="12">
        <v>0</v>
      </c>
      <c r="G225" s="3076">
        <f>(INDEX(ST_CAPACIDAD_GENERACION_COMBUSTIBLES_FOSILES,TERMOELECTRICA_GAS_NATURAL_CCUS,_2020)-INDEX(ST_CAPACIDAD_GENERACION_COMBUSTIBLES_FOSILES,TERMOELECTRICA_GAS_NATURAL_CCUS,_2018))*COSTOS_CAPITAL_ELECTRICIDAD_TERMOELECTRICA_GN_CCUS_USD_KW_MEDIO/UNIDAD_KW_A_MW*COSTOS_2019_US_dolares_MMCOP</f>
        <v>0</v>
      </c>
      <c r="H225" s="3076">
        <f>(INDEX(ST_CAPACIDAD_GENERACION_COMBUSTIBLES_FOSILES,TERMOELECTRICA_GAS_NATURAL_CCUS,_2025)-INDEX(ST_CAPACIDAD_GENERACION_COMBUSTIBLES_FOSILES,TERMOELECTRICA_GAS_NATURAL_CCUS,_2020))*COSTOS_CAPITAL_ELECTRICIDAD_TERMOELECTRICA_GN_CCUS_USD_KW_MEDIO/UNIDAD_KW_A_MW*COSTOS_2019_US_dolares_MMCOP</f>
        <v>0</v>
      </c>
      <c r="I225" s="3076">
        <f>(INDEX(ST_CAPACIDAD_GENERACION_COMBUSTIBLES_FOSILES,TERMOELECTRICA_GAS_NATURAL_CCUS,_2030)-INDEX(ST_CAPACIDAD_GENERACION_COMBUSTIBLES_FOSILES,TERMOELECTRICA_GAS_NATURAL_CCUS,_2025))*COSTOS_CAPITAL_ELECTRICIDAD_TERMOELECTRICA_GN_CCUS_USD_KW_MEDIO/UNIDAD_KW_A_MW*COSTOS_2019_US_dolares_MMCOP</f>
        <v>0</v>
      </c>
      <c r="J225" s="3076">
        <f>(INDEX(ST_CAPACIDAD_GENERACION_COMBUSTIBLES_FOSILES,TERMOELECTRICA_GAS_NATURAL_CCUS,_2035)-INDEX(ST_CAPACIDAD_GENERACION_COMBUSTIBLES_FOSILES,TERMOELECTRICA_GAS_NATURAL_CCUS,_2030))*COSTOS_CAPITAL_ELECTRICIDAD_TERMOELECTRICA_GN_CCUS_USD_KW_MEDIO/UNIDAD_KW_A_MW*COSTOS_2019_US_dolares_MMCOP</f>
        <v>0</v>
      </c>
      <c r="K225" s="3076">
        <f>(INDEX(ST_CAPACIDAD_GENERACION_COMBUSTIBLES_FOSILES,TERMOELECTRICA_GAS_NATURAL_CCUS,_2040)-INDEX(ST_CAPACIDAD_GENERACION_COMBUSTIBLES_FOSILES,TERMOELECTRICA_GAS_NATURAL_CCUS,_2035))*COSTOS_CAPITAL_ELECTRICIDAD_TERMOELECTRICA_GN_CCUS_USD_KW_MEDIO/UNIDAD_KW_A_MW*COSTOS_2019_US_dolares_MMCOP</f>
        <v>0</v>
      </c>
      <c r="L225" s="3076">
        <f>(INDEX(ST_CAPACIDAD_GENERACION_COMBUSTIBLES_FOSILES,TERMOELECTRICA_GAS_NATURAL_CCUS,_2045)-INDEX(ST_CAPACIDAD_GENERACION_COMBUSTIBLES_FOSILES,TERMOELECTRICA_GAS_NATURAL_CCUS,_2040))*COSTOS_CAPITAL_ELECTRICIDAD_TERMOELECTRICA_GN_CCUS_USD_KW_MEDIO/UNIDAD_KW_A_MW*COSTOS_2019_US_dolares_MMCOP</f>
        <v>0</v>
      </c>
      <c r="M225" s="3076">
        <f>(INDEX(ST_CAPACIDAD_GENERACION_COMBUSTIBLES_FOSILES,TERMOELECTRICA_GAS_NATURAL_CCUS,_2050)-INDEX(ST_CAPACIDAD_GENERACION_COMBUSTIBLES_FOSILES,TERMOELECTRICA_GAS_NATURAL_CCUS,_2045))*COSTOS_CAPITAL_ELECTRICIDAD_TERMOELECTRICA_GN_CCUS_USD_KW_MEDIO/UNIDAD_KW_A_MW*COSTOS_2019_US_dolares_MMCOP</f>
        <v>0</v>
      </c>
      <c r="N225" s="12"/>
    </row>
    <row r="226" spans="4:14" ht="15" customHeight="1">
      <c r="D226" s="12"/>
      <c r="E226" s="1019" t="s">
        <v>539</v>
      </c>
      <c r="F226" s="1174">
        <v>0</v>
      </c>
      <c r="G226" s="3077">
        <f>(INDEX(ST_CAPACIDAD_GENERACION_COMBUSTIBLES_FOSILES,TERMOELECTRICA_CARBON_CCUS,_2020)-INDEX(ST_CAPACIDAD_GENERACION_COMBUSTIBLES_FOSILES,TERMOELECTRICA_CARBON_CCUS,_2018))*COSTOS_CAPITAL_ELECTRICIDAD_TERMOELECTRICA_CARBON_CCUS_USD_KW_MEDIO/UNIDAD_KW_A_MW*COSTOS_2019_US_dolares_MMCOP</f>
        <v>0</v>
      </c>
      <c r="H226" s="3077">
        <f>(INDEX(ST_CAPACIDAD_GENERACION_COMBUSTIBLES_FOSILES,TERMOELECTRICA_CARBON_CCUS,_2025)-INDEX(ST_CAPACIDAD_GENERACION_COMBUSTIBLES_FOSILES,TERMOELECTRICA_CARBON_CCUS,_2020))*COSTOS_CAPITAL_ELECTRICIDAD_TERMOELECTRICA_CARBON_CCUS_USD_KW_MEDIO/UNIDAD_KW_A_MW*COSTOS_2019_US_dolares_MMCOP</f>
        <v>0</v>
      </c>
      <c r="I226" s="3077">
        <f>(INDEX(ST_CAPACIDAD_GENERACION_COMBUSTIBLES_FOSILES,TERMOELECTRICA_CARBON_CCUS,_2030)-INDEX(ST_CAPACIDAD_GENERACION_COMBUSTIBLES_FOSILES,TERMOELECTRICA_CARBON_CCUS,_2025))*COSTOS_CAPITAL_ELECTRICIDAD_TERMOELECTRICA_CARBON_CCUS_USD_KW_MEDIO/UNIDAD_KW_A_MW*COSTOS_2019_US_dolares_MMCOP</f>
        <v>0</v>
      </c>
      <c r="J226" s="3077">
        <f>(INDEX(ST_CAPACIDAD_GENERACION_COMBUSTIBLES_FOSILES,TERMOELECTRICA_CARBON_CCUS,_2035)-INDEX(ST_CAPACIDAD_GENERACION_COMBUSTIBLES_FOSILES,TERMOELECTRICA_CARBON_CCUS,_2030))*COSTOS_CAPITAL_ELECTRICIDAD_TERMOELECTRICA_CARBON_CCUS_USD_KW_MEDIO/UNIDAD_KW_A_MW*COSTOS_2019_US_dolares_MMCOP</f>
        <v>0</v>
      </c>
      <c r="K226" s="3077">
        <f>(INDEX(ST_CAPACIDAD_GENERACION_COMBUSTIBLES_FOSILES,TERMOELECTRICA_CARBON_CCUS,_2040)-INDEX(ST_CAPACIDAD_GENERACION_COMBUSTIBLES_FOSILES,TERMOELECTRICA_CARBON_CCUS,_2035))*COSTOS_CAPITAL_ELECTRICIDAD_TERMOELECTRICA_CARBON_CCUS_USD_KW_MEDIO/UNIDAD_KW_A_MW*COSTOS_2019_US_dolares_MMCOP</f>
        <v>0</v>
      </c>
      <c r="L226" s="3077">
        <f>(INDEX(ST_CAPACIDAD_GENERACION_COMBUSTIBLES_FOSILES,TERMOELECTRICA_CARBON_CCUS,_2045)-INDEX(ST_CAPACIDAD_GENERACION_COMBUSTIBLES_FOSILES,TERMOELECTRICA_CARBON_CCUS,_2040))*COSTOS_CAPITAL_ELECTRICIDAD_TERMOELECTRICA_CARBON_CCUS_USD_KW_MEDIO/UNIDAD_KW_A_MW*COSTOS_2019_US_dolares_MMCOP</f>
        <v>0</v>
      </c>
      <c r="M226" s="3077">
        <f>(INDEX(ST_CAPACIDAD_GENERACION_COMBUSTIBLES_FOSILES,TERMOELECTRICA_CARBON_CCUS,_2050)-INDEX(ST_CAPACIDAD_GENERACION_COMBUSTIBLES_FOSILES,TERMOELECTRICA_CARBON_CCUS,_2045))*COSTOS_CAPITAL_ELECTRICIDAD_TERMOELECTRICA_CARBON_CCUS_USD_KW_MEDIO/UNIDAD_KW_A_MW*COSTOS_2019_US_dolares_MMCOP</f>
        <v>0</v>
      </c>
      <c r="N226" s="12"/>
    </row>
    <row r="227" spans="4:14" ht="15" customHeight="1">
      <c r="D227" s="12"/>
      <c r="E227" s="2677" t="s">
        <v>338</v>
      </c>
      <c r="F227" s="2678">
        <f t="shared" ref="F227:M227" si="9">SUM(F219:F226)</f>
        <v>0</v>
      </c>
      <c r="G227" s="3078">
        <f t="shared" si="9"/>
        <v>0</v>
      </c>
      <c r="H227" s="3078">
        <f t="shared" si="9"/>
        <v>4050.9270910688392</v>
      </c>
      <c r="I227" s="3078">
        <f t="shared" si="9"/>
        <v>0</v>
      </c>
      <c r="J227" s="3078">
        <f t="shared" si="9"/>
        <v>0</v>
      </c>
      <c r="K227" s="3078">
        <f t="shared" si="9"/>
        <v>0</v>
      </c>
      <c r="L227" s="3078">
        <f t="shared" si="9"/>
        <v>0</v>
      </c>
      <c r="M227" s="3078">
        <f t="shared" si="9"/>
        <v>0</v>
      </c>
      <c r="N227" s="12"/>
    </row>
    <row r="228" spans="4:14" ht="15" customHeight="1">
      <c r="D228" s="12"/>
      <c r="E228" s="920"/>
      <c r="F228" s="12"/>
      <c r="G228" s="12"/>
      <c r="H228" s="12"/>
      <c r="I228" s="12"/>
      <c r="J228" s="12"/>
      <c r="K228" s="12"/>
      <c r="L228" s="12"/>
      <c r="M228" s="12"/>
      <c r="N228" s="12"/>
    </row>
    <row r="229" spans="4:14" ht="15" customHeight="1">
      <c r="D229" s="12"/>
      <c r="E229" s="1019" t="s">
        <v>1737</v>
      </c>
      <c r="F229" s="12"/>
      <c r="G229" s="12"/>
      <c r="H229" s="12"/>
      <c r="I229" s="12"/>
      <c r="J229" s="12"/>
      <c r="K229" s="12"/>
      <c r="L229" s="12"/>
      <c r="M229" s="1874" t="s">
        <v>803</v>
      </c>
      <c r="N229" s="12"/>
    </row>
    <row r="230" spans="4:14" ht="15" customHeight="1">
      <c r="D230" s="12"/>
      <c r="E230" s="424" t="s">
        <v>859</v>
      </c>
      <c r="F230" s="424">
        <v>2018</v>
      </c>
      <c r="G230" s="424">
        <v>2020</v>
      </c>
      <c r="H230" s="424">
        <v>2025</v>
      </c>
      <c r="I230" s="424">
        <v>2030</v>
      </c>
      <c r="J230" s="424">
        <v>2035</v>
      </c>
      <c r="K230" s="424">
        <v>2040</v>
      </c>
      <c r="L230" s="424">
        <v>2045</v>
      </c>
      <c r="M230" s="424">
        <v>2050</v>
      </c>
      <c r="N230" s="12"/>
    </row>
    <row r="231" spans="4:14" ht="15" customHeight="1">
      <c r="D231" s="12"/>
      <c r="E231" s="2653" t="s">
        <v>542</v>
      </c>
      <c r="F231" s="12">
        <v>0</v>
      </c>
      <c r="G231" s="3076">
        <f>(INDEX(ST_CAPACIDAD_GENERACION_ENERGIAS_RENOVABLES_NO_CONVENCIONALES,HIDRO_GRANDES_CENTRALES_HIDROELECTRICAS,_2020)-INDEX(ST_CAPACIDAD_GENERACION_ENERGIAS_RENOVABLES_NO_CONVENCIONALES,HIDRO_GRANDES_CENTRALES_HIDROELECTRICAS,_2018))*COSTOS_CAPITAL_GRANDES_CENTRALES_HIDROELECTRICAS_USD_KW_MEDIO/UNIDAD_KW_A_MW*COSTOS_2019_US_dolares_MMCOP</f>
        <v>0</v>
      </c>
      <c r="H231" s="3076">
        <f>(INDEX(ST_CAPACIDAD_GENERACION_ENERGIAS_RENOVABLES_NO_CONVENCIONALES,HIDRO_GRANDES_CENTRALES_HIDROELECTRICAS,_2025)-INDEX(ST_CAPACIDAD_GENERACION_ENERGIAS_RENOVABLES_NO_CONVENCIONALES,HIDRO_GRANDES_CENTRALES_HIDROELECTRICAS,_2020))*COSTOS_CAPITAL_GRANDES_CENTRALES_HIDROELECTRICAS_USD_KW_MEDIO/UNIDAD_KW_A_MW*COSTOS_2019_US_dolares_MMCOP</f>
        <v>25458.465090563855</v>
      </c>
      <c r="I231" s="3076">
        <f>(INDEX(ST_CAPACIDAD_GENERACION_ENERGIAS_RENOVABLES_NO_CONVENCIONALES,HIDRO_GRANDES_CENTRALES_HIDROELECTRICAS,_2030)-INDEX(ST_CAPACIDAD_GENERACION_ENERGIAS_RENOVABLES_NO_CONVENCIONALES,HIDRO_GRANDES_CENTRALES_HIDROELECTRICAS,_2025))*COSTOS_CAPITAL_GRANDES_CENTRALES_HIDROELECTRICAS_USD_KW_MEDIO/UNIDAD_KW_A_MW*COSTOS_2019_US_dolares_MMCOP</f>
        <v>0</v>
      </c>
      <c r="J231" s="3076">
        <f>(INDEX(ST_CAPACIDAD_GENERACION_ENERGIAS_RENOVABLES_NO_CONVENCIONALES,HIDRO_GRANDES_CENTRALES_HIDROELECTRICAS,_2035)-INDEX(ST_CAPACIDAD_GENERACION_ENERGIAS_RENOVABLES_NO_CONVENCIONALES,HIDRO_GRANDES_CENTRALES_HIDROELECTRICAS,_2030))*COSTOS_CAPITAL_GRANDES_CENTRALES_HIDROELECTRICAS_USD_KW_MEDIO/UNIDAD_KW_A_MW*COSTOS_2019_US_dolares_MMCOP</f>
        <v>0</v>
      </c>
      <c r="K231" s="3076">
        <f>(INDEX(ST_CAPACIDAD_GENERACION_ENERGIAS_RENOVABLES_NO_CONVENCIONALES,HIDRO_GRANDES_CENTRALES_HIDROELECTRICAS,_2040)-INDEX(ST_CAPACIDAD_GENERACION_ENERGIAS_RENOVABLES_NO_CONVENCIONALES,HIDRO_GRANDES_CENTRALES_HIDROELECTRICAS,_2035))*COSTOS_CAPITAL_GRANDES_CENTRALES_HIDROELECTRICAS_USD_KW_MEDIO/UNIDAD_KW_A_MW*COSTOS_2019_US_dolares_MMCOP</f>
        <v>0</v>
      </c>
      <c r="L231" s="3076">
        <f>(INDEX(ST_CAPACIDAD_GENERACION_ENERGIAS_RENOVABLES_NO_CONVENCIONALES,HIDRO_GRANDES_CENTRALES_HIDROELECTRICAS,_2045)-INDEX(ST_CAPACIDAD_GENERACION_ENERGIAS_RENOVABLES_NO_CONVENCIONALES,HIDRO_GRANDES_CENTRALES_HIDROELECTRICAS,_2040))*COSTOS_CAPITAL_GRANDES_CENTRALES_HIDROELECTRICAS_USD_KW_MEDIO/UNIDAD_KW_A_MW*COSTOS_2019_US_dolares_MMCOP</f>
        <v>0</v>
      </c>
      <c r="M231" s="3076">
        <f>(INDEX(ST_CAPACIDAD_GENERACION_ENERGIAS_RENOVABLES_NO_CONVENCIONALES,HIDRO_GRANDES_CENTRALES_HIDROELECTRICAS,_2050)-INDEX(ST_CAPACIDAD_GENERACION_ENERGIAS_RENOVABLES_NO_CONVENCIONALES,HIDRO_GRANDES_CENTRALES_HIDROELECTRICAS,_2045))*COSTOS_CAPITAL_GRANDES_CENTRALES_HIDROELECTRICAS_USD_KW_MEDIO/UNIDAD_KW_A_MW*COSTOS_2019_US_dolares_MMCOP</f>
        <v>8486.1550301879579</v>
      </c>
      <c r="N231" s="12"/>
    </row>
    <row r="232" spans="4:14" ht="15" customHeight="1">
      <c r="D232" s="12"/>
      <c r="E232" s="920" t="s">
        <v>543</v>
      </c>
      <c r="F232" s="12">
        <v>0</v>
      </c>
      <c r="G232" s="3076">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MEDIO/UNIDAD_KW_A_MW*COSTOS_2019_US_dolares_MMCOP</f>
        <v>0</v>
      </c>
      <c r="H232" s="3076">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MEDIO/UNIDAD_KW_A_MW*COSTOS_2019_US_dolares_MMCOP</f>
        <v>0</v>
      </c>
      <c r="I232" s="3076">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MEDIO/UNIDAD_KW_A_MW*COSTOS_2019_US_dolares_MMCOP</f>
        <v>0</v>
      </c>
      <c r="J232" s="3076">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MEDIO/UNIDAD_KW_A_MW*COSTOS_2019_US_dolares_MMCOP</f>
        <v>0</v>
      </c>
      <c r="K232" s="3076">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MEDIO/UNIDAD_KW_A_MW*COSTOS_2019_US_dolares_MMCOP</f>
        <v>0</v>
      </c>
      <c r="L232" s="3076">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MEDIO/UNIDAD_KW_A_MW*COSTOS_2019_US_dolares_MMCOP</f>
        <v>0</v>
      </c>
      <c r="M232" s="3076">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MEDIO/UNIDAD_KW_A_MW*COSTOS_2019_US_dolares_MMCOP</f>
        <v>0</v>
      </c>
      <c r="N232" s="12"/>
    </row>
    <row r="233" spans="4:14" ht="15" customHeight="1">
      <c r="D233" s="12"/>
      <c r="E233" s="920" t="s">
        <v>1727</v>
      </c>
      <c r="F233" s="12">
        <v>0</v>
      </c>
      <c r="G233" s="3076">
        <f>(INDEX(ST_CAPACIDAD_GENERACION_ENERGIAS_RENOVABLES_NO_CONVENCIONALES,SOLAR_DISTRIBUIDA_TERCIARIO,_2020)-INDEX(ST_CAPACIDAD_GENERACION_ENERGIAS_RENOVABLES_NO_CONVENCIONALES,SOLAR_DISTRIBUIDA_TERCIARIO,_2018))*COSTOS_CAPITAL_SOLAR_TERMICA_USD_KW_MEDIO/UNIDAD_KW_A_MW*COSTOS_2019_US_dolares_MMCOP</f>
        <v>0</v>
      </c>
      <c r="H233" s="3076">
        <f>(INDEX(ST_CAPACIDAD_GENERACION_ENERGIAS_RENOVABLES_NO_CONVENCIONALES,SOLAR_DISTRIBUIDA_TERCIARIO,_2025)-INDEX(ST_CAPACIDAD_GENERACION_ENERGIAS_RENOVABLES_NO_CONVENCIONALES,SOLAR_DISTRIBUIDA_TERCIARIO,_2020))*COSTOS_CAPITAL_SOLAR_TERMICA_USD_KW_MEDIO/UNIDAD_KW_A_MW*COSTOS_2019_US_dolares_MMCOP</f>
        <v>0</v>
      </c>
      <c r="I233" s="3076">
        <f>(INDEX(ST_CAPACIDAD_GENERACION_ENERGIAS_RENOVABLES_NO_CONVENCIONALES,SOLAR_DISTRIBUIDA_TERCIARIO,_2030)-INDEX(ST_CAPACIDAD_GENERACION_ENERGIAS_RENOVABLES_NO_CONVENCIONALES,SOLAR_DISTRIBUIDA_TERCIARIO,_2025))*COSTOS_CAPITAL_SOLAR_TERMICA_USD_KW_MEDIO/UNIDAD_KW_A_MW*COSTOS_2019_US_dolares_MMCOP</f>
        <v>0</v>
      </c>
      <c r="J233" s="3076">
        <f>(INDEX(ST_CAPACIDAD_GENERACION_ENERGIAS_RENOVABLES_NO_CONVENCIONALES,SOLAR_DISTRIBUIDA_TERCIARIO,_2035)-INDEX(ST_CAPACIDAD_GENERACION_ENERGIAS_RENOVABLES_NO_CONVENCIONALES,SOLAR_DISTRIBUIDA_TERCIARIO,_2030))*COSTOS_CAPITAL_SOLAR_TERMICA_USD_KW_MEDIO/UNIDAD_KW_A_MW*COSTOS_2019_US_dolares_MMCOP</f>
        <v>11806.660351475188</v>
      </c>
      <c r="K233" s="3076">
        <f>(INDEX(ST_CAPACIDAD_GENERACION_ENERGIAS_RENOVABLES_NO_CONVENCIONALES,SOLAR_DISTRIBUIDA_TERCIARIO,_2040)-INDEX(ST_CAPACIDAD_GENERACION_ENERGIAS_RENOVABLES_NO_CONVENCIONALES,SOLAR_DISTRIBUIDA_TERCIARIO,_2035))*COSTOS_CAPITAL_SOLAR_TERMICA_USD_KW_MEDIO/UNIDAD_KW_A_MW*COSTOS_2019_US_dolares_MMCOP</f>
        <v>0</v>
      </c>
      <c r="L233" s="3076">
        <f>(INDEX(ST_CAPACIDAD_GENERACION_ENERGIAS_RENOVABLES_NO_CONVENCIONALES,SOLAR_DISTRIBUIDA_TERCIARIO,_2045)-INDEX(ST_CAPACIDAD_GENERACION_ENERGIAS_RENOVABLES_NO_CONVENCIONALES,SOLAR_DISTRIBUIDA_TERCIARIO,_2040))*COSTOS_CAPITAL_SOLAR_TERMICA_USD_KW_MEDIO/UNIDAD_KW_A_MW*COSTOS_2019_US_dolares_MMCOP</f>
        <v>0</v>
      </c>
      <c r="M233" s="3076">
        <f>(INDEX(ST_CAPACIDAD_GENERACION_ENERGIAS_RENOVABLES_NO_CONVENCIONALES,SOLAR_DISTRIBUIDA_TERCIARIO,_2050)-INDEX(ST_CAPACIDAD_GENERACION_ENERGIAS_RENOVABLES_NO_CONVENCIONALES,SOLAR_DISTRIBUIDA_TERCIARIO,_2045))*COSTOS_CAPITAL_SOLAR_TERMICA_USD_KW_MEDIO/UNIDAD_KW_A_MW*COSTOS_2019_US_dolares_MMCOP</f>
        <v>0</v>
      </c>
      <c r="N233" s="12"/>
    </row>
    <row r="234" spans="4:14" ht="15" customHeight="1">
      <c r="D234" s="12"/>
      <c r="E234" s="920" t="s">
        <v>545</v>
      </c>
      <c r="F234" s="12">
        <v>0</v>
      </c>
      <c r="G234" s="3076">
        <f>(INDEX(ST_CAPACIDAD_GENERACION_ENERGIAS_RENOVABLES_NO_CONVENCIONALES,SOLAR_SOLAR_FOTOVOLTAICA,_2020)-INDEX(ST_CAPACIDAD_GENERACION_ENERGIAS_RENOVABLES_NO_CONVENCIONALES,SOLAR_SOLAR_FOTOVOLTAICA,_2018))*COSTOS_CAPITAL_SOLAR_FOTOVOLTAICA_USD_KW_MEDIO/UNIDAD_KW_A_MW*COSTOS_2019_US_dolares_MMCOP</f>
        <v>0</v>
      </c>
      <c r="H234" s="3076">
        <f>(INDEX(ST_CAPACIDAD_GENERACION_ENERGIAS_RENOVABLES_NO_CONVENCIONALES,SOLAR_SOLAR_FOTOVOLTAICA,_2025)-INDEX(ST_CAPACIDAD_GENERACION_ENERGIAS_RENOVABLES_NO_CONVENCIONALES,SOLAR_SOLAR_FOTOVOLTAICA,_2020))*COSTOS_CAPITAL_SOLAR_FOTOVOLTAICA_USD_KW_MEDIO/UNIDAD_KW_A_MW*COSTOS_2019_US_dolares_MMCOP</f>
        <v>3571.9351045970438</v>
      </c>
      <c r="I234" s="3076">
        <f>(INDEX(ST_CAPACIDAD_GENERACION_ENERGIAS_RENOVABLES_NO_CONVENCIONALES,SOLAR_SOLAR_FOTOVOLTAICA,_2030)-INDEX(ST_CAPACIDAD_GENERACION_ENERGIAS_RENOVABLES_NO_CONVENCIONALES,SOLAR_SOLAR_FOTOVOLTAICA,_2025))*COSTOS_CAPITAL_SOLAR_FOTOVOLTAICA_USD_KW_MEDIO/UNIDAD_KW_A_MW*COSTOS_2019_US_dolares_MMCOP</f>
        <v>0</v>
      </c>
      <c r="J234" s="3076">
        <f>(INDEX(ST_CAPACIDAD_GENERACION_ENERGIAS_RENOVABLES_NO_CONVENCIONALES,SOLAR_SOLAR_FOTOVOLTAICA,_2035)-INDEX(ST_CAPACIDAD_GENERACION_ENERGIAS_RENOVABLES_NO_CONVENCIONALES,SOLAR_SOLAR_FOTOVOLTAICA,_2030))*COSTOS_CAPITAL_SOLAR_FOTOVOLTAICA_USD_KW_MEDIO/UNIDAD_KW_A_MW*COSTOS_2019_US_dolares_MMCOP</f>
        <v>3571.9351045970438</v>
      </c>
      <c r="K234" s="3076">
        <f>(INDEX(ST_CAPACIDAD_GENERACION_ENERGIAS_RENOVABLES_NO_CONVENCIONALES,SOLAR_SOLAR_FOTOVOLTAICA,_2040)-INDEX(ST_CAPACIDAD_GENERACION_ENERGIAS_RENOVABLES_NO_CONVENCIONALES,SOLAR_SOLAR_FOTOVOLTAICA,_2035))*COSTOS_CAPITAL_SOLAR_FOTOVOLTAICA_USD_KW_MEDIO/UNIDAD_KW_A_MW*COSTOS_2019_US_dolares_MMCOP</f>
        <v>7143.8702091940877</v>
      </c>
      <c r="L234" s="3076">
        <f>(INDEX(ST_CAPACIDAD_GENERACION_ENERGIAS_RENOVABLES_NO_CONVENCIONALES,SOLAR_SOLAR_FOTOVOLTAICA,_2045)-INDEX(ST_CAPACIDAD_GENERACION_ENERGIAS_RENOVABLES_NO_CONVENCIONALES,SOLAR_SOLAR_FOTOVOLTAICA,_2040))*COSTOS_CAPITAL_SOLAR_FOTOVOLTAICA_USD_KW_MEDIO/UNIDAD_KW_A_MW*COSTOS_2019_US_dolares_MMCOP</f>
        <v>10715.805313791127</v>
      </c>
      <c r="M234" s="3076">
        <f>(INDEX(ST_CAPACIDAD_GENERACION_ENERGIAS_RENOVABLES_NO_CONVENCIONALES,SOLAR_SOLAR_FOTOVOLTAICA,_2050)-INDEX(ST_CAPACIDAD_GENERACION_ENERGIAS_RENOVABLES_NO_CONVENCIONALES,SOLAR_SOLAR_FOTOVOLTAICA,_2045))*COSTOS_CAPITAL_SOLAR_FOTOVOLTAICA_USD_KW_MEDIO/UNIDAD_KW_A_MW*COSTOS_2019_US_dolares_MMCOP</f>
        <v>7143.870209194085</v>
      </c>
      <c r="N234" s="12"/>
    </row>
    <row r="235" spans="4:14" ht="15" customHeight="1">
      <c r="D235" s="12"/>
      <c r="E235" s="920" t="s">
        <v>546</v>
      </c>
      <c r="F235" s="12">
        <v>0</v>
      </c>
      <c r="G235" s="3076">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H235" s="3076">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I235" s="3076">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J235" s="3076">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K235" s="3076">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L235" s="3076">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M235" s="3076">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N235" s="12"/>
    </row>
    <row r="236" spans="4:14" ht="15" customHeight="1">
      <c r="D236" s="12"/>
      <c r="E236" s="920" t="s">
        <v>547</v>
      </c>
      <c r="F236" s="12">
        <v>0</v>
      </c>
      <c r="G236" s="3076">
        <f>(INDEX(ST_CAPACIDAD_GENERACION_ENERGIAS_RENOVABLES_NO_CONVENCIONALES,EOLICA_EOLICA_COSTA_ADENTRO_RESTO_PAIS,_2020)-INDEX(ST_CAPACIDAD_GENERACION_ENERGIAS_RENOVABLES_NO_CONVENCIONALES,EOLICA_EOLICA_COSTA_ADENTRO_RESTO_PAIS,_2018))*COSTOS_CAPITAL_EOLICA_COSTA_AFUERA_USD_KW_MEDIO/UNIDAD_KW_A_MW*COSTOS_2019_US_dolares_MMCOP</f>
        <v>0</v>
      </c>
      <c r="H236" s="3076">
        <f>(INDEX(ST_CAPACIDAD_GENERACION_ENERGIAS_RENOVABLES_NO_CONVENCIONALES,EOLICA_EOLICA_COSTA_ADENTRO_RESTO_PAIS,_2025)-INDEX(ST_CAPACIDAD_GENERACION_ENERGIAS_RENOVABLES_NO_CONVENCIONALES,EOLICA_EOLICA_COSTA_ADENTRO_RESTO_PAIS,_2020))*COSTOS_CAPITAL_EOLICA_COSTA_AFUERA_USD_KW_MEDIO/UNIDAD_KW_A_MW*COSTOS_2019_US_dolares_MMCOP</f>
        <v>0</v>
      </c>
      <c r="I236" s="3076">
        <f>(INDEX(ST_CAPACIDAD_GENERACION_ENERGIAS_RENOVABLES_NO_CONVENCIONALES,EOLICA_EOLICA_COSTA_ADENTRO_RESTO_PAIS,_2030)-INDEX(ST_CAPACIDAD_GENERACION_ENERGIAS_RENOVABLES_NO_CONVENCIONALES,EOLICA_EOLICA_COSTA_ADENTRO_RESTO_PAIS,_2025))*COSTOS_CAPITAL_EOLICA_COSTA_AFUERA_USD_KW_MEDIO/UNIDAD_KW_A_MW*COSTOS_2019_US_dolares_MMCOP</f>
        <v>0</v>
      </c>
      <c r="J236" s="3076">
        <f>(INDEX(ST_CAPACIDAD_GENERACION_ENERGIAS_RENOVABLES_NO_CONVENCIONALES,EOLICA_EOLICA_COSTA_ADENTRO_RESTO_PAIS,_2035)-INDEX(ST_CAPACIDAD_GENERACION_ENERGIAS_RENOVABLES_NO_CONVENCIONALES,EOLICA_EOLICA_COSTA_ADENTRO_RESTO_PAIS,_2030))*COSTOS_CAPITAL_EOLICA_COSTA_AFUERA_USD_KW_MEDIO/UNIDAD_KW_A_MW*COSTOS_2019_US_dolares_MMCOP</f>
        <v>0</v>
      </c>
      <c r="K236" s="3076">
        <f>(INDEX(ST_CAPACIDAD_GENERACION_ENERGIAS_RENOVABLES_NO_CONVENCIONALES,EOLICA_EOLICA_COSTA_ADENTRO_RESTO_PAIS,_2040)-INDEX(ST_CAPACIDAD_GENERACION_ENERGIAS_RENOVABLES_NO_CONVENCIONALES,EOLICA_EOLICA_COSTA_ADENTRO_RESTO_PAIS,_2035))*COSTOS_CAPITAL_EOLICA_COSTA_AFUERA_USD_KW_MEDIO/UNIDAD_KW_A_MW*COSTOS_2019_US_dolares_MMCOP</f>
        <v>0</v>
      </c>
      <c r="L236" s="3076">
        <f>(INDEX(ST_CAPACIDAD_GENERACION_ENERGIAS_RENOVABLES_NO_CONVENCIONALES,EOLICA_EOLICA_COSTA_ADENTRO_RESTO_PAIS,_2045)-INDEX(ST_CAPACIDAD_GENERACION_ENERGIAS_RENOVABLES_NO_CONVENCIONALES,EOLICA_EOLICA_COSTA_ADENTRO_RESTO_PAIS,_2040))*COSTOS_CAPITAL_EOLICA_COSTA_AFUERA_USD_KW_MEDIO/UNIDAD_KW_A_MW*COSTOS_2019_US_dolares_MMCOP</f>
        <v>23523.099609608082</v>
      </c>
      <c r="M236" s="3076">
        <f>(INDEX(ST_CAPACIDAD_GENERACION_ENERGIAS_RENOVABLES_NO_CONVENCIONALES,EOLICA_EOLICA_COSTA_ADENTRO_RESTO_PAIS,_2050)-INDEX(ST_CAPACIDAD_GENERACION_ENERGIAS_RENOVABLES_NO_CONVENCIONALES,EOLICA_EOLICA_COSTA_ADENTRO_RESTO_PAIS,_2045))*COSTOS_CAPITAL_EOLICA_COSTA_AFUERA_USD_KW_MEDIO/UNIDAD_KW_A_MW*COSTOS_2019_US_dolares_MMCOP</f>
        <v>0</v>
      </c>
      <c r="N236" s="12"/>
    </row>
    <row r="237" spans="4:14" ht="15" customHeight="1">
      <c r="D237" s="12"/>
      <c r="E237" s="920" t="s">
        <v>548</v>
      </c>
      <c r="F237" s="12">
        <v>0</v>
      </c>
      <c r="G237" s="3076">
        <f>(INDEX(ST_CAPACIDAD_GENERACION_ENERGIAS_RENOVABLES_NO_CONVENCIONALES,EOLICA_EOLICA_COSTA_AFUERA,_2020)-INDEX(ST_CAPACIDAD_GENERACION_ENERGIAS_RENOVABLES_NO_CONVENCIONALES,EOLICA_EOLICA_COSTA_AFUERA,_2018))*COSTOS_CAPITAL_EOLICA_COSTA_AFUERA_USD_KW_MEDIO/UNIDAD_KW_A_MW*COSTOS_2019_US_dolares_MMCOP</f>
        <v>0</v>
      </c>
      <c r="H237" s="3076">
        <f>(INDEX(ST_CAPACIDAD_GENERACION_ENERGIAS_RENOVABLES_NO_CONVENCIONALES,EOLICA_EOLICA_COSTA_AFUERA,_2025)-INDEX(ST_CAPACIDAD_GENERACION_ENERGIAS_RENOVABLES_NO_CONVENCIONALES,EOLICA_EOLICA_COSTA_AFUERA,_2020))*COSTOS_CAPITAL_EOLICA_COSTA_AFUERA_USD_KW_MEDIO/UNIDAD_KW_A_MW*COSTOS_2019_US_dolares_MMCOP</f>
        <v>0</v>
      </c>
      <c r="I237" s="3076">
        <f>(INDEX(ST_CAPACIDAD_GENERACION_ENERGIAS_RENOVABLES_NO_CONVENCIONALES,EOLICA_EOLICA_COSTA_AFUERA,_2030)-INDEX(ST_CAPACIDAD_GENERACION_ENERGIAS_RENOVABLES_NO_CONVENCIONALES,EOLICA_EOLICA_COSTA_AFUERA,_2025))*COSTOS_CAPITAL_EOLICA_COSTA_AFUERA_USD_KW_MEDIO/UNIDAD_KW_A_MW*COSTOS_2019_US_dolares_MMCOP</f>
        <v>0</v>
      </c>
      <c r="J237" s="3076">
        <f>(INDEX(ST_CAPACIDAD_GENERACION_ENERGIAS_RENOVABLES_NO_CONVENCIONALES,EOLICA_EOLICA_COSTA_AFUERA,_2035)-INDEX(ST_CAPACIDAD_GENERACION_ENERGIAS_RENOVABLES_NO_CONVENCIONALES,EOLICA_EOLICA_COSTA_AFUERA,_2030))*COSTOS_CAPITAL_EOLICA_COSTA_AFUERA_USD_KW_MEDIO/UNIDAD_KW_A_MW*COSTOS_2019_US_dolares_MMCOP</f>
        <v>0</v>
      </c>
      <c r="K237" s="3076">
        <f>(INDEX(ST_CAPACIDAD_GENERACION_ENERGIAS_RENOVABLES_NO_CONVENCIONALES,EOLICA_EOLICA_COSTA_AFUERA,_2040)-INDEX(ST_CAPACIDAD_GENERACION_ENERGIAS_RENOVABLES_NO_CONVENCIONALES,EOLICA_EOLICA_COSTA_AFUERA,_2035))*COSTOS_CAPITAL_EOLICA_COSTA_AFUERA_USD_KW_MEDIO/UNIDAD_KW_A_MW*COSTOS_2019_US_dolares_MMCOP</f>
        <v>0</v>
      </c>
      <c r="L237" s="3076">
        <f>(INDEX(ST_CAPACIDAD_GENERACION_ENERGIAS_RENOVABLES_NO_CONVENCIONALES,EOLICA_EOLICA_COSTA_AFUERA,_2045)-INDEX(ST_CAPACIDAD_GENERACION_ENERGIAS_RENOVABLES_NO_CONVENCIONALES,EOLICA_EOLICA_COSTA_AFUERA,_2040))*COSTOS_CAPITAL_EOLICA_COSTA_AFUERA_USD_KW_MEDIO/UNIDAD_KW_A_MW*COSTOS_2019_US_dolares_MMCOP</f>
        <v>0</v>
      </c>
      <c r="M237" s="3076">
        <f>(INDEX(ST_CAPACIDAD_GENERACION_ENERGIAS_RENOVABLES_NO_CONVENCIONALES,EOLICA_EOLICA_COSTA_AFUERA,_2050)-INDEX(ST_CAPACIDAD_GENERACION_ENERGIAS_RENOVABLES_NO_CONVENCIONALES,EOLICA_EOLICA_COSTA_AFUERA,_2045))*COSTOS_CAPITAL_EOLICA_COSTA_AFUERA_USD_KW_MEDIO/UNIDAD_KW_A_MW*COSTOS_2019_US_dolares_MMCOP</f>
        <v>0</v>
      </c>
      <c r="N237" s="12"/>
    </row>
    <row r="238" spans="4:14" ht="15" customHeight="1">
      <c r="D238" s="12"/>
      <c r="E238" s="920" t="s">
        <v>549</v>
      </c>
      <c r="F238" s="12">
        <v>0</v>
      </c>
      <c r="G238" s="3076">
        <f>(INDEX(ST_CAPACIDAD_GENERACION_ENERGIAS_RENOVABLES_NO_CONVENCIONALES,HIDROGENO_VERDE,_2020)-INDEX(ST_CAPACIDAD_GENERACION_ENERGIAS_RENOVABLES_NO_CONVENCIONALES,HIDROGENO_VERDE,_2018))*COSTOS_CAPITAL_H2_USD_KW_MEDIO/UNIDAD_KW_A_MW*COSTOS_2019_US_dolares_MMCOP</f>
        <v>0</v>
      </c>
      <c r="H238" s="3076">
        <f>(INDEX(ST_CAPACIDAD_GENERACION_ENERGIAS_RENOVABLES_NO_CONVENCIONALES,HIDROGENO_VERDE,_2025)-INDEX(ST_CAPACIDAD_GENERACION_ENERGIAS_RENOVABLES_NO_CONVENCIONALES,HIDROGENO_VERDE,_2020))*COSTOS_CAPITAL_H2_USD_KW_MEDIO/UNIDAD_KW_A_MW*COSTOS_2019_US_dolares_MMCOP</f>
        <v>0</v>
      </c>
      <c r="I238" s="3076">
        <f>(INDEX(ST_CAPACIDAD_GENERACION_ENERGIAS_RENOVABLES_NO_CONVENCIONALES,HIDROGENO_VERDE,_2030)-INDEX(ST_CAPACIDAD_GENERACION_ENERGIAS_RENOVABLES_NO_CONVENCIONALES,HIDROGENO_VERDE,_2025))*COSTOS_CAPITAL_H2_USD_KW_MEDIO/UNIDAD_KW_A_MW*COSTOS_2019_US_dolares_MMCOP</f>
        <v>0</v>
      </c>
      <c r="J238" s="3076">
        <f>(INDEX(ST_CAPACIDAD_GENERACION_ENERGIAS_RENOVABLES_NO_CONVENCIONALES,HIDROGENO_VERDE,_2035)-INDEX(ST_CAPACIDAD_GENERACION_ENERGIAS_RENOVABLES_NO_CONVENCIONALES,HIDROGENO_VERDE,_2030))*COSTOS_CAPITAL_H2_USD_KW_MEDIO/UNIDAD_KW_A_MW*COSTOS_2019_US_dolares_MMCOP</f>
        <v>0</v>
      </c>
      <c r="K238" s="3076">
        <f>(INDEX(ST_CAPACIDAD_GENERACION_ENERGIAS_RENOVABLES_NO_CONVENCIONALES,HIDROGENO_VERDE,_2040)-INDEX(ST_CAPACIDAD_GENERACION_ENERGIAS_RENOVABLES_NO_CONVENCIONALES,HIDROGENO_VERDE,_2035))*COSTOS_CAPITAL_H2_USD_KW_MEDIO/UNIDAD_KW_A_MW*COSTOS_2019_US_dolares_MMCOP</f>
        <v>0</v>
      </c>
      <c r="L238" s="3076">
        <f>(INDEX(ST_CAPACIDAD_GENERACION_ENERGIAS_RENOVABLES_NO_CONVENCIONALES,HIDROGENO_VERDE,_2045)-INDEX(ST_CAPACIDAD_GENERACION_ENERGIAS_RENOVABLES_NO_CONVENCIONALES,HIDROGENO_VERDE,_2040))*COSTOS_CAPITAL_H2_USD_KW_MEDIO/UNIDAD_KW_A_MW*COSTOS_2019_US_dolares_MMCOP</f>
        <v>0</v>
      </c>
      <c r="M238" s="3076">
        <f>(INDEX(ST_CAPACIDAD_GENERACION_ENERGIAS_RENOVABLES_NO_CONVENCIONALES,HIDROGENO_VERDE,_2050)-INDEX(ST_CAPACIDAD_GENERACION_ENERGIAS_RENOVABLES_NO_CONVENCIONALES,HIDROGENO_VERDE,_2045))*COSTOS_CAPITAL_H2_USD_KW_MEDIO/UNIDAD_KW_A_MW*COSTOS_2019_US_dolares_MMCOP</f>
        <v>0</v>
      </c>
      <c r="N238" s="12"/>
    </row>
    <row r="239" spans="4:14" ht="15" customHeight="1">
      <c r="D239" s="12"/>
      <c r="E239" s="920" t="s">
        <v>162</v>
      </c>
      <c r="F239" s="12">
        <v>0</v>
      </c>
      <c r="G239" s="3076">
        <f>(INDEX(ST_CAPACIDAD_GENERACION_ENERGIAS_RENOVABLES_NO_CONVENCIONALES,BIOMASA,_2020)-INDEX(ST_CAPACIDAD_GENERACION_ENERGIAS_RENOVABLES_NO_CONVENCIONALES,BIOMASA,_2018))*COSTOS_CAPITAL_BIOMASA_USD_KW_MEDIO/UNIDAD_KW_A_MW*COSTOS_2019_US_dolares_MMCOP</f>
        <v>0</v>
      </c>
      <c r="H239" s="3076">
        <f>(INDEX(ST_CAPACIDAD_GENERACION_ENERGIAS_RENOVABLES_NO_CONVENCIONALES,BIOMASA,_2025)-INDEX(ST_CAPACIDAD_GENERACION_ENERGIAS_RENOVABLES_NO_CONVENCIONALES,BIOMASA,_2020))*COSTOS_CAPITAL_BIOMASA_USD_KW_MEDIO/UNIDAD_KW_A_MW*COSTOS_2019_US_dolares_MMCOP</f>
        <v>0</v>
      </c>
      <c r="I239" s="3076">
        <f>(INDEX(ST_CAPACIDAD_GENERACION_ENERGIAS_RENOVABLES_NO_CONVENCIONALES,BIOMASA,_2030)-INDEX(ST_CAPACIDAD_GENERACION_ENERGIAS_RENOVABLES_NO_CONVENCIONALES,BIOMASA,_2025))*COSTOS_CAPITAL_BIOMASA_USD_KW_MEDIO/UNIDAD_KW_A_MW*COSTOS_2019_US_dolares_MMCOP</f>
        <v>0</v>
      </c>
      <c r="J239" s="3076">
        <f>(INDEX(ST_CAPACIDAD_GENERACION_ENERGIAS_RENOVABLES_NO_CONVENCIONALES,BIOMASA,_2035)-INDEX(ST_CAPACIDAD_GENERACION_ENERGIAS_RENOVABLES_NO_CONVENCIONALES,BIOMASA,_2030))*COSTOS_CAPITAL_BIOMASA_USD_KW_MEDIO/UNIDAD_KW_A_MW*COSTOS_2019_US_dolares_MMCOP</f>
        <v>0</v>
      </c>
      <c r="K239" s="3076">
        <f>(INDEX(ST_CAPACIDAD_GENERACION_ENERGIAS_RENOVABLES_NO_CONVENCIONALES,BIOMASA,_2040)-INDEX(ST_CAPACIDAD_GENERACION_ENERGIAS_RENOVABLES_NO_CONVENCIONALES,BIOMASA,_2035))*COSTOS_CAPITAL_BIOMASA_USD_KW_MEDIO/UNIDAD_KW_A_MW*COSTOS_2019_US_dolares_MMCOP</f>
        <v>0</v>
      </c>
      <c r="L239" s="3076">
        <f>(INDEX(ST_CAPACIDAD_GENERACION_ENERGIAS_RENOVABLES_NO_CONVENCIONALES,BIOMASA,_2045)-INDEX(ST_CAPACIDAD_GENERACION_ENERGIAS_RENOVABLES_NO_CONVENCIONALES,BIOMASA,_2040))*COSTOS_CAPITAL_BIOMASA_USD_KW_MEDIO/UNIDAD_KW_A_MW*COSTOS_2019_US_dolares_MMCOP</f>
        <v>0</v>
      </c>
      <c r="M239" s="3076">
        <f>(INDEX(ST_CAPACIDAD_GENERACION_ENERGIAS_RENOVABLES_NO_CONVENCIONALES,BIOMASA,_2050)-INDEX(ST_CAPACIDAD_GENERACION_ENERGIAS_RENOVABLES_NO_CONVENCIONALES,BIOMASA,_2045))*COSTOS_CAPITAL_BIOMASA_USD_KW_MEDIO/UNIDAD_KW_A_MW*COSTOS_2019_US_dolares_MMCOP</f>
        <v>0</v>
      </c>
      <c r="N239" s="12"/>
    </row>
    <row r="240" spans="4:14" ht="15" customHeight="1">
      <c r="D240" s="12"/>
      <c r="E240" s="1019" t="s">
        <v>504</v>
      </c>
      <c r="F240" s="275">
        <v>0</v>
      </c>
      <c r="G240" s="2668">
        <f>(INDEX(ST_CAPACIDAD_GENERACION_ENERGIAS_RENOVABLES_NO_CONVENCIONALES,BAGAZO,_2020)-INDEX(ST_CAPACIDAD_GENERACION_ENERGIAS_RENOVABLES_NO_CONVENCIONALES,BAGAZO,_2018))*COSTOS_CAPITAL_BAGAZO_USD_KW_MEDIO/UNIDAD_KW_A_MW*COSTOS_2019_US_dolares_MMCOP</f>
        <v>0</v>
      </c>
      <c r="H240" s="2668">
        <f>(INDEX(ST_CAPACIDAD_GENERACION_ENERGIAS_RENOVABLES_NO_CONVENCIONALES,BAGAZO,_2025)-INDEX(ST_CAPACIDAD_GENERACION_ENERGIAS_RENOVABLES_NO_CONVENCIONALES,BAGAZO,_2020))*COSTOS_CAPITAL_BAGAZO_USD_KW_MEDIO/UNIDAD_KW_A_MW*COSTOS_2019_US_dolares_MMCOP</f>
        <v>0</v>
      </c>
      <c r="I240" s="2668">
        <f>(INDEX(ST_CAPACIDAD_GENERACION_ENERGIAS_RENOVABLES_NO_CONVENCIONALES,BAGAZO,_2030)-INDEX(ST_CAPACIDAD_GENERACION_ENERGIAS_RENOVABLES_NO_CONVENCIONALES,BAGAZO,_2025))*COSTOS_CAPITAL_BAGAZO_USD_KW_MEDIO/UNIDAD_KW_A_MW*COSTOS_2019_US_dolares_MMCOP</f>
        <v>0</v>
      </c>
      <c r="J240" s="2668">
        <f>(INDEX(ST_CAPACIDAD_GENERACION_ENERGIAS_RENOVABLES_NO_CONVENCIONALES,BAGAZO,_2035)-INDEX(ST_CAPACIDAD_GENERACION_ENERGIAS_RENOVABLES_NO_CONVENCIONALES,BAGAZO,_2030))*COSTOS_CAPITAL_BAGAZO_USD_KW_MEDIO/UNIDAD_KW_A_MW*COSTOS_2019_US_dolares_MMCOP</f>
        <v>0</v>
      </c>
      <c r="K240" s="2668">
        <f>(INDEX(ST_CAPACIDAD_GENERACION_ENERGIAS_RENOVABLES_NO_CONVENCIONALES,BAGAZO,_2040)-INDEX(ST_CAPACIDAD_GENERACION_ENERGIAS_RENOVABLES_NO_CONVENCIONALES,BAGAZO,_2035))*COSTOS_CAPITAL_BAGAZO_USD_KW_MEDIO/UNIDAD_KW_A_MW*COSTOS_2019_US_dolares_MMCOP</f>
        <v>0</v>
      </c>
      <c r="L240" s="2668">
        <f>(INDEX(ST_CAPACIDAD_GENERACION_ENERGIAS_RENOVABLES_NO_CONVENCIONALES,BAGAZO,_2045)-INDEX(ST_CAPACIDAD_GENERACION_ENERGIAS_RENOVABLES_NO_CONVENCIONALES,BAGAZO,_2040))*COSTOS_CAPITAL_BAGAZO_USD_KW_MEDIO/UNIDAD_KW_A_MW*COSTOS_2019_US_dolares_MMCOP</f>
        <v>0</v>
      </c>
      <c r="M240" s="2668">
        <f>(INDEX(ST_CAPACIDAD_GENERACION_ENERGIAS_RENOVABLES_NO_CONVENCIONALES,BAGAZO,_2050)-INDEX(ST_CAPACIDAD_GENERACION_ENERGIAS_RENOVABLES_NO_CONVENCIONALES,BAGAZO,_2045))*COSTOS_CAPITAL_BAGAZO_USD_KW_MEDIO/UNIDAD_KW_A_MW*COSTOS_2019_US_dolares_MMCOP</f>
        <v>0</v>
      </c>
      <c r="N240" s="12"/>
    </row>
    <row r="241" spans="4:14" ht="15" customHeight="1">
      <c r="D241" s="12"/>
      <c r="E241" s="2677" t="s">
        <v>338</v>
      </c>
      <c r="F241" s="2679">
        <f t="shared" ref="F241:M241" si="10">SUM(F231:F240)</f>
        <v>0</v>
      </c>
      <c r="G241" s="3078">
        <f t="shared" si="10"/>
        <v>0</v>
      </c>
      <c r="H241" s="3078">
        <f t="shared" si="10"/>
        <v>29030.400195160899</v>
      </c>
      <c r="I241" s="3078">
        <f t="shared" si="10"/>
        <v>0</v>
      </c>
      <c r="J241" s="3078">
        <f t="shared" si="10"/>
        <v>15378.595456072231</v>
      </c>
      <c r="K241" s="3078">
        <f t="shared" si="10"/>
        <v>7143.8702091940877</v>
      </c>
      <c r="L241" s="3078">
        <f t="shared" si="10"/>
        <v>34238.904923399212</v>
      </c>
      <c r="M241" s="3078">
        <f t="shared" si="10"/>
        <v>15630.025239382043</v>
      </c>
      <c r="N241" s="12"/>
    </row>
    <row r="242" spans="4:14" ht="15" customHeight="1">
      <c r="D242" s="12"/>
      <c r="E242" s="12"/>
      <c r="F242" s="12"/>
      <c r="G242" s="12"/>
      <c r="H242" s="12"/>
      <c r="I242" s="12"/>
      <c r="J242" s="12"/>
      <c r="K242" s="12"/>
      <c r="L242" s="12"/>
      <c r="M242" s="12"/>
      <c r="N242" s="12"/>
    </row>
    <row r="243" spans="4:14" ht="15" customHeight="1">
      <c r="D243" s="12"/>
      <c r="E243" s="1027" t="s">
        <v>1739</v>
      </c>
      <c r="F243" s="1020"/>
      <c r="G243" s="1021"/>
      <c r="H243" s="1020"/>
      <c r="I243" s="1022"/>
      <c r="J243" s="1020"/>
      <c r="K243" s="1022"/>
      <c r="L243" s="1022"/>
      <c r="M243" s="1022"/>
      <c r="N243" s="12"/>
    </row>
    <row r="244" spans="4:14" ht="15" customHeight="1">
      <c r="D244" s="12"/>
      <c r="E244" s="12"/>
      <c r="F244" s="12"/>
      <c r="G244" s="12"/>
      <c r="H244" s="12"/>
      <c r="I244" s="12"/>
      <c r="J244" s="12"/>
      <c r="K244" s="12"/>
      <c r="L244" s="12"/>
      <c r="M244" s="12"/>
      <c r="N244" s="12"/>
    </row>
    <row r="245" spans="4:14" ht="15" customHeight="1">
      <c r="D245" s="12"/>
      <c r="E245" s="1019" t="s">
        <v>1735</v>
      </c>
      <c r="F245" s="12"/>
      <c r="G245" s="12"/>
      <c r="H245" s="12"/>
      <c r="I245" s="12"/>
      <c r="J245" s="12"/>
      <c r="K245" s="12"/>
      <c r="L245" s="12"/>
      <c r="M245" s="1874" t="s">
        <v>803</v>
      </c>
      <c r="N245" s="12"/>
    </row>
    <row r="246" spans="4:14" ht="15" customHeight="1">
      <c r="D246" s="12"/>
      <c r="E246" s="424" t="s">
        <v>859</v>
      </c>
      <c r="F246" s="424">
        <v>2018</v>
      </c>
      <c r="G246" s="424">
        <v>2020</v>
      </c>
      <c r="H246" s="424">
        <v>2025</v>
      </c>
      <c r="I246" s="424">
        <v>2030</v>
      </c>
      <c r="J246" s="424">
        <v>2035</v>
      </c>
      <c r="K246" s="424">
        <v>2040</v>
      </c>
      <c r="L246" s="424">
        <v>2045</v>
      </c>
      <c r="M246" s="424">
        <v>2050</v>
      </c>
      <c r="N246" s="12"/>
    </row>
    <row r="247" spans="4:14" ht="15" customHeight="1">
      <c r="D247" s="12"/>
      <c r="E247" s="2653" t="s">
        <v>535</v>
      </c>
      <c r="F247" s="12">
        <v>0</v>
      </c>
      <c r="G247" s="3076">
        <f>(INDEX(ST_CAPACIDAD_GENERACION_COMBUSTIBLES_FOSILES,TERMOELECTRICA_GAS_NATURAL,_2020)-INDEX(ST_CAPACIDAD_GENERACION_COMBUSTIBLES_FOSILES,TERMOELECTRICA_GAS_NATURAL,_2018))*COSTOS_CAPITAL_ELECTRICIDAD_TERMOELECTRICA_GN_USD_KW_BAJO/UNIDAD_KW_A_MW*COSTOS_2019_US_dolares_MMCOP</f>
        <v>0</v>
      </c>
      <c r="H247" s="3076">
        <f>(INDEX(ST_CAPACIDAD_GENERACION_COMBUSTIBLES_FOSILES,TERMOELECTRICA_GAS_NATURAL,_2025)-INDEX(ST_CAPACIDAD_GENERACION_COMBUSTIBLES_FOSILES,TERMOELECTRICA_GAS_NATURAL,_2020))*COSTOS_CAPITAL_ELECTRICIDAD_TERMOELECTRICA_GN_USD_KW_BAJO/UNIDAD_KW_A_MW*COSTOS_2019_US_dolares_MMCOP</f>
        <v>3682.660991880763</v>
      </c>
      <c r="I247" s="3076">
        <f>(INDEX(ST_CAPACIDAD_GENERACION_COMBUSTIBLES_FOSILES,TERMOELECTRICA_GAS_NATURAL,_2030)-INDEX(ST_CAPACIDAD_GENERACION_COMBUSTIBLES_FOSILES,TERMOELECTRICA_GAS_NATURAL,_2025))*COSTOS_CAPITAL_ELECTRICIDAD_TERMOELECTRICA_GN_USD_KW_BAJO/UNIDAD_KW_A_MW*COSTOS_2019_US_dolares_MMCOP</f>
        <v>0</v>
      </c>
      <c r="J247" s="3076">
        <f>(INDEX(ST_CAPACIDAD_GENERACION_COMBUSTIBLES_FOSILES,TERMOELECTRICA_GAS_NATURAL,_2035)-INDEX(ST_CAPACIDAD_GENERACION_COMBUSTIBLES_FOSILES,TERMOELECTRICA_GAS_NATURAL,_2030))*COSTOS_CAPITAL_ELECTRICIDAD_TERMOELECTRICA_GN_USD_KW_BAJO/UNIDAD_KW_A_MW*COSTOS_2019_US_dolares_MMCOP</f>
        <v>0</v>
      </c>
      <c r="K247" s="3076">
        <f>(INDEX(ST_CAPACIDAD_GENERACION_COMBUSTIBLES_FOSILES,TERMOELECTRICA_GAS_NATURAL,_2040)-INDEX(ST_CAPACIDAD_GENERACION_COMBUSTIBLES_FOSILES,TERMOELECTRICA_GAS_NATURAL,_2035))*COSTOS_CAPITAL_ELECTRICIDAD_TERMOELECTRICA_GN_USD_KW_BAJO/UNIDAD_KW_A_MW*COSTOS_2019_US_dolares_MMCOP</f>
        <v>0</v>
      </c>
      <c r="L247" s="3076">
        <f>(INDEX(ST_CAPACIDAD_GENERACION_COMBUSTIBLES_FOSILES,TERMOELECTRICA_GAS_NATURAL,_2045)-INDEX(ST_CAPACIDAD_GENERACION_COMBUSTIBLES_FOSILES,TERMOELECTRICA_GAS_NATURAL,_2040))*COSTOS_CAPITAL_ELECTRICIDAD_TERMOELECTRICA_GN_USD_KW_BAJO/UNIDAD_KW_A_MW*COSTOS_2019_US_dolares_MMCOP</f>
        <v>0</v>
      </c>
      <c r="M247" s="3076">
        <f>(INDEX(ST_CAPACIDAD_GENERACION_COMBUSTIBLES_FOSILES,TERMOELECTRICA_GAS_NATURAL,_2050)-INDEX(ST_CAPACIDAD_GENERACION_COMBUSTIBLES_FOSILES,TERMOELECTRICA_GAS_NATURAL,_2045))*COSTOS_CAPITAL_ELECTRICIDAD_TERMOELECTRICA_GN_USD_KW_BAJO/UNIDAD_KW_A_MW*COSTOS_2019_US_dolares_MMCOP</f>
        <v>0</v>
      </c>
      <c r="N247" s="12"/>
    </row>
    <row r="248" spans="4:14" ht="15" customHeight="1">
      <c r="D248" s="12"/>
      <c r="E248" s="920" t="s">
        <v>536</v>
      </c>
      <c r="F248" s="12">
        <v>0</v>
      </c>
      <c r="G248" s="3076">
        <f>IF(((INDEX(ST_CAPACIDAD_GENERACION_COMBUSTIBLES_FOSILES,Termoelectrica_carbon,_2020)-INDEX(ST_CAPACIDAD_GENERACION_COMBUSTIBLES_FOSILES,Termoelectrica_carbon,_2018))*COSTOS_CAPITAL_ELECTRICIDAD_TERMOELECTRICA_CARBON_USD_KW_BAJO/UNIDAD_KW_A_MW*COSTOS_2019_US_dolares_MMCOP)&gt;0,((INDEX(ST_CAPACIDAD_GENERACION_COMBUSTIBLES_FOSILES,Termoelectrica_carbon,_2020)-INDEX(ST_CAPACIDAD_GENERACION_COMBUSTIBLES_FOSILES,Termoelectrica_carbon,_2018))*COSTOS_CAPITAL_ELECTRICIDAD_TERMOELECTRICA_CARBON_USD_KW_BAJO/UNIDAD_KW_A_MW*COSTOS_2019_US_dolares_MMCOP),0)</f>
        <v>0</v>
      </c>
      <c r="H248" s="3076">
        <f>(INDEX(ST_CAPACIDAD_GENERACION_COMBUSTIBLES_FOSILES,Termoelectrica_carbon,_2025)-INDEX(ST_CAPACIDAD_GENERACION_COMBUSTIBLES_FOSILES,Termoelectrica_carbon,_2020))*COSTOS_CAPITAL_ELECTRICIDAD_TERMOELECTRICA_CARBON_USD_KW_BAJO/UNIDAD_KW_A_MW*COSTOS_2019_US_dolares_MMCOP</f>
        <v>0</v>
      </c>
      <c r="I248" s="3076">
        <f>(INDEX(ST_CAPACIDAD_GENERACION_COMBUSTIBLES_FOSILES,Termoelectrica_carbon,_2030)-INDEX(ST_CAPACIDAD_GENERACION_COMBUSTIBLES_FOSILES,Termoelectrica_carbon,_2025))*COSTOS_CAPITAL_ELECTRICIDAD_TERMOELECTRICA_CARBON_USD_KW_BAJO/UNIDAD_KW_A_MW*COSTOS_2019_US_dolares_MMCOP</f>
        <v>0</v>
      </c>
      <c r="J248" s="3076">
        <f>(INDEX(ST_CAPACIDAD_GENERACION_COMBUSTIBLES_FOSILES,Termoelectrica_carbon,_2035)-INDEX(ST_CAPACIDAD_GENERACION_COMBUSTIBLES_FOSILES,Termoelectrica_carbon,_2030))*COSTOS_CAPITAL_ELECTRICIDAD_TERMOELECTRICA_CARBON_USD_KW_BAJO/UNIDAD_KW_A_MW*COSTOS_2019_US_dolares_MMCOP</f>
        <v>0</v>
      </c>
      <c r="K248" s="3076">
        <f>(INDEX(ST_CAPACIDAD_GENERACION_COMBUSTIBLES_FOSILES,Termoelectrica_carbon,_2040)-INDEX(ST_CAPACIDAD_GENERACION_COMBUSTIBLES_FOSILES,Termoelectrica_carbon,_2035))*COSTOS_CAPITAL_ELECTRICIDAD_TERMOELECTRICA_CARBON_USD_KW_BAJO/UNIDAD_KW_A_MW*COSTOS_2019_US_dolares_MMCOP</f>
        <v>0</v>
      </c>
      <c r="L248" s="3076">
        <f>(INDEX(ST_CAPACIDAD_GENERACION_COMBUSTIBLES_FOSILES,Termoelectrica_carbon,_2045)-INDEX(ST_CAPACIDAD_GENERACION_COMBUSTIBLES_FOSILES,Termoelectrica_carbon,_2040))*COSTOS_CAPITAL_ELECTRICIDAD_TERMOELECTRICA_CARBON_USD_KW_BAJO/UNIDAD_KW_A_MW*COSTOS_2019_US_dolares_MMCOP</f>
        <v>0</v>
      </c>
      <c r="M248" s="3076">
        <f>(INDEX(ST_CAPACIDAD_GENERACION_COMBUSTIBLES_FOSILES,Termoelectrica_carbon,_2050)-INDEX(ST_CAPACIDAD_GENERACION_COMBUSTIBLES_FOSILES,Termoelectrica_carbon,_2045))*COSTOS_CAPITAL_ELECTRICIDAD_TERMOELECTRICA_CARBON_USD_KW_BAJO/UNIDAD_KW_A_MW*COSTOS_2019_US_dolares_MMCOP</f>
        <v>0</v>
      </c>
      <c r="N248" s="12"/>
    </row>
    <row r="249" spans="4:14" ht="15" customHeight="1">
      <c r="D249" s="12"/>
      <c r="E249" s="920" t="s">
        <v>526</v>
      </c>
      <c r="F249" s="12">
        <v>0</v>
      </c>
      <c r="G249" s="3076">
        <f>IF(((INDEX(ST_CAPACIDAD_GENERACION_COMBUSTIBLES_FOSILES,DIESEL,_2020)-INDEX(ST_CAPACIDAD_GENERACION_COMBUSTIBLES_FOSILES,DIESEL,_2018))*COSTOS_CAPITAL_ELECTRICIDAD_ACPM_DIESEL_USD_KW_BAJO/UNIDAD_KW_A_MW*COSTOS_2019_US_dolares_MMCOP)&gt;0,((INDEX(ST_CAPACIDAD_GENERACION_COMBUSTIBLES_FOSILES,DIESEL,_2020)-INDEX(ST_CAPACIDAD_GENERACION_COMBUSTIBLES_FOSILES,DIESEL,_2018))*COSTOS_CAPITAL_ELECTRICIDAD_ACPM_DIESEL_USD_KW_BAJO/UNIDAD_KW_A_MW*COSTOS_2019_US_dolares_MMCOP),0)</f>
        <v>0</v>
      </c>
      <c r="H249" s="3076">
        <f>IF(((INDEX(ST_CAPACIDAD_GENERACION_COMBUSTIBLES_FOSILES,DIESEL,_2025)-INDEX(ST_CAPACIDAD_GENERACION_COMBUSTIBLES_FOSILES,DIESEL,_2020))*COSTOS_CAPITAL_ELECTRICIDAD_ACPM_DIESEL_USD_KW_BAJO/UNIDAD_KW_A_MW*COSTOS_2019_US_dolares_MMCOP)&gt;0,((INDEX(ST_CAPACIDAD_GENERACION_COMBUSTIBLES_FOSILES,DIESEL,_2025)-INDEX(ST_CAPACIDAD_GENERACION_COMBUSTIBLES_FOSILES,DIESEL,_2020))*COSTOS_CAPITAL_ELECTRICIDAD_ACPM_DIESEL_USD_KW_BAJO/UNIDAD_KW_A_MW*COSTOS_2019_US_dolares_MMCOP),0)</f>
        <v>0</v>
      </c>
      <c r="I249" s="3076">
        <f>(INDEX(ST_CAPACIDAD_GENERACION_COMBUSTIBLES_FOSILES,DIESEL,_2030)-INDEX(ST_CAPACIDAD_GENERACION_COMBUSTIBLES_FOSILES,DIESEL,_2025))*COSTOS_CAPITAL_ELECTRICIDAD_ACPM_DIESEL_USD_KW_BAJO/UNIDAD_KW_A_MW*COSTOS_2019_US_dolares_MMCOP</f>
        <v>0</v>
      </c>
      <c r="J249" s="3076">
        <f>(INDEX(ST_CAPACIDAD_GENERACION_COMBUSTIBLES_FOSILES,DIESEL,_2035)-INDEX(ST_CAPACIDAD_GENERACION_COMBUSTIBLES_FOSILES,DIESEL,_2030))*COSTOS_CAPITAL_ELECTRICIDAD_ACPM_DIESEL_USD_KW_BAJO/UNIDAD_KW_A_MW*COSTOS_2019_US_dolares_MMCOP</f>
        <v>0</v>
      </c>
      <c r="K249" s="3076">
        <f>(INDEX(ST_CAPACIDAD_GENERACION_COMBUSTIBLES_FOSILES,DIESEL,_2040)-INDEX(ST_CAPACIDAD_GENERACION_COMBUSTIBLES_FOSILES,DIESEL,_2035))*COSTOS_CAPITAL_ELECTRICIDAD_ACPM_DIESEL_USD_KW_BAJO/UNIDAD_KW_A_MW*COSTOS_2019_US_dolares_MMCOP</f>
        <v>0</v>
      </c>
      <c r="L249" s="3076">
        <f>(INDEX(ST_CAPACIDAD_GENERACION_COMBUSTIBLES_FOSILES,DIESEL,_2045)-INDEX(ST_CAPACIDAD_GENERACION_COMBUSTIBLES_FOSILES,DIESEL,_2040))*COSTOS_CAPITAL_ELECTRICIDAD_ACPM_DIESEL_USD_KW_BAJO/UNIDAD_KW_A_MW*COSTOS_2019_US_dolares_MMCOP</f>
        <v>0</v>
      </c>
      <c r="M249" s="3076">
        <f>(INDEX(ST_CAPACIDAD_GENERACION_COMBUSTIBLES_FOSILES,DIESEL,_2050)-INDEX(ST_CAPACIDAD_GENERACION_COMBUSTIBLES_FOSILES,DIESEL,_2045))*COSTOS_CAPITAL_ELECTRICIDAD_ACPM_DIESEL_USD_KW_BAJO/UNIDAD_KW_A_MW*COSTOS_2019_US_dolares_MMCOP</f>
        <v>0</v>
      </c>
      <c r="N249" s="12"/>
    </row>
    <row r="250" spans="4:14" ht="15" customHeight="1">
      <c r="D250" s="12"/>
      <c r="E250" s="920" t="s">
        <v>537</v>
      </c>
      <c r="F250" s="12">
        <v>0</v>
      </c>
      <c r="G250" s="3076">
        <f>(INDEX(ST_CAPACIDAD_GENERACION_COMBUSTIBLES_FOSILES,FUEL_OIL,_2020)-INDEX(ST_CAPACIDAD_GENERACION_COMBUSTIBLES_FOSILES,FUEL_OIL,_2018))*COSTOS_CAPITAL_ELECTRICIDAD_FUEL_OIL_USD_KW_BAJO/UNIDAD_KW_A_MW*COSTOS_2019_US_dolares_MMCOP</f>
        <v>0</v>
      </c>
      <c r="H250" s="3076">
        <f>(INDEX(ST_CAPACIDAD_GENERACION_COMBUSTIBLES_FOSILES,FUEL_OIL,_2025)-INDEX(ST_CAPACIDAD_GENERACION_COMBUSTIBLES_FOSILES,FUEL_OIL,_2020))*COSTOS_CAPITAL_ELECTRICIDAD_FUEL_OIL_USD_KW_BAJO/UNIDAD_KW_A_MW*COSTOS_2019_US_dolares_MMCOP</f>
        <v>0</v>
      </c>
      <c r="I250" s="3076">
        <f>(INDEX(ST_CAPACIDAD_GENERACION_COMBUSTIBLES_FOSILES,FUEL_OIL,_2030)-INDEX(ST_CAPACIDAD_GENERACION_COMBUSTIBLES_FOSILES,FUEL_OIL,_2025))*COSTOS_CAPITAL_ELECTRICIDAD_FUEL_OIL_USD_KW_BAJO/UNIDAD_KW_A_MW*COSTOS_2019_US_dolares_MMCOP</f>
        <v>0</v>
      </c>
      <c r="J250" s="3076">
        <f>(INDEX(ST_CAPACIDAD_GENERACION_COMBUSTIBLES_FOSILES,FUEL_OIL,_2035)-INDEX(ST_CAPACIDAD_GENERACION_COMBUSTIBLES_FOSILES,FUEL_OIL,_2030))*COSTOS_CAPITAL_ELECTRICIDAD_FUEL_OIL_USD_KW_BAJO/UNIDAD_KW_A_MW*COSTOS_2019_US_dolares_MMCOP</f>
        <v>0</v>
      </c>
      <c r="K250" s="3076">
        <f>(INDEX(ST_CAPACIDAD_GENERACION_COMBUSTIBLES_FOSILES,FUEL_OIL,_2040)-INDEX(ST_CAPACIDAD_GENERACION_COMBUSTIBLES_FOSILES,FUEL_OIL,_2035))*COSTOS_CAPITAL_ELECTRICIDAD_FUEL_OIL_USD_KW_BAJO/UNIDAD_KW_A_MW*COSTOS_2019_US_dolares_MMCOP</f>
        <v>0</v>
      </c>
      <c r="L250" s="3076">
        <f>(INDEX(ST_CAPACIDAD_GENERACION_COMBUSTIBLES_FOSILES,FUEL_OIL,_2045)-INDEX(ST_CAPACIDAD_GENERACION_COMBUSTIBLES_FOSILES,FUEL_OIL,_2040))*COSTOS_CAPITAL_ELECTRICIDAD_FUEL_OIL_USD_KW_BAJO/UNIDAD_KW_A_MW*COSTOS_2019_US_dolares_MMCOP</f>
        <v>0</v>
      </c>
      <c r="M250" s="3076">
        <f>(INDEX(ST_CAPACIDAD_GENERACION_COMBUSTIBLES_FOSILES,FUEL_OIL,_2050)-INDEX(ST_CAPACIDAD_GENERACION_COMBUSTIBLES_FOSILES,FUEL_OIL,_2045))*COSTOS_CAPITAL_ELECTRICIDAD_FUEL_OIL_USD_KW_BAJO/UNIDAD_KW_A_MW*COSTOS_2019_US_dolares_MMCOP</f>
        <v>0</v>
      </c>
      <c r="N250" s="12"/>
    </row>
    <row r="251" spans="4:14" ht="15" customHeight="1">
      <c r="D251" s="12"/>
      <c r="E251" s="920" t="s">
        <v>525</v>
      </c>
      <c r="F251" s="12">
        <v>0</v>
      </c>
      <c r="G251" s="3076">
        <f>IF(((INDEX(ST_CAPACIDAD_GENERACION_COMBUSTIBLES_FOSILES,PETROLEO,_2020)-INDEX(ST_CAPACIDAD_GENERACION_COMBUSTIBLES_FOSILES,PETROLEO,_2018))*COSTOS_CAPITAL_ELECTRICIDAD_PETROLEO_USD_KW_BAJO/UNIDAD_KW_A_MW*COSTOS_2019_US_dolares_MMCOP)&gt;0,((INDEX(ST_CAPACIDAD_GENERACION_COMBUSTIBLES_FOSILES,PETROLEO,_2020)-INDEX(ST_CAPACIDAD_GENERACION_COMBUSTIBLES_FOSILES,PETROLEO,_2018))*COSTOS_CAPITAL_ELECTRICIDAD_PETROLEO_USD_KW_BAJO/UNIDAD_KW_A_MW*COSTOS_2019_US_dolares_MMCOP),0)</f>
        <v>0</v>
      </c>
      <c r="H251" s="3076">
        <f>(INDEX(ST_CAPACIDAD_GENERACION_COMBUSTIBLES_FOSILES,PETROLEO,_2025)-INDEX(ST_CAPACIDAD_GENERACION_COMBUSTIBLES_FOSILES,PETROLEO,_2020))*COSTOS_CAPITAL_ELECTRICIDAD_PETROLEO_USD_KW_BAJO/UNIDAD_KW_A_MW*COSTOS_2019_US_dolares_MMCOP</f>
        <v>0</v>
      </c>
      <c r="I251" s="3076">
        <f>(INDEX(ST_CAPACIDAD_GENERACION_COMBUSTIBLES_FOSILES,PETROLEO,_2030)-INDEX(ST_CAPACIDAD_GENERACION_COMBUSTIBLES_FOSILES,PETROLEO,_2025))*COSTOS_CAPITAL_ELECTRICIDAD_PETROLEO_USD_KW_BAJO/UNIDAD_KW_A_MW*COSTOS_2019_US_dolares_MMCOP</f>
        <v>0</v>
      </c>
      <c r="J251" s="3076">
        <f>(INDEX(ST_CAPACIDAD_GENERACION_COMBUSTIBLES_FOSILES,PETROLEO,_2035)-INDEX(ST_CAPACIDAD_GENERACION_COMBUSTIBLES_FOSILES,PETROLEO,_2030))*COSTOS_CAPITAL_ELECTRICIDAD_PETROLEO_USD_KW_BAJO/UNIDAD_KW_A_MW*COSTOS_2019_US_dolares_MMCOP</f>
        <v>0</v>
      </c>
      <c r="K251" s="3076">
        <f>(INDEX(ST_CAPACIDAD_GENERACION_COMBUSTIBLES_FOSILES,PETROLEO,_2040)-INDEX(ST_CAPACIDAD_GENERACION_COMBUSTIBLES_FOSILES,PETROLEO,_2035))*COSTOS_CAPITAL_ELECTRICIDAD_PETROLEO_USD_KW_BAJO/UNIDAD_KW_A_MW*COSTOS_2019_US_dolares_MMCOP</f>
        <v>0</v>
      </c>
      <c r="L251" s="3076">
        <f>(INDEX(ST_CAPACIDAD_GENERACION_COMBUSTIBLES_FOSILES,PETROLEO,_2045)-INDEX(ST_CAPACIDAD_GENERACION_COMBUSTIBLES_FOSILES,PETROLEO,_2040))*COSTOS_CAPITAL_ELECTRICIDAD_PETROLEO_USD_KW_BAJO/UNIDAD_KW_A_MW*COSTOS_2019_US_dolares_MMCOP</f>
        <v>0</v>
      </c>
      <c r="M251" s="3076">
        <f>(INDEX(ST_CAPACIDAD_GENERACION_COMBUSTIBLES_FOSILES,PETROLEO,_2050)-INDEX(ST_CAPACIDAD_GENERACION_COMBUSTIBLES_FOSILES,PETROLEO,_2045))*COSTOS_CAPITAL_ELECTRICIDAD_PETROLEO_USD_KW_BAJO/UNIDAD_KW_A_MW*COSTOS_2019_US_dolares_MMCOP</f>
        <v>0</v>
      </c>
      <c r="N251" s="12"/>
    </row>
    <row r="252" spans="4:14" ht="15" customHeight="1">
      <c r="D252" s="12"/>
      <c r="E252" s="920" t="s">
        <v>498</v>
      </c>
      <c r="F252" s="12">
        <v>0</v>
      </c>
      <c r="G252" s="3076">
        <f>IF(((INDEX(ST_CAPACIDAD_GENERACION_COMBUSTIBLES_FOSILES,GLP,_2020)-INDEX(ST_CAPACIDAD_GENERACION_COMBUSTIBLES_FOSILES,GLP,_2018))*COSTOS_CAPITAL_ELECTRICIDAD_GLP_USD_KW_BAJO/UNIDAD_KW_A_MW*COSTOS_2019_US_dolares_MMCOP)&gt;0,((INDEX(ST_CAPACIDAD_GENERACION_COMBUSTIBLES_FOSILES,GLP,_2020)-INDEX(ST_CAPACIDAD_GENERACION_COMBUSTIBLES_FOSILES,GLP,_2018))*COSTOS_CAPITAL_ELECTRICIDAD_GLP_USD_KW_BAJO/UNIDAD_KW_A_MW*COSTOS_2019_US_dolares_MMCOP),0)</f>
        <v>0</v>
      </c>
      <c r="H252" s="3076">
        <f>(INDEX(ST_CAPACIDAD_GENERACION_COMBUSTIBLES_FOSILES,GLP,_2025)-INDEX(ST_CAPACIDAD_GENERACION_COMBUSTIBLES_FOSILES,GLP,_2020))*COSTOS_CAPITAL_ELECTRICIDAD_GLP_USD_KW_BAJO/UNIDAD_KW_A_MW*COSTOS_2019_US_dolares_MMCOP</f>
        <v>0</v>
      </c>
      <c r="I252" s="3076">
        <f>(INDEX(ST_CAPACIDAD_GENERACION_COMBUSTIBLES_FOSILES,GLP,_2030)-INDEX(ST_CAPACIDAD_GENERACION_COMBUSTIBLES_FOSILES,GLP,_2025))*COSTOS_CAPITAL_ELECTRICIDAD_GLP_USD_KW_BAJO/UNIDAD_KW_A_MW*COSTOS_2019_US_dolares_MMCOP</f>
        <v>0</v>
      </c>
      <c r="J252" s="3076">
        <f>(INDEX(ST_CAPACIDAD_GENERACION_COMBUSTIBLES_FOSILES,GLP,_2035)-INDEX(ST_CAPACIDAD_GENERACION_COMBUSTIBLES_FOSILES,GLP,_2030))*COSTOS_CAPITAL_ELECTRICIDAD_GLP_USD_KW_BAJO/UNIDAD_KW_A_MW*COSTOS_2019_US_dolares_MMCOP</f>
        <v>0</v>
      </c>
      <c r="K252" s="3076">
        <f>(INDEX(ST_CAPACIDAD_GENERACION_COMBUSTIBLES_FOSILES,GLP,_2040)-INDEX(ST_CAPACIDAD_GENERACION_COMBUSTIBLES_FOSILES,GLP,_2035))*COSTOS_CAPITAL_ELECTRICIDAD_GLP_USD_KW_BAJO/UNIDAD_KW_A_MW*COSTOS_2019_US_dolares_MMCOP</f>
        <v>0</v>
      </c>
      <c r="L252" s="3076">
        <f>(INDEX(ST_CAPACIDAD_GENERACION_COMBUSTIBLES_FOSILES,GLP,_2045)-INDEX(ST_CAPACIDAD_GENERACION_COMBUSTIBLES_FOSILES,GLP,_2040))*COSTOS_CAPITAL_ELECTRICIDAD_GLP_USD_KW_BAJO/UNIDAD_KW_A_MW*COSTOS_2019_US_dolares_MMCOP</f>
        <v>0</v>
      </c>
      <c r="M252" s="3076">
        <f>(INDEX(ST_CAPACIDAD_GENERACION_COMBUSTIBLES_FOSILES,GLP,_2050)-INDEX(ST_CAPACIDAD_GENERACION_COMBUSTIBLES_FOSILES,GLP,_2045))*COSTOS_CAPITAL_ELECTRICIDAD_GLP_USD_KW_BAJO/UNIDAD_KW_A_MW*COSTOS_2019_US_dolares_MMCOP</f>
        <v>0</v>
      </c>
      <c r="N252" s="12"/>
    </row>
    <row r="253" spans="4:14" ht="15" customHeight="1">
      <c r="D253" s="12"/>
      <c r="E253" s="920" t="s">
        <v>538</v>
      </c>
      <c r="F253" s="12">
        <v>0</v>
      </c>
      <c r="G253" s="3076">
        <f>(INDEX(ST_CAPACIDAD_GENERACION_COMBUSTIBLES_FOSILES,TERMOELECTRICA_GAS_NATURAL_CCUS,_2020)-INDEX(ST_CAPACIDAD_GENERACION_COMBUSTIBLES_FOSILES,TERMOELECTRICA_GAS_NATURAL_CCUS,_2018))*COSTOS_CAPITAL_ELECTRICIDAD_TERMOELECTRICA_GN_CCUS_USD_KW_BAJO/UNIDAD_KW_A_MW*COSTOS_2019_US_dolares_MMCOP</f>
        <v>0</v>
      </c>
      <c r="H253" s="3076">
        <f>(INDEX(ST_CAPACIDAD_GENERACION_COMBUSTIBLES_FOSILES,TERMOELECTRICA_GAS_NATURAL_CCUS,_2025)-INDEX(ST_CAPACIDAD_GENERACION_COMBUSTIBLES_FOSILES,TERMOELECTRICA_GAS_NATURAL_CCUS,_2020))*COSTOS_CAPITAL_ELECTRICIDAD_TERMOELECTRICA_GN_CCUS_USD_KW_BAJO/UNIDAD_KW_A_MW*COSTOS_2019_US_dolares_MMCOP</f>
        <v>0</v>
      </c>
      <c r="I253" s="3076">
        <f>(INDEX(ST_CAPACIDAD_GENERACION_COMBUSTIBLES_FOSILES,TERMOELECTRICA_GAS_NATURAL_CCUS,_2030)-INDEX(ST_CAPACIDAD_GENERACION_COMBUSTIBLES_FOSILES,TERMOELECTRICA_GAS_NATURAL_CCUS,_2025))*COSTOS_CAPITAL_ELECTRICIDAD_TERMOELECTRICA_GN_CCUS_USD_KW_BAJO/UNIDAD_KW_A_MW*COSTOS_2019_US_dolares_MMCOP</f>
        <v>0</v>
      </c>
      <c r="J253" s="3076">
        <f>(INDEX(ST_CAPACIDAD_GENERACION_COMBUSTIBLES_FOSILES,TERMOELECTRICA_GAS_NATURAL_CCUS,_2035)-INDEX(ST_CAPACIDAD_GENERACION_COMBUSTIBLES_FOSILES,TERMOELECTRICA_GAS_NATURAL_CCUS,_2030))*COSTOS_CAPITAL_ELECTRICIDAD_TERMOELECTRICA_GN_CCUS_USD_KW_BAJO/UNIDAD_KW_A_MW*COSTOS_2019_US_dolares_MMCOP</f>
        <v>0</v>
      </c>
      <c r="K253" s="3076">
        <f>(INDEX(ST_CAPACIDAD_GENERACION_COMBUSTIBLES_FOSILES,TERMOELECTRICA_GAS_NATURAL_CCUS,_2040)-INDEX(ST_CAPACIDAD_GENERACION_COMBUSTIBLES_FOSILES,TERMOELECTRICA_GAS_NATURAL_CCUS,_2035))*COSTOS_CAPITAL_ELECTRICIDAD_TERMOELECTRICA_GN_CCUS_USD_KW_BAJO/UNIDAD_KW_A_MW*COSTOS_2019_US_dolares_MMCOP</f>
        <v>0</v>
      </c>
      <c r="L253" s="3076">
        <f>(INDEX(ST_CAPACIDAD_GENERACION_COMBUSTIBLES_FOSILES,TERMOELECTRICA_GAS_NATURAL_CCUS,_2045)-INDEX(ST_CAPACIDAD_GENERACION_COMBUSTIBLES_FOSILES,TERMOELECTRICA_GAS_NATURAL_CCUS,_2040))*COSTOS_CAPITAL_ELECTRICIDAD_TERMOELECTRICA_GN_CCUS_USD_KW_BAJO/UNIDAD_KW_A_MW*COSTOS_2019_US_dolares_MMCOP</f>
        <v>0</v>
      </c>
      <c r="M253" s="3076">
        <f>(INDEX(ST_CAPACIDAD_GENERACION_COMBUSTIBLES_FOSILES,TERMOELECTRICA_GAS_NATURAL_CCUS,_2050)-INDEX(ST_CAPACIDAD_GENERACION_COMBUSTIBLES_FOSILES,TERMOELECTRICA_GAS_NATURAL_CCUS,_2045))*COSTOS_CAPITAL_ELECTRICIDAD_TERMOELECTRICA_GN_CCUS_USD_KW_BAJO/UNIDAD_KW_A_MW*COSTOS_2019_US_dolares_MMCOP</f>
        <v>0</v>
      </c>
      <c r="N253" s="12"/>
    </row>
    <row r="254" spans="4:14" ht="15" customHeight="1">
      <c r="D254" s="12"/>
      <c r="E254" s="1019" t="s">
        <v>539</v>
      </c>
      <c r="F254" s="1174">
        <v>0</v>
      </c>
      <c r="G254" s="3077">
        <f>(INDEX(ST_CAPACIDAD_GENERACION_COMBUSTIBLES_FOSILES,TERMOELECTRICA_CARBON_CCUS,_2020)-INDEX(ST_CAPACIDAD_GENERACION_COMBUSTIBLES_FOSILES,TERMOELECTRICA_CARBON_CCUS,_2018))*COSTOS_CAPITAL_ELECTRICIDAD_TERMOELECTRICA_CARBON_CCUS_USD_KW_BAJO/UNIDAD_KW_A_MW*COSTOS_2019_US_dolares_MMCOP</f>
        <v>0</v>
      </c>
      <c r="H254" s="3077">
        <f>(INDEX(ST_CAPACIDAD_GENERACION_COMBUSTIBLES_FOSILES,TERMOELECTRICA_CARBON_CCUS,_2025)-INDEX(ST_CAPACIDAD_GENERACION_COMBUSTIBLES_FOSILES,TERMOELECTRICA_CARBON_CCUS,_2020))*COSTOS_CAPITAL_ELECTRICIDAD_TERMOELECTRICA_CARBON_CCUS_USD_KW_BAJO/UNIDAD_KW_A_MW*COSTOS_2019_US_dolares_MMCOP</f>
        <v>0</v>
      </c>
      <c r="I254" s="3077">
        <f>(INDEX(ST_CAPACIDAD_GENERACION_COMBUSTIBLES_FOSILES,TERMOELECTRICA_CARBON_CCUS,_2030)-INDEX(ST_CAPACIDAD_GENERACION_COMBUSTIBLES_FOSILES,TERMOELECTRICA_CARBON_CCUS,_2025))*COSTOS_CAPITAL_ELECTRICIDAD_TERMOELECTRICA_CARBON_CCUS_USD_KW_BAJO/UNIDAD_KW_A_MW*COSTOS_2019_US_dolares_MMCOP</f>
        <v>0</v>
      </c>
      <c r="J254" s="3077">
        <f>(INDEX(ST_CAPACIDAD_GENERACION_COMBUSTIBLES_FOSILES,TERMOELECTRICA_CARBON_CCUS,_2035)-INDEX(ST_CAPACIDAD_GENERACION_COMBUSTIBLES_FOSILES,TERMOELECTRICA_CARBON_CCUS,_2030))*COSTOS_CAPITAL_ELECTRICIDAD_TERMOELECTRICA_CARBON_CCUS_USD_KW_BAJO/UNIDAD_KW_A_MW*COSTOS_2019_US_dolares_MMCOP</f>
        <v>0</v>
      </c>
      <c r="K254" s="3077">
        <f>(INDEX(ST_CAPACIDAD_GENERACION_COMBUSTIBLES_FOSILES,TERMOELECTRICA_CARBON_CCUS,_2040)-INDEX(ST_CAPACIDAD_GENERACION_COMBUSTIBLES_FOSILES,TERMOELECTRICA_CARBON_CCUS,_2035))*COSTOS_CAPITAL_ELECTRICIDAD_TERMOELECTRICA_CARBON_CCUS_USD_KW_BAJO/UNIDAD_KW_A_MW*COSTOS_2019_US_dolares_MMCOP</f>
        <v>0</v>
      </c>
      <c r="L254" s="3077">
        <f>(INDEX(ST_CAPACIDAD_GENERACION_COMBUSTIBLES_FOSILES,TERMOELECTRICA_CARBON_CCUS,_2045)-INDEX(ST_CAPACIDAD_GENERACION_COMBUSTIBLES_FOSILES,TERMOELECTRICA_CARBON_CCUS,_2040))*COSTOS_CAPITAL_ELECTRICIDAD_TERMOELECTRICA_CARBON_CCUS_USD_KW_BAJO/UNIDAD_KW_A_MW*COSTOS_2019_US_dolares_MMCOP</f>
        <v>0</v>
      </c>
      <c r="M254" s="3077">
        <f>(INDEX(ST_CAPACIDAD_GENERACION_COMBUSTIBLES_FOSILES,TERMOELECTRICA_CARBON_CCUS,_2050)-INDEX(ST_CAPACIDAD_GENERACION_COMBUSTIBLES_FOSILES,TERMOELECTRICA_CARBON_CCUS,_2045))*COSTOS_CAPITAL_ELECTRICIDAD_TERMOELECTRICA_CARBON_CCUS_USD_KW_BAJO/UNIDAD_KW_A_MW*COSTOS_2019_US_dolares_MMCOP</f>
        <v>0</v>
      </c>
      <c r="N254" s="12"/>
    </row>
    <row r="255" spans="4:14" ht="15" customHeight="1">
      <c r="D255" s="12"/>
      <c r="E255" s="2677" t="s">
        <v>338</v>
      </c>
      <c r="F255" s="2678">
        <f t="shared" ref="F255:M255" si="11">SUM(F247:F254)</f>
        <v>0</v>
      </c>
      <c r="G255" s="3078">
        <f t="shared" si="11"/>
        <v>0</v>
      </c>
      <c r="H255" s="3078">
        <f t="shared" si="11"/>
        <v>3682.660991880763</v>
      </c>
      <c r="I255" s="3078">
        <f t="shared" si="11"/>
        <v>0</v>
      </c>
      <c r="J255" s="3078">
        <f t="shared" si="11"/>
        <v>0</v>
      </c>
      <c r="K255" s="3078">
        <f t="shared" si="11"/>
        <v>0</v>
      </c>
      <c r="L255" s="3078">
        <f t="shared" si="11"/>
        <v>0</v>
      </c>
      <c r="M255" s="3078">
        <f t="shared" si="11"/>
        <v>0</v>
      </c>
      <c r="N255" s="12"/>
    </row>
    <row r="256" spans="4:14" ht="15" customHeight="1">
      <c r="D256" s="12"/>
      <c r="E256" s="920"/>
      <c r="F256" s="12"/>
      <c r="G256" s="12"/>
      <c r="H256" s="12"/>
      <c r="I256" s="12"/>
      <c r="J256" s="12"/>
      <c r="K256" s="12"/>
      <c r="L256" s="12"/>
      <c r="M256" s="12"/>
      <c r="N256" s="12"/>
    </row>
    <row r="257" spans="4:14" ht="15" customHeight="1">
      <c r="D257" s="12"/>
      <c r="E257" s="1019" t="s">
        <v>1737</v>
      </c>
      <c r="F257" s="12"/>
      <c r="G257" s="12"/>
      <c r="H257" s="12"/>
      <c r="I257" s="12"/>
      <c r="J257" s="12"/>
      <c r="K257" s="12"/>
      <c r="L257" s="12"/>
      <c r="M257" s="1874" t="s">
        <v>803</v>
      </c>
      <c r="N257" s="12"/>
    </row>
    <row r="258" spans="4:14" ht="15" customHeight="1">
      <c r="D258" s="12"/>
      <c r="E258" s="424" t="s">
        <v>859</v>
      </c>
      <c r="F258" s="424">
        <v>2018</v>
      </c>
      <c r="G258" s="424">
        <v>2020</v>
      </c>
      <c r="H258" s="424">
        <v>2025</v>
      </c>
      <c r="I258" s="424">
        <v>2030</v>
      </c>
      <c r="J258" s="424">
        <v>2035</v>
      </c>
      <c r="K258" s="424">
        <v>2040</v>
      </c>
      <c r="L258" s="424">
        <v>2045</v>
      </c>
      <c r="M258" s="424">
        <v>2050</v>
      </c>
      <c r="N258" s="12"/>
    </row>
    <row r="259" spans="4:14" ht="15" customHeight="1">
      <c r="D259" s="12"/>
      <c r="E259" s="2653" t="s">
        <v>542</v>
      </c>
      <c r="F259" s="12">
        <v>0</v>
      </c>
      <c r="G259" s="3076">
        <f>(INDEX(ST_CAPACIDAD_GENERACION_ENERGIAS_RENOVABLES_NO_CONVENCIONALES,HIDRO_GRANDES_CENTRALES_HIDROELECTRICAS,_2020)-INDEX(ST_CAPACIDAD_GENERACION_ENERGIAS_RENOVABLES_NO_CONVENCIONALES,HIDRO_GRANDES_CENTRALES_HIDROELECTRICAS,_2018))*COSTOS_CAPITAL_GRANDES_CENTRALES_HIDROELECTRICAS_USD_KW_BAJO/UNIDAD_KW_A_MW*COSTOS_2019_US_dolares_MMCOP</f>
        <v>0</v>
      </c>
      <c r="H259" s="3076">
        <f>(INDEX(ST_CAPACIDAD_GENERACION_ENERGIAS_RENOVABLES_NO_CONVENCIONALES,HIDRO_GRANDES_CENTRALES_HIDROELECTRICAS,_2025)-INDEX(ST_CAPACIDAD_GENERACION_ENERGIAS_RENOVABLES_NO_CONVENCIONALES,HIDRO_GRANDES_CENTRALES_HIDROELECTRICAS,_2020))*COSTOS_CAPITAL_GRANDES_CENTRALES_HIDROELECTRICAS_USD_KW_BAJO/UNIDAD_KW_A_MW*COSTOS_2019_US_dolares_MMCOP</f>
        <v>14002.641763426533</v>
      </c>
      <c r="I259" s="3076">
        <f>(INDEX(ST_CAPACIDAD_GENERACION_ENERGIAS_RENOVABLES_NO_CONVENCIONALES,HIDRO_GRANDES_CENTRALES_HIDROELECTRICAS,_2030)-INDEX(ST_CAPACIDAD_GENERACION_ENERGIAS_RENOVABLES_NO_CONVENCIONALES,HIDRO_GRANDES_CENTRALES_HIDROELECTRICAS,_2025))*COSTOS_CAPITAL_GRANDES_CENTRALES_HIDROELECTRICAS_USD_KW_BAJO/UNIDAD_KW_A_MW*COSTOS_2019_US_dolares_MMCOP</f>
        <v>0</v>
      </c>
      <c r="J259" s="3076">
        <f>(INDEX(ST_CAPACIDAD_GENERACION_ENERGIAS_RENOVABLES_NO_CONVENCIONALES,HIDRO_GRANDES_CENTRALES_HIDROELECTRICAS,_2035)-INDEX(ST_CAPACIDAD_GENERACION_ENERGIAS_RENOVABLES_NO_CONVENCIONALES,HIDRO_GRANDES_CENTRALES_HIDROELECTRICAS,_2030))*COSTOS_CAPITAL_GRANDES_CENTRALES_HIDROELECTRICAS_USD_KW_BAJO/UNIDAD_KW_A_MW*COSTOS_2019_US_dolares_MMCOP</f>
        <v>0</v>
      </c>
      <c r="K259" s="3076">
        <f>(INDEX(ST_CAPACIDAD_GENERACION_ENERGIAS_RENOVABLES_NO_CONVENCIONALES,HIDRO_GRANDES_CENTRALES_HIDROELECTRICAS,_2040)-INDEX(ST_CAPACIDAD_GENERACION_ENERGIAS_RENOVABLES_NO_CONVENCIONALES,HIDRO_GRANDES_CENTRALES_HIDROELECTRICAS,_2035))*COSTOS_CAPITAL_GRANDES_CENTRALES_HIDROELECTRICAS_USD_KW_BAJO/UNIDAD_KW_A_MW*COSTOS_2019_US_dolares_MMCOP</f>
        <v>0</v>
      </c>
      <c r="L259" s="3076">
        <f>(INDEX(ST_CAPACIDAD_GENERACION_ENERGIAS_RENOVABLES_NO_CONVENCIONALES,HIDRO_GRANDES_CENTRALES_HIDROELECTRICAS,_2045)-INDEX(ST_CAPACIDAD_GENERACION_ENERGIAS_RENOVABLES_NO_CONVENCIONALES,HIDRO_GRANDES_CENTRALES_HIDROELECTRICAS,_2040))*COSTOS_CAPITAL_GRANDES_CENTRALES_HIDROELECTRICAS_USD_KW_BAJO/UNIDAD_KW_A_MW*COSTOS_2019_US_dolares_MMCOP</f>
        <v>0</v>
      </c>
      <c r="M259" s="3076">
        <f>(INDEX(ST_CAPACIDAD_GENERACION_ENERGIAS_RENOVABLES_NO_CONVENCIONALES,HIDRO_GRANDES_CENTRALES_HIDROELECTRICAS,_2050)-INDEX(ST_CAPACIDAD_GENERACION_ENERGIAS_RENOVABLES_NO_CONVENCIONALES,HIDRO_GRANDES_CENTRALES_HIDROELECTRICAS,_2045))*COSTOS_CAPITAL_GRANDES_CENTRALES_HIDROELECTRICAS_USD_KW_BAJO/UNIDAD_KW_A_MW*COSTOS_2019_US_dolares_MMCOP</f>
        <v>4667.547254475513</v>
      </c>
      <c r="N259" s="12"/>
    </row>
    <row r="260" spans="4:14" ht="15" customHeight="1">
      <c r="D260" s="12"/>
      <c r="E260" s="920" t="s">
        <v>543</v>
      </c>
      <c r="F260" s="12">
        <v>0</v>
      </c>
      <c r="G260" s="3076">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BAJO/UNIDAD_KW_A_MW*COSTOS_2019_US_dolares_MMCOP</f>
        <v>0</v>
      </c>
      <c r="H260" s="3076">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BAJO/UNIDAD_KW_A_MW*COSTOS_2019_US_dolares_MMCOP</f>
        <v>0</v>
      </c>
      <c r="I260" s="3076">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BAJO/UNIDAD_KW_A_MW*COSTOS_2019_US_dolares_MMCOP</f>
        <v>0</v>
      </c>
      <c r="J260" s="3076">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BAJO/UNIDAD_KW_A_MW*COSTOS_2019_US_dolares_MMCOP</f>
        <v>0</v>
      </c>
      <c r="K260" s="3076">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BAJO/UNIDAD_KW_A_MW*COSTOS_2019_US_dolares_MMCOP</f>
        <v>0</v>
      </c>
      <c r="L260" s="3076">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BAJO/UNIDAD_KW_A_MW*COSTOS_2019_US_dolares_MMCOP</f>
        <v>0</v>
      </c>
      <c r="M260" s="3076">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BAJO/UNIDAD_KW_A_MW*COSTOS_2019_US_dolares_MMCOP</f>
        <v>0</v>
      </c>
      <c r="N260" s="12"/>
    </row>
    <row r="261" spans="4:14" ht="15" customHeight="1">
      <c r="D261" s="12"/>
      <c r="E261" s="920" t="s">
        <v>1727</v>
      </c>
      <c r="F261" s="12">
        <v>0</v>
      </c>
      <c r="G261" s="3076">
        <f>(INDEX(ST_CAPACIDAD_GENERACION_ENERGIAS_RENOVABLES_NO_CONVENCIONALES,SOLAR_DISTRIBUIDA_TERCIARIO,_2020)-INDEX(ST_CAPACIDAD_GENERACION_ENERGIAS_RENOVABLES_NO_CONVENCIONALES,SOLAR_DISTRIBUIDA_TERCIARIO,_2018))*COSTOS_CAPITAL_SOLAR_TERMICA_USD_KW_BAJO/UNIDAD_KW_A_MW*COSTOS_2019_US_dolares_MMCOP</f>
        <v>0</v>
      </c>
      <c r="H261" s="3076">
        <f>(INDEX(ST_CAPACIDAD_GENERACION_ENERGIAS_RENOVABLES_NO_CONVENCIONALES,SOLAR_DISTRIBUIDA_TERCIARIO,_2025)-INDEX(ST_CAPACIDAD_GENERACION_ENERGIAS_RENOVABLES_NO_CONVENCIONALES,SOLAR_DISTRIBUIDA_TERCIARIO,_2020))*COSTOS_CAPITAL_SOLAR_TERMICA_USD_KW_BAJO/UNIDAD_KW_A_MW*COSTOS_2019_US_dolares_MMCOP</f>
        <v>0</v>
      </c>
      <c r="I261" s="3076">
        <f>(INDEX(ST_CAPACIDAD_GENERACION_ENERGIAS_RENOVABLES_NO_CONVENCIONALES,SOLAR_DISTRIBUIDA_TERCIARIO,_2030)-INDEX(ST_CAPACIDAD_GENERACION_ENERGIAS_RENOVABLES_NO_CONVENCIONALES,SOLAR_DISTRIBUIDA_TERCIARIO,_2025))*COSTOS_CAPITAL_SOLAR_TERMICA_USD_KW_BAJO/UNIDAD_KW_A_MW*COSTOS_2019_US_dolares_MMCOP</f>
        <v>0</v>
      </c>
      <c r="J261" s="3076">
        <f>(INDEX(ST_CAPACIDAD_GENERACION_ENERGIAS_RENOVABLES_NO_CONVENCIONALES,SOLAR_DISTRIBUIDA_TERCIARIO,_2035)-INDEX(ST_CAPACIDAD_GENERACION_ENERGIAS_RENOVABLES_NO_CONVENCIONALES,SOLAR_DISTRIBUIDA_TERCIARIO,_2030))*COSTOS_CAPITAL_SOLAR_TERMICA_USD_KW_BAJO/UNIDAD_KW_A_MW*COSTOS_2019_US_dolares_MMCOP</f>
        <v>8571.0038675175911</v>
      </c>
      <c r="K261" s="3076">
        <f>(INDEX(ST_CAPACIDAD_GENERACION_ENERGIAS_RENOVABLES_NO_CONVENCIONALES,SOLAR_DISTRIBUIDA_TERCIARIO,_2040)-INDEX(ST_CAPACIDAD_GENERACION_ENERGIAS_RENOVABLES_NO_CONVENCIONALES,SOLAR_DISTRIBUIDA_TERCIARIO,_2035))*COSTOS_CAPITAL_SOLAR_TERMICA_USD_KW_BAJO/UNIDAD_KW_A_MW*COSTOS_2019_US_dolares_MMCOP</f>
        <v>0</v>
      </c>
      <c r="L261" s="3076">
        <f>(INDEX(ST_CAPACIDAD_GENERACION_ENERGIAS_RENOVABLES_NO_CONVENCIONALES,SOLAR_DISTRIBUIDA_TERCIARIO,_2045)-INDEX(ST_CAPACIDAD_GENERACION_ENERGIAS_RENOVABLES_NO_CONVENCIONALES,SOLAR_DISTRIBUIDA_TERCIARIO,_2040))*COSTOS_CAPITAL_SOLAR_TERMICA_USD_KW_BAJO/UNIDAD_KW_A_MW*COSTOS_2019_US_dolares_MMCOP</f>
        <v>0</v>
      </c>
      <c r="M261" s="3076">
        <f>(INDEX(ST_CAPACIDAD_GENERACION_ENERGIAS_RENOVABLES_NO_CONVENCIONALES,SOLAR_DISTRIBUIDA_TERCIARIO,_2050)-INDEX(ST_CAPACIDAD_GENERACION_ENERGIAS_RENOVABLES_NO_CONVENCIONALES,SOLAR_DISTRIBUIDA_TERCIARIO,_2045))*COSTOS_CAPITAL_SOLAR_TERMICA_USD_KW_BAJO/UNIDAD_KW_A_MW*COSTOS_2019_US_dolares_MMCOP</f>
        <v>0</v>
      </c>
      <c r="N261" s="12"/>
    </row>
    <row r="262" spans="4:14" ht="15" customHeight="1">
      <c r="D262" s="12"/>
      <c r="E262" s="920" t="s">
        <v>545</v>
      </c>
      <c r="F262" s="12">
        <v>0</v>
      </c>
      <c r="G262" s="3076">
        <f>(INDEX(ST_CAPACIDAD_GENERACION_ENERGIAS_RENOVABLES_NO_CONVENCIONALES,SOLAR_SOLAR_FOTOVOLTAICA,_2020)-INDEX(ST_CAPACIDAD_GENERACION_ENERGIAS_RENOVABLES_NO_CONVENCIONALES,SOLAR_SOLAR_FOTOVOLTAICA,_2018))*COSTOS_CAPITAL_SOLAR_FOTOVOLTAICA_USD_KW_BAJO/UNIDAD_KW_A_MW*COSTOS_2019_US_dolares_MMCOP</f>
        <v>0</v>
      </c>
      <c r="H262" s="3076">
        <f>(INDEX(ST_CAPACIDAD_GENERACION_ENERGIAS_RENOVABLES_NO_CONVENCIONALES,SOLAR_SOLAR_FOTOVOLTAICA,_2025)-INDEX(ST_CAPACIDAD_GENERACION_ENERGIAS_RENOVABLES_NO_CONVENCIONALES,SOLAR_SOLAR_FOTOVOLTAICA,_2020))*COSTOS_CAPITAL_SOLAR_FOTOVOLTAICA_USD_KW_BAJO/UNIDAD_KW_A_MW*COSTOS_2019_US_dolares_MMCOP</f>
        <v>3309.4737421467444</v>
      </c>
      <c r="I262" s="3076">
        <f>(INDEX(ST_CAPACIDAD_GENERACION_ENERGIAS_RENOVABLES_NO_CONVENCIONALES,SOLAR_SOLAR_FOTOVOLTAICA,_2030)-INDEX(ST_CAPACIDAD_GENERACION_ENERGIAS_RENOVABLES_NO_CONVENCIONALES,SOLAR_SOLAR_FOTOVOLTAICA,_2025))*COSTOS_CAPITAL_SOLAR_FOTOVOLTAICA_USD_KW_BAJO/UNIDAD_KW_A_MW*COSTOS_2019_US_dolares_MMCOP</f>
        <v>0</v>
      </c>
      <c r="J262" s="3076">
        <f>(INDEX(ST_CAPACIDAD_GENERACION_ENERGIAS_RENOVABLES_NO_CONVENCIONALES,SOLAR_SOLAR_FOTOVOLTAICA,_2035)-INDEX(ST_CAPACIDAD_GENERACION_ENERGIAS_RENOVABLES_NO_CONVENCIONALES,SOLAR_SOLAR_FOTOVOLTAICA,_2030))*COSTOS_CAPITAL_SOLAR_FOTOVOLTAICA_USD_KW_BAJO/UNIDAD_KW_A_MW*COSTOS_2019_US_dolares_MMCOP</f>
        <v>3309.4737421467444</v>
      </c>
      <c r="K262" s="3076">
        <f>(INDEX(ST_CAPACIDAD_GENERACION_ENERGIAS_RENOVABLES_NO_CONVENCIONALES,SOLAR_SOLAR_FOTOVOLTAICA,_2040)-INDEX(ST_CAPACIDAD_GENERACION_ENERGIAS_RENOVABLES_NO_CONVENCIONALES,SOLAR_SOLAR_FOTOVOLTAICA,_2035))*COSTOS_CAPITAL_SOLAR_FOTOVOLTAICA_USD_KW_BAJO/UNIDAD_KW_A_MW*COSTOS_2019_US_dolares_MMCOP</f>
        <v>6618.9474842934887</v>
      </c>
      <c r="L262" s="3076">
        <f>(INDEX(ST_CAPACIDAD_GENERACION_ENERGIAS_RENOVABLES_NO_CONVENCIONALES,SOLAR_SOLAR_FOTOVOLTAICA,_2045)-INDEX(ST_CAPACIDAD_GENERACION_ENERGIAS_RENOVABLES_NO_CONVENCIONALES,SOLAR_SOLAR_FOTOVOLTAICA,_2040))*COSTOS_CAPITAL_SOLAR_FOTOVOLTAICA_USD_KW_BAJO/UNIDAD_KW_A_MW*COSTOS_2019_US_dolares_MMCOP</f>
        <v>9928.4212264402286</v>
      </c>
      <c r="M262" s="3076">
        <f>(INDEX(ST_CAPACIDAD_GENERACION_ENERGIAS_RENOVABLES_NO_CONVENCIONALES,SOLAR_SOLAR_FOTOVOLTAICA,_2050)-INDEX(ST_CAPACIDAD_GENERACION_ENERGIAS_RENOVABLES_NO_CONVENCIONALES,SOLAR_SOLAR_FOTOVOLTAICA,_2045))*COSTOS_CAPITAL_SOLAR_FOTOVOLTAICA_USD_KW_BAJO/UNIDAD_KW_A_MW*COSTOS_2019_US_dolares_MMCOP</f>
        <v>6618.947484293486</v>
      </c>
      <c r="N262" s="12"/>
    </row>
    <row r="263" spans="4:14" ht="15" customHeight="1">
      <c r="D263" s="12"/>
      <c r="E263" s="920" t="s">
        <v>546</v>
      </c>
      <c r="F263" s="12">
        <v>0</v>
      </c>
      <c r="G263" s="3076">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H263" s="3076">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I263" s="3076">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J263" s="3076">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K263" s="3076">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L263" s="3076">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M263" s="3076">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N263" s="12"/>
    </row>
    <row r="264" spans="4:14" ht="15" customHeight="1">
      <c r="D264" s="12"/>
      <c r="E264" s="920" t="s">
        <v>547</v>
      </c>
      <c r="F264" s="12">
        <v>0</v>
      </c>
      <c r="G264" s="3076">
        <f>(INDEX(ST_CAPACIDAD_GENERACION_ENERGIAS_RENOVABLES_NO_CONVENCIONALES,EOLICA_EOLICA_COSTA_ADENTRO_RESTO_PAIS,_2020)-INDEX(ST_CAPACIDAD_GENERACION_ENERGIAS_RENOVABLES_NO_CONVENCIONALES,EOLICA_EOLICA_COSTA_ADENTRO_RESTO_PAIS,_2018))*COSTOS_CAPITAL_EOLICA_COSTA_AFUERA_USD_KW_BAJO/UNIDAD_KW_A_MW*COSTOS_2019_US_dolares_MMCOP</f>
        <v>0</v>
      </c>
      <c r="H264" s="3076">
        <f>(INDEX(ST_CAPACIDAD_GENERACION_ENERGIAS_RENOVABLES_NO_CONVENCIONALES,EOLICA_EOLICA_COSTA_ADENTRO_RESTO_PAIS,_2025)-INDEX(ST_CAPACIDAD_GENERACION_ENERGIAS_RENOVABLES_NO_CONVENCIONALES,EOLICA_EOLICA_COSTA_ADENTRO_RESTO_PAIS,_2020))*COSTOS_CAPITAL_EOLICA_COSTA_AFUERA_USD_KW_BAJO/UNIDAD_KW_A_MW*COSTOS_2019_US_dolares_MMCOP</f>
        <v>0</v>
      </c>
      <c r="I264" s="3076">
        <f>(INDEX(ST_CAPACIDAD_GENERACION_ENERGIAS_RENOVABLES_NO_CONVENCIONALES,EOLICA_EOLICA_COSTA_ADENTRO_RESTO_PAIS,_2030)-INDEX(ST_CAPACIDAD_GENERACION_ENERGIAS_RENOVABLES_NO_CONVENCIONALES,EOLICA_EOLICA_COSTA_ADENTRO_RESTO_PAIS,_2025))*COSTOS_CAPITAL_EOLICA_COSTA_AFUERA_USD_KW_BAJO/UNIDAD_KW_A_MW*COSTOS_2019_US_dolares_MMCOP</f>
        <v>0</v>
      </c>
      <c r="J264" s="3076">
        <f>(INDEX(ST_CAPACIDAD_GENERACION_ENERGIAS_RENOVABLES_NO_CONVENCIONALES,EOLICA_EOLICA_COSTA_ADENTRO_RESTO_PAIS,_2035)-INDEX(ST_CAPACIDAD_GENERACION_ENERGIAS_RENOVABLES_NO_CONVENCIONALES,EOLICA_EOLICA_COSTA_ADENTRO_RESTO_PAIS,_2030))*COSTOS_CAPITAL_EOLICA_COSTA_AFUERA_USD_KW_BAJO/UNIDAD_KW_A_MW*COSTOS_2019_US_dolares_MMCOP</f>
        <v>0</v>
      </c>
      <c r="K264" s="3076">
        <f>(INDEX(ST_CAPACIDAD_GENERACION_ENERGIAS_RENOVABLES_NO_CONVENCIONALES,EOLICA_EOLICA_COSTA_ADENTRO_RESTO_PAIS,_2040)-INDEX(ST_CAPACIDAD_GENERACION_ENERGIAS_RENOVABLES_NO_CONVENCIONALES,EOLICA_EOLICA_COSTA_ADENTRO_RESTO_PAIS,_2035))*COSTOS_CAPITAL_EOLICA_COSTA_AFUERA_USD_KW_BAJO/UNIDAD_KW_A_MW*COSTOS_2019_US_dolares_MMCOP</f>
        <v>0</v>
      </c>
      <c r="L264" s="3076">
        <f>(INDEX(ST_CAPACIDAD_GENERACION_ENERGIAS_RENOVABLES_NO_CONVENCIONALES,EOLICA_EOLICA_COSTA_ADENTRO_RESTO_PAIS,_2045)-INDEX(ST_CAPACIDAD_GENERACION_ENERGIAS_RENOVABLES_NO_CONVENCIONALES,EOLICA_EOLICA_COSTA_ADENTRO_RESTO_PAIS,_2040))*COSTOS_CAPITAL_EOLICA_COSTA_AFUERA_USD_KW_BAJO/UNIDAD_KW_A_MW*COSTOS_2019_US_dolares_MMCOP</f>
        <v>22637.292511338324</v>
      </c>
      <c r="M264" s="3076">
        <f>(INDEX(ST_CAPACIDAD_GENERACION_ENERGIAS_RENOVABLES_NO_CONVENCIONALES,EOLICA_EOLICA_COSTA_ADENTRO_RESTO_PAIS,_2050)-INDEX(ST_CAPACIDAD_GENERACION_ENERGIAS_RENOVABLES_NO_CONVENCIONALES,EOLICA_EOLICA_COSTA_ADENTRO_RESTO_PAIS,_2045))*COSTOS_CAPITAL_EOLICA_COSTA_AFUERA_USD_KW_BAJO/UNIDAD_KW_A_MW*COSTOS_2019_US_dolares_MMCOP</f>
        <v>0</v>
      </c>
      <c r="N264" s="12"/>
    </row>
    <row r="265" spans="4:14" ht="15" customHeight="1">
      <c r="D265" s="12"/>
      <c r="E265" s="920" t="s">
        <v>548</v>
      </c>
      <c r="F265" s="12">
        <v>0</v>
      </c>
      <c r="G265" s="3076">
        <f>(INDEX(ST_CAPACIDAD_GENERACION_ENERGIAS_RENOVABLES_NO_CONVENCIONALES,EOLICA_EOLICA_COSTA_AFUERA,_2020)-INDEX(ST_CAPACIDAD_GENERACION_ENERGIAS_RENOVABLES_NO_CONVENCIONALES,EOLICA_EOLICA_COSTA_AFUERA,_2018))*COSTOS_CAPITAL_EOLICA_COSTA_AFUERA_USD_KW_BAJO/UNIDAD_KW_A_MW*COSTOS_2019_US_dolares_MMCOP</f>
        <v>0</v>
      </c>
      <c r="H265" s="3076">
        <f>(INDEX(ST_CAPACIDAD_GENERACION_ENERGIAS_RENOVABLES_NO_CONVENCIONALES,EOLICA_EOLICA_COSTA_AFUERA,_2025)-INDEX(ST_CAPACIDAD_GENERACION_ENERGIAS_RENOVABLES_NO_CONVENCIONALES,EOLICA_EOLICA_COSTA_AFUERA,_2020))*COSTOS_CAPITAL_EOLICA_COSTA_AFUERA_USD_KW_BAJO/UNIDAD_KW_A_MW*COSTOS_2019_US_dolares_MMCOP</f>
        <v>0</v>
      </c>
      <c r="I265" s="3076">
        <f>(INDEX(ST_CAPACIDAD_GENERACION_ENERGIAS_RENOVABLES_NO_CONVENCIONALES,EOLICA_EOLICA_COSTA_AFUERA,_2030)-INDEX(ST_CAPACIDAD_GENERACION_ENERGIAS_RENOVABLES_NO_CONVENCIONALES,EOLICA_EOLICA_COSTA_AFUERA,_2025))*COSTOS_CAPITAL_EOLICA_COSTA_AFUERA_USD_KW_BAJO/UNIDAD_KW_A_MW*COSTOS_2019_US_dolares_MMCOP</f>
        <v>0</v>
      </c>
      <c r="J265" s="3076">
        <f>(INDEX(ST_CAPACIDAD_GENERACION_ENERGIAS_RENOVABLES_NO_CONVENCIONALES,EOLICA_EOLICA_COSTA_AFUERA,_2035)-INDEX(ST_CAPACIDAD_GENERACION_ENERGIAS_RENOVABLES_NO_CONVENCIONALES,EOLICA_EOLICA_COSTA_AFUERA,_2030))*COSTOS_CAPITAL_EOLICA_COSTA_AFUERA_USD_KW_BAJO/UNIDAD_KW_A_MW*COSTOS_2019_US_dolares_MMCOP</f>
        <v>0</v>
      </c>
      <c r="K265" s="3076">
        <f>(INDEX(ST_CAPACIDAD_GENERACION_ENERGIAS_RENOVABLES_NO_CONVENCIONALES,EOLICA_EOLICA_COSTA_AFUERA,_2040)-INDEX(ST_CAPACIDAD_GENERACION_ENERGIAS_RENOVABLES_NO_CONVENCIONALES,EOLICA_EOLICA_COSTA_AFUERA,_2035))*COSTOS_CAPITAL_EOLICA_COSTA_AFUERA_USD_KW_BAJO/UNIDAD_KW_A_MW*COSTOS_2019_US_dolares_MMCOP</f>
        <v>0</v>
      </c>
      <c r="L265" s="3076">
        <f>(INDEX(ST_CAPACIDAD_GENERACION_ENERGIAS_RENOVABLES_NO_CONVENCIONALES,EOLICA_EOLICA_COSTA_AFUERA,_2045)-INDEX(ST_CAPACIDAD_GENERACION_ENERGIAS_RENOVABLES_NO_CONVENCIONALES,EOLICA_EOLICA_COSTA_AFUERA,_2040))*COSTOS_CAPITAL_EOLICA_COSTA_AFUERA_USD_KW_BAJO/UNIDAD_KW_A_MW*COSTOS_2019_US_dolares_MMCOP</f>
        <v>0</v>
      </c>
      <c r="M265" s="3076">
        <f>(INDEX(ST_CAPACIDAD_GENERACION_ENERGIAS_RENOVABLES_NO_CONVENCIONALES,EOLICA_EOLICA_COSTA_AFUERA,_2050)-INDEX(ST_CAPACIDAD_GENERACION_ENERGIAS_RENOVABLES_NO_CONVENCIONALES,EOLICA_EOLICA_COSTA_AFUERA,_2045))*COSTOS_CAPITAL_EOLICA_COSTA_AFUERA_USD_KW_BAJO/UNIDAD_KW_A_MW*COSTOS_2019_US_dolares_MMCOP</f>
        <v>0</v>
      </c>
      <c r="N265" s="12"/>
    </row>
    <row r="266" spans="4:14" ht="15" customHeight="1">
      <c r="D266" s="12"/>
      <c r="E266" s="920" t="s">
        <v>549</v>
      </c>
      <c r="F266" s="12">
        <v>0</v>
      </c>
      <c r="G266" s="3076">
        <f>(INDEX(ST_CAPACIDAD_GENERACION_ENERGIAS_RENOVABLES_NO_CONVENCIONALES,HIDROGENO_VERDE,_2020)-INDEX(ST_CAPACIDAD_GENERACION_ENERGIAS_RENOVABLES_NO_CONVENCIONALES,HIDROGENO_VERDE,_2018))*COSTOS_CAPITAL_H2_USD_KW_BAJO/UNIDAD_KW_A_MW*COSTOS_2019_US_dolares_MMCOP</f>
        <v>0</v>
      </c>
      <c r="H266" s="3076">
        <f>(INDEX(ST_CAPACIDAD_GENERACION_ENERGIAS_RENOVABLES_NO_CONVENCIONALES,HIDROGENO_VERDE,_2025)-INDEX(ST_CAPACIDAD_GENERACION_ENERGIAS_RENOVABLES_NO_CONVENCIONALES,HIDROGENO_VERDE,_2020))*COSTOS_CAPITAL_H2_USD_KW_BAJO/UNIDAD_KW_A_MW*COSTOS_2019_US_dolares_MMCOP</f>
        <v>0</v>
      </c>
      <c r="I266" s="3076">
        <f>(INDEX(ST_CAPACIDAD_GENERACION_ENERGIAS_RENOVABLES_NO_CONVENCIONALES,HIDROGENO_VERDE,_2030)-INDEX(ST_CAPACIDAD_GENERACION_ENERGIAS_RENOVABLES_NO_CONVENCIONALES,HIDROGENO_VERDE,_2025))*COSTOS_CAPITAL_H2_USD_KW_BAJO/UNIDAD_KW_A_MW*COSTOS_2019_US_dolares_MMCOP</f>
        <v>0</v>
      </c>
      <c r="J266" s="3076">
        <f>(INDEX(ST_CAPACIDAD_GENERACION_ENERGIAS_RENOVABLES_NO_CONVENCIONALES,HIDROGENO_VERDE,_2035)-INDEX(ST_CAPACIDAD_GENERACION_ENERGIAS_RENOVABLES_NO_CONVENCIONALES,HIDROGENO_VERDE,_2030))*COSTOS_CAPITAL_H2_USD_KW_BAJO/UNIDAD_KW_A_MW*COSTOS_2019_US_dolares_MMCOP</f>
        <v>0</v>
      </c>
      <c r="K266" s="3076">
        <f>(INDEX(ST_CAPACIDAD_GENERACION_ENERGIAS_RENOVABLES_NO_CONVENCIONALES,HIDROGENO_VERDE,_2040)-INDEX(ST_CAPACIDAD_GENERACION_ENERGIAS_RENOVABLES_NO_CONVENCIONALES,HIDROGENO_VERDE,_2035))*COSTOS_CAPITAL_H2_USD_KW_BAJO/UNIDAD_KW_A_MW*COSTOS_2019_US_dolares_MMCOP</f>
        <v>0</v>
      </c>
      <c r="L266" s="3076">
        <f>(INDEX(ST_CAPACIDAD_GENERACION_ENERGIAS_RENOVABLES_NO_CONVENCIONALES,HIDROGENO_VERDE,_2045)-INDEX(ST_CAPACIDAD_GENERACION_ENERGIAS_RENOVABLES_NO_CONVENCIONALES,HIDROGENO_VERDE,_2040))*COSTOS_CAPITAL_H2_USD_KW_BAJO/UNIDAD_KW_A_MW*COSTOS_2019_US_dolares_MMCOP</f>
        <v>0</v>
      </c>
      <c r="M266" s="3076">
        <f>(INDEX(ST_CAPACIDAD_GENERACION_ENERGIAS_RENOVABLES_NO_CONVENCIONALES,HIDROGENO_VERDE,_2050)-INDEX(ST_CAPACIDAD_GENERACION_ENERGIAS_RENOVABLES_NO_CONVENCIONALES,HIDROGENO_VERDE,_2045))*COSTOS_CAPITAL_H2_USD_KW_BAJO/UNIDAD_KW_A_MW*COSTOS_2019_US_dolares_MMCOP</f>
        <v>0</v>
      </c>
      <c r="N266" s="12"/>
    </row>
    <row r="267" spans="4:14" ht="15" customHeight="1">
      <c r="D267" s="12"/>
      <c r="E267" s="920" t="s">
        <v>162</v>
      </c>
      <c r="F267" s="12">
        <v>0</v>
      </c>
      <c r="G267" s="3076">
        <f>(INDEX(ST_CAPACIDAD_GENERACION_ENERGIAS_RENOVABLES_NO_CONVENCIONALES,BIOMASA,_2020)-INDEX(ST_CAPACIDAD_GENERACION_ENERGIAS_RENOVABLES_NO_CONVENCIONALES,BIOMASA,_2018))*COSTOS_CAPITAL_BIOMASA_USD_KW_BAJO/UNIDAD_KW_A_MW*COSTOS_2019_US_dolares_MMCOP</f>
        <v>0</v>
      </c>
      <c r="H267" s="3076">
        <f>(INDEX(ST_CAPACIDAD_GENERACION_ENERGIAS_RENOVABLES_NO_CONVENCIONALES,BIOMASA,_2025)-INDEX(ST_CAPACIDAD_GENERACION_ENERGIAS_RENOVABLES_NO_CONVENCIONALES,BIOMASA,_2020))*COSTOS_CAPITAL_BIOMASA_USD_KW_BAJO/UNIDAD_KW_A_MW*COSTOS_2019_US_dolares_MMCOP</f>
        <v>0</v>
      </c>
      <c r="I267" s="3076">
        <f>(INDEX(ST_CAPACIDAD_GENERACION_ENERGIAS_RENOVABLES_NO_CONVENCIONALES,BIOMASA,_2030)-INDEX(ST_CAPACIDAD_GENERACION_ENERGIAS_RENOVABLES_NO_CONVENCIONALES,BIOMASA,_2025))*COSTOS_CAPITAL_BIOMASA_USD_KW_BAJO/UNIDAD_KW_A_MW*COSTOS_2019_US_dolares_MMCOP</f>
        <v>0</v>
      </c>
      <c r="J267" s="3076">
        <f>(INDEX(ST_CAPACIDAD_GENERACION_ENERGIAS_RENOVABLES_NO_CONVENCIONALES,BIOMASA,_2035)-INDEX(ST_CAPACIDAD_GENERACION_ENERGIAS_RENOVABLES_NO_CONVENCIONALES,BIOMASA,_2030))*COSTOS_CAPITAL_BIOMASA_USD_KW_BAJO/UNIDAD_KW_A_MW*COSTOS_2019_US_dolares_MMCOP</f>
        <v>0</v>
      </c>
      <c r="K267" s="3076">
        <f>(INDEX(ST_CAPACIDAD_GENERACION_ENERGIAS_RENOVABLES_NO_CONVENCIONALES,BIOMASA,_2040)-INDEX(ST_CAPACIDAD_GENERACION_ENERGIAS_RENOVABLES_NO_CONVENCIONALES,BIOMASA,_2035))*COSTOS_CAPITAL_BIOMASA_USD_KW_BAJO/UNIDAD_KW_A_MW*COSTOS_2019_US_dolares_MMCOP</f>
        <v>0</v>
      </c>
      <c r="L267" s="3076">
        <f>(INDEX(ST_CAPACIDAD_GENERACION_ENERGIAS_RENOVABLES_NO_CONVENCIONALES,BIOMASA,_2045)-INDEX(ST_CAPACIDAD_GENERACION_ENERGIAS_RENOVABLES_NO_CONVENCIONALES,BIOMASA,_2040))*COSTOS_CAPITAL_BIOMASA_USD_KW_BAJO/UNIDAD_KW_A_MW*COSTOS_2019_US_dolares_MMCOP</f>
        <v>0</v>
      </c>
      <c r="M267" s="3076">
        <f>(INDEX(ST_CAPACIDAD_GENERACION_ENERGIAS_RENOVABLES_NO_CONVENCIONALES,BIOMASA,_2050)-INDEX(ST_CAPACIDAD_GENERACION_ENERGIAS_RENOVABLES_NO_CONVENCIONALES,BIOMASA,_2045))*COSTOS_CAPITAL_BIOMASA_USD_KW_BAJO/UNIDAD_KW_A_MW*COSTOS_2019_US_dolares_MMCOP</f>
        <v>0</v>
      </c>
      <c r="N267" s="12"/>
    </row>
    <row r="268" spans="4:14" ht="15" customHeight="1">
      <c r="D268" s="12"/>
      <c r="E268" s="1019" t="s">
        <v>504</v>
      </c>
      <c r="F268" s="275">
        <v>0</v>
      </c>
      <c r="G268" s="2668">
        <f>(INDEX(ST_CAPACIDAD_GENERACION_ENERGIAS_RENOVABLES_NO_CONVENCIONALES,BAGAZO,_2020)-INDEX(ST_CAPACIDAD_GENERACION_ENERGIAS_RENOVABLES_NO_CONVENCIONALES,BAGAZO,_2018))*COSTOS_CAPITAL_BAGAZO_USD_KW_BAJO/UNIDAD_KW_A_MW*COSTOS_2019_US_dolares_MMCOP</f>
        <v>0</v>
      </c>
      <c r="H268" s="2668">
        <f>(INDEX(ST_CAPACIDAD_GENERACION_ENERGIAS_RENOVABLES_NO_CONVENCIONALES,BAGAZO,_2025)-INDEX(ST_CAPACIDAD_GENERACION_ENERGIAS_RENOVABLES_NO_CONVENCIONALES,BAGAZO,_2020))*COSTOS_CAPITAL_BAGAZO_USD_KW_BAJO/UNIDAD_KW_A_MW*COSTOS_2019_US_dolares_MMCOP</f>
        <v>0</v>
      </c>
      <c r="I268" s="2668">
        <f>(INDEX(ST_CAPACIDAD_GENERACION_ENERGIAS_RENOVABLES_NO_CONVENCIONALES,BAGAZO,_2030)-INDEX(ST_CAPACIDAD_GENERACION_ENERGIAS_RENOVABLES_NO_CONVENCIONALES,BAGAZO,_2025))*COSTOS_CAPITAL_BAGAZO_USD_KW_BAJO/UNIDAD_KW_A_MW*COSTOS_2019_US_dolares_MMCOP</f>
        <v>0</v>
      </c>
      <c r="J268" s="2668">
        <f>(INDEX(ST_CAPACIDAD_GENERACION_ENERGIAS_RENOVABLES_NO_CONVENCIONALES,BAGAZO,_2035)-INDEX(ST_CAPACIDAD_GENERACION_ENERGIAS_RENOVABLES_NO_CONVENCIONALES,BAGAZO,_2030))*COSTOS_CAPITAL_BAGAZO_USD_KW_BAJO/UNIDAD_KW_A_MW*COSTOS_2019_US_dolares_MMCOP</f>
        <v>0</v>
      </c>
      <c r="K268" s="2668">
        <f>(INDEX(ST_CAPACIDAD_GENERACION_ENERGIAS_RENOVABLES_NO_CONVENCIONALES,BAGAZO,_2040)-INDEX(ST_CAPACIDAD_GENERACION_ENERGIAS_RENOVABLES_NO_CONVENCIONALES,BAGAZO,_2035))*COSTOS_CAPITAL_BAGAZO_USD_KW_BAJO/UNIDAD_KW_A_MW*COSTOS_2019_US_dolares_MMCOP</f>
        <v>0</v>
      </c>
      <c r="L268" s="2668">
        <f>(INDEX(ST_CAPACIDAD_GENERACION_ENERGIAS_RENOVABLES_NO_CONVENCIONALES,BAGAZO,_2045)-INDEX(ST_CAPACIDAD_GENERACION_ENERGIAS_RENOVABLES_NO_CONVENCIONALES,BAGAZO,_2040))*COSTOS_CAPITAL_BAGAZO_USD_KW_BAJO/UNIDAD_KW_A_MW*COSTOS_2019_US_dolares_MMCOP</f>
        <v>0</v>
      </c>
      <c r="M268" s="2668">
        <f>(INDEX(ST_CAPACIDAD_GENERACION_ENERGIAS_RENOVABLES_NO_CONVENCIONALES,BAGAZO,_2050)-INDEX(ST_CAPACIDAD_GENERACION_ENERGIAS_RENOVABLES_NO_CONVENCIONALES,BAGAZO,_2045))*COSTOS_CAPITAL_BAGAZO_USD_KW_BAJO/UNIDAD_KW_A_MW*COSTOS_2019_US_dolares_MMCOP</f>
        <v>0</v>
      </c>
      <c r="N268" s="12"/>
    </row>
    <row r="269" spans="4:14" ht="15" customHeight="1">
      <c r="D269" s="12"/>
      <c r="E269" s="2677" t="s">
        <v>338</v>
      </c>
      <c r="F269" s="2679">
        <f t="shared" ref="F269:M269" si="12">SUM(F259:F268)</f>
        <v>0</v>
      </c>
      <c r="G269" s="3078">
        <f t="shared" si="12"/>
        <v>0</v>
      </c>
      <c r="H269" s="3078">
        <f t="shared" si="12"/>
        <v>17312.115505573278</v>
      </c>
      <c r="I269" s="3078">
        <f t="shared" si="12"/>
        <v>0</v>
      </c>
      <c r="J269" s="3078">
        <f t="shared" si="12"/>
        <v>11880.477609664336</v>
      </c>
      <c r="K269" s="3078">
        <f t="shared" si="12"/>
        <v>6618.9474842934887</v>
      </c>
      <c r="L269" s="3078">
        <f t="shared" si="12"/>
        <v>32565.713737778555</v>
      </c>
      <c r="M269" s="3078">
        <f t="shared" si="12"/>
        <v>11286.494738768999</v>
      </c>
      <c r="N269" s="12"/>
    </row>
    <row r="270" spans="4:14" ht="15" customHeight="1">
      <c r="D270" s="12"/>
      <c r="E270" s="1024"/>
      <c r="F270" s="1024"/>
      <c r="G270" s="1024"/>
      <c r="H270" s="1024"/>
      <c r="I270" s="1026"/>
      <c r="J270" s="1024"/>
      <c r="K270" s="1026"/>
      <c r="L270" s="1026"/>
      <c r="M270" s="1026"/>
      <c r="N270" s="12"/>
    </row>
    <row r="271" spans="4:14" ht="15" customHeight="1">
      <c r="D271" s="12"/>
      <c r="E271" s="1027" t="s">
        <v>1740</v>
      </c>
      <c r="F271" s="1020"/>
      <c r="G271" s="1021"/>
      <c r="H271" s="1020"/>
      <c r="I271" s="1022"/>
      <c r="J271" s="1020"/>
      <c r="K271" s="1022"/>
      <c r="L271" s="1022"/>
      <c r="M271" s="1022"/>
      <c r="N271" s="12"/>
    </row>
    <row r="272" spans="4:14" ht="15" customHeight="1">
      <c r="D272" s="12"/>
      <c r="E272" s="12"/>
      <c r="F272" s="12"/>
      <c r="G272" s="12"/>
      <c r="H272" s="12"/>
      <c r="I272" s="12"/>
      <c r="J272" s="12"/>
      <c r="K272" s="12"/>
      <c r="L272" s="12"/>
      <c r="M272" s="12"/>
      <c r="N272" s="12"/>
    </row>
    <row r="273" spans="4:14" ht="15" customHeight="1">
      <c r="D273" s="12"/>
      <c r="E273" s="1019" t="s">
        <v>1735</v>
      </c>
      <c r="F273" s="12"/>
      <c r="G273" s="12"/>
      <c r="H273" s="12"/>
      <c r="I273" s="12"/>
      <c r="J273" s="12"/>
      <c r="K273" s="12"/>
      <c r="L273" s="12"/>
      <c r="M273" s="1874" t="s">
        <v>803</v>
      </c>
      <c r="N273" s="12"/>
    </row>
    <row r="274" spans="4:14" ht="15" customHeight="1">
      <c r="D274" s="12"/>
      <c r="E274" s="424" t="s">
        <v>859</v>
      </c>
      <c r="F274" s="424">
        <v>2018</v>
      </c>
      <c r="G274" s="424">
        <v>2020</v>
      </c>
      <c r="H274" s="424">
        <v>2025</v>
      </c>
      <c r="I274" s="424">
        <v>2030</v>
      </c>
      <c r="J274" s="424">
        <v>2035</v>
      </c>
      <c r="K274" s="424">
        <v>2040</v>
      </c>
      <c r="L274" s="424">
        <v>2045</v>
      </c>
      <c r="M274" s="424">
        <v>2050</v>
      </c>
      <c r="N274" s="12"/>
    </row>
    <row r="275" spans="4:14" ht="15" customHeight="1">
      <c r="D275" s="12"/>
      <c r="E275" s="2653" t="s">
        <v>535</v>
      </c>
      <c r="F275" s="12">
        <v>0</v>
      </c>
      <c r="G275" s="3076">
        <f>(INDEX(ST_CAPACIDAD_GENERACION_COMBUSTIBLES_FOSILES,TERMOELECTRICA_GAS_NATURAL,_2020))*COSTOS_OPERACION_MANTENIMIENTO_ELECTRICIDAD_TERMOELECTRICA_GN_USD_KW_ALTO/UNIDAD_KW_A_MW*COSTOS_2019_US_dolares_MMCOP</f>
        <v>239.41397406013255</v>
      </c>
      <c r="H275" s="3076">
        <f>(INDEX(ST_CAPACIDAD_GENERACION_COMBUSTIBLES_FOSILES,TERMOELECTRICA_GAS_NATURAL,_2025))*COSTOS_OPERACION_MANTENIMIENTO_ELECTRICIDAD_TERMOELECTRICA_GN_USD_KW_ALTO/UNIDAD_KW_A_MW*COSTOS_2019_US_dolares_MMCOP</f>
        <v>359.1209610901987</v>
      </c>
      <c r="I275" s="3076">
        <f>(INDEX(ST_CAPACIDAD_GENERACION_COMBUSTIBLES_FOSILES,TERMOELECTRICA_GAS_NATURAL,_2025))*COSTOS_OPERACION_MANTENIMIENTO_ELECTRICIDAD_TERMOELECTRICA_GN_USD_KW_ALTO/UNIDAD_KW_A_MW*COSTOS_2019_US_dolares_MMCOP</f>
        <v>359.1209610901987</v>
      </c>
      <c r="J275" s="3076">
        <f>(INDEX(ST_CAPACIDAD_GENERACION_COMBUSTIBLES_FOSILES,TERMOELECTRICA_GAS_NATURAL,_2035))*COSTOS_OPERACION_MANTENIMIENTO_ELECTRICIDAD_TERMOELECTRICA_GN_USD_KW_ALTO/UNIDAD_KW_A_MW*COSTOS_2019_US_dolares_MMCOP</f>
        <v>359.1209610901987</v>
      </c>
      <c r="K275" s="3076">
        <f>(INDEX(ST_CAPACIDAD_GENERACION_COMBUSTIBLES_FOSILES,TERMOELECTRICA_GAS_NATURAL,_2040))*COSTOS_OPERACION_MANTENIMIENTO_ELECTRICIDAD_TERMOELECTRICA_GN_USD_KW_ALTO/UNIDAD_KW_A_MW*COSTOS_2019_US_dolares_MMCOP</f>
        <v>359.1209610901987</v>
      </c>
      <c r="L275" s="3076">
        <f>(INDEX(ST_CAPACIDAD_GENERACION_COMBUSTIBLES_FOSILES,TERMOELECTRICA_GAS_NATURAL,_2045))*COSTOS_OPERACION_MANTENIMIENTO_ELECTRICIDAD_TERMOELECTRICA_GN_USD_KW_ALTO/UNIDAD_KW_A_MW*COSTOS_2019_US_dolares_MMCOP</f>
        <v>359.1209610901987</v>
      </c>
      <c r="M275" s="3076">
        <f>(INDEX(ST_CAPACIDAD_GENERACION_COMBUSTIBLES_FOSILES,TERMOELECTRICA_GAS_NATURAL,_2050))*COSTOS_OPERACION_MANTENIMIENTO_ELECTRICIDAD_TERMOELECTRICA_GN_USD_KW_ALTO/UNIDAD_KW_A_MW*COSTOS_2019_US_dolares_MMCOP</f>
        <v>359.1209610901987</v>
      </c>
      <c r="N275" s="12"/>
    </row>
    <row r="276" spans="4:14" ht="15" customHeight="1">
      <c r="D276" s="12"/>
      <c r="E276" s="920" t="s">
        <v>536</v>
      </c>
      <c r="F276" s="12">
        <v>0</v>
      </c>
      <c r="G276" s="3076">
        <f>(INDEX(ST_CAPACIDAD_GENERACION_COMBUSTIBLES_FOSILES,Termoelectrica_carbon,_2020)*COSTOS_OPERACION_MANTENIMIENTO_ELECTRICIDAD_TERMOELECTRICA_CARBON_USD_KW_ALTO/UNIDAD_KW_A_MW*COSTOS_2019_US_dolares_MMCOP)</f>
        <v>1076.5016819250563</v>
      </c>
      <c r="H276" s="3076">
        <f>(INDEX(ST_CAPACIDAD_GENERACION_COMBUSTIBLES_FOSILES,Termoelectrica_carbon,_2025)*COSTOS_OPERACION_MANTENIMIENTO_ELECTRICIDAD_TERMOELECTRICA_CARBON_USD_KW_ALTO/UNIDAD_KW_A_MW*COSTOS_2019_US_dolares_MMCOP)</f>
        <v>1076.5016819250563</v>
      </c>
      <c r="I276" s="3076">
        <f>(INDEX(ST_CAPACIDAD_GENERACION_COMBUSTIBLES_FOSILES,Termoelectrica_carbon,_2025)*COSTOS_OPERACION_MANTENIMIENTO_ELECTRICIDAD_TERMOELECTRICA_CARBON_USD_KW_ALTO/UNIDAD_KW_A_MW*COSTOS_2019_US_dolares_MMCOP)</f>
        <v>1076.5016819250563</v>
      </c>
      <c r="J276" s="3076">
        <f>(INDEX(ST_CAPACIDAD_GENERACION_COMBUSTIBLES_FOSILES,Termoelectrica_carbon,_2035)*COSTOS_OPERACION_MANTENIMIENTO_ELECTRICIDAD_TERMOELECTRICA_CARBON_USD_KW_ALTO/UNIDAD_KW_A_MW*COSTOS_2019_US_dolares_MMCOP)</f>
        <v>1076.5016819250563</v>
      </c>
      <c r="K276" s="3076">
        <f>(INDEX(ST_CAPACIDAD_GENERACION_COMBUSTIBLES_FOSILES,Termoelectrica_carbon,_2040)*COSTOS_OPERACION_MANTENIMIENTO_ELECTRICIDAD_TERMOELECTRICA_CARBON_USD_KW_ALTO/UNIDAD_KW_A_MW*COSTOS_2019_US_dolares_MMCOP)</f>
        <v>1076.5016819250563</v>
      </c>
      <c r="L276" s="3076">
        <f>(INDEX(ST_CAPACIDAD_GENERACION_COMBUSTIBLES_FOSILES,Termoelectrica_carbon,_2045)*COSTOS_OPERACION_MANTENIMIENTO_ELECTRICIDAD_TERMOELECTRICA_CARBON_USD_KW_ALTO/UNIDAD_KW_A_MW*COSTOS_2019_US_dolares_MMCOP)</f>
        <v>1076.5016819250563</v>
      </c>
      <c r="M276" s="3076">
        <f>(INDEX(ST_CAPACIDAD_GENERACION_COMBUSTIBLES_FOSILES,Termoelectrica_carbon,_2050)*COSTOS_OPERACION_MANTENIMIENTO_ELECTRICIDAD_TERMOELECTRICA_CARBON_USD_KW_ALTO/UNIDAD_KW_A_MW*COSTOS_2019_US_dolares_MMCOP)</f>
        <v>1076.5016819250563</v>
      </c>
      <c r="N276" s="12"/>
    </row>
    <row r="277" spans="4:14" ht="15" customHeight="1">
      <c r="D277" s="12"/>
      <c r="E277" s="920" t="s">
        <v>526</v>
      </c>
      <c r="F277" s="12">
        <v>0</v>
      </c>
      <c r="G277" s="3076">
        <f>(INDEX(ST_CAPACIDAD_GENERACION_COMBUSTIBLES_FOSILES,DIESEL,_2020))*COSTOS_OPERACION_MANTENIMIENTO_ELECTRICIDAD_DIESEL_USD_KW_ALTO/UNIDAD_KW_A_MW*COSTOS_2019_US_dolares_MMCOP</f>
        <v>0</v>
      </c>
      <c r="H277" s="3076">
        <f>(INDEX(ST_CAPACIDAD_GENERACION_COMBUSTIBLES_FOSILES,DIESEL,_2025))*COSTOS_OPERACION_MANTENIMIENTO_ELECTRICIDAD_DIESEL_USD_KW_ALTO/UNIDAD_KW_A_MW*COSTOS_2019_US_dolares_MMCOP</f>
        <v>0</v>
      </c>
      <c r="I277" s="3076">
        <f>(INDEX(ST_CAPACIDAD_GENERACION_COMBUSTIBLES_FOSILES,DIESEL,_2025))*COSTOS_OPERACION_MANTENIMIENTO_ELECTRICIDAD_DIESEL_USD_KW_ALTO/UNIDAD_KW_A_MW*COSTOS_2019_US_dolares_MMCOP</f>
        <v>0</v>
      </c>
      <c r="J277" s="3076">
        <f>(INDEX(ST_CAPACIDAD_GENERACION_COMBUSTIBLES_FOSILES,DIESEL,_2035))*COSTOS_OPERACION_MANTENIMIENTO_ELECTRICIDAD_DIESEL_USD_KW_ALTO/UNIDAD_KW_A_MW*COSTOS_2019_US_dolares_MMCOP</f>
        <v>0</v>
      </c>
      <c r="K277" s="3076">
        <f>(INDEX(ST_CAPACIDAD_GENERACION_COMBUSTIBLES_FOSILES,DIESEL,_2040))*COSTOS_OPERACION_MANTENIMIENTO_ELECTRICIDAD_DIESEL_USD_KW_ALTO/UNIDAD_KW_A_MW*COSTOS_2019_US_dolares_MMCOP</f>
        <v>0</v>
      </c>
      <c r="L277" s="3076">
        <f>(INDEX(ST_CAPACIDAD_GENERACION_COMBUSTIBLES_FOSILES,DIESEL,_2045))*COSTOS_OPERACION_MANTENIMIENTO_ELECTRICIDAD_DIESEL_USD_KW_ALTO/UNIDAD_KW_A_MW*COSTOS_2019_US_dolares_MMCOP</f>
        <v>0</v>
      </c>
      <c r="M277" s="3076">
        <f>(INDEX(ST_CAPACIDAD_GENERACION_COMBUSTIBLES_FOSILES,DIESEL,_2050))*COSTOS_OPERACION_MANTENIMIENTO_ELECTRICIDAD_DIESEL_USD_KW_ALTO/UNIDAD_KW_A_MW*COSTOS_2019_US_dolares_MMCOP</f>
        <v>0</v>
      </c>
      <c r="N277" s="12"/>
    </row>
    <row r="278" spans="4:14" ht="15" customHeight="1">
      <c r="D278" s="12"/>
      <c r="E278" s="920" t="s">
        <v>537</v>
      </c>
      <c r="F278" s="12">
        <v>0</v>
      </c>
      <c r="G278" s="3076">
        <f>(INDEX(ST_CAPACIDAD_GENERACION_COMBUSTIBLES_FOSILES,FUEL_OIL,_2020))*COSTOS_OPERACION_MANTENIMIENTO_ELECTRICIDAD_FUEL_OIL_USD_KW_ALTO/UNIDAD_KW_A_MW*COSTOS_2019_US_dolares_MMCOP</f>
        <v>0</v>
      </c>
      <c r="H278" s="3076">
        <f>(INDEX(ST_CAPACIDAD_GENERACION_COMBUSTIBLES_FOSILES,FUEL_OIL,_2025))*COSTOS_OPERACION_MANTENIMIENTO_ELECTRICIDAD_FUEL_OIL_USD_KW_ALTO/UNIDAD_KW_A_MW*COSTOS_2019_US_dolares_MMCOP</f>
        <v>0</v>
      </c>
      <c r="I278" s="3076">
        <f>(INDEX(ST_CAPACIDAD_GENERACION_COMBUSTIBLES_FOSILES,FUEL_OIL,_2025))*COSTOS_OPERACION_MANTENIMIENTO_ELECTRICIDAD_FUEL_OIL_USD_KW_ALTO/UNIDAD_KW_A_MW*COSTOS_2019_US_dolares_MMCOP</f>
        <v>0</v>
      </c>
      <c r="J278" s="3076">
        <f>(INDEX(ST_CAPACIDAD_GENERACION_COMBUSTIBLES_FOSILES,FUEL_OIL,_2035))*COSTOS_OPERACION_MANTENIMIENTO_ELECTRICIDAD_FUEL_OIL_USD_KW_ALTO/UNIDAD_KW_A_MW*COSTOS_2019_US_dolares_MMCOP</f>
        <v>0</v>
      </c>
      <c r="K278" s="3076">
        <f>(INDEX(ST_CAPACIDAD_GENERACION_COMBUSTIBLES_FOSILES,FUEL_OIL,_2040))*COSTOS_OPERACION_MANTENIMIENTO_ELECTRICIDAD_FUEL_OIL_USD_KW_ALTO/UNIDAD_KW_A_MW*COSTOS_2019_US_dolares_MMCOP</f>
        <v>0</v>
      </c>
      <c r="L278" s="3076">
        <f>(INDEX(ST_CAPACIDAD_GENERACION_COMBUSTIBLES_FOSILES,FUEL_OIL,_2045))*COSTOS_OPERACION_MANTENIMIENTO_ELECTRICIDAD_FUEL_OIL_USD_KW_ALTO/UNIDAD_KW_A_MW*COSTOS_2019_US_dolares_MMCOP</f>
        <v>0</v>
      </c>
      <c r="M278" s="3076">
        <f>(INDEX(ST_CAPACIDAD_GENERACION_COMBUSTIBLES_FOSILES,FUEL_OIL,_2050))*COSTOS_OPERACION_MANTENIMIENTO_ELECTRICIDAD_FUEL_OIL_USD_KW_ALTO/UNIDAD_KW_A_MW*COSTOS_2019_US_dolares_MMCOP</f>
        <v>0</v>
      </c>
      <c r="N278" s="12"/>
    </row>
    <row r="279" spans="4:14" ht="15" customHeight="1">
      <c r="D279" s="12"/>
      <c r="E279" s="920" t="s">
        <v>525</v>
      </c>
      <c r="F279" s="12">
        <v>0</v>
      </c>
      <c r="G279" s="3076">
        <f>(INDEX(ST_CAPACIDAD_GENERACION_COMBUSTIBLES_FOSILES,PETROLEO,_2020))*COSTOS_OPERACION_MANTENIMIENTO_ELECTRICIDAD_PETROLEO_USD_KW_ALTO/UNIDAD_KW_A_MW*COSTOS_2019_US_dolares_MMCOP</f>
        <v>0</v>
      </c>
      <c r="H279" s="3076">
        <f>(INDEX(ST_CAPACIDAD_GENERACION_COMBUSTIBLES_FOSILES,PETROLEO,_2025))*COSTOS_OPERACION_MANTENIMIENTO_ELECTRICIDAD_PETROLEO_USD_KW_ALTO/UNIDAD_KW_A_MW*COSTOS_2019_US_dolares_MMCOP</f>
        <v>0</v>
      </c>
      <c r="I279" s="3076">
        <f>(INDEX(ST_CAPACIDAD_GENERACION_COMBUSTIBLES_FOSILES,PETROLEO,_2025))*COSTOS_OPERACION_MANTENIMIENTO_ELECTRICIDAD_PETROLEO_USD_KW_ALTO/UNIDAD_KW_A_MW*COSTOS_2019_US_dolares_MMCOP</f>
        <v>0</v>
      </c>
      <c r="J279" s="3076">
        <f>(INDEX(ST_CAPACIDAD_GENERACION_COMBUSTIBLES_FOSILES,PETROLEO,_2035))*COSTOS_OPERACION_MANTENIMIENTO_ELECTRICIDAD_PETROLEO_USD_KW_ALTO/UNIDAD_KW_A_MW*COSTOS_2019_US_dolares_MMCOP</f>
        <v>0</v>
      </c>
      <c r="K279" s="3076">
        <f>(INDEX(ST_CAPACIDAD_GENERACION_COMBUSTIBLES_FOSILES,PETROLEO,_2040))*COSTOS_OPERACION_MANTENIMIENTO_ELECTRICIDAD_PETROLEO_USD_KW_ALTO/UNIDAD_KW_A_MW*COSTOS_2019_US_dolares_MMCOP</f>
        <v>0</v>
      </c>
      <c r="L279" s="3076">
        <f>(INDEX(ST_CAPACIDAD_GENERACION_COMBUSTIBLES_FOSILES,PETROLEO,_2045))*COSTOS_OPERACION_MANTENIMIENTO_ELECTRICIDAD_PETROLEO_USD_KW_ALTO/UNIDAD_KW_A_MW*COSTOS_2019_US_dolares_MMCOP</f>
        <v>0</v>
      </c>
      <c r="M279" s="3076">
        <f>(INDEX(ST_CAPACIDAD_GENERACION_COMBUSTIBLES_FOSILES,PETROLEO,_2050))*COSTOS_OPERACION_MANTENIMIENTO_ELECTRICIDAD_PETROLEO_USD_KW_ALTO/UNIDAD_KW_A_MW*COSTOS_2019_US_dolares_MMCOP</f>
        <v>0</v>
      </c>
      <c r="N279" s="12"/>
    </row>
    <row r="280" spans="4:14" ht="15" customHeight="1">
      <c r="D280" s="12"/>
      <c r="E280" s="920" t="s">
        <v>498</v>
      </c>
      <c r="F280" s="12">
        <v>0</v>
      </c>
      <c r="G280" s="3076">
        <f>(INDEX(ST_CAPACIDAD_GENERACION_COMBUSTIBLES_FOSILES,GLP,_2020))*COSTOS_OPERACION_MANTENIMIENTO_ELECTRICIDAD_GLP_USD_KW_ALTO/UNIDAD_KW_A_MW*COSTOS_2019_US_dolares_MMCOP</f>
        <v>0</v>
      </c>
      <c r="H280" s="3076">
        <f>(INDEX(ST_CAPACIDAD_GENERACION_COMBUSTIBLES_FOSILES,GLP,_2025))*COSTOS_OPERACION_MANTENIMIENTO_ELECTRICIDAD_GLP_USD_KW_ALTO/UNIDAD_KW_A_MW*COSTOS_2019_US_dolares_MMCOP</f>
        <v>0</v>
      </c>
      <c r="I280" s="3076">
        <f>(INDEX(ST_CAPACIDAD_GENERACION_COMBUSTIBLES_FOSILES,GLP,_2025))*COSTOS_OPERACION_MANTENIMIENTO_ELECTRICIDAD_GLP_USD_KW_ALTO/UNIDAD_KW_A_MW*COSTOS_2019_US_dolares_MMCOP</f>
        <v>0</v>
      </c>
      <c r="J280" s="3076">
        <f>(INDEX(ST_CAPACIDAD_GENERACION_COMBUSTIBLES_FOSILES,GLP,_2035))*COSTOS_OPERACION_MANTENIMIENTO_ELECTRICIDAD_GLP_USD_KW_ALTO/UNIDAD_KW_A_MW*COSTOS_2019_US_dolares_MMCOP</f>
        <v>0</v>
      </c>
      <c r="K280" s="3076">
        <f>(INDEX(ST_CAPACIDAD_GENERACION_COMBUSTIBLES_FOSILES,GLP,_2040))*COSTOS_OPERACION_MANTENIMIENTO_ELECTRICIDAD_GLP_USD_KW_ALTO/UNIDAD_KW_A_MW*COSTOS_2019_US_dolares_MMCOP</f>
        <v>0</v>
      </c>
      <c r="L280" s="3076">
        <f>(INDEX(ST_CAPACIDAD_GENERACION_COMBUSTIBLES_FOSILES,GLP,_2045))*COSTOS_OPERACION_MANTENIMIENTO_ELECTRICIDAD_GLP_USD_KW_ALTO/UNIDAD_KW_A_MW*COSTOS_2019_US_dolares_MMCOP</f>
        <v>0</v>
      </c>
      <c r="M280" s="3076">
        <f>(INDEX(ST_CAPACIDAD_GENERACION_COMBUSTIBLES_FOSILES,GLP,_2050))*COSTOS_OPERACION_MANTENIMIENTO_ELECTRICIDAD_GLP_USD_KW_ALTO/UNIDAD_KW_A_MW*COSTOS_2019_US_dolares_MMCOP</f>
        <v>0</v>
      </c>
      <c r="N280" s="12"/>
    </row>
    <row r="281" spans="4:14" ht="15" customHeight="1">
      <c r="D281" s="12"/>
      <c r="E281" s="920" t="s">
        <v>538</v>
      </c>
      <c r="F281" s="12">
        <v>0</v>
      </c>
      <c r="G281" s="3076">
        <f>(INDEX(ST_CAPACIDAD_GENERACION_COMBUSTIBLES_FOSILES,TERMOELECTRICA_GAS_NATURAL_CCUS,_2020))*COSTOS_OPERACION_MANTENIMIENTO_ELECTRICIDAD_TERMOELECTRICA_GN_CCUS_USD_KW_ALTO/UNIDAD_KW_A_MW*COSTOS_2019_US_dolares_MMCOP</f>
        <v>0</v>
      </c>
      <c r="H281" s="3076">
        <f>(INDEX(ST_CAPACIDAD_GENERACION_COMBUSTIBLES_FOSILES,TERMOELECTRICA_GAS_NATURAL_CCUS,_2025))*COSTOS_OPERACION_MANTENIMIENTO_ELECTRICIDAD_TERMOELECTRICA_GN_CCUS_USD_KW_ALTO/UNIDAD_KW_A_MW*COSTOS_2019_US_dolares_MMCOP</f>
        <v>0</v>
      </c>
      <c r="I281" s="3076">
        <f>(INDEX(ST_CAPACIDAD_GENERACION_COMBUSTIBLES_FOSILES,TERMOELECTRICA_GAS_NATURAL_CCUS,_2025))*COSTOS_OPERACION_MANTENIMIENTO_ELECTRICIDAD_TERMOELECTRICA_GN_CCUS_USD_KW_ALTO/UNIDAD_KW_A_MW*COSTOS_2019_US_dolares_MMCOP</f>
        <v>0</v>
      </c>
      <c r="J281" s="3076">
        <f>(INDEX(ST_CAPACIDAD_GENERACION_COMBUSTIBLES_FOSILES,TERMOELECTRICA_GAS_NATURAL_CCUS,_2035))*COSTOS_OPERACION_MANTENIMIENTO_ELECTRICIDAD_TERMOELECTRICA_GN_CCUS_USD_KW_ALTO/UNIDAD_KW_A_MW*COSTOS_2019_US_dolares_MMCOP</f>
        <v>0</v>
      </c>
      <c r="K281" s="3076">
        <f>(INDEX(ST_CAPACIDAD_GENERACION_COMBUSTIBLES_FOSILES,TERMOELECTRICA_GAS_NATURAL_CCUS,_2040))*COSTOS_OPERACION_MANTENIMIENTO_ELECTRICIDAD_TERMOELECTRICA_GN_CCUS_USD_KW_ALTO/UNIDAD_KW_A_MW*COSTOS_2019_US_dolares_MMCOP</f>
        <v>0</v>
      </c>
      <c r="L281" s="3076">
        <f>(INDEX(ST_CAPACIDAD_GENERACION_COMBUSTIBLES_FOSILES,TERMOELECTRICA_GAS_NATURAL_CCUS,_2045))*COSTOS_OPERACION_MANTENIMIENTO_ELECTRICIDAD_TERMOELECTRICA_GN_CCUS_USD_KW_ALTO/UNIDAD_KW_A_MW*COSTOS_2019_US_dolares_MMCOP</f>
        <v>0</v>
      </c>
      <c r="M281" s="3076">
        <f>(INDEX(ST_CAPACIDAD_GENERACION_COMBUSTIBLES_FOSILES,TERMOELECTRICA_GAS_NATURAL_CCUS,_2050))*COSTOS_OPERACION_MANTENIMIENTO_ELECTRICIDAD_TERMOELECTRICA_GN_CCUS_USD_KW_ALTO/UNIDAD_KW_A_MW*COSTOS_2019_US_dolares_MMCOP</f>
        <v>0</v>
      </c>
      <c r="N281" s="12"/>
    </row>
    <row r="282" spans="4:14" ht="15" customHeight="1">
      <c r="D282" s="12"/>
      <c r="E282" s="1019" t="s">
        <v>539</v>
      </c>
      <c r="F282" s="1174">
        <v>0</v>
      </c>
      <c r="G282" s="3077">
        <f>(INDEX(ST_CAPACIDAD_GENERACION_COMBUSTIBLES_FOSILES,TERMOELECTRICA_CARBON_CCUS,_2020))*COSTOS_OPERACION_MANTENIMIENTO_ELECTRICIDAD_TERMOELECTRICA_CARBON_CCUS_USD_KW_ALTO/UNIDAD_KW_A_MW*COSTOS_2019_US_dolares_MMCOP</f>
        <v>0</v>
      </c>
      <c r="H282" s="3077">
        <f>(INDEX(ST_CAPACIDAD_GENERACION_COMBUSTIBLES_FOSILES,TERMOELECTRICA_CARBON_CCUS,_2025))*COSTOS_OPERACION_MANTENIMIENTO_ELECTRICIDAD_TERMOELECTRICA_CARBON_CCUS_USD_KW_ALTO/UNIDAD_KW_A_MW*COSTOS_2019_US_dolares_MMCOP</f>
        <v>0</v>
      </c>
      <c r="I282" s="3077">
        <f>(INDEX(ST_CAPACIDAD_GENERACION_COMBUSTIBLES_FOSILES,TERMOELECTRICA_CARBON_CCUS,_2025))*COSTOS_OPERACION_MANTENIMIENTO_ELECTRICIDAD_TERMOELECTRICA_CARBON_CCUS_USD_KW_ALTO/UNIDAD_KW_A_MW*COSTOS_2019_US_dolares_MMCOP</f>
        <v>0</v>
      </c>
      <c r="J282" s="3077">
        <f>(INDEX(ST_CAPACIDAD_GENERACION_COMBUSTIBLES_FOSILES,TERMOELECTRICA_CARBON_CCUS,_2035))*COSTOS_OPERACION_MANTENIMIENTO_ELECTRICIDAD_TERMOELECTRICA_CARBON_CCUS_USD_KW_ALTO/UNIDAD_KW_A_MW*COSTOS_2019_US_dolares_MMCOP</f>
        <v>0</v>
      </c>
      <c r="K282" s="3077">
        <f>(INDEX(ST_CAPACIDAD_GENERACION_COMBUSTIBLES_FOSILES,TERMOELECTRICA_CARBON_CCUS,_2040))*COSTOS_OPERACION_MANTENIMIENTO_ELECTRICIDAD_TERMOELECTRICA_CARBON_CCUS_USD_KW_ALTO/UNIDAD_KW_A_MW*COSTOS_2019_US_dolares_MMCOP</f>
        <v>0</v>
      </c>
      <c r="L282" s="3077">
        <f>(INDEX(ST_CAPACIDAD_GENERACION_COMBUSTIBLES_FOSILES,TERMOELECTRICA_CARBON_CCUS,_2045))*COSTOS_OPERACION_MANTENIMIENTO_ELECTRICIDAD_TERMOELECTRICA_CARBON_CCUS_USD_KW_ALTO/UNIDAD_KW_A_MW*COSTOS_2019_US_dolares_MMCOP</f>
        <v>0</v>
      </c>
      <c r="M282" s="3077">
        <f>(INDEX(ST_CAPACIDAD_GENERACION_COMBUSTIBLES_FOSILES,TERMOELECTRICA_CARBON_CCUS,_2050))*COSTOS_OPERACION_MANTENIMIENTO_ELECTRICIDAD_TERMOELECTRICA_CARBON_CCUS_USD_KW_ALTO/UNIDAD_KW_A_MW*COSTOS_2019_US_dolares_MMCOP</f>
        <v>0</v>
      </c>
      <c r="N282" s="12"/>
    </row>
    <row r="283" spans="4:14" ht="15" customHeight="1">
      <c r="D283" s="12"/>
      <c r="E283" s="2677" t="s">
        <v>338</v>
      </c>
      <c r="F283" s="2678">
        <f t="shared" ref="F283:M283" si="13">SUM(F275:F282)</f>
        <v>0</v>
      </c>
      <c r="G283" s="3078">
        <f t="shared" si="13"/>
        <v>1315.915655985189</v>
      </c>
      <c r="H283" s="3078">
        <f t="shared" si="13"/>
        <v>1435.6226430152551</v>
      </c>
      <c r="I283" s="3078">
        <f t="shared" si="13"/>
        <v>1435.6226430152551</v>
      </c>
      <c r="J283" s="3078">
        <f t="shared" si="13"/>
        <v>1435.6226430152551</v>
      </c>
      <c r="K283" s="3078">
        <f t="shared" si="13"/>
        <v>1435.6226430152551</v>
      </c>
      <c r="L283" s="3078">
        <f t="shared" si="13"/>
        <v>1435.6226430152551</v>
      </c>
      <c r="M283" s="3078">
        <f t="shared" si="13"/>
        <v>1435.6226430152551</v>
      </c>
      <c r="N283" s="12"/>
    </row>
    <row r="284" spans="4:14" ht="15" customHeight="1">
      <c r="D284" s="12"/>
      <c r="E284" s="920"/>
      <c r="F284" s="12"/>
      <c r="G284" s="12"/>
      <c r="H284" s="12"/>
      <c r="I284" s="12"/>
      <c r="J284" s="12"/>
      <c r="K284" s="12"/>
      <c r="L284" s="12"/>
      <c r="M284" s="12"/>
      <c r="N284" s="12"/>
    </row>
    <row r="285" spans="4:14" ht="15" customHeight="1">
      <c r="D285" s="12"/>
      <c r="E285" s="1019" t="s">
        <v>1737</v>
      </c>
      <c r="F285" s="12"/>
      <c r="G285" s="12"/>
      <c r="H285" s="12"/>
      <c r="I285" s="12"/>
      <c r="J285" s="12"/>
      <c r="K285" s="12"/>
      <c r="L285" s="12"/>
      <c r="M285" s="1874" t="s">
        <v>803</v>
      </c>
      <c r="N285" s="12"/>
    </row>
    <row r="286" spans="4:14" ht="15" customHeight="1">
      <c r="D286" s="12"/>
      <c r="E286" s="424" t="s">
        <v>859</v>
      </c>
      <c r="F286" s="424">
        <v>2018</v>
      </c>
      <c r="G286" s="424">
        <v>2020</v>
      </c>
      <c r="H286" s="424">
        <v>2025</v>
      </c>
      <c r="I286" s="424">
        <v>2030</v>
      </c>
      <c r="J286" s="424">
        <v>2035</v>
      </c>
      <c r="K286" s="424">
        <v>2040</v>
      </c>
      <c r="L286" s="424">
        <v>2045</v>
      </c>
      <c r="M286" s="424">
        <v>2050</v>
      </c>
      <c r="N286" s="12"/>
    </row>
    <row r="287" spans="4:14" ht="15" customHeight="1">
      <c r="D287" s="12"/>
      <c r="E287" s="2653" t="s">
        <v>542</v>
      </c>
      <c r="F287" s="12">
        <v>0</v>
      </c>
      <c r="G287" s="3076">
        <f>(INDEX(ST_CAPACIDAD_GENERACION_ENERGIAS_RENOVABLES_NO_CONVENCIONALES,HIDRO_GRANDES_CENTRALES_HIDROELECTRICAS,_2020))*COSTOS_OPERACION_MANTENIMIENTO_GRANDES_CENTRALES_HIDROELECTRICAS_USD_KW_ALTO/UNIDAD_KW_A_MW*COSTOS_2019_US_dolares_MMCOP</f>
        <v>1159.7921549151433</v>
      </c>
      <c r="H287" s="3076">
        <f>(INDEX(ST_CAPACIDAD_GENERACION_ENERGIAS_RENOVABLES_NO_CONVENCIONALES,HIDRO_GRANDES_CENTRALES_HIDROELECTRICAS,_2025))*COSTOS_OPERACION_MANTENIMIENTO_GRANDES_CENTRALES_HIDROELECTRICAS_USD_KW_ALTO/UNIDAD_KW_A_MW*COSTOS_2019_US_dolares_MMCOP</f>
        <v>1476.0991062556368</v>
      </c>
      <c r="I287" s="3076">
        <f>(INDEX(ST_CAPACIDAD_GENERACION_ENERGIAS_RENOVABLES_NO_CONVENCIONALES,HIDRO_GRANDES_CENTRALES_HIDROELECTRICAS,_2030))*COSTOS_OPERACION_MANTENIMIENTO_GRANDES_CENTRALES_HIDROELECTRICAS_USD_KW_ALTO/UNIDAD_KW_A_MW*COSTOS_2019_US_dolares_MMCOP</f>
        <v>1476.0991062556368</v>
      </c>
      <c r="J287" s="3076">
        <f>(INDEX(ST_CAPACIDAD_GENERACION_ENERGIAS_RENOVABLES_NO_CONVENCIONALES,HIDRO_GRANDES_CENTRALES_HIDROELECTRICAS,_2035))*COSTOS_OPERACION_MANTENIMIENTO_GRANDES_CENTRALES_HIDROELECTRICAS_USD_KW_ALTO/UNIDAD_KW_A_MW*COSTOS_2019_US_dolares_MMCOP</f>
        <v>1476.0991062556368</v>
      </c>
      <c r="K287" s="3076">
        <f>(INDEX(ST_CAPACIDAD_GENERACION_ENERGIAS_RENOVABLES_NO_CONVENCIONALES,HIDRO_GRANDES_CENTRALES_HIDROELECTRICAS,_2040))*COSTOS_OPERACION_MANTENIMIENTO_GRANDES_CENTRALES_HIDROELECTRICAS_USD_KW_ALTO/UNIDAD_KW_A_MW*COSTOS_2019_US_dolares_MMCOP</f>
        <v>1476.0991062556368</v>
      </c>
      <c r="L287" s="3076">
        <f>(INDEX(ST_CAPACIDAD_GENERACION_ENERGIAS_RENOVABLES_NO_CONVENCIONALES,HIDRO_GRANDES_CENTRALES_HIDROELECTRICAS,_2045))*COSTOS_OPERACION_MANTENIMIENTO_GRANDES_CENTRALES_HIDROELECTRICAS_USD_KW_ALTO/UNIDAD_KW_A_MW*COSTOS_2019_US_dolares_MMCOP</f>
        <v>1476.0991062556368</v>
      </c>
      <c r="M287" s="3076">
        <f>(INDEX(ST_CAPACIDAD_GENERACION_ENERGIAS_RENOVABLES_NO_CONVENCIONALES,HIDRO_GRANDES_CENTRALES_HIDROELECTRICAS,_2050))*COSTOS_OPERACION_MANTENIMIENTO_GRANDES_CENTRALES_HIDROELECTRICAS_USD_KW_ALTO/UNIDAD_KW_A_MW*COSTOS_2019_US_dolares_MMCOP</f>
        <v>1581.534756702468</v>
      </c>
      <c r="N287" s="12"/>
    </row>
    <row r="288" spans="4:14" ht="15" customHeight="1">
      <c r="D288" s="12"/>
      <c r="E288" s="920" t="s">
        <v>543</v>
      </c>
      <c r="F288" s="12">
        <v>0</v>
      </c>
      <c r="G288" s="3076">
        <f>(INDEX(ST_CAPACIDAD_GENERACION_ENERGIAS_RENOVABLES_NO_CONVENCIONALES,HIDRO_PEQUEÑAS_CENTRALES_HIDROELECTRICAS,_2020))*COSTOS_OPERACION_MANTENIMIENTO_PEQUEÑAS_CENTRALES_HIDROELECTRICAS_USD_KW_ALTO/UNIDAD_KW_A_MW*COSTOS_2019_US_dolares_MMCOP</f>
        <v>199.18356834704753</v>
      </c>
      <c r="H288" s="3076">
        <f>(INDEX(ST_CAPACIDAD_GENERACION_ENERGIAS_RENOVABLES_NO_CONVENCIONALES,HIDRO_PEQUEÑAS_CENTRALES_HIDROELECTRICAS,_2025))*COSTOS_OPERACION_MANTENIMIENTO_PEQUEÑAS_CENTRALES_HIDROELECTRICAS_USD_KW_ALTO/UNIDAD_KW_A_MW*COSTOS_2019_US_dolares_MMCOP</f>
        <v>199.18356834704753</v>
      </c>
      <c r="I288" s="3076">
        <f>(INDEX(ST_CAPACIDAD_GENERACION_ENERGIAS_RENOVABLES_NO_CONVENCIONALES,HIDRO_PEQUEÑAS_CENTRALES_HIDROELECTRICAS,_2030))*COSTOS_OPERACION_MANTENIMIENTO_PEQUEÑAS_CENTRALES_HIDROELECTRICAS_USD_KW_ALTO/UNIDAD_KW_A_MW*COSTOS_2019_US_dolares_MMCOP</f>
        <v>199.18356834704753</v>
      </c>
      <c r="J288" s="3076">
        <f>(INDEX(ST_CAPACIDAD_GENERACION_ENERGIAS_RENOVABLES_NO_CONVENCIONALES,HIDRO_PEQUEÑAS_CENTRALES_HIDROELECTRICAS,_2035))*COSTOS_OPERACION_MANTENIMIENTO_PEQUEÑAS_CENTRALES_HIDROELECTRICAS_USD_KW_ALTO/UNIDAD_KW_A_MW*COSTOS_2019_US_dolares_MMCOP</f>
        <v>199.18356834704753</v>
      </c>
      <c r="K288" s="3076">
        <f>(INDEX(ST_CAPACIDAD_GENERACION_ENERGIAS_RENOVABLES_NO_CONVENCIONALES,HIDRO_PEQUEÑAS_CENTRALES_HIDROELECTRICAS,_2040))*COSTOS_OPERACION_MANTENIMIENTO_PEQUEÑAS_CENTRALES_HIDROELECTRICAS_USD_KW_ALTO/UNIDAD_KW_A_MW*COSTOS_2019_US_dolares_MMCOP</f>
        <v>199.18356834704753</v>
      </c>
      <c r="L288" s="3076">
        <f>(INDEX(ST_CAPACIDAD_GENERACION_ENERGIAS_RENOVABLES_NO_CONVENCIONALES,HIDRO_PEQUEÑAS_CENTRALES_HIDROELECTRICAS,_2045))*COSTOS_OPERACION_MANTENIMIENTO_PEQUEÑAS_CENTRALES_HIDROELECTRICAS_USD_KW_ALTO/UNIDAD_KW_A_MW*COSTOS_2019_US_dolares_MMCOP</f>
        <v>199.18356834704753</v>
      </c>
      <c r="M288" s="3076">
        <f>(INDEX(ST_CAPACIDAD_GENERACION_ENERGIAS_RENOVABLES_NO_CONVENCIONALES,HIDRO_PEQUEÑAS_CENTRALES_HIDROELECTRICAS,_2050))*COSTOS_OPERACION_MANTENIMIENTO_PEQUEÑAS_CENTRALES_HIDROELECTRICAS_USD_KW_ALTO/UNIDAD_KW_A_MW*COSTOS_2019_US_dolares_MMCOP</f>
        <v>199.18356834704753</v>
      </c>
      <c r="N288" s="12"/>
    </row>
    <row r="289" spans="4:14" ht="15" customHeight="1">
      <c r="D289" s="12"/>
      <c r="E289" s="920" t="s">
        <v>1727</v>
      </c>
      <c r="F289" s="12">
        <v>0</v>
      </c>
      <c r="G289" s="3076">
        <f>(INDEX(ST_CAPACIDAD_GENERACION_ENERGIAS_RENOVABLES_NO_CONVENCIONALES,SOLAR_DISTRIBUIDA_TERCIARIO,_2020))*COSTOS_OPERACION_MANTENIMIENTO_SOLAR_TERMICA_USD_KW_ALTO/UNIDAD_KW_A_MW*COSTOS_2019_US_dolares_MMCOP</f>
        <v>0</v>
      </c>
      <c r="H289" s="3076">
        <f>(INDEX(ST_CAPACIDAD_GENERACION_ENERGIAS_RENOVABLES_NO_CONVENCIONALES,SOLAR_DISTRIBUIDA_TERCIARIO,_2025))*COSTOS_OPERACION_MANTENIMIENTO_SOLAR_TERMICA_USD_KW_ALTO/UNIDAD_KW_A_MW*COSTOS_2019_US_dolares_MMCOP</f>
        <v>0</v>
      </c>
      <c r="I289" s="3076">
        <f>(INDEX(ST_CAPACIDAD_GENERACION_ENERGIAS_RENOVABLES_NO_CONVENCIONALES,SOLAR_DISTRIBUIDA_TERCIARIO,_2030))*COSTOS_OPERACION_MANTENIMIENTO_SOLAR_TERMICA_USD_KW_ALTO/UNIDAD_KW_A_MW*COSTOS_2019_US_dolares_MMCOP</f>
        <v>0</v>
      </c>
      <c r="J289" s="3076">
        <f>(INDEX(ST_CAPACIDAD_GENERACION_ENERGIAS_RENOVABLES_NO_CONVENCIONALES,SOLAR_DISTRIBUIDA_TERCIARIO,_2035))*COSTOS_OPERACION_MANTENIMIENTO_SOLAR_TERMICA_USD_KW_ALTO/UNIDAD_KW_A_MW*COSTOS_2019_US_dolares_MMCOP</f>
        <v>184.54314547286677</v>
      </c>
      <c r="K289" s="3076">
        <f>(INDEX(ST_CAPACIDAD_GENERACION_ENERGIAS_RENOVABLES_NO_CONVENCIONALES,SOLAR_DISTRIBUIDA_TERCIARIO,_2040))*COSTOS_OPERACION_MANTENIMIENTO_SOLAR_TERMICA_USD_KW_ALTO/UNIDAD_KW_A_MW*COSTOS_2019_US_dolares_MMCOP</f>
        <v>184.54314547286677</v>
      </c>
      <c r="L289" s="3076">
        <f>(INDEX(ST_CAPACIDAD_GENERACION_ENERGIAS_RENOVABLES_NO_CONVENCIONALES,SOLAR_DISTRIBUIDA_TERCIARIO,_2045))*COSTOS_OPERACION_MANTENIMIENTO_SOLAR_TERMICA_USD_KW_ALTO/UNIDAD_KW_A_MW*COSTOS_2019_US_dolares_MMCOP</f>
        <v>184.54314547286677</v>
      </c>
      <c r="M289" s="3076">
        <f>(INDEX(ST_CAPACIDAD_GENERACION_ENERGIAS_RENOVABLES_NO_CONVENCIONALES,SOLAR_DISTRIBUIDA_TERCIARIO,_2050))*COSTOS_OPERACION_MANTENIMIENTO_SOLAR_TERMICA_USD_KW_ALTO/UNIDAD_KW_A_MW*COSTOS_2019_US_dolares_MMCOP</f>
        <v>184.54314547286677</v>
      </c>
      <c r="N289" s="12"/>
    </row>
    <row r="290" spans="4:14" ht="15" customHeight="1">
      <c r="D290" s="12"/>
      <c r="E290" s="920" t="s">
        <v>545</v>
      </c>
      <c r="F290" s="12">
        <v>0</v>
      </c>
      <c r="G290" s="3076">
        <f>(INDEX(ST_CAPACIDAD_GENERACION_ENERGIAS_RENOVABLES_NO_CONVENCIONALES,SOLAR_SOLAR_FOTOVOLTAICA,_2020))*COSTOS_OPERACION_MANTENIMIENTO_SOLAR_FOTOVOLTAICA_USD_KW_ALTO/UNIDAD_KW_A_MW*COSTOS_2019_US_dolares_MMCOP</f>
        <v>0</v>
      </c>
      <c r="H290" s="3076">
        <f>(INDEX(ST_CAPACIDAD_GENERACION_ENERGIAS_RENOVABLES_NO_CONVENCIONALES,SOLAR_SOLAR_FOTOVOLTAICA,_2025))*COSTOS_OPERACION_MANTENIMIENTO_SOLAR_FOTOVOLTAICA_USD_KW_ALTO/UNIDAD_KW_A_MW*COSTOS_2019_US_dolares_MMCOP</f>
        <v>100.71954784030243</v>
      </c>
      <c r="I290" s="3076">
        <f>(INDEX(ST_CAPACIDAD_GENERACION_ENERGIAS_RENOVABLES_NO_CONVENCIONALES,SOLAR_SOLAR_FOTOVOLTAICA,_2030))*COSTOS_OPERACION_MANTENIMIENTO_SOLAR_FOTOVOLTAICA_USD_KW_ALTO/UNIDAD_KW_A_MW*COSTOS_2019_US_dolares_MMCOP</f>
        <v>100.71954784030243</v>
      </c>
      <c r="J290" s="3076">
        <f>(INDEX(ST_CAPACIDAD_GENERACION_ENERGIAS_RENOVABLES_NO_CONVENCIONALES,SOLAR_SOLAR_FOTOVOLTAICA,_2035))*COSTOS_OPERACION_MANTENIMIENTO_SOLAR_FOTOVOLTAICA_USD_KW_ALTO/UNIDAD_KW_A_MW*COSTOS_2019_US_dolares_MMCOP</f>
        <v>201.43909568060485</v>
      </c>
      <c r="K290" s="3076">
        <f>(INDEX(ST_CAPACIDAD_GENERACION_ENERGIAS_RENOVABLES_NO_CONVENCIONALES,SOLAR_SOLAR_FOTOVOLTAICA,_2040))*COSTOS_OPERACION_MANTENIMIENTO_SOLAR_FOTOVOLTAICA_USD_KW_ALTO/UNIDAD_KW_A_MW*COSTOS_2019_US_dolares_MMCOP</f>
        <v>402.8781913612097</v>
      </c>
      <c r="L290" s="3076">
        <f>(INDEX(ST_CAPACIDAD_GENERACION_ENERGIAS_RENOVABLES_NO_CONVENCIONALES,SOLAR_SOLAR_FOTOVOLTAICA,_2045))*COSTOS_OPERACION_MANTENIMIENTO_SOLAR_FOTOVOLTAICA_USD_KW_ALTO/UNIDAD_KW_A_MW*COSTOS_2019_US_dolares_MMCOP</f>
        <v>705.03683488211675</v>
      </c>
      <c r="M290" s="3076">
        <f>(INDEX(ST_CAPACIDAD_GENERACION_ENERGIAS_RENOVABLES_NO_CONVENCIONALES,SOLAR_SOLAR_FOTOVOLTAICA,_2050))*COSTOS_OPERACION_MANTENIMIENTO_SOLAR_FOTOVOLTAICA_USD_KW_ALTO/UNIDAD_KW_A_MW*COSTOS_2019_US_dolares_MMCOP</f>
        <v>906.47593056272171</v>
      </c>
      <c r="N290" s="12"/>
    </row>
    <row r="291" spans="4:14" ht="15" customHeight="1">
      <c r="D291" s="12"/>
      <c r="E291" s="920" t="s">
        <v>546</v>
      </c>
      <c r="F291" s="12">
        <v>0</v>
      </c>
      <c r="G291" s="3076">
        <f>(INDEX(ST_CAPACIDAD_GENERACION_ENERGIAS_RENOVABLES_NO_CONVENCIONALES,EOLICA_EOLICA_COSTA_ADENTRO_JEPIRACHI,_2020))*COSTOS_OPERACION_MANTENIMIENTO_EOLICA_COSTA_ADENTRO_JEPIRACHI_USD_KW_ALTO/UNIDAD_KW_A_MW*COSTOS_2019_US_dolares_MMCOP</f>
        <v>0</v>
      </c>
      <c r="H291" s="3076">
        <f>(INDEX(ST_CAPACIDAD_GENERACION_ENERGIAS_RENOVABLES_NO_CONVENCIONALES,EOLICA_EOLICA_COSTA_ADENTRO_RESTO_PAIS,_2025))*COSTOS_OPERACION_MANTENIMIENTO_EOLICA_COSTA_ADENTRO_RESTO_USD_KW_ALTO/UNIDAD_KW_A_MW*COSTOS_2019_US_dolares_MMCOP</f>
        <v>0</v>
      </c>
      <c r="I291" s="3076">
        <f>(INDEX(ST_CAPACIDAD_GENERACION_ENERGIAS_RENOVABLES_NO_CONVENCIONALES,EOLICA_EOLICA_COSTA_ADENTRO_RESTO_PAIS,_2030))*COSTOS_OPERACION_MANTENIMIENTO_EOLICA_COSTA_ADENTRO_RESTO_USD_KW_ALTO/UNIDAD_KW_A_MW*COSTOS_2019_US_dolares_MMCOP</f>
        <v>0</v>
      </c>
      <c r="J291" s="3076">
        <f>(INDEX(ST_CAPACIDAD_GENERACION_ENERGIAS_RENOVABLES_NO_CONVENCIONALES,EOLICA_EOLICA_COSTA_ADENTRO_RESTO_PAIS,_2035))*COSTOS_OPERACION_MANTENIMIENTO_EOLICA_COSTA_ADENTRO_RESTO_USD_KW_ALTO/UNIDAD_KW_A_MW*COSTOS_2019_US_dolares_MMCOP</f>
        <v>0</v>
      </c>
      <c r="K291" s="3076">
        <f>(INDEX(ST_CAPACIDAD_GENERACION_ENERGIAS_RENOVABLES_NO_CONVENCIONALES,EOLICA_EOLICA_COSTA_ADENTRO_RESTO_PAIS,_2040))*COSTOS_OPERACION_MANTENIMIENTO_EOLICA_COSTA_ADENTRO_RESTO_USD_KW_ALTO/UNIDAD_KW_A_MW*COSTOS_2019_US_dolares_MMCOP</f>
        <v>0</v>
      </c>
      <c r="L291" s="3076">
        <f>(INDEX(ST_CAPACIDAD_GENERACION_ENERGIAS_RENOVABLES_NO_CONVENCIONALES,EOLICA_EOLICA_COSTA_ADENTRO_RESTO_PAIS,_2045))*COSTOS_OPERACION_MANTENIMIENTO_EOLICA_COSTA_ADENTRO_RESTO_USD_KW_ALTO/UNIDAD_KW_A_MW*COSTOS_2019_US_dolares_MMCOP</f>
        <v>191.92487129178144</v>
      </c>
      <c r="M291" s="3076">
        <f>(INDEX(ST_CAPACIDAD_GENERACION_ENERGIAS_RENOVABLES_NO_CONVENCIONALES,EOLICA_EOLICA_COSTA_ADENTRO_RESTO_PAIS,_2050))*COSTOS_OPERACION_MANTENIMIENTO_EOLICA_COSTA_ADENTRO_RESTO_USD_KW_ALTO/UNIDAD_KW_A_MW*COSTOS_2019_US_dolares_MMCOP</f>
        <v>191.92487129178144</v>
      </c>
      <c r="N291" s="12"/>
    </row>
    <row r="292" spans="4:14" ht="15" customHeight="1">
      <c r="D292" s="12"/>
      <c r="E292" s="920" t="s">
        <v>547</v>
      </c>
      <c r="F292" s="12">
        <v>0</v>
      </c>
      <c r="G292" s="3076">
        <f>(INDEX(ST_CAPACIDAD_GENERACION_ENERGIAS_RENOVABLES_NO_CONVENCIONALES,EOLICA_EOLICA_COSTA_ADENTRO_RESTO_PAIS,_2020))*COSTOS_OPERACION_MANTENIMIENTO_EOLICA_COSTA_ADENTRO_RESTO_USD_KW_ALTO/UNIDAD_KW_A_MW*COSTOS_2019_US_dolares_MMCOP</f>
        <v>0</v>
      </c>
      <c r="H292" s="3076">
        <f>(INDEX(ST_CAPACIDAD_GENERACION_ENERGIAS_RENOVABLES_NO_CONVENCIONALES,EOLICA_EOLICA_COSTA_ADENTRO_RESTO_PAIS,_2025))*COSTOS_OPERACION_MANTENIMIENTO_EOLICA_COSTA_ADENTRO_RESTO_USD_KW_ALTO/UNIDAD_KW_A_MW*COSTOS_2019_US_dolares_MMCOP</f>
        <v>0</v>
      </c>
      <c r="I292" s="3076">
        <f>(INDEX(ST_CAPACIDAD_GENERACION_ENERGIAS_RENOVABLES_NO_CONVENCIONALES,EOLICA_EOLICA_COSTA_ADENTRO_RESTO_PAIS,_2030))*COSTOS_OPERACION_MANTENIMIENTO_EOLICA_COSTA_ADENTRO_RESTO_USD_KW_ALTO/UNIDAD_KW_A_MW*COSTOS_2019_US_dolares_MMCOP</f>
        <v>0</v>
      </c>
      <c r="J292" s="3076">
        <f>(INDEX(ST_CAPACIDAD_GENERACION_ENERGIAS_RENOVABLES_NO_CONVENCIONALES,EOLICA_EOLICA_COSTA_ADENTRO_RESTO_PAIS,_2035))*COSTOS_OPERACION_MANTENIMIENTO_EOLICA_COSTA_ADENTRO_RESTO_USD_KW_ALTO/UNIDAD_KW_A_MW*COSTOS_2019_US_dolares_MMCOP</f>
        <v>0</v>
      </c>
      <c r="K292" s="3076">
        <f>(INDEX(ST_CAPACIDAD_GENERACION_ENERGIAS_RENOVABLES_NO_CONVENCIONALES,EOLICA_EOLICA_COSTA_ADENTRO_RESTO_PAIS,_2040))*COSTOS_OPERACION_MANTENIMIENTO_EOLICA_COSTA_ADENTRO_RESTO_USD_KW_ALTO/UNIDAD_KW_A_MW*COSTOS_2019_US_dolares_MMCOP</f>
        <v>0</v>
      </c>
      <c r="L292" s="3076">
        <f>(INDEX(ST_CAPACIDAD_GENERACION_ENERGIAS_RENOVABLES_NO_CONVENCIONALES,EOLICA_EOLICA_COSTA_ADENTRO_RESTO_PAIS,_2045))*COSTOS_OPERACION_MANTENIMIENTO_EOLICA_COSTA_ADENTRO_RESTO_USD_KW_ALTO/UNIDAD_KW_A_MW*COSTOS_2019_US_dolares_MMCOP</f>
        <v>191.92487129178144</v>
      </c>
      <c r="M292" s="3076">
        <f>(INDEX(ST_CAPACIDAD_GENERACION_ENERGIAS_RENOVABLES_NO_CONVENCIONALES,EOLICA_EOLICA_COSTA_ADENTRO_RESTO_PAIS,_2050))*COSTOS_OPERACION_MANTENIMIENTO_EOLICA_COSTA_ADENTRO_RESTO_USD_KW_ALTO/UNIDAD_KW_A_MW*COSTOS_2019_US_dolares_MMCOP</f>
        <v>191.92487129178144</v>
      </c>
      <c r="N292" s="12"/>
    </row>
    <row r="293" spans="4:14" ht="15" customHeight="1">
      <c r="D293" s="12"/>
      <c r="E293" s="920" t="s">
        <v>548</v>
      </c>
      <c r="F293" s="12">
        <v>0</v>
      </c>
      <c r="G293" s="3076">
        <f>(INDEX(ST_CAPACIDAD_GENERACION_ENERGIAS_RENOVABLES_NO_CONVENCIONALES,EOLICA_EOLICA_COSTA_AFUERA,_2020))*COSTOS_OPERACION_MANTENIMIENTO_EOLICA_COSTA_AFUERA_RESTO_USD_KW_ALTO/UNIDAD_KW_A_MW*COSTOS_2019_US_dolares_MMCOP</f>
        <v>0</v>
      </c>
      <c r="H293" s="3076">
        <f>(INDEX(ST_CAPACIDAD_GENERACION_ENERGIAS_RENOVABLES_NO_CONVENCIONALES,EOLICA_EOLICA_COSTA_AFUERA,_2025))*COSTOS_OPERACION_MANTENIMIENTO_EOLICA_COSTA_AFUERA_RESTO_USD_KW_ALTO/UNIDAD_KW_A_MW*COSTOS_2019_US_dolares_MMCOP</f>
        <v>0</v>
      </c>
      <c r="I293" s="3076">
        <f>(INDEX(ST_CAPACIDAD_GENERACION_ENERGIAS_RENOVABLES_NO_CONVENCIONALES,EOLICA_EOLICA_COSTA_AFUERA,_2030))*COSTOS_OPERACION_MANTENIMIENTO_EOLICA_COSTA_AFUERA_RESTO_USD_KW_ALTO/UNIDAD_KW_A_MW*COSTOS_2019_US_dolares_MMCOP</f>
        <v>0</v>
      </c>
      <c r="J293" s="3076">
        <f>(INDEX(ST_CAPACIDAD_GENERACION_ENERGIAS_RENOVABLES_NO_CONVENCIONALES,EOLICA_EOLICA_COSTA_AFUERA,_2035))*COSTOS_OPERACION_MANTENIMIENTO_EOLICA_COSTA_AFUERA_RESTO_USD_KW_ALTO/UNIDAD_KW_A_MW*COSTOS_2019_US_dolares_MMCOP</f>
        <v>0</v>
      </c>
      <c r="K293" s="3076">
        <f>(INDEX(ST_CAPACIDAD_GENERACION_ENERGIAS_RENOVABLES_NO_CONVENCIONALES,EOLICA_EOLICA_COSTA_AFUERA,_2040))*COSTOS_OPERACION_MANTENIMIENTO_EOLICA_COSTA_AFUERA_RESTO_USD_KW_ALTO/UNIDAD_KW_A_MW*COSTOS_2019_US_dolares_MMCOP</f>
        <v>0</v>
      </c>
      <c r="L293" s="3076">
        <f>(INDEX(ST_CAPACIDAD_GENERACION_ENERGIAS_RENOVABLES_NO_CONVENCIONALES,EOLICA_EOLICA_COSTA_AFUERA,_2045))*COSTOS_OPERACION_MANTENIMIENTO_EOLICA_COSTA_AFUERA_RESTO_USD_KW_ALTO/UNIDAD_KW_A_MW*COSTOS_2019_US_dolares_MMCOP</f>
        <v>0</v>
      </c>
      <c r="M293" s="3076">
        <f>(INDEX(ST_CAPACIDAD_GENERACION_ENERGIAS_RENOVABLES_NO_CONVENCIONALES,EOLICA_EOLICA_COSTA_AFUERA,_2050))*COSTOS_OPERACION_MANTENIMIENTO_EOLICA_COSTA_AFUERA_RESTO_USD_KW_ALTO/UNIDAD_KW_A_MW*COSTOS_2019_US_dolares_MMCOP</f>
        <v>0</v>
      </c>
      <c r="N293" s="12"/>
    </row>
    <row r="294" spans="4:14" ht="15" customHeight="1">
      <c r="D294" s="12"/>
      <c r="E294" s="920" t="s">
        <v>549</v>
      </c>
      <c r="F294" s="12">
        <v>0</v>
      </c>
      <c r="G294" s="3076">
        <f>(INDEX(ST_CAPACIDAD_GENERACION_ENERGIAS_RENOVABLES_NO_CONVENCIONALES,HIDROGENO_VERDE,_2020))*COSTOS_OPERACION_MANTENIMIENTO_H2_USD_KW_ALTO/UNIDAD_KW_A_MW*COSTOS_2019_US_dolares_MMCOP</f>
        <v>0</v>
      </c>
      <c r="H294" s="3076">
        <f>(INDEX(ST_CAPACIDAD_GENERACION_ENERGIAS_RENOVABLES_NO_CONVENCIONALES,HIDROGENO_VERDE,_2025))*COSTOS_OPERACION_MANTENIMIENTO_H2_USD_KW_ALTO/UNIDAD_KW_A_MW*COSTOS_2019_US_dolares_MMCOP</f>
        <v>0</v>
      </c>
      <c r="I294" s="3076">
        <f>(INDEX(ST_CAPACIDAD_GENERACION_ENERGIAS_RENOVABLES_NO_CONVENCIONALES,HIDROGENO_VERDE,_2030))*COSTOS_OPERACION_MANTENIMIENTO_H2_USD_KW_ALTO/UNIDAD_KW_A_MW*COSTOS_2019_US_dolares_MMCOP</f>
        <v>0</v>
      </c>
      <c r="J294" s="3076">
        <f>(INDEX(ST_CAPACIDAD_GENERACION_ENERGIAS_RENOVABLES_NO_CONVENCIONALES,HIDROGENO_VERDE,_2035))*COSTOS_OPERACION_MANTENIMIENTO_H2_USD_KW_ALTO/UNIDAD_KW_A_MW*COSTOS_2019_US_dolares_MMCOP</f>
        <v>0</v>
      </c>
      <c r="K294" s="3076">
        <f>(INDEX(ST_CAPACIDAD_GENERACION_ENERGIAS_RENOVABLES_NO_CONVENCIONALES,HIDROGENO_VERDE,_2040))*COSTOS_OPERACION_MANTENIMIENTO_H2_USD_KW_ALTO/UNIDAD_KW_A_MW*COSTOS_2019_US_dolares_MMCOP</f>
        <v>0</v>
      </c>
      <c r="L294" s="3076">
        <f>(INDEX(ST_CAPACIDAD_GENERACION_ENERGIAS_RENOVABLES_NO_CONVENCIONALES,HIDROGENO_VERDE,_2045))*COSTOS_OPERACION_MANTENIMIENTO_H2_USD_KW_ALTO/UNIDAD_KW_A_MW*COSTOS_2019_US_dolares_MMCOP</f>
        <v>0</v>
      </c>
      <c r="M294" s="3076">
        <f>(INDEX(ST_CAPACIDAD_GENERACION_ENERGIAS_RENOVABLES_NO_CONVENCIONALES,HIDROGENO_VERDE,_2050))*COSTOS_OPERACION_MANTENIMIENTO_H2_USD_KW_ALTO/UNIDAD_KW_A_MW*COSTOS_2019_US_dolares_MMCOP</f>
        <v>0</v>
      </c>
      <c r="N294" s="12"/>
    </row>
    <row r="295" spans="4:14" ht="15" customHeight="1">
      <c r="D295" s="12"/>
      <c r="E295" s="920" t="s">
        <v>162</v>
      </c>
      <c r="F295" s="12">
        <v>0</v>
      </c>
      <c r="G295" s="3076">
        <f>(INDEX(ST_CAPACIDAD_GENERACION_ENERGIAS_RENOVABLES_NO_CONVENCIONALES,BIOMASA,_2020))*COSTOS_OPERACION_MANTENIMIENTO_BIOMASA_USD_KW_ALTO/UNIDAD_KW_A_MW*COSTOS_2019_US_dolares_MMCOP</f>
        <v>0</v>
      </c>
      <c r="H295" s="3076">
        <f>(INDEX(ST_CAPACIDAD_GENERACION_ENERGIAS_RENOVABLES_NO_CONVENCIONALES,BIOMASA,_2025))*COSTOS_OPERACION_MANTENIMIENTO_BIOMASA_USD_KW_ALTO/UNIDAD_KW_A_MW*COSTOS_2019_US_dolares_MMCOP</f>
        <v>0</v>
      </c>
      <c r="I295" s="3076">
        <f>(INDEX(ST_CAPACIDAD_GENERACION_ENERGIAS_RENOVABLES_NO_CONVENCIONALES,BIOMASA,_2030))*COSTOS_OPERACION_MANTENIMIENTO_BIOMASA_USD_KW_ALTO/UNIDAD_KW_A_MW*COSTOS_2019_US_dolares_MMCOP</f>
        <v>0</v>
      </c>
      <c r="J295" s="3076">
        <f>(INDEX(ST_CAPACIDAD_GENERACION_ENERGIAS_RENOVABLES_NO_CONVENCIONALES,BIOMASA,_2035))*COSTOS_OPERACION_MANTENIMIENTO_BIOMASA_USD_KW_ALTO/UNIDAD_KW_A_MW*COSTOS_2019_US_dolares_MMCOP</f>
        <v>0</v>
      </c>
      <c r="K295" s="3076">
        <f>(INDEX(ST_CAPACIDAD_GENERACION_ENERGIAS_RENOVABLES_NO_CONVENCIONALES,BIOMASA,_2040))*COSTOS_OPERACION_MANTENIMIENTO_BIOMASA_USD_KW_ALTO/UNIDAD_KW_A_MW*COSTOS_2019_US_dolares_MMCOP</f>
        <v>0</v>
      </c>
      <c r="L295" s="3076">
        <f>(INDEX(ST_CAPACIDAD_GENERACION_ENERGIAS_RENOVABLES_NO_CONVENCIONALES,BIOMASA,_2045))*COSTOS_OPERACION_MANTENIMIENTO_BIOMASA_USD_KW_ALTO/UNIDAD_KW_A_MW*COSTOS_2019_US_dolares_MMCOP</f>
        <v>0</v>
      </c>
      <c r="M295" s="3076">
        <f>(INDEX(ST_CAPACIDAD_GENERACION_ENERGIAS_RENOVABLES_NO_CONVENCIONALES,BIOMASA,_2050))*COSTOS_OPERACION_MANTENIMIENTO_BIOMASA_USD_KW_ALTO/UNIDAD_KW_A_MW*COSTOS_2019_US_dolares_MMCOP</f>
        <v>0</v>
      </c>
      <c r="N295" s="12"/>
    </row>
    <row r="296" spans="4:14" ht="15" customHeight="1">
      <c r="D296" s="12"/>
      <c r="E296" s="1019" t="s">
        <v>504</v>
      </c>
      <c r="F296" s="275">
        <v>0</v>
      </c>
      <c r="G296" s="2668">
        <f>(INDEX(ST_CAPACIDAD_GENERACION_ENERGIAS_RENOVABLES_NO_CONVENCIONALES,BAGAZO,_2020))*COSTOS_OPERACION_MANTENIMIENTO_BAGAZO_USD_KW_ALTO/UNIDAD_KW_A_MW*COSTOS_2019_US_dolares_MMCOP</f>
        <v>0</v>
      </c>
      <c r="H296" s="2668">
        <f>(INDEX(ST_CAPACIDAD_GENERACION_ENERGIAS_RENOVABLES_NO_CONVENCIONALES,BAGAZO,_2025))*COSTOS_OPERACION_MANTENIMIENTO_BAGAZO_USD_KW_ALTO/UNIDAD_KW_A_MW*COSTOS_2019_US_dolares_MMCOP</f>
        <v>0</v>
      </c>
      <c r="I296" s="2668">
        <f>(INDEX(ST_CAPACIDAD_GENERACION_ENERGIAS_RENOVABLES_NO_CONVENCIONALES,BAGAZO,_2030))*COSTOS_OPERACION_MANTENIMIENTO_BAGAZO_USD_KW_ALTO/UNIDAD_KW_A_MW*COSTOS_2019_US_dolares_MMCOP</f>
        <v>0</v>
      </c>
      <c r="J296" s="2668">
        <f>(INDEX(ST_CAPACIDAD_GENERACION_ENERGIAS_RENOVABLES_NO_CONVENCIONALES,BAGAZO,_2035))*COSTOS_OPERACION_MANTENIMIENTO_BAGAZO_USD_KW_ALTO/UNIDAD_KW_A_MW*COSTOS_2019_US_dolares_MMCOP</f>
        <v>0</v>
      </c>
      <c r="K296" s="2668">
        <f>(INDEX(ST_CAPACIDAD_GENERACION_ENERGIAS_RENOVABLES_NO_CONVENCIONALES,BAGAZO,_2040))*COSTOS_OPERACION_MANTENIMIENTO_BAGAZO_USD_KW_ALTO/UNIDAD_KW_A_MW*COSTOS_2019_US_dolares_MMCOP</f>
        <v>0</v>
      </c>
      <c r="L296" s="2668">
        <f>(INDEX(ST_CAPACIDAD_GENERACION_ENERGIAS_RENOVABLES_NO_CONVENCIONALES,BAGAZO,_2045))*COSTOS_OPERACION_MANTENIMIENTO_BAGAZO_USD_KW_ALTO/UNIDAD_KW_A_MW*COSTOS_2019_US_dolares_MMCOP</f>
        <v>0</v>
      </c>
      <c r="M296" s="2668">
        <f>(INDEX(ST_CAPACIDAD_GENERACION_ENERGIAS_RENOVABLES_NO_CONVENCIONALES,BAGAZO,_2050))*COSTOS_OPERACION_MANTENIMIENTO_BAGAZO_USD_KW_ALTO/UNIDAD_KW_A_MW*COSTOS_2019_US_dolares_MMCOP</f>
        <v>0</v>
      </c>
      <c r="N296" s="12"/>
    </row>
    <row r="297" spans="4:14" ht="15" customHeight="1">
      <c r="D297" s="12"/>
      <c r="E297" s="2677" t="s">
        <v>338</v>
      </c>
      <c r="F297" s="2679">
        <f t="shared" ref="F297:M297" si="14">SUM(F287:F296)</f>
        <v>0</v>
      </c>
      <c r="G297" s="3078">
        <f t="shared" si="14"/>
        <v>1358.975723262191</v>
      </c>
      <c r="H297" s="3078">
        <f t="shared" si="14"/>
        <v>1776.0022224429867</v>
      </c>
      <c r="I297" s="3078">
        <f t="shared" si="14"/>
        <v>1776.0022224429867</v>
      </c>
      <c r="J297" s="3078">
        <f t="shared" si="14"/>
        <v>2061.2649157561564</v>
      </c>
      <c r="K297" s="3078">
        <f t="shared" si="14"/>
        <v>2262.704011436761</v>
      </c>
      <c r="L297" s="3078">
        <f t="shared" si="14"/>
        <v>2948.712397541231</v>
      </c>
      <c r="M297" s="3078">
        <f t="shared" si="14"/>
        <v>3255.5871436686671</v>
      </c>
      <c r="N297" s="12"/>
    </row>
    <row r="298" spans="4:14" ht="15" customHeight="1">
      <c r="D298" s="12"/>
      <c r="E298" s="12"/>
      <c r="F298" s="12"/>
      <c r="G298" s="12"/>
      <c r="H298" s="12"/>
      <c r="I298" s="12"/>
      <c r="J298" s="12"/>
      <c r="K298" s="12"/>
      <c r="L298" s="12"/>
      <c r="M298" s="12"/>
      <c r="N298" s="12"/>
    </row>
    <row r="299" spans="4:14" ht="15" customHeight="1">
      <c r="D299" s="12"/>
      <c r="E299" s="1027" t="s">
        <v>1741</v>
      </c>
      <c r="F299" s="1020"/>
      <c r="G299" s="1021"/>
      <c r="H299" s="1020"/>
      <c r="I299" s="1022"/>
      <c r="J299" s="1020"/>
      <c r="K299" s="1022"/>
      <c r="L299" s="1022"/>
      <c r="M299" s="1022"/>
      <c r="N299" s="12"/>
    </row>
    <row r="300" spans="4:14" ht="15" customHeight="1">
      <c r="D300" s="12"/>
      <c r="E300" s="12"/>
      <c r="F300" s="12"/>
      <c r="G300" s="12"/>
      <c r="H300" s="12"/>
      <c r="I300" s="12"/>
      <c r="J300" s="12"/>
      <c r="K300" s="12"/>
      <c r="L300" s="12"/>
      <c r="M300" s="12"/>
      <c r="N300" s="12"/>
    </row>
    <row r="301" spans="4:14" ht="15" customHeight="1">
      <c r="D301" s="12"/>
      <c r="E301" s="1019" t="s">
        <v>1735</v>
      </c>
      <c r="F301" s="12"/>
      <c r="G301" s="12"/>
      <c r="H301" s="12"/>
      <c r="I301" s="12"/>
      <c r="J301" s="12"/>
      <c r="K301" s="12"/>
      <c r="L301" s="12"/>
      <c r="M301" s="1874" t="s">
        <v>803</v>
      </c>
      <c r="N301" s="12"/>
    </row>
    <row r="302" spans="4:14" ht="15" customHeight="1">
      <c r="D302" s="12"/>
      <c r="E302" s="424" t="s">
        <v>859</v>
      </c>
      <c r="F302" s="424">
        <v>2018</v>
      </c>
      <c r="G302" s="424">
        <v>2020</v>
      </c>
      <c r="H302" s="424">
        <v>2025</v>
      </c>
      <c r="I302" s="424">
        <v>2030</v>
      </c>
      <c r="J302" s="424">
        <v>2035</v>
      </c>
      <c r="K302" s="424">
        <v>2040</v>
      </c>
      <c r="L302" s="424">
        <v>2045</v>
      </c>
      <c r="M302" s="424">
        <v>2050</v>
      </c>
      <c r="N302" s="12"/>
    </row>
    <row r="303" spans="4:14" ht="15" customHeight="1">
      <c r="D303" s="12"/>
      <c r="E303" s="2653" t="s">
        <v>535</v>
      </c>
      <c r="F303" s="12">
        <v>0</v>
      </c>
      <c r="G303" s="3076">
        <f>(INDEX(ST_CAPACIDAD_GENERACION_COMBUSTIBLES_FOSILES,TERMOELECTRICA_GAS_NATURAL,_2020))*COSTOS_OPERACION_MANTENIMIENTO_ELECTRICIDAD_TERMOELECTRICA_GN_USD_KW_MEDIO/UNIDAD_KW_A_MW*COSTOS_2019_US_dolares_MMCOP</f>
        <v>202.58736414132483</v>
      </c>
      <c r="H303" s="3076">
        <f>(INDEX(ST_CAPACIDAD_GENERACION_COMBUSTIBLES_FOSILES,TERMOELECTRICA_GAS_NATURAL,_2025))*COSTOS_OPERACION_MANTENIMIENTO_ELECTRICIDAD_TERMOELECTRICA_GN_USD_KW_MEDIO/UNIDAD_KW_A_MW*COSTOS_2019_US_dolares_MMCOP</f>
        <v>303.88104621198727</v>
      </c>
      <c r="I303" s="3076">
        <f>(INDEX(ST_CAPACIDAD_GENERACION_COMBUSTIBLES_FOSILES,TERMOELECTRICA_GAS_NATURAL,_2025))*COSTOS_OPERACION_MANTENIMIENTO_ELECTRICIDAD_TERMOELECTRICA_GN_USD_KW_MEDIO/UNIDAD_KW_A_MW*COSTOS_2019_US_dolares_MMCOP</f>
        <v>303.88104621198727</v>
      </c>
      <c r="J303" s="3076">
        <f>(INDEX(ST_CAPACIDAD_GENERACION_COMBUSTIBLES_FOSILES,TERMOELECTRICA_GAS_NATURAL,_2035))*COSTOS_OPERACION_MANTENIMIENTO_ELECTRICIDAD_TERMOELECTRICA_GN_USD_KW_MEDIO/UNIDAD_KW_A_MW*COSTOS_2019_US_dolares_MMCOP</f>
        <v>303.88104621198727</v>
      </c>
      <c r="K303" s="3076">
        <f>(INDEX(ST_CAPACIDAD_GENERACION_COMBUSTIBLES_FOSILES,TERMOELECTRICA_GAS_NATURAL,_2040))*COSTOS_OPERACION_MANTENIMIENTO_ELECTRICIDAD_TERMOELECTRICA_GN_USD_KW_MEDIO/UNIDAD_KW_A_MW*COSTOS_2019_US_dolares_MMCOP</f>
        <v>303.88104621198727</v>
      </c>
      <c r="L303" s="3076">
        <f>(INDEX(ST_CAPACIDAD_GENERACION_COMBUSTIBLES_FOSILES,TERMOELECTRICA_GAS_NATURAL,_2045))*COSTOS_OPERACION_MANTENIMIENTO_ELECTRICIDAD_TERMOELECTRICA_GN_USD_KW_MEDIO/UNIDAD_KW_A_MW*COSTOS_2019_US_dolares_MMCOP</f>
        <v>303.88104621198727</v>
      </c>
      <c r="M303" s="3076">
        <f>(INDEX(ST_CAPACIDAD_GENERACION_COMBUSTIBLES_FOSILES,TERMOELECTRICA_GAS_NATURAL,_2050))*COSTOS_OPERACION_MANTENIMIENTO_ELECTRICIDAD_TERMOELECTRICA_GN_USD_KW_MEDIO/UNIDAD_KW_A_MW*COSTOS_2019_US_dolares_MMCOP</f>
        <v>303.88104621198727</v>
      </c>
      <c r="N303" s="12"/>
    </row>
    <row r="304" spans="4:14" ht="15" customHeight="1">
      <c r="D304" s="12"/>
      <c r="E304" s="920" t="s">
        <v>536</v>
      </c>
      <c r="F304" s="12">
        <v>0</v>
      </c>
      <c r="G304" s="3076">
        <f>(INDEX(ST_CAPACIDAD_GENERACION_COMBUSTIBLES_FOSILES,Termoelectrica_carbon,_2020)*COSTOS_OPERACION_MANTENIMIENTO_ELECTRICIDAD_TERMOELECTRICA_CARBON_USD_KW_MEDIO/UNIDAD_KW_A_MW*COSTOS_2019_US_dolares_MMCOP)</f>
        <v>365.64148556357338</v>
      </c>
      <c r="H304" s="3076">
        <f>(INDEX(ST_CAPACIDAD_GENERACION_COMBUSTIBLES_FOSILES,Termoelectrica_carbon,_2025)*COSTOS_OPERACION_MANTENIMIENTO_ELECTRICIDAD_TERMOELECTRICA_CARBON_USD_KW_MEDIO/UNIDAD_KW_A_MW*COSTOS_2019_US_dolares_MMCOP)</f>
        <v>365.64148556357338</v>
      </c>
      <c r="I304" s="3076">
        <f>(INDEX(ST_CAPACIDAD_GENERACION_COMBUSTIBLES_FOSILES,Termoelectrica_carbon,_2025)*COSTOS_OPERACION_MANTENIMIENTO_ELECTRICIDAD_TERMOELECTRICA_CARBON_USD_KW_MEDIO/UNIDAD_KW_A_MW*COSTOS_2019_US_dolares_MMCOP)</f>
        <v>365.64148556357338</v>
      </c>
      <c r="J304" s="3076">
        <f>(INDEX(ST_CAPACIDAD_GENERACION_COMBUSTIBLES_FOSILES,Termoelectrica_carbon,_2035)*COSTOS_OPERACION_MANTENIMIENTO_ELECTRICIDAD_TERMOELECTRICA_CARBON_USD_KW_MEDIO/UNIDAD_KW_A_MW*COSTOS_2019_US_dolares_MMCOP)</f>
        <v>365.64148556357338</v>
      </c>
      <c r="K304" s="3076">
        <f>(INDEX(ST_CAPACIDAD_GENERACION_COMBUSTIBLES_FOSILES,Termoelectrica_carbon,_2040)*COSTOS_OPERACION_MANTENIMIENTO_ELECTRICIDAD_TERMOELECTRICA_CARBON_USD_KW_MEDIO/UNIDAD_KW_A_MW*COSTOS_2019_US_dolares_MMCOP)</f>
        <v>365.64148556357338</v>
      </c>
      <c r="L304" s="3076">
        <f>(INDEX(ST_CAPACIDAD_GENERACION_COMBUSTIBLES_FOSILES,Termoelectrica_carbon,_2045)*COSTOS_OPERACION_MANTENIMIENTO_ELECTRICIDAD_TERMOELECTRICA_CARBON_USD_KW_MEDIO/UNIDAD_KW_A_MW*COSTOS_2019_US_dolares_MMCOP)</f>
        <v>365.64148556357338</v>
      </c>
      <c r="M304" s="3076">
        <f>(INDEX(ST_CAPACIDAD_GENERACION_COMBUSTIBLES_FOSILES,Termoelectrica_carbon,_2050)*COSTOS_OPERACION_MANTENIMIENTO_ELECTRICIDAD_TERMOELECTRICA_CARBON_USD_KW_MEDIO/UNIDAD_KW_A_MW*COSTOS_2019_US_dolares_MMCOP)</f>
        <v>365.64148556357338</v>
      </c>
      <c r="N304" s="12"/>
    </row>
    <row r="305" spans="4:14" ht="15" customHeight="1">
      <c r="D305" s="12"/>
      <c r="E305" s="920" t="s">
        <v>526</v>
      </c>
      <c r="F305" s="12">
        <v>0</v>
      </c>
      <c r="G305" s="3076">
        <f>(INDEX(ST_CAPACIDAD_GENERACION_COMBUSTIBLES_FOSILES,DIESEL,_2020))*COSTOS_OPERACION_MANTENIMIENTO_ELECTRICIDAD_DIESEL_USD_KW_MEDIO/UNIDAD_KW_A_MW*COSTOS_2019_US_dolares_MMCOP</f>
        <v>0</v>
      </c>
      <c r="H305" s="3076">
        <f>(INDEX(ST_CAPACIDAD_GENERACION_COMBUSTIBLES_FOSILES,DIESEL,_2025))*COSTOS_OPERACION_MANTENIMIENTO_ELECTRICIDAD_DIESEL_USD_KW_MEDIO/UNIDAD_KW_A_MW*COSTOS_2019_US_dolares_MMCOP</f>
        <v>0</v>
      </c>
      <c r="I305" s="3076">
        <f>(INDEX(ST_CAPACIDAD_GENERACION_COMBUSTIBLES_FOSILES,DIESEL,_2025))*COSTOS_OPERACION_MANTENIMIENTO_ELECTRICIDAD_DIESEL_USD_KW_MEDIO/UNIDAD_KW_A_MW*COSTOS_2019_US_dolares_MMCOP</f>
        <v>0</v>
      </c>
      <c r="J305" s="3076">
        <f>(INDEX(ST_CAPACIDAD_GENERACION_COMBUSTIBLES_FOSILES,DIESEL,_2035))*COSTOS_OPERACION_MANTENIMIENTO_ELECTRICIDAD_DIESEL_USD_KW_MEDIO/UNIDAD_KW_A_MW*COSTOS_2019_US_dolares_MMCOP</f>
        <v>0</v>
      </c>
      <c r="K305" s="3076">
        <f>(INDEX(ST_CAPACIDAD_GENERACION_COMBUSTIBLES_FOSILES,DIESEL,_2040))*COSTOS_OPERACION_MANTENIMIENTO_ELECTRICIDAD_DIESEL_USD_KW_MEDIO/UNIDAD_KW_A_MW*COSTOS_2019_US_dolares_MMCOP</f>
        <v>0</v>
      </c>
      <c r="L305" s="3076">
        <f>(INDEX(ST_CAPACIDAD_GENERACION_COMBUSTIBLES_FOSILES,DIESEL,_2045))*COSTOS_OPERACION_MANTENIMIENTO_ELECTRICIDAD_DIESEL_USD_KW_MEDIO/UNIDAD_KW_A_MW*COSTOS_2019_US_dolares_MMCOP</f>
        <v>0</v>
      </c>
      <c r="M305" s="3076">
        <f>(INDEX(ST_CAPACIDAD_GENERACION_COMBUSTIBLES_FOSILES,DIESEL,_2050))*COSTOS_OPERACION_MANTENIMIENTO_ELECTRICIDAD_DIESEL_USD_KW_MEDIO/UNIDAD_KW_A_MW*COSTOS_2019_US_dolares_MMCOP</f>
        <v>0</v>
      </c>
      <c r="N305" s="12"/>
    </row>
    <row r="306" spans="4:14" ht="15" customHeight="1">
      <c r="D306" s="12"/>
      <c r="E306" s="920" t="s">
        <v>537</v>
      </c>
      <c r="F306" s="12">
        <v>0</v>
      </c>
      <c r="G306" s="3076">
        <f>(INDEX(ST_CAPACIDAD_GENERACION_COMBUSTIBLES_FOSILES,FUEL_OIL,_2020))*COSTOS_OPERACION_MANTENIMIENTO_ELECTRICIDAD_FUEL_OIL_USD_KW_MEDIO/UNIDAD_KW_A_MW*COSTOS_2019_US_dolares_MMCOP</f>
        <v>0</v>
      </c>
      <c r="H306" s="3076">
        <f>(INDEX(ST_CAPACIDAD_GENERACION_COMBUSTIBLES_FOSILES,FUEL_OIL,_2025))*COSTOS_OPERACION_MANTENIMIENTO_ELECTRICIDAD_FUEL_OIL_USD_KW_MEDIO/UNIDAD_KW_A_MW*COSTOS_2019_US_dolares_MMCOP</f>
        <v>0</v>
      </c>
      <c r="I306" s="3076">
        <f>(INDEX(ST_CAPACIDAD_GENERACION_COMBUSTIBLES_FOSILES,FUEL_OIL,_2025))*COSTOS_OPERACION_MANTENIMIENTO_ELECTRICIDAD_FUEL_OIL_USD_KW_MEDIO/UNIDAD_KW_A_MW*COSTOS_2019_US_dolares_MMCOP</f>
        <v>0</v>
      </c>
      <c r="J306" s="3076">
        <f>(INDEX(ST_CAPACIDAD_GENERACION_COMBUSTIBLES_FOSILES,FUEL_OIL,_2035))*COSTOS_OPERACION_MANTENIMIENTO_ELECTRICIDAD_FUEL_OIL_USD_KW_MEDIO/UNIDAD_KW_A_MW*COSTOS_2019_US_dolares_MMCOP</f>
        <v>0</v>
      </c>
      <c r="K306" s="3076">
        <f>(INDEX(ST_CAPACIDAD_GENERACION_COMBUSTIBLES_FOSILES,FUEL_OIL,_2040))*COSTOS_OPERACION_MANTENIMIENTO_ELECTRICIDAD_FUEL_OIL_USD_KW_MEDIO/UNIDAD_KW_A_MW*COSTOS_2019_US_dolares_MMCOP</f>
        <v>0</v>
      </c>
      <c r="L306" s="3076">
        <f>(INDEX(ST_CAPACIDAD_GENERACION_COMBUSTIBLES_FOSILES,FUEL_OIL,_2045))*COSTOS_OPERACION_MANTENIMIENTO_ELECTRICIDAD_FUEL_OIL_USD_KW_MEDIO/UNIDAD_KW_A_MW*COSTOS_2019_US_dolares_MMCOP</f>
        <v>0</v>
      </c>
      <c r="M306" s="3076">
        <f>(INDEX(ST_CAPACIDAD_GENERACION_COMBUSTIBLES_FOSILES,FUEL_OIL,_2050))*COSTOS_OPERACION_MANTENIMIENTO_ELECTRICIDAD_FUEL_OIL_USD_KW_MEDIO/UNIDAD_KW_A_MW*COSTOS_2019_US_dolares_MMCOP</f>
        <v>0</v>
      </c>
      <c r="N306" s="12"/>
    </row>
    <row r="307" spans="4:14" ht="15" customHeight="1">
      <c r="D307" s="12"/>
      <c r="E307" s="920" t="s">
        <v>525</v>
      </c>
      <c r="F307" s="12">
        <v>0</v>
      </c>
      <c r="G307" s="3076">
        <f>(INDEX(ST_CAPACIDAD_GENERACION_COMBUSTIBLES_FOSILES,PETROLEO,_2020))*COSTOS_OPERACION_MANTENIMIENTO_ELECTRICIDAD_PETROLEO_USD_KW_MEDIO/UNIDAD_KW_A_MW*COSTOS_2019_US_dolares_MMCOP</f>
        <v>0</v>
      </c>
      <c r="H307" s="3076">
        <f>(INDEX(ST_CAPACIDAD_GENERACION_COMBUSTIBLES_FOSILES,PETROLEO,_2025))*COSTOS_OPERACION_MANTENIMIENTO_ELECTRICIDAD_PETROLEO_USD_KW_MEDIO/UNIDAD_KW_A_MW*COSTOS_2019_US_dolares_MMCOP</f>
        <v>0</v>
      </c>
      <c r="I307" s="3076">
        <f>(INDEX(ST_CAPACIDAD_GENERACION_COMBUSTIBLES_FOSILES,PETROLEO,_2025))*COSTOS_OPERACION_MANTENIMIENTO_ELECTRICIDAD_PETROLEO_USD_KW_MEDIO/UNIDAD_KW_A_MW*COSTOS_2019_US_dolares_MMCOP</f>
        <v>0</v>
      </c>
      <c r="J307" s="3076">
        <f>(INDEX(ST_CAPACIDAD_GENERACION_COMBUSTIBLES_FOSILES,PETROLEO,_2035))*COSTOS_OPERACION_MANTENIMIENTO_ELECTRICIDAD_PETROLEO_USD_KW_MEDIO/UNIDAD_KW_A_MW*COSTOS_2019_US_dolares_MMCOP</f>
        <v>0</v>
      </c>
      <c r="K307" s="3076">
        <f>(INDEX(ST_CAPACIDAD_GENERACION_COMBUSTIBLES_FOSILES,PETROLEO,_2040))*COSTOS_OPERACION_MANTENIMIENTO_ELECTRICIDAD_PETROLEO_USD_KW_MEDIO/UNIDAD_KW_A_MW*COSTOS_2019_US_dolares_MMCOP</f>
        <v>0</v>
      </c>
      <c r="L307" s="3076">
        <f>(INDEX(ST_CAPACIDAD_GENERACION_COMBUSTIBLES_FOSILES,PETROLEO,_2045))*COSTOS_OPERACION_MANTENIMIENTO_ELECTRICIDAD_PETROLEO_USD_KW_MEDIO/UNIDAD_KW_A_MW*COSTOS_2019_US_dolares_MMCOP</f>
        <v>0</v>
      </c>
      <c r="M307" s="3076">
        <f>(INDEX(ST_CAPACIDAD_GENERACION_COMBUSTIBLES_FOSILES,PETROLEO,_2050))*COSTOS_OPERACION_MANTENIMIENTO_ELECTRICIDAD_PETROLEO_USD_KW_MEDIO/UNIDAD_KW_A_MW*COSTOS_2019_US_dolares_MMCOP</f>
        <v>0</v>
      </c>
      <c r="N307" s="12"/>
    </row>
    <row r="308" spans="4:14" ht="15" customHeight="1">
      <c r="D308" s="12"/>
      <c r="E308" s="920" t="s">
        <v>498</v>
      </c>
      <c r="F308" s="12">
        <v>0</v>
      </c>
      <c r="G308" s="3076">
        <f>(INDEX(ST_CAPACIDAD_GENERACION_COMBUSTIBLES_FOSILES,GLP,_2020))*COSTOS_OPERACION_MANTENIMIENTO_ELECTRICIDAD_GLP_USD_KW_MEDIO/UNIDAD_KW_A_MW*COSTOS_2019_US_dolares_MMCOP</f>
        <v>0</v>
      </c>
      <c r="H308" s="3076">
        <f>(INDEX(ST_CAPACIDAD_GENERACION_COMBUSTIBLES_FOSILES,GLP,_2025))*COSTOS_OPERACION_MANTENIMIENTO_ELECTRICIDAD_GLP_USD_KW_MEDIO/UNIDAD_KW_A_MW*COSTOS_2019_US_dolares_MMCOP</f>
        <v>0</v>
      </c>
      <c r="I308" s="3076">
        <f>(INDEX(ST_CAPACIDAD_GENERACION_COMBUSTIBLES_FOSILES,GLP,_2025))*COSTOS_OPERACION_MANTENIMIENTO_ELECTRICIDAD_GLP_USD_KW_MEDIO/UNIDAD_KW_A_MW*COSTOS_2019_US_dolares_MMCOP</f>
        <v>0</v>
      </c>
      <c r="J308" s="3076">
        <f>(INDEX(ST_CAPACIDAD_GENERACION_COMBUSTIBLES_FOSILES,GLP,_2035))*COSTOS_OPERACION_MANTENIMIENTO_ELECTRICIDAD_GLP_USD_KW_MEDIO/UNIDAD_KW_A_MW*COSTOS_2019_US_dolares_MMCOP</f>
        <v>0</v>
      </c>
      <c r="K308" s="3076">
        <f>(INDEX(ST_CAPACIDAD_GENERACION_COMBUSTIBLES_FOSILES,GLP,_2040))*COSTOS_OPERACION_MANTENIMIENTO_ELECTRICIDAD_GLP_USD_KW_MEDIO/UNIDAD_KW_A_MW*COSTOS_2019_US_dolares_MMCOP</f>
        <v>0</v>
      </c>
      <c r="L308" s="3076">
        <f>(INDEX(ST_CAPACIDAD_GENERACION_COMBUSTIBLES_FOSILES,GLP,_2045))*COSTOS_OPERACION_MANTENIMIENTO_ELECTRICIDAD_GLP_USD_KW_MEDIO/UNIDAD_KW_A_MW*COSTOS_2019_US_dolares_MMCOP</f>
        <v>0</v>
      </c>
      <c r="M308" s="3076">
        <f>(INDEX(ST_CAPACIDAD_GENERACION_COMBUSTIBLES_FOSILES,GLP,_2050))*COSTOS_OPERACION_MANTENIMIENTO_ELECTRICIDAD_GLP_USD_KW_MEDIO/UNIDAD_KW_A_MW*COSTOS_2019_US_dolares_MMCOP</f>
        <v>0</v>
      </c>
      <c r="N308" s="12"/>
    </row>
    <row r="309" spans="4:14" ht="15" customHeight="1">
      <c r="D309" s="12"/>
      <c r="E309" s="920" t="s">
        <v>538</v>
      </c>
      <c r="F309" s="12">
        <v>0</v>
      </c>
      <c r="G309" s="3076">
        <f>(INDEX(ST_CAPACIDAD_GENERACION_COMBUSTIBLES_FOSILES,TERMOELECTRICA_GAS_NATURAL_CCUS,_2020))*COSTOS_OPERACION_MANTENIMIENTO_ELECTRICIDAD_TERMOELECTRICA_GN_CCUS_USD_KW_MEDIO/UNIDAD_KW_A_MW*COSTOS_2019_US_dolares_MMCOP</f>
        <v>0</v>
      </c>
      <c r="H309" s="3076">
        <f>(INDEX(ST_CAPACIDAD_GENERACION_COMBUSTIBLES_FOSILES,TERMOELECTRICA_GAS_NATURAL_CCUS,_2025))*COSTOS_OPERACION_MANTENIMIENTO_ELECTRICIDAD_TERMOELECTRICA_GN_CCUS_USD_KW_MEDIO/UNIDAD_KW_A_MW*COSTOS_2019_US_dolares_MMCOP</f>
        <v>0</v>
      </c>
      <c r="I309" s="3076">
        <f>(INDEX(ST_CAPACIDAD_GENERACION_COMBUSTIBLES_FOSILES,TERMOELECTRICA_GAS_NATURAL_CCUS,_2025))*COSTOS_OPERACION_MANTENIMIENTO_ELECTRICIDAD_TERMOELECTRICA_GN_CCUS_USD_KW_MEDIO/UNIDAD_KW_A_MW*COSTOS_2019_US_dolares_MMCOP</f>
        <v>0</v>
      </c>
      <c r="J309" s="3076">
        <f>(INDEX(ST_CAPACIDAD_GENERACION_COMBUSTIBLES_FOSILES,TERMOELECTRICA_GAS_NATURAL_CCUS,_2035))*COSTOS_OPERACION_MANTENIMIENTO_ELECTRICIDAD_TERMOELECTRICA_GN_CCUS_USD_KW_MEDIO/UNIDAD_KW_A_MW*COSTOS_2019_US_dolares_MMCOP</f>
        <v>0</v>
      </c>
      <c r="K309" s="3076">
        <f>(INDEX(ST_CAPACIDAD_GENERACION_COMBUSTIBLES_FOSILES,TERMOELECTRICA_GAS_NATURAL_CCUS,_2040))*COSTOS_OPERACION_MANTENIMIENTO_ELECTRICIDAD_TERMOELECTRICA_GN_CCUS_USD_KW_MEDIO/UNIDAD_KW_A_MW*COSTOS_2019_US_dolares_MMCOP</f>
        <v>0</v>
      </c>
      <c r="L309" s="3076">
        <f>(INDEX(ST_CAPACIDAD_GENERACION_COMBUSTIBLES_FOSILES,TERMOELECTRICA_GAS_NATURAL_CCUS,_2045))*COSTOS_OPERACION_MANTENIMIENTO_ELECTRICIDAD_TERMOELECTRICA_GN_CCUS_USD_KW_MEDIO/UNIDAD_KW_A_MW*COSTOS_2019_US_dolares_MMCOP</f>
        <v>0</v>
      </c>
      <c r="M309" s="3076">
        <f>(INDEX(ST_CAPACIDAD_GENERACION_COMBUSTIBLES_FOSILES,TERMOELECTRICA_GAS_NATURAL_CCUS,_2050))*COSTOS_OPERACION_MANTENIMIENTO_ELECTRICIDAD_TERMOELECTRICA_GN_CCUS_USD_KW_MEDIO/UNIDAD_KW_A_MW*COSTOS_2019_US_dolares_MMCOP</f>
        <v>0</v>
      </c>
      <c r="N309" s="12"/>
    </row>
    <row r="310" spans="4:14" ht="15" customHeight="1">
      <c r="D310" s="12"/>
      <c r="E310" s="1019" t="s">
        <v>539</v>
      </c>
      <c r="F310" s="1174">
        <v>0</v>
      </c>
      <c r="G310" s="3077">
        <f>(INDEX(ST_CAPACIDAD_GENERACION_COMBUSTIBLES_FOSILES,TERMOELECTRICA_CARBON_CCUS,_2020))*COSTOS_OPERACION_MANTENIMIENTO_ELECTRICIDAD_TERMOELECTRICA_CARBON_CCUS_USD_KW_MEDIO/UNIDAD_KW_A_MW*COSTOS_2019_US_dolares_MMCOP</f>
        <v>0</v>
      </c>
      <c r="H310" s="3077">
        <f>(INDEX(ST_CAPACIDAD_GENERACION_COMBUSTIBLES_FOSILES,TERMOELECTRICA_CARBON_CCUS,_2025))*COSTOS_OPERACION_MANTENIMIENTO_ELECTRICIDAD_TERMOELECTRICA_CARBON_CCUS_USD_KW_MEDIO/UNIDAD_KW_A_MW*COSTOS_2019_US_dolares_MMCOP</f>
        <v>0</v>
      </c>
      <c r="I310" s="3077">
        <f>(INDEX(ST_CAPACIDAD_GENERACION_COMBUSTIBLES_FOSILES,TERMOELECTRICA_CARBON_CCUS,_2025))*COSTOS_OPERACION_MANTENIMIENTO_ELECTRICIDAD_TERMOELECTRICA_CARBON_CCUS_USD_KW_MEDIO/UNIDAD_KW_A_MW*COSTOS_2019_US_dolares_MMCOP</f>
        <v>0</v>
      </c>
      <c r="J310" s="3077">
        <f>(INDEX(ST_CAPACIDAD_GENERACION_COMBUSTIBLES_FOSILES,TERMOELECTRICA_CARBON_CCUS,_2035))*COSTOS_OPERACION_MANTENIMIENTO_ELECTRICIDAD_TERMOELECTRICA_CARBON_CCUS_USD_KW_MEDIO/UNIDAD_KW_A_MW*COSTOS_2019_US_dolares_MMCOP</f>
        <v>0</v>
      </c>
      <c r="K310" s="3077">
        <f>(INDEX(ST_CAPACIDAD_GENERACION_COMBUSTIBLES_FOSILES,TERMOELECTRICA_CARBON_CCUS,_2040))*COSTOS_OPERACION_MANTENIMIENTO_ELECTRICIDAD_TERMOELECTRICA_CARBON_CCUS_USD_KW_MEDIO/UNIDAD_KW_A_MW*COSTOS_2019_US_dolares_MMCOP</f>
        <v>0</v>
      </c>
      <c r="L310" s="3077">
        <f>(INDEX(ST_CAPACIDAD_GENERACION_COMBUSTIBLES_FOSILES,TERMOELECTRICA_CARBON_CCUS,_2045))*COSTOS_OPERACION_MANTENIMIENTO_ELECTRICIDAD_TERMOELECTRICA_CARBON_CCUS_USD_KW_MEDIO/UNIDAD_KW_A_MW*COSTOS_2019_US_dolares_MMCOP</f>
        <v>0</v>
      </c>
      <c r="M310" s="3077">
        <f>(INDEX(ST_CAPACIDAD_GENERACION_COMBUSTIBLES_FOSILES,TERMOELECTRICA_CARBON_CCUS,_2050))*COSTOS_OPERACION_MANTENIMIENTO_ELECTRICIDAD_TERMOELECTRICA_CARBON_CCUS_USD_KW_MEDIO/UNIDAD_KW_A_MW*COSTOS_2019_US_dolares_MMCOP</f>
        <v>0</v>
      </c>
      <c r="N310" s="12"/>
    </row>
    <row r="311" spans="4:14" ht="15" customHeight="1">
      <c r="D311" s="12"/>
      <c r="E311" s="2677" t="s">
        <v>338</v>
      </c>
      <c r="F311" s="2678">
        <f t="shared" ref="F311:M311" si="15">SUM(F303:F310)</f>
        <v>0</v>
      </c>
      <c r="G311" s="3078">
        <f t="shared" si="15"/>
        <v>568.22884970489827</v>
      </c>
      <c r="H311" s="3078">
        <f t="shared" si="15"/>
        <v>669.52253177556065</v>
      </c>
      <c r="I311" s="3078">
        <f t="shared" si="15"/>
        <v>669.52253177556065</v>
      </c>
      <c r="J311" s="3078">
        <f t="shared" si="15"/>
        <v>669.52253177556065</v>
      </c>
      <c r="K311" s="3078">
        <f t="shared" si="15"/>
        <v>669.52253177556065</v>
      </c>
      <c r="L311" s="3078">
        <f t="shared" si="15"/>
        <v>669.52253177556065</v>
      </c>
      <c r="M311" s="3078">
        <f t="shared" si="15"/>
        <v>669.52253177556065</v>
      </c>
      <c r="N311" s="12"/>
    </row>
    <row r="312" spans="4:14" ht="15" customHeight="1">
      <c r="D312" s="12"/>
      <c r="E312" s="920"/>
      <c r="F312" s="12"/>
      <c r="G312" s="12"/>
      <c r="H312" s="12"/>
      <c r="I312" s="12"/>
      <c r="J312" s="12"/>
      <c r="K312" s="12"/>
      <c r="L312" s="12"/>
      <c r="M312" s="12"/>
      <c r="N312" s="12"/>
    </row>
    <row r="313" spans="4:14" ht="15" customHeight="1">
      <c r="D313" s="12"/>
      <c r="E313" s="1019" t="s">
        <v>1737</v>
      </c>
      <c r="F313" s="12"/>
      <c r="G313" s="12"/>
      <c r="H313" s="12"/>
      <c r="I313" s="12"/>
      <c r="J313" s="12"/>
      <c r="K313" s="12"/>
      <c r="L313" s="12"/>
      <c r="M313" s="1874" t="s">
        <v>803</v>
      </c>
      <c r="N313" s="12"/>
    </row>
    <row r="314" spans="4:14" ht="15" customHeight="1">
      <c r="D314" s="12"/>
      <c r="E314" s="424" t="s">
        <v>859</v>
      </c>
      <c r="F314" s="424">
        <v>2018</v>
      </c>
      <c r="G314" s="424">
        <v>2020</v>
      </c>
      <c r="H314" s="424">
        <v>2025</v>
      </c>
      <c r="I314" s="424">
        <v>2030</v>
      </c>
      <c r="J314" s="424">
        <v>2035</v>
      </c>
      <c r="K314" s="424">
        <v>2040</v>
      </c>
      <c r="L314" s="424">
        <v>2045</v>
      </c>
      <c r="M314" s="424">
        <v>2050</v>
      </c>
      <c r="N314" s="12"/>
    </row>
    <row r="315" spans="4:14" ht="15" customHeight="1">
      <c r="D315" s="12"/>
      <c r="E315" s="2653" t="s">
        <v>542</v>
      </c>
      <c r="F315" s="12">
        <v>0</v>
      </c>
      <c r="G315" s="3076">
        <f>(INDEX(ST_CAPACIDAD_GENERACION_ENERGIAS_RENOVABLES_NO_CONVENCIONALES,HIDRO_GRANDES_CENTRALES_HIDROELECTRICAS,_2020))*COSTOS_OPERACION_MANTENIMIENTO_GRANDES_CENTRALES_HIDROELECTRICAS_USD_KW_MEDIO/UNIDAD_KW_A_MW*COSTOS_2019_US_dolares_MMCOP</f>
        <v>933.33721062599432</v>
      </c>
      <c r="H315" s="3076">
        <f>(INDEX(ST_CAPACIDAD_GENERACION_ENERGIAS_RENOVABLES_NO_CONVENCIONALES,HIDRO_GRANDES_CENTRALES_HIDROELECTRICAS,_2025))*COSTOS_OPERACION_MANTENIMIENTO_GRANDES_CENTRALES_HIDROELECTRICAS_USD_KW_MEDIO/UNIDAD_KW_A_MW*COSTOS_2019_US_dolares_MMCOP</f>
        <v>1187.8837226149019</v>
      </c>
      <c r="I315" s="3076">
        <f>(INDEX(ST_CAPACIDAD_GENERACION_ENERGIAS_RENOVABLES_NO_CONVENCIONALES,HIDRO_GRANDES_CENTRALES_HIDROELECTRICAS,_2030))*COSTOS_OPERACION_MANTENIMIENTO_GRANDES_CENTRALES_HIDROELECTRICAS_USD_KW_MEDIO/UNIDAD_KW_A_MW*COSTOS_2019_US_dolares_MMCOP</f>
        <v>1187.8837226149019</v>
      </c>
      <c r="J315" s="3076">
        <f>(INDEX(ST_CAPACIDAD_GENERACION_ENERGIAS_RENOVABLES_NO_CONVENCIONALES,HIDRO_GRANDES_CENTRALES_HIDROELECTRICAS,_2035))*COSTOS_OPERACION_MANTENIMIENTO_GRANDES_CENTRALES_HIDROELECTRICAS_USD_KW_MEDIO/UNIDAD_KW_A_MW*COSTOS_2019_US_dolares_MMCOP</f>
        <v>1187.8837226149019</v>
      </c>
      <c r="K315" s="3076">
        <f>(INDEX(ST_CAPACIDAD_GENERACION_ENERGIAS_RENOVABLES_NO_CONVENCIONALES,HIDRO_GRANDES_CENTRALES_HIDROELECTRICAS,_2040))*COSTOS_OPERACION_MANTENIMIENTO_GRANDES_CENTRALES_HIDROELECTRICAS_USD_KW_MEDIO/UNIDAD_KW_A_MW*COSTOS_2019_US_dolares_MMCOP</f>
        <v>1187.8837226149019</v>
      </c>
      <c r="L315" s="3076">
        <f>(INDEX(ST_CAPACIDAD_GENERACION_ENERGIAS_RENOVABLES_NO_CONVENCIONALES,HIDRO_GRANDES_CENTRALES_HIDROELECTRICAS,_2045))*COSTOS_OPERACION_MANTENIMIENTO_GRANDES_CENTRALES_HIDROELECTRICAS_USD_KW_MEDIO/UNIDAD_KW_A_MW*COSTOS_2019_US_dolares_MMCOP</f>
        <v>1187.8837226149019</v>
      </c>
      <c r="M315" s="3076">
        <f>(INDEX(ST_CAPACIDAD_GENERACION_ENERGIAS_RENOVABLES_NO_CONVENCIONALES,HIDRO_GRANDES_CENTRALES_HIDROELECTRICAS,_2050))*COSTOS_OPERACION_MANTENIMIENTO_GRANDES_CENTRALES_HIDROELECTRICAS_USD_KW_MEDIO/UNIDAD_KW_A_MW*COSTOS_2019_US_dolares_MMCOP</f>
        <v>1272.7325599445378</v>
      </c>
      <c r="N315" s="12"/>
    </row>
    <row r="316" spans="4:14" ht="15" customHeight="1">
      <c r="D316" s="12"/>
      <c r="E316" s="920" t="s">
        <v>543</v>
      </c>
      <c r="F316" s="12">
        <v>0</v>
      </c>
      <c r="G316" s="3076">
        <f>(INDEX(ST_CAPACIDAD_GENERACION_ENERGIAS_RENOVABLES_NO_CONVENCIONALES,HIDRO_PEQUEÑAS_CENTRALES_HIDROELECTRICAS,_2020))*COSTOS_OPERACION_MANTENIMIENTO_PEQUEÑAS_CENTRALES_HIDROELECTRICAS_USD_KW_MEDIO/UNIDAD_KW_A_MW*COSTOS_2019_US_dolares_MMCOP</f>
        <v>107.60915860462275</v>
      </c>
      <c r="H316" s="3076">
        <f>(INDEX(ST_CAPACIDAD_GENERACION_ENERGIAS_RENOVABLES_NO_CONVENCIONALES,HIDRO_PEQUEÑAS_CENTRALES_HIDROELECTRICAS,_2025))*COSTOS_OPERACION_MANTENIMIENTO_PEQUEÑAS_CENTRALES_HIDROELECTRICAS_USD_KW_MEDIO/UNIDAD_KW_A_MW*COSTOS_2019_US_dolares_MMCOP</f>
        <v>107.60915860462275</v>
      </c>
      <c r="I316" s="3076">
        <f>(INDEX(ST_CAPACIDAD_GENERACION_ENERGIAS_RENOVABLES_NO_CONVENCIONALES,HIDRO_PEQUEÑAS_CENTRALES_HIDROELECTRICAS,_2030))*COSTOS_OPERACION_MANTENIMIENTO_PEQUEÑAS_CENTRALES_HIDROELECTRICAS_USD_KW_MEDIO/UNIDAD_KW_A_MW*COSTOS_2019_US_dolares_MMCOP</f>
        <v>107.60915860462275</v>
      </c>
      <c r="J316" s="3076">
        <f>(INDEX(ST_CAPACIDAD_GENERACION_ENERGIAS_RENOVABLES_NO_CONVENCIONALES,HIDRO_PEQUEÑAS_CENTRALES_HIDROELECTRICAS,_2035))*COSTOS_OPERACION_MANTENIMIENTO_PEQUEÑAS_CENTRALES_HIDROELECTRICAS_USD_KW_MEDIO/UNIDAD_KW_A_MW*COSTOS_2019_US_dolares_MMCOP</f>
        <v>107.60915860462275</v>
      </c>
      <c r="K316" s="3076">
        <f>(INDEX(ST_CAPACIDAD_GENERACION_ENERGIAS_RENOVABLES_NO_CONVENCIONALES,HIDRO_PEQUEÑAS_CENTRALES_HIDROELECTRICAS,_2040))*COSTOS_OPERACION_MANTENIMIENTO_PEQUEÑAS_CENTRALES_HIDROELECTRICAS_USD_KW_MEDIO/UNIDAD_KW_A_MW*COSTOS_2019_US_dolares_MMCOP</f>
        <v>107.60915860462275</v>
      </c>
      <c r="L316" s="3076">
        <f>(INDEX(ST_CAPACIDAD_GENERACION_ENERGIAS_RENOVABLES_NO_CONVENCIONALES,HIDRO_PEQUEÑAS_CENTRALES_HIDROELECTRICAS,_2045))*COSTOS_OPERACION_MANTENIMIENTO_PEQUEÑAS_CENTRALES_HIDROELECTRICAS_USD_KW_MEDIO/UNIDAD_KW_A_MW*COSTOS_2019_US_dolares_MMCOP</f>
        <v>107.60915860462275</v>
      </c>
      <c r="M316" s="3076">
        <f>(INDEX(ST_CAPACIDAD_GENERACION_ENERGIAS_RENOVABLES_NO_CONVENCIONALES,HIDRO_PEQUEÑAS_CENTRALES_HIDROELECTRICAS,_2050))*COSTOS_OPERACION_MANTENIMIENTO_PEQUEÑAS_CENTRALES_HIDROELECTRICAS_USD_KW_MEDIO/UNIDAD_KW_A_MW*COSTOS_2019_US_dolares_MMCOP</f>
        <v>107.60915860462275</v>
      </c>
      <c r="N316" s="12"/>
    </row>
    <row r="317" spans="4:14" ht="15" customHeight="1">
      <c r="D317" s="12"/>
      <c r="E317" s="920" t="s">
        <v>1727</v>
      </c>
      <c r="F317" s="12">
        <v>0</v>
      </c>
      <c r="G317" s="3076">
        <f>(INDEX(ST_CAPACIDAD_GENERACION_ENERGIAS_RENOVABLES_NO_CONVENCIONALES,SOLAR_DISTRIBUIDA_TERCIARIO,_2020))*COSTOS_OPERACION_MANTENIMIENTO_SOLAR_TERMICA_USD_KW_BAJO/UNIDAD_KW_A_MW*COSTOS_2019_US_dolares_MMCOP</f>
        <v>0</v>
      </c>
      <c r="H317" s="3076">
        <f>(INDEX(ST_CAPACIDAD_GENERACION_ENERGIAS_RENOVABLES_NO_CONVENCIONALES,SOLAR_DISTRIBUIDA_TERCIARIO,_2025))*COSTOS_OPERACION_MANTENIMIENTO_SOLAR_TERMICA_USD_KW_BAJO/UNIDAD_KW_A_MW*COSTOS_2019_US_dolares_MMCOP</f>
        <v>0</v>
      </c>
      <c r="I317" s="3076">
        <f>(INDEX(ST_CAPACIDAD_GENERACION_ENERGIAS_RENOVABLES_NO_CONVENCIONALES,SOLAR_DISTRIBUIDA_TERCIARIO,_2030))*COSTOS_OPERACION_MANTENIMIENTO_SOLAR_TERMICA_USD_KW_BAJO/UNIDAD_KW_A_MW*COSTOS_2019_US_dolares_MMCOP</f>
        <v>0</v>
      </c>
      <c r="J317" s="3076">
        <f>(INDEX(ST_CAPACIDAD_GENERACION_ENERGIAS_RENOVABLES_NO_CONVENCIONALES,SOLAR_DISTRIBUIDA_TERCIARIO,_2035))*COSTOS_OPERACION_MANTENIMIENTO_SOLAR_TERMICA_USD_KW_BAJO/UNIDAD_KW_A_MW*COSTOS_2019_US_dolares_MMCOP</f>
        <v>110.72588728372006</v>
      </c>
      <c r="K317" s="3076">
        <f>(INDEX(ST_CAPACIDAD_GENERACION_ENERGIAS_RENOVABLES_NO_CONVENCIONALES,SOLAR_DISTRIBUIDA_TERCIARIO,_2040))*COSTOS_OPERACION_MANTENIMIENTO_SOLAR_TERMICA_USD_KW_BAJO/UNIDAD_KW_A_MW*COSTOS_2019_US_dolares_MMCOP</f>
        <v>110.72588728372006</v>
      </c>
      <c r="L317" s="3076">
        <f>(INDEX(ST_CAPACIDAD_GENERACION_ENERGIAS_RENOVABLES_NO_CONVENCIONALES,SOLAR_DISTRIBUIDA_TERCIARIO,_2045))*COSTOS_OPERACION_MANTENIMIENTO_SOLAR_TERMICA_USD_KW_BAJO/UNIDAD_KW_A_MW*COSTOS_2019_US_dolares_MMCOP</f>
        <v>110.72588728372006</v>
      </c>
      <c r="M317" s="3076">
        <f>(INDEX(ST_CAPACIDAD_GENERACION_ENERGIAS_RENOVABLES_NO_CONVENCIONALES,SOLAR_DISTRIBUIDA_TERCIARIO,_2050))*COSTOS_OPERACION_MANTENIMIENTO_SOLAR_TERMICA_USD_KW_BAJO/UNIDAD_KW_A_MW*COSTOS_2019_US_dolares_MMCOP</f>
        <v>110.72588728372006</v>
      </c>
      <c r="N317" s="12"/>
    </row>
    <row r="318" spans="4:14" ht="15" customHeight="1">
      <c r="D318" s="12"/>
      <c r="E318" s="920" t="s">
        <v>545</v>
      </c>
      <c r="F318" s="12">
        <v>0</v>
      </c>
      <c r="G318" s="3076">
        <f>(INDEX(ST_CAPACIDAD_GENERACION_ENERGIAS_RENOVABLES_NO_CONVENCIONALES,SOLAR_SOLAR_FOTOVOLTAICA,_2020))*COSTOS_OPERACION_MANTENIMIENTO_SOLAR_FOTOVOLTAICA_USD_KW_BAJO/UNIDAD_KW_A_MW*COSTOS_2019_US_dolares_MMCOP</f>
        <v>0</v>
      </c>
      <c r="H318" s="3076">
        <f>(INDEX(ST_CAPACIDAD_GENERACION_ENERGIAS_RENOVABLES_NO_CONVENCIONALES,SOLAR_SOLAR_FOTOVOLTAICA,_2025))*COSTOS_OPERACION_MANTENIMIENTO_SOLAR_FOTOVOLTAICA_USD_KW_BAJO/UNIDAD_KW_A_MW*COSTOS_2019_US_dolares_MMCOP</f>
        <v>66.189474842934885</v>
      </c>
      <c r="I318" s="3076">
        <f>(INDEX(ST_CAPACIDAD_GENERACION_ENERGIAS_RENOVABLES_NO_CONVENCIONALES,SOLAR_SOLAR_FOTOVOLTAICA,_2030))*COSTOS_OPERACION_MANTENIMIENTO_SOLAR_FOTOVOLTAICA_USD_KW_BAJO/UNIDAD_KW_A_MW*COSTOS_2019_US_dolares_MMCOP</f>
        <v>66.189474842934885</v>
      </c>
      <c r="J318" s="3076">
        <f>(INDEX(ST_CAPACIDAD_GENERACION_ENERGIAS_RENOVABLES_NO_CONVENCIONALES,SOLAR_SOLAR_FOTOVOLTAICA,_2035))*COSTOS_OPERACION_MANTENIMIENTO_SOLAR_FOTOVOLTAICA_USD_KW_BAJO/UNIDAD_KW_A_MW*COSTOS_2019_US_dolares_MMCOP</f>
        <v>132.37894968586977</v>
      </c>
      <c r="K318" s="3076">
        <f>(INDEX(ST_CAPACIDAD_GENERACION_ENERGIAS_RENOVABLES_NO_CONVENCIONALES,SOLAR_SOLAR_FOTOVOLTAICA,_2040))*COSTOS_OPERACION_MANTENIMIENTO_SOLAR_FOTOVOLTAICA_USD_KW_BAJO/UNIDAD_KW_A_MW*COSTOS_2019_US_dolares_MMCOP</f>
        <v>264.75789937173954</v>
      </c>
      <c r="L318" s="3076">
        <f>(INDEX(ST_CAPACIDAD_GENERACION_ENERGIAS_RENOVABLES_NO_CONVENCIONALES,SOLAR_SOLAR_FOTOVOLTAICA,_2045))*COSTOS_OPERACION_MANTENIMIENTO_SOLAR_FOTOVOLTAICA_USD_KW_BAJO/UNIDAD_KW_A_MW*COSTOS_2019_US_dolares_MMCOP</f>
        <v>463.3263239005442</v>
      </c>
      <c r="M318" s="3076">
        <f>(INDEX(ST_CAPACIDAD_GENERACION_ENERGIAS_RENOVABLES_NO_CONVENCIONALES,SOLAR_SOLAR_FOTOVOLTAICA,_2050))*COSTOS_OPERACION_MANTENIMIENTO_SOLAR_FOTOVOLTAICA_USD_KW_BAJO/UNIDAD_KW_A_MW*COSTOS_2019_US_dolares_MMCOP</f>
        <v>595.70527358641391</v>
      </c>
      <c r="N318" s="12"/>
    </row>
    <row r="319" spans="4:14" ht="15" customHeight="1">
      <c r="D319" s="12"/>
      <c r="E319" s="920" t="s">
        <v>546</v>
      </c>
      <c r="F319" s="12">
        <v>0</v>
      </c>
      <c r="G319" s="3076">
        <f>(INDEX(ST_CAPACIDAD_GENERACION_ENERGIAS_RENOVABLES_NO_CONVENCIONALES,EOLICA_EOLICA_COSTA_ADENTRO_JEPIRACHI,_2020))*COSTOS_OPERACION_MANTENIMIENTO_EOLICA_COSTA_ADENTRO_JEPIRACHI_USD_KW_BAJO/UNIDAD_KW_A_MW*COSTOS_2019_US_dolares_MMCOP</f>
        <v>0</v>
      </c>
      <c r="H319" s="3076">
        <f>(INDEX(ST_CAPACIDAD_GENERACION_ENERGIAS_RENOVABLES_NO_CONVENCIONALES,EOLICA_EOLICA_COSTA_ADENTRO_JEPIRACHI,_2020))*COSTOS_OPERACION_MANTENIMIENTO_EOLICA_COSTA_ADENTRO_JEPIRACHI_USD_KW_BAJO/UNIDAD_KW_A_MW*COSTOS_2019_US_dolares_MMCOP</f>
        <v>0</v>
      </c>
      <c r="I319" s="3076">
        <f>(INDEX(ST_CAPACIDAD_GENERACION_ENERGIAS_RENOVABLES_NO_CONVENCIONALES,EOLICA_EOLICA_COSTA_ADENTRO_JEPIRACHI,_2020))*COSTOS_OPERACION_MANTENIMIENTO_EOLICA_COSTA_ADENTRO_JEPIRACHI_USD_KW_BAJO/UNIDAD_KW_A_MW*COSTOS_2019_US_dolares_MMCOP</f>
        <v>0</v>
      </c>
      <c r="J319" s="3076">
        <f>(INDEX(ST_CAPACIDAD_GENERACION_ENERGIAS_RENOVABLES_NO_CONVENCIONALES,EOLICA_EOLICA_COSTA_ADENTRO_JEPIRACHI,_2020))*COSTOS_OPERACION_MANTENIMIENTO_EOLICA_COSTA_ADENTRO_JEPIRACHI_USD_KW_BAJO/UNIDAD_KW_A_MW*COSTOS_2019_US_dolares_MMCOP</f>
        <v>0</v>
      </c>
      <c r="K319" s="3076">
        <f>(INDEX(ST_CAPACIDAD_GENERACION_ENERGIAS_RENOVABLES_NO_CONVENCIONALES,EOLICA_EOLICA_COSTA_ADENTRO_JEPIRACHI,_2020))*COSTOS_OPERACION_MANTENIMIENTO_EOLICA_COSTA_ADENTRO_JEPIRACHI_USD_KW_BAJO/UNIDAD_KW_A_MW*COSTOS_2019_US_dolares_MMCOP</f>
        <v>0</v>
      </c>
      <c r="L319" s="3076">
        <f>(INDEX(ST_CAPACIDAD_GENERACION_ENERGIAS_RENOVABLES_NO_CONVENCIONALES,EOLICA_EOLICA_COSTA_ADENTRO_JEPIRACHI,_2020))*COSTOS_OPERACION_MANTENIMIENTO_EOLICA_COSTA_ADENTRO_JEPIRACHI_USD_KW_BAJO/UNIDAD_KW_A_MW*COSTOS_2019_US_dolares_MMCOP</f>
        <v>0</v>
      </c>
      <c r="M319" s="3076">
        <f>(INDEX(ST_CAPACIDAD_GENERACION_ENERGIAS_RENOVABLES_NO_CONVENCIONALES,EOLICA_EOLICA_COSTA_ADENTRO_JEPIRACHI,_2020))*COSTOS_OPERACION_MANTENIMIENTO_EOLICA_COSTA_ADENTRO_JEPIRACHI_USD_KW_BAJO/UNIDAD_KW_A_MW*COSTOS_2019_US_dolares_MMCOP</f>
        <v>0</v>
      </c>
      <c r="N319" s="12"/>
    </row>
    <row r="320" spans="4:14" ht="15" customHeight="1">
      <c r="D320" s="12"/>
      <c r="E320" s="920" t="s">
        <v>547</v>
      </c>
      <c r="F320" s="12">
        <v>0</v>
      </c>
      <c r="G320" s="3076">
        <f>(INDEX(ST_CAPACIDAD_GENERACION_ENERGIAS_RENOVABLES_NO_CONVENCIONALES,EOLICA_EOLICA_COSTA_ADENTRO_RESTO_PAIS,_2020))*COSTOS_OPERACION_MANTENIMIENTO_EOLICA_COSTA_ADENTRO_RESTO_USD_KW_BAJO/UNIDAD_KW_A_MW*COSTOS_2019_US_dolares_MMCOP</f>
        <v>0</v>
      </c>
      <c r="H320" s="3076">
        <f>(INDEX(ST_CAPACIDAD_GENERACION_ENERGIAS_RENOVABLES_NO_CONVENCIONALES,EOLICA_EOLICA_COSTA_ADENTRO_RESTO_PAIS,_2025))*COSTOS_OPERACION_MANTENIMIENTO_EOLICA_COSTA_ADENTRO_RESTO_USD_KW_BAJO/UNIDAD_KW_A_MW*COSTOS_2019_US_dolares_MMCOP</f>
        <v>0</v>
      </c>
      <c r="I320" s="3076">
        <f>(INDEX(ST_CAPACIDAD_GENERACION_ENERGIAS_RENOVABLES_NO_CONVENCIONALES,EOLICA_EOLICA_COSTA_ADENTRO_RESTO_PAIS,_2030))*COSTOS_OPERACION_MANTENIMIENTO_EOLICA_COSTA_ADENTRO_RESTO_USD_KW_BAJO/UNIDAD_KW_A_MW*COSTOS_2019_US_dolares_MMCOP</f>
        <v>0</v>
      </c>
      <c r="J320" s="3076">
        <f>(INDEX(ST_CAPACIDAD_GENERACION_ENERGIAS_RENOVABLES_NO_CONVENCIONALES,EOLICA_EOLICA_COSTA_ADENTRO_RESTO_PAIS,_2035))*COSTOS_OPERACION_MANTENIMIENTO_EOLICA_COSTA_ADENTRO_RESTO_USD_KW_BAJO/UNIDAD_KW_A_MW*COSTOS_2019_US_dolares_MMCOP</f>
        <v>0</v>
      </c>
      <c r="K320" s="3076">
        <f>(INDEX(ST_CAPACIDAD_GENERACION_ENERGIAS_RENOVABLES_NO_CONVENCIONALES,EOLICA_EOLICA_COSTA_ADENTRO_RESTO_PAIS,_2040))*COSTOS_OPERACION_MANTENIMIENTO_EOLICA_COSTA_ADENTRO_RESTO_USD_KW_BAJO/UNIDAD_KW_A_MW*COSTOS_2019_US_dolares_MMCOP</f>
        <v>0</v>
      </c>
      <c r="L320" s="3076">
        <f>(INDEX(ST_CAPACIDAD_GENERACION_ENERGIAS_RENOVABLES_NO_CONVENCIONALES,EOLICA_EOLICA_COSTA_ADENTRO_RESTO_PAIS,_2045))*COSTOS_OPERACION_MANTENIMIENTO_EOLICA_COSTA_ADENTRO_RESTO_USD_KW_BAJO/UNIDAD_KW_A_MW*COSTOS_2019_US_dolares_MMCOP</f>
        <v>235.39503444761229</v>
      </c>
      <c r="M320" s="3076">
        <f>(INDEX(ST_CAPACIDAD_GENERACION_ENERGIAS_RENOVABLES_NO_CONVENCIONALES,EOLICA_EOLICA_COSTA_ADENTRO_RESTO_PAIS,_2050))*COSTOS_OPERACION_MANTENIMIENTO_EOLICA_COSTA_ADENTRO_RESTO_USD_KW_BAJO/UNIDAD_KW_A_MW*COSTOS_2019_US_dolares_MMCOP</f>
        <v>235.39503444761229</v>
      </c>
      <c r="N320" s="12"/>
    </row>
    <row r="321" spans="4:14" ht="15" customHeight="1">
      <c r="D321" s="12"/>
      <c r="E321" s="920" t="s">
        <v>548</v>
      </c>
      <c r="F321" s="12">
        <v>0</v>
      </c>
      <c r="G321" s="3076">
        <f>(INDEX(ST_CAPACIDAD_GENERACION_ENERGIAS_RENOVABLES_NO_CONVENCIONALES,EOLICA_EOLICA_COSTA_AFUERA,_2020))*COSTOS_OPERACION_MANTENIMIENTO_EOLICA_COSTA_AFUERA_RESTO_USD_KW_BAJO/UNIDAD_KW_A_MW*COSTOS_2019_US_dolares_MMCOP</f>
        <v>0</v>
      </c>
      <c r="H321" s="3076">
        <f>(INDEX(ST_CAPACIDAD_GENERACION_ENERGIAS_RENOVABLES_NO_CONVENCIONALES,EOLICA_EOLICA_COSTA_AFUERA,_2025))*COSTOS_OPERACION_MANTENIMIENTO_EOLICA_COSTA_AFUERA_RESTO_USD_KW_BAJO/UNIDAD_KW_A_MW*COSTOS_2019_US_dolares_MMCOP</f>
        <v>0</v>
      </c>
      <c r="I321" s="3076">
        <f>(INDEX(ST_CAPACIDAD_GENERACION_ENERGIAS_RENOVABLES_NO_CONVENCIONALES,EOLICA_EOLICA_COSTA_AFUERA,_2030))*COSTOS_OPERACION_MANTENIMIENTO_EOLICA_COSTA_AFUERA_RESTO_USD_KW_BAJO/UNIDAD_KW_A_MW*COSTOS_2019_US_dolares_MMCOP</f>
        <v>0</v>
      </c>
      <c r="J321" s="3076">
        <f>(INDEX(ST_CAPACIDAD_GENERACION_ENERGIAS_RENOVABLES_NO_CONVENCIONALES,EOLICA_EOLICA_COSTA_AFUERA,_2035))*COSTOS_OPERACION_MANTENIMIENTO_EOLICA_COSTA_AFUERA_RESTO_USD_KW_BAJO/UNIDAD_KW_A_MW*COSTOS_2019_US_dolares_MMCOP</f>
        <v>0</v>
      </c>
      <c r="K321" s="3076">
        <f>(INDEX(ST_CAPACIDAD_GENERACION_ENERGIAS_RENOVABLES_NO_CONVENCIONALES,EOLICA_EOLICA_COSTA_AFUERA,_2040))*COSTOS_OPERACION_MANTENIMIENTO_EOLICA_COSTA_AFUERA_RESTO_USD_KW_BAJO/UNIDAD_KW_A_MW*COSTOS_2019_US_dolares_MMCOP</f>
        <v>0</v>
      </c>
      <c r="L321" s="3076">
        <f>(INDEX(ST_CAPACIDAD_GENERACION_ENERGIAS_RENOVABLES_NO_CONVENCIONALES,EOLICA_EOLICA_COSTA_AFUERA,_2045))*COSTOS_OPERACION_MANTENIMIENTO_EOLICA_COSTA_AFUERA_RESTO_USD_KW_BAJO/UNIDAD_KW_A_MW*COSTOS_2019_US_dolares_MMCOP</f>
        <v>0</v>
      </c>
      <c r="M321" s="3076">
        <f>(INDEX(ST_CAPACIDAD_GENERACION_ENERGIAS_RENOVABLES_NO_CONVENCIONALES,EOLICA_EOLICA_COSTA_AFUERA,_2050))*COSTOS_OPERACION_MANTENIMIENTO_EOLICA_COSTA_AFUERA_RESTO_USD_KW_BAJO/UNIDAD_KW_A_MW*COSTOS_2019_US_dolares_MMCOP</f>
        <v>0</v>
      </c>
      <c r="N321" s="12"/>
    </row>
    <row r="322" spans="4:14" ht="15" customHeight="1">
      <c r="D322" s="12"/>
      <c r="E322" s="920" t="s">
        <v>549</v>
      </c>
      <c r="F322" s="12">
        <v>0</v>
      </c>
      <c r="G322" s="3076">
        <f>(INDEX(ST_CAPACIDAD_GENERACION_ENERGIAS_RENOVABLES_NO_CONVENCIONALES,HIDROGENO_VERDE,_2020))*COSTOS_OPERACION_MANTENIMIENTO_H2_USD_KW_BAJO/UNIDAD_KW_A_MW*COSTOS_2019_US_dolares_MMCOP</f>
        <v>0</v>
      </c>
      <c r="H322" s="3076">
        <f>(INDEX(ST_CAPACIDAD_GENERACION_ENERGIAS_RENOVABLES_NO_CONVENCIONALES,HIDROGENO_VERDE,_2025))*COSTOS_OPERACION_MANTENIMIENTO_H2_USD_KW_BAJO/UNIDAD_KW_A_MW*COSTOS_2019_US_dolares_MMCOP</f>
        <v>0</v>
      </c>
      <c r="I322" s="3076">
        <f>(INDEX(ST_CAPACIDAD_GENERACION_ENERGIAS_RENOVABLES_NO_CONVENCIONALES,HIDROGENO_VERDE,_2030))*COSTOS_OPERACION_MANTENIMIENTO_H2_USD_KW_BAJO/UNIDAD_KW_A_MW*COSTOS_2019_US_dolares_MMCOP</f>
        <v>0</v>
      </c>
      <c r="J322" s="3076">
        <f>(INDEX(ST_CAPACIDAD_GENERACION_ENERGIAS_RENOVABLES_NO_CONVENCIONALES,HIDROGENO_VERDE,_2035))*COSTOS_OPERACION_MANTENIMIENTO_H2_USD_KW_BAJO/UNIDAD_KW_A_MW*COSTOS_2019_US_dolares_MMCOP</f>
        <v>0</v>
      </c>
      <c r="K322" s="3076">
        <f>(INDEX(ST_CAPACIDAD_GENERACION_ENERGIAS_RENOVABLES_NO_CONVENCIONALES,HIDROGENO_VERDE,_2040))*COSTOS_OPERACION_MANTENIMIENTO_H2_USD_KW_BAJO/UNIDAD_KW_A_MW*COSTOS_2019_US_dolares_MMCOP</f>
        <v>0</v>
      </c>
      <c r="L322" s="3076">
        <f>(INDEX(ST_CAPACIDAD_GENERACION_ENERGIAS_RENOVABLES_NO_CONVENCIONALES,HIDROGENO_VERDE,_2045))*COSTOS_OPERACION_MANTENIMIENTO_H2_USD_KW_BAJO/UNIDAD_KW_A_MW*COSTOS_2019_US_dolares_MMCOP</f>
        <v>0</v>
      </c>
      <c r="M322" s="3076">
        <f>(INDEX(ST_CAPACIDAD_GENERACION_ENERGIAS_RENOVABLES_NO_CONVENCIONALES,HIDROGENO_VERDE,_2050))*COSTOS_OPERACION_MANTENIMIENTO_H2_USD_KW_BAJO/UNIDAD_KW_A_MW*COSTOS_2019_US_dolares_MMCOP</f>
        <v>0</v>
      </c>
      <c r="N322" s="12"/>
    </row>
    <row r="323" spans="4:14" ht="15" customHeight="1">
      <c r="D323" s="12"/>
      <c r="E323" s="920" t="s">
        <v>162</v>
      </c>
      <c r="F323" s="12">
        <v>0</v>
      </c>
      <c r="G323" s="3076">
        <f>(INDEX(ST_CAPACIDAD_GENERACION_ENERGIAS_RENOVABLES_NO_CONVENCIONALES,BIOMASA,_2020))*COSTOS_OPERACION_MANTENIMIENTO_BIOMASA_USD_KW_BAJO/UNIDAD_KW_A_MW*COSTOS_2019_US_dolares_MMCOP</f>
        <v>0</v>
      </c>
      <c r="H323" s="3076">
        <f>(INDEX(ST_CAPACIDAD_GENERACION_ENERGIAS_RENOVABLES_NO_CONVENCIONALES,BIOMASA,_2025))*COSTOS_OPERACION_MANTENIMIENTO_BIOMASA_USD_KW_BAJO/UNIDAD_KW_A_MW*COSTOS_2019_US_dolares_MMCOP</f>
        <v>0</v>
      </c>
      <c r="I323" s="3076">
        <f>(INDEX(ST_CAPACIDAD_GENERACION_ENERGIAS_RENOVABLES_NO_CONVENCIONALES,BIOMASA,_2030))*COSTOS_OPERACION_MANTENIMIENTO_BIOMASA_USD_KW_BAJO/UNIDAD_KW_A_MW*COSTOS_2019_US_dolares_MMCOP</f>
        <v>0</v>
      </c>
      <c r="J323" s="3076">
        <f>(INDEX(ST_CAPACIDAD_GENERACION_ENERGIAS_RENOVABLES_NO_CONVENCIONALES,BIOMASA,_2035))*COSTOS_OPERACION_MANTENIMIENTO_BIOMASA_USD_KW_BAJO/UNIDAD_KW_A_MW*COSTOS_2019_US_dolares_MMCOP</f>
        <v>0</v>
      </c>
      <c r="K323" s="3076">
        <f>(INDEX(ST_CAPACIDAD_GENERACION_ENERGIAS_RENOVABLES_NO_CONVENCIONALES,BIOMASA,_2040))*COSTOS_OPERACION_MANTENIMIENTO_BIOMASA_USD_KW_BAJO/UNIDAD_KW_A_MW*COSTOS_2019_US_dolares_MMCOP</f>
        <v>0</v>
      </c>
      <c r="L323" s="3076">
        <f>(INDEX(ST_CAPACIDAD_GENERACION_ENERGIAS_RENOVABLES_NO_CONVENCIONALES,BIOMASA,_2045))*COSTOS_OPERACION_MANTENIMIENTO_BIOMASA_USD_KW_BAJO/UNIDAD_KW_A_MW*COSTOS_2019_US_dolares_MMCOP</f>
        <v>0</v>
      </c>
      <c r="M323" s="3076">
        <f>(INDEX(ST_CAPACIDAD_GENERACION_ENERGIAS_RENOVABLES_NO_CONVENCIONALES,BIOMASA,_2050))*COSTOS_OPERACION_MANTENIMIENTO_BIOMASA_USD_KW_BAJO/UNIDAD_KW_A_MW*COSTOS_2019_US_dolares_MMCOP</f>
        <v>0</v>
      </c>
      <c r="N323" s="12"/>
    </row>
    <row r="324" spans="4:14" ht="15" customHeight="1">
      <c r="D324" s="12"/>
      <c r="E324" s="1019" t="s">
        <v>504</v>
      </c>
      <c r="F324" s="275">
        <v>0</v>
      </c>
      <c r="G324" s="2668">
        <f>(INDEX(ST_CAPACIDAD_GENERACION_ENERGIAS_RENOVABLES_NO_CONVENCIONALES,BAGAZO,_2020))*COSTOS_OPERACION_MANTENIMIENTO_BAGAZO_USD_KW_BAJO/UNIDAD_KW_A_MW*COSTOS_2019_US_dolares_MMCOP</f>
        <v>0</v>
      </c>
      <c r="H324" s="2668">
        <f>(INDEX(ST_CAPACIDAD_GENERACION_ENERGIAS_RENOVABLES_NO_CONVENCIONALES,BAGAZO,_2025))*COSTOS_OPERACION_MANTENIMIENTO_BAGAZO_USD_KW_BAJO/UNIDAD_KW_A_MW*COSTOS_2019_US_dolares_MMCOP</f>
        <v>0</v>
      </c>
      <c r="I324" s="2668">
        <f>(INDEX(ST_CAPACIDAD_GENERACION_ENERGIAS_RENOVABLES_NO_CONVENCIONALES,BAGAZO,_2030))*COSTOS_OPERACION_MANTENIMIENTO_BAGAZO_USD_KW_BAJO/UNIDAD_KW_A_MW*COSTOS_2019_US_dolares_MMCOP</f>
        <v>0</v>
      </c>
      <c r="J324" s="2668">
        <f>(INDEX(ST_CAPACIDAD_GENERACION_ENERGIAS_RENOVABLES_NO_CONVENCIONALES,BAGAZO,_2035))*COSTOS_OPERACION_MANTENIMIENTO_BAGAZO_USD_KW_BAJO/UNIDAD_KW_A_MW*COSTOS_2019_US_dolares_MMCOP</f>
        <v>0</v>
      </c>
      <c r="K324" s="2668">
        <f>(INDEX(ST_CAPACIDAD_GENERACION_ENERGIAS_RENOVABLES_NO_CONVENCIONALES,BAGAZO,_2040))*COSTOS_OPERACION_MANTENIMIENTO_BAGAZO_USD_KW_BAJO/UNIDAD_KW_A_MW*COSTOS_2019_US_dolares_MMCOP</f>
        <v>0</v>
      </c>
      <c r="L324" s="2668">
        <f>(INDEX(ST_CAPACIDAD_GENERACION_ENERGIAS_RENOVABLES_NO_CONVENCIONALES,BAGAZO,_2045))*COSTOS_OPERACION_MANTENIMIENTO_BAGAZO_USD_KW_BAJO/UNIDAD_KW_A_MW*COSTOS_2019_US_dolares_MMCOP</f>
        <v>0</v>
      </c>
      <c r="M324" s="2668">
        <f>(INDEX(ST_CAPACIDAD_GENERACION_ENERGIAS_RENOVABLES_NO_CONVENCIONALES,BAGAZO,_2050))*COSTOS_OPERACION_MANTENIMIENTO_BAGAZO_USD_KW_BAJO/UNIDAD_KW_A_MW*COSTOS_2019_US_dolares_MMCOP</f>
        <v>0</v>
      </c>
      <c r="N324" s="12"/>
    </row>
    <row r="325" spans="4:14" ht="15" customHeight="1">
      <c r="D325" s="12"/>
      <c r="E325" s="2677" t="s">
        <v>338</v>
      </c>
      <c r="F325" s="2679">
        <f t="shared" ref="F325:M325" si="16">SUM(F315:F324)</f>
        <v>0</v>
      </c>
      <c r="G325" s="3078">
        <f t="shared" si="16"/>
        <v>1040.9463692306172</v>
      </c>
      <c r="H325" s="3078">
        <f t="shared" si="16"/>
        <v>1361.6823560624596</v>
      </c>
      <c r="I325" s="3078">
        <f t="shared" si="16"/>
        <v>1361.6823560624596</v>
      </c>
      <c r="J325" s="3078">
        <f t="shared" si="16"/>
        <v>1538.5977181891144</v>
      </c>
      <c r="K325" s="3078">
        <f t="shared" si="16"/>
        <v>1670.9766678749843</v>
      </c>
      <c r="L325" s="3078">
        <f t="shared" si="16"/>
        <v>2104.9401268514011</v>
      </c>
      <c r="M325" s="3078">
        <f t="shared" si="16"/>
        <v>2322.1679138669069</v>
      </c>
      <c r="N325" s="12"/>
    </row>
    <row r="326" spans="4:14" ht="15" customHeight="1">
      <c r="D326" s="12"/>
      <c r="E326" s="12"/>
      <c r="F326" s="12"/>
      <c r="G326" s="12"/>
      <c r="H326" s="12"/>
      <c r="I326" s="12"/>
      <c r="J326" s="12"/>
      <c r="K326" s="12"/>
      <c r="L326" s="12"/>
      <c r="M326" s="12"/>
      <c r="N326" s="12"/>
    </row>
    <row r="327" spans="4:14" ht="15" customHeight="1">
      <c r="D327" s="12"/>
      <c r="E327" s="1027" t="s">
        <v>1742</v>
      </c>
      <c r="F327" s="1020"/>
      <c r="G327" s="1021"/>
      <c r="H327" s="1020"/>
      <c r="I327" s="1022"/>
      <c r="J327" s="1020"/>
      <c r="K327" s="1022"/>
      <c r="L327" s="1022"/>
      <c r="M327" s="1022"/>
      <c r="N327" s="12"/>
    </row>
    <row r="328" spans="4:14" ht="15" customHeight="1">
      <c r="D328" s="12"/>
      <c r="E328" s="12"/>
      <c r="F328" s="12"/>
      <c r="G328" s="12"/>
      <c r="H328" s="12"/>
      <c r="I328" s="12"/>
      <c r="J328" s="12"/>
      <c r="K328" s="12"/>
      <c r="L328" s="12"/>
      <c r="M328" s="12"/>
      <c r="N328" s="12"/>
    </row>
    <row r="329" spans="4:14" ht="15" customHeight="1">
      <c r="D329" s="12"/>
      <c r="E329" s="1019" t="s">
        <v>1735</v>
      </c>
      <c r="F329" s="12"/>
      <c r="G329" s="12"/>
      <c r="H329" s="12"/>
      <c r="I329" s="12"/>
      <c r="J329" s="12"/>
      <c r="K329" s="12"/>
      <c r="L329" s="12"/>
      <c r="M329" s="1874" t="s">
        <v>803</v>
      </c>
      <c r="N329" s="12"/>
    </row>
    <row r="330" spans="4:14" ht="15" customHeight="1">
      <c r="D330" s="12"/>
      <c r="E330" s="424" t="s">
        <v>859</v>
      </c>
      <c r="F330" s="424">
        <v>2018</v>
      </c>
      <c r="G330" s="3081">
        <v>2020</v>
      </c>
      <c r="H330" s="3081">
        <v>2025</v>
      </c>
      <c r="I330" s="3081">
        <v>2030</v>
      </c>
      <c r="J330" s="3081">
        <v>2035</v>
      </c>
      <c r="K330" s="3081">
        <v>2040</v>
      </c>
      <c r="L330" s="3081">
        <v>2045</v>
      </c>
      <c r="M330" s="3081">
        <v>2050</v>
      </c>
      <c r="N330" s="12"/>
    </row>
    <row r="331" spans="4:14" ht="15" customHeight="1">
      <c r="D331" s="12"/>
      <c r="E331" s="2653" t="s">
        <v>535</v>
      </c>
      <c r="F331" s="12">
        <v>0</v>
      </c>
      <c r="G331" s="3076">
        <f>(INDEX(ST_CAPACIDAD_GENERACION_COMBUSTIBLES_FOSILES,TERMOELECTRICA_GAS_NATURAL,_2020))*COSTOS_OPERACION_MANTENIMIENTO_ELECTRICIDAD_TERMOELECTRICA_GN_USD_KW_BAJO/UNIDAD_KW_A_MW*COSTOS_2019_US_dolares_MMCOP</f>
        <v>184.13304959403817</v>
      </c>
      <c r="H331" s="3076">
        <f>(INDEX(ST_CAPACIDAD_GENERACION_COMBUSTIBLES_FOSILES,TERMOELECTRICA_GAS_NATURAL,_2025))*COSTOS_OPERACION_MANTENIMIENTO_ELECTRICIDAD_TERMOELECTRICA_GN_USD_KW_BAJO/UNIDAD_KW_A_MW*COSTOS_2019_US_dolares_MMCOP</f>
        <v>276.19957439105724</v>
      </c>
      <c r="I331" s="3076">
        <f>(INDEX(ST_CAPACIDAD_GENERACION_COMBUSTIBLES_FOSILES,TERMOELECTRICA_GAS_NATURAL,_2025))*COSTOS_OPERACION_MANTENIMIENTO_ELECTRICIDAD_TERMOELECTRICA_GN_USD_KW_BAJO/UNIDAD_KW_A_MW*COSTOS_2019_US_dolares_MMCOP</f>
        <v>276.19957439105724</v>
      </c>
      <c r="J331" s="3076">
        <f>(INDEX(ST_CAPACIDAD_GENERACION_COMBUSTIBLES_FOSILES,TERMOELECTRICA_GAS_NATURAL,_2035))*COSTOS_OPERACION_MANTENIMIENTO_ELECTRICIDAD_TERMOELECTRICA_GN_USD_KW_BAJO/UNIDAD_KW_A_MW*COSTOS_2019_US_dolares_MMCOP</f>
        <v>276.19957439105724</v>
      </c>
      <c r="K331" s="3076">
        <f>(INDEX(ST_CAPACIDAD_GENERACION_COMBUSTIBLES_FOSILES,TERMOELECTRICA_GAS_NATURAL,_2040))*COSTOS_OPERACION_MANTENIMIENTO_ELECTRICIDAD_TERMOELECTRICA_GN_USD_KW_BAJO/UNIDAD_KW_A_MW*COSTOS_2019_US_dolares_MMCOP</f>
        <v>276.19957439105724</v>
      </c>
      <c r="L331" s="3076">
        <f>(INDEX(ST_CAPACIDAD_GENERACION_COMBUSTIBLES_FOSILES,TERMOELECTRICA_GAS_NATURAL,_2045))*COSTOS_OPERACION_MANTENIMIENTO_ELECTRICIDAD_TERMOELECTRICA_GN_USD_KW_BAJO/UNIDAD_KW_A_MW*COSTOS_2019_US_dolares_MMCOP</f>
        <v>276.19957439105724</v>
      </c>
      <c r="M331" s="3076">
        <f>(INDEX(ST_CAPACIDAD_GENERACION_COMBUSTIBLES_FOSILES,TERMOELECTRICA_GAS_NATURAL,_2050))*COSTOS_OPERACION_MANTENIMIENTO_ELECTRICIDAD_TERMOELECTRICA_GN_USD_KW_BAJO/UNIDAD_KW_A_MW*COSTOS_2019_US_dolares_MMCOP</f>
        <v>276.19957439105724</v>
      </c>
      <c r="N331" s="12"/>
    </row>
    <row r="332" spans="4:14" ht="15" customHeight="1">
      <c r="D332" s="12"/>
      <c r="E332" s="920" t="s">
        <v>536</v>
      </c>
      <c r="F332" s="12">
        <v>0</v>
      </c>
      <c r="G332" s="3076">
        <f>(INDEX(ST_CAPACIDAD_GENERACION_COMBUSTIBLES_FOSILES,Termoelectrica_carbon,_2020)*COSTOS_OPERACION_MANTENIMIENTO_ELECTRICIDAD_TERMOELECTRICA_CARBON_USD_KW_ABAJO/UNIDAD_KW_A_MW*COSTOS_2019_US_dolares_MMCOP)</f>
        <v>325.04199355954268</v>
      </c>
      <c r="H332" s="3076">
        <f>(INDEX(ST_CAPACIDAD_GENERACION_COMBUSTIBLES_FOSILES,Termoelectrica_carbon,_2025)*COSTOS_OPERACION_MANTENIMIENTO_ELECTRICIDAD_TERMOELECTRICA_CARBON_USD_KW_ABAJO/UNIDAD_KW_A_MW*COSTOS_2019_US_dolares_MMCOP)</f>
        <v>325.04199355954268</v>
      </c>
      <c r="I332" s="3076">
        <f>(INDEX(ST_CAPACIDAD_GENERACION_COMBUSTIBLES_FOSILES,Termoelectrica_carbon,_2025)*COSTOS_OPERACION_MANTENIMIENTO_ELECTRICIDAD_TERMOELECTRICA_CARBON_USD_KW_ABAJO/UNIDAD_KW_A_MW*COSTOS_2019_US_dolares_MMCOP)</f>
        <v>325.04199355954268</v>
      </c>
      <c r="J332" s="3076">
        <f>(INDEX(ST_CAPACIDAD_GENERACION_COMBUSTIBLES_FOSILES,Termoelectrica_carbon,_2035)*COSTOS_OPERACION_MANTENIMIENTO_ELECTRICIDAD_TERMOELECTRICA_CARBON_USD_KW_ABAJO/UNIDAD_KW_A_MW*COSTOS_2019_US_dolares_MMCOP)</f>
        <v>325.04199355954268</v>
      </c>
      <c r="K332" s="3076">
        <f>(INDEX(ST_CAPACIDAD_GENERACION_COMBUSTIBLES_FOSILES,Termoelectrica_carbon,_2040)*COSTOS_OPERACION_MANTENIMIENTO_ELECTRICIDAD_TERMOELECTRICA_CARBON_USD_KW_ABAJO/UNIDAD_KW_A_MW*COSTOS_2019_US_dolares_MMCOP)</f>
        <v>325.04199355954268</v>
      </c>
      <c r="L332" s="3076">
        <f>(INDEX(ST_CAPACIDAD_GENERACION_COMBUSTIBLES_FOSILES,Termoelectrica_carbon,_2045)*COSTOS_OPERACION_MANTENIMIENTO_ELECTRICIDAD_TERMOELECTRICA_CARBON_USD_KW_ABAJO/UNIDAD_KW_A_MW*COSTOS_2019_US_dolares_MMCOP)</f>
        <v>325.04199355954268</v>
      </c>
      <c r="M332" s="3076">
        <f>(INDEX(ST_CAPACIDAD_GENERACION_COMBUSTIBLES_FOSILES,Termoelectrica_carbon,_2050)*COSTOS_OPERACION_MANTENIMIENTO_ELECTRICIDAD_TERMOELECTRICA_CARBON_USD_KW_ABAJO/UNIDAD_KW_A_MW*COSTOS_2019_US_dolares_MMCOP)</f>
        <v>325.04199355954268</v>
      </c>
      <c r="N332" s="12"/>
    </row>
    <row r="333" spans="4:14" ht="15" customHeight="1">
      <c r="D333" s="12"/>
      <c r="E333" s="920" t="s">
        <v>526</v>
      </c>
      <c r="F333" s="12">
        <v>0</v>
      </c>
      <c r="G333" s="3076">
        <f>(INDEX(ST_CAPACIDAD_GENERACION_COMBUSTIBLES_FOSILES,DIESEL,_2020))*COSTOS_OPERACION_MANTENIMIENTO_ELECTRICIDAD_DIESEL_USD_KW_BAJO/UNIDAD_KW_A_MW*COSTOS_2019_US_dolares_MMCOP</f>
        <v>0</v>
      </c>
      <c r="H333" s="3076">
        <f>(INDEX(ST_CAPACIDAD_GENERACION_COMBUSTIBLES_FOSILES,DIESEL,_2025))*COSTOS_OPERACION_MANTENIMIENTO_ELECTRICIDAD_DIESEL_USD_KW_BAJO/UNIDAD_KW_A_MW*COSTOS_2019_US_dolares_MMCOP</f>
        <v>0</v>
      </c>
      <c r="I333" s="3076">
        <f>(INDEX(ST_CAPACIDAD_GENERACION_COMBUSTIBLES_FOSILES,DIESEL,_2025))*COSTOS_OPERACION_MANTENIMIENTO_ELECTRICIDAD_DIESEL_USD_KW_BAJO/UNIDAD_KW_A_MW*COSTOS_2019_US_dolares_MMCOP</f>
        <v>0</v>
      </c>
      <c r="J333" s="3076">
        <f>(INDEX(ST_CAPACIDAD_GENERACION_COMBUSTIBLES_FOSILES,DIESEL,_2035))*COSTOS_OPERACION_MANTENIMIENTO_ELECTRICIDAD_DIESEL_USD_KW_BAJO/UNIDAD_KW_A_MW*COSTOS_2019_US_dolares_MMCOP</f>
        <v>0</v>
      </c>
      <c r="K333" s="3076">
        <f>(INDEX(ST_CAPACIDAD_GENERACION_COMBUSTIBLES_FOSILES,DIESEL,_2040))*COSTOS_OPERACION_MANTENIMIENTO_ELECTRICIDAD_DIESEL_USD_KW_BAJO/UNIDAD_KW_A_MW*COSTOS_2019_US_dolares_MMCOP</f>
        <v>0</v>
      </c>
      <c r="L333" s="3076">
        <f>(INDEX(ST_CAPACIDAD_GENERACION_COMBUSTIBLES_FOSILES,DIESEL,_2045))*COSTOS_OPERACION_MANTENIMIENTO_ELECTRICIDAD_DIESEL_USD_KW_BAJO/UNIDAD_KW_A_MW*COSTOS_2019_US_dolares_MMCOP</f>
        <v>0</v>
      </c>
      <c r="M333" s="3076">
        <f>(INDEX(ST_CAPACIDAD_GENERACION_COMBUSTIBLES_FOSILES,DIESEL,_2050))*COSTOS_OPERACION_MANTENIMIENTO_ELECTRICIDAD_DIESEL_USD_KW_BAJO/UNIDAD_KW_A_MW*COSTOS_2019_US_dolares_MMCOP</f>
        <v>0</v>
      </c>
      <c r="N333" s="12"/>
    </row>
    <row r="334" spans="4:14" ht="15" customHeight="1">
      <c r="D334" s="12"/>
      <c r="E334" s="920" t="s">
        <v>537</v>
      </c>
      <c r="F334" s="12">
        <v>0</v>
      </c>
      <c r="G334" s="3076">
        <f>(INDEX(ST_CAPACIDAD_GENERACION_COMBUSTIBLES_FOSILES,FUEL_OIL,_2020))*COSTOS_OPERACION_MANTENIMIENTO_ELECTRICIDAD_FUEL_OIL_USD_KW_BAJO/UNIDAD_KW_A_MW*COSTOS_2019_US_dolares_MMCOP</f>
        <v>0</v>
      </c>
      <c r="H334" s="3076">
        <f>(INDEX(ST_CAPACIDAD_GENERACION_COMBUSTIBLES_FOSILES,FUEL_OIL,_2025))*COSTOS_OPERACION_MANTENIMIENTO_ELECTRICIDAD_FUEL_OIL_USD_KW_BAJO/UNIDAD_KW_A_MW*COSTOS_2019_US_dolares_MMCOP</f>
        <v>0</v>
      </c>
      <c r="I334" s="3076">
        <f>(INDEX(ST_CAPACIDAD_GENERACION_COMBUSTIBLES_FOSILES,FUEL_OIL,_2025))*COSTOS_OPERACION_MANTENIMIENTO_ELECTRICIDAD_FUEL_OIL_USD_KW_BAJO/UNIDAD_KW_A_MW*COSTOS_2019_US_dolares_MMCOP</f>
        <v>0</v>
      </c>
      <c r="J334" s="3076">
        <f>(INDEX(ST_CAPACIDAD_GENERACION_COMBUSTIBLES_FOSILES,FUEL_OIL,_2035))*COSTOS_OPERACION_MANTENIMIENTO_ELECTRICIDAD_FUEL_OIL_USD_KW_BAJO/UNIDAD_KW_A_MW*COSTOS_2019_US_dolares_MMCOP</f>
        <v>0</v>
      </c>
      <c r="K334" s="3076">
        <f>(INDEX(ST_CAPACIDAD_GENERACION_COMBUSTIBLES_FOSILES,FUEL_OIL,_2040))*COSTOS_OPERACION_MANTENIMIENTO_ELECTRICIDAD_FUEL_OIL_USD_KW_BAJO/UNIDAD_KW_A_MW*COSTOS_2019_US_dolares_MMCOP</f>
        <v>0</v>
      </c>
      <c r="L334" s="3076">
        <f>(INDEX(ST_CAPACIDAD_GENERACION_COMBUSTIBLES_FOSILES,FUEL_OIL,_2045))*COSTOS_OPERACION_MANTENIMIENTO_ELECTRICIDAD_FUEL_OIL_USD_KW_BAJO/UNIDAD_KW_A_MW*COSTOS_2019_US_dolares_MMCOP</f>
        <v>0</v>
      </c>
      <c r="M334" s="3076">
        <f>(INDEX(ST_CAPACIDAD_GENERACION_COMBUSTIBLES_FOSILES,FUEL_OIL,_2050))*COSTOS_OPERACION_MANTENIMIENTO_ELECTRICIDAD_FUEL_OIL_USD_KW_BAJO/UNIDAD_KW_A_MW*COSTOS_2019_US_dolares_MMCOP</f>
        <v>0</v>
      </c>
      <c r="N334" s="12"/>
    </row>
    <row r="335" spans="4:14" ht="15" customHeight="1">
      <c r="D335" s="12"/>
      <c r="E335" s="920" t="s">
        <v>525</v>
      </c>
      <c r="F335" s="12">
        <v>0</v>
      </c>
      <c r="G335" s="3076">
        <f>(INDEX(ST_CAPACIDAD_GENERACION_COMBUSTIBLES_FOSILES,PETROLEO,_2020))*COSTOS_OPERACION_MANTENIMIENTO_ELECTRICIDAD_PETROLEO_USD_KW_BAJO/UNIDAD_KW_A_MW*COSTOS_2019_US_dolares_MMCOP</f>
        <v>0</v>
      </c>
      <c r="H335" s="3076">
        <f>(INDEX(ST_CAPACIDAD_GENERACION_COMBUSTIBLES_FOSILES,PETROLEO,_2025))*COSTOS_OPERACION_MANTENIMIENTO_ELECTRICIDAD_PETROLEO_USD_KW_BAJO/UNIDAD_KW_A_MW*COSTOS_2019_US_dolares_MMCOP</f>
        <v>0</v>
      </c>
      <c r="I335" s="3076">
        <f>(INDEX(ST_CAPACIDAD_GENERACION_COMBUSTIBLES_FOSILES,PETROLEO,_2025))*COSTOS_OPERACION_MANTENIMIENTO_ELECTRICIDAD_PETROLEO_USD_KW_BAJO/UNIDAD_KW_A_MW*COSTOS_2019_US_dolares_MMCOP</f>
        <v>0</v>
      </c>
      <c r="J335" s="3076">
        <f>(INDEX(ST_CAPACIDAD_GENERACION_COMBUSTIBLES_FOSILES,PETROLEO,_2035))*COSTOS_OPERACION_MANTENIMIENTO_ELECTRICIDAD_PETROLEO_USD_KW_BAJO/UNIDAD_KW_A_MW*COSTOS_2019_US_dolares_MMCOP</f>
        <v>0</v>
      </c>
      <c r="K335" s="3076">
        <f>(INDEX(ST_CAPACIDAD_GENERACION_COMBUSTIBLES_FOSILES,PETROLEO,_2040))*COSTOS_OPERACION_MANTENIMIENTO_ELECTRICIDAD_PETROLEO_USD_KW_BAJO/UNIDAD_KW_A_MW*COSTOS_2019_US_dolares_MMCOP</f>
        <v>0</v>
      </c>
      <c r="L335" s="3076">
        <f>(INDEX(ST_CAPACIDAD_GENERACION_COMBUSTIBLES_FOSILES,PETROLEO,_2045))*COSTOS_OPERACION_MANTENIMIENTO_ELECTRICIDAD_PETROLEO_USD_KW_BAJO/UNIDAD_KW_A_MW*COSTOS_2019_US_dolares_MMCOP</f>
        <v>0</v>
      </c>
      <c r="M335" s="3076">
        <f>(INDEX(ST_CAPACIDAD_GENERACION_COMBUSTIBLES_FOSILES,PETROLEO,_2050))*COSTOS_OPERACION_MANTENIMIENTO_ELECTRICIDAD_PETROLEO_USD_KW_BAJO/UNIDAD_KW_A_MW*COSTOS_2019_US_dolares_MMCOP</f>
        <v>0</v>
      </c>
      <c r="N335" s="12"/>
    </row>
    <row r="336" spans="4:14" ht="15" customHeight="1">
      <c r="D336" s="12"/>
      <c r="E336" s="920" t="s">
        <v>498</v>
      </c>
      <c r="F336" s="12">
        <v>0</v>
      </c>
      <c r="G336" s="3076">
        <f>(INDEX(ST_CAPACIDAD_GENERACION_COMBUSTIBLES_FOSILES,GLP,_2020))*COSTOS_OPERACION_MANTENIMIENTO_ELECTRICIDAD_GLP_USD_KW_BAJO/UNIDAD_KW_A_MW*COSTOS_2019_US_dolares_MMCOP</f>
        <v>0</v>
      </c>
      <c r="H336" s="3076">
        <f>(INDEX(ST_CAPACIDAD_GENERACION_COMBUSTIBLES_FOSILES,GLP,_2025))*COSTOS_OPERACION_MANTENIMIENTO_ELECTRICIDAD_GLP_USD_KW_BAJO/UNIDAD_KW_A_MW*COSTOS_2019_US_dolares_MMCOP</f>
        <v>0</v>
      </c>
      <c r="I336" s="3076">
        <f>(INDEX(ST_CAPACIDAD_GENERACION_COMBUSTIBLES_FOSILES,GLP,_2025))*COSTOS_OPERACION_MANTENIMIENTO_ELECTRICIDAD_GLP_USD_KW_BAJO/UNIDAD_KW_A_MW*COSTOS_2019_US_dolares_MMCOP</f>
        <v>0</v>
      </c>
      <c r="J336" s="3076">
        <f>(INDEX(ST_CAPACIDAD_GENERACION_COMBUSTIBLES_FOSILES,GLP,_2035))*COSTOS_OPERACION_MANTENIMIENTO_ELECTRICIDAD_GLP_USD_KW_BAJO/UNIDAD_KW_A_MW*COSTOS_2019_US_dolares_MMCOP</f>
        <v>0</v>
      </c>
      <c r="K336" s="3076">
        <f>(INDEX(ST_CAPACIDAD_GENERACION_COMBUSTIBLES_FOSILES,GLP,_2040))*COSTOS_OPERACION_MANTENIMIENTO_ELECTRICIDAD_GLP_USD_KW_BAJO/UNIDAD_KW_A_MW*COSTOS_2019_US_dolares_MMCOP</f>
        <v>0</v>
      </c>
      <c r="L336" s="3076">
        <f>(INDEX(ST_CAPACIDAD_GENERACION_COMBUSTIBLES_FOSILES,GLP,_2045))*COSTOS_OPERACION_MANTENIMIENTO_ELECTRICIDAD_GLP_USD_KW_BAJO/UNIDAD_KW_A_MW*COSTOS_2019_US_dolares_MMCOP</f>
        <v>0</v>
      </c>
      <c r="M336" s="3076">
        <f>(INDEX(ST_CAPACIDAD_GENERACION_COMBUSTIBLES_FOSILES,GLP,_2050))*COSTOS_OPERACION_MANTENIMIENTO_ELECTRICIDAD_GLP_USD_KW_BAJO/UNIDAD_KW_A_MW*COSTOS_2019_US_dolares_MMCOP</f>
        <v>0</v>
      </c>
      <c r="N336" s="12"/>
    </row>
    <row r="337" spans="4:14" ht="15" customHeight="1">
      <c r="D337" s="12"/>
      <c r="E337" s="920" t="s">
        <v>538</v>
      </c>
      <c r="F337" s="12">
        <v>0</v>
      </c>
      <c r="G337" s="3076">
        <f>(INDEX(ST_CAPACIDAD_GENERACION_COMBUSTIBLES_FOSILES,TERMOELECTRICA_GAS_NATURAL_CCUS,_2020))*COSTOS_OPERACION_MANTENIMIENTO_ELECTRICIDAD_TERMOELECTRICA_GN_CCUS_USD_KW_BAJO/UNIDAD_KW_A_MW*COSTOS_2019_US_dolares_MMCOP</f>
        <v>0</v>
      </c>
      <c r="H337" s="3076">
        <f>(INDEX(ST_CAPACIDAD_GENERACION_COMBUSTIBLES_FOSILES,TERMOELECTRICA_GAS_NATURAL_CCUS,_2025))*COSTOS_OPERACION_MANTENIMIENTO_ELECTRICIDAD_TERMOELECTRICA_GN_CCUS_USD_KW_BAJO/UNIDAD_KW_A_MW*COSTOS_2019_US_dolares_MMCOP</f>
        <v>0</v>
      </c>
      <c r="I337" s="3076">
        <f>(INDEX(ST_CAPACIDAD_GENERACION_COMBUSTIBLES_FOSILES,TERMOELECTRICA_GAS_NATURAL_CCUS,_2025))*COSTOS_OPERACION_MANTENIMIENTO_ELECTRICIDAD_TERMOELECTRICA_GN_CCUS_USD_KW_BAJO/UNIDAD_KW_A_MW*COSTOS_2019_US_dolares_MMCOP</f>
        <v>0</v>
      </c>
      <c r="J337" s="3076">
        <f>(INDEX(ST_CAPACIDAD_GENERACION_COMBUSTIBLES_FOSILES,TERMOELECTRICA_GAS_NATURAL_CCUS,_2035))*COSTOS_OPERACION_MANTENIMIENTO_ELECTRICIDAD_TERMOELECTRICA_GN_CCUS_USD_KW_BAJO/UNIDAD_KW_A_MW*COSTOS_2019_US_dolares_MMCOP</f>
        <v>0</v>
      </c>
      <c r="K337" s="3076">
        <f>(INDEX(ST_CAPACIDAD_GENERACION_COMBUSTIBLES_FOSILES,TERMOELECTRICA_GAS_NATURAL_CCUS,_2040))*COSTOS_OPERACION_MANTENIMIENTO_ELECTRICIDAD_TERMOELECTRICA_GN_CCUS_USD_KW_BAJO/UNIDAD_KW_A_MW*COSTOS_2019_US_dolares_MMCOP</f>
        <v>0</v>
      </c>
      <c r="L337" s="3076">
        <f>(INDEX(ST_CAPACIDAD_GENERACION_COMBUSTIBLES_FOSILES,TERMOELECTRICA_GAS_NATURAL_CCUS,_2045))*COSTOS_OPERACION_MANTENIMIENTO_ELECTRICIDAD_TERMOELECTRICA_GN_CCUS_USD_KW_BAJO/UNIDAD_KW_A_MW*COSTOS_2019_US_dolares_MMCOP</f>
        <v>0</v>
      </c>
      <c r="M337" s="3076">
        <f>(INDEX(ST_CAPACIDAD_GENERACION_COMBUSTIBLES_FOSILES,TERMOELECTRICA_GAS_NATURAL_CCUS,_2050))*COSTOS_OPERACION_MANTENIMIENTO_ELECTRICIDAD_TERMOELECTRICA_GN_CCUS_USD_KW_BAJO/UNIDAD_KW_A_MW*COSTOS_2019_US_dolares_MMCOP</f>
        <v>0</v>
      </c>
      <c r="N337" s="12"/>
    </row>
    <row r="338" spans="4:14" ht="15" customHeight="1">
      <c r="D338" s="12"/>
      <c r="E338" s="1019" t="s">
        <v>539</v>
      </c>
      <c r="F338" s="1174">
        <v>0</v>
      </c>
      <c r="G338" s="3077">
        <f>(INDEX(ST_CAPACIDAD_GENERACION_COMBUSTIBLES_FOSILES,TERMOELECTRICA_CARBON_CCUS,_2020))*COSTOS_OPERACION_MANTENIMIENTO_ELECTRICIDAD_TERMOELECTRICA_CARBON_CCUS_USD_KW_BAJO/UNIDAD_KW_A_MW*COSTOS_2019_US_dolares_MMCOP</f>
        <v>0</v>
      </c>
      <c r="H338" s="3077">
        <f>(INDEX(ST_CAPACIDAD_GENERACION_COMBUSTIBLES_FOSILES,TERMOELECTRICA_CARBON_CCUS,_2025))*COSTOS_OPERACION_MANTENIMIENTO_ELECTRICIDAD_TERMOELECTRICA_CARBON_CCUS_USD_KW_BAJO/UNIDAD_KW_A_MW*COSTOS_2019_US_dolares_MMCOP</f>
        <v>0</v>
      </c>
      <c r="I338" s="3077">
        <f>(INDEX(ST_CAPACIDAD_GENERACION_COMBUSTIBLES_FOSILES,TERMOELECTRICA_CARBON_CCUS,_2025))*COSTOS_OPERACION_MANTENIMIENTO_ELECTRICIDAD_TERMOELECTRICA_CARBON_CCUS_USD_KW_BAJO/UNIDAD_KW_A_MW*COSTOS_2019_US_dolares_MMCOP</f>
        <v>0</v>
      </c>
      <c r="J338" s="3077">
        <f>(INDEX(ST_CAPACIDAD_GENERACION_COMBUSTIBLES_FOSILES,TERMOELECTRICA_CARBON_CCUS,_2035))*COSTOS_OPERACION_MANTENIMIENTO_ELECTRICIDAD_TERMOELECTRICA_CARBON_CCUS_USD_KW_BAJO/UNIDAD_KW_A_MW*COSTOS_2019_US_dolares_MMCOP</f>
        <v>0</v>
      </c>
      <c r="K338" s="3077">
        <f>(INDEX(ST_CAPACIDAD_GENERACION_COMBUSTIBLES_FOSILES,TERMOELECTRICA_CARBON_CCUS,_2040))*COSTOS_OPERACION_MANTENIMIENTO_ELECTRICIDAD_TERMOELECTRICA_CARBON_CCUS_USD_KW_BAJO/UNIDAD_KW_A_MW*COSTOS_2019_US_dolares_MMCOP</f>
        <v>0</v>
      </c>
      <c r="L338" s="3077">
        <f>(INDEX(ST_CAPACIDAD_GENERACION_COMBUSTIBLES_FOSILES,TERMOELECTRICA_CARBON_CCUS,_2045))*COSTOS_OPERACION_MANTENIMIENTO_ELECTRICIDAD_TERMOELECTRICA_CARBON_CCUS_USD_KW_BAJO/UNIDAD_KW_A_MW*COSTOS_2019_US_dolares_MMCOP</f>
        <v>0</v>
      </c>
      <c r="M338" s="3077">
        <f>(INDEX(ST_CAPACIDAD_GENERACION_COMBUSTIBLES_FOSILES,TERMOELECTRICA_CARBON_CCUS,_2050))*COSTOS_OPERACION_MANTENIMIENTO_ELECTRICIDAD_TERMOELECTRICA_CARBON_CCUS_USD_KW_BAJO/UNIDAD_KW_A_MW*COSTOS_2019_US_dolares_MMCOP</f>
        <v>0</v>
      </c>
      <c r="N338" s="12"/>
    </row>
    <row r="339" spans="4:14" ht="15" customHeight="1">
      <c r="D339" s="12"/>
      <c r="E339" s="2677" t="s">
        <v>338</v>
      </c>
      <c r="F339" s="2678">
        <f t="shared" ref="F339:M339" si="17">SUM(F331:F338)</f>
        <v>0</v>
      </c>
      <c r="G339" s="3078">
        <f t="shared" si="17"/>
        <v>509.17504315358087</v>
      </c>
      <c r="H339" s="3078">
        <f t="shared" si="17"/>
        <v>601.24156795059992</v>
      </c>
      <c r="I339" s="3078">
        <f t="shared" si="17"/>
        <v>601.24156795059992</v>
      </c>
      <c r="J339" s="3078">
        <f t="shared" si="17"/>
        <v>601.24156795059992</v>
      </c>
      <c r="K339" s="3078">
        <f t="shared" si="17"/>
        <v>601.24156795059992</v>
      </c>
      <c r="L339" s="3078">
        <f t="shared" si="17"/>
        <v>601.24156795059992</v>
      </c>
      <c r="M339" s="3078">
        <f t="shared" si="17"/>
        <v>601.24156795059992</v>
      </c>
      <c r="N339" s="12"/>
    </row>
    <row r="340" spans="4:14" ht="15" customHeight="1">
      <c r="D340" s="12"/>
      <c r="E340" s="920"/>
      <c r="F340" s="12"/>
      <c r="G340" s="12"/>
      <c r="H340" s="12"/>
      <c r="I340" s="12"/>
      <c r="J340" s="12"/>
      <c r="K340" s="12"/>
      <c r="L340" s="12"/>
      <c r="M340" s="12"/>
      <c r="N340" s="12"/>
    </row>
    <row r="341" spans="4:14" ht="15" customHeight="1">
      <c r="D341" s="12"/>
      <c r="E341" s="1019" t="s">
        <v>1737</v>
      </c>
      <c r="F341" s="12"/>
      <c r="G341" s="12"/>
      <c r="H341" s="12"/>
      <c r="I341" s="12"/>
      <c r="J341" s="12"/>
      <c r="K341" s="12"/>
      <c r="L341" s="12"/>
      <c r="M341" s="1874" t="s">
        <v>803</v>
      </c>
      <c r="N341" s="12"/>
    </row>
    <row r="342" spans="4:14" ht="15" customHeight="1">
      <c r="D342" s="12"/>
      <c r="E342" s="424" t="s">
        <v>859</v>
      </c>
      <c r="F342" s="424">
        <v>2018</v>
      </c>
      <c r="G342" s="424">
        <v>2020</v>
      </c>
      <c r="H342" s="424">
        <v>2025</v>
      </c>
      <c r="I342" s="424">
        <v>2030</v>
      </c>
      <c r="J342" s="424">
        <v>2035</v>
      </c>
      <c r="K342" s="424">
        <v>2040</v>
      </c>
      <c r="L342" s="424">
        <v>2045</v>
      </c>
      <c r="M342" s="424">
        <v>2050</v>
      </c>
      <c r="N342" s="12"/>
    </row>
    <row r="343" spans="4:14" ht="15" customHeight="1">
      <c r="D343" s="12"/>
      <c r="E343" s="2653" t="s">
        <v>542</v>
      </c>
      <c r="F343" s="3082">
        <v>0</v>
      </c>
      <c r="G343" s="3076">
        <f>(INDEX(ST_CAPACIDAD_GENERACION_ENERGIAS_RENOVABLES_NO_CONVENCIONALES,HIDRO_GRANDES_CENTRALES_HIDROELECTRICAS,_2020))*COSTOS_OPERACION_MANTENIMIENTO_GRANDES_CENTRALES_HIDROELECTRICAS_USD_KW_BAJO/UNIDAD_KW_A_MW*COSTOS_2019_US_dolares_MMCOP</f>
        <v>513.35802111763257</v>
      </c>
      <c r="H343" s="3076">
        <f>(INDEX(ST_CAPACIDAD_GENERACION_ENERGIAS_RENOVABLES_NO_CONVENCIONALES,HIDRO_GRANDES_CENTRALES_HIDROELECTRICAS,_2025))*COSTOS_OPERACION_MANTENIMIENTO_GRANDES_CENTRALES_HIDROELECTRICAS_USD_KW_BAJO/UNIDAD_KW_A_MW*COSTOS_2019_US_dolares_MMCOP</f>
        <v>653.36475414971403</v>
      </c>
      <c r="I343" s="3076">
        <f>(INDEX(ST_CAPACIDAD_GENERACION_ENERGIAS_RENOVABLES_NO_CONVENCIONALES,HIDRO_GRANDES_CENTRALES_HIDROELECTRICAS,_2030))*COSTOS_OPERACION_MANTENIMIENTO_GRANDES_CENTRALES_HIDROELECTRICAS_USD_KW_BAJO/UNIDAD_KW_A_MW*COSTOS_2019_US_dolares_MMCOP</f>
        <v>653.36475414971403</v>
      </c>
      <c r="J343" s="3076">
        <f>(INDEX(ST_CAPACIDAD_GENERACION_ENERGIAS_RENOVABLES_NO_CONVENCIONALES,HIDRO_GRANDES_CENTRALES_HIDROELECTRICAS,_2035))*COSTOS_OPERACION_MANTENIMIENTO_GRANDES_CENTRALES_HIDROELECTRICAS_USD_KW_BAJO/UNIDAD_KW_A_MW*COSTOS_2019_US_dolares_MMCOP</f>
        <v>653.36475414971403</v>
      </c>
      <c r="K343" s="3076">
        <f>(INDEX(ST_CAPACIDAD_GENERACION_ENERGIAS_RENOVABLES_NO_CONVENCIONALES,HIDRO_GRANDES_CENTRALES_HIDROELECTRICAS,_2040))*COSTOS_OPERACION_MANTENIMIENTO_GRANDES_CENTRALES_HIDROELECTRICAS_USD_KW_BAJO/UNIDAD_KW_A_MW*COSTOS_2019_US_dolares_MMCOP</f>
        <v>653.36475414971403</v>
      </c>
      <c r="L343" s="3076">
        <f>(INDEX(ST_CAPACIDAD_GENERACION_ENERGIAS_RENOVABLES_NO_CONVENCIONALES,HIDRO_GRANDES_CENTRALES_HIDROELECTRICAS,_2045))*COSTOS_OPERACION_MANTENIMIENTO_GRANDES_CENTRALES_HIDROELECTRICAS_USD_KW_BAJO/UNIDAD_KW_A_MW*COSTOS_2019_US_dolares_MMCOP</f>
        <v>653.36475414971403</v>
      </c>
      <c r="M343" s="3076">
        <f>(INDEX(ST_CAPACIDAD_GENERACION_ENERGIAS_RENOVABLES_NO_CONVENCIONALES,HIDRO_GRANDES_CENTRALES_HIDROELECTRICAS,_2050))*COSTOS_OPERACION_MANTENIMIENTO_GRANDES_CENTRALES_HIDROELECTRICAS_USD_KW_BAJO/UNIDAD_KW_A_MW*COSTOS_2019_US_dolares_MMCOP</f>
        <v>700.03366516040796</v>
      </c>
      <c r="N343" s="12"/>
    </row>
    <row r="344" spans="4:14" ht="15" customHeight="1">
      <c r="D344" s="12"/>
      <c r="E344" s="920" t="s">
        <v>543</v>
      </c>
      <c r="F344" s="3082">
        <v>0</v>
      </c>
      <c r="G344" s="3076">
        <f>(INDEX(ST_CAPACIDAD_GENERACION_ENERGIAS_RENOVABLES_NO_CONVENCIONALES,HIDRO_PEQUEÑAS_CENTRALES_HIDROELECTRICAS,_2020))*COSTOS_OPERACION_MANTENIMIENTO_PEQUEÑAS_CENTRALES_HIDROELECTRICAS_USD_KW_BAJO/UNIDAD_KW_A_MW*COSTOS_2019_US_dolares_MMCOP</f>
        <v>58.725729848254495</v>
      </c>
      <c r="H344" s="3076">
        <f>(INDEX(ST_CAPACIDAD_GENERACION_ENERGIAS_RENOVABLES_NO_CONVENCIONALES,HIDRO_PEQUEÑAS_CENTRALES_HIDROELECTRICAS,_2025))*COSTOS_OPERACION_MANTENIMIENTO_PEQUEÑAS_CENTRALES_HIDROELECTRICAS_USD_KW_BAJO/UNIDAD_KW_A_MW*COSTOS_2019_US_dolares_MMCOP</f>
        <v>58.725729848254495</v>
      </c>
      <c r="I344" s="3076">
        <f>(INDEX(ST_CAPACIDAD_GENERACION_ENERGIAS_RENOVABLES_NO_CONVENCIONALES,HIDRO_PEQUEÑAS_CENTRALES_HIDROELECTRICAS,_2030))*COSTOS_OPERACION_MANTENIMIENTO_PEQUEÑAS_CENTRALES_HIDROELECTRICAS_USD_KW_BAJO/UNIDAD_KW_A_MW*COSTOS_2019_US_dolares_MMCOP</f>
        <v>58.725729848254495</v>
      </c>
      <c r="J344" s="3076">
        <f>(INDEX(ST_CAPACIDAD_GENERACION_ENERGIAS_RENOVABLES_NO_CONVENCIONALES,HIDRO_PEQUEÑAS_CENTRALES_HIDROELECTRICAS,_2035))*COSTOS_OPERACION_MANTENIMIENTO_PEQUEÑAS_CENTRALES_HIDROELECTRICAS_USD_KW_BAJO/UNIDAD_KW_A_MW*COSTOS_2019_US_dolares_MMCOP</f>
        <v>58.725729848254495</v>
      </c>
      <c r="K344" s="3076">
        <f>(INDEX(ST_CAPACIDAD_GENERACION_ENERGIAS_RENOVABLES_NO_CONVENCIONALES,HIDRO_PEQUEÑAS_CENTRALES_HIDROELECTRICAS,_2040))*COSTOS_OPERACION_MANTENIMIENTO_PEQUEÑAS_CENTRALES_HIDROELECTRICAS_USD_KW_BAJO/UNIDAD_KW_A_MW*COSTOS_2019_US_dolares_MMCOP</f>
        <v>58.725729848254495</v>
      </c>
      <c r="L344" s="3076">
        <f>(INDEX(ST_CAPACIDAD_GENERACION_ENERGIAS_RENOVABLES_NO_CONVENCIONALES,HIDRO_PEQUEÑAS_CENTRALES_HIDROELECTRICAS,_2045))*COSTOS_OPERACION_MANTENIMIENTO_PEQUEÑAS_CENTRALES_HIDROELECTRICAS_USD_KW_BAJO/UNIDAD_KW_A_MW*COSTOS_2019_US_dolares_MMCOP</f>
        <v>58.725729848254495</v>
      </c>
      <c r="M344" s="3076">
        <f>(INDEX(ST_CAPACIDAD_GENERACION_ENERGIAS_RENOVABLES_NO_CONVENCIONALES,HIDRO_PEQUEÑAS_CENTRALES_HIDROELECTRICAS,_2050))*COSTOS_OPERACION_MANTENIMIENTO_PEQUEÑAS_CENTRALES_HIDROELECTRICAS_USD_KW_BAJO/UNIDAD_KW_A_MW*COSTOS_2019_US_dolares_MMCOP</f>
        <v>58.725729848254495</v>
      </c>
      <c r="N344" s="12"/>
    </row>
    <row r="345" spans="4:14" ht="15" customHeight="1">
      <c r="D345" s="12"/>
      <c r="E345" s="920" t="s">
        <v>1727</v>
      </c>
      <c r="F345" s="3082">
        <v>0</v>
      </c>
      <c r="G345" s="3076">
        <f>(INDEX(ST_CAPACIDAD_GENERACION_ENERGIAS_RENOVABLES_NO_CONVENCIONALES,SOLAR_DISTRIBUIDA_TERCIARIO,_2020))*COSTOS_OPERACION_MANTENIMIENTO_SOLAR_TERMICA_USD_KW_BAJO/UNIDAD_KW_A_MW*COSTOS_2019_US_dolares_MMCOP</f>
        <v>0</v>
      </c>
      <c r="H345" s="3076">
        <f>(INDEX(ST_CAPACIDAD_GENERACION_ENERGIAS_RENOVABLES_NO_CONVENCIONALES,SOLAR_DISTRIBUIDA_TERCIARIO,_2025))*COSTOS_OPERACION_MANTENIMIENTO_SOLAR_TERMICA_USD_KW_BAJO/UNIDAD_KW_A_MW*COSTOS_2019_US_dolares_MMCOP</f>
        <v>0</v>
      </c>
      <c r="I345" s="3076">
        <f>(INDEX(ST_CAPACIDAD_GENERACION_ENERGIAS_RENOVABLES_NO_CONVENCIONALES,SOLAR_DISTRIBUIDA_TERCIARIO,_2030))*COSTOS_OPERACION_MANTENIMIENTO_SOLAR_TERMICA_USD_KW_BAJO/UNIDAD_KW_A_MW*COSTOS_2019_US_dolares_MMCOP</f>
        <v>0</v>
      </c>
      <c r="J345" s="3076">
        <f>(INDEX(ST_CAPACIDAD_GENERACION_ENERGIAS_RENOVABLES_NO_CONVENCIONALES,SOLAR_DISTRIBUIDA_TERCIARIO,_2035))*COSTOS_OPERACION_MANTENIMIENTO_SOLAR_TERMICA_USD_KW_BAJO/UNIDAD_KW_A_MW*COSTOS_2019_US_dolares_MMCOP</f>
        <v>110.72588728372006</v>
      </c>
      <c r="K345" s="3076">
        <f>(INDEX(ST_CAPACIDAD_GENERACION_ENERGIAS_RENOVABLES_NO_CONVENCIONALES,SOLAR_DISTRIBUIDA_TERCIARIO,_2040))*COSTOS_OPERACION_MANTENIMIENTO_SOLAR_TERMICA_USD_KW_BAJO/UNIDAD_KW_A_MW*COSTOS_2019_US_dolares_MMCOP</f>
        <v>110.72588728372006</v>
      </c>
      <c r="L345" s="3076">
        <f>(INDEX(ST_CAPACIDAD_GENERACION_ENERGIAS_RENOVABLES_NO_CONVENCIONALES,SOLAR_DISTRIBUIDA_TERCIARIO,_2045))*COSTOS_OPERACION_MANTENIMIENTO_SOLAR_TERMICA_USD_KW_BAJO/UNIDAD_KW_A_MW*COSTOS_2019_US_dolares_MMCOP</f>
        <v>110.72588728372006</v>
      </c>
      <c r="M345" s="3076">
        <f>(INDEX(ST_CAPACIDAD_GENERACION_ENERGIAS_RENOVABLES_NO_CONVENCIONALES,SOLAR_DISTRIBUIDA_TERCIARIO,_2050))*COSTOS_OPERACION_MANTENIMIENTO_SOLAR_TERMICA_USD_KW_BAJO/UNIDAD_KW_A_MW*COSTOS_2019_US_dolares_MMCOP</f>
        <v>110.72588728372006</v>
      </c>
      <c r="N345" s="12"/>
    </row>
    <row r="346" spans="4:14" ht="15" customHeight="1">
      <c r="D346" s="12"/>
      <c r="E346" s="920" t="s">
        <v>545</v>
      </c>
      <c r="F346" s="3082">
        <v>0</v>
      </c>
      <c r="G346" s="3076">
        <f>(INDEX(ST_CAPACIDAD_GENERACION_ENERGIAS_RENOVABLES_NO_CONVENCIONALES,SOLAR_SOLAR_FOTOVOLTAICA,_2020))*COSTOS_OPERACION_MANTENIMIENTO_SOLAR_FOTOVOLTAICA_USD_KW_BAJO/UNIDAD_KW_A_MW*COSTOS_2019_US_dolares_MMCOP</f>
        <v>0</v>
      </c>
      <c r="H346" s="3076">
        <f>(INDEX(ST_CAPACIDAD_GENERACION_ENERGIAS_RENOVABLES_NO_CONVENCIONALES,SOLAR_SOLAR_FOTOVOLTAICA,_2025))*COSTOS_OPERACION_MANTENIMIENTO_SOLAR_FOTOVOLTAICA_USD_KW_BAJO/UNIDAD_KW_A_MW*COSTOS_2019_US_dolares_MMCOP</f>
        <v>66.189474842934885</v>
      </c>
      <c r="I346" s="3076">
        <f>(INDEX(ST_CAPACIDAD_GENERACION_ENERGIAS_RENOVABLES_NO_CONVENCIONALES,SOLAR_SOLAR_FOTOVOLTAICA,_2030))*COSTOS_OPERACION_MANTENIMIENTO_SOLAR_FOTOVOLTAICA_USD_KW_BAJO/UNIDAD_KW_A_MW*COSTOS_2019_US_dolares_MMCOP</f>
        <v>66.189474842934885</v>
      </c>
      <c r="J346" s="3076">
        <f>(INDEX(ST_CAPACIDAD_GENERACION_ENERGIAS_RENOVABLES_NO_CONVENCIONALES,SOLAR_SOLAR_FOTOVOLTAICA,_2035))*COSTOS_OPERACION_MANTENIMIENTO_SOLAR_FOTOVOLTAICA_USD_KW_BAJO/UNIDAD_KW_A_MW*COSTOS_2019_US_dolares_MMCOP</f>
        <v>132.37894968586977</v>
      </c>
      <c r="K346" s="3076">
        <f>(INDEX(ST_CAPACIDAD_GENERACION_ENERGIAS_RENOVABLES_NO_CONVENCIONALES,SOLAR_SOLAR_FOTOVOLTAICA,_2040))*COSTOS_OPERACION_MANTENIMIENTO_SOLAR_FOTOVOLTAICA_USD_KW_BAJO/UNIDAD_KW_A_MW*COSTOS_2019_US_dolares_MMCOP</f>
        <v>264.75789937173954</v>
      </c>
      <c r="L346" s="3076">
        <f>(INDEX(ST_CAPACIDAD_GENERACION_ENERGIAS_RENOVABLES_NO_CONVENCIONALES,SOLAR_SOLAR_FOTOVOLTAICA,_2045))*COSTOS_OPERACION_MANTENIMIENTO_SOLAR_FOTOVOLTAICA_USD_KW_BAJO/UNIDAD_KW_A_MW*COSTOS_2019_US_dolares_MMCOP</f>
        <v>463.3263239005442</v>
      </c>
      <c r="M346" s="3076">
        <f>(INDEX(ST_CAPACIDAD_GENERACION_ENERGIAS_RENOVABLES_NO_CONVENCIONALES,SOLAR_SOLAR_FOTOVOLTAICA,_2050))*COSTOS_OPERACION_MANTENIMIENTO_SOLAR_FOTOVOLTAICA_USD_KW_BAJO/UNIDAD_KW_A_MW*COSTOS_2019_US_dolares_MMCOP</f>
        <v>595.70527358641391</v>
      </c>
      <c r="N346" s="12"/>
    </row>
    <row r="347" spans="4:14" ht="15" customHeight="1">
      <c r="D347" s="12"/>
      <c r="E347" s="920" t="s">
        <v>546</v>
      </c>
      <c r="F347" s="3082">
        <v>0</v>
      </c>
      <c r="G347" s="3076">
        <f>(INDEX(ST_CAPACIDAD_GENERACION_ENERGIAS_RENOVABLES_NO_CONVENCIONALES,EOLICA_EOLICA_COSTA_ADENTRO_JEPIRACHI,_2020))*COSTOS_OPERACION_MANTENIMIENTO_EOLICA_COSTA_ADENTRO_JEPIRACHI_USD_KW_BAJO/UNIDAD_KW_A_MW*COSTOS_2019_US_dolares_MMCOP</f>
        <v>0</v>
      </c>
      <c r="H347" s="3076">
        <f>(INDEX(ST_CAPACIDAD_GENERACION_ENERGIAS_RENOVABLES_NO_CONVENCIONALES,EOLICA_EOLICA_COSTA_ADENTRO_JEPIRACHI,_2020))*COSTOS_OPERACION_MANTENIMIENTO_EOLICA_COSTA_ADENTRO_JEPIRACHI_USD_KW_BAJO/UNIDAD_KW_A_MW*COSTOS_2019_US_dolares_MMCOP</f>
        <v>0</v>
      </c>
      <c r="I347" s="3076">
        <f>(INDEX(ST_CAPACIDAD_GENERACION_ENERGIAS_RENOVABLES_NO_CONVENCIONALES,EOLICA_EOLICA_COSTA_ADENTRO_JEPIRACHI,_2020))*COSTOS_OPERACION_MANTENIMIENTO_EOLICA_COSTA_ADENTRO_JEPIRACHI_USD_KW_BAJO/UNIDAD_KW_A_MW*COSTOS_2019_US_dolares_MMCOP</f>
        <v>0</v>
      </c>
      <c r="J347" s="3076">
        <f>(INDEX(ST_CAPACIDAD_GENERACION_ENERGIAS_RENOVABLES_NO_CONVENCIONALES,EOLICA_EOLICA_COSTA_ADENTRO_JEPIRACHI,_2020))*COSTOS_OPERACION_MANTENIMIENTO_EOLICA_COSTA_ADENTRO_JEPIRACHI_USD_KW_BAJO/UNIDAD_KW_A_MW*COSTOS_2019_US_dolares_MMCOP</f>
        <v>0</v>
      </c>
      <c r="K347" s="3076">
        <f>(INDEX(ST_CAPACIDAD_GENERACION_ENERGIAS_RENOVABLES_NO_CONVENCIONALES,EOLICA_EOLICA_COSTA_ADENTRO_JEPIRACHI,_2020))*COSTOS_OPERACION_MANTENIMIENTO_EOLICA_COSTA_ADENTRO_JEPIRACHI_USD_KW_BAJO/UNIDAD_KW_A_MW*COSTOS_2019_US_dolares_MMCOP</f>
        <v>0</v>
      </c>
      <c r="L347" s="3076">
        <f>(INDEX(ST_CAPACIDAD_GENERACION_ENERGIAS_RENOVABLES_NO_CONVENCIONALES,EOLICA_EOLICA_COSTA_ADENTRO_JEPIRACHI,_2020))*COSTOS_OPERACION_MANTENIMIENTO_EOLICA_COSTA_ADENTRO_JEPIRACHI_USD_KW_BAJO/UNIDAD_KW_A_MW*COSTOS_2019_US_dolares_MMCOP</f>
        <v>0</v>
      </c>
      <c r="M347" s="3076">
        <f>(INDEX(ST_CAPACIDAD_GENERACION_ENERGIAS_RENOVABLES_NO_CONVENCIONALES,EOLICA_EOLICA_COSTA_ADENTRO_JEPIRACHI,_2020))*COSTOS_OPERACION_MANTENIMIENTO_EOLICA_COSTA_ADENTRO_JEPIRACHI_USD_KW_BAJO/UNIDAD_KW_A_MW*COSTOS_2019_US_dolares_MMCOP</f>
        <v>0</v>
      </c>
      <c r="N347" s="12"/>
    </row>
    <row r="348" spans="4:14" ht="15" customHeight="1">
      <c r="D348" s="12"/>
      <c r="E348" s="920" t="s">
        <v>547</v>
      </c>
      <c r="F348" s="3082">
        <v>0</v>
      </c>
      <c r="G348" s="3076">
        <f>(INDEX(ST_CAPACIDAD_GENERACION_ENERGIAS_RENOVABLES_NO_CONVENCIONALES,EOLICA_EOLICA_COSTA_ADENTRO_RESTO_PAIS,_2020))*COSTOS_OPERACION_MANTENIMIENTO_EOLICA_COSTA_ADENTRO_RESTO_USD_KW_BAJO/UNIDAD_KW_A_MW*COSTOS_2019_US_dolares_MMCOP</f>
        <v>0</v>
      </c>
      <c r="H348" s="3076">
        <f>(INDEX(ST_CAPACIDAD_GENERACION_ENERGIAS_RENOVABLES_NO_CONVENCIONALES,EOLICA_EOLICA_COSTA_ADENTRO_RESTO_PAIS,_2025))*COSTOS_OPERACION_MANTENIMIENTO_EOLICA_COSTA_ADENTRO_RESTO_USD_KW_BAJO/UNIDAD_KW_A_MW*COSTOS_2019_US_dolares_MMCOP</f>
        <v>0</v>
      </c>
      <c r="I348" s="3076">
        <f>(INDEX(ST_CAPACIDAD_GENERACION_ENERGIAS_RENOVABLES_NO_CONVENCIONALES,EOLICA_EOLICA_COSTA_ADENTRO_RESTO_PAIS,_2030))*COSTOS_OPERACION_MANTENIMIENTO_EOLICA_COSTA_ADENTRO_RESTO_USD_KW_BAJO/UNIDAD_KW_A_MW*COSTOS_2019_US_dolares_MMCOP</f>
        <v>0</v>
      </c>
      <c r="J348" s="3076">
        <f>(INDEX(ST_CAPACIDAD_GENERACION_ENERGIAS_RENOVABLES_NO_CONVENCIONALES,EOLICA_EOLICA_COSTA_ADENTRO_RESTO_PAIS,_2035))*COSTOS_OPERACION_MANTENIMIENTO_EOLICA_COSTA_ADENTRO_RESTO_USD_KW_BAJO/UNIDAD_KW_A_MW*COSTOS_2019_US_dolares_MMCOP</f>
        <v>0</v>
      </c>
      <c r="K348" s="3076">
        <f>(INDEX(ST_CAPACIDAD_GENERACION_ENERGIAS_RENOVABLES_NO_CONVENCIONALES,EOLICA_EOLICA_COSTA_ADENTRO_RESTO_PAIS,_2040))*COSTOS_OPERACION_MANTENIMIENTO_EOLICA_COSTA_ADENTRO_RESTO_USD_KW_BAJO/UNIDAD_KW_A_MW*COSTOS_2019_US_dolares_MMCOP</f>
        <v>0</v>
      </c>
      <c r="L348" s="3076">
        <f>(INDEX(ST_CAPACIDAD_GENERACION_ENERGIAS_RENOVABLES_NO_CONVENCIONALES,EOLICA_EOLICA_COSTA_ADENTRO_RESTO_PAIS,_2045))*COSTOS_OPERACION_MANTENIMIENTO_EOLICA_COSTA_ADENTRO_RESTO_USD_KW_BAJO/UNIDAD_KW_A_MW*COSTOS_2019_US_dolares_MMCOP</f>
        <v>235.39503444761229</v>
      </c>
      <c r="M348" s="3076">
        <f>(INDEX(ST_CAPACIDAD_GENERACION_ENERGIAS_RENOVABLES_NO_CONVENCIONALES,EOLICA_EOLICA_COSTA_ADENTRO_RESTO_PAIS,_2050))*COSTOS_OPERACION_MANTENIMIENTO_EOLICA_COSTA_ADENTRO_RESTO_USD_KW_BAJO/UNIDAD_KW_A_MW*COSTOS_2019_US_dolares_MMCOP</f>
        <v>235.39503444761229</v>
      </c>
      <c r="N348" s="12"/>
    </row>
    <row r="349" spans="4:14" ht="15" customHeight="1">
      <c r="D349" s="12"/>
      <c r="E349" s="920" t="s">
        <v>548</v>
      </c>
      <c r="F349" s="3082">
        <v>0</v>
      </c>
      <c r="G349" s="3076">
        <f>(INDEX(ST_CAPACIDAD_GENERACION_ENERGIAS_RENOVABLES_NO_CONVENCIONALES,EOLICA_EOLICA_COSTA_AFUERA,_2020))*COSTOS_OPERACION_MANTENIMIENTO_EOLICA_COSTA_AFUERA_RESTO_USD_KW_BAJO/UNIDAD_KW_A_MW*COSTOS_2019_US_dolares_MMCOP</f>
        <v>0</v>
      </c>
      <c r="H349" s="3076">
        <f>(INDEX(ST_CAPACIDAD_GENERACION_ENERGIAS_RENOVABLES_NO_CONVENCIONALES,EOLICA_EOLICA_COSTA_AFUERA,_2025))*COSTOS_OPERACION_MANTENIMIENTO_EOLICA_COSTA_AFUERA_RESTO_USD_KW_BAJO/UNIDAD_KW_A_MW*COSTOS_2019_US_dolares_MMCOP</f>
        <v>0</v>
      </c>
      <c r="I349" s="3076">
        <f>(INDEX(ST_CAPACIDAD_GENERACION_ENERGIAS_RENOVABLES_NO_CONVENCIONALES,EOLICA_EOLICA_COSTA_AFUERA,_2030))*COSTOS_OPERACION_MANTENIMIENTO_EOLICA_COSTA_AFUERA_RESTO_USD_KW_BAJO/UNIDAD_KW_A_MW*COSTOS_2019_US_dolares_MMCOP</f>
        <v>0</v>
      </c>
      <c r="J349" s="3076">
        <f>(INDEX(ST_CAPACIDAD_GENERACION_ENERGIAS_RENOVABLES_NO_CONVENCIONALES,EOLICA_EOLICA_COSTA_AFUERA,_2035))*COSTOS_OPERACION_MANTENIMIENTO_EOLICA_COSTA_AFUERA_RESTO_USD_KW_BAJO/UNIDAD_KW_A_MW*COSTOS_2019_US_dolares_MMCOP</f>
        <v>0</v>
      </c>
      <c r="K349" s="3076">
        <f>(INDEX(ST_CAPACIDAD_GENERACION_ENERGIAS_RENOVABLES_NO_CONVENCIONALES,EOLICA_EOLICA_COSTA_AFUERA,_2040))*COSTOS_OPERACION_MANTENIMIENTO_EOLICA_COSTA_AFUERA_RESTO_USD_KW_BAJO/UNIDAD_KW_A_MW*COSTOS_2019_US_dolares_MMCOP</f>
        <v>0</v>
      </c>
      <c r="L349" s="3076">
        <f>(INDEX(ST_CAPACIDAD_GENERACION_ENERGIAS_RENOVABLES_NO_CONVENCIONALES,EOLICA_EOLICA_COSTA_AFUERA,_2045))*COSTOS_OPERACION_MANTENIMIENTO_EOLICA_COSTA_AFUERA_RESTO_USD_KW_BAJO/UNIDAD_KW_A_MW*COSTOS_2019_US_dolares_MMCOP</f>
        <v>0</v>
      </c>
      <c r="M349" s="3076">
        <f>(INDEX(ST_CAPACIDAD_GENERACION_ENERGIAS_RENOVABLES_NO_CONVENCIONALES,EOLICA_EOLICA_COSTA_AFUERA,_2050))*COSTOS_OPERACION_MANTENIMIENTO_EOLICA_COSTA_AFUERA_RESTO_USD_KW_BAJO/UNIDAD_KW_A_MW*COSTOS_2019_US_dolares_MMCOP</f>
        <v>0</v>
      </c>
      <c r="N349" s="12"/>
    </row>
    <row r="350" spans="4:14" ht="15" customHeight="1">
      <c r="D350" s="12"/>
      <c r="E350" s="920" t="s">
        <v>549</v>
      </c>
      <c r="F350" s="3082">
        <v>0</v>
      </c>
      <c r="G350" s="3076">
        <f>(INDEX(ST_CAPACIDAD_GENERACION_ENERGIAS_RENOVABLES_NO_CONVENCIONALES,HIDROGENO_VERDE,_2020))*COSTOS_OPERACION_MANTENIMIENTO_H2_USD_KW_BAJO/UNIDAD_KW_A_MW*COSTOS_2019_US_dolares_MMCOP</f>
        <v>0</v>
      </c>
      <c r="H350" s="3076">
        <f>(INDEX(ST_CAPACIDAD_GENERACION_ENERGIAS_RENOVABLES_NO_CONVENCIONALES,HIDROGENO_VERDE,_2025))*COSTOS_OPERACION_MANTENIMIENTO_H2_USD_KW_BAJO/UNIDAD_KW_A_MW*COSTOS_2019_US_dolares_MMCOP</f>
        <v>0</v>
      </c>
      <c r="I350" s="3076">
        <f>(INDEX(ST_CAPACIDAD_GENERACION_ENERGIAS_RENOVABLES_NO_CONVENCIONALES,HIDROGENO_VERDE,_2030))*COSTOS_OPERACION_MANTENIMIENTO_H2_USD_KW_BAJO/UNIDAD_KW_A_MW*COSTOS_2019_US_dolares_MMCOP</f>
        <v>0</v>
      </c>
      <c r="J350" s="3076">
        <f>(INDEX(ST_CAPACIDAD_GENERACION_ENERGIAS_RENOVABLES_NO_CONVENCIONALES,HIDROGENO_VERDE,_2035))*COSTOS_OPERACION_MANTENIMIENTO_H2_USD_KW_BAJO/UNIDAD_KW_A_MW*COSTOS_2019_US_dolares_MMCOP</f>
        <v>0</v>
      </c>
      <c r="K350" s="3076">
        <f>(INDEX(ST_CAPACIDAD_GENERACION_ENERGIAS_RENOVABLES_NO_CONVENCIONALES,HIDROGENO_VERDE,_2040))*COSTOS_OPERACION_MANTENIMIENTO_H2_USD_KW_BAJO/UNIDAD_KW_A_MW*COSTOS_2019_US_dolares_MMCOP</f>
        <v>0</v>
      </c>
      <c r="L350" s="3076">
        <f>(INDEX(ST_CAPACIDAD_GENERACION_ENERGIAS_RENOVABLES_NO_CONVENCIONALES,HIDROGENO_VERDE,_2045))*COSTOS_OPERACION_MANTENIMIENTO_H2_USD_KW_BAJO/UNIDAD_KW_A_MW*COSTOS_2019_US_dolares_MMCOP</f>
        <v>0</v>
      </c>
      <c r="M350" s="3076">
        <f>(INDEX(ST_CAPACIDAD_GENERACION_ENERGIAS_RENOVABLES_NO_CONVENCIONALES,HIDROGENO_VERDE,_2050))*COSTOS_OPERACION_MANTENIMIENTO_H2_USD_KW_BAJO/UNIDAD_KW_A_MW*COSTOS_2019_US_dolares_MMCOP</f>
        <v>0</v>
      </c>
      <c r="N350" s="12"/>
    </row>
    <row r="351" spans="4:14" ht="15" customHeight="1">
      <c r="D351" s="12"/>
      <c r="E351" s="920" t="s">
        <v>162</v>
      </c>
      <c r="F351" s="3082">
        <v>0</v>
      </c>
      <c r="G351" s="3076">
        <f>(INDEX(ST_CAPACIDAD_GENERACION_ENERGIAS_RENOVABLES_NO_CONVENCIONALES,BIOMASA,_2020))*COSTOS_OPERACION_MANTENIMIENTO_BIOMASA_USD_KW_BAJO/UNIDAD_KW_A_MW*COSTOS_2019_US_dolares_MMCOP</f>
        <v>0</v>
      </c>
      <c r="H351" s="3076">
        <f>(INDEX(ST_CAPACIDAD_GENERACION_ENERGIAS_RENOVABLES_NO_CONVENCIONALES,BIOMASA,_2025))*COSTOS_OPERACION_MANTENIMIENTO_BIOMASA_USD_KW_BAJO/UNIDAD_KW_A_MW*COSTOS_2019_US_dolares_MMCOP</f>
        <v>0</v>
      </c>
      <c r="I351" s="3076">
        <f>(INDEX(ST_CAPACIDAD_GENERACION_ENERGIAS_RENOVABLES_NO_CONVENCIONALES,BIOMASA,_2030))*COSTOS_OPERACION_MANTENIMIENTO_BIOMASA_USD_KW_BAJO/UNIDAD_KW_A_MW*COSTOS_2019_US_dolares_MMCOP</f>
        <v>0</v>
      </c>
      <c r="J351" s="3076">
        <f>(INDEX(ST_CAPACIDAD_GENERACION_ENERGIAS_RENOVABLES_NO_CONVENCIONALES,BIOMASA,_2035))*COSTOS_OPERACION_MANTENIMIENTO_BIOMASA_USD_KW_BAJO/UNIDAD_KW_A_MW*COSTOS_2019_US_dolares_MMCOP</f>
        <v>0</v>
      </c>
      <c r="K351" s="3076">
        <f>(INDEX(ST_CAPACIDAD_GENERACION_ENERGIAS_RENOVABLES_NO_CONVENCIONALES,BIOMASA,_2040))*COSTOS_OPERACION_MANTENIMIENTO_BIOMASA_USD_KW_BAJO/UNIDAD_KW_A_MW*COSTOS_2019_US_dolares_MMCOP</f>
        <v>0</v>
      </c>
      <c r="L351" s="3076">
        <f>(INDEX(ST_CAPACIDAD_GENERACION_ENERGIAS_RENOVABLES_NO_CONVENCIONALES,BIOMASA,_2045))*COSTOS_OPERACION_MANTENIMIENTO_BIOMASA_USD_KW_BAJO/UNIDAD_KW_A_MW*COSTOS_2019_US_dolares_MMCOP</f>
        <v>0</v>
      </c>
      <c r="M351" s="3076">
        <f>(INDEX(ST_CAPACIDAD_GENERACION_ENERGIAS_RENOVABLES_NO_CONVENCIONALES,BIOMASA,_2050))*COSTOS_OPERACION_MANTENIMIENTO_BIOMASA_USD_KW_BAJO/UNIDAD_KW_A_MW*COSTOS_2019_US_dolares_MMCOP</f>
        <v>0</v>
      </c>
      <c r="N351" s="12"/>
    </row>
    <row r="352" spans="4:14" ht="15" customHeight="1">
      <c r="D352" s="12"/>
      <c r="E352" s="1019" t="s">
        <v>504</v>
      </c>
      <c r="F352" s="3083">
        <v>0</v>
      </c>
      <c r="G352" s="2668">
        <f>(INDEX(ST_CAPACIDAD_GENERACION_ENERGIAS_RENOVABLES_NO_CONVENCIONALES,BAGAZO,_2020))*COSTOS_OPERACION_MANTENIMIENTO_BAGAZO_USD_KW_BAJO/UNIDAD_KW_A_MW*COSTOS_2019_US_dolares_MMCOP</f>
        <v>0</v>
      </c>
      <c r="H352" s="2668">
        <f>(INDEX(ST_CAPACIDAD_GENERACION_ENERGIAS_RENOVABLES_NO_CONVENCIONALES,BAGAZO,_2025))*COSTOS_OPERACION_MANTENIMIENTO_BAGAZO_USD_KW_BAJO/UNIDAD_KW_A_MW*COSTOS_2019_US_dolares_MMCOP</f>
        <v>0</v>
      </c>
      <c r="I352" s="2668">
        <f>(INDEX(ST_CAPACIDAD_GENERACION_ENERGIAS_RENOVABLES_NO_CONVENCIONALES,BAGAZO,_2030))*COSTOS_OPERACION_MANTENIMIENTO_BAGAZO_USD_KW_BAJO/UNIDAD_KW_A_MW*COSTOS_2019_US_dolares_MMCOP</f>
        <v>0</v>
      </c>
      <c r="J352" s="2668">
        <f>(INDEX(ST_CAPACIDAD_GENERACION_ENERGIAS_RENOVABLES_NO_CONVENCIONALES,BAGAZO,_2035))*COSTOS_OPERACION_MANTENIMIENTO_BAGAZO_USD_KW_BAJO/UNIDAD_KW_A_MW*COSTOS_2019_US_dolares_MMCOP</f>
        <v>0</v>
      </c>
      <c r="K352" s="2668">
        <f>(INDEX(ST_CAPACIDAD_GENERACION_ENERGIAS_RENOVABLES_NO_CONVENCIONALES,BAGAZO,_2040))*COSTOS_OPERACION_MANTENIMIENTO_BAGAZO_USD_KW_BAJO/UNIDAD_KW_A_MW*COSTOS_2019_US_dolares_MMCOP</f>
        <v>0</v>
      </c>
      <c r="L352" s="2668">
        <f>(INDEX(ST_CAPACIDAD_GENERACION_ENERGIAS_RENOVABLES_NO_CONVENCIONALES,BAGAZO,_2045))*COSTOS_OPERACION_MANTENIMIENTO_BAGAZO_USD_KW_BAJO/UNIDAD_KW_A_MW*COSTOS_2019_US_dolares_MMCOP</f>
        <v>0</v>
      </c>
      <c r="M352" s="2668">
        <f>(INDEX(ST_CAPACIDAD_GENERACION_ENERGIAS_RENOVABLES_NO_CONVENCIONALES,BAGAZO,_2050))*COSTOS_OPERACION_MANTENIMIENTO_BAGAZO_USD_KW_BAJO/UNIDAD_KW_A_MW*COSTOS_2019_US_dolares_MMCOP</f>
        <v>0</v>
      </c>
      <c r="N352" s="12"/>
    </row>
    <row r="353" spans="4:14" ht="15" customHeight="1">
      <c r="D353" s="12"/>
      <c r="E353" s="2677" t="s">
        <v>338</v>
      </c>
      <c r="F353" s="3078">
        <f t="shared" ref="F353:M353" si="18">SUM(F343:F352)</f>
        <v>0</v>
      </c>
      <c r="G353" s="3078">
        <f t="shared" si="18"/>
        <v>572.08375096588702</v>
      </c>
      <c r="H353" s="3078">
        <f t="shared" si="18"/>
        <v>778.27995884090342</v>
      </c>
      <c r="I353" s="3078">
        <f t="shared" si="18"/>
        <v>778.27995884090342</v>
      </c>
      <c r="J353" s="3078">
        <f t="shared" si="18"/>
        <v>955.19532096755836</v>
      </c>
      <c r="K353" s="3078">
        <f t="shared" si="18"/>
        <v>1087.5742706534281</v>
      </c>
      <c r="L353" s="3078">
        <f t="shared" si="18"/>
        <v>1521.537729629845</v>
      </c>
      <c r="M353" s="3078">
        <f t="shared" si="18"/>
        <v>1700.5855903264085</v>
      </c>
      <c r="N353" s="12"/>
    </row>
    <row r="354" spans="4:14" ht="15" customHeight="1">
      <c r="D354" s="12"/>
      <c r="E354" s="1024"/>
      <c r="F354" s="1024"/>
      <c r="G354" s="1024"/>
      <c r="H354" s="1024"/>
      <c r="I354" s="1026"/>
      <c r="J354" s="1024"/>
      <c r="K354" s="1026"/>
      <c r="L354" s="1026"/>
      <c r="M354" s="1026"/>
      <c r="N354" s="12"/>
    </row>
    <row r="355" spans="4:14" ht="15" customHeight="1">
      <c r="D355" s="12"/>
      <c r="E355" s="1028"/>
      <c r="F355" s="1024"/>
      <c r="G355" s="1025"/>
      <c r="H355" s="1024"/>
      <c r="I355" s="1026"/>
      <c r="J355" s="1024"/>
      <c r="K355" s="1026"/>
      <c r="L355" s="1026"/>
      <c r="M355" s="1026"/>
      <c r="N355" s="12"/>
    </row>
    <row r="357" spans="4:14" ht="15" customHeight="1">
      <c r="D357" s="99" t="s">
        <v>52</v>
      </c>
      <c r="E357" s="49"/>
      <c r="F357" s="49"/>
      <c r="G357" s="49"/>
      <c r="H357" s="49"/>
      <c r="I357" s="49"/>
      <c r="J357" s="49"/>
      <c r="K357" s="49"/>
      <c r="L357" s="49"/>
      <c r="M357" s="49"/>
      <c r="N357" s="49"/>
    </row>
    <row r="358" spans="4:14" ht="15" customHeight="1">
      <c r="D358" s="50"/>
      <c r="E358" s="50"/>
      <c r="F358" s="50"/>
      <c r="G358" s="50"/>
      <c r="H358" s="50"/>
      <c r="I358" s="50"/>
      <c r="J358" s="50"/>
      <c r="K358" s="50"/>
      <c r="L358" s="50"/>
      <c r="M358" s="50"/>
      <c r="N358" s="50"/>
    </row>
    <row r="359" spans="4:14" ht="15" customHeight="1">
      <c r="D359" s="50"/>
      <c r="E359" s="50"/>
      <c r="F359" s="50"/>
      <c r="G359" s="50"/>
      <c r="H359" s="50"/>
      <c r="I359" s="50"/>
      <c r="J359" s="50"/>
      <c r="K359" s="50"/>
      <c r="L359" s="50"/>
      <c r="M359" s="50"/>
      <c r="N359" s="50"/>
    </row>
    <row r="360" spans="4:14" ht="15" customHeight="1">
      <c r="D360" s="6"/>
      <c r="E360" s="1039" t="s">
        <v>1735</v>
      </c>
      <c r="F360" s="6"/>
      <c r="G360" s="6"/>
      <c r="H360" s="6"/>
      <c r="I360" s="6"/>
      <c r="J360" s="6"/>
      <c r="K360" s="6"/>
      <c r="L360" s="6"/>
      <c r="M360" s="103" t="s">
        <v>9</v>
      </c>
      <c r="N360" s="6"/>
    </row>
    <row r="361" spans="4:14" ht="15" customHeight="1">
      <c r="D361" s="6"/>
      <c r="E361" s="1585" t="s">
        <v>859</v>
      </c>
      <c r="F361" s="1585">
        <v>2018</v>
      </c>
      <c r="G361" s="1585">
        <v>2020</v>
      </c>
      <c r="H361" s="1585">
        <v>2025</v>
      </c>
      <c r="I361" s="1585">
        <v>2030</v>
      </c>
      <c r="J361" s="1585">
        <v>2035</v>
      </c>
      <c r="K361" s="1585">
        <v>2040</v>
      </c>
      <c r="L361" s="1585">
        <v>2045</v>
      </c>
      <c r="M361" s="1585">
        <v>2050</v>
      </c>
      <c r="N361" s="6"/>
    </row>
    <row r="362" spans="4:14" ht="15" customHeight="1">
      <c r="D362" s="6"/>
      <c r="E362" s="1039" t="s">
        <v>535</v>
      </c>
      <c r="F362" s="1587" cm="1">
        <f t="array" ref="F362:M362">_xlfn.ANCHORARRAY(F458)</f>
        <v>0.70477404881979766</v>
      </c>
      <c r="G362" s="1587">
        <v>0.70477404881979766</v>
      </c>
      <c r="H362" s="1587">
        <v>1.0571610732296965</v>
      </c>
      <c r="I362" s="1587">
        <v>1.0571610732296965</v>
      </c>
      <c r="J362" s="1587">
        <v>1.0571610732296965</v>
      </c>
      <c r="K362" s="1587">
        <v>1.0571610732296965</v>
      </c>
      <c r="L362" s="1587">
        <v>1.0571610732296965</v>
      </c>
      <c r="M362" s="1587">
        <v>1.0571610732296965</v>
      </c>
      <c r="N362" s="6"/>
    </row>
    <row r="363" spans="4:14" ht="15" customHeight="1">
      <c r="D363" s="6"/>
      <c r="E363" s="1039" t="s">
        <v>536</v>
      </c>
      <c r="F363" s="1587" cm="1">
        <f t="array" ref="F363:M363">_xlfn.ANCHORARRAY(F459)</f>
        <v>1.4338506510471747</v>
      </c>
      <c r="G363" s="1587">
        <v>1.4338506510471747</v>
      </c>
      <c r="H363" s="1587">
        <v>1.4338506510471747</v>
      </c>
      <c r="I363" s="1587">
        <v>1.4338506510471747</v>
      </c>
      <c r="J363" s="1587">
        <v>1.4338506510471747</v>
      </c>
      <c r="K363" s="1587">
        <v>1.4338506510471747</v>
      </c>
      <c r="L363" s="1587">
        <v>1.4338506510471747</v>
      </c>
      <c r="M363" s="1587">
        <v>1.4338506510471747</v>
      </c>
      <c r="N363" s="6"/>
    </row>
    <row r="364" spans="4:14" ht="15" customHeight="1">
      <c r="D364" s="6"/>
      <c r="E364" s="1039" t="s">
        <v>526</v>
      </c>
      <c r="F364" s="1587" cm="1">
        <f t="array" ref="F364:M364">_xlfn.ANCHORARRAY(F460)</f>
        <v>4.8605106815158471E-2</v>
      </c>
      <c r="G364" s="1587">
        <v>0</v>
      </c>
      <c r="H364" s="1587">
        <v>0</v>
      </c>
      <c r="I364" s="1587">
        <v>0</v>
      </c>
      <c r="J364" s="1587">
        <v>0</v>
      </c>
      <c r="K364" s="1587">
        <v>0</v>
      </c>
      <c r="L364" s="1587">
        <v>0</v>
      </c>
      <c r="M364" s="1587">
        <v>0</v>
      </c>
      <c r="N364" s="6"/>
    </row>
    <row r="365" spans="4:14" ht="15" customHeight="1">
      <c r="D365" s="6"/>
      <c r="E365" s="1039" t="s">
        <v>537</v>
      </c>
      <c r="F365" s="1587" cm="1">
        <f t="array" ref="F365:M365">_xlfn.ANCHORARRAY(F461)</f>
        <v>0</v>
      </c>
      <c r="G365" s="1587">
        <v>0</v>
      </c>
      <c r="H365" s="1587">
        <v>0</v>
      </c>
      <c r="I365" s="1587">
        <v>0</v>
      </c>
      <c r="J365" s="1587">
        <v>0</v>
      </c>
      <c r="K365" s="1587">
        <v>0</v>
      </c>
      <c r="L365" s="1587">
        <v>0</v>
      </c>
      <c r="M365" s="1587">
        <v>0</v>
      </c>
      <c r="N365" s="6"/>
    </row>
    <row r="366" spans="4:14" ht="15" customHeight="1">
      <c r="D366" s="6"/>
      <c r="E366" s="1039" t="s">
        <v>525</v>
      </c>
      <c r="F366" s="1587" cm="1">
        <f t="array" ref="F366:M366">_xlfn.ANCHORARRAY(F462)</f>
        <v>0</v>
      </c>
      <c r="G366" s="1587">
        <v>0</v>
      </c>
      <c r="H366" s="1587">
        <v>0</v>
      </c>
      <c r="I366" s="1587">
        <v>0</v>
      </c>
      <c r="J366" s="1587">
        <v>0</v>
      </c>
      <c r="K366" s="1587">
        <v>0</v>
      </c>
      <c r="L366" s="1587">
        <v>0</v>
      </c>
      <c r="M366" s="1587">
        <v>0</v>
      </c>
      <c r="N366" s="6"/>
    </row>
    <row r="367" spans="4:14" ht="15" customHeight="1">
      <c r="D367" s="6"/>
      <c r="E367" s="1039" t="s">
        <v>1663</v>
      </c>
      <c r="F367" s="1587" cm="1">
        <f t="array" ref="F367:M367">_xlfn.ANCHORARRAY(F463)</f>
        <v>0</v>
      </c>
      <c r="G367" s="1587">
        <v>0</v>
      </c>
      <c r="H367" s="1587">
        <v>0</v>
      </c>
      <c r="I367" s="1587">
        <v>0</v>
      </c>
      <c r="J367" s="1587">
        <v>0</v>
      </c>
      <c r="K367" s="1587">
        <v>0</v>
      </c>
      <c r="L367" s="1587">
        <v>0</v>
      </c>
      <c r="M367" s="1587">
        <v>0</v>
      </c>
      <c r="N367" s="6"/>
    </row>
    <row r="368" spans="4:14" ht="15" customHeight="1">
      <c r="D368" s="6"/>
      <c r="E368" s="1039" t="s">
        <v>538</v>
      </c>
      <c r="F368" s="1587" cm="1">
        <f t="array" ref="F368:M368">_xlfn.ANCHORARRAY(F464)</f>
        <v>0</v>
      </c>
      <c r="G368" s="1587">
        <v>0</v>
      </c>
      <c r="H368" s="1587">
        <v>0</v>
      </c>
      <c r="I368" s="1587">
        <v>0</v>
      </c>
      <c r="J368" s="1587">
        <v>0</v>
      </c>
      <c r="K368" s="1587">
        <v>0</v>
      </c>
      <c r="L368" s="1587">
        <v>0</v>
      </c>
      <c r="M368" s="1587">
        <v>0</v>
      </c>
      <c r="N368" s="6"/>
    </row>
    <row r="369" spans="4:14" ht="15" customHeight="1">
      <c r="D369" s="6"/>
      <c r="E369" s="1588" t="s">
        <v>539</v>
      </c>
      <c r="F369" s="1587" cm="1">
        <f t="array" ref="F369:M369">_xlfn.ANCHORARRAY(F465)</f>
        <v>0</v>
      </c>
      <c r="G369" s="1587">
        <v>0</v>
      </c>
      <c r="H369" s="1587">
        <v>0</v>
      </c>
      <c r="I369" s="1587">
        <v>0</v>
      </c>
      <c r="J369" s="1587">
        <v>0</v>
      </c>
      <c r="K369" s="1587">
        <v>0</v>
      </c>
      <c r="L369" s="1587">
        <v>0</v>
      </c>
      <c r="M369" s="1587">
        <v>0</v>
      </c>
      <c r="N369" s="6"/>
    </row>
    <row r="370" spans="4:14" ht="15" customHeight="1">
      <c r="D370" s="6"/>
      <c r="E370" s="1589" t="s">
        <v>1667</v>
      </c>
      <c r="F370" s="1590">
        <f>SUM(F362:F369)</f>
        <v>2.1872298066821307</v>
      </c>
      <c r="G370" s="1590">
        <f t="shared" ref="G370:M370" si="19">SUM(G362:G369)</f>
        <v>2.1386246998669725</v>
      </c>
      <c r="H370" s="1590">
        <f t="shared" si="19"/>
        <v>2.4910117242768712</v>
      </c>
      <c r="I370" s="1590">
        <f t="shared" si="19"/>
        <v>2.4910117242768712</v>
      </c>
      <c r="J370" s="1590">
        <f t="shared" si="19"/>
        <v>2.4910117242768712</v>
      </c>
      <c r="K370" s="1590">
        <f t="shared" si="19"/>
        <v>2.4910117242768712</v>
      </c>
      <c r="L370" s="1590">
        <f t="shared" si="19"/>
        <v>2.4910117242768712</v>
      </c>
      <c r="M370" s="1590">
        <f t="shared" si="19"/>
        <v>2.4910117242768712</v>
      </c>
      <c r="N370" s="6"/>
    </row>
    <row r="371" spans="4:14" ht="15" customHeight="1">
      <c r="D371" s="6"/>
      <c r="E371" s="1039"/>
      <c r="F371" s="1591"/>
      <c r="G371" s="1591"/>
      <c r="H371" s="1591"/>
      <c r="I371" s="1591"/>
      <c r="J371" s="1591"/>
      <c r="K371" s="1591"/>
      <c r="L371" s="1591"/>
      <c r="M371" s="1591"/>
      <c r="N371" s="6"/>
    </row>
    <row r="372" spans="4:14" ht="15" customHeight="1">
      <c r="D372" s="6"/>
      <c r="E372" s="1039" t="s">
        <v>1737</v>
      </c>
      <c r="F372" s="1591"/>
      <c r="G372" s="1591"/>
      <c r="H372" s="1591"/>
      <c r="I372" s="1591"/>
      <c r="J372" s="1591"/>
      <c r="K372" s="1591"/>
      <c r="L372" s="1591"/>
      <c r="M372" s="103" t="s">
        <v>9</v>
      </c>
      <c r="N372" s="6"/>
    </row>
    <row r="373" spans="4:14" ht="15" customHeight="1">
      <c r="D373" s="6"/>
      <c r="E373" s="1585" t="s">
        <v>859</v>
      </c>
      <c r="F373" s="1585">
        <v>2018</v>
      </c>
      <c r="G373" s="1585">
        <v>2020</v>
      </c>
      <c r="H373" s="1585">
        <v>2025</v>
      </c>
      <c r="I373" s="1585">
        <v>2030</v>
      </c>
      <c r="J373" s="1585">
        <v>2035</v>
      </c>
      <c r="K373" s="1585">
        <v>2040</v>
      </c>
      <c r="L373" s="1585">
        <v>2045</v>
      </c>
      <c r="M373" s="1585">
        <v>2050</v>
      </c>
      <c r="N373" s="6"/>
    </row>
    <row r="374" spans="4:14" ht="15" customHeight="1">
      <c r="D374" s="6"/>
      <c r="E374" s="1039" t="s">
        <v>542</v>
      </c>
      <c r="F374" s="3686" cm="1">
        <f t="array" ref="F374:M374">_xlfn.ANCHORARRAY(F470)</f>
        <v>6.4158740996009165</v>
      </c>
      <c r="G374" s="3686">
        <v>6.4158740996009165</v>
      </c>
      <c r="H374" s="3686">
        <v>8.16565794494662</v>
      </c>
      <c r="I374" s="3686">
        <v>8.16565794494662</v>
      </c>
      <c r="J374" s="3686">
        <v>8.16565794494662</v>
      </c>
      <c r="K374" s="3686">
        <v>8.16565794494662</v>
      </c>
      <c r="L374" s="3686">
        <v>8.16565794494662</v>
      </c>
      <c r="M374" s="3686">
        <v>8.748919226728523</v>
      </c>
      <c r="N374" s="6"/>
    </row>
    <row r="375" spans="4:14" ht="15" customHeight="1">
      <c r="D375" s="6"/>
      <c r="E375" s="1592" t="s">
        <v>543</v>
      </c>
      <c r="F375" s="3687" cm="1">
        <f t="array" ref="F375:M375">_xlfn.ANCHORARRAY(F471)</f>
        <v>0.58326128178190151</v>
      </c>
      <c r="G375" s="3687">
        <v>0.58326128178190151</v>
      </c>
      <c r="H375" s="3687">
        <v>0.58326128178190151</v>
      </c>
      <c r="I375" s="3687">
        <v>0.58326128178190151</v>
      </c>
      <c r="J375" s="3687">
        <v>0.58326128178190151</v>
      </c>
      <c r="K375" s="3687">
        <v>0.58326128178190151</v>
      </c>
      <c r="L375" s="3687">
        <v>0.58326128178190151</v>
      </c>
      <c r="M375" s="3687">
        <v>0.58326128178190151</v>
      </c>
      <c r="N375" s="6"/>
    </row>
    <row r="376" spans="4:14" ht="15" customHeight="1">
      <c r="D376" s="6"/>
      <c r="E376" s="1039" t="s">
        <v>1727</v>
      </c>
      <c r="F376" s="3686" cm="1">
        <f t="array" ref="F376:M376">_xlfn.ANCHORARRAY(F472)</f>
        <v>0</v>
      </c>
      <c r="G376" s="3686">
        <v>0</v>
      </c>
      <c r="H376" s="3686">
        <v>0</v>
      </c>
      <c r="I376" s="3686">
        <v>0</v>
      </c>
      <c r="J376" s="3686">
        <v>0</v>
      </c>
      <c r="K376" s="3686">
        <v>0</v>
      </c>
      <c r="L376" s="3686">
        <v>0</v>
      </c>
      <c r="M376" s="3686">
        <v>0</v>
      </c>
      <c r="N376" s="6"/>
    </row>
    <row r="377" spans="4:14" ht="15" customHeight="1">
      <c r="D377" s="6"/>
      <c r="E377" s="1592" t="s">
        <v>545</v>
      </c>
      <c r="F377" s="3687" cm="1">
        <f t="array" ref="F377:M377">_xlfn.ANCHORARRAY(F473)</f>
        <v>0</v>
      </c>
      <c r="G377" s="3687">
        <v>0</v>
      </c>
      <c r="H377" s="3687">
        <v>0.37668957781747808</v>
      </c>
      <c r="I377" s="3687">
        <v>0.37668957781747808</v>
      </c>
      <c r="J377" s="3687">
        <v>0.75337915563495617</v>
      </c>
      <c r="K377" s="3687">
        <v>1.5067583112699123</v>
      </c>
      <c r="L377" s="3687">
        <v>2.6368270447223465</v>
      </c>
      <c r="M377" s="3687">
        <v>3.3902062003573024</v>
      </c>
      <c r="N377" s="6"/>
    </row>
    <row r="378" spans="4:14" ht="15" customHeight="1">
      <c r="D378" s="6"/>
      <c r="E378" s="1039" t="s">
        <v>546</v>
      </c>
      <c r="F378" s="3686" cm="1">
        <f t="array" ref="F378:M378">_xlfn.ANCHORARRAY(F474)</f>
        <v>0</v>
      </c>
      <c r="G378" s="3686">
        <v>0</v>
      </c>
      <c r="H378" s="3686">
        <v>0.87489192267285232</v>
      </c>
      <c r="I378" s="3686">
        <v>1.3123378840092783</v>
      </c>
      <c r="J378" s="3686">
        <v>2.1872298066821307</v>
      </c>
      <c r="K378" s="3686">
        <v>2.6246757680185566</v>
      </c>
      <c r="L378" s="3686">
        <v>2.6246757680185566</v>
      </c>
      <c r="M378" s="3686">
        <v>2.6246757680185566</v>
      </c>
      <c r="N378" s="6"/>
    </row>
    <row r="379" spans="4:14" ht="15" customHeight="1">
      <c r="D379" s="6"/>
      <c r="E379" s="1039" t="s">
        <v>547</v>
      </c>
      <c r="F379" s="3686" cm="1">
        <f t="array" ref="F379:M379">_xlfn.ANCHORARRAY(F475)</f>
        <v>0</v>
      </c>
      <c r="G379" s="3686">
        <v>0</v>
      </c>
      <c r="H379" s="3686">
        <v>0</v>
      </c>
      <c r="I379" s="3686">
        <v>0</v>
      </c>
      <c r="J379" s="3686">
        <v>0</v>
      </c>
      <c r="K379" s="3686">
        <v>0</v>
      </c>
      <c r="L379" s="3686">
        <v>0.14581532044547538</v>
      </c>
      <c r="M379" s="3686">
        <v>0.14581532044547538</v>
      </c>
      <c r="N379" s="6"/>
    </row>
    <row r="380" spans="4:14" ht="15" customHeight="1">
      <c r="D380" s="6"/>
      <c r="E380" s="1592" t="s">
        <v>548</v>
      </c>
      <c r="F380" s="3687" cm="1">
        <f t="array" ref="F380:M380">_xlfn.ANCHORARRAY(F476)</f>
        <v>0</v>
      </c>
      <c r="G380" s="3687">
        <v>0</v>
      </c>
      <c r="H380" s="3687">
        <v>0</v>
      </c>
      <c r="I380" s="3687">
        <v>0</v>
      </c>
      <c r="J380" s="3687">
        <v>0</v>
      </c>
      <c r="K380" s="3687">
        <v>0</v>
      </c>
      <c r="L380" s="3687">
        <v>0</v>
      </c>
      <c r="M380" s="3687">
        <v>0</v>
      </c>
      <c r="N380" s="6"/>
    </row>
    <row r="381" spans="4:14" ht="15" customHeight="1">
      <c r="D381" s="6"/>
      <c r="E381" s="1593" t="s">
        <v>549</v>
      </c>
      <c r="F381" s="3688" cm="1">
        <f t="array" ref="F381:M381">_xlfn.ANCHORARRAY(F477)</f>
        <v>0</v>
      </c>
      <c r="G381" s="3688">
        <v>0</v>
      </c>
      <c r="H381" s="3688">
        <v>0</v>
      </c>
      <c r="I381" s="3688">
        <v>0</v>
      </c>
      <c r="J381" s="3688">
        <v>0</v>
      </c>
      <c r="K381" s="3688">
        <v>0</v>
      </c>
      <c r="L381" s="3688">
        <v>0</v>
      </c>
      <c r="M381" s="3688">
        <v>0</v>
      </c>
      <c r="N381" s="6"/>
    </row>
    <row r="382" spans="4:14" ht="15" customHeight="1">
      <c r="D382" s="6"/>
      <c r="E382" s="1593" t="s">
        <v>162</v>
      </c>
      <c r="F382" s="3688" cm="1">
        <f t="array" ref="F382:M382">_xlfn.ANCHORARRAY(F478)</f>
        <v>0</v>
      </c>
      <c r="G382" s="3688">
        <v>0</v>
      </c>
      <c r="H382" s="3688">
        <v>0</v>
      </c>
      <c r="I382" s="3688">
        <v>0</v>
      </c>
      <c r="J382" s="3688">
        <v>0</v>
      </c>
      <c r="K382" s="3688">
        <v>0</v>
      </c>
      <c r="L382" s="3688">
        <v>0</v>
      </c>
      <c r="M382" s="3688">
        <v>0</v>
      </c>
      <c r="N382" s="6"/>
    </row>
    <row r="383" spans="4:14" ht="15" customHeight="1">
      <c r="D383" s="6"/>
      <c r="E383" s="1039" t="s">
        <v>504</v>
      </c>
      <c r="F383" s="3686" cm="1">
        <f t="array" ref="F383:M383">_xlfn.ANCHORARRAY(F479)</f>
        <v>0</v>
      </c>
      <c r="G383" s="3686">
        <v>0</v>
      </c>
      <c r="H383" s="3686">
        <v>0</v>
      </c>
      <c r="I383" s="3686">
        <v>0</v>
      </c>
      <c r="J383" s="3686">
        <v>0</v>
      </c>
      <c r="K383" s="3686">
        <v>0</v>
      </c>
      <c r="L383" s="3686">
        <v>0</v>
      </c>
      <c r="M383" s="3686">
        <v>0</v>
      </c>
      <c r="N383" s="6"/>
    </row>
    <row r="384" spans="4:14" ht="15" customHeight="1">
      <c r="D384" s="6"/>
      <c r="E384" s="1589" t="s">
        <v>1743</v>
      </c>
      <c r="F384" s="1590">
        <f t="shared" ref="F384:M384" si="20">SUM(F374:F383)</f>
        <v>6.9991353813828177</v>
      </c>
      <c r="G384" s="1590">
        <f t="shared" si="20"/>
        <v>6.9991353813828177</v>
      </c>
      <c r="H384" s="1590">
        <f t="shared" si="20"/>
        <v>10.000500727218851</v>
      </c>
      <c r="I384" s="1590">
        <f t="shared" si="20"/>
        <v>10.437946688555277</v>
      </c>
      <c r="J384" s="1590">
        <f t="shared" si="20"/>
        <v>11.689528189045609</v>
      </c>
      <c r="K384" s="1590">
        <f t="shared" si="20"/>
        <v>12.880353306016991</v>
      </c>
      <c r="L384" s="1590">
        <f t="shared" si="20"/>
        <v>14.156237359914901</v>
      </c>
      <c r="M384" s="1590">
        <f t="shared" si="20"/>
        <v>15.49287779733176</v>
      </c>
      <c r="N384" s="6"/>
    </row>
    <row r="385" spans="4:14" ht="15" customHeight="1">
      <c r="D385" s="6"/>
      <c r="E385" s="1039"/>
      <c r="F385" s="1594"/>
      <c r="G385" s="1594"/>
      <c r="H385" s="1594"/>
      <c r="I385" s="1594"/>
      <c r="J385" s="1594"/>
      <c r="K385" s="1594"/>
      <c r="L385" s="1594"/>
      <c r="M385" s="1594"/>
      <c r="N385" s="6"/>
    </row>
    <row r="386" spans="4:14" ht="15" customHeight="1">
      <c r="D386" s="50"/>
      <c r="E386" s="48" t="s">
        <v>1744</v>
      </c>
      <c r="F386" s="48"/>
      <c r="G386" s="48"/>
      <c r="H386" s="48"/>
      <c r="I386" s="48"/>
      <c r="J386" s="48"/>
      <c r="K386" s="48"/>
      <c r="L386" s="48"/>
      <c r="M386" s="48"/>
      <c r="N386" s="50"/>
    </row>
    <row r="387" spans="4:14" ht="15" customHeight="1">
      <c r="D387" s="50"/>
      <c r="E387" s="1041"/>
      <c r="F387" s="50"/>
      <c r="G387" s="50"/>
      <c r="H387" s="50"/>
      <c r="I387" s="50"/>
      <c r="J387" s="50"/>
      <c r="K387" s="50"/>
      <c r="L387" s="50"/>
      <c r="M387" s="52" t="s">
        <v>9</v>
      </c>
      <c r="N387" s="52"/>
    </row>
    <row r="388" spans="4:14" ht="15" customHeight="1">
      <c r="D388" s="50"/>
      <c r="E388" s="1040" t="s">
        <v>286</v>
      </c>
      <c r="F388" s="459">
        <v>2018</v>
      </c>
      <c r="G388" s="459" t="s">
        <v>322</v>
      </c>
      <c r="H388" s="459" t="s">
        <v>323</v>
      </c>
      <c r="I388" s="459" t="s">
        <v>324</v>
      </c>
      <c r="J388" s="459" t="s">
        <v>325</v>
      </c>
      <c r="K388" s="459" t="s">
        <v>326</v>
      </c>
      <c r="L388" s="459" t="s">
        <v>327</v>
      </c>
      <c r="M388" s="459" t="s">
        <v>328</v>
      </c>
      <c r="N388" s="461"/>
    </row>
    <row r="389" spans="4:14" ht="15" customHeight="1">
      <c r="D389" s="50"/>
      <c r="E389" s="1039" t="s">
        <v>62</v>
      </c>
      <c r="F389" s="2075" t="s">
        <v>72</v>
      </c>
      <c r="G389" s="2075" t="s">
        <v>72</v>
      </c>
      <c r="H389" s="2075" t="s">
        <v>72</v>
      </c>
      <c r="I389" s="2075" t="s">
        <v>72</v>
      </c>
      <c r="J389" s="2075" t="s">
        <v>72</v>
      </c>
      <c r="K389" s="2075" t="s">
        <v>72</v>
      </c>
      <c r="L389" s="2075" t="s">
        <v>72</v>
      </c>
      <c r="M389" s="2075" t="s">
        <v>72</v>
      </c>
      <c r="N389" s="461"/>
    </row>
    <row r="390" spans="4:14" ht="15" customHeight="1">
      <c r="D390" s="50"/>
      <c r="E390" s="1014" t="s">
        <v>292</v>
      </c>
      <c r="F390" s="2075" t="s">
        <v>72</v>
      </c>
      <c r="G390" s="2075" t="s">
        <v>72</v>
      </c>
      <c r="H390" s="2075" t="s">
        <v>72</v>
      </c>
      <c r="I390" s="2075" t="s">
        <v>72</v>
      </c>
      <c r="J390" s="2075" t="s">
        <v>72</v>
      </c>
      <c r="K390" s="2075" t="s">
        <v>72</v>
      </c>
      <c r="L390" s="2075" t="s">
        <v>72</v>
      </c>
      <c r="M390" s="2075" t="s">
        <v>72</v>
      </c>
      <c r="N390" s="461"/>
    </row>
    <row r="391" spans="4:14" ht="15" customHeight="1">
      <c r="D391" s="50"/>
      <c r="E391" s="1014" t="s">
        <v>1720</v>
      </c>
      <c r="F391" s="2075" cm="1">
        <f t="array" ref="F391:M391">SALIDA_DEMANDA_IND_ELECTRICIDAD</f>
        <v>1.1105359253796188</v>
      </c>
      <c r="G391" s="2075">
        <v>1.1105359253796188</v>
      </c>
      <c r="H391" s="2075">
        <v>1.2779400846760602</v>
      </c>
      <c r="I391" s="2075">
        <v>1.4472075486028639</v>
      </c>
      <c r="J391" s="2075">
        <v>1.4472075486028639</v>
      </c>
      <c r="K391" s="2075">
        <v>1.4472075486028639</v>
      </c>
      <c r="L391" s="2075">
        <v>1.4472075486028639</v>
      </c>
      <c r="M391" s="2075">
        <v>1.4472075486028639</v>
      </c>
      <c r="N391" s="461"/>
    </row>
    <row r="392" spans="4:14" ht="15" customHeight="1">
      <c r="D392" s="50"/>
      <c r="E392" s="1014" t="s">
        <v>487</v>
      </c>
      <c r="F392" s="2075" cm="1">
        <f t="array" ref="F392:M392">(IF(SALIDA_RESIDUOS_BALANCE_TOTAL&gt;0,SALIDA_RESIDUOS_BALANCE_TOTAL,0))+(IF(SALIDA_DEMANDA_AGUAS_RES_ENERGETICO&gt;0,SALIDA_DEMANDA_AGUAS_RES_ENERGETICO,0))</f>
        <v>0</v>
      </c>
      <c r="G392" s="2075">
        <v>0</v>
      </c>
      <c r="H392" s="2075">
        <v>0</v>
      </c>
      <c r="I392" s="2075">
        <v>0</v>
      </c>
      <c r="J392" s="2075">
        <v>0</v>
      </c>
      <c r="K392" s="2075">
        <v>0</v>
      </c>
      <c r="L392" s="2075">
        <v>0</v>
      </c>
      <c r="M392" s="2075">
        <v>0</v>
      </c>
      <c r="N392" s="461"/>
    </row>
    <row r="393" spans="4:14" ht="15" customHeight="1">
      <c r="D393" s="50"/>
      <c r="E393" s="1014" t="s">
        <v>488</v>
      </c>
      <c r="F393" s="2075" cm="1">
        <f t="array" ref="F393:M393">SALIDA_DEMANDA_EDI_RES_URB_AER_ELECTRICIDAD+SALIDA_DEMANDA_EDI_RES_URB_IRCO_ELECTRICIDAD+SALIDA_DEMANDA_EDI_RES_RURAL_ELECTRICIDAD+SALIDA_DEMANDA_EDI_COM_AEC_ELECTRICIDAD+SALIDA_DEMANDA_EDI_COM_UTE_ELECTRICIDAD</f>
        <v>2.4956767646552338</v>
      </c>
      <c r="G393" s="2075">
        <v>2.9696845015880791</v>
      </c>
      <c r="H393" s="2075">
        <v>3.7535246156516902</v>
      </c>
      <c r="I393" s="2075">
        <v>4.492538701781136</v>
      </c>
      <c r="J393" s="2075">
        <v>5.1692154383240059</v>
      </c>
      <c r="K393" s="2075">
        <v>5.8756467754649666</v>
      </c>
      <c r="L393" s="2075">
        <v>6.5486292461482893</v>
      </c>
      <c r="M393" s="2075">
        <v>7.2209865852126551</v>
      </c>
      <c r="N393" s="461"/>
    </row>
    <row r="394" spans="4:14" ht="15" customHeight="1">
      <c r="D394" s="50"/>
      <c r="E394" s="1014" t="s">
        <v>489</v>
      </c>
      <c r="F394" s="2075" cm="1">
        <f t="array" ref="F394:M394">SALIDA_DEMANDA_TRANS_PAS_ELECTRICIDAD+SALIDA_DEMANDA_TRANS_CAR_Electricidad</f>
        <v>1.0000380374251177E-2</v>
      </c>
      <c r="G394" s="2075">
        <v>1.0002071007158175E-2</v>
      </c>
      <c r="H394" s="2075">
        <v>1.0011280006724257E-2</v>
      </c>
      <c r="I394" s="2075">
        <v>1.0058731399680707E-2</v>
      </c>
      <c r="J394" s="2075">
        <v>5.009720492731462E-2</v>
      </c>
      <c r="K394" s="2075">
        <v>0.10012001303443238</v>
      </c>
      <c r="L394" s="2075">
        <v>0.15013127195712794</v>
      </c>
      <c r="M394" s="2075">
        <v>0.20013815422342404</v>
      </c>
      <c r="N394" s="461"/>
    </row>
    <row r="395" spans="4:14" ht="15" customHeight="1">
      <c r="D395" s="50"/>
      <c r="E395" s="1014" t="s">
        <v>306</v>
      </c>
      <c r="F395" s="2075" t="s">
        <v>72</v>
      </c>
      <c r="G395" s="2075" t="s">
        <v>72</v>
      </c>
      <c r="H395" s="2075" t="s">
        <v>72</v>
      </c>
      <c r="I395" s="2075" t="s">
        <v>72</v>
      </c>
      <c r="J395" s="2075" t="s">
        <v>72</v>
      </c>
      <c r="K395" s="2075" t="s">
        <v>72</v>
      </c>
      <c r="L395" s="2075" t="s">
        <v>72</v>
      </c>
      <c r="M395" s="2075" t="s">
        <v>72</v>
      </c>
      <c r="N395" s="461"/>
    </row>
    <row r="396" spans="4:14" ht="15" customHeight="1">
      <c r="D396" s="50"/>
      <c r="E396" s="1014" t="s">
        <v>308</v>
      </c>
      <c r="F396" s="2075" t="s">
        <v>72</v>
      </c>
      <c r="G396" s="2075" t="s">
        <v>72</v>
      </c>
      <c r="H396" s="2075" t="s">
        <v>72</v>
      </c>
      <c r="I396" s="2075" t="s">
        <v>72</v>
      </c>
      <c r="J396" s="2075" t="s">
        <v>72</v>
      </c>
      <c r="K396" s="2075" t="s">
        <v>72</v>
      </c>
      <c r="L396" s="2075" t="s">
        <v>72</v>
      </c>
      <c r="M396" s="2075" t="s">
        <v>72</v>
      </c>
      <c r="N396" s="461"/>
    </row>
    <row r="397" spans="4:14" ht="15" customHeight="1">
      <c r="D397" s="50"/>
      <c r="E397" s="1015" t="s">
        <v>310</v>
      </c>
      <c r="F397" s="2075" t="s">
        <v>72</v>
      </c>
      <c r="G397" s="2075" t="s">
        <v>72</v>
      </c>
      <c r="H397" s="2075" t="s">
        <v>72</v>
      </c>
      <c r="I397" s="2075" t="s">
        <v>72</v>
      </c>
      <c r="J397" s="2075" t="s">
        <v>72</v>
      </c>
      <c r="K397" s="2075" t="s">
        <v>72</v>
      </c>
      <c r="L397" s="2075" t="s">
        <v>72</v>
      </c>
      <c r="M397" s="2075" t="s">
        <v>72</v>
      </c>
      <c r="N397" s="461"/>
    </row>
    <row r="398" spans="4:14" ht="15" customHeight="1">
      <c r="D398" s="50"/>
      <c r="E398" s="55" t="s">
        <v>338</v>
      </c>
      <c r="F398" s="2085">
        <f t="shared" ref="F398:M398" si="21">SUM(F389:F396)</f>
        <v>3.6162130704091036</v>
      </c>
      <c r="G398" s="2085">
        <f t="shared" si="21"/>
        <v>4.0902224979748558</v>
      </c>
      <c r="H398" s="2085">
        <f t="shared" si="21"/>
        <v>5.0414759803344742</v>
      </c>
      <c r="I398" s="2085">
        <f t="shared" si="21"/>
        <v>5.9498049817836804</v>
      </c>
      <c r="J398" s="2085">
        <f t="shared" si="21"/>
        <v>6.6665201918541843</v>
      </c>
      <c r="K398" s="2085">
        <f t="shared" si="21"/>
        <v>7.4229743371022634</v>
      </c>
      <c r="L398" s="2085">
        <f t="shared" si="21"/>
        <v>8.1459680667082814</v>
      </c>
      <c r="M398" s="2085">
        <f t="shared" si="21"/>
        <v>8.8683322880389426</v>
      </c>
      <c r="N398" s="474"/>
    </row>
    <row r="399" spans="4:14" ht="15" customHeight="1">
      <c r="D399" s="50"/>
      <c r="E399" s="51"/>
      <c r="F399" s="2091"/>
      <c r="G399" s="2091"/>
      <c r="H399" s="2091"/>
      <c r="I399" s="2091"/>
      <c r="J399" s="2091"/>
      <c r="K399" s="2091"/>
      <c r="L399" s="2091"/>
      <c r="M399" s="2091"/>
      <c r="N399" s="474"/>
    </row>
    <row r="400" spans="4:14" ht="15" customHeight="1">
      <c r="D400" s="50"/>
      <c r="E400" s="48" t="s">
        <v>1745</v>
      </c>
      <c r="F400" s="48"/>
      <c r="G400" s="48"/>
      <c r="H400" s="48"/>
      <c r="I400" s="48"/>
      <c r="J400" s="48"/>
      <c r="K400" s="48"/>
      <c r="L400" s="48"/>
      <c r="M400" s="48"/>
      <c r="N400" s="50"/>
    </row>
    <row r="401" spans="4:14" ht="15" customHeight="1">
      <c r="D401" s="50"/>
      <c r="E401" s="51"/>
      <c r="F401" s="50"/>
      <c r="G401" s="50"/>
      <c r="H401" s="50"/>
      <c r="I401" s="50"/>
      <c r="J401" s="50"/>
      <c r="K401" s="50"/>
      <c r="L401" s="50"/>
      <c r="M401" s="52" t="s">
        <v>9</v>
      </c>
      <c r="N401" s="474"/>
    </row>
    <row r="402" spans="4:14" ht="15" customHeight="1">
      <c r="D402" s="50"/>
      <c r="E402" s="2094"/>
      <c r="F402" s="459">
        <v>2018</v>
      </c>
      <c r="G402" s="459" t="s">
        <v>322</v>
      </c>
      <c r="H402" s="459" t="s">
        <v>323</v>
      </c>
      <c r="I402" s="459" t="s">
        <v>324</v>
      </c>
      <c r="J402" s="459" t="s">
        <v>325</v>
      </c>
      <c r="K402" s="459" t="s">
        <v>326</v>
      </c>
      <c r="L402" s="459" t="s">
        <v>327</v>
      </c>
      <c r="M402" s="459" t="s">
        <v>328</v>
      </c>
      <c r="N402" s="474"/>
    </row>
    <row r="403" spans="4:14" ht="15" customHeight="1">
      <c r="D403" s="50"/>
      <c r="E403" s="2093" t="s">
        <v>1746</v>
      </c>
      <c r="F403" s="2092" cm="1">
        <f t="array" ref="F403:M403">SALIDA_GENERACION_ELECT_total_renovables-F398:M398</f>
        <v>3.3829223109737141</v>
      </c>
      <c r="G403" s="2092">
        <v>2.9089128834079618</v>
      </c>
      <c r="H403" s="2092">
        <v>4.9590247468843769</v>
      </c>
      <c r="I403" s="2092">
        <v>4.4881417067715965</v>
      </c>
      <c r="J403" s="2092">
        <v>5.0230079971914243</v>
      </c>
      <c r="K403" s="2092">
        <v>5.4573789689147274</v>
      </c>
      <c r="L403" s="2092">
        <v>6.0102692932066191</v>
      </c>
      <c r="M403" s="2092">
        <v>6.6245455092928172</v>
      </c>
      <c r="N403" s="474"/>
    </row>
    <row r="404" spans="4:14" ht="15" customHeight="1">
      <c r="D404" s="50"/>
      <c r="E404" s="51"/>
      <c r="F404" s="2091"/>
      <c r="G404" s="2091"/>
      <c r="H404" s="2091"/>
      <c r="I404" s="2091"/>
      <c r="J404" s="2091"/>
      <c r="K404" s="2091"/>
      <c r="L404" s="2091"/>
      <c r="M404" s="2091"/>
      <c r="N404" s="474"/>
    </row>
    <row r="405" spans="4:14" ht="15" customHeight="1">
      <c r="D405" s="517"/>
      <c r="E405" s="517"/>
      <c r="F405" s="517"/>
      <c r="G405" s="517"/>
      <c r="H405" s="517"/>
      <c r="I405" s="517"/>
      <c r="J405" s="517"/>
      <c r="K405" s="517"/>
      <c r="L405" s="517"/>
      <c r="M405" s="517"/>
      <c r="N405" s="517"/>
    </row>
    <row r="406" spans="4:14" ht="15" customHeight="1">
      <c r="D406" s="539" t="s">
        <v>1671</v>
      </c>
      <c r="E406" s="540"/>
      <c r="F406" s="540"/>
      <c r="G406" s="540"/>
      <c r="H406" s="540"/>
      <c r="I406" s="540"/>
      <c r="J406" s="540"/>
      <c r="K406" s="540"/>
      <c r="L406" s="540"/>
      <c r="M406" s="540"/>
      <c r="N406" s="540"/>
    </row>
    <row r="407" spans="4:14" ht="15" customHeight="1">
      <c r="D407" s="477"/>
      <c r="E407" s="477"/>
      <c r="F407" s="477"/>
      <c r="G407" s="477"/>
      <c r="H407" s="477"/>
      <c r="I407" s="477"/>
      <c r="J407" s="477"/>
      <c r="K407" s="477"/>
      <c r="L407" s="477"/>
      <c r="M407" s="477"/>
      <c r="N407" s="477"/>
    </row>
    <row r="408" spans="4:14" ht="15" customHeight="1">
      <c r="D408" s="477"/>
      <c r="E408" s="475" t="s">
        <v>1672</v>
      </c>
      <c r="F408" s="475"/>
      <c r="G408" s="475"/>
      <c r="H408" s="475"/>
      <c r="I408" s="475"/>
      <c r="J408" s="475"/>
      <c r="K408" s="475"/>
      <c r="L408" s="475"/>
      <c r="M408" s="475"/>
      <c r="N408" s="477"/>
    </row>
    <row r="409" spans="4:14" ht="15" customHeight="1">
      <c r="D409" s="477"/>
      <c r="E409" s="478"/>
      <c r="F409" s="477"/>
      <c r="G409" s="477"/>
      <c r="H409" s="477"/>
      <c r="I409" s="477"/>
      <c r="J409" s="477"/>
      <c r="K409" s="477"/>
      <c r="L409" s="477"/>
      <c r="M409" s="477"/>
      <c r="N409" s="477"/>
    </row>
    <row r="410" spans="4:14" ht="15" customHeight="1">
      <c r="D410" s="58"/>
      <c r="E410" s="1368" t="s">
        <v>1735</v>
      </c>
      <c r="F410" s="58"/>
      <c r="G410" s="58"/>
      <c r="H410" s="58"/>
      <c r="I410" s="58"/>
      <c r="J410" s="58"/>
      <c r="K410" s="58"/>
      <c r="L410" s="58"/>
      <c r="M410" s="1369" t="s">
        <v>35</v>
      </c>
      <c r="N410" s="58"/>
    </row>
    <row r="411" spans="4:14" ht="15" customHeight="1">
      <c r="D411" s="58"/>
      <c r="E411" s="1370" t="s">
        <v>859</v>
      </c>
      <c r="F411" s="1370">
        <v>2018</v>
      </c>
      <c r="G411" s="1370">
        <v>2020</v>
      </c>
      <c r="H411" s="1370">
        <v>2025</v>
      </c>
      <c r="I411" s="1370">
        <v>2030</v>
      </c>
      <c r="J411" s="1370">
        <v>2035</v>
      </c>
      <c r="K411" s="1370">
        <v>2040</v>
      </c>
      <c r="L411" s="1370">
        <v>2045</v>
      </c>
      <c r="M411" s="1370">
        <v>2050</v>
      </c>
      <c r="N411" s="58"/>
    </row>
    <row r="412" spans="4:14" ht="15" customHeight="1">
      <c r="D412" s="58"/>
      <c r="E412" s="1368" t="s">
        <v>535</v>
      </c>
      <c r="F412" s="1371" cm="1">
        <f t="array" ref="F412:M412">_xlfn.ANCHORARRAY(F487)</f>
        <v>0.26980611192310738</v>
      </c>
      <c r="G412" s="1371">
        <v>0.26980611192310738</v>
      </c>
      <c r="H412" s="1372">
        <v>0.4047091678846611</v>
      </c>
      <c r="I412" s="1372">
        <v>0.4047091678846611</v>
      </c>
      <c r="J412" s="1372">
        <v>0.4047091678846611</v>
      </c>
      <c r="K412" s="1372">
        <v>0.4047091678846611</v>
      </c>
      <c r="L412" s="1372">
        <v>0.4047091678846611</v>
      </c>
      <c r="M412" s="1372">
        <v>0.4047091678846611</v>
      </c>
      <c r="N412" s="58"/>
    </row>
    <row r="413" spans="4:14" ht="15" customHeight="1">
      <c r="D413" s="58"/>
      <c r="E413" s="1368" t="s">
        <v>536</v>
      </c>
      <c r="F413" s="1371" cm="1">
        <f t="array" ref="F413:M413">_xlfn.ANCHORARRAY(F488)</f>
        <v>1.1334268213982082</v>
      </c>
      <c r="G413" s="1371">
        <v>1.1334268213982082</v>
      </c>
      <c r="H413" s="1372">
        <v>1.1334268213982082</v>
      </c>
      <c r="I413" s="1372">
        <v>1.1334268213982082</v>
      </c>
      <c r="J413" s="1372">
        <v>1.1334268213982082</v>
      </c>
      <c r="K413" s="1372">
        <v>1.1334268213982082</v>
      </c>
      <c r="L413" s="1372">
        <v>1.1334268213982082</v>
      </c>
      <c r="M413" s="1372">
        <v>1.1334268213982082</v>
      </c>
      <c r="N413" s="58"/>
    </row>
    <row r="414" spans="4:14" ht="15" customHeight="1">
      <c r="D414" s="58"/>
      <c r="E414" s="1368" t="s">
        <v>526</v>
      </c>
      <c r="F414" s="1371" cm="1">
        <f t="array" ref="F414:M414">_xlfn.ANCHORARRAY(F489)</f>
        <v>3.4791295464930524E-2</v>
      </c>
      <c r="G414" s="1371">
        <v>0</v>
      </c>
      <c r="H414" s="1372">
        <v>0</v>
      </c>
      <c r="I414" s="1372">
        <v>0</v>
      </c>
      <c r="J414" s="1372">
        <v>0</v>
      </c>
      <c r="K414" s="1372">
        <v>0</v>
      </c>
      <c r="L414" s="1372">
        <v>0</v>
      </c>
      <c r="M414" s="1372">
        <v>0</v>
      </c>
      <c r="N414" s="58"/>
    </row>
    <row r="415" spans="4:14" ht="15" customHeight="1">
      <c r="D415" s="58"/>
      <c r="E415" s="1368" t="s">
        <v>537</v>
      </c>
      <c r="F415" s="1371" cm="1">
        <f t="array" ref="F415:M415">_xlfn.ANCHORARRAY(F490)</f>
        <v>0</v>
      </c>
      <c r="G415" s="1371">
        <v>0</v>
      </c>
      <c r="H415" s="1372">
        <v>0</v>
      </c>
      <c r="I415" s="1372">
        <v>0</v>
      </c>
      <c r="J415" s="1372">
        <v>0</v>
      </c>
      <c r="K415" s="1372">
        <v>0</v>
      </c>
      <c r="L415" s="1372">
        <v>0</v>
      </c>
      <c r="M415" s="1372">
        <v>0</v>
      </c>
      <c r="N415" s="58"/>
    </row>
    <row r="416" spans="4:14" ht="15" customHeight="1">
      <c r="D416" s="58"/>
      <c r="E416" s="1368" t="s">
        <v>525</v>
      </c>
      <c r="F416" s="1371" cm="1">
        <f t="array" ref="F416:M416">_xlfn.ANCHORARRAY(F491)</f>
        <v>0</v>
      </c>
      <c r="G416" s="1371">
        <v>0</v>
      </c>
      <c r="H416" s="1372">
        <v>0</v>
      </c>
      <c r="I416" s="1372">
        <v>0</v>
      </c>
      <c r="J416" s="1372">
        <v>0</v>
      </c>
      <c r="K416" s="1372">
        <v>0</v>
      </c>
      <c r="L416" s="1372">
        <v>0</v>
      </c>
      <c r="M416" s="1372">
        <v>0</v>
      </c>
      <c r="N416" s="58"/>
    </row>
    <row r="417" spans="4:14" ht="15" customHeight="1">
      <c r="D417" s="58"/>
      <c r="E417" s="1368" t="s">
        <v>1663</v>
      </c>
      <c r="F417" s="1371" cm="1">
        <f t="array" ref="F417:M417">_xlfn.ANCHORARRAY(F492)</f>
        <v>0</v>
      </c>
      <c r="G417" s="1371">
        <v>0</v>
      </c>
      <c r="H417" s="1372">
        <v>0</v>
      </c>
      <c r="I417" s="1372">
        <v>0</v>
      </c>
      <c r="J417" s="1372">
        <v>0</v>
      </c>
      <c r="K417" s="1372">
        <v>0</v>
      </c>
      <c r="L417" s="1372">
        <v>0</v>
      </c>
      <c r="M417" s="1372">
        <v>0</v>
      </c>
      <c r="N417" s="58"/>
    </row>
    <row r="418" spans="4:14" ht="15" customHeight="1">
      <c r="D418" s="58"/>
      <c r="E418" s="1368" t="s">
        <v>538</v>
      </c>
      <c r="F418" s="1371" cm="1">
        <f t="array" ref="F418:M418">_xlfn.ANCHORARRAY(F493)</f>
        <v>0</v>
      </c>
      <c r="G418" s="1373">
        <v>0</v>
      </c>
      <c r="H418" s="1373">
        <v>0</v>
      </c>
      <c r="I418" s="1373">
        <v>0</v>
      </c>
      <c r="J418" s="1373">
        <v>0</v>
      </c>
      <c r="K418" s="1373">
        <v>0</v>
      </c>
      <c r="L418" s="1373">
        <v>0</v>
      </c>
      <c r="M418" s="1373">
        <v>0</v>
      </c>
      <c r="N418" s="58"/>
    </row>
    <row r="419" spans="4:14" ht="15" customHeight="1">
      <c r="D419" s="58"/>
      <c r="E419" s="1374" t="s">
        <v>539</v>
      </c>
      <c r="F419" s="1371" cm="1">
        <f t="array" ref="F419:M419">_xlfn.ANCHORARRAY(F494)</f>
        <v>0</v>
      </c>
      <c r="G419" s="1373">
        <v>0</v>
      </c>
      <c r="H419" s="1373">
        <v>0</v>
      </c>
      <c r="I419" s="1373">
        <v>0</v>
      </c>
      <c r="J419" s="1373">
        <v>0</v>
      </c>
      <c r="K419" s="1373">
        <v>0</v>
      </c>
      <c r="L419" s="1373">
        <v>0</v>
      </c>
      <c r="M419" s="1373">
        <v>0</v>
      </c>
      <c r="N419" s="58"/>
    </row>
    <row r="420" spans="4:14" ht="15" customHeight="1">
      <c r="D420" s="58"/>
      <c r="E420" s="1375" t="s">
        <v>1747</v>
      </c>
      <c r="F420" s="1376">
        <f>SUM(F412:F419)</f>
        <v>1.4380242287862461</v>
      </c>
      <c r="G420" s="1376">
        <f t="shared" ref="G420:M420" si="22">SUM(G412:G419)</f>
        <v>1.4032329333213156</v>
      </c>
      <c r="H420" s="1376">
        <f t="shared" si="22"/>
        <v>1.5381359892828692</v>
      </c>
      <c r="I420" s="1376">
        <f t="shared" si="22"/>
        <v>1.5381359892828692</v>
      </c>
      <c r="J420" s="1376">
        <f t="shared" si="22"/>
        <v>1.5381359892828692</v>
      </c>
      <c r="K420" s="1376">
        <f t="shared" si="22"/>
        <v>1.5381359892828692</v>
      </c>
      <c r="L420" s="1376">
        <f t="shared" si="22"/>
        <v>1.5381359892828692</v>
      </c>
      <c r="M420" s="1376">
        <f t="shared" si="22"/>
        <v>1.5381359892828692</v>
      </c>
      <c r="N420" s="58"/>
    </row>
    <row r="421" spans="4:14" ht="15" customHeight="1">
      <c r="D421" s="58"/>
      <c r="E421" s="1368"/>
      <c r="F421" s="1377"/>
      <c r="G421" s="1377"/>
      <c r="H421" s="1377"/>
      <c r="I421" s="1377"/>
      <c r="J421" s="1377"/>
      <c r="K421" s="1377"/>
      <c r="L421" s="1377"/>
      <c r="M421" s="1377"/>
      <c r="N421" s="58"/>
    </row>
    <row r="422" spans="4:14" ht="15" customHeight="1">
      <c r="D422" s="58"/>
      <c r="E422" s="1368" t="s">
        <v>1737</v>
      </c>
      <c r="F422" s="1377"/>
      <c r="G422" s="1377"/>
      <c r="H422" s="1377"/>
      <c r="I422" s="1377"/>
      <c r="J422" s="1377"/>
      <c r="K422" s="1377"/>
      <c r="L422" s="1377"/>
      <c r="M422" s="1369" t="s">
        <v>35</v>
      </c>
      <c r="N422" s="58"/>
    </row>
    <row r="423" spans="4:14" ht="15" customHeight="1">
      <c r="D423" s="58"/>
      <c r="E423" s="1370" t="s">
        <v>859</v>
      </c>
      <c r="F423" s="1370">
        <v>2018</v>
      </c>
      <c r="G423" s="1370">
        <v>2020</v>
      </c>
      <c r="H423" s="1370">
        <v>2025</v>
      </c>
      <c r="I423" s="1370">
        <v>2030</v>
      </c>
      <c r="J423" s="1370">
        <v>2035</v>
      </c>
      <c r="K423" s="1370">
        <v>2040</v>
      </c>
      <c r="L423" s="1370">
        <v>2045</v>
      </c>
      <c r="M423" s="1370">
        <v>2050</v>
      </c>
      <c r="N423" s="58"/>
    </row>
    <row r="424" spans="4:14" ht="15" customHeight="1">
      <c r="D424" s="58"/>
      <c r="E424" s="1368" t="s">
        <v>542</v>
      </c>
      <c r="F424" s="1372" cm="1">
        <f t="array" ref="F424:M424">_xlfn.ANCHORARRAY(F499)</f>
        <v>0</v>
      </c>
      <c r="G424" s="1372">
        <v>0</v>
      </c>
      <c r="H424" s="1372">
        <v>0</v>
      </c>
      <c r="I424" s="1372">
        <v>0</v>
      </c>
      <c r="J424" s="1372">
        <v>0</v>
      </c>
      <c r="K424" s="1372">
        <v>0</v>
      </c>
      <c r="L424" s="1372">
        <v>0</v>
      </c>
      <c r="M424" s="1372">
        <v>0</v>
      </c>
      <c r="N424" s="58"/>
    </row>
    <row r="425" spans="4:14" ht="15" customHeight="1">
      <c r="D425" s="58"/>
      <c r="E425" s="1378" t="s">
        <v>543</v>
      </c>
      <c r="F425" s="1379" cm="1">
        <f t="array" ref="F425:M425">_xlfn.ANCHORARRAY(F500)</f>
        <v>0</v>
      </c>
      <c r="G425" s="1379">
        <v>0</v>
      </c>
      <c r="H425" s="1379">
        <v>0</v>
      </c>
      <c r="I425" s="1379">
        <v>0</v>
      </c>
      <c r="J425" s="1379">
        <v>0</v>
      </c>
      <c r="K425" s="1379">
        <v>0</v>
      </c>
      <c r="L425" s="1379">
        <v>0</v>
      </c>
      <c r="M425" s="1379">
        <v>0</v>
      </c>
      <c r="N425" s="58"/>
    </row>
    <row r="426" spans="4:14" ht="15" customHeight="1">
      <c r="D426" s="58"/>
      <c r="E426" s="1368" t="s">
        <v>1727</v>
      </c>
      <c r="F426" s="1371" cm="1">
        <f t="array" ref="F426:M426">_xlfn.ANCHORARRAY(F501)</f>
        <v>0</v>
      </c>
      <c r="G426" s="1371">
        <v>0</v>
      </c>
      <c r="H426" s="1371">
        <v>0</v>
      </c>
      <c r="I426" s="1371">
        <v>0</v>
      </c>
      <c r="J426" s="1371">
        <v>0</v>
      </c>
      <c r="K426" s="1371">
        <v>0</v>
      </c>
      <c r="L426" s="1371">
        <v>0</v>
      </c>
      <c r="M426" s="1371">
        <v>0</v>
      </c>
      <c r="N426" s="58"/>
    </row>
    <row r="427" spans="4:14" ht="15" customHeight="1">
      <c r="D427" s="58"/>
      <c r="E427" s="1378" t="s">
        <v>545</v>
      </c>
      <c r="F427" s="1379" cm="1">
        <f t="array" ref="F427:M427">_xlfn.ANCHORARRAY(F502)</f>
        <v>0</v>
      </c>
      <c r="G427" s="1379">
        <v>0</v>
      </c>
      <c r="H427" s="1380">
        <v>0</v>
      </c>
      <c r="I427" s="1380">
        <v>0</v>
      </c>
      <c r="J427" s="1380">
        <v>0</v>
      </c>
      <c r="K427" s="1380">
        <v>0</v>
      </c>
      <c r="L427" s="1380">
        <v>0</v>
      </c>
      <c r="M427" s="1380">
        <v>0</v>
      </c>
      <c r="N427" s="58"/>
    </row>
    <row r="428" spans="4:14" ht="15" customHeight="1">
      <c r="D428" s="58"/>
      <c r="E428" s="1368" t="s">
        <v>546</v>
      </c>
      <c r="F428" s="1371" cm="1">
        <f t="array" ref="F428:M428">_xlfn.ANCHORARRAY(F503)</f>
        <v>0</v>
      </c>
      <c r="G428" s="1372">
        <v>0</v>
      </c>
      <c r="H428" s="1371">
        <v>0</v>
      </c>
      <c r="I428" s="1371">
        <v>0</v>
      </c>
      <c r="J428" s="1371">
        <v>0</v>
      </c>
      <c r="K428" s="1371">
        <v>0</v>
      </c>
      <c r="L428" s="1371">
        <v>0</v>
      </c>
      <c r="M428" s="1371">
        <v>0</v>
      </c>
      <c r="N428" s="58"/>
    </row>
    <row r="429" spans="4:14" ht="15" customHeight="1">
      <c r="D429" s="58"/>
      <c r="E429" s="1368" t="s">
        <v>547</v>
      </c>
      <c r="F429" s="1371" cm="1">
        <f t="array" ref="F429:M429">_xlfn.ANCHORARRAY(F504)</f>
        <v>0</v>
      </c>
      <c r="G429" s="1371">
        <v>0</v>
      </c>
      <c r="H429" s="1372">
        <v>0</v>
      </c>
      <c r="I429" s="1372">
        <v>0</v>
      </c>
      <c r="J429" s="1372">
        <v>0</v>
      </c>
      <c r="K429" s="1372">
        <v>0</v>
      </c>
      <c r="L429" s="1372">
        <v>0</v>
      </c>
      <c r="M429" s="1372">
        <v>0</v>
      </c>
      <c r="N429" s="58"/>
    </row>
    <row r="430" spans="4:14" ht="15" customHeight="1">
      <c r="D430" s="58"/>
      <c r="E430" s="1378" t="s">
        <v>548</v>
      </c>
      <c r="F430" s="1380" cm="1">
        <f t="array" ref="F430:M430">_xlfn.ANCHORARRAY(F505)</f>
        <v>0</v>
      </c>
      <c r="G430" s="1380">
        <v>0</v>
      </c>
      <c r="H430" s="1379">
        <v>0</v>
      </c>
      <c r="I430" s="1379">
        <v>0</v>
      </c>
      <c r="J430" s="1379">
        <v>0</v>
      </c>
      <c r="K430" s="1379">
        <v>0</v>
      </c>
      <c r="L430" s="1379">
        <v>0</v>
      </c>
      <c r="M430" s="1379">
        <v>0</v>
      </c>
      <c r="N430" s="58"/>
    </row>
    <row r="431" spans="4:14" ht="15" customHeight="1">
      <c r="D431" s="58"/>
      <c r="E431" s="1381" t="s">
        <v>549</v>
      </c>
      <c r="F431" s="1382" cm="1">
        <f t="array" ref="F431:M431">_xlfn.ANCHORARRAY(F506)</f>
        <v>0</v>
      </c>
      <c r="G431" s="1382">
        <v>0</v>
      </c>
      <c r="H431" s="1382">
        <v>0</v>
      </c>
      <c r="I431" s="1382">
        <v>0</v>
      </c>
      <c r="J431" s="1382">
        <v>0</v>
      </c>
      <c r="K431" s="1382">
        <v>0</v>
      </c>
      <c r="L431" s="1382">
        <v>0</v>
      </c>
      <c r="M431" s="1382">
        <v>0</v>
      </c>
      <c r="N431" s="58"/>
    </row>
    <row r="432" spans="4:14" ht="15" customHeight="1">
      <c r="D432" s="58"/>
      <c r="E432" s="1381" t="s">
        <v>162</v>
      </c>
      <c r="F432" s="1383" cm="1">
        <f t="array" ref="F432:M432">_xlfn.ANCHORARRAY(F507)</f>
        <v>0</v>
      </c>
      <c r="G432" s="1383">
        <v>0</v>
      </c>
      <c r="H432" s="1383">
        <v>0</v>
      </c>
      <c r="I432" s="1383">
        <v>0</v>
      </c>
      <c r="J432" s="1383">
        <v>0</v>
      </c>
      <c r="K432" s="1383">
        <v>0</v>
      </c>
      <c r="L432" s="1383">
        <v>0</v>
      </c>
      <c r="M432" s="1383">
        <v>0</v>
      </c>
      <c r="N432" s="58"/>
    </row>
    <row r="433" spans="4:14" ht="15" customHeight="1">
      <c r="D433" s="58"/>
      <c r="E433" s="1368" t="s">
        <v>504</v>
      </c>
      <c r="F433" s="1371" cm="1">
        <f t="array" ref="F433:M433">_xlfn.ANCHORARRAY(F508)</f>
        <v>0</v>
      </c>
      <c r="G433" s="1371">
        <v>0</v>
      </c>
      <c r="H433" s="1371">
        <v>0</v>
      </c>
      <c r="I433" s="1371">
        <v>0</v>
      </c>
      <c r="J433" s="1371">
        <v>0</v>
      </c>
      <c r="K433" s="1371">
        <v>0</v>
      </c>
      <c r="L433" s="1371">
        <v>0</v>
      </c>
      <c r="M433" s="1371">
        <v>0</v>
      </c>
      <c r="N433" s="58"/>
    </row>
    <row r="434" spans="4:14" ht="15" customHeight="1">
      <c r="D434" s="58"/>
      <c r="E434" s="1375" t="s">
        <v>1747</v>
      </c>
      <c r="F434" s="1376">
        <f t="shared" ref="F434:M434" si="23">SUM(F426:F433)</f>
        <v>0</v>
      </c>
      <c r="G434" s="1376">
        <f t="shared" si="23"/>
        <v>0</v>
      </c>
      <c r="H434" s="1376">
        <f t="shared" si="23"/>
        <v>0</v>
      </c>
      <c r="I434" s="1376">
        <f t="shared" si="23"/>
        <v>0</v>
      </c>
      <c r="J434" s="1376">
        <f t="shared" si="23"/>
        <v>0</v>
      </c>
      <c r="K434" s="1376">
        <f t="shared" si="23"/>
        <v>0</v>
      </c>
      <c r="L434" s="1376">
        <f t="shared" si="23"/>
        <v>0</v>
      </c>
      <c r="M434" s="1376">
        <f t="shared" si="23"/>
        <v>0</v>
      </c>
      <c r="N434" s="58"/>
    </row>
    <row r="435" spans="4:14" ht="15" customHeight="1">
      <c r="D435" s="58"/>
      <c r="E435" s="58"/>
      <c r="F435" s="58"/>
      <c r="G435" s="58"/>
      <c r="H435" s="58"/>
      <c r="I435" s="58"/>
      <c r="J435" s="58"/>
      <c r="K435" s="58"/>
      <c r="L435" s="58"/>
      <c r="M435" s="58"/>
      <c r="N435" s="58"/>
    </row>
    <row r="436" spans="4:14" ht="15" customHeight="1">
      <c r="D436" s="58"/>
      <c r="E436" s="58"/>
      <c r="F436" s="58"/>
      <c r="G436" s="58"/>
      <c r="H436" s="58"/>
      <c r="I436" s="58"/>
      <c r="J436" s="58"/>
      <c r="K436" s="58"/>
      <c r="L436" s="58"/>
      <c r="M436" s="58"/>
      <c r="N436" s="58"/>
    </row>
    <row r="437" spans="4:14" ht="15" customHeight="1">
      <c r="D437" s="58"/>
      <c r="E437" s="1375" t="s">
        <v>1748</v>
      </c>
      <c r="F437" s="1376">
        <f t="shared" ref="F437:M437" si="24">F420+F434</f>
        <v>1.4380242287862461</v>
      </c>
      <c r="G437" s="1376">
        <f t="shared" si="24"/>
        <v>1.4032329333213156</v>
      </c>
      <c r="H437" s="1376">
        <f t="shared" si="24"/>
        <v>1.5381359892828692</v>
      </c>
      <c r="I437" s="1376">
        <f t="shared" si="24"/>
        <v>1.5381359892828692</v>
      </c>
      <c r="J437" s="1376">
        <f t="shared" si="24"/>
        <v>1.5381359892828692</v>
      </c>
      <c r="K437" s="1376">
        <f t="shared" si="24"/>
        <v>1.5381359892828692</v>
      </c>
      <c r="L437" s="1376">
        <f t="shared" si="24"/>
        <v>1.5381359892828692</v>
      </c>
      <c r="M437" s="1376">
        <f t="shared" si="24"/>
        <v>1.5381359892828692</v>
      </c>
      <c r="N437" s="58"/>
    </row>
    <row r="438" spans="4:14" ht="15" customHeight="1">
      <c r="D438" s="477"/>
      <c r="E438" s="541"/>
      <c r="F438" s="477"/>
      <c r="G438" s="477"/>
      <c r="H438" s="477"/>
      <c r="I438" s="477"/>
      <c r="J438" s="477"/>
      <c r="K438" s="477"/>
      <c r="L438" s="479"/>
      <c r="M438" s="479"/>
      <c r="N438" s="477"/>
    </row>
    <row r="440" spans="4:14" ht="15" customHeight="1">
      <c r="D440" s="544" t="s">
        <v>797</v>
      </c>
      <c r="E440" s="490"/>
      <c r="F440" s="490"/>
      <c r="G440" s="490"/>
      <c r="H440" s="490"/>
      <c r="I440" s="490"/>
      <c r="J440" s="490"/>
      <c r="K440" s="490"/>
      <c r="L440" s="490"/>
      <c r="M440" s="490"/>
      <c r="N440" s="490"/>
    </row>
    <row r="441" spans="4:14" ht="15" customHeight="1">
      <c r="D441" s="3383"/>
      <c r="E441" s="3383"/>
      <c r="F441" s="3383"/>
      <c r="G441" s="3383"/>
      <c r="H441" s="3383"/>
      <c r="I441" s="3383"/>
      <c r="J441" s="3383"/>
      <c r="K441" s="3383"/>
      <c r="L441" s="3383"/>
      <c r="M441" s="3383"/>
      <c r="N441" s="3383"/>
    </row>
    <row r="442" spans="4:14" ht="15" customHeight="1">
      <c r="D442" s="3383"/>
      <c r="E442" s="3384" t="s">
        <v>1687</v>
      </c>
      <c r="F442" s="3383"/>
      <c r="G442" s="3383"/>
      <c r="H442" s="3383"/>
      <c r="I442" s="3383"/>
      <c r="J442" s="3383"/>
      <c r="K442" s="3383"/>
      <c r="L442" s="3383"/>
      <c r="M442" s="3385" t="s">
        <v>803</v>
      </c>
      <c r="N442" s="3384"/>
    </row>
    <row r="443" spans="4:14" ht="15" customHeight="1">
      <c r="D443" s="3383"/>
      <c r="E443" s="545" t="s">
        <v>699</v>
      </c>
      <c r="F443" s="545">
        <v>2018</v>
      </c>
      <c r="G443" s="545" t="s">
        <v>322</v>
      </c>
      <c r="H443" s="545" t="s">
        <v>323</v>
      </c>
      <c r="I443" s="545" t="s">
        <v>324</v>
      </c>
      <c r="J443" s="545" t="s">
        <v>325</v>
      </c>
      <c r="K443" s="545" t="s">
        <v>326</v>
      </c>
      <c r="L443" s="545" t="s">
        <v>327</v>
      </c>
      <c r="M443" s="545" t="s">
        <v>328</v>
      </c>
      <c r="N443" s="495"/>
    </row>
    <row r="444" spans="4:14" ht="15" customHeight="1">
      <c r="D444" s="3383"/>
      <c r="E444" s="3377" t="s">
        <v>1688</v>
      </c>
      <c r="F444" s="3378" cm="1">
        <f t="array" ref="F444:M444">F199:M199+F213:M213</f>
        <v>0</v>
      </c>
      <c r="G444" s="3378">
        <v>0</v>
      </c>
      <c r="H444" s="3378">
        <v>41454.008786745813</v>
      </c>
      <c r="I444" s="3378">
        <v>0</v>
      </c>
      <c r="J444" s="3378">
        <v>17597.214160534917</v>
      </c>
      <c r="K444" s="3378">
        <v>10071.95478403024</v>
      </c>
      <c r="L444" s="3378">
        <v>57193.611644950863</v>
      </c>
      <c r="M444" s="3378">
        <v>20615.478819125477</v>
      </c>
      <c r="N444" s="3386"/>
    </row>
    <row r="445" spans="4:14" ht="15" customHeight="1">
      <c r="D445" s="3383"/>
      <c r="E445" s="3379" t="s">
        <v>1689</v>
      </c>
      <c r="F445" s="3380" cm="1">
        <f t="array" ref="F445:M445">F227:M227+F241:M241</f>
        <v>0</v>
      </c>
      <c r="G445" s="3380">
        <v>0</v>
      </c>
      <c r="H445" s="3380">
        <v>33081.327286229738</v>
      </c>
      <c r="I445" s="3380">
        <v>0</v>
      </c>
      <c r="J445" s="3380">
        <v>15378.595456072231</v>
      </c>
      <c r="K445" s="3380">
        <v>7143.8702091940877</v>
      </c>
      <c r="L445" s="3380">
        <v>34238.904923399212</v>
      </c>
      <c r="M445" s="3380">
        <v>15630.025239382043</v>
      </c>
      <c r="N445" s="3386"/>
    </row>
    <row r="446" spans="4:14" ht="15" customHeight="1">
      <c r="D446" s="3383"/>
      <c r="E446" s="3379" t="s">
        <v>1690</v>
      </c>
      <c r="F446" s="3380" cm="1">
        <f t="array" ref="F446:M446">F255:M255+F269:M269</f>
        <v>0</v>
      </c>
      <c r="G446" s="3380">
        <v>0</v>
      </c>
      <c r="H446" s="3380">
        <v>20994.776497454041</v>
      </c>
      <c r="I446" s="3380">
        <v>0</v>
      </c>
      <c r="J446" s="3380">
        <v>11880.477609664336</v>
      </c>
      <c r="K446" s="3380">
        <v>6618.9474842934887</v>
      </c>
      <c r="L446" s="3380">
        <v>32565.713737778555</v>
      </c>
      <c r="M446" s="3380">
        <v>11286.494738768999</v>
      </c>
      <c r="N446" s="3386"/>
    </row>
    <row r="447" spans="4:14" ht="15" customHeight="1">
      <c r="D447" s="3383"/>
      <c r="E447" s="3379" t="s">
        <v>1749</v>
      </c>
      <c r="F447" s="3380" cm="1">
        <f t="array" ref="F447:M447">F283:M283+F297:M297</f>
        <v>0</v>
      </c>
      <c r="G447" s="3380">
        <v>2674.89137924738</v>
      </c>
      <c r="H447" s="3380">
        <v>3211.6248654582419</v>
      </c>
      <c r="I447" s="3380">
        <v>3211.6248654582419</v>
      </c>
      <c r="J447" s="3380">
        <v>3496.8875587714115</v>
      </c>
      <c r="K447" s="3380">
        <v>3698.3266544520161</v>
      </c>
      <c r="L447" s="3380">
        <v>4384.3350405564861</v>
      </c>
      <c r="M447" s="3380">
        <v>4691.2097866839222</v>
      </c>
      <c r="N447" s="3386"/>
    </row>
    <row r="448" spans="4:14" ht="15" customHeight="1">
      <c r="D448" s="3383"/>
      <c r="E448" s="3379" t="s">
        <v>1750</v>
      </c>
      <c r="F448" s="3380" cm="1">
        <f t="array" ref="F448:M448">F311:M311+F325:M325</f>
        <v>0</v>
      </c>
      <c r="G448" s="3380">
        <v>1609.1752189355154</v>
      </c>
      <c r="H448" s="3380">
        <v>2031.2048878380201</v>
      </c>
      <c r="I448" s="3380">
        <v>2031.2048878380201</v>
      </c>
      <c r="J448" s="3380">
        <v>2208.1202499646752</v>
      </c>
      <c r="K448" s="3380">
        <v>2340.4991996505451</v>
      </c>
      <c r="L448" s="3380">
        <v>2774.4626586269619</v>
      </c>
      <c r="M448" s="3380">
        <v>2991.6904456424677</v>
      </c>
      <c r="N448" s="3386"/>
    </row>
    <row r="449" spans="4:14" ht="15" customHeight="1">
      <c r="D449" s="3383"/>
      <c r="E449" s="3381" t="s">
        <v>1751</v>
      </c>
      <c r="F449" s="3382" cm="1">
        <f t="array" ref="F449:M449">F339:M339+F353:M353</f>
        <v>0</v>
      </c>
      <c r="G449" s="3382">
        <v>1081.2587941194679</v>
      </c>
      <c r="H449" s="3382">
        <v>1379.5215267915032</v>
      </c>
      <c r="I449" s="3382">
        <v>1379.5215267915032</v>
      </c>
      <c r="J449" s="3382">
        <v>1556.4368889181583</v>
      </c>
      <c r="K449" s="3382">
        <v>1688.8158386040282</v>
      </c>
      <c r="L449" s="3382">
        <v>2122.779297580445</v>
      </c>
      <c r="M449" s="3382">
        <v>2301.8271582770085</v>
      </c>
      <c r="N449" s="3386"/>
    </row>
    <row r="450" spans="4:14" ht="15" customHeight="1">
      <c r="D450" s="3387"/>
      <c r="E450" s="3387"/>
      <c r="F450" s="3387"/>
      <c r="G450" s="3387"/>
      <c r="H450" s="3387"/>
      <c r="I450" s="3387"/>
      <c r="J450" s="3387"/>
      <c r="K450" s="3387"/>
      <c r="L450" s="3387"/>
      <c r="M450" s="3387"/>
      <c r="N450" s="3387"/>
    </row>
    <row r="451" spans="4:14" ht="15" customHeight="1">
      <c r="D451" s="1738"/>
      <c r="E451" s="1738"/>
      <c r="F451" s="1738"/>
      <c r="G451" s="1738"/>
      <c r="H451" s="1738"/>
      <c r="I451" s="1738"/>
      <c r="J451" s="1738"/>
      <c r="K451" s="1738"/>
      <c r="L451" s="1738"/>
      <c r="M451" s="1738"/>
      <c r="N451" s="1738"/>
    </row>
    <row r="452" spans="4:14" ht="15" customHeight="1">
      <c r="D452" s="623" t="s">
        <v>1752</v>
      </c>
    </row>
    <row r="454" spans="4:14" ht="15" customHeight="1">
      <c r="D454" s="3"/>
      <c r="E454" s="1354" t="s">
        <v>1753</v>
      </c>
      <c r="F454" s="1355"/>
      <c r="G454" s="1356"/>
      <c r="H454" s="1355"/>
      <c r="I454" s="1357"/>
      <c r="J454" s="1355"/>
      <c r="K454" s="1357"/>
      <c r="L454" s="1357"/>
      <c r="M454" s="1357"/>
      <c r="N454" s="3"/>
    </row>
    <row r="455" spans="4:14" ht="15" customHeight="1">
      <c r="D455" s="3"/>
      <c r="E455" s="3"/>
      <c r="F455" s="3"/>
      <c r="G455" s="3"/>
      <c r="H455" s="3"/>
      <c r="I455" s="3"/>
      <c r="J455" s="3"/>
      <c r="K455" s="3"/>
      <c r="L455" s="3"/>
      <c r="M455" s="3"/>
      <c r="N455" s="3"/>
    </row>
    <row r="456" spans="4:14" ht="15" customHeight="1">
      <c r="D456" s="3"/>
      <c r="E456" s="1358" t="s">
        <v>1735</v>
      </c>
      <c r="F456" s="3"/>
      <c r="G456" s="3"/>
      <c r="H456" s="3"/>
      <c r="I456" s="3"/>
      <c r="J456" s="3"/>
      <c r="K456" s="3"/>
      <c r="L456" s="3"/>
      <c r="M456" s="1253" t="s">
        <v>9</v>
      </c>
      <c r="N456" s="3"/>
    </row>
    <row r="457" spans="4:14" ht="15" customHeight="1">
      <c r="D457" s="3"/>
      <c r="E457" s="1359" t="s">
        <v>859</v>
      </c>
      <c r="F457" s="1359">
        <v>2018</v>
      </c>
      <c r="G457" s="1359">
        <v>2020</v>
      </c>
      <c r="H457" s="1359">
        <v>2025</v>
      </c>
      <c r="I457" s="1359">
        <v>2030</v>
      </c>
      <c r="J457" s="1359">
        <v>2035</v>
      </c>
      <c r="K457" s="1359">
        <v>2040</v>
      </c>
      <c r="L457" s="1359">
        <v>2045</v>
      </c>
      <c r="M457" s="1359">
        <v>2050</v>
      </c>
      <c r="N457" s="3"/>
    </row>
    <row r="458" spans="4:14" ht="15" customHeight="1">
      <c r="D458" s="3"/>
      <c r="E458" s="1358" t="s">
        <v>535</v>
      </c>
      <c r="F458" s="1363" cm="1">
        <f t="array" ref="F458:M458">INDEX(ST_CAPACIDAD_GENERACION_COMBUSTIBLES_FOSILES,TERMOELECTRICA_GAS_NATURAL,0)*INDEX(SF_FACTOR_DE_CARGA_COMBUSTIBLES_FOSILES,TERMOELECTRICA_GAS_NATURAL,0)*HORAS_OPERACION_AÑO*UNIDAD_MWH_A_ATWH</f>
        <v>0.70477404881979766</v>
      </c>
      <c r="G458" s="1363">
        <v>0.70477404881979766</v>
      </c>
      <c r="H458" s="1363">
        <v>1.0571610732296965</v>
      </c>
      <c r="I458" s="1363">
        <v>1.0571610732296965</v>
      </c>
      <c r="J458" s="1363">
        <v>1.0571610732296965</v>
      </c>
      <c r="K458" s="1363">
        <v>1.0571610732296965</v>
      </c>
      <c r="L458" s="1363">
        <v>1.0571610732296965</v>
      </c>
      <c r="M458" s="1363">
        <v>1.0571610732296965</v>
      </c>
      <c r="N458" s="3"/>
    </row>
    <row r="459" spans="4:14" ht="15" customHeight="1">
      <c r="D459" s="3"/>
      <c r="E459" s="1358" t="s">
        <v>536</v>
      </c>
      <c r="F459" s="1363" cm="1">
        <f t="array" ref="F459:M459">INDEX(ST_CAPACIDAD_GENERACION_COMBUSTIBLES_FOSILES,Termoelectrica_carbon,0)*INDEX(SF_FACTOR_DE_CARGA_COMBUSTIBLES_FOSILES,Termoelectrica_carbon,0)*HORAS_OPERACION_AÑO*UNIDAD_MWH_A_ATWH</f>
        <v>1.4338506510471747</v>
      </c>
      <c r="G459" s="1363">
        <v>1.4338506510471747</v>
      </c>
      <c r="H459" s="1363">
        <v>1.4338506510471747</v>
      </c>
      <c r="I459" s="1363">
        <v>1.4338506510471747</v>
      </c>
      <c r="J459" s="1363">
        <v>1.4338506510471747</v>
      </c>
      <c r="K459" s="1363">
        <v>1.4338506510471747</v>
      </c>
      <c r="L459" s="1363">
        <v>1.4338506510471747</v>
      </c>
      <c r="M459" s="1363">
        <v>1.4338506510471747</v>
      </c>
      <c r="N459" s="3"/>
    </row>
    <row r="460" spans="4:14" ht="15" customHeight="1">
      <c r="D460" s="3"/>
      <c r="E460" s="1358" t="s">
        <v>526</v>
      </c>
      <c r="F460" s="1363" cm="1">
        <f t="array" ref="F460:M460">INDEX(ST_CAPACIDAD_GENERACION_COMBUSTIBLES_FOSILES,DIESEL,0)*INDEX(SF_FACTOR_DE_CARGA_COMBUSTIBLES_FOSILES,DIESEL,0)*HORAS_OPERACION_AÑO*UNIDAD_MWH_A_ATWH</f>
        <v>4.8605106815158471E-2</v>
      </c>
      <c r="G460" s="1363">
        <v>0</v>
      </c>
      <c r="H460" s="1363">
        <v>0</v>
      </c>
      <c r="I460" s="1363">
        <v>0</v>
      </c>
      <c r="J460" s="1363">
        <v>0</v>
      </c>
      <c r="K460" s="1363">
        <v>0</v>
      </c>
      <c r="L460" s="1363">
        <v>0</v>
      </c>
      <c r="M460" s="1363">
        <v>0</v>
      </c>
      <c r="N460" s="3"/>
    </row>
    <row r="461" spans="4:14" ht="15" customHeight="1">
      <c r="D461" s="3"/>
      <c r="E461" s="1358" t="s">
        <v>537</v>
      </c>
      <c r="F461" s="1363" cm="1">
        <f t="array" ref="F461:M461">INDEX(ST_CAPACIDAD_GENERACION_COMBUSTIBLES_FOSILES,FUEL_OIL,0)*INDEX(SF_FACTOR_DE_CARGA_COMBUSTIBLES_FOSILES,FUEL_OIL,0)*HORAS_OPERACION_AÑO*UNIDAD_MWH_A_ATWH</f>
        <v>0</v>
      </c>
      <c r="G461" s="1363">
        <v>0</v>
      </c>
      <c r="H461" s="1363">
        <v>0</v>
      </c>
      <c r="I461" s="1363">
        <v>0</v>
      </c>
      <c r="J461" s="1363">
        <v>0</v>
      </c>
      <c r="K461" s="1363">
        <v>0</v>
      </c>
      <c r="L461" s="1363">
        <v>0</v>
      </c>
      <c r="M461" s="1363">
        <v>0</v>
      </c>
      <c r="N461" s="3"/>
    </row>
    <row r="462" spans="4:14" ht="15" customHeight="1">
      <c r="D462" s="3"/>
      <c r="E462" s="1358" t="s">
        <v>525</v>
      </c>
      <c r="F462" s="1363" cm="1">
        <f t="array" ref="F462:M462">INDEX(ST_CAPACIDAD_GENERACION_COMBUSTIBLES_FOSILES,PETROLEO,0)*INDEX(SF_FACTOR_DE_CARGA_COMBUSTIBLES_FOSILES,PETROLEO,0)*HORAS_OPERACION_AÑO*UNIDAD_MWH_A_ATWH</f>
        <v>0</v>
      </c>
      <c r="G462" s="1363">
        <v>0</v>
      </c>
      <c r="H462" s="1363">
        <v>0</v>
      </c>
      <c r="I462" s="1363">
        <v>0</v>
      </c>
      <c r="J462" s="1363">
        <v>0</v>
      </c>
      <c r="K462" s="1363">
        <v>0</v>
      </c>
      <c r="L462" s="1363">
        <v>0</v>
      </c>
      <c r="M462" s="1363">
        <v>0</v>
      </c>
      <c r="N462" s="3"/>
    </row>
    <row r="463" spans="4:14" ht="15" customHeight="1">
      <c r="D463" s="3"/>
      <c r="E463" s="1358" t="s">
        <v>1663</v>
      </c>
      <c r="F463" s="1363" cm="1">
        <f t="array" ref="F463:M463">INDEX(ST_CAPACIDAD_GENERACION_COMBUSTIBLES_FOSILES,GLP,0)*INDEX(SF_FACTOR_DE_CARGA_COMBUSTIBLES_FOSILES,GLP,0)*HORAS_OPERACION_AÑO*UNIDAD_MWH_A_ATWH</f>
        <v>0</v>
      </c>
      <c r="G463" s="1363">
        <v>0</v>
      </c>
      <c r="H463" s="1363">
        <v>0</v>
      </c>
      <c r="I463" s="1363">
        <v>0</v>
      </c>
      <c r="J463" s="1363">
        <v>0</v>
      </c>
      <c r="K463" s="1363">
        <v>0</v>
      </c>
      <c r="L463" s="1363">
        <v>0</v>
      </c>
      <c r="M463" s="1363">
        <v>0</v>
      </c>
      <c r="N463" s="3"/>
    </row>
    <row r="464" spans="4:14" ht="15" customHeight="1">
      <c r="D464" s="3"/>
      <c r="E464" s="1358" t="s">
        <v>538</v>
      </c>
      <c r="F464" s="1363" cm="1">
        <f t="array" ref="F464:M464">INDEX(ST_CAPACIDAD_GENERACION_COMBUSTIBLES_FOSILES,TERMOELECTRICA_GAS_NATURAL_CCUS,0)*INDEX(SF_FACTOR_DE_CARGA_COMBUSTIBLES_FOSILES,TERMOELECTRICA_GAS_NATURAL_CCUS,0)*HORAS_OPERACION_AÑO*UNIDAD_MWH_A_ATWH</f>
        <v>0</v>
      </c>
      <c r="G464" s="1363">
        <v>0</v>
      </c>
      <c r="H464" s="1363">
        <v>0</v>
      </c>
      <c r="I464" s="1363">
        <v>0</v>
      </c>
      <c r="J464" s="1363">
        <v>0</v>
      </c>
      <c r="K464" s="1363">
        <v>0</v>
      </c>
      <c r="L464" s="1363">
        <v>0</v>
      </c>
      <c r="M464" s="1363">
        <v>0</v>
      </c>
      <c r="N464" s="3"/>
    </row>
    <row r="465" spans="4:14" ht="15" customHeight="1">
      <c r="D465" s="3"/>
      <c r="E465" s="1360" t="s">
        <v>539</v>
      </c>
      <c r="F465" s="1363" cm="1">
        <f t="array" ref="F465:M465">INDEX(ST_CAPACIDAD_GENERACION_COMBUSTIBLES_FOSILES,TERMOELECTRICA_CARBON_CCUS,0)*INDEX(SF_FACTOR_DE_CARGA_COMBUSTIBLES_FOSILES,TERMOELECTRICA_CARBON_CCUS,0)*HORAS_OPERACION_AÑO*UNIDAD_MWH_A_ATWH</f>
        <v>0</v>
      </c>
      <c r="G465" s="1363">
        <v>0</v>
      </c>
      <c r="H465" s="1363">
        <v>0</v>
      </c>
      <c r="I465" s="1363">
        <v>0</v>
      </c>
      <c r="J465" s="1363">
        <v>0</v>
      </c>
      <c r="K465" s="1363">
        <v>0</v>
      </c>
      <c r="L465" s="1363">
        <v>0</v>
      </c>
      <c r="M465" s="1363">
        <v>0</v>
      </c>
      <c r="N465" s="3"/>
    </row>
    <row r="466" spans="4:14" ht="15" customHeight="1">
      <c r="D466" s="3"/>
      <c r="E466" s="1361" t="s">
        <v>1667</v>
      </c>
      <c r="F466" s="1616">
        <f>SUM(F458:F465)</f>
        <v>2.1872298066821307</v>
      </c>
      <c r="G466" s="1616">
        <f t="shared" ref="G466:M466" si="25">SUM(G458:G465)</f>
        <v>2.1386246998669725</v>
      </c>
      <c r="H466" s="1616">
        <f t="shared" si="25"/>
        <v>2.4910117242768712</v>
      </c>
      <c r="I466" s="1616">
        <f t="shared" si="25"/>
        <v>2.4910117242768712</v>
      </c>
      <c r="J466" s="1616">
        <f t="shared" si="25"/>
        <v>2.4910117242768712</v>
      </c>
      <c r="K466" s="1616">
        <f t="shared" si="25"/>
        <v>2.4910117242768712</v>
      </c>
      <c r="L466" s="1616">
        <f t="shared" si="25"/>
        <v>2.4910117242768712</v>
      </c>
      <c r="M466" s="1616">
        <f t="shared" si="25"/>
        <v>2.4910117242768712</v>
      </c>
      <c r="N466" s="3"/>
    </row>
    <row r="467" spans="4:14" ht="15" customHeight="1">
      <c r="D467" s="3"/>
      <c r="E467" s="1358"/>
      <c r="F467" s="1617"/>
      <c r="G467" s="1617"/>
      <c r="H467" s="1617"/>
      <c r="I467" s="1617"/>
      <c r="J467" s="1617"/>
      <c r="K467" s="1617"/>
      <c r="L467" s="1617"/>
      <c r="M467" s="1617"/>
      <c r="N467" s="3"/>
    </row>
    <row r="468" spans="4:14" ht="15" customHeight="1">
      <c r="D468" s="3"/>
      <c r="E468" s="1358" t="s">
        <v>1737</v>
      </c>
      <c r="F468" s="1617"/>
      <c r="G468" s="1617"/>
      <c r="H468" s="1617"/>
      <c r="I468" s="1617"/>
      <c r="J468" s="1617"/>
      <c r="K468" s="1617"/>
      <c r="L468" s="1617"/>
      <c r="M468" s="1253" t="s">
        <v>9</v>
      </c>
      <c r="N468" s="3"/>
    </row>
    <row r="469" spans="4:14" ht="15" customHeight="1">
      <c r="D469" s="3"/>
      <c r="E469" s="1359" t="s">
        <v>859</v>
      </c>
      <c r="F469" s="1618">
        <v>2018</v>
      </c>
      <c r="G469" s="1618">
        <v>2020</v>
      </c>
      <c r="H469" s="1618">
        <v>2025</v>
      </c>
      <c r="I469" s="1618">
        <v>2030</v>
      </c>
      <c r="J469" s="1618">
        <v>2035</v>
      </c>
      <c r="K469" s="1618">
        <v>2040</v>
      </c>
      <c r="L469" s="1618">
        <v>2045</v>
      </c>
      <c r="M469" s="1618">
        <v>2050</v>
      </c>
      <c r="N469" s="3"/>
    </row>
    <row r="470" spans="4:14" ht="15" customHeight="1">
      <c r="D470" s="3"/>
      <c r="E470" s="1358" t="s">
        <v>542</v>
      </c>
      <c r="F470" s="1363" cm="1">
        <f t="array" ref="F470:M470">INDEX(ST_CAPACIDAD_GENERACION_ENERGIAS_RENOVABLES_NO_CONVENCIONALES,HIDRO_GRANDES_CENTRALES_HIDROELECTRICAS,0)*INDEX(SF_FACTOR_DE_CARGA_ENERGIAS_RENOVABLES_NO_CONVENCIONALES,HIDRO_GRANDES_CENTRALES_HIDROELECTRICAS,0)*HORAS_OPERACION_AÑO*UNIDAD_MWH_A_ATWH</f>
        <v>6.4158740996009165</v>
      </c>
      <c r="G470" s="1363">
        <v>6.4158740996009165</v>
      </c>
      <c r="H470" s="1363">
        <v>8.16565794494662</v>
      </c>
      <c r="I470" s="1363">
        <v>8.16565794494662</v>
      </c>
      <c r="J470" s="1363">
        <v>8.16565794494662</v>
      </c>
      <c r="K470" s="1363">
        <v>8.16565794494662</v>
      </c>
      <c r="L470" s="1363">
        <v>8.16565794494662</v>
      </c>
      <c r="M470" s="1363">
        <v>8.748919226728523</v>
      </c>
    </row>
    <row r="471" spans="4:14" ht="15" customHeight="1">
      <c r="D471" s="3"/>
      <c r="E471" s="1365" t="s">
        <v>543</v>
      </c>
      <c r="F471" s="1619" cm="1">
        <f t="array" ref="F471:M471">INDEX(ST_CAPACIDAD_GENERACION_ENERGIAS_RENOVABLES_NO_CONVENCIONALES,HIDRO_PEQUEÑAS_CENTRALES_HIDROELECTRICAS,0)*INDEX(SF_FACTOR_DE_CARGA_ENERGIAS_RENOVABLES_NO_CONVENCIONALES,HIDRO_PEQUEÑAS_CENTRALES_HIDROELECTRICAS,0)*HORAS_OPERACION_AÑO*UNIDAD_MWH_A_ATWH</f>
        <v>0.58326128178190151</v>
      </c>
      <c r="G471" s="1619">
        <v>0.58326128178190151</v>
      </c>
      <c r="H471" s="1619">
        <v>0.58326128178190151</v>
      </c>
      <c r="I471" s="1619">
        <v>0.58326128178190151</v>
      </c>
      <c r="J471" s="1619">
        <v>0.58326128178190151</v>
      </c>
      <c r="K471" s="1619">
        <v>0.58326128178190151</v>
      </c>
      <c r="L471" s="1619">
        <v>0.58326128178190151</v>
      </c>
      <c r="M471" s="1619">
        <v>0.58326128178190151</v>
      </c>
    </row>
    <row r="472" spans="4:14" ht="15" customHeight="1">
      <c r="D472" s="3"/>
      <c r="E472" s="1358" t="s">
        <v>1727</v>
      </c>
      <c r="F472" s="1363" cm="1">
        <f t="array" ref="F472:M472">INDEX(ST_CAPACIDAD_GENERACION_ENERGIAS_RENOVABLES_NO_CONVENCIONALES,SOLAR_DISTRIBUIDA_TERCIARIO,0)*INDEX(SF_FACTOR_DE_CARGA_ENERGIAS_RENOVABLES_NO_CONVENCIONALES,SOLAR_DISTRIBUIDA_TERCIARIO,0)*HORAS_OPERACION_AÑO*UNIDAD_MWH_A_ATWH</f>
        <v>0</v>
      </c>
      <c r="G472" s="1363">
        <v>0</v>
      </c>
      <c r="H472" s="1363">
        <v>0</v>
      </c>
      <c r="I472" s="1363">
        <v>0</v>
      </c>
      <c r="J472" s="1363">
        <v>0</v>
      </c>
      <c r="K472" s="1363">
        <v>0</v>
      </c>
      <c r="L472" s="1363">
        <v>0</v>
      </c>
      <c r="M472" s="1363">
        <v>0</v>
      </c>
    </row>
    <row r="473" spans="4:14" ht="15" customHeight="1">
      <c r="D473" s="3"/>
      <c r="E473" s="1365" t="s">
        <v>545</v>
      </c>
      <c r="F473" s="1619" cm="1">
        <f t="array" ref="F473:M473">INDEX(ST_CAPACIDAD_GENERACION_ENERGIAS_RENOVABLES_NO_CONVENCIONALES,SOLAR_SOLAR_FOTOVOLTAICA,0)*INDEX(SF_FACTOR_DE_CARGA_ENERGIAS_RENOVABLES_NO_CONVENCIONALES,SOLAR_SOLAR_FOTOVOLTAICA,0)*HORAS_OPERACION_AÑO*UNIDAD_MWH_A_ATWH</f>
        <v>0</v>
      </c>
      <c r="G473" s="1619">
        <v>0</v>
      </c>
      <c r="H473" s="1619">
        <v>0.37668957781747808</v>
      </c>
      <c r="I473" s="1619">
        <v>0.37668957781747808</v>
      </c>
      <c r="J473" s="1619">
        <v>0.75337915563495617</v>
      </c>
      <c r="K473" s="1619">
        <v>1.5067583112699123</v>
      </c>
      <c r="L473" s="1619">
        <v>2.6368270447223465</v>
      </c>
      <c r="M473" s="1619">
        <v>3.3902062003573024</v>
      </c>
    </row>
    <row r="474" spans="4:14" ht="15" customHeight="1">
      <c r="D474" s="3"/>
      <c r="E474" s="1358" t="s">
        <v>1754</v>
      </c>
      <c r="F474" s="1363" cm="1">
        <f t="array" ref="F474:M474">INDEX(ST_CAPACIDAD_GENERACION_ENERGIAS_RENOVABLES_NO_CONVENCIONALES,EOLICA_EOLICA_COSTA_ADENTRO_JEPIRACHI,0)*INDEX(SF_FACTOR_DE_CARGA_ENERGIAS_RENOVABLES_NO_CONVENCIONALES,EOLICA_EOLICA_COSTA_ADENTRO_JEPIRACHI,0)*HORAS_OPERACION_AÑO*UNIDAD_MWH_A_ATWH</f>
        <v>0</v>
      </c>
      <c r="G474" s="1363">
        <v>0</v>
      </c>
      <c r="H474" s="1363">
        <v>0.87489192267285232</v>
      </c>
      <c r="I474" s="1363">
        <v>1.3123378840092783</v>
      </c>
      <c r="J474" s="1363">
        <v>2.1872298066821307</v>
      </c>
      <c r="K474" s="1363">
        <v>2.6246757680185566</v>
      </c>
      <c r="L474" s="1363">
        <v>2.6246757680185566</v>
      </c>
      <c r="M474" s="1363">
        <v>2.6246757680185566</v>
      </c>
    </row>
    <row r="475" spans="4:14" ht="15" customHeight="1">
      <c r="D475" s="3"/>
      <c r="E475" s="1358" t="s">
        <v>547</v>
      </c>
      <c r="F475" s="1363" cm="1">
        <f t="array" ref="F475:M475">INDEX(ST_CAPACIDAD_GENERACION_ENERGIAS_RENOVABLES_NO_CONVENCIONALES,EOLICA_EOLICA_COSTA_ADENTRO_RESTO_PAIS,0)*INDEX(SF_FACTOR_DE_CARGA_ENERGIAS_RENOVABLES_NO_CONVENCIONALES,EOLICA_EOLICA_COSTA_ADENTRO_RESTO_PAIS,0)*HORAS_OPERACION_AÑO*UNIDAD_MWH_A_ATWH</f>
        <v>0</v>
      </c>
      <c r="G475" s="1363">
        <v>0</v>
      </c>
      <c r="H475" s="1363">
        <v>0</v>
      </c>
      <c r="I475" s="1363">
        <v>0</v>
      </c>
      <c r="J475" s="1363">
        <v>0</v>
      </c>
      <c r="K475" s="1363">
        <v>0</v>
      </c>
      <c r="L475" s="1363">
        <v>0.14581532044547538</v>
      </c>
      <c r="M475" s="1363">
        <v>0.14581532044547538</v>
      </c>
      <c r="N475" s="3"/>
    </row>
    <row r="476" spans="4:14" ht="15" customHeight="1">
      <c r="D476" s="3"/>
      <c r="E476" s="1365" t="s">
        <v>548</v>
      </c>
      <c r="F476" s="1619" cm="1">
        <f t="array" ref="F476:M476">INDEX(ST_CAPACIDAD_GENERACION_ENERGIAS_RENOVABLES_NO_CONVENCIONALES,EOLICA_EOLICA_COSTA_AFUERA,0)*INDEX(SF_FACTOR_DE_CARGA_ENERGIAS_RENOVABLES_NO_CONVENCIONALES,EOLICA_EOLICA_COSTA_AFUERA,0)*HORAS_OPERACION_AÑO*UNIDAD_MWH_A_ATWH</f>
        <v>0</v>
      </c>
      <c r="G476" s="1619">
        <v>0</v>
      </c>
      <c r="H476" s="1619">
        <v>0</v>
      </c>
      <c r="I476" s="1619">
        <v>0</v>
      </c>
      <c r="J476" s="1619">
        <v>0</v>
      </c>
      <c r="K476" s="1619">
        <v>0</v>
      </c>
      <c r="L476" s="1619">
        <v>0</v>
      </c>
      <c r="M476" s="1619">
        <v>0</v>
      </c>
      <c r="N476" s="3"/>
    </row>
    <row r="477" spans="4:14" ht="15" customHeight="1">
      <c r="D477" s="3"/>
      <c r="E477" s="1362" t="s">
        <v>549</v>
      </c>
      <c r="F477" s="1620" cm="1">
        <f t="array" ref="F477:M477">INDEX(ST_CAPACIDAD_GENERACION_ENERGIAS_RENOVABLES_NO_CONVENCIONALES,HIDROGENO_VERDE,0)*INDEX(SF_FACTOR_DE_CARGA_ENERGIAS_RENOVABLES_NO_CONVENCIONALES,HIDROGENO_VERDE,0)*HORAS_OPERACION_AÑO*UNIDAD_MWH_A_ATWH</f>
        <v>0</v>
      </c>
      <c r="G477" s="1620">
        <v>0</v>
      </c>
      <c r="H477" s="1620">
        <v>0</v>
      </c>
      <c r="I477" s="1620">
        <v>0</v>
      </c>
      <c r="J477" s="1620">
        <v>0</v>
      </c>
      <c r="K477" s="1620">
        <v>0</v>
      </c>
      <c r="L477" s="1620">
        <v>0</v>
      </c>
      <c r="M477" s="1620">
        <v>0</v>
      </c>
      <c r="N477" s="3"/>
    </row>
    <row r="478" spans="4:14" ht="15" customHeight="1">
      <c r="D478" s="3"/>
      <c r="E478" s="1362" t="s">
        <v>162</v>
      </c>
      <c r="F478" s="1620" cm="1">
        <f t="array" ref="F478:M478">INDEX(ST_CAPACIDAD_GENERACION_ENERGIAS_RENOVABLES_NO_CONVENCIONALES,BIOMASA,0)*INDEX(SF_FACTOR_DE_CARGA_ENERGIAS_RENOVABLES_NO_CONVENCIONALES,BIOMASA,0)*HORAS_OPERACION_AÑO*UNIDAD_MWH_A_ATWH</f>
        <v>0</v>
      </c>
      <c r="G478" s="1620">
        <v>0</v>
      </c>
      <c r="H478" s="1620">
        <v>0</v>
      </c>
      <c r="I478" s="1620">
        <v>0</v>
      </c>
      <c r="J478" s="1620">
        <v>0</v>
      </c>
      <c r="K478" s="1620">
        <v>0</v>
      </c>
      <c r="L478" s="1620">
        <v>0</v>
      </c>
      <c r="M478" s="1620">
        <v>0</v>
      </c>
      <c r="N478" s="3"/>
    </row>
    <row r="479" spans="4:14" ht="15" customHeight="1">
      <c r="D479" s="3"/>
      <c r="E479" s="1358" t="s">
        <v>504</v>
      </c>
      <c r="F479" s="1363" cm="1">
        <f t="array" ref="F479:M479">INDEX(ST_CAPACIDAD_GENERACION_ENERGIAS_RENOVABLES_NO_CONVENCIONALES,BAGAZO,0)*INDEX(SF_FACTOR_DE_CARGA_ENERGIAS_RENOVABLES_NO_CONVENCIONALES,BAGAZO,0)*HORAS_OPERACION_AÑO*UNIDAD_MWH_A_ATWH</f>
        <v>0</v>
      </c>
      <c r="G479" s="1363">
        <v>0</v>
      </c>
      <c r="H479" s="1363">
        <v>0</v>
      </c>
      <c r="I479" s="1363">
        <v>0</v>
      </c>
      <c r="J479" s="1363">
        <v>0</v>
      </c>
      <c r="K479" s="1363">
        <v>0</v>
      </c>
      <c r="L479" s="1363">
        <v>0</v>
      </c>
      <c r="M479" s="1363">
        <v>0</v>
      </c>
      <c r="N479" s="3"/>
    </row>
    <row r="480" spans="4:14" ht="15" customHeight="1">
      <c r="D480" s="3"/>
      <c r="E480" s="1361" t="s">
        <v>1728</v>
      </c>
      <c r="F480" s="1616">
        <f t="shared" ref="F480:M480" si="26">SUM(F470:F479)</f>
        <v>6.9991353813828177</v>
      </c>
      <c r="G480" s="1616">
        <f t="shared" si="26"/>
        <v>6.9991353813828177</v>
      </c>
      <c r="H480" s="1616">
        <f t="shared" si="26"/>
        <v>10.000500727218851</v>
      </c>
      <c r="I480" s="1616">
        <f t="shared" si="26"/>
        <v>10.437946688555277</v>
      </c>
      <c r="J480" s="1616">
        <f t="shared" si="26"/>
        <v>11.689528189045609</v>
      </c>
      <c r="K480" s="1616">
        <f t="shared" si="26"/>
        <v>12.880353306016991</v>
      </c>
      <c r="L480" s="1616">
        <f t="shared" si="26"/>
        <v>14.156237359914901</v>
      </c>
      <c r="M480" s="1616">
        <f t="shared" si="26"/>
        <v>15.49287779733176</v>
      </c>
      <c r="N480" s="3"/>
    </row>
    <row r="481" spans="4:14" ht="15" customHeight="1">
      <c r="D481" s="3"/>
      <c r="E481" s="3"/>
      <c r="F481" s="415"/>
      <c r="G481" s="415"/>
      <c r="H481" s="415"/>
      <c r="I481" s="415"/>
      <c r="J481" s="415"/>
      <c r="K481" s="415"/>
      <c r="L481" s="415"/>
      <c r="M481" s="415"/>
      <c r="N481" s="3"/>
    </row>
    <row r="482" spans="4:14" ht="15" customHeight="1">
      <c r="D482" s="3"/>
      <c r="E482" s="3"/>
      <c r="F482" s="415"/>
      <c r="G482" s="415"/>
      <c r="H482" s="415"/>
      <c r="I482" s="415"/>
      <c r="J482" s="415"/>
      <c r="K482" s="415"/>
      <c r="L482" s="415"/>
      <c r="M482" s="415"/>
      <c r="N482" s="3"/>
    </row>
    <row r="483" spans="4:14" ht="15" customHeight="1">
      <c r="D483" s="3"/>
      <c r="E483" s="1354" t="s">
        <v>1755</v>
      </c>
      <c r="F483" s="1621"/>
      <c r="G483" s="1622"/>
      <c r="H483" s="1621"/>
      <c r="I483" s="1623"/>
      <c r="J483" s="1621"/>
      <c r="K483" s="1623"/>
      <c r="L483" s="1623"/>
      <c r="M483" s="1623"/>
      <c r="N483" s="3"/>
    </row>
    <row r="484" spans="4:14" ht="15" customHeight="1">
      <c r="D484" s="3"/>
      <c r="E484" s="3"/>
      <c r="F484" s="415"/>
      <c r="G484" s="415"/>
      <c r="H484" s="415"/>
      <c r="I484" s="415"/>
      <c r="J484" s="415"/>
      <c r="K484" s="415"/>
      <c r="L484" s="415"/>
      <c r="M484" s="415"/>
      <c r="N484" s="3"/>
    </row>
    <row r="485" spans="4:14" ht="15" customHeight="1">
      <c r="D485" s="3"/>
      <c r="E485" s="1358" t="s">
        <v>1735</v>
      </c>
      <c r="F485" s="415"/>
      <c r="G485" s="415"/>
      <c r="H485" s="415"/>
      <c r="I485" s="415"/>
      <c r="J485" s="415"/>
      <c r="K485" s="415"/>
      <c r="L485" s="415"/>
      <c r="M485" s="1253" t="s">
        <v>35</v>
      </c>
      <c r="N485" s="3"/>
    </row>
    <row r="486" spans="4:14" ht="15" customHeight="1">
      <c r="D486" s="3"/>
      <c r="E486" s="1359" t="s">
        <v>859</v>
      </c>
      <c r="F486" s="1618">
        <v>2018</v>
      </c>
      <c r="G486" s="1618">
        <v>2020</v>
      </c>
      <c r="H486" s="1618">
        <v>2025</v>
      </c>
      <c r="I486" s="1618">
        <v>2030</v>
      </c>
      <c r="J486" s="1618">
        <v>2035</v>
      </c>
      <c r="K486" s="1618">
        <v>2040</v>
      </c>
      <c r="L486" s="1618">
        <v>2045</v>
      </c>
      <c r="M486" s="1618">
        <v>2050</v>
      </c>
      <c r="N486" s="3"/>
    </row>
    <row r="487" spans="4:14" ht="15" customHeight="1">
      <c r="D487" s="3"/>
      <c r="E487" s="1358" t="s">
        <v>535</v>
      </c>
      <c r="F487" s="1363" cm="1">
        <f t="array" ref="F487:M487">_xlfn.ANCHORARRAY(F458)*FE_GENERACION_TERMOELECTRICA_GAS_NATURAL_MTCO2_TWH</f>
        <v>0.26980611192310738</v>
      </c>
      <c r="G487" s="1363">
        <v>0.26980611192310738</v>
      </c>
      <c r="H487" s="1363">
        <v>0.4047091678846611</v>
      </c>
      <c r="I487" s="1363">
        <v>0.4047091678846611</v>
      </c>
      <c r="J487" s="1363">
        <v>0.4047091678846611</v>
      </c>
      <c r="K487" s="1363">
        <v>0.4047091678846611</v>
      </c>
      <c r="L487" s="1363">
        <v>0.4047091678846611</v>
      </c>
      <c r="M487" s="1363">
        <v>0.4047091678846611</v>
      </c>
      <c r="N487" s="3"/>
    </row>
    <row r="488" spans="4:14" ht="15" customHeight="1">
      <c r="D488" s="3"/>
      <c r="E488" s="1358" t="s">
        <v>536</v>
      </c>
      <c r="F488" s="1363" cm="1">
        <f t="array" ref="F488:M488">_xlfn.ANCHORARRAY(F459)*FE_GENERACION_TERMOELECTRICA_CARBON_MTCO2_TWH</f>
        <v>1.1334268213982082</v>
      </c>
      <c r="G488" s="1363">
        <v>1.1334268213982082</v>
      </c>
      <c r="H488" s="1363">
        <v>1.1334268213982082</v>
      </c>
      <c r="I488" s="1363">
        <v>1.1334268213982082</v>
      </c>
      <c r="J488" s="1363">
        <v>1.1334268213982082</v>
      </c>
      <c r="K488" s="1363">
        <v>1.1334268213982082</v>
      </c>
      <c r="L488" s="1363">
        <v>1.1334268213982082</v>
      </c>
      <c r="M488" s="1363">
        <v>1.1334268213982082</v>
      </c>
      <c r="N488" s="3"/>
    </row>
    <row r="489" spans="4:14" ht="15" customHeight="1">
      <c r="D489" s="3"/>
      <c r="E489" s="1358" t="s">
        <v>526</v>
      </c>
      <c r="F489" s="1363" cm="1">
        <f t="array" ref="F489:M489">_xlfn.ANCHORARRAY(F460)*FE_GENERACION_DIESEL_MTCO2_TWH</f>
        <v>3.4791295464930524E-2</v>
      </c>
      <c r="G489" s="1363">
        <v>0</v>
      </c>
      <c r="H489" s="1363">
        <v>0</v>
      </c>
      <c r="I489" s="1363">
        <v>0</v>
      </c>
      <c r="J489" s="1363">
        <v>0</v>
      </c>
      <c r="K489" s="1363">
        <v>0</v>
      </c>
      <c r="L489" s="1363">
        <v>0</v>
      </c>
      <c r="M489" s="1363">
        <v>0</v>
      </c>
      <c r="N489" s="3"/>
    </row>
    <row r="490" spans="4:14" ht="15" customHeight="1">
      <c r="D490" s="3"/>
      <c r="E490" s="1358" t="s">
        <v>537</v>
      </c>
      <c r="F490" s="1363" cm="1">
        <f t="array" ref="F490:M490">_xlfn.ANCHORARRAY(F461)*FE_GENERACION_FUEL_OIL_MTCO2_TWH</f>
        <v>0</v>
      </c>
      <c r="G490" s="1363">
        <v>0</v>
      </c>
      <c r="H490" s="1363">
        <v>0</v>
      </c>
      <c r="I490" s="1363">
        <v>0</v>
      </c>
      <c r="J490" s="1363">
        <v>0</v>
      </c>
      <c r="K490" s="1363">
        <v>0</v>
      </c>
      <c r="L490" s="1363">
        <v>0</v>
      </c>
      <c r="M490" s="1363">
        <v>0</v>
      </c>
      <c r="N490" s="3"/>
    </row>
    <row r="491" spans="4:14" ht="15" customHeight="1">
      <c r="D491" s="3"/>
      <c r="E491" s="1358" t="s">
        <v>525</v>
      </c>
      <c r="F491" s="1363" cm="1">
        <f t="array" ref="F491:M491">_xlfn.ANCHORARRAY(F462)*DGEN_FE!$F$14</f>
        <v>0</v>
      </c>
      <c r="G491" s="1363">
        <v>0</v>
      </c>
      <c r="H491" s="1363">
        <v>0</v>
      </c>
      <c r="I491" s="1363">
        <v>0</v>
      </c>
      <c r="J491" s="1363">
        <v>0</v>
      </c>
      <c r="K491" s="1363">
        <v>0</v>
      </c>
      <c r="L491" s="1363">
        <v>0</v>
      </c>
      <c r="M491" s="1363">
        <v>0</v>
      </c>
      <c r="N491" s="3"/>
    </row>
    <row r="492" spans="4:14" ht="15" customHeight="1">
      <c r="D492" s="3"/>
      <c r="E492" s="1358" t="s">
        <v>1663</v>
      </c>
      <c r="F492" s="1363" cm="1">
        <f t="array" ref="F492:M492">_xlfn.ANCHORARRAY(F463)*DGEN_FE!$F$14</f>
        <v>0</v>
      </c>
      <c r="G492" s="1363">
        <v>0</v>
      </c>
      <c r="H492" s="1363">
        <v>0</v>
      </c>
      <c r="I492" s="1363">
        <v>0</v>
      </c>
      <c r="J492" s="1363">
        <v>0</v>
      </c>
      <c r="K492" s="1363">
        <v>0</v>
      </c>
      <c r="L492" s="1363">
        <v>0</v>
      </c>
      <c r="M492" s="1363">
        <v>0</v>
      </c>
      <c r="N492" s="3"/>
    </row>
    <row r="493" spans="4:14" ht="15" customHeight="1">
      <c r="D493" s="3"/>
      <c r="E493" s="1358" t="s">
        <v>538</v>
      </c>
      <c r="F493" s="1363" cm="1">
        <f t="array" ref="F493:M493">_xlfn.ANCHORARRAY(F464)*FE_GENERACION_TERMOELECTRICA_GAS_NATURAL_CCUS_MTCO2_TWH</f>
        <v>0</v>
      </c>
      <c r="G493" s="1363">
        <v>0</v>
      </c>
      <c r="H493" s="1363">
        <v>0</v>
      </c>
      <c r="I493" s="1363">
        <v>0</v>
      </c>
      <c r="J493" s="1363">
        <v>0</v>
      </c>
      <c r="K493" s="1363">
        <v>0</v>
      </c>
      <c r="L493" s="1363">
        <v>0</v>
      </c>
      <c r="M493" s="1363">
        <v>0</v>
      </c>
      <c r="N493" s="3"/>
    </row>
    <row r="494" spans="4:14" ht="15" customHeight="1">
      <c r="D494" s="3"/>
      <c r="E494" s="1360" t="s">
        <v>539</v>
      </c>
      <c r="F494" s="1363" cm="1">
        <f t="array" ref="F494:M494">_xlfn.ANCHORARRAY(F465)*FE_GENERACION_TERMOELECTRICA_CARBON_CCUS_MTCO2_TWH</f>
        <v>0</v>
      </c>
      <c r="G494" s="1363">
        <v>0</v>
      </c>
      <c r="H494" s="1363">
        <v>0</v>
      </c>
      <c r="I494" s="1363">
        <v>0</v>
      </c>
      <c r="J494" s="1363">
        <v>0</v>
      </c>
      <c r="K494" s="1363">
        <v>0</v>
      </c>
      <c r="L494" s="1363">
        <v>0</v>
      </c>
      <c r="M494" s="1363">
        <v>0</v>
      </c>
      <c r="N494" s="3"/>
    </row>
    <row r="495" spans="4:14" ht="15" customHeight="1">
      <c r="D495" s="3"/>
      <c r="E495" s="1366" t="s">
        <v>1747</v>
      </c>
      <c r="F495" s="1616">
        <f t="shared" ref="F495:M495" si="27">SUM(F487:F494)</f>
        <v>1.4380242287862461</v>
      </c>
      <c r="G495" s="1616">
        <f t="shared" si="27"/>
        <v>1.4032329333213156</v>
      </c>
      <c r="H495" s="1616">
        <f t="shared" si="27"/>
        <v>1.5381359892828692</v>
      </c>
      <c r="I495" s="1616">
        <f t="shared" si="27"/>
        <v>1.5381359892828692</v>
      </c>
      <c r="J495" s="1616">
        <f t="shared" si="27"/>
        <v>1.5381359892828692</v>
      </c>
      <c r="K495" s="1616">
        <f t="shared" si="27"/>
        <v>1.5381359892828692</v>
      </c>
      <c r="L495" s="1616">
        <f t="shared" si="27"/>
        <v>1.5381359892828692</v>
      </c>
      <c r="M495" s="1616">
        <f t="shared" si="27"/>
        <v>1.5381359892828692</v>
      </c>
      <c r="N495" s="3"/>
    </row>
    <row r="496" spans="4:14" ht="15" customHeight="1">
      <c r="D496" s="3"/>
      <c r="E496" s="1358"/>
      <c r="F496" s="1617"/>
      <c r="G496" s="1617"/>
      <c r="H496" s="1617"/>
      <c r="I496" s="1617"/>
      <c r="J496" s="1617"/>
      <c r="K496" s="1617"/>
      <c r="L496" s="1617"/>
      <c r="M496" s="1617"/>
      <c r="N496" s="3"/>
    </row>
    <row r="497" spans="4:14" ht="15" customHeight="1">
      <c r="D497" s="3"/>
      <c r="E497" s="1358" t="s">
        <v>1737</v>
      </c>
      <c r="F497" s="1617"/>
      <c r="G497" s="1617"/>
      <c r="H497" s="1617"/>
      <c r="I497" s="1617"/>
      <c r="J497" s="1617"/>
      <c r="K497" s="1617"/>
      <c r="L497" s="1617"/>
      <c r="M497" s="1253" t="s">
        <v>35</v>
      </c>
      <c r="N497" s="3"/>
    </row>
    <row r="498" spans="4:14" ht="15" customHeight="1">
      <c r="D498" s="3"/>
      <c r="E498" s="1359" t="s">
        <v>859</v>
      </c>
      <c r="F498" s="1618">
        <v>2018</v>
      </c>
      <c r="G498" s="1618">
        <v>2020</v>
      </c>
      <c r="H498" s="1618">
        <v>2025</v>
      </c>
      <c r="I498" s="1618">
        <v>2030</v>
      </c>
      <c r="J498" s="1618">
        <v>2035</v>
      </c>
      <c r="K498" s="1618">
        <v>2040</v>
      </c>
      <c r="L498" s="1618">
        <v>2045</v>
      </c>
      <c r="M498" s="1618">
        <v>2050</v>
      </c>
      <c r="N498" s="3"/>
    </row>
    <row r="499" spans="4:14" ht="15" customHeight="1">
      <c r="D499" s="3"/>
      <c r="E499" s="1358" t="s">
        <v>542</v>
      </c>
      <c r="F499" s="1363" cm="1">
        <f t="array" ref="F499:M499">_xlfn.ANCHORARRAY(F470)*0</f>
        <v>0</v>
      </c>
      <c r="G499" s="1363">
        <v>0</v>
      </c>
      <c r="H499" s="1363">
        <v>0</v>
      </c>
      <c r="I499" s="1363">
        <v>0</v>
      </c>
      <c r="J499" s="1363">
        <v>0</v>
      </c>
      <c r="K499" s="1363">
        <v>0</v>
      </c>
      <c r="L499" s="1363">
        <v>0</v>
      </c>
      <c r="M499" s="1363">
        <v>0</v>
      </c>
      <c r="N499" s="3"/>
    </row>
    <row r="500" spans="4:14" ht="15" customHeight="1">
      <c r="D500" s="3"/>
      <c r="E500" s="1365" t="s">
        <v>543</v>
      </c>
      <c r="F500" s="1619" cm="1">
        <f t="array" ref="F500:M500">_xlfn.ANCHORARRAY(F471)*0</f>
        <v>0</v>
      </c>
      <c r="G500" s="1619">
        <v>0</v>
      </c>
      <c r="H500" s="1619">
        <v>0</v>
      </c>
      <c r="I500" s="1619">
        <v>0</v>
      </c>
      <c r="J500" s="1619">
        <v>0</v>
      </c>
      <c r="K500" s="1619">
        <v>0</v>
      </c>
      <c r="L500" s="1619">
        <v>0</v>
      </c>
      <c r="M500" s="1619">
        <v>0</v>
      </c>
      <c r="N500" s="3"/>
    </row>
    <row r="501" spans="4:14" ht="15" customHeight="1">
      <c r="D501" s="3"/>
      <c r="E501" s="1358" t="s">
        <v>1727</v>
      </c>
      <c r="F501" s="1363" cm="1">
        <f t="array" ref="F501:M501">_xlfn.ANCHORARRAY(F472)*0</f>
        <v>0</v>
      </c>
      <c r="G501" s="1363">
        <v>0</v>
      </c>
      <c r="H501" s="1363">
        <v>0</v>
      </c>
      <c r="I501" s="1363">
        <v>0</v>
      </c>
      <c r="J501" s="1363">
        <v>0</v>
      </c>
      <c r="K501" s="1363">
        <v>0</v>
      </c>
      <c r="L501" s="1363">
        <v>0</v>
      </c>
      <c r="M501" s="1363">
        <v>0</v>
      </c>
      <c r="N501" s="3"/>
    </row>
    <row r="502" spans="4:14" ht="15" customHeight="1">
      <c r="D502" s="3"/>
      <c r="E502" s="1365" t="s">
        <v>545</v>
      </c>
      <c r="F502" s="1619" cm="1">
        <f t="array" ref="F502:M502">_xlfn.ANCHORARRAY(F473)*0</f>
        <v>0</v>
      </c>
      <c r="G502" s="1619">
        <v>0</v>
      </c>
      <c r="H502" s="1619">
        <v>0</v>
      </c>
      <c r="I502" s="1619">
        <v>0</v>
      </c>
      <c r="J502" s="1619">
        <v>0</v>
      </c>
      <c r="K502" s="1619">
        <v>0</v>
      </c>
      <c r="L502" s="1619">
        <v>0</v>
      </c>
      <c r="M502" s="1619">
        <v>0</v>
      </c>
      <c r="N502" s="3"/>
    </row>
    <row r="503" spans="4:14" ht="15" customHeight="1">
      <c r="D503" s="3"/>
      <c r="E503" s="1358" t="s">
        <v>1754</v>
      </c>
      <c r="F503" s="1363" cm="1">
        <f t="array" ref="F503:M503">_xlfn.ANCHORARRAY(F474)*0</f>
        <v>0</v>
      </c>
      <c r="G503" s="1363">
        <v>0</v>
      </c>
      <c r="H503" s="1363">
        <v>0</v>
      </c>
      <c r="I503" s="1363">
        <v>0</v>
      </c>
      <c r="J503" s="1363">
        <v>0</v>
      </c>
      <c r="K503" s="1363">
        <v>0</v>
      </c>
      <c r="L503" s="1363">
        <v>0</v>
      </c>
      <c r="M503" s="1363">
        <v>0</v>
      </c>
      <c r="N503" s="3"/>
    </row>
    <row r="504" spans="4:14" ht="15" customHeight="1">
      <c r="D504" s="3"/>
      <c r="E504" s="1358" t="s">
        <v>547</v>
      </c>
      <c r="F504" s="1363" cm="1">
        <f t="array" ref="F504:M504">_xlfn.ANCHORARRAY(F475)*0</f>
        <v>0</v>
      </c>
      <c r="G504" s="1363">
        <v>0</v>
      </c>
      <c r="H504" s="1363">
        <v>0</v>
      </c>
      <c r="I504" s="1363">
        <v>0</v>
      </c>
      <c r="J504" s="1363">
        <v>0</v>
      </c>
      <c r="K504" s="1363">
        <v>0</v>
      </c>
      <c r="L504" s="1363">
        <v>0</v>
      </c>
      <c r="M504" s="1363">
        <v>0</v>
      </c>
      <c r="N504" s="3"/>
    </row>
    <row r="505" spans="4:14" ht="15" customHeight="1">
      <c r="D505" s="3"/>
      <c r="E505" s="1365" t="s">
        <v>548</v>
      </c>
      <c r="F505" s="1619" cm="1">
        <f t="array" ref="F505:M505">_xlfn.ANCHORARRAY(F476)*0</f>
        <v>0</v>
      </c>
      <c r="G505" s="1619">
        <v>0</v>
      </c>
      <c r="H505" s="1619">
        <v>0</v>
      </c>
      <c r="I505" s="1619">
        <v>0</v>
      </c>
      <c r="J505" s="1619">
        <v>0</v>
      </c>
      <c r="K505" s="1619">
        <v>0</v>
      </c>
      <c r="L505" s="1619">
        <v>0</v>
      </c>
      <c r="M505" s="1619">
        <v>0</v>
      </c>
      <c r="N505" s="3"/>
    </row>
    <row r="506" spans="4:14" ht="15" customHeight="1">
      <c r="D506" s="3"/>
      <c r="E506" s="1362" t="s">
        <v>549</v>
      </c>
      <c r="F506" s="1620" cm="1">
        <f t="array" ref="F506:M506">_xlfn.ANCHORARRAY(F477)*0</f>
        <v>0</v>
      </c>
      <c r="G506" s="1620">
        <v>0</v>
      </c>
      <c r="H506" s="1620">
        <v>0</v>
      </c>
      <c r="I506" s="1620">
        <v>0</v>
      </c>
      <c r="J506" s="1620">
        <v>0</v>
      </c>
      <c r="K506" s="1620">
        <v>0</v>
      </c>
      <c r="L506" s="1620">
        <v>0</v>
      </c>
      <c r="M506" s="1620">
        <v>0</v>
      </c>
      <c r="N506" s="3"/>
    </row>
    <row r="507" spans="4:14" ht="15" customHeight="1">
      <c r="D507" s="3"/>
      <c r="E507" s="1362" t="s">
        <v>162</v>
      </c>
      <c r="F507" s="1620" cm="1">
        <f t="array" ref="F507:M507">_xlfn.ANCHORARRAY(F478)*0</f>
        <v>0</v>
      </c>
      <c r="G507" s="1620">
        <v>0</v>
      </c>
      <c r="H507" s="1620">
        <v>0</v>
      </c>
      <c r="I507" s="1620">
        <v>0</v>
      </c>
      <c r="J507" s="1620">
        <v>0</v>
      </c>
      <c r="K507" s="1620">
        <v>0</v>
      </c>
      <c r="L507" s="1620">
        <v>0</v>
      </c>
      <c r="M507" s="1620">
        <v>0</v>
      </c>
      <c r="N507" s="3"/>
    </row>
    <row r="508" spans="4:14" ht="15" customHeight="1">
      <c r="D508" s="3"/>
      <c r="E508" s="1358" t="s">
        <v>504</v>
      </c>
      <c r="F508" s="1363" cm="1">
        <f t="array" ref="F508:M508">_xlfn.ANCHORARRAY(F479)*0</f>
        <v>0</v>
      </c>
      <c r="G508" s="1363">
        <v>0</v>
      </c>
      <c r="H508" s="1363">
        <v>0</v>
      </c>
      <c r="I508" s="1363">
        <v>0</v>
      </c>
      <c r="J508" s="1363">
        <v>0</v>
      </c>
      <c r="K508" s="1363">
        <v>0</v>
      </c>
      <c r="L508" s="1363">
        <v>0</v>
      </c>
      <c r="M508" s="1363">
        <v>0</v>
      </c>
      <c r="N508" s="3"/>
    </row>
    <row r="509" spans="4:14" ht="15" customHeight="1">
      <c r="D509" s="3"/>
      <c r="E509" s="1366" t="s">
        <v>1747</v>
      </c>
      <c r="F509" s="1616">
        <f t="shared" ref="F509:M509" si="28">SUM(F499:F508)</f>
        <v>0</v>
      </c>
      <c r="G509" s="1616">
        <f t="shared" si="28"/>
        <v>0</v>
      </c>
      <c r="H509" s="1616">
        <f t="shared" si="28"/>
        <v>0</v>
      </c>
      <c r="I509" s="1616">
        <f t="shared" si="28"/>
        <v>0</v>
      </c>
      <c r="J509" s="1616">
        <f t="shared" si="28"/>
        <v>0</v>
      </c>
      <c r="K509" s="1616">
        <f t="shared" si="28"/>
        <v>0</v>
      </c>
      <c r="L509" s="1616">
        <f t="shared" si="28"/>
        <v>0</v>
      </c>
      <c r="M509" s="1616">
        <f t="shared" si="28"/>
        <v>0</v>
      </c>
      <c r="N509" s="3"/>
    </row>
    <row r="510" spans="4:14" ht="15" customHeight="1">
      <c r="D510" s="3"/>
      <c r="E510" s="3"/>
      <c r="F510" s="415"/>
      <c r="G510" s="415"/>
      <c r="H510" s="415"/>
      <c r="I510" s="415"/>
      <c r="J510" s="415"/>
      <c r="K510" s="415"/>
      <c r="L510" s="415"/>
      <c r="M510" s="415"/>
      <c r="N510" s="3"/>
    </row>
    <row r="511" spans="4:14" ht="15" customHeight="1">
      <c r="D511" s="3"/>
      <c r="E511" s="3"/>
      <c r="F511" s="415"/>
      <c r="G511" s="415"/>
      <c r="H511" s="415"/>
      <c r="I511" s="415"/>
      <c r="J511" s="415"/>
      <c r="K511" s="415"/>
      <c r="L511" s="415"/>
      <c r="M511" s="415"/>
      <c r="N511" s="3"/>
    </row>
    <row r="512" spans="4:14" ht="15" customHeight="1">
      <c r="D512" s="3"/>
      <c r="E512" s="1366" t="s">
        <v>1748</v>
      </c>
      <c r="F512" s="1616" cm="1">
        <f t="array" ref="F512:M512">F495:M495+F509:M509</f>
        <v>1.4380242287862461</v>
      </c>
      <c r="G512" s="1616">
        <v>1.4032329333213156</v>
      </c>
      <c r="H512" s="1616">
        <v>1.5381359892828692</v>
      </c>
      <c r="I512" s="1616">
        <v>1.5381359892828692</v>
      </c>
      <c r="J512" s="1616">
        <v>1.5381359892828692</v>
      </c>
      <c r="K512" s="1616">
        <v>1.5381359892828692</v>
      </c>
      <c r="L512" s="1616">
        <v>1.5381359892828692</v>
      </c>
      <c r="M512" s="1616">
        <v>1.5381359892828692</v>
      </c>
      <c r="N512" s="3"/>
    </row>
    <row r="513" spans="4:14" ht="15" customHeight="1">
      <c r="D513" s="3"/>
      <c r="E513" s="3"/>
      <c r="F513" s="415"/>
      <c r="G513" s="415"/>
      <c r="H513" s="415"/>
      <c r="I513" s="415"/>
      <c r="J513" s="415"/>
      <c r="K513" s="415"/>
      <c r="L513" s="415"/>
      <c r="M513" s="415"/>
      <c r="N513" s="3"/>
    </row>
    <row r="514" spans="4:14" ht="15" customHeight="1">
      <c r="D514" s="3"/>
      <c r="E514" s="3"/>
      <c r="F514" s="415"/>
      <c r="G514" s="415"/>
      <c r="H514" s="415"/>
      <c r="I514" s="415"/>
      <c r="J514" s="415"/>
      <c r="K514" s="415"/>
      <c r="L514" s="415"/>
      <c r="M514" s="415"/>
      <c r="N514" s="3"/>
    </row>
    <row r="515" spans="4:14" ht="15" customHeight="1">
      <c r="D515" s="3"/>
      <c r="E515" s="3"/>
      <c r="F515" s="415"/>
      <c r="G515" s="415"/>
      <c r="H515" s="415"/>
      <c r="I515" s="415"/>
      <c r="J515" s="415"/>
      <c r="K515" s="415"/>
      <c r="L515" s="415"/>
      <c r="M515" s="415"/>
      <c r="N515" s="3"/>
    </row>
    <row r="516" spans="4:14" ht="15" customHeight="1">
      <c r="D516" s="3"/>
      <c r="E516" s="3"/>
      <c r="F516" s="415"/>
      <c r="G516" s="415"/>
      <c r="H516" s="415"/>
      <c r="I516" s="415"/>
      <c r="J516" s="415"/>
      <c r="K516" s="415"/>
      <c r="L516" s="415"/>
      <c r="M516" s="415"/>
      <c r="N516" s="3"/>
    </row>
    <row r="517" spans="4:14" ht="15" customHeight="1">
      <c r="D517" s="3"/>
      <c r="E517" s="3"/>
      <c r="F517" s="415"/>
      <c r="G517" s="415"/>
      <c r="H517" s="415"/>
      <c r="I517" s="415"/>
      <c r="J517" s="415"/>
      <c r="K517" s="415"/>
      <c r="L517" s="415"/>
      <c r="M517" s="415"/>
      <c r="N517" s="3"/>
    </row>
    <row r="518" spans="4:14" ht="15" customHeight="1">
      <c r="D518" s="3"/>
      <c r="E518" s="3"/>
      <c r="F518" s="415"/>
      <c r="G518" s="415"/>
      <c r="H518" s="415"/>
      <c r="I518" s="415"/>
      <c r="J518" s="415"/>
      <c r="K518" s="415"/>
      <c r="L518" s="415"/>
      <c r="M518" s="415"/>
      <c r="N518" s="3"/>
    </row>
    <row r="519" spans="4:14" ht="15" customHeight="1">
      <c r="D519" s="3"/>
      <c r="E519" s="3"/>
      <c r="F519" s="415"/>
      <c r="G519" s="415"/>
      <c r="H519" s="415"/>
      <c r="I519" s="415"/>
      <c r="J519" s="415"/>
      <c r="K519" s="415"/>
      <c r="L519" s="415"/>
      <c r="M519" s="415"/>
      <c r="N519" s="3"/>
    </row>
    <row r="520" spans="4:14" ht="15" customHeight="1">
      <c r="D520" s="3"/>
      <c r="E520" s="3"/>
      <c r="F520" s="415"/>
      <c r="G520" s="415"/>
      <c r="H520" s="415"/>
      <c r="I520" s="415"/>
      <c r="J520" s="415"/>
      <c r="K520" s="415"/>
      <c r="L520" s="415"/>
      <c r="M520" s="415"/>
      <c r="N520" s="3"/>
    </row>
    <row r="521" spans="4:14" ht="15" customHeight="1">
      <c r="D521" s="3"/>
      <c r="E521" s="3"/>
      <c r="F521" s="415"/>
      <c r="G521" s="415"/>
      <c r="H521" s="415"/>
      <c r="I521" s="415"/>
      <c r="J521" s="415"/>
      <c r="K521" s="415"/>
      <c r="L521" s="415"/>
      <c r="M521" s="415"/>
      <c r="N521" s="3"/>
    </row>
    <row r="522" spans="4:14" ht="15" customHeight="1">
      <c r="D522" s="3"/>
      <c r="E522" s="3"/>
      <c r="F522" s="415"/>
      <c r="G522" s="415"/>
      <c r="H522" s="415"/>
      <c r="I522" s="415"/>
      <c r="J522" s="415"/>
      <c r="K522" s="415"/>
      <c r="L522" s="415"/>
      <c r="M522" s="415"/>
      <c r="N522" s="3"/>
    </row>
    <row r="523" spans="4:14" ht="15" customHeight="1">
      <c r="D523" s="3"/>
      <c r="E523" s="3"/>
      <c r="F523" s="415"/>
      <c r="G523" s="415"/>
      <c r="H523" s="415"/>
      <c r="I523" s="415"/>
      <c r="J523" s="415"/>
      <c r="K523" s="415"/>
      <c r="L523" s="415"/>
      <c r="M523" s="415"/>
      <c r="N523" s="3"/>
    </row>
    <row r="524" spans="4:14" ht="15" customHeight="1">
      <c r="D524" s="3"/>
      <c r="E524" s="3"/>
      <c r="F524" s="415"/>
      <c r="G524" s="415"/>
      <c r="H524" s="415"/>
      <c r="I524" s="415"/>
      <c r="J524" s="415"/>
      <c r="K524" s="415"/>
      <c r="L524" s="415"/>
      <c r="M524" s="415"/>
      <c r="N524" s="3"/>
    </row>
    <row r="525" spans="4:14" ht="15" customHeight="1">
      <c r="D525" s="3"/>
      <c r="E525" s="3"/>
      <c r="F525" s="3"/>
      <c r="G525" s="3"/>
      <c r="H525" s="3"/>
      <c r="I525" s="3"/>
      <c r="J525" s="3"/>
      <c r="K525" s="3"/>
      <c r="L525" s="3"/>
      <c r="M525" s="3"/>
      <c r="N525" s="3"/>
    </row>
    <row r="526" spans="4:14" ht="15" customHeight="1">
      <c r="D526" s="3"/>
      <c r="E526" s="3"/>
      <c r="F526" s="3"/>
      <c r="G526" s="3"/>
      <c r="H526" s="3"/>
      <c r="I526" s="3"/>
      <c r="J526" s="3"/>
      <c r="K526" s="3"/>
      <c r="L526" s="3"/>
      <c r="M526" s="3"/>
      <c r="N526" s="3"/>
    </row>
    <row r="527" spans="4:14" ht="15" customHeight="1">
      <c r="D527" s="3"/>
      <c r="E527" s="3"/>
      <c r="F527" s="3"/>
      <c r="G527" s="3"/>
      <c r="H527" s="3"/>
      <c r="I527" s="3"/>
      <c r="J527" s="3"/>
      <c r="K527" s="3"/>
      <c r="L527" s="3"/>
      <c r="M527" s="3"/>
      <c r="N527" s="3"/>
    </row>
    <row r="528" spans="4:14" ht="15" customHeight="1">
      <c r="D528" s="3"/>
      <c r="E528" s="3"/>
      <c r="F528" s="3"/>
      <c r="G528" s="3"/>
      <c r="H528" s="3"/>
      <c r="I528" s="3"/>
      <c r="J528" s="3"/>
      <c r="K528" s="3"/>
      <c r="L528" s="3"/>
      <c r="M528" s="3"/>
      <c r="N528" s="3"/>
    </row>
    <row r="529" spans="4:14" ht="15" customHeight="1">
      <c r="D529" s="3"/>
      <c r="E529" s="3"/>
      <c r="F529" s="3"/>
      <c r="G529" s="3"/>
      <c r="H529" s="3"/>
      <c r="I529" s="3"/>
      <c r="J529" s="3"/>
      <c r="K529" s="3"/>
      <c r="L529" s="3"/>
      <c r="M529" s="3"/>
      <c r="N529" s="3"/>
    </row>
    <row r="530" spans="4:14" ht="15" customHeight="1">
      <c r="D530" s="3"/>
      <c r="E530" s="3"/>
      <c r="F530" s="3"/>
      <c r="G530" s="3"/>
      <c r="H530" s="3"/>
      <c r="I530" s="3"/>
      <c r="J530" s="3"/>
      <c r="K530" s="3"/>
      <c r="L530" s="3"/>
      <c r="M530" s="3"/>
      <c r="N530" s="3"/>
    </row>
    <row r="531" spans="4:14" ht="15" customHeight="1">
      <c r="D531" s="3"/>
      <c r="E531" s="3"/>
      <c r="F531" s="3"/>
      <c r="G531" s="3"/>
      <c r="H531" s="3"/>
      <c r="I531" s="3"/>
      <c r="J531" s="3"/>
      <c r="K531" s="3"/>
      <c r="L531" s="3"/>
      <c r="M531" s="3"/>
      <c r="N531" s="3"/>
    </row>
    <row r="532" spans="4:14" ht="15" customHeight="1">
      <c r="D532" s="3"/>
      <c r="E532" s="3"/>
      <c r="F532" s="3"/>
      <c r="G532" s="3"/>
      <c r="H532" s="3"/>
      <c r="I532" s="3"/>
      <c r="J532" s="3"/>
      <c r="K532" s="3"/>
      <c r="L532" s="3"/>
      <c r="M532" s="3"/>
      <c r="N532" s="3"/>
    </row>
    <row r="533" spans="4:14" ht="15" customHeight="1">
      <c r="D533" s="3"/>
      <c r="E533" s="3"/>
      <c r="F533" s="3"/>
      <c r="G533" s="3"/>
      <c r="H533" s="3"/>
      <c r="I533" s="3"/>
      <c r="J533" s="3"/>
      <c r="K533" s="3"/>
      <c r="L533" s="3"/>
      <c r="M533" s="3"/>
      <c r="N533" s="3"/>
    </row>
    <row r="534" spans="4:14" ht="15" customHeight="1">
      <c r="D534" s="3"/>
      <c r="E534" s="3"/>
      <c r="F534" s="3"/>
      <c r="G534" s="3"/>
      <c r="H534" s="3"/>
      <c r="I534" s="3"/>
      <c r="J534" s="3"/>
      <c r="K534" s="3"/>
      <c r="L534" s="3"/>
      <c r="M534" s="3"/>
      <c r="N534" s="3"/>
    </row>
    <row r="535" spans="4:14" ht="15" customHeight="1">
      <c r="D535" s="3"/>
      <c r="E535" s="3"/>
      <c r="F535" s="3"/>
      <c r="G535" s="3"/>
      <c r="H535" s="3"/>
      <c r="I535" s="3"/>
      <c r="J535" s="3"/>
      <c r="K535" s="3"/>
      <c r="L535" s="3"/>
      <c r="M535" s="3"/>
      <c r="N535" s="3"/>
    </row>
    <row r="536" spans="4:14" ht="15" customHeight="1">
      <c r="D536" s="3"/>
      <c r="E536" s="3"/>
      <c r="F536" s="3"/>
      <c r="G536" s="3"/>
      <c r="H536" s="3"/>
      <c r="I536" s="3"/>
      <c r="J536" s="3"/>
      <c r="K536" s="3"/>
      <c r="L536" s="3"/>
      <c r="M536" s="3"/>
      <c r="N536" s="3"/>
    </row>
    <row r="537" spans="4:14" ht="15" customHeight="1">
      <c r="D537" s="3"/>
      <c r="E537" s="3"/>
      <c r="F537" s="3"/>
      <c r="G537" s="3"/>
      <c r="H537" s="3"/>
      <c r="I537" s="3"/>
      <c r="J537" s="3"/>
      <c r="K537" s="3"/>
      <c r="L537" s="3"/>
      <c r="M537" s="3"/>
      <c r="N537" s="3"/>
    </row>
    <row r="538" spans="4:14" ht="15" customHeight="1">
      <c r="D538" s="3"/>
      <c r="E538" s="3"/>
      <c r="F538" s="3"/>
      <c r="G538" s="3"/>
      <c r="H538" s="3"/>
      <c r="I538" s="3"/>
      <c r="J538" s="3"/>
      <c r="K538" s="3"/>
      <c r="L538" s="3"/>
      <c r="M538" s="3"/>
      <c r="N538" s="3"/>
    </row>
    <row r="539" spans="4:14" ht="15" customHeight="1">
      <c r="D539" s="3"/>
      <c r="E539" s="3"/>
      <c r="F539" s="3"/>
      <c r="G539" s="3"/>
      <c r="H539" s="3"/>
      <c r="I539" s="3"/>
      <c r="J539" s="3"/>
      <c r="K539" s="3"/>
      <c r="L539" s="3"/>
      <c r="M539" s="3"/>
      <c r="N539" s="3"/>
    </row>
    <row r="540" spans="4:14" ht="15" customHeight="1">
      <c r="D540" s="3"/>
      <c r="E540" s="3"/>
      <c r="F540" s="3"/>
      <c r="G540" s="3"/>
      <c r="H540" s="3"/>
      <c r="I540" s="3"/>
      <c r="J540" s="3"/>
      <c r="K540" s="3"/>
      <c r="L540" s="3"/>
      <c r="M540" s="3"/>
      <c r="N540" s="3"/>
    </row>
    <row r="541" spans="4:14" ht="15" customHeight="1">
      <c r="D541" s="3"/>
      <c r="E541" s="3"/>
      <c r="F541" s="3"/>
      <c r="G541" s="3"/>
      <c r="H541" s="3"/>
      <c r="I541" s="3"/>
      <c r="J541" s="3"/>
      <c r="K541" s="3"/>
      <c r="L541" s="3"/>
      <c r="M541" s="3"/>
      <c r="N541" s="3"/>
    </row>
    <row r="542" spans="4:14" ht="15" customHeight="1">
      <c r="D542" s="3"/>
      <c r="E542" s="3"/>
      <c r="F542" s="3"/>
      <c r="G542" s="3"/>
      <c r="H542" s="3"/>
      <c r="I542" s="3"/>
      <c r="J542" s="3"/>
      <c r="K542" s="3"/>
      <c r="L542" s="3"/>
      <c r="M542" s="3"/>
      <c r="N542" s="3"/>
    </row>
    <row r="543" spans="4:14" ht="15" customHeight="1">
      <c r="D543" s="3"/>
      <c r="E543" s="3"/>
      <c r="F543" s="3"/>
      <c r="G543" s="3"/>
      <c r="H543" s="3"/>
      <c r="I543" s="3"/>
      <c r="J543" s="3"/>
      <c r="K543" s="3"/>
      <c r="L543" s="3"/>
      <c r="M543" s="3"/>
      <c r="N543" s="3"/>
    </row>
    <row r="544" spans="4:14" ht="15" customHeight="1">
      <c r="D544" s="3"/>
      <c r="E544" s="3"/>
      <c r="F544" s="3"/>
      <c r="G544" s="3"/>
      <c r="H544" s="3"/>
      <c r="I544" s="3"/>
      <c r="J544" s="3"/>
      <c r="K544" s="3"/>
      <c r="L544" s="3"/>
      <c r="M544" s="3"/>
      <c r="N544" s="3"/>
    </row>
    <row r="545" spans="4:14" ht="15" customHeight="1">
      <c r="D545" s="3"/>
      <c r="E545" s="3"/>
      <c r="F545" s="3"/>
      <c r="G545" s="3"/>
      <c r="H545" s="3"/>
      <c r="I545" s="3"/>
      <c r="J545" s="3"/>
      <c r="K545" s="3"/>
      <c r="L545" s="3"/>
      <c r="M545" s="3"/>
      <c r="N545" s="3"/>
    </row>
    <row r="546" spans="4:14" ht="15" customHeight="1">
      <c r="D546" s="3"/>
      <c r="E546" s="3"/>
      <c r="F546" s="3"/>
      <c r="G546" s="3"/>
      <c r="H546" s="3"/>
      <c r="I546" s="3"/>
      <c r="J546" s="3"/>
      <c r="K546" s="3"/>
      <c r="L546" s="3"/>
      <c r="M546" s="3"/>
      <c r="N546" s="3"/>
    </row>
    <row r="547" spans="4:14" ht="15" customHeight="1">
      <c r="D547" s="3"/>
      <c r="E547" s="3"/>
      <c r="F547" s="3"/>
      <c r="G547" s="3"/>
      <c r="H547" s="3"/>
      <c r="I547" s="3"/>
      <c r="J547" s="3"/>
      <c r="K547" s="3"/>
      <c r="L547" s="3"/>
      <c r="M547" s="3"/>
      <c r="N547" s="3"/>
    </row>
    <row r="548" spans="4:14" ht="15" customHeight="1">
      <c r="D548" s="3"/>
      <c r="E548" s="3"/>
      <c r="F548" s="3"/>
      <c r="G548" s="3"/>
      <c r="H548" s="3"/>
      <c r="I548" s="3"/>
      <c r="J548" s="3"/>
      <c r="K548" s="3"/>
      <c r="L548" s="3"/>
      <c r="M548" s="3"/>
      <c r="N548" s="3"/>
    </row>
    <row r="549" spans="4:14" ht="15" customHeight="1">
      <c r="D549" s="3"/>
      <c r="E549" s="3"/>
      <c r="F549" s="3"/>
      <c r="G549" s="3"/>
      <c r="H549" s="3"/>
      <c r="I549" s="3"/>
      <c r="J549" s="3"/>
      <c r="K549" s="3"/>
      <c r="L549" s="3"/>
      <c r="M549" s="3"/>
      <c r="N549" s="3"/>
    </row>
    <row r="550" spans="4:14" ht="15" customHeight="1">
      <c r="D550" s="3"/>
      <c r="E550" s="3"/>
      <c r="F550" s="3"/>
      <c r="G550" s="3"/>
      <c r="H550" s="3"/>
      <c r="I550" s="3"/>
      <c r="J550" s="3"/>
      <c r="K550" s="3"/>
      <c r="L550" s="3"/>
      <c r="M550" s="3"/>
      <c r="N550" s="3"/>
    </row>
    <row r="551" spans="4:14" ht="15" customHeight="1">
      <c r="D551" s="3"/>
      <c r="E551" s="3"/>
      <c r="F551" s="3"/>
      <c r="G551" s="3"/>
      <c r="H551" s="3"/>
      <c r="I551" s="3"/>
      <c r="J551" s="3"/>
      <c r="K551" s="3"/>
      <c r="L551" s="3"/>
      <c r="M551" s="3"/>
      <c r="N551" s="3"/>
    </row>
    <row r="552" spans="4:14" ht="15" customHeight="1">
      <c r="D552" s="3"/>
      <c r="E552" s="3"/>
      <c r="F552" s="3"/>
      <c r="G552" s="3"/>
      <c r="H552" s="3"/>
      <c r="I552" s="3"/>
      <c r="J552" s="3"/>
      <c r="K552" s="3"/>
      <c r="L552" s="3"/>
      <c r="M552" s="3"/>
      <c r="N552" s="3"/>
    </row>
    <row r="553" spans="4:14" ht="15" customHeight="1">
      <c r="D553" s="3"/>
      <c r="E553" s="3"/>
      <c r="F553" s="3"/>
      <c r="G553" s="3"/>
      <c r="H553" s="3"/>
      <c r="I553" s="3"/>
      <c r="J553" s="3"/>
      <c r="K553" s="3"/>
      <c r="L553" s="3"/>
      <c r="M553" s="3"/>
      <c r="N553" s="3"/>
    </row>
    <row r="554" spans="4:14" ht="15" customHeight="1">
      <c r="D554" s="3"/>
      <c r="E554" s="3"/>
      <c r="F554" s="3"/>
      <c r="G554" s="3"/>
      <c r="H554" s="3"/>
      <c r="I554" s="3"/>
      <c r="J554" s="3"/>
      <c r="K554" s="3"/>
      <c r="L554" s="3"/>
      <c r="M554" s="3"/>
      <c r="N554" s="3"/>
    </row>
    <row r="555" spans="4:14" ht="15" customHeight="1">
      <c r="D555" s="3"/>
      <c r="E555" s="3"/>
      <c r="F555" s="3"/>
      <c r="G555" s="3"/>
      <c r="H555" s="3"/>
      <c r="I555" s="3"/>
      <c r="J555" s="3"/>
      <c r="K555" s="3"/>
      <c r="L555" s="3"/>
      <c r="M555" s="3"/>
      <c r="N555" s="3"/>
    </row>
    <row r="556" spans="4:14" ht="15" customHeight="1">
      <c r="D556" s="3"/>
      <c r="E556" s="3"/>
      <c r="F556" s="3"/>
      <c r="G556" s="3"/>
      <c r="H556" s="3"/>
      <c r="I556" s="3"/>
      <c r="J556" s="3"/>
      <c r="K556" s="3"/>
      <c r="L556" s="3"/>
      <c r="M556" s="3"/>
      <c r="N556" s="3"/>
    </row>
    <row r="557" spans="4:14" ht="15" customHeight="1">
      <c r="D557" s="3"/>
      <c r="E557" s="3"/>
      <c r="F557" s="3"/>
      <c r="G557" s="3"/>
      <c r="H557" s="3"/>
      <c r="I557" s="3"/>
      <c r="J557" s="3"/>
      <c r="K557" s="3"/>
      <c r="L557" s="3"/>
      <c r="M557" s="3"/>
      <c r="N557" s="3"/>
    </row>
    <row r="558" spans="4:14" ht="15" customHeight="1">
      <c r="D558" s="3"/>
      <c r="E558" s="3"/>
      <c r="F558" s="3"/>
      <c r="G558" s="3"/>
      <c r="H558" s="3"/>
      <c r="I558" s="3"/>
      <c r="J558" s="3"/>
      <c r="K558" s="3"/>
      <c r="L558" s="3"/>
      <c r="M558" s="3"/>
      <c r="N558" s="3"/>
    </row>
    <row r="559" spans="4:14" ht="15" customHeight="1">
      <c r="D559" s="3"/>
      <c r="E559" s="3"/>
      <c r="F559" s="3"/>
      <c r="G559" s="3"/>
      <c r="H559" s="3"/>
      <c r="I559" s="3"/>
      <c r="J559" s="3"/>
      <c r="K559" s="3"/>
      <c r="L559" s="3"/>
      <c r="M559" s="3"/>
      <c r="N559" s="3"/>
    </row>
    <row r="560" spans="4:14" ht="15" customHeight="1">
      <c r="D560" s="3"/>
      <c r="E560" s="3"/>
      <c r="F560" s="3"/>
      <c r="G560" s="3"/>
      <c r="H560" s="3"/>
      <c r="I560" s="3"/>
      <c r="J560" s="3"/>
      <c r="K560" s="3"/>
      <c r="L560" s="3"/>
      <c r="M560" s="3"/>
      <c r="N560" s="3"/>
    </row>
    <row r="561" spans="4:14" ht="15" customHeight="1">
      <c r="D561" s="3"/>
      <c r="E561" s="3"/>
      <c r="F561" s="3"/>
      <c r="G561" s="3"/>
      <c r="H561" s="3"/>
      <c r="I561" s="3"/>
      <c r="J561" s="3"/>
      <c r="K561" s="3"/>
      <c r="L561" s="3"/>
      <c r="M561" s="3"/>
      <c r="N561" s="3"/>
    </row>
    <row r="562" spans="4:14" ht="15" customHeight="1">
      <c r="D562" s="3"/>
      <c r="E562" s="3"/>
      <c r="F562" s="3"/>
      <c r="G562" s="3"/>
      <c r="H562" s="3"/>
      <c r="I562" s="3"/>
      <c r="J562" s="3"/>
      <c r="K562" s="3"/>
      <c r="L562" s="3"/>
      <c r="M562" s="3"/>
      <c r="N562" s="3"/>
    </row>
    <row r="563" spans="4:14" ht="15" customHeight="1">
      <c r="D563" s="3"/>
      <c r="E563" s="3"/>
      <c r="F563" s="3"/>
      <c r="G563" s="3"/>
      <c r="H563" s="3"/>
      <c r="I563" s="3"/>
      <c r="J563" s="3"/>
      <c r="K563" s="3"/>
      <c r="L563" s="3"/>
      <c r="M563" s="3"/>
      <c r="N563" s="3"/>
    </row>
    <row r="564" spans="4:14" ht="15" customHeight="1">
      <c r="D564" s="3"/>
      <c r="E564" s="3"/>
      <c r="F564" s="3"/>
      <c r="G564" s="3"/>
      <c r="H564" s="3"/>
      <c r="I564" s="3"/>
      <c r="J564" s="3"/>
      <c r="K564" s="3"/>
      <c r="L564" s="3"/>
      <c r="M564" s="3"/>
      <c r="N564" s="3"/>
    </row>
    <row r="565" spans="4:14" ht="15" customHeight="1">
      <c r="D565" s="3"/>
      <c r="E565" s="3"/>
      <c r="F565" s="3"/>
      <c r="G565" s="3"/>
      <c r="H565" s="3"/>
      <c r="I565" s="3"/>
      <c r="J565" s="3"/>
      <c r="K565" s="3"/>
      <c r="L565" s="3"/>
      <c r="M565" s="3"/>
      <c r="N565" s="3"/>
    </row>
    <row r="566" spans="4:14" ht="15" customHeight="1">
      <c r="D566" s="3"/>
      <c r="E566" s="3"/>
      <c r="F566" s="3"/>
      <c r="G566" s="3"/>
      <c r="H566" s="3"/>
      <c r="I566" s="3"/>
      <c r="J566" s="3"/>
      <c r="K566" s="3"/>
      <c r="L566" s="3"/>
      <c r="M566" s="3"/>
      <c r="N566" s="3"/>
    </row>
    <row r="567" spans="4:14" ht="15" customHeight="1">
      <c r="D567" s="3"/>
      <c r="E567" s="3"/>
      <c r="F567" s="3"/>
      <c r="G567" s="3"/>
      <c r="H567" s="3"/>
      <c r="I567" s="3"/>
      <c r="J567" s="3"/>
      <c r="K567" s="3"/>
      <c r="L567" s="3"/>
      <c r="M567" s="3"/>
      <c r="N567" s="3"/>
    </row>
    <row r="568" spans="4:14" ht="15" customHeight="1">
      <c r="D568" s="3"/>
      <c r="E568" s="3"/>
      <c r="F568" s="3"/>
      <c r="G568" s="3"/>
      <c r="H568" s="3"/>
      <c r="I568" s="3"/>
      <c r="J568" s="3"/>
      <c r="K568" s="3"/>
      <c r="L568" s="3"/>
      <c r="M568" s="3"/>
      <c r="N568" s="3"/>
    </row>
    <row r="569" spans="4:14" ht="15" customHeight="1">
      <c r="D569" s="3"/>
      <c r="E569" s="3"/>
      <c r="F569" s="3"/>
      <c r="G569" s="3"/>
      <c r="H569" s="3"/>
      <c r="I569" s="3"/>
      <c r="J569" s="3"/>
      <c r="K569" s="3"/>
      <c r="L569" s="3"/>
      <c r="M569" s="3"/>
      <c r="N569" s="3"/>
    </row>
    <row r="570" spans="4:14" ht="15" customHeight="1">
      <c r="D570" s="3"/>
      <c r="E570" s="3"/>
      <c r="F570" s="3"/>
      <c r="G570" s="3"/>
      <c r="H570" s="3"/>
      <c r="I570" s="3"/>
      <c r="J570" s="3"/>
      <c r="K570" s="3"/>
      <c r="L570" s="3"/>
      <c r="M570" s="3"/>
      <c r="N570" s="3"/>
    </row>
    <row r="571" spans="4:14" ht="15" customHeight="1">
      <c r="D571" s="3"/>
      <c r="E571" s="3"/>
      <c r="F571" s="3"/>
      <c r="G571" s="3"/>
      <c r="H571" s="3"/>
      <c r="I571" s="3"/>
      <c r="J571" s="3"/>
      <c r="K571" s="3"/>
      <c r="L571" s="3"/>
      <c r="M571" s="3"/>
      <c r="N571" s="3"/>
    </row>
    <row r="572" spans="4:14" ht="15" customHeight="1">
      <c r="D572" s="3"/>
      <c r="E572" s="3"/>
      <c r="F572" s="3"/>
      <c r="G572" s="3"/>
      <c r="H572" s="3"/>
      <c r="I572" s="3"/>
      <c r="J572" s="3"/>
      <c r="K572" s="3"/>
      <c r="L572" s="3"/>
      <c r="M572" s="3"/>
      <c r="N572" s="3"/>
    </row>
    <row r="573" spans="4:14" ht="15" customHeight="1">
      <c r="D573" s="3"/>
      <c r="E573" s="3"/>
      <c r="F573" s="3"/>
      <c r="G573" s="3"/>
      <c r="H573" s="3"/>
      <c r="I573" s="3"/>
      <c r="J573" s="3"/>
      <c r="K573" s="3"/>
      <c r="L573" s="3"/>
      <c r="M573" s="3"/>
      <c r="N573" s="3"/>
    </row>
    <row r="574" spans="4:14" ht="15" customHeight="1">
      <c r="D574" s="3"/>
      <c r="E574" s="3"/>
      <c r="F574" s="3"/>
      <c r="G574" s="3"/>
      <c r="H574" s="3"/>
      <c r="I574" s="3"/>
      <c r="J574" s="3"/>
      <c r="K574" s="3"/>
      <c r="L574" s="3"/>
      <c r="M574" s="3"/>
      <c r="N574" s="3"/>
    </row>
    <row r="575" spans="4:14" ht="15" customHeight="1">
      <c r="D575" s="3"/>
      <c r="E575" s="3"/>
      <c r="F575" s="3"/>
      <c r="G575" s="3"/>
      <c r="H575" s="3"/>
      <c r="I575" s="3"/>
      <c r="J575" s="3"/>
      <c r="K575" s="3"/>
      <c r="L575" s="3"/>
      <c r="M575" s="3"/>
      <c r="N575" s="3"/>
    </row>
    <row r="576" spans="4:14" ht="15" customHeight="1">
      <c r="D576" s="3"/>
      <c r="E576" s="3"/>
      <c r="F576" s="3"/>
      <c r="G576" s="3"/>
      <c r="H576" s="3"/>
      <c r="I576" s="3"/>
      <c r="J576" s="3"/>
      <c r="K576" s="3"/>
      <c r="L576" s="3"/>
      <c r="M576" s="3"/>
      <c r="N576" s="3"/>
    </row>
    <row r="577" spans="4:14" ht="15" customHeight="1">
      <c r="D577" s="3"/>
      <c r="E577" s="3"/>
      <c r="F577" s="3"/>
      <c r="G577" s="3"/>
      <c r="H577" s="3"/>
      <c r="I577" s="3"/>
      <c r="J577" s="3"/>
      <c r="K577" s="3"/>
      <c r="L577" s="3"/>
      <c r="M577" s="3"/>
      <c r="N577" s="3"/>
    </row>
    <row r="578" spans="4:14" ht="15" customHeight="1">
      <c r="D578" s="3"/>
      <c r="E578" s="3"/>
      <c r="F578" s="3"/>
      <c r="G578" s="3"/>
      <c r="H578" s="3"/>
      <c r="I578" s="3"/>
      <c r="J578" s="3"/>
      <c r="K578" s="3"/>
      <c r="L578" s="3"/>
      <c r="M578" s="3"/>
      <c r="N578" s="3"/>
    </row>
    <row r="579" spans="4:14" ht="15" customHeight="1">
      <c r="D579" s="3"/>
      <c r="N579" s="3"/>
    </row>
    <row r="580" spans="4:14" ht="15" customHeight="1">
      <c r="D580" s="3"/>
      <c r="N580" s="3"/>
    </row>
    <row r="581" spans="4:14" ht="15" customHeight="1">
      <c r="D581" s="3"/>
      <c r="N581" s="3"/>
    </row>
  </sheetData>
  <sheetProtection algorithmName="SHA-512" hashValue="ztcvfHLHL6xbEDmmYv43cAT2akzOPHFyUn2EDo0Mcv+n67UUta8QPjSHGy/2bHI6NW9/13yYxgkgYfOAn15s/g==" saltValue="JRMbdp2eO4vfPoojHxtlQw==" spinCount="100000" sheet="1" objects="1" scenarios="1"/>
  <mergeCells count="2">
    <mergeCell ref="E7:J8"/>
    <mergeCell ref="M7:M8"/>
  </mergeCells>
  <phoneticPr fontId="11" type="noConversion"/>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8129" r:id="rId5" name="Spinner 1">
              <controlPr defaultSize="0" autoPict="0">
                <anchor moveWithCells="1" sizeWithCells="1">
                  <from>
                    <xdr:col>13</xdr:col>
                    <xdr:colOff>57150</xdr:colOff>
                    <xdr:row>6</xdr:row>
                    <xdr:rowOff>47625</xdr:rowOff>
                  </from>
                  <to>
                    <xdr:col>13</xdr:col>
                    <xdr:colOff>247650</xdr:colOff>
                    <xdr:row>7</xdr:row>
                    <xdr:rowOff>152400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79066-24E0-4DC1-B042-BF73AA43E365}">
  <sheetPr codeName="Hoja47"/>
  <dimension ref="A5:N45"/>
  <sheetViews>
    <sheetView showGridLines="0" zoomScale="80" zoomScaleNormal="80" workbookViewId="0">
      <selection activeCell="G6" sqref="G6"/>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31.28515625" customWidth="1"/>
    <col min="6" max="13" width="11.7109375" customWidth="1"/>
  </cols>
  <sheetData>
    <row r="5" spans="1:14" ht="15" customHeight="1">
      <c r="A5" s="1559"/>
    </row>
    <row r="11" spans="1:14" ht="15" customHeight="1">
      <c r="D11" s="982" t="s">
        <v>48</v>
      </c>
      <c r="E11" s="983"/>
      <c r="F11" s="983"/>
      <c r="G11" s="983"/>
      <c r="H11" s="983"/>
      <c r="I11" s="983"/>
      <c r="J11" s="983"/>
      <c r="K11" s="983"/>
      <c r="L11" s="983"/>
      <c r="M11" s="983"/>
      <c r="N11" s="983"/>
    </row>
    <row r="12" spans="1:14" ht="15" customHeight="1">
      <c r="D12" s="1034"/>
      <c r="E12" s="990"/>
      <c r="F12" s="990"/>
      <c r="G12" s="990"/>
      <c r="H12" s="990"/>
      <c r="I12" s="990"/>
      <c r="J12" s="990"/>
      <c r="K12" s="990"/>
      <c r="L12" s="990"/>
      <c r="M12" s="990"/>
      <c r="N12" s="990"/>
    </row>
    <row r="13" spans="1:14" ht="15" customHeight="1">
      <c r="D13" s="985"/>
      <c r="E13" s="998" t="s">
        <v>1475</v>
      </c>
      <c r="F13" s="390"/>
      <c r="G13" s="391"/>
      <c r="H13" s="390"/>
      <c r="I13" s="999"/>
      <c r="J13" s="390"/>
      <c r="K13" s="999"/>
      <c r="L13" s="999"/>
      <c r="M13" s="999"/>
      <c r="N13" s="996"/>
    </row>
    <row r="14" spans="1:14" ht="15" customHeight="1">
      <c r="D14" s="985"/>
      <c r="E14" s="1000"/>
      <c r="F14" s="992"/>
      <c r="G14" s="992"/>
      <c r="H14" s="992"/>
      <c r="I14" s="991"/>
      <c r="J14" s="992"/>
      <c r="K14" s="993"/>
      <c r="L14" s="994"/>
      <c r="M14" s="994"/>
      <c r="N14" s="996"/>
    </row>
    <row r="15" spans="1:14" ht="15" customHeight="1">
      <c r="D15" s="985"/>
      <c r="E15" s="6"/>
      <c r="F15" s="1016"/>
      <c r="G15" s="992"/>
      <c r="H15" s="992"/>
      <c r="I15" s="991"/>
      <c r="J15" s="992"/>
      <c r="K15" s="993"/>
      <c r="L15" s="994"/>
      <c r="M15" s="52" t="s">
        <v>9</v>
      </c>
      <c r="N15" s="996"/>
    </row>
    <row r="16" spans="1:14" ht="15" customHeight="1">
      <c r="D16" s="985"/>
      <c r="E16" s="53" t="s">
        <v>869</v>
      </c>
      <c r="F16" s="1017">
        <v>2018</v>
      </c>
      <c r="G16" s="1017">
        <v>2020</v>
      </c>
      <c r="H16" s="1017">
        <v>2025</v>
      </c>
      <c r="I16" s="1017">
        <v>2030</v>
      </c>
      <c r="J16" s="1017">
        <v>2035</v>
      </c>
      <c r="K16" s="1017">
        <v>2040</v>
      </c>
      <c r="L16" s="1017">
        <v>2045</v>
      </c>
      <c r="M16" s="1017">
        <v>2050</v>
      </c>
      <c r="N16" s="996"/>
    </row>
    <row r="17" spans="4:14" ht="15" customHeight="1">
      <c r="D17" s="50"/>
      <c r="E17" s="1039" t="s">
        <v>62</v>
      </c>
      <c r="F17" s="2075" t="s">
        <v>72</v>
      </c>
      <c r="G17" s="2075" t="s">
        <v>72</v>
      </c>
      <c r="H17" s="2075" t="s">
        <v>72</v>
      </c>
      <c r="I17" s="2075" t="s">
        <v>72</v>
      </c>
      <c r="J17" s="2075" t="s">
        <v>72</v>
      </c>
      <c r="K17" s="2075" t="s">
        <v>72</v>
      </c>
      <c r="L17" s="2075" t="s">
        <v>72</v>
      </c>
      <c r="M17" s="2075" t="s">
        <v>72</v>
      </c>
      <c r="N17" s="461"/>
    </row>
    <row r="18" spans="4:14" ht="15" customHeight="1">
      <c r="D18" s="50"/>
      <c r="E18" s="1014" t="s">
        <v>292</v>
      </c>
      <c r="F18" s="2075" t="s">
        <v>72</v>
      </c>
      <c r="G18" s="2075" t="s">
        <v>72</v>
      </c>
      <c r="H18" s="2075" t="s">
        <v>72</v>
      </c>
      <c r="I18" s="2075" t="s">
        <v>72</v>
      </c>
      <c r="J18" s="2075" t="s">
        <v>72</v>
      </c>
      <c r="K18" s="2075" t="s">
        <v>72</v>
      </c>
      <c r="L18" s="2075" t="s">
        <v>72</v>
      </c>
      <c r="M18" s="2075" t="s">
        <v>72</v>
      </c>
      <c r="N18" s="461"/>
    </row>
    <row r="19" spans="4:14" ht="15" customHeight="1">
      <c r="D19" s="50"/>
      <c r="E19" s="1014" t="s">
        <v>1720</v>
      </c>
      <c r="F19" s="2075" cm="1">
        <f t="array" ref="F19:M19">SALIDA_GENERACION_IND_AUTO_COGENERACION</f>
        <v>0.22322274026251038</v>
      </c>
      <c r="G19" s="2075">
        <v>0.22322274026251038</v>
      </c>
      <c r="H19" s="2075">
        <v>0.22322274026251038</v>
      </c>
      <c r="I19" s="2075">
        <v>0.22322274026251038</v>
      </c>
      <c r="J19" s="2075">
        <v>0.22322274026251038</v>
      </c>
      <c r="K19" s="2075">
        <v>0.22322274026251038</v>
      </c>
      <c r="L19" s="2075">
        <v>0.22322274026251038</v>
      </c>
      <c r="M19" s="2075">
        <v>0.22322274026251038</v>
      </c>
      <c r="N19" s="461"/>
    </row>
    <row r="20" spans="4:14" ht="15" customHeight="1">
      <c r="D20" s="50"/>
      <c r="E20" s="1014" t="s">
        <v>487</v>
      </c>
      <c r="F20" s="2075" cm="1">
        <f t="array" ref="F20:M20">SALIDA_GENERACION_RES_GENERACION+SALIDA_GENERACION_RES_AGU_TOT_GENERACION</f>
        <v>8.2983241269553848E-12</v>
      </c>
      <c r="G20" s="2075">
        <v>9.009188814620217E-12</v>
      </c>
      <c r="H20" s="2075">
        <v>1.0843255572503704E-11</v>
      </c>
      <c r="I20" s="2075">
        <v>1.2779510215300475E-11</v>
      </c>
      <c r="J20" s="2075">
        <v>1.2933248009276829E-11</v>
      </c>
      <c r="K20" s="2075">
        <v>1.309109052451993E-11</v>
      </c>
      <c r="L20" s="2075">
        <v>1.3253204376270684E-11</v>
      </c>
      <c r="M20" s="2075">
        <v>1.341976532091919E-11</v>
      </c>
      <c r="N20" s="461"/>
    </row>
    <row r="21" spans="4:14" ht="15" customHeight="1">
      <c r="D21" s="50"/>
      <c r="E21" s="1014" t="s">
        <v>488</v>
      </c>
      <c r="F21" s="2075" cm="1">
        <f t="array" ref="F21:M21">SALIDA_GENERACION_EDIF_RES_IRCO_SOLAR</f>
        <v>0</v>
      </c>
      <c r="G21" s="2075">
        <v>4.619112157401981E-6</v>
      </c>
      <c r="H21" s="2075">
        <v>2.0272917560842541E-5</v>
      </c>
      <c r="I21" s="2075">
        <v>4.1380482384673446E-5</v>
      </c>
      <c r="J21" s="2075">
        <v>6.7733993310052588E-5</v>
      </c>
      <c r="K21" s="2075">
        <v>1.0075764518072839E-4</v>
      </c>
      <c r="L21" s="2075">
        <v>1.3956277798552673E-4</v>
      </c>
      <c r="M21" s="2075">
        <v>1.8297733039349229E-2</v>
      </c>
      <c r="N21" s="461"/>
    </row>
    <row r="22" spans="4:14" ht="15" customHeight="1">
      <c r="D22" s="50"/>
      <c r="E22" s="1014" t="s">
        <v>489</v>
      </c>
      <c r="F22" s="2075" t="s">
        <v>72</v>
      </c>
      <c r="G22" s="2075" t="s">
        <v>72</v>
      </c>
      <c r="H22" s="2075" t="s">
        <v>72</v>
      </c>
      <c r="I22" s="2075" t="s">
        <v>72</v>
      </c>
      <c r="J22" s="2075" t="s">
        <v>72</v>
      </c>
      <c r="K22" s="2075" t="s">
        <v>72</v>
      </c>
      <c r="L22" s="2075" t="s">
        <v>72</v>
      </c>
      <c r="M22" s="2075" t="s">
        <v>72</v>
      </c>
      <c r="N22" s="461"/>
    </row>
    <row r="23" spans="4:14" ht="15" customHeight="1">
      <c r="D23" s="50"/>
      <c r="E23" s="1014" t="s">
        <v>306</v>
      </c>
      <c r="F23" s="2075" cm="1">
        <f t="array" ref="F23:M23">SALIDA_GENERACION_AGRO_CULTIVOS</f>
        <v>0.46444490631670859</v>
      </c>
      <c r="G23" s="2075">
        <v>0.46387377706626448</v>
      </c>
      <c r="H23" s="2075">
        <v>0.46366236768120134</v>
      </c>
      <c r="I23" s="2075">
        <v>0.46345123002734379</v>
      </c>
      <c r="J23" s="2075">
        <v>0.4632403637554271</v>
      </c>
      <c r="K23" s="2075">
        <v>0.46302976851663546</v>
      </c>
      <c r="L23" s="2075">
        <v>0.46281944396260133</v>
      </c>
      <c r="M23" s="2075">
        <v>0.46260938974540505</v>
      </c>
      <c r="N23" s="461"/>
    </row>
    <row r="24" spans="4:14" ht="15" customHeight="1">
      <c r="D24" s="50"/>
      <c r="E24" s="1014" t="s">
        <v>308</v>
      </c>
      <c r="F24" s="2075" cm="1">
        <f t="array" ref="F24:M24">SALIDA_GENERACION_GANA_TWH</f>
        <v>0</v>
      </c>
      <c r="G24" s="2075">
        <v>0</v>
      </c>
      <c r="H24" s="2075">
        <v>0</v>
      </c>
      <c r="I24" s="2075">
        <v>0</v>
      </c>
      <c r="J24" s="2075">
        <v>0</v>
      </c>
      <c r="K24" s="2075">
        <v>0</v>
      </c>
      <c r="L24" s="2075">
        <v>0</v>
      </c>
      <c r="M24" s="2075">
        <v>0</v>
      </c>
      <c r="N24" s="461"/>
    </row>
    <row r="25" spans="4:14" ht="15" customHeight="1">
      <c r="D25" s="50"/>
      <c r="E25" s="1015" t="s">
        <v>310</v>
      </c>
      <c r="F25" s="2075" t="s">
        <v>72</v>
      </c>
      <c r="G25" s="2075" t="s">
        <v>72</v>
      </c>
      <c r="H25" s="2075" t="s">
        <v>72</v>
      </c>
      <c r="I25" s="2075" t="s">
        <v>72</v>
      </c>
      <c r="J25" s="2075" t="s">
        <v>72</v>
      </c>
      <c r="K25" s="2075" t="s">
        <v>72</v>
      </c>
      <c r="L25" s="2075" t="s">
        <v>72</v>
      </c>
      <c r="M25" s="2075" t="s">
        <v>72</v>
      </c>
      <c r="N25" s="461"/>
    </row>
    <row r="26" spans="4:14" ht="15" customHeight="1">
      <c r="D26" s="985"/>
      <c r="E26" s="1042" t="s">
        <v>338</v>
      </c>
      <c r="F26" s="2065">
        <f>SUM(F17:F25)</f>
        <v>0.68766764658751733</v>
      </c>
      <c r="G26" s="2065">
        <f t="shared" ref="G26:M26" si="0">SUM(G17:G25)</f>
        <v>0.68710113644994142</v>
      </c>
      <c r="H26" s="2065">
        <f t="shared" si="0"/>
        <v>0.68690538087211583</v>
      </c>
      <c r="I26" s="2065">
        <f t="shared" si="0"/>
        <v>0.68671535078501833</v>
      </c>
      <c r="J26" s="2065">
        <f t="shared" si="0"/>
        <v>0.6865308380241808</v>
      </c>
      <c r="K26" s="2065">
        <f t="shared" si="0"/>
        <v>0.68635326643741768</v>
      </c>
      <c r="L26" s="2065">
        <f t="shared" si="0"/>
        <v>0.68618174701635049</v>
      </c>
      <c r="M26" s="2065">
        <f t="shared" si="0"/>
        <v>0.70412986306068448</v>
      </c>
      <c r="N26" s="996"/>
    </row>
    <row r="27" spans="4:14" ht="15" customHeight="1">
      <c r="D27" s="985"/>
      <c r="E27" s="1013"/>
      <c r="F27" s="995"/>
      <c r="G27" s="992"/>
      <c r="H27" s="992"/>
      <c r="I27" s="991"/>
      <c r="J27" s="992"/>
      <c r="K27" s="993"/>
      <c r="L27" s="994"/>
      <c r="M27" s="994"/>
      <c r="N27" s="996"/>
    </row>
    <row r="29" spans="4:14" ht="15" customHeight="1">
      <c r="D29" s="99" t="s">
        <v>52</v>
      </c>
      <c r="E29" s="49"/>
      <c r="F29" s="49"/>
      <c r="G29" s="49"/>
      <c r="H29" s="49"/>
      <c r="I29" s="49"/>
      <c r="J29" s="49"/>
      <c r="K29" s="49"/>
      <c r="L29" s="49"/>
      <c r="M29" s="49"/>
      <c r="N29" s="49"/>
    </row>
    <row r="30" spans="4:14" ht="15" customHeight="1">
      <c r="D30" s="50"/>
      <c r="E30" s="50"/>
      <c r="F30" s="50"/>
      <c r="G30" s="50"/>
      <c r="H30" s="50"/>
      <c r="I30" s="50"/>
      <c r="J30" s="50"/>
      <c r="K30" s="50"/>
      <c r="L30" s="50"/>
      <c r="M30" s="50"/>
      <c r="N30" s="50"/>
    </row>
    <row r="31" spans="4:14" ht="15" customHeight="1">
      <c r="D31" s="50"/>
      <c r="E31" s="48" t="s">
        <v>1721</v>
      </c>
      <c r="F31" s="48"/>
      <c r="G31" s="48"/>
      <c r="H31" s="48"/>
      <c r="I31" s="48"/>
      <c r="J31" s="48"/>
      <c r="K31" s="48"/>
      <c r="L31" s="48"/>
      <c r="M31" s="48"/>
      <c r="N31" s="50"/>
    </row>
    <row r="32" spans="4:14" ht="15" customHeight="1">
      <c r="D32" s="50"/>
      <c r="E32" s="1041"/>
      <c r="F32" s="50"/>
      <c r="G32" s="50"/>
      <c r="H32" s="50"/>
      <c r="I32" s="50"/>
      <c r="J32" s="50"/>
      <c r="K32" s="50"/>
      <c r="L32" s="50"/>
      <c r="M32" s="52" t="s">
        <v>9</v>
      </c>
      <c r="N32" s="52"/>
    </row>
    <row r="33" spans="4:14" ht="15" customHeight="1">
      <c r="D33" s="50"/>
      <c r="E33" s="1040" t="s">
        <v>286</v>
      </c>
      <c r="F33" s="459">
        <v>2018</v>
      </c>
      <c r="G33" s="459" t="s">
        <v>322</v>
      </c>
      <c r="H33" s="459" t="s">
        <v>323</v>
      </c>
      <c r="I33" s="459" t="s">
        <v>324</v>
      </c>
      <c r="J33" s="459" t="s">
        <v>325</v>
      </c>
      <c r="K33" s="459" t="s">
        <v>326</v>
      </c>
      <c r="L33" s="459" t="s">
        <v>327</v>
      </c>
      <c r="M33" s="459" t="s">
        <v>328</v>
      </c>
      <c r="N33" s="461"/>
    </row>
    <row r="34" spans="4:14" ht="15" customHeight="1">
      <c r="D34" s="50"/>
      <c r="E34" s="1039" t="s">
        <v>62</v>
      </c>
      <c r="F34" s="2075" t="s">
        <v>72</v>
      </c>
      <c r="G34" s="2075" t="s">
        <v>72</v>
      </c>
      <c r="H34" s="2075" t="s">
        <v>72</v>
      </c>
      <c r="I34" s="2075" t="s">
        <v>72</v>
      </c>
      <c r="J34" s="2075" t="s">
        <v>72</v>
      </c>
      <c r="K34" s="2075" t="s">
        <v>72</v>
      </c>
      <c r="L34" s="2075" t="s">
        <v>72</v>
      </c>
      <c r="M34" s="2075" t="s">
        <v>72</v>
      </c>
      <c r="N34" s="461"/>
    </row>
    <row r="35" spans="4:14" ht="15" customHeight="1">
      <c r="D35" s="50"/>
      <c r="E35" s="1014" t="s">
        <v>292</v>
      </c>
      <c r="F35" s="2075" t="s">
        <v>72</v>
      </c>
      <c r="G35" s="2075" t="s">
        <v>72</v>
      </c>
      <c r="H35" s="2075" t="s">
        <v>72</v>
      </c>
      <c r="I35" s="2075" t="s">
        <v>72</v>
      </c>
      <c r="J35" s="2075" t="s">
        <v>72</v>
      </c>
      <c r="K35" s="2075" t="s">
        <v>72</v>
      </c>
      <c r="L35" s="2075" t="s">
        <v>72</v>
      </c>
      <c r="M35" s="2075" t="s">
        <v>72</v>
      </c>
      <c r="N35" s="461"/>
    </row>
    <row r="36" spans="4:14" ht="15" customHeight="1">
      <c r="D36" s="50"/>
      <c r="E36" s="1014" t="s">
        <v>1720</v>
      </c>
      <c r="F36" s="2075" cm="1">
        <f t="array" ref="F36:M36">SALIDA_GENERACION_IND_INYECTADO_A_RED</f>
        <v>0</v>
      </c>
      <c r="G36" s="2075">
        <v>0</v>
      </c>
      <c r="H36" s="2075">
        <v>0</v>
      </c>
      <c r="I36" s="2075">
        <v>0</v>
      </c>
      <c r="J36" s="2075">
        <v>0</v>
      </c>
      <c r="K36" s="2075">
        <v>0</v>
      </c>
      <c r="L36" s="2075">
        <v>0</v>
      </c>
      <c r="M36" s="2075">
        <v>0</v>
      </c>
      <c r="N36" s="461"/>
    </row>
    <row r="37" spans="4:14" ht="15" customHeight="1">
      <c r="D37" s="50"/>
      <c r="E37" s="1014" t="s">
        <v>487</v>
      </c>
      <c r="F37" s="2075" cm="1">
        <f t="array" ref="F37:M37">SALIDA_GENERACION_RES_SOL_INYECT_RED+SALIDA_GENERACION_AGUAS_RES_INYECTADA_RED</f>
        <v>8.2983241269553848E-12</v>
      </c>
      <c r="G37" s="2075">
        <v>9.009188814620217E-12</v>
      </c>
      <c r="H37" s="2075">
        <v>1.0843255572503704E-11</v>
      </c>
      <c r="I37" s="2075">
        <v>1.2779510215300475E-11</v>
      </c>
      <c r="J37" s="2075">
        <v>1.2933248009276829E-11</v>
      </c>
      <c r="K37" s="2075">
        <v>1.309109052451993E-11</v>
      </c>
      <c r="L37" s="2075">
        <v>1.3253204376270684E-11</v>
      </c>
      <c r="M37" s="2075">
        <v>1.341976532091919E-11</v>
      </c>
      <c r="N37" s="461"/>
    </row>
    <row r="38" spans="4:14" ht="15" customHeight="1">
      <c r="D38" s="50"/>
      <c r="E38" s="1014" t="s">
        <v>488</v>
      </c>
      <c r="F38" s="2075" cm="1">
        <f t="array" ref="F38:M38">SALIDA_GENERACION_EDI_RES_IRCO_INYECTADO_A_RED</f>
        <v>0</v>
      </c>
      <c r="G38" s="2075">
        <v>0</v>
      </c>
      <c r="H38" s="2075">
        <v>0</v>
      </c>
      <c r="I38" s="2075">
        <v>0</v>
      </c>
      <c r="J38" s="2075">
        <v>0</v>
      </c>
      <c r="K38" s="2075">
        <v>0</v>
      </c>
      <c r="L38" s="2075">
        <v>0</v>
      </c>
      <c r="M38" s="2075">
        <v>0</v>
      </c>
      <c r="N38" s="461"/>
    </row>
    <row r="39" spans="4:14" ht="15" customHeight="1">
      <c r="D39" s="50"/>
      <c r="E39" s="1014" t="s">
        <v>489</v>
      </c>
      <c r="F39" s="2075" t="s">
        <v>72</v>
      </c>
      <c r="G39" s="2075" t="s">
        <v>72</v>
      </c>
      <c r="H39" s="2075" t="s">
        <v>72</v>
      </c>
      <c r="I39" s="2075" t="s">
        <v>72</v>
      </c>
      <c r="J39" s="2075" t="s">
        <v>72</v>
      </c>
      <c r="K39" s="2075" t="s">
        <v>72</v>
      </c>
      <c r="L39" s="2075" t="s">
        <v>72</v>
      </c>
      <c r="M39" s="2075" t="s">
        <v>72</v>
      </c>
      <c r="N39" s="461"/>
    </row>
    <row r="40" spans="4:14" ht="15" customHeight="1">
      <c r="D40" s="50"/>
      <c r="E40" s="1014" t="s">
        <v>306</v>
      </c>
      <c r="F40" s="2075" cm="1">
        <f t="array" ref="F40:M40">SALIDA_GENERACION_AGRO_CULTIVOS</f>
        <v>0.46444490631670859</v>
      </c>
      <c r="G40" s="2075">
        <v>0.46387377706626448</v>
      </c>
      <c r="H40" s="2075">
        <v>0.46366236768120134</v>
      </c>
      <c r="I40" s="2075">
        <v>0.46345123002734379</v>
      </c>
      <c r="J40" s="2075">
        <v>0.4632403637554271</v>
      </c>
      <c r="K40" s="2075">
        <v>0.46302976851663546</v>
      </c>
      <c r="L40" s="2075">
        <v>0.46281944396260133</v>
      </c>
      <c r="M40" s="2075">
        <v>0.46260938974540505</v>
      </c>
      <c r="N40" s="461"/>
    </row>
    <row r="41" spans="4:14" ht="15" customHeight="1">
      <c r="D41" s="50"/>
      <c r="E41" s="1014" t="s">
        <v>308</v>
      </c>
      <c r="F41" s="2075" cm="1">
        <f t="array" ref="F41:M41">SALIDA_GENERACION_GANA_TWH</f>
        <v>0</v>
      </c>
      <c r="G41" s="2075">
        <v>0</v>
      </c>
      <c r="H41" s="2075">
        <v>0</v>
      </c>
      <c r="I41" s="2075">
        <v>0</v>
      </c>
      <c r="J41" s="2075">
        <v>0</v>
      </c>
      <c r="K41" s="2075">
        <v>0</v>
      </c>
      <c r="L41" s="2075">
        <v>0</v>
      </c>
      <c r="M41" s="2075">
        <v>0</v>
      </c>
      <c r="N41" s="461"/>
    </row>
    <row r="42" spans="4:14" ht="15" customHeight="1">
      <c r="D42" s="50"/>
      <c r="E42" s="1015" t="s">
        <v>310</v>
      </c>
      <c r="F42" s="2075" t="s">
        <v>72</v>
      </c>
      <c r="G42" s="2075" t="s">
        <v>72</v>
      </c>
      <c r="H42" s="2075" t="s">
        <v>72</v>
      </c>
      <c r="I42" s="2075" t="s">
        <v>72</v>
      </c>
      <c r="J42" s="2075" t="s">
        <v>72</v>
      </c>
      <c r="K42" s="2075" t="s">
        <v>72</v>
      </c>
      <c r="L42" s="2075" t="s">
        <v>72</v>
      </c>
      <c r="M42" s="2075" t="s">
        <v>72</v>
      </c>
      <c r="N42" s="461"/>
    </row>
    <row r="43" spans="4:14" ht="15" customHeight="1">
      <c r="D43" s="50"/>
      <c r="E43" s="55" t="s">
        <v>338</v>
      </c>
      <c r="F43" s="2085">
        <f>SUM(F34:F41)</f>
        <v>0.4644449063250069</v>
      </c>
      <c r="G43" s="2085">
        <f t="shared" ref="G43:M43" si="1">SUM(G34:G41)</f>
        <v>0.46387377707527366</v>
      </c>
      <c r="H43" s="2085">
        <f t="shared" si="1"/>
        <v>0.46366236769204461</v>
      </c>
      <c r="I43" s="2085">
        <f t="shared" si="1"/>
        <v>0.46345123004012329</v>
      </c>
      <c r="J43" s="2085">
        <f t="shared" si="1"/>
        <v>0.46324036376836036</v>
      </c>
      <c r="K43" s="2085">
        <f t="shared" si="1"/>
        <v>0.46302976852972655</v>
      </c>
      <c r="L43" s="2085">
        <f t="shared" si="1"/>
        <v>0.46281944397585456</v>
      </c>
      <c r="M43" s="2085">
        <f t="shared" si="1"/>
        <v>0.46260938975882482</v>
      </c>
      <c r="N43" s="474"/>
    </row>
    <row r="44" spans="4:14" ht="15" customHeight="1">
      <c r="D44" s="50"/>
      <c r="E44" s="51"/>
      <c r="F44" s="474"/>
      <c r="G44" s="474"/>
      <c r="H44" s="474"/>
      <c r="I44" s="474"/>
      <c r="J44" s="474"/>
      <c r="K44" s="474"/>
      <c r="L44" s="474"/>
      <c r="M44" s="474"/>
      <c r="N44" s="474"/>
    </row>
    <row r="45" spans="4:14" ht="15" customHeight="1">
      <c r="D45" s="517"/>
      <c r="E45" s="517"/>
      <c r="F45" s="517"/>
      <c r="G45" s="517"/>
      <c r="H45" s="517"/>
      <c r="I45" s="517"/>
      <c r="J45" s="517"/>
      <c r="K45" s="517"/>
      <c r="L45" s="517"/>
      <c r="M45" s="517"/>
      <c r="N45" s="517"/>
    </row>
  </sheetData>
  <sheetProtection algorithmName="SHA-512" hashValue="H2AThTTF5HllUjMcu3X3xkDAnQTVO10Yes5o/AH1z2dRFUDrMMbWmpkvLmajUZP75X5MyVatmdp7LM2L83YvSA==" saltValue="hZvsOpFcWrLRBAfb3L9P1g==" spinCount="100000" sheet="1" objects="1" scenarios="1"/>
  <pageMargins left="0.7" right="0.7" top="0.75" bottom="0.75" header="0.3" footer="0.3"/>
  <pageSetup paperSize="9" orientation="portrait" r:id="rId1"/>
  <customProperties>
    <customPr name="_pios_id" r:id="rId2"/>
  </customProperties>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AB8A7-3A11-499D-84BE-A0180EDE7EA1}">
  <sheetPr codeName="Hoja49"/>
  <dimension ref="A5:AC402"/>
  <sheetViews>
    <sheetView showGridLines="0" workbookViewId="0"/>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40.28515625" customWidth="1"/>
    <col min="6" max="6" width="17.7109375" bestFit="1" customWidth="1"/>
    <col min="7" max="7" width="13.85546875" bestFit="1" customWidth="1"/>
    <col min="8" max="8" width="17.140625" bestFit="1" customWidth="1"/>
    <col min="9" max="9" width="17.5703125" customWidth="1"/>
    <col min="10" max="12" width="13.85546875" bestFit="1" customWidth="1"/>
    <col min="13" max="13" width="12.85546875" bestFit="1" customWidth="1"/>
    <col min="14" max="14" width="13.28515625" customWidth="1"/>
    <col min="15" max="15" width="14.140625" bestFit="1" customWidth="1"/>
    <col min="16" max="16" width="20.140625" bestFit="1" customWidth="1"/>
  </cols>
  <sheetData>
    <row r="5" spans="1:14" ht="15" customHeight="1">
      <c r="A5" s="1559"/>
    </row>
    <row r="11" spans="1:14" ht="15" customHeight="1">
      <c r="D11" s="982" t="s">
        <v>48</v>
      </c>
      <c r="E11" s="983"/>
      <c r="F11" s="983"/>
      <c r="G11" s="983"/>
      <c r="H11" s="983"/>
      <c r="I11" s="983"/>
      <c r="J11" s="983"/>
      <c r="K11" s="983"/>
      <c r="L11" s="983"/>
      <c r="M11" s="983"/>
      <c r="N11" s="983"/>
    </row>
    <row r="12" spans="1:14" ht="15" customHeight="1">
      <c r="D12" s="984"/>
      <c r="E12" s="219"/>
      <c r="F12" s="219"/>
      <c r="G12" s="219"/>
      <c r="H12" s="219"/>
      <c r="I12" s="219"/>
      <c r="J12" s="219"/>
      <c r="K12" s="219"/>
      <c r="L12" s="219"/>
      <c r="M12" s="219"/>
      <c r="N12" s="219"/>
    </row>
    <row r="13" spans="1:14" ht="15" customHeight="1">
      <c r="D13" s="985"/>
      <c r="E13" s="998" t="s">
        <v>552</v>
      </c>
      <c r="F13" s="390"/>
      <c r="G13" s="391"/>
      <c r="H13" s="390"/>
      <c r="I13" s="999"/>
      <c r="J13" s="390"/>
      <c r="K13" s="999"/>
      <c r="L13" s="999"/>
      <c r="M13" s="999"/>
      <c r="N13" s="990"/>
    </row>
    <row r="14" spans="1:14" ht="15" customHeight="1">
      <c r="D14" s="985"/>
      <c r="E14" s="986"/>
      <c r="F14" s="987"/>
      <c r="G14" s="988"/>
      <c r="H14" s="987"/>
      <c r="I14" s="989"/>
      <c r="J14" s="987"/>
      <c r="K14" s="989"/>
      <c r="L14" s="989"/>
      <c r="M14" s="989"/>
      <c r="N14" s="990"/>
    </row>
    <row r="15" spans="1:14" ht="15" customHeight="1">
      <c r="D15" s="985"/>
      <c r="E15" s="311"/>
      <c r="F15" s="991"/>
      <c r="G15" s="992"/>
      <c r="H15" s="992"/>
      <c r="I15" s="991"/>
      <c r="J15" s="992"/>
      <c r="K15" s="993"/>
      <c r="L15" s="994"/>
      <c r="M15" s="1339" t="s">
        <v>9</v>
      </c>
      <c r="N15" s="990"/>
    </row>
    <row r="16" spans="1:14" ht="15" customHeight="1">
      <c r="D16" s="985"/>
      <c r="E16" s="53"/>
      <c r="F16" s="104">
        <v>2018</v>
      </c>
      <c r="G16" s="104">
        <v>2020</v>
      </c>
      <c r="H16" s="104">
        <v>2025</v>
      </c>
      <c r="I16" s="104">
        <v>2030</v>
      </c>
      <c r="J16" s="104">
        <v>2035</v>
      </c>
      <c r="K16" s="104">
        <v>2040</v>
      </c>
      <c r="L16" s="104">
        <v>2045</v>
      </c>
      <c r="M16" s="104">
        <v>2050</v>
      </c>
      <c r="N16" s="990"/>
    </row>
    <row r="17" spans="4:29" ht="15" customHeight="1">
      <c r="D17" s="985"/>
      <c r="E17" s="310" t="s">
        <v>66</v>
      </c>
      <c r="F17" s="1340" cm="1">
        <f t="array" ref="F17:M17">IF(_xlfn.ANCHORARRAY('ELECT_ Electricidad'!F403)&lt;0,0,_xlfn.ANCHORARRAY('ELECT_ Electricidad'!F403))</f>
        <v>3.3829223109737141</v>
      </c>
      <c r="G17" s="1340">
        <v>2.9089128834079618</v>
      </c>
      <c r="H17" s="1340">
        <v>4.9590247468843769</v>
      </c>
      <c r="I17" s="1340">
        <v>4.4881417067715965</v>
      </c>
      <c r="J17" s="1340">
        <v>5.0230079971914243</v>
      </c>
      <c r="K17" s="1340">
        <v>5.4573789689147274</v>
      </c>
      <c r="L17" s="1340">
        <v>6.0102692932066191</v>
      </c>
      <c r="M17" s="1340">
        <v>6.6245455092928172</v>
      </c>
      <c r="N17" s="2129"/>
      <c r="O17" s="1790"/>
      <c r="P17" s="1790"/>
      <c r="Q17" s="1790"/>
      <c r="R17" s="1790"/>
      <c r="S17" s="1790"/>
      <c r="T17" s="1790"/>
      <c r="U17" s="1790"/>
      <c r="V17" s="1790"/>
      <c r="W17" s="1790"/>
      <c r="X17" s="1790"/>
      <c r="Y17" s="1790"/>
      <c r="Z17" s="1790"/>
      <c r="AA17" s="1790"/>
      <c r="AB17" s="1790"/>
      <c r="AC17" s="1790"/>
    </row>
    <row r="18" spans="4:29" ht="15" customHeight="1">
      <c r="D18" s="50"/>
      <c r="E18" s="1336"/>
      <c r="F18" s="1627"/>
      <c r="G18" s="1627"/>
      <c r="H18" s="1627"/>
      <c r="I18" s="1627"/>
      <c r="J18" s="1627"/>
      <c r="K18" s="1627"/>
      <c r="L18" s="1627"/>
      <c r="M18" s="1627"/>
      <c r="N18" s="101"/>
      <c r="O18" s="2128"/>
      <c r="P18" s="2128"/>
    </row>
    <row r="19" spans="4:29" ht="15" customHeight="1">
      <c r="D19" s="50"/>
      <c r="E19" s="992"/>
      <c r="F19" s="6"/>
      <c r="G19" s="992"/>
      <c r="H19" s="992"/>
      <c r="I19" s="991"/>
      <c r="J19" s="992"/>
      <c r="K19" s="993"/>
      <c r="L19" s="997"/>
      <c r="M19" s="997"/>
      <c r="N19" s="101"/>
    </row>
    <row r="20" spans="4:29" ht="15" customHeight="1">
      <c r="D20" s="985"/>
      <c r="E20" s="998" t="s">
        <v>1756</v>
      </c>
      <c r="F20" s="390"/>
      <c r="G20" s="391"/>
      <c r="H20" s="390"/>
      <c r="I20" s="999"/>
      <c r="J20" s="390"/>
      <c r="K20" s="999"/>
      <c r="L20" s="999"/>
      <c r="M20" s="999"/>
      <c r="N20" s="990"/>
    </row>
    <row r="21" spans="4:29" ht="15" customHeight="1">
      <c r="D21" s="985"/>
      <c r="E21" s="986"/>
      <c r="F21" s="987"/>
      <c r="G21" s="988"/>
      <c r="H21" s="987"/>
      <c r="I21" s="989"/>
      <c r="J21" s="987"/>
      <c r="K21" s="989"/>
      <c r="L21" s="989"/>
      <c r="M21" s="989"/>
      <c r="N21" s="990"/>
    </row>
    <row r="22" spans="4:29" ht="15" customHeight="1">
      <c r="D22" s="985"/>
      <c r="E22" s="311"/>
      <c r="F22" s="991"/>
      <c r="G22" s="992"/>
      <c r="H22" s="992"/>
      <c r="I22" s="991"/>
      <c r="J22" s="992"/>
      <c r="K22" s="993"/>
      <c r="L22" s="994"/>
      <c r="M22" s="1339" t="s">
        <v>9</v>
      </c>
      <c r="N22" s="990"/>
    </row>
    <row r="23" spans="4:29" ht="15" customHeight="1">
      <c r="D23" s="985"/>
      <c r="E23" s="53"/>
      <c r="F23" s="104">
        <v>2018</v>
      </c>
      <c r="G23" s="104">
        <v>2020</v>
      </c>
      <c r="H23" s="104">
        <v>2025</v>
      </c>
      <c r="I23" s="104">
        <v>2030</v>
      </c>
      <c r="J23" s="104">
        <v>2035</v>
      </c>
      <c r="K23" s="104">
        <v>2040</v>
      </c>
      <c r="L23" s="104">
        <v>2045</v>
      </c>
      <c r="M23" s="104">
        <v>2050</v>
      </c>
      <c r="N23" s="990"/>
    </row>
    <row r="24" spans="4:29" ht="15" customHeight="1">
      <c r="D24" s="985"/>
      <c r="E24" s="310" t="s">
        <v>66</v>
      </c>
      <c r="F24" s="1340" cm="1">
        <f t="array" ref="F24:M24">IF(_xlfn.ANCHORARRAY('ELECT_ Electricidad'!F403)&gt;0,0,_xlfn.ANCHORARRAY('ELECT_ Electricidad'!F403))</f>
        <v>0</v>
      </c>
      <c r="G24" s="1340">
        <v>0</v>
      </c>
      <c r="H24" s="1340">
        <v>0</v>
      </c>
      <c r="I24" s="1340">
        <v>0</v>
      </c>
      <c r="J24" s="1340">
        <v>0</v>
      </c>
      <c r="K24" s="1340">
        <v>0</v>
      </c>
      <c r="L24" s="1340">
        <v>0</v>
      </c>
      <c r="M24" s="1340">
        <v>0</v>
      </c>
      <c r="N24" s="2129"/>
      <c r="O24" s="2128"/>
      <c r="P24" s="2128"/>
      <c r="Q24" s="2128"/>
      <c r="R24" s="2128"/>
      <c r="S24" s="2128"/>
      <c r="T24" s="2128"/>
      <c r="U24" s="2128"/>
      <c r="V24" s="2128"/>
      <c r="W24" s="2128"/>
      <c r="X24" s="2128"/>
      <c r="Y24" s="2128"/>
    </row>
    <row r="25" spans="4:29" ht="15" customHeight="1">
      <c r="D25" s="50"/>
      <c r="E25" s="1336"/>
      <c r="F25" s="1627"/>
      <c r="G25" s="1627"/>
      <c r="H25" s="1627"/>
      <c r="I25" s="1627"/>
      <c r="J25" s="1627"/>
      <c r="K25" s="1627"/>
      <c r="L25" s="1627"/>
      <c r="M25" s="1627"/>
      <c r="N25" s="101"/>
    </row>
    <row r="26" spans="4:29" ht="15" customHeight="1">
      <c r="D26" s="213"/>
      <c r="E26" s="6"/>
      <c r="F26" s="6"/>
      <c r="G26" s="6"/>
      <c r="H26" s="6"/>
      <c r="I26" s="6"/>
      <c r="J26" s="6"/>
      <c r="K26" s="6"/>
      <c r="L26" s="6"/>
      <c r="M26" s="6"/>
      <c r="N26" s="6"/>
      <c r="O26" s="1503"/>
      <c r="P26" s="1503"/>
    </row>
    <row r="146" spans="16:16" ht="15" customHeight="1">
      <c r="P146" s="1844"/>
    </row>
    <row r="339" spans="15:16" ht="15" customHeight="1">
      <c r="O339" s="186"/>
      <c r="P339" s="2045"/>
    </row>
    <row r="400" spans="15:15" ht="15" customHeight="1">
      <c r="O400" s="1385"/>
    </row>
    <row r="401" spans="15:15" ht="15" customHeight="1">
      <c r="O401" s="1385"/>
    </row>
    <row r="402" spans="15:15" ht="15" customHeight="1">
      <c r="O402" s="1385"/>
    </row>
  </sheetData>
  <sheetProtection algorithmName="SHA-512" hashValue="5ZDISIQToJ2b0Sk/OpAUYSmqH6ryTmYWqQaCJ3MTG5AliSKjSKgxLtgD2Dih3YCC58C7sHprnwvX1rMuRJzPbg==" saltValue="TCa1pQovdn8QCdsX/lSivA==" spinCount="100000" sheet="1" objects="1" scenarios="1"/>
  <pageMargins left="0.7" right="0.7" top="0.75" bottom="0.75" header="0.3" footer="0.3"/>
  <pageSetup paperSize="9" orientation="portrait" r:id="rId1"/>
  <customProperties>
    <customPr name="_pios_id" r:id="rId2"/>
  </customProperties>
  <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0BF6E-23B5-4474-9892-8ADA5AB557FF}">
  <sheetPr codeName="Hoja10"/>
  <dimension ref="A5:Y1880"/>
  <sheetViews>
    <sheetView showGridLines="0" zoomScale="80" zoomScaleNormal="80" workbookViewId="0">
      <selection activeCell="N486" sqref="N486"/>
    </sheetView>
  </sheetViews>
  <sheetFormatPr baseColWidth="10" defaultColWidth="11.42578125" defaultRowHeight="15" customHeight="1"/>
  <cols>
    <col min="1" max="1" width="20.7109375" style="663" customWidth="1"/>
    <col min="3" max="3" width="7.28515625" customWidth="1"/>
    <col min="4" max="4" width="41.28515625" customWidth="1"/>
    <col min="5" max="5" width="19.28515625" bestFit="1" customWidth="1"/>
    <col min="6" max="6" width="13.140625" bestFit="1" customWidth="1"/>
    <col min="7" max="7" width="14.140625" customWidth="1"/>
    <col min="8" max="9" width="11.42578125" bestFit="1" customWidth="1"/>
    <col min="10" max="12" width="11.7109375" customWidth="1"/>
    <col min="13" max="13" width="14.28515625" customWidth="1"/>
    <col min="14" max="14" width="17.7109375" bestFit="1" customWidth="1"/>
    <col min="16" max="16" width="14" bestFit="1" customWidth="1"/>
    <col min="17" max="17" width="14.140625" bestFit="1" customWidth="1"/>
    <col min="18" max="18" width="14.7109375" bestFit="1" customWidth="1"/>
    <col min="19" max="19" width="13.7109375" bestFit="1" customWidth="1"/>
    <col min="20" max="20" width="14.7109375" bestFit="1" customWidth="1"/>
    <col min="21" max="21" width="14.140625" bestFit="1" customWidth="1"/>
    <col min="22" max="22" width="15.42578125" bestFit="1" customWidth="1"/>
    <col min="23" max="23" width="15.5703125" bestFit="1" customWidth="1"/>
    <col min="24" max="25" width="14.5703125" bestFit="1" customWidth="1"/>
    <col min="26" max="26" width="15.140625" bestFit="1" customWidth="1"/>
    <col min="27" max="27" width="14.140625" bestFit="1" customWidth="1"/>
    <col min="28" max="28" width="15.85546875" bestFit="1" customWidth="1"/>
  </cols>
  <sheetData>
    <row r="5" spans="1:18" ht="15" customHeight="1">
      <c r="A5" s="1559"/>
      <c r="B5" s="186"/>
      <c r="C5" s="2047" t="s">
        <v>1622</v>
      </c>
      <c r="D5" s="983"/>
      <c r="E5" s="983"/>
      <c r="F5" s="983"/>
      <c r="G5" s="983"/>
      <c r="H5" s="983"/>
      <c r="I5" s="983"/>
      <c r="J5" s="983"/>
      <c r="K5" s="983"/>
      <c r="L5" s="983"/>
      <c r="M5" s="983"/>
    </row>
    <row r="6" spans="1:18" ht="15" customHeight="1">
      <c r="B6" s="1902"/>
      <c r="C6" s="6"/>
      <c r="D6" s="6"/>
      <c r="E6" s="6"/>
      <c r="F6" s="6"/>
      <c r="G6" s="6"/>
      <c r="H6" s="6"/>
      <c r="I6" s="6"/>
      <c r="J6" s="6"/>
      <c r="K6" s="6"/>
      <c r="L6" s="6"/>
      <c r="M6" s="6"/>
    </row>
    <row r="7" spans="1:18" ht="15" customHeight="1">
      <c r="B7" s="186"/>
      <c r="C7" s="2048"/>
      <c r="D7" s="1903" t="s">
        <v>1623</v>
      </c>
      <c r="E7" s="1903"/>
      <c r="F7" s="1903"/>
      <c r="G7" s="1903"/>
      <c r="H7" s="1903"/>
      <c r="I7" s="1903"/>
      <c r="J7" s="1903"/>
      <c r="K7" s="1903"/>
      <c r="L7" s="1903" t="s">
        <v>879</v>
      </c>
      <c r="M7" s="6"/>
    </row>
    <row r="8" spans="1:18" ht="15" customHeight="1">
      <c r="B8" s="186"/>
      <c r="C8" s="2048"/>
      <c r="D8" s="3913" t="s">
        <v>1757</v>
      </c>
      <c r="E8" s="3913"/>
      <c r="F8" s="3913"/>
      <c r="G8" s="3913"/>
      <c r="H8" s="3913"/>
      <c r="I8" s="1904"/>
      <c r="J8" s="1904"/>
      <c r="K8" s="1904"/>
      <c r="L8" s="3917">
        <f>TRAYECTORIA_EFICIENCIA_OPTIMIZACION_INDUSTRIA</f>
        <v>1</v>
      </c>
      <c r="M8" s="6"/>
    </row>
    <row r="9" spans="1:18" ht="15" customHeight="1">
      <c r="B9" s="186"/>
      <c r="C9" s="2048"/>
      <c r="D9" s="3913"/>
      <c r="E9" s="3913"/>
      <c r="F9" s="3913"/>
      <c r="G9" s="3913"/>
      <c r="H9" s="3913"/>
      <c r="I9" s="3049"/>
      <c r="J9" s="3049"/>
      <c r="K9" s="3049"/>
      <c r="L9" s="3917"/>
      <c r="M9" s="6"/>
    </row>
    <row r="10" spans="1:18" ht="15" customHeight="1">
      <c r="B10" s="186"/>
      <c r="C10" s="2048"/>
      <c r="D10" s="3912" t="s">
        <v>127</v>
      </c>
      <c r="E10" s="3912"/>
      <c r="F10" s="3912"/>
      <c r="G10" s="3912"/>
      <c r="H10" s="3912"/>
      <c r="I10" s="3049"/>
      <c r="J10" s="3049"/>
      <c r="K10" s="3049"/>
      <c r="L10" s="3916">
        <f>TRAYECTORIA_PROCESOS_PRODUCTIVOS_SOSTENIBLES</f>
        <v>1</v>
      </c>
      <c r="M10" s="6"/>
      <c r="N10" s="887"/>
    </row>
    <row r="11" spans="1:18" ht="15" customHeight="1">
      <c r="B11" s="186"/>
      <c r="C11" s="2048"/>
      <c r="D11" s="3912"/>
      <c r="E11" s="3912"/>
      <c r="F11" s="3912"/>
      <c r="G11" s="3912"/>
      <c r="H11" s="3912"/>
      <c r="I11" s="3049"/>
      <c r="J11" s="3049"/>
      <c r="K11" s="3049"/>
      <c r="L11" s="3916"/>
      <c r="M11" s="6"/>
      <c r="N11" s="887"/>
    </row>
    <row r="12" spans="1:18" ht="15" customHeight="1">
      <c r="B12" s="186"/>
      <c r="C12" s="2048"/>
      <c r="D12" s="3912" t="s">
        <v>128</v>
      </c>
      <c r="E12" s="3912"/>
      <c r="F12" s="3912"/>
      <c r="G12" s="3912"/>
      <c r="H12" s="3912"/>
      <c r="I12" s="3912"/>
      <c r="J12" s="3049"/>
      <c r="K12" s="3049"/>
      <c r="L12" s="3916">
        <f>TRAYECTORIA_SUSTITUCION_GASES_REFRIGERANTES</f>
        <v>1</v>
      </c>
      <c r="M12" s="6"/>
      <c r="N12" s="887"/>
    </row>
    <row r="13" spans="1:18" ht="15" customHeight="1">
      <c r="B13" s="186"/>
      <c r="C13" s="2048"/>
      <c r="D13" s="3912"/>
      <c r="E13" s="3912"/>
      <c r="F13" s="3912"/>
      <c r="G13" s="3912"/>
      <c r="H13" s="3912"/>
      <c r="I13" s="3912"/>
      <c r="J13" s="3049"/>
      <c r="K13" s="3049"/>
      <c r="L13" s="3916"/>
      <c r="M13" s="6"/>
      <c r="N13" s="887"/>
    </row>
    <row r="14" spans="1:18" ht="15" customHeight="1">
      <c r="B14" s="186"/>
      <c r="C14" s="2048"/>
      <c r="D14" s="3918" t="s">
        <v>129</v>
      </c>
      <c r="E14" s="3918"/>
      <c r="F14" s="3918"/>
      <c r="G14" s="3918"/>
      <c r="H14" s="3918"/>
      <c r="I14" s="3918"/>
      <c r="J14" s="50"/>
      <c r="K14" s="50"/>
      <c r="L14" s="3914">
        <f>TRAYECTORIA_GESTION_LADRILLERAS</f>
        <v>1</v>
      </c>
      <c r="M14" s="6"/>
      <c r="N14" s="887"/>
      <c r="R14" s="1385"/>
    </row>
    <row r="15" spans="1:18" ht="15" customHeight="1">
      <c r="B15" s="186"/>
      <c r="C15" s="2048"/>
      <c r="D15" s="3919"/>
      <c r="E15" s="3919"/>
      <c r="F15" s="3919"/>
      <c r="G15" s="3919"/>
      <c r="H15" s="3919"/>
      <c r="I15" s="3919"/>
      <c r="J15" s="666"/>
      <c r="K15" s="666"/>
      <c r="L15" s="3915"/>
      <c r="M15" s="6"/>
      <c r="N15" s="887"/>
    </row>
    <row r="16" spans="1:18" ht="15" customHeight="1">
      <c r="B16" s="1902"/>
      <c r="C16" s="6"/>
      <c r="D16" s="6"/>
      <c r="E16" s="6"/>
      <c r="F16" s="6"/>
      <c r="G16" s="6"/>
      <c r="H16" s="6"/>
      <c r="I16" s="6"/>
      <c r="J16" s="6"/>
      <c r="K16" s="6"/>
      <c r="L16" s="6"/>
      <c r="M16" s="6"/>
      <c r="N16" s="887"/>
    </row>
    <row r="17" spans="2:13" ht="15" customHeight="1">
      <c r="B17" s="186"/>
    </row>
    <row r="18" spans="2:13" ht="15" customHeight="1">
      <c r="B18" s="186"/>
      <c r="C18" s="2047" t="s">
        <v>48</v>
      </c>
      <c r="D18" s="983"/>
      <c r="E18" s="983"/>
      <c r="F18" s="983"/>
      <c r="G18" s="983"/>
      <c r="H18" s="983"/>
      <c r="I18" s="983"/>
      <c r="J18" s="983"/>
      <c r="K18" s="983"/>
      <c r="L18" s="983"/>
      <c r="M18" s="983"/>
    </row>
    <row r="19" spans="2:13" ht="15" customHeight="1">
      <c r="B19" s="186"/>
      <c r="C19" s="50"/>
      <c r="D19" s="50"/>
      <c r="E19" s="50"/>
      <c r="F19" s="50"/>
      <c r="G19" s="50"/>
      <c r="H19" s="50"/>
      <c r="I19" s="50"/>
      <c r="J19" s="50"/>
      <c r="K19" s="50"/>
      <c r="L19" s="50"/>
      <c r="M19" s="50"/>
    </row>
    <row r="20" spans="2:13" ht="15" customHeight="1">
      <c r="B20" s="186"/>
      <c r="C20" s="81"/>
      <c r="D20" s="297" t="s">
        <v>608</v>
      </c>
      <c r="E20" s="390"/>
      <c r="F20" s="391"/>
      <c r="G20" s="390"/>
      <c r="H20" s="391"/>
      <c r="I20" s="390"/>
      <c r="J20" s="390"/>
      <c r="K20" s="390"/>
      <c r="L20" s="390"/>
      <c r="M20" s="81"/>
    </row>
    <row r="21" spans="2:13" ht="15" customHeight="1">
      <c r="B21" s="186"/>
      <c r="C21" s="81"/>
      <c r="D21" s="302"/>
      <c r="E21" s="81"/>
      <c r="F21" s="301"/>
      <c r="G21" s="81"/>
      <c r="H21" s="301"/>
      <c r="I21" s="81"/>
      <c r="J21" s="81"/>
      <c r="K21" s="81"/>
      <c r="L21" s="81"/>
      <c r="M21" s="81"/>
    </row>
    <row r="22" spans="2:13" ht="15" customHeight="1">
      <c r="B22" s="186"/>
      <c r="C22" s="6"/>
      <c r="D22" s="1166"/>
      <c r="E22" s="6"/>
      <c r="F22" s="6"/>
      <c r="G22" s="6"/>
      <c r="H22" s="6"/>
      <c r="I22" s="6"/>
      <c r="J22" s="6"/>
      <c r="K22" s="6"/>
      <c r="L22" s="214" t="s">
        <v>9</v>
      </c>
      <c r="M22" s="6"/>
    </row>
    <row r="23" spans="2:13" ht="15" customHeight="1">
      <c r="B23" s="186"/>
      <c r="C23" s="6"/>
      <c r="D23" s="2116" t="s">
        <v>1758</v>
      </c>
      <c r="E23" s="2114">
        <v>2018</v>
      </c>
      <c r="F23" s="2114">
        <v>2020</v>
      </c>
      <c r="G23" s="2114">
        <v>2025</v>
      </c>
      <c r="H23" s="2114">
        <v>2030</v>
      </c>
      <c r="I23" s="2114">
        <v>2035</v>
      </c>
      <c r="J23" s="2114">
        <v>2040</v>
      </c>
      <c r="K23" s="2114">
        <v>2045</v>
      </c>
      <c r="L23" s="2114">
        <v>2050</v>
      </c>
      <c r="M23" s="6"/>
    </row>
    <row r="24" spans="2:13" ht="15" customHeight="1">
      <c r="B24" s="186"/>
      <c r="C24" s="50"/>
      <c r="D24" s="2118" t="s">
        <v>1759</v>
      </c>
      <c r="E24" s="2119" cm="1">
        <f t="array" ref="E24:L24">SALIDA_GENERACION_AGRO_CULTIVOS</f>
        <v>0.46444490631670859</v>
      </c>
      <c r="F24" s="2119">
        <v>0.46387377706626448</v>
      </c>
      <c r="G24" s="2119">
        <v>0.46366236768120134</v>
      </c>
      <c r="H24" s="2119">
        <v>0.46345123002734379</v>
      </c>
      <c r="I24" s="2119">
        <v>0.4632403637554271</v>
      </c>
      <c r="J24" s="2119">
        <v>0.46302976851663546</v>
      </c>
      <c r="K24" s="2119">
        <v>0.46281944396260133</v>
      </c>
      <c r="L24" s="2119">
        <v>0.46260938974540505</v>
      </c>
      <c r="M24" s="50"/>
    </row>
    <row r="25" spans="2:13" ht="15" customHeight="1">
      <c r="B25" s="186"/>
      <c r="C25" s="50"/>
      <c r="D25" s="50"/>
      <c r="E25" s="50"/>
      <c r="F25" s="50"/>
      <c r="G25" s="50"/>
      <c r="H25" s="50"/>
      <c r="I25" s="50"/>
      <c r="J25" s="50"/>
      <c r="K25" s="50"/>
      <c r="L25" s="50"/>
      <c r="M25" s="50"/>
    </row>
    <row r="26" spans="2:13" ht="15" customHeight="1">
      <c r="B26" s="186"/>
    </row>
    <row r="27" spans="2:13" ht="15" customHeight="1">
      <c r="B27" s="186"/>
      <c r="C27" s="1018" t="s">
        <v>1190</v>
      </c>
      <c r="D27" s="336"/>
      <c r="E27" s="336"/>
      <c r="F27" s="336"/>
      <c r="G27" s="336"/>
      <c r="H27" s="336"/>
      <c r="I27" s="336"/>
      <c r="J27" s="336"/>
      <c r="K27" s="336"/>
      <c r="L27" s="336"/>
      <c r="M27" s="336"/>
    </row>
    <row r="28" spans="2:13" ht="15" customHeight="1">
      <c r="B28" s="186"/>
      <c r="C28" s="12"/>
      <c r="D28" s="516"/>
      <c r="E28" s="516"/>
      <c r="F28" s="516"/>
      <c r="G28" s="516"/>
      <c r="H28" s="516"/>
      <c r="I28" s="516"/>
      <c r="J28" s="516"/>
      <c r="K28" s="1386"/>
      <c r="L28" s="1386"/>
      <c r="M28" s="1387"/>
    </row>
    <row r="29" spans="2:13" ht="15" customHeight="1">
      <c r="B29" s="186"/>
      <c r="C29" s="40"/>
      <c r="D29" s="2782" t="s">
        <v>1760</v>
      </c>
      <c r="E29" s="1905"/>
      <c r="F29" s="1906"/>
      <c r="G29" s="1907"/>
      <c r="H29" s="1908"/>
      <c r="I29" s="1909"/>
      <c r="J29" s="1909"/>
      <c r="K29" s="1909"/>
      <c r="L29" s="1910"/>
      <c r="M29" s="1387"/>
    </row>
    <row r="30" spans="2:13" ht="15" customHeight="1">
      <c r="B30" s="186"/>
      <c r="C30" s="40"/>
      <c r="D30" s="1911"/>
      <c r="E30" s="381"/>
      <c r="F30" s="1912"/>
      <c r="G30" s="1913"/>
      <c r="H30" s="1914"/>
      <c r="I30" s="1915"/>
      <c r="J30" s="1915"/>
      <c r="K30" s="1915"/>
      <c r="L30" s="282"/>
      <c r="M30" s="1387"/>
    </row>
    <row r="31" spans="2:13" ht="15" customHeight="1">
      <c r="B31" s="186"/>
      <c r="C31" s="40"/>
      <c r="D31" s="907" t="s">
        <v>1726</v>
      </c>
      <c r="E31" s="360"/>
      <c r="F31" s="1917"/>
      <c r="G31" s="1918"/>
      <c r="H31" s="1919"/>
      <c r="I31" s="1919"/>
      <c r="J31" s="1919"/>
      <c r="K31" s="1919"/>
      <c r="L31" s="282"/>
      <c r="M31" s="1387"/>
    </row>
    <row r="32" spans="2:13" ht="15" customHeight="1">
      <c r="B32" s="186"/>
      <c r="C32" s="40"/>
      <c r="D32" s="528" t="s">
        <v>588</v>
      </c>
      <c r="E32" s="1920">
        <v>2018</v>
      </c>
      <c r="F32" s="1920">
        <v>2020</v>
      </c>
      <c r="G32" s="1920">
        <v>2025</v>
      </c>
      <c r="H32" s="1920">
        <v>2030</v>
      </c>
      <c r="I32" s="1920">
        <v>2035</v>
      </c>
      <c r="J32" s="1920">
        <v>2040</v>
      </c>
      <c r="K32" s="1920">
        <v>2045</v>
      </c>
      <c r="L32" s="1920">
        <v>2050</v>
      </c>
      <c r="M32" s="1387"/>
    </row>
    <row r="33" spans="2:13" ht="15" customHeight="1">
      <c r="B33" s="186"/>
      <c r="C33" s="40"/>
      <c r="D33" s="1196" t="s">
        <v>917</v>
      </c>
      <c r="E33" s="3825">
        <v>0</v>
      </c>
      <c r="F33" s="3825">
        <v>0</v>
      </c>
      <c r="G33" s="3825">
        <v>0</v>
      </c>
      <c r="H33" s="3825">
        <v>0</v>
      </c>
      <c r="I33" s="3825">
        <v>0</v>
      </c>
      <c r="J33" s="3825">
        <v>0</v>
      </c>
      <c r="K33" s="3825">
        <v>0</v>
      </c>
      <c r="L33" s="3825">
        <v>0</v>
      </c>
      <c r="M33" s="1387"/>
    </row>
    <row r="34" spans="2:13" ht="15" customHeight="1">
      <c r="B34" s="186"/>
      <c r="C34" s="40"/>
      <c r="D34" s="1196" t="s">
        <v>558</v>
      </c>
      <c r="E34" s="3825">
        <v>0</v>
      </c>
      <c r="F34" s="3825">
        <v>0</v>
      </c>
      <c r="G34" s="3825">
        <v>0</v>
      </c>
      <c r="H34" s="3825">
        <v>0</v>
      </c>
      <c r="I34" s="3825">
        <v>0</v>
      </c>
      <c r="J34" s="3825">
        <v>0</v>
      </c>
      <c r="K34" s="3825">
        <v>0</v>
      </c>
      <c r="L34" s="3825">
        <v>0</v>
      </c>
      <c r="M34" s="1387"/>
    </row>
    <row r="35" spans="2:13" ht="15" customHeight="1">
      <c r="B35" s="186"/>
      <c r="C35" s="40"/>
      <c r="D35" s="1196" t="s">
        <v>559</v>
      </c>
      <c r="E35" s="3825">
        <v>0</v>
      </c>
      <c r="F35" s="3825">
        <v>0</v>
      </c>
      <c r="G35" s="3825">
        <v>0</v>
      </c>
      <c r="H35" s="3825">
        <v>0</v>
      </c>
      <c r="I35" s="3825">
        <v>0</v>
      </c>
      <c r="J35" s="3825">
        <v>0</v>
      </c>
      <c r="K35" s="3825">
        <v>0</v>
      </c>
      <c r="L35" s="3825">
        <v>0</v>
      </c>
      <c r="M35" s="1387"/>
    </row>
    <row r="36" spans="2:13" ht="15" customHeight="1">
      <c r="B36" s="186"/>
      <c r="C36" s="40"/>
      <c r="D36" s="1196" t="s">
        <v>560</v>
      </c>
      <c r="E36" s="3825">
        <v>0</v>
      </c>
      <c r="F36" s="3825">
        <v>0</v>
      </c>
      <c r="G36" s="3825">
        <v>0</v>
      </c>
      <c r="H36" s="3825">
        <v>0</v>
      </c>
      <c r="I36" s="3825">
        <v>0</v>
      </c>
      <c r="J36" s="3825">
        <v>0</v>
      </c>
      <c r="K36" s="3825">
        <v>0</v>
      </c>
      <c r="L36" s="3825">
        <v>0</v>
      </c>
      <c r="M36" s="1387"/>
    </row>
    <row r="37" spans="2:13" ht="15" customHeight="1">
      <c r="B37" s="186"/>
      <c r="C37" s="40"/>
      <c r="D37" s="1196" t="s">
        <v>561</v>
      </c>
      <c r="E37" s="3825">
        <v>0</v>
      </c>
      <c r="F37" s="3825">
        <v>0</v>
      </c>
      <c r="G37" s="3825">
        <v>0</v>
      </c>
      <c r="H37" s="3825">
        <v>0</v>
      </c>
      <c r="I37" s="3825">
        <v>0</v>
      </c>
      <c r="J37" s="3825">
        <v>0</v>
      </c>
      <c r="K37" s="3825">
        <v>0</v>
      </c>
      <c r="L37" s="3825">
        <v>0</v>
      </c>
      <c r="M37" s="1387"/>
    </row>
    <row r="38" spans="2:13" ht="15" customHeight="1">
      <c r="B38" s="186"/>
      <c r="C38" s="40"/>
      <c r="D38" s="1196" t="s">
        <v>918</v>
      </c>
      <c r="E38" s="3825">
        <v>0</v>
      </c>
      <c r="F38" s="3825">
        <v>0</v>
      </c>
      <c r="G38" s="3825">
        <v>0</v>
      </c>
      <c r="H38" s="3825">
        <v>0</v>
      </c>
      <c r="I38" s="3825">
        <v>0</v>
      </c>
      <c r="J38" s="3825">
        <v>0</v>
      </c>
      <c r="K38" s="3825">
        <v>0</v>
      </c>
      <c r="L38" s="3825">
        <v>0</v>
      </c>
      <c r="M38" s="1387"/>
    </row>
    <row r="39" spans="2:13" ht="15" customHeight="1">
      <c r="B39" s="186"/>
      <c r="C39" s="40"/>
      <c r="D39" s="1196" t="s">
        <v>564</v>
      </c>
      <c r="E39" s="3825">
        <v>0</v>
      </c>
      <c r="F39" s="3825">
        <v>0</v>
      </c>
      <c r="G39" s="3825">
        <v>0</v>
      </c>
      <c r="H39" s="3825">
        <v>0</v>
      </c>
      <c r="I39" s="3825">
        <v>0</v>
      </c>
      <c r="J39" s="3825">
        <v>0</v>
      </c>
      <c r="K39" s="3825">
        <v>0</v>
      </c>
      <c r="L39" s="3826">
        <v>0</v>
      </c>
      <c r="M39" s="1387"/>
    </row>
    <row r="40" spans="2:13" ht="15" customHeight="1">
      <c r="B40" s="186"/>
      <c r="C40" s="40"/>
      <c r="D40" s="1400"/>
      <c r="E40" s="3827"/>
      <c r="F40" s="3828"/>
      <c r="G40" s="3828"/>
      <c r="H40" s="3828"/>
      <c r="I40" s="3827"/>
      <c r="J40" s="3828"/>
      <c r="K40" s="3828"/>
      <c r="L40" s="3829"/>
      <c r="M40" s="1387"/>
    </row>
    <row r="41" spans="2:13" ht="15" customHeight="1">
      <c r="B41" s="186"/>
      <c r="C41" s="40"/>
      <c r="D41" s="1916"/>
      <c r="E41" s="360"/>
      <c r="F41" s="1917"/>
      <c r="G41" s="1918"/>
      <c r="H41" s="1919"/>
      <c r="I41" s="1919"/>
      <c r="J41" s="1919"/>
      <c r="K41" s="1919"/>
      <c r="L41" s="3829"/>
      <c r="M41" s="1387"/>
    </row>
    <row r="42" spans="2:13" ht="15" customHeight="1">
      <c r="B42" s="186"/>
      <c r="C42" s="40"/>
      <c r="D42" s="907" t="s">
        <v>1729</v>
      </c>
      <c r="E42" s="360"/>
      <c r="F42" s="1917"/>
      <c r="G42" s="1918"/>
      <c r="H42" s="1919"/>
      <c r="I42" s="1919"/>
      <c r="J42" s="1919"/>
      <c r="K42" s="1919"/>
      <c r="L42" s="3829"/>
      <c r="M42" s="1387"/>
    </row>
    <row r="43" spans="2:13" ht="15" customHeight="1">
      <c r="B43" s="186"/>
      <c r="C43" s="40"/>
      <c r="D43" s="528" t="s">
        <v>588</v>
      </c>
      <c r="E43" s="1920">
        <v>2018</v>
      </c>
      <c r="F43" s="1920">
        <v>2020</v>
      </c>
      <c r="G43" s="1920">
        <v>2025</v>
      </c>
      <c r="H43" s="1920">
        <v>2030</v>
      </c>
      <c r="I43" s="1920">
        <v>2035</v>
      </c>
      <c r="J43" s="1920">
        <v>2040</v>
      </c>
      <c r="K43" s="1920">
        <v>2045</v>
      </c>
      <c r="L43" s="1920">
        <v>2050</v>
      </c>
      <c r="M43" s="1387"/>
    </row>
    <row r="44" spans="2:13" ht="15" customHeight="1">
      <c r="B44" s="186"/>
      <c r="C44" s="40"/>
      <c r="D44" s="1196" t="s">
        <v>917</v>
      </c>
      <c r="E44" s="3830">
        <v>0</v>
      </c>
      <c r="F44" s="3830">
        <f>$H$44+(($H$44-$E$44)/($H$43-$E$43)*(F43-$H$43))</f>
        <v>2.5000000000000008E-2</v>
      </c>
      <c r="G44" s="3830">
        <f>$H$44+(($H$44-$E$44)/($H$43-$E$43)*(G43-$H$43))</f>
        <v>8.7499999999999994E-2</v>
      </c>
      <c r="H44" s="3830">
        <v>0.15</v>
      </c>
      <c r="I44" s="3830">
        <f>$L$44+(($L$44-$H$44)/($L$43-$H$43)*(I43-$L$43))</f>
        <v>0.16250000000000001</v>
      </c>
      <c r="J44" s="3830">
        <f>$L$44+(($L$44-$H$44)/($L$43-$H$43)*(J43-$L$43))</f>
        <v>0.17499999999999999</v>
      </c>
      <c r="K44" s="3830">
        <f>$L$44+(($L$44-$H$44)/($L$43-$H$43)*(K43-$L$43))</f>
        <v>0.1875</v>
      </c>
      <c r="L44" s="3830">
        <v>0.2</v>
      </c>
      <c r="M44" s="1387"/>
    </row>
    <row r="45" spans="2:13" ht="15" customHeight="1">
      <c r="B45" s="186"/>
      <c r="C45" s="40"/>
      <c r="D45" s="1196" t="s">
        <v>558</v>
      </c>
      <c r="E45" s="3825">
        <v>0</v>
      </c>
      <c r="F45" s="3825">
        <v>2.5000000000000008E-2</v>
      </c>
      <c r="G45" s="3825">
        <v>8.7499999999999994E-2</v>
      </c>
      <c r="H45" s="3825">
        <v>0.15</v>
      </c>
      <c r="I45" s="3825">
        <v>0.16250000000000001</v>
      </c>
      <c r="J45" s="3825">
        <v>0.17499999999999999</v>
      </c>
      <c r="K45" s="3825">
        <v>0.1875</v>
      </c>
      <c r="L45" s="3825">
        <v>0.2</v>
      </c>
      <c r="M45" s="1387"/>
    </row>
    <row r="46" spans="2:13" ht="15" customHeight="1">
      <c r="B46" s="186"/>
      <c r="C46" s="40"/>
      <c r="D46" s="1196" t="s">
        <v>559</v>
      </c>
      <c r="E46" s="3825">
        <v>0</v>
      </c>
      <c r="F46" s="3825">
        <v>2.5000000000000008E-2</v>
      </c>
      <c r="G46" s="3825">
        <v>8.7499999999999994E-2</v>
      </c>
      <c r="H46" s="3825">
        <v>0.15</v>
      </c>
      <c r="I46" s="3825">
        <v>0.16250000000000001</v>
      </c>
      <c r="J46" s="3825">
        <v>0.17499999999999999</v>
      </c>
      <c r="K46" s="3825">
        <v>0.1875</v>
      </c>
      <c r="L46" s="3825">
        <v>0.2</v>
      </c>
      <c r="M46" s="1387"/>
    </row>
    <row r="47" spans="2:13" ht="15" customHeight="1">
      <c r="B47" s="186"/>
      <c r="C47" s="40"/>
      <c r="D47" s="1196" t="s">
        <v>560</v>
      </c>
      <c r="E47" s="3825">
        <v>0</v>
      </c>
      <c r="F47" s="3825">
        <v>2.5000000000000008E-2</v>
      </c>
      <c r="G47" s="3825">
        <v>8.7499999999999994E-2</v>
      </c>
      <c r="H47" s="3825">
        <v>0.15</v>
      </c>
      <c r="I47" s="3825">
        <v>0.16250000000000001</v>
      </c>
      <c r="J47" s="3825">
        <v>0.17499999999999999</v>
      </c>
      <c r="K47" s="3825">
        <v>0.1875</v>
      </c>
      <c r="L47" s="3825">
        <v>0.2</v>
      </c>
      <c r="M47" s="1387"/>
    </row>
    <row r="48" spans="2:13" ht="15" customHeight="1">
      <c r="B48" s="186"/>
      <c r="C48" s="40"/>
      <c r="D48" s="1196" t="s">
        <v>561</v>
      </c>
      <c r="E48" s="3825">
        <v>0</v>
      </c>
      <c r="F48" s="3825">
        <v>2.5000000000000008E-2</v>
      </c>
      <c r="G48" s="3825">
        <v>8.7499999999999994E-2</v>
      </c>
      <c r="H48" s="3825">
        <v>0.15</v>
      </c>
      <c r="I48" s="3825">
        <v>0.16250000000000001</v>
      </c>
      <c r="J48" s="3825">
        <v>0.17499999999999999</v>
      </c>
      <c r="K48" s="3825">
        <v>0.1875</v>
      </c>
      <c r="L48" s="3825">
        <v>0.2</v>
      </c>
      <c r="M48" s="1387"/>
    </row>
    <row r="49" spans="2:13" ht="15" customHeight="1">
      <c r="B49" s="186"/>
      <c r="C49" s="40"/>
      <c r="D49" s="1196" t="s">
        <v>918</v>
      </c>
      <c r="E49" s="3825">
        <v>0</v>
      </c>
      <c r="F49" s="3825">
        <v>2.5000000000000008E-2</v>
      </c>
      <c r="G49" s="3825">
        <v>8.7499999999999994E-2</v>
      </c>
      <c r="H49" s="3825">
        <v>0.15</v>
      </c>
      <c r="I49" s="3825">
        <v>0.16250000000000001</v>
      </c>
      <c r="J49" s="3825">
        <v>0.17499999999999999</v>
      </c>
      <c r="K49" s="3825">
        <v>0.1875</v>
      </c>
      <c r="L49" s="3825">
        <v>0.2</v>
      </c>
      <c r="M49" s="1387"/>
    </row>
    <row r="50" spans="2:13" ht="15" customHeight="1">
      <c r="B50" s="186"/>
      <c r="C50" s="40"/>
      <c r="D50" s="1196" t="s">
        <v>564</v>
      </c>
      <c r="E50" s="3826">
        <v>0</v>
      </c>
      <c r="F50" s="3826">
        <v>2.5000000000000008E-2</v>
      </c>
      <c r="G50" s="3826">
        <v>8.7499999999999994E-2</v>
      </c>
      <c r="H50" s="3826">
        <v>0.15</v>
      </c>
      <c r="I50" s="3826">
        <v>0.16250000000000001</v>
      </c>
      <c r="J50" s="3826">
        <v>0.17499999999999999</v>
      </c>
      <c r="K50" s="3826">
        <v>0.1875</v>
      </c>
      <c r="L50" s="3826">
        <v>0.2</v>
      </c>
      <c r="M50" s="1387"/>
    </row>
    <row r="51" spans="2:13" ht="15" customHeight="1">
      <c r="B51" s="186"/>
      <c r="C51" s="40"/>
      <c r="D51" s="1400"/>
      <c r="E51" s="3831"/>
      <c r="F51" s="3832"/>
      <c r="G51" s="3832"/>
      <c r="H51" s="3832"/>
      <c r="I51" s="3831"/>
      <c r="J51" s="3832"/>
      <c r="K51" s="3832"/>
      <c r="L51" s="3833"/>
      <c r="M51" s="1387"/>
    </row>
    <row r="52" spans="2:13" ht="15" customHeight="1">
      <c r="B52" s="186"/>
      <c r="C52" s="40"/>
      <c r="D52" s="1916"/>
      <c r="E52" s="360"/>
      <c r="F52" s="1917"/>
      <c r="G52" s="1918"/>
      <c r="H52" s="1919"/>
      <c r="I52" s="1919"/>
      <c r="J52" s="1919"/>
      <c r="K52" s="1919"/>
      <c r="L52" s="3829"/>
      <c r="M52" s="1387"/>
    </row>
    <row r="53" spans="2:13" ht="15" customHeight="1">
      <c r="B53" s="186"/>
      <c r="C53" s="40"/>
      <c r="D53" s="907" t="s">
        <v>1730</v>
      </c>
      <c r="E53" s="360"/>
      <c r="F53" s="1917"/>
      <c r="G53" s="1918"/>
      <c r="H53" s="1919"/>
      <c r="I53" s="1919"/>
      <c r="J53" s="1919"/>
      <c r="K53" s="1919"/>
      <c r="L53" s="3829"/>
      <c r="M53" s="1387"/>
    </row>
    <row r="54" spans="2:13" ht="15" customHeight="1">
      <c r="B54" s="186"/>
      <c r="C54" s="40"/>
      <c r="D54" s="528" t="s">
        <v>588</v>
      </c>
      <c r="E54" s="1920">
        <v>2018</v>
      </c>
      <c r="F54" s="1920">
        <v>2020</v>
      </c>
      <c r="G54" s="1920">
        <v>2025</v>
      </c>
      <c r="H54" s="1920">
        <v>2030</v>
      </c>
      <c r="I54" s="1920">
        <v>2035</v>
      </c>
      <c r="J54" s="1920">
        <v>2040</v>
      </c>
      <c r="K54" s="1920">
        <v>2045</v>
      </c>
      <c r="L54" s="1920">
        <v>2050</v>
      </c>
      <c r="M54" s="1387"/>
    </row>
    <row r="55" spans="2:13" ht="15" customHeight="1">
      <c r="B55" s="186"/>
      <c r="C55" s="40"/>
      <c r="D55" s="1196" t="s">
        <v>917</v>
      </c>
      <c r="E55" s="3830">
        <v>0</v>
      </c>
      <c r="F55" s="3830">
        <f t="shared" ref="F55:K55" si="0">$L$55+(($L$55-$E$55)/($L$54-$E$54)*(F54-$L$54))</f>
        <v>2.5000000000000022E-2</v>
      </c>
      <c r="G55" s="3830">
        <f t="shared" si="0"/>
        <v>8.7500000000000022E-2</v>
      </c>
      <c r="H55" s="3830">
        <f t="shared" si="0"/>
        <v>0.15000000000000002</v>
      </c>
      <c r="I55" s="3830">
        <f t="shared" si="0"/>
        <v>0.21250000000000002</v>
      </c>
      <c r="J55" s="3830">
        <f t="shared" si="0"/>
        <v>0.27500000000000002</v>
      </c>
      <c r="K55" s="3830">
        <f t="shared" si="0"/>
        <v>0.33750000000000002</v>
      </c>
      <c r="L55" s="3830">
        <f t="shared" ref="L55:L61" si="1">(L66+L44)/2</f>
        <v>0.4</v>
      </c>
      <c r="M55" s="1387"/>
    </row>
    <row r="56" spans="2:13" ht="15" customHeight="1">
      <c r="B56" s="186"/>
      <c r="C56" s="40"/>
      <c r="D56" s="1196" t="s">
        <v>558</v>
      </c>
      <c r="E56" s="3825">
        <v>0</v>
      </c>
      <c r="F56" s="3825">
        <f t="shared" ref="F56:K56" si="2">$L$56+(($L$55-$E$55)/($L$54-$E$54)*(F54-$L$54))</f>
        <v>2.5000000000000022E-2</v>
      </c>
      <c r="G56" s="3825">
        <f t="shared" si="2"/>
        <v>8.7500000000000022E-2</v>
      </c>
      <c r="H56" s="3825">
        <f t="shared" si="2"/>
        <v>0.15000000000000002</v>
      </c>
      <c r="I56" s="3825">
        <f t="shared" si="2"/>
        <v>0.21250000000000002</v>
      </c>
      <c r="J56" s="3825">
        <f t="shared" si="2"/>
        <v>0.27500000000000002</v>
      </c>
      <c r="K56" s="3825">
        <f t="shared" si="2"/>
        <v>0.33750000000000002</v>
      </c>
      <c r="L56" s="3825">
        <f t="shared" si="1"/>
        <v>0.4</v>
      </c>
      <c r="M56" s="1387"/>
    </row>
    <row r="57" spans="2:13" ht="15" customHeight="1">
      <c r="B57" s="186"/>
      <c r="C57" s="40"/>
      <c r="D57" s="1196" t="s">
        <v>559</v>
      </c>
      <c r="E57" s="3825">
        <v>0</v>
      </c>
      <c r="F57" s="3825">
        <f t="shared" ref="F57:K57" si="3">$L$57+(($L$55-$E$57)/($L$54-$E$54)*(F54-$L$54))</f>
        <v>2.5000000000000022E-2</v>
      </c>
      <c r="G57" s="3825">
        <f t="shared" si="3"/>
        <v>8.7500000000000022E-2</v>
      </c>
      <c r="H57" s="3825">
        <f t="shared" si="3"/>
        <v>0.15000000000000002</v>
      </c>
      <c r="I57" s="3825">
        <f t="shared" si="3"/>
        <v>0.21250000000000002</v>
      </c>
      <c r="J57" s="3825">
        <f t="shared" si="3"/>
        <v>0.27500000000000002</v>
      </c>
      <c r="K57" s="3825">
        <f t="shared" si="3"/>
        <v>0.33750000000000002</v>
      </c>
      <c r="L57" s="3825">
        <f t="shared" si="1"/>
        <v>0.4</v>
      </c>
      <c r="M57" s="1387"/>
    </row>
    <row r="58" spans="2:13" ht="15" customHeight="1">
      <c r="B58" s="186"/>
      <c r="C58" s="40"/>
      <c r="D58" s="1196" t="s">
        <v>560</v>
      </c>
      <c r="E58" s="3825">
        <v>0</v>
      </c>
      <c r="F58" s="3825">
        <f>$L$58+(($L$58-$E$56)/($L$54-$E$54)*(F54-$L$54))</f>
        <v>2.5000000000000022E-2</v>
      </c>
      <c r="G58" s="3825">
        <f>$L$58+(($L$58-$E$56)/($L$54-$E$54)*(G54-$L$54))</f>
        <v>8.7500000000000022E-2</v>
      </c>
      <c r="H58" s="3825">
        <f>$L$58+(($L$58-$E$56)/($L$54-$E$54)*(H54-$L$54))</f>
        <v>0.15000000000000002</v>
      </c>
      <c r="I58" s="3825">
        <f>$L$58+(($L$58-$E$56)/($L$54-$E$54)*(I54-$L$54))</f>
        <v>0.21250000000000002</v>
      </c>
      <c r="J58" s="3825">
        <f>$L$58+(($L$58-$E$56)/($L$54-$E$54)*(J54-$L$54))</f>
        <v>0.27500000000000002</v>
      </c>
      <c r="K58" s="3825">
        <f>$L$58+(($L$55-$E$58)/($L$54-$E$54)*(K54-$L$54))</f>
        <v>0.33750000000000002</v>
      </c>
      <c r="L58" s="3825">
        <f t="shared" si="1"/>
        <v>0.4</v>
      </c>
      <c r="M58" s="1387"/>
    </row>
    <row r="59" spans="2:13" ht="15" customHeight="1">
      <c r="B59" s="186"/>
      <c r="C59" s="40"/>
      <c r="D59" s="1196" t="s">
        <v>561</v>
      </c>
      <c r="E59" s="3825">
        <v>0</v>
      </c>
      <c r="F59" s="3825">
        <f>$H$59+(($H$59-$E$59)/($H$54-$E$54)*(F54-$H$54))</f>
        <v>2.6666666666666672E-2</v>
      </c>
      <c r="G59" s="3825">
        <f>$H$59+(($H$59-$E$59)/($H$54-$E$54)*(G54-$H$54))</f>
        <v>9.3333333333333338E-2</v>
      </c>
      <c r="H59" s="3825">
        <v>0.16</v>
      </c>
      <c r="I59" s="3825">
        <f>$L$59+(($L$59-$H$59)/($L$54-$H$54)*(I54-$L$54))</f>
        <v>0.22000000000000003</v>
      </c>
      <c r="J59" s="3825">
        <f>$L$59+(($L$59-$H$59)/($L$54-$H$54)*(J54-$L$54))</f>
        <v>0.28000000000000003</v>
      </c>
      <c r="K59" s="3825">
        <f>$L$59+(($L$55-$E$59)/($L$54-$E$54)*(K54-$L$54))</f>
        <v>0.33750000000000002</v>
      </c>
      <c r="L59" s="3825">
        <f t="shared" si="1"/>
        <v>0.4</v>
      </c>
      <c r="M59" s="1387"/>
    </row>
    <row r="60" spans="2:13" ht="15" customHeight="1">
      <c r="B60" s="186"/>
      <c r="C60" s="40"/>
      <c r="D60" s="1196" t="s">
        <v>918</v>
      </c>
      <c r="E60" s="3825">
        <v>0</v>
      </c>
      <c r="F60" s="3825">
        <v>2.5000000000000022E-2</v>
      </c>
      <c r="G60" s="3825">
        <v>8.7500000000000022E-2</v>
      </c>
      <c r="H60" s="3825">
        <v>0.15000000000000002</v>
      </c>
      <c r="I60" s="3825">
        <v>0.21250000000000002</v>
      </c>
      <c r="J60" s="3825">
        <v>0.27500000000000002</v>
      </c>
      <c r="K60" s="3825">
        <f>$L$60+(($L$55-$E$60)/($L$54-$E$54)*(K54-$L$54))</f>
        <v>0.33750000000000002</v>
      </c>
      <c r="L60" s="3825">
        <f t="shared" si="1"/>
        <v>0.4</v>
      </c>
      <c r="M60" s="1387"/>
    </row>
    <row r="61" spans="2:13" ht="15" customHeight="1">
      <c r="B61" s="186"/>
      <c r="C61" s="40"/>
      <c r="D61" s="1196" t="s">
        <v>564</v>
      </c>
      <c r="E61" s="3826">
        <v>0</v>
      </c>
      <c r="F61" s="3826">
        <v>2.5000000000000022E-2</v>
      </c>
      <c r="G61" s="3826">
        <v>8.7500000000000022E-2</v>
      </c>
      <c r="H61" s="3826">
        <v>0.15000000000000002</v>
      </c>
      <c r="I61" s="3826">
        <v>0.21250000000000002</v>
      </c>
      <c r="J61" s="3826">
        <v>0.27500000000000002</v>
      </c>
      <c r="K61" s="3826">
        <f>$L$61+(($L$55-$E$61)/($L$54-$E$54)*(K54-$L$54))</f>
        <v>0.33750000000000002</v>
      </c>
      <c r="L61" s="3826">
        <f t="shared" si="1"/>
        <v>0.4</v>
      </c>
      <c r="M61" s="1387"/>
    </row>
    <row r="62" spans="2:13" ht="15" customHeight="1">
      <c r="B62" s="186"/>
      <c r="C62" s="40"/>
      <c r="D62" s="1400"/>
      <c r="E62" s="3827"/>
      <c r="F62" s="3825"/>
      <c r="G62" s="3825"/>
      <c r="H62" s="3825"/>
      <c r="I62" s="3834"/>
      <c r="J62" s="3825"/>
      <c r="K62" s="3825"/>
      <c r="L62" s="3829"/>
      <c r="M62" s="1387"/>
    </row>
    <row r="63" spans="2:13" ht="15" customHeight="1">
      <c r="B63" s="186"/>
      <c r="C63" s="40"/>
      <c r="D63" s="1916"/>
      <c r="E63" s="360"/>
      <c r="F63" s="1917"/>
      <c r="G63" s="1918"/>
      <c r="H63" s="1919"/>
      <c r="I63" s="1919"/>
      <c r="J63" s="1919"/>
      <c r="K63" s="1919"/>
      <c r="L63" s="3829"/>
      <c r="M63" s="1387"/>
    </row>
    <row r="64" spans="2:13" ht="15" customHeight="1">
      <c r="B64" s="186"/>
      <c r="C64" s="40"/>
      <c r="D64" s="907" t="s">
        <v>1731</v>
      </c>
      <c r="E64" s="360"/>
      <c r="F64" s="1917"/>
      <c r="G64" s="1918"/>
      <c r="H64" s="1919"/>
      <c r="I64" s="1919"/>
      <c r="J64" s="1919"/>
      <c r="K64" s="1919"/>
      <c r="L64" s="3829"/>
      <c r="M64" s="1387"/>
    </row>
    <row r="65" spans="2:18" ht="15" customHeight="1">
      <c r="B65" s="186"/>
      <c r="C65" s="40"/>
      <c r="D65" s="528" t="s">
        <v>588</v>
      </c>
      <c r="E65" s="1920">
        <v>2018</v>
      </c>
      <c r="F65" s="1920">
        <v>2020</v>
      </c>
      <c r="G65" s="1920">
        <v>2025</v>
      </c>
      <c r="H65" s="1920">
        <v>2030</v>
      </c>
      <c r="I65" s="1920">
        <v>2035</v>
      </c>
      <c r="J65" s="1920">
        <v>2040</v>
      </c>
      <c r="K65" s="1920">
        <v>2045</v>
      </c>
      <c r="L65" s="1920">
        <v>2050</v>
      </c>
      <c r="M65" s="1387"/>
    </row>
    <row r="66" spans="2:18" ht="15" customHeight="1">
      <c r="B66" s="186"/>
      <c r="C66" s="40"/>
      <c r="D66" s="1196" t="s">
        <v>917</v>
      </c>
      <c r="E66" s="3825">
        <v>0</v>
      </c>
      <c r="F66" s="3825">
        <f t="shared" ref="F66:K66" si="4">$L$66+(($L$66-$E$66)/($L$65-$E$65)*(F65-$L$65))</f>
        <v>3.7499999999999978E-2</v>
      </c>
      <c r="G66" s="3825">
        <f t="shared" si="4"/>
        <v>0.13124999999999998</v>
      </c>
      <c r="H66" s="3825">
        <f>$L$66+(($L$66-$E$66)/($L$65-$E$65)*(H65-$L$65))</f>
        <v>0.22499999999999998</v>
      </c>
      <c r="I66" s="3825">
        <f t="shared" si="4"/>
        <v>0.31874999999999998</v>
      </c>
      <c r="J66" s="3825">
        <f t="shared" si="4"/>
        <v>0.41249999999999998</v>
      </c>
      <c r="K66" s="3825">
        <f t="shared" si="4"/>
        <v>0.50624999999999998</v>
      </c>
      <c r="L66" s="3825">
        <v>0.6</v>
      </c>
      <c r="M66" s="1387"/>
    </row>
    <row r="67" spans="2:18" ht="15" customHeight="1">
      <c r="B67" s="186"/>
      <c r="C67" s="40"/>
      <c r="D67" s="1196" t="s">
        <v>558</v>
      </c>
      <c r="E67" s="3825">
        <v>0</v>
      </c>
      <c r="F67" s="3825">
        <f t="shared" ref="F67:H68" si="5">$L67+(($L67-$E67)/($L65-$E65)*(F65-$L65))</f>
        <v>3.7499999999999978E-2</v>
      </c>
      <c r="G67" s="3825">
        <f t="shared" si="5"/>
        <v>0.13124999999999998</v>
      </c>
      <c r="H67" s="3825">
        <f t="shared" si="5"/>
        <v>0.22499999999999998</v>
      </c>
      <c r="I67" s="3825">
        <f>$L67+(($L67-$E67)/($L65-$E65)*(I65-$L65))</f>
        <v>0.31874999999999998</v>
      </c>
      <c r="J67" s="3825">
        <f>$L67+(($L67-$E67)/($L65-$E65)*(J65-$L65))</f>
        <v>0.41249999999999998</v>
      </c>
      <c r="K67" s="3825">
        <f>$L67+(($L67-$E67)/($L65-$E65)*(K65-$L65))</f>
        <v>0.50624999999999998</v>
      </c>
      <c r="L67" s="3825">
        <v>0.6</v>
      </c>
      <c r="M67" s="1387"/>
    </row>
    <row r="68" spans="2:18" ht="15" customHeight="1">
      <c r="B68" s="186"/>
      <c r="C68" s="40"/>
      <c r="D68" s="1196" t="s">
        <v>559</v>
      </c>
      <c r="E68" s="3825">
        <v>0</v>
      </c>
      <c r="F68" s="3825">
        <f t="shared" si="5"/>
        <v>3.7499999999999978E-2</v>
      </c>
      <c r="G68" s="3825">
        <f t="shared" si="5"/>
        <v>0.13124999999999998</v>
      </c>
      <c r="H68" s="3825">
        <f t="shared" si="5"/>
        <v>0.22499999999999998</v>
      </c>
      <c r="I68" s="3825">
        <f>$L68+(($L68-$E68)/($L65-$E65)*(I65-$L65))</f>
        <v>0.31874999999999998</v>
      </c>
      <c r="J68" s="3825">
        <f>I68+((I68-E68)/(I65-E65)*(J65-I65))</f>
        <v>0.41249999999999998</v>
      </c>
      <c r="K68" s="3825">
        <f>J68+((J68-E68)/(J65-E65)*(K65-J65))</f>
        <v>0.50624999999999998</v>
      </c>
      <c r="L68" s="3825">
        <v>0.6</v>
      </c>
      <c r="M68" s="1387"/>
    </row>
    <row r="69" spans="2:18" ht="15" customHeight="1">
      <c r="B69" s="186"/>
      <c r="C69" s="40"/>
      <c r="D69" s="1196" t="s">
        <v>560</v>
      </c>
      <c r="E69" s="3825">
        <v>0</v>
      </c>
      <c r="F69" s="3825">
        <f>$H$69+(($H$69-$E$66)/($L$65-$E$65)*(F65-$L$65))</f>
        <v>2.2032687499999981E-2</v>
      </c>
      <c r="G69" s="3825">
        <f>$H$69+(($H$69-$E$66)/($H$65-$E$65)*(G65-$H$65))</f>
        <v>0.20563841666666666</v>
      </c>
      <c r="H69" s="3825">
        <v>0.35252299999999998</v>
      </c>
      <c r="I69" s="3825">
        <f>$L69+(($L69-$E69)/($L65-$E65)*(I65-$L65))</f>
        <v>0.31874999999999998</v>
      </c>
      <c r="J69" s="3825">
        <f>I69+((I69-E69)/(I65-E65)*(J65-I65))</f>
        <v>0.41249999999999998</v>
      </c>
      <c r="K69" s="3825">
        <f>J69+((J69-E69)/(J65-E65)*(K65-J65))</f>
        <v>0.50624999999999998</v>
      </c>
      <c r="L69" s="3825">
        <v>0.6</v>
      </c>
      <c r="M69" s="1387"/>
    </row>
    <row r="70" spans="2:18" ht="15" customHeight="1">
      <c r="B70" s="186"/>
      <c r="C70" s="40"/>
      <c r="D70" s="1196" t="s">
        <v>561</v>
      </c>
      <c r="E70" s="3825">
        <v>0</v>
      </c>
      <c r="F70" s="3825">
        <v>3.7499999999999978E-2</v>
      </c>
      <c r="G70" s="3825">
        <v>0.13124999999999998</v>
      </c>
      <c r="H70" s="3825">
        <v>0.22499999999999998</v>
      </c>
      <c r="I70" s="3825">
        <v>0.31874999999999998</v>
      </c>
      <c r="J70" s="3825">
        <v>0.41249999999999998</v>
      </c>
      <c r="K70" s="3825">
        <v>0.50624999999999998</v>
      </c>
      <c r="L70" s="3825">
        <v>0.6</v>
      </c>
      <c r="M70" s="1387"/>
    </row>
    <row r="71" spans="2:18" ht="15" customHeight="1">
      <c r="B71" s="186"/>
      <c r="C71" s="40"/>
      <c r="D71" s="1196" t="s">
        <v>918</v>
      </c>
      <c r="E71" s="3825">
        <v>0</v>
      </c>
      <c r="F71" s="3825">
        <v>3.7499999999999978E-2</v>
      </c>
      <c r="G71" s="3825">
        <v>0.13124999999999998</v>
      </c>
      <c r="H71" s="3825">
        <v>0.22499999999999998</v>
      </c>
      <c r="I71" s="3825">
        <v>0.31874999999999998</v>
      </c>
      <c r="J71" s="3825">
        <v>0.41249999999999998</v>
      </c>
      <c r="K71" s="3825">
        <v>0.50624999999999998</v>
      </c>
      <c r="L71" s="3825">
        <v>0.6</v>
      </c>
      <c r="M71" s="1387"/>
    </row>
    <row r="72" spans="2:18" ht="15" customHeight="1">
      <c r="B72" s="186"/>
      <c r="C72" s="40"/>
      <c r="D72" s="1196" t="s">
        <v>564</v>
      </c>
      <c r="E72" s="3825">
        <v>0</v>
      </c>
      <c r="F72" s="3825">
        <v>3.7499999999999978E-2</v>
      </c>
      <c r="G72" s="3825">
        <v>0.13124999999999998</v>
      </c>
      <c r="H72" s="3825">
        <v>0.22499999999999998</v>
      </c>
      <c r="I72" s="3825">
        <v>0.31874999999999998</v>
      </c>
      <c r="J72" s="3825">
        <v>0.41249999999999998</v>
      </c>
      <c r="K72" s="3825">
        <v>0.50624999999999998</v>
      </c>
      <c r="L72" s="3826">
        <v>0.6</v>
      </c>
      <c r="M72" s="1387"/>
    </row>
    <row r="73" spans="2:18" ht="15" customHeight="1">
      <c r="B73" s="186"/>
      <c r="C73" s="40"/>
      <c r="D73" s="1400"/>
      <c r="E73" s="3827"/>
      <c r="F73" s="3828"/>
      <c r="G73" s="3828"/>
      <c r="H73" s="3828"/>
      <c r="I73" s="3827"/>
      <c r="J73" s="3828"/>
      <c r="K73" s="3828"/>
      <c r="L73" s="3835"/>
      <c r="M73" s="1387"/>
    </row>
    <row r="74" spans="2:18" ht="15" customHeight="1">
      <c r="B74" s="186"/>
      <c r="C74" s="40"/>
      <c r="D74" s="12"/>
      <c r="E74" s="3836"/>
      <c r="F74" s="3837"/>
      <c r="G74" s="3837"/>
      <c r="H74" s="3837"/>
      <c r="I74" s="3835"/>
      <c r="J74" s="3835"/>
      <c r="K74" s="3835"/>
      <c r="L74" s="3835"/>
      <c r="M74" s="1387"/>
    </row>
    <row r="75" spans="2:18" ht="15" customHeight="1">
      <c r="B75" s="186"/>
      <c r="C75" s="40"/>
      <c r="D75" s="2782" t="s">
        <v>1154</v>
      </c>
      <c r="E75" s="1905"/>
      <c r="F75" s="1906"/>
      <c r="G75" s="1907"/>
      <c r="H75" s="1908"/>
      <c r="I75" s="1909"/>
      <c r="J75" s="1909"/>
      <c r="K75" s="1909"/>
      <c r="L75" s="3838"/>
      <c r="M75" s="1387"/>
    </row>
    <row r="76" spans="2:18" ht="15" customHeight="1">
      <c r="B76" s="186"/>
      <c r="C76" s="40"/>
      <c r="D76" s="12"/>
      <c r="E76" s="3836"/>
      <c r="F76" s="3837"/>
      <c r="G76" s="3837"/>
      <c r="H76" s="3837"/>
      <c r="I76" s="3835"/>
      <c r="J76" s="3835"/>
      <c r="K76" s="3835"/>
      <c r="L76" s="3835"/>
      <c r="M76" s="1387"/>
    </row>
    <row r="77" spans="2:18" ht="15" customHeight="1">
      <c r="B77" s="186"/>
      <c r="C77" s="40"/>
      <c r="D77" s="12"/>
      <c r="E77" s="3836"/>
      <c r="F77" s="3837"/>
      <c r="G77" s="3837"/>
      <c r="H77" s="3837"/>
      <c r="I77" s="3835"/>
      <c r="J77" s="3835"/>
      <c r="K77" s="3835"/>
      <c r="L77" s="3835"/>
      <c r="M77" s="1387"/>
    </row>
    <row r="78" spans="2:18" ht="15" customHeight="1">
      <c r="B78" s="186"/>
      <c r="C78" s="40"/>
      <c r="D78" s="528" t="s">
        <v>1761</v>
      </c>
      <c r="E78" s="1920">
        <v>2018</v>
      </c>
      <c r="F78" s="1920">
        <v>2020</v>
      </c>
      <c r="G78" s="1920">
        <v>2025</v>
      </c>
      <c r="H78" s="1920">
        <v>2030</v>
      </c>
      <c r="I78" s="1920">
        <v>2035</v>
      </c>
      <c r="J78" s="1920">
        <v>2040</v>
      </c>
      <c r="K78" s="1920">
        <v>2045</v>
      </c>
      <c r="L78" s="1920">
        <v>2050</v>
      </c>
      <c r="M78" s="1387"/>
    </row>
    <row r="79" spans="2:18" ht="15" customHeight="1">
      <c r="B79" s="186"/>
      <c r="C79" s="40"/>
      <c r="D79" s="259">
        <v>1</v>
      </c>
      <c r="E79" s="3830">
        <v>0</v>
      </c>
      <c r="F79" s="3830">
        <v>0</v>
      </c>
      <c r="G79" s="3830">
        <v>0</v>
      </c>
      <c r="H79" s="3830">
        <v>0</v>
      </c>
      <c r="I79" s="3830">
        <v>0</v>
      </c>
      <c r="J79" s="3830">
        <v>0</v>
      </c>
      <c r="K79" s="3830">
        <v>0</v>
      </c>
      <c r="L79" s="3830">
        <v>0</v>
      </c>
      <c r="M79" s="1387"/>
    </row>
    <row r="80" spans="2:18" ht="15" customHeight="1">
      <c r="B80" s="186"/>
      <c r="C80" s="40"/>
      <c r="D80" s="259">
        <v>2</v>
      </c>
      <c r="E80" s="3832">
        <v>0</v>
      </c>
      <c r="F80" s="3825">
        <v>0.03</v>
      </c>
      <c r="G80" s="3825">
        <v>0.105</v>
      </c>
      <c r="H80" s="3825">
        <v>0.18</v>
      </c>
      <c r="I80" s="3825">
        <v>0.255</v>
      </c>
      <c r="J80" s="3825">
        <v>0.32999999999999996</v>
      </c>
      <c r="K80" s="3825">
        <v>0.40499999999999997</v>
      </c>
      <c r="L80" s="3832">
        <v>0.48</v>
      </c>
      <c r="M80" s="1387"/>
      <c r="R80" s="270"/>
    </row>
    <row r="81" spans="2:18" ht="15" customHeight="1">
      <c r="B81" s="186"/>
      <c r="C81" s="40"/>
      <c r="D81" s="259">
        <v>3</v>
      </c>
      <c r="E81" s="3825">
        <f t="shared" ref="E81:K81" si="6">(E82+E80)/2</f>
        <v>0</v>
      </c>
      <c r="F81" s="3825">
        <f t="shared" si="6"/>
        <v>3.3749999999999988E-2</v>
      </c>
      <c r="G81" s="3825">
        <f t="shared" si="6"/>
        <v>0.11812499999999998</v>
      </c>
      <c r="H81" s="3825">
        <f t="shared" si="6"/>
        <v>0.20249999999999999</v>
      </c>
      <c r="I81" s="3825">
        <f t="shared" si="6"/>
        <v>0.28687499999999999</v>
      </c>
      <c r="J81" s="3825">
        <f t="shared" si="6"/>
        <v>0.37124999999999997</v>
      </c>
      <c r="K81" s="3825">
        <f t="shared" si="6"/>
        <v>0.45562499999999995</v>
      </c>
      <c r="L81" s="3825">
        <f>(L82+L80)/2</f>
        <v>0.54</v>
      </c>
      <c r="M81" s="1387"/>
      <c r="R81" s="270"/>
    </row>
    <row r="82" spans="2:18" ht="15" customHeight="1">
      <c r="B82" s="1921"/>
      <c r="C82" s="40"/>
      <c r="D82" s="1873">
        <v>4</v>
      </c>
      <c r="E82" s="3826">
        <v>0</v>
      </c>
      <c r="F82" s="3826">
        <f t="shared" ref="F82:K82" si="7">$L$82+(($L$82-$E$82)/($L$78-$E$78)*(F78-$L$78))</f>
        <v>3.7499999999999978E-2</v>
      </c>
      <c r="G82" s="3826">
        <f t="shared" si="7"/>
        <v>0.13124999999999998</v>
      </c>
      <c r="H82" s="3826">
        <f t="shared" si="7"/>
        <v>0.22499999999999998</v>
      </c>
      <c r="I82" s="3826">
        <f t="shared" si="7"/>
        <v>0.31874999999999998</v>
      </c>
      <c r="J82" s="3826">
        <f t="shared" si="7"/>
        <v>0.41249999999999998</v>
      </c>
      <c r="K82" s="3826">
        <f t="shared" si="7"/>
        <v>0.50624999999999998</v>
      </c>
      <c r="L82" s="3826">
        <v>0.6</v>
      </c>
      <c r="M82" s="1387"/>
      <c r="R82" s="270"/>
    </row>
    <row r="83" spans="2:18" ht="15" customHeight="1">
      <c r="B83" s="1921"/>
      <c r="C83" s="40"/>
      <c r="D83" s="1395"/>
      <c r="E83" s="1390"/>
      <c r="F83" s="1390"/>
      <c r="G83" s="1390"/>
      <c r="H83" s="1390"/>
      <c r="I83" s="1390"/>
      <c r="J83" s="1390"/>
      <c r="K83" s="1390"/>
      <c r="L83" s="1390"/>
      <c r="M83" s="1387"/>
      <c r="R83" s="270"/>
    </row>
    <row r="84" spans="2:18" ht="15" customHeight="1">
      <c r="B84" s="1921"/>
      <c r="C84" s="40"/>
      <c r="D84" s="1388"/>
      <c r="E84" s="1389"/>
      <c r="F84" s="1389"/>
      <c r="G84" s="1389"/>
      <c r="H84" s="1389"/>
      <c r="I84" s="1389"/>
      <c r="J84" s="1389"/>
      <c r="K84" s="1389"/>
      <c r="L84" s="1389"/>
      <c r="M84" s="1387"/>
      <c r="R84" s="270"/>
    </row>
    <row r="85" spans="2:18" ht="15" customHeight="1">
      <c r="B85" s="186"/>
      <c r="C85" s="40"/>
      <c r="D85" s="1493" t="s">
        <v>1157</v>
      </c>
      <c r="E85" s="1905"/>
      <c r="F85" s="1906"/>
      <c r="G85" s="1907"/>
      <c r="H85" s="1908"/>
      <c r="I85" s="1909"/>
      <c r="J85" s="1909"/>
      <c r="K85" s="1909"/>
      <c r="L85" s="1910"/>
      <c r="M85" s="1387"/>
      <c r="R85" s="270"/>
    </row>
    <row r="86" spans="2:18" ht="15" customHeight="1">
      <c r="B86" s="186"/>
      <c r="C86" s="40"/>
      <c r="D86" s="1911"/>
      <c r="E86" s="381"/>
      <c r="F86" s="1912"/>
      <c r="G86" s="1913"/>
      <c r="H86" s="1914"/>
      <c r="I86" s="1915"/>
      <c r="J86" s="1915"/>
      <c r="K86" s="1915"/>
      <c r="L86" s="282"/>
      <c r="M86" s="1387"/>
      <c r="R86" s="270"/>
    </row>
    <row r="87" spans="2:18" ht="15" customHeight="1">
      <c r="B87" s="186"/>
      <c r="C87" s="40"/>
      <c r="D87" s="907" t="s">
        <v>1726</v>
      </c>
      <c r="E87" s="360"/>
      <c r="F87" s="1917"/>
      <c r="G87" s="1918"/>
      <c r="H87" s="1919"/>
      <c r="I87" s="1919"/>
      <c r="J87" s="1919"/>
      <c r="K87" s="1919"/>
      <c r="L87" s="282"/>
      <c r="M87" s="1387"/>
      <c r="R87" s="270"/>
    </row>
    <row r="88" spans="2:18" ht="15" customHeight="1">
      <c r="B88" s="186"/>
      <c r="C88" s="40"/>
      <c r="D88" s="528" t="s">
        <v>588</v>
      </c>
      <c r="E88" s="1920">
        <v>2018</v>
      </c>
      <c r="F88" s="1920">
        <v>2020</v>
      </c>
      <c r="G88" s="1920">
        <v>2025</v>
      </c>
      <c r="H88" s="1920">
        <v>2030</v>
      </c>
      <c r="I88" s="1920">
        <v>2035</v>
      </c>
      <c r="J88" s="1920">
        <v>2040</v>
      </c>
      <c r="K88" s="1920">
        <v>2045</v>
      </c>
      <c r="L88" s="1920">
        <v>2050</v>
      </c>
      <c r="M88" s="1387"/>
      <c r="R88" s="270"/>
    </row>
    <row r="89" spans="2:18" ht="15" customHeight="1">
      <c r="B89" s="186"/>
      <c r="C89" s="40"/>
      <c r="D89" s="1196" t="s">
        <v>917</v>
      </c>
      <c r="E89" s="1415">
        <v>0</v>
      </c>
      <c r="F89" s="1415">
        <v>0</v>
      </c>
      <c r="G89" s="1415">
        <v>0</v>
      </c>
      <c r="H89" s="1415">
        <v>0</v>
      </c>
      <c r="I89" s="1415">
        <v>0</v>
      </c>
      <c r="J89" s="1415">
        <v>0</v>
      </c>
      <c r="K89" s="1415">
        <v>0</v>
      </c>
      <c r="L89" s="1415">
        <v>0</v>
      </c>
      <c r="M89" s="1387"/>
    </row>
    <row r="90" spans="2:18" ht="15" customHeight="1">
      <c r="B90" s="186"/>
      <c r="C90" s="40"/>
      <c r="D90" s="1196" t="s">
        <v>558</v>
      </c>
      <c r="E90" s="1415">
        <v>0</v>
      </c>
      <c r="F90" s="1415">
        <v>0</v>
      </c>
      <c r="G90" s="1415">
        <v>0</v>
      </c>
      <c r="H90" s="1415">
        <v>0</v>
      </c>
      <c r="I90" s="1415">
        <v>0</v>
      </c>
      <c r="J90" s="1415">
        <v>0</v>
      </c>
      <c r="K90" s="1415">
        <v>0</v>
      </c>
      <c r="L90" s="1415">
        <v>0</v>
      </c>
      <c r="M90" s="1387"/>
    </row>
    <row r="91" spans="2:18" ht="15" customHeight="1">
      <c r="B91" s="186"/>
      <c r="C91" s="40"/>
      <c r="D91" s="1196" t="s">
        <v>559</v>
      </c>
      <c r="E91" s="1415">
        <v>0</v>
      </c>
      <c r="F91" s="1415">
        <v>0</v>
      </c>
      <c r="G91" s="1415">
        <v>0</v>
      </c>
      <c r="H91" s="1415">
        <v>0</v>
      </c>
      <c r="I91" s="1415">
        <v>0</v>
      </c>
      <c r="J91" s="1415">
        <v>0</v>
      </c>
      <c r="K91" s="1415">
        <v>0</v>
      </c>
      <c r="L91" s="1415">
        <v>0</v>
      </c>
      <c r="M91" s="1387"/>
    </row>
    <row r="92" spans="2:18" ht="15" customHeight="1">
      <c r="B92" s="186"/>
      <c r="C92" s="40"/>
      <c r="D92" s="1196" t="s">
        <v>560</v>
      </c>
      <c r="E92" s="1415">
        <v>0</v>
      </c>
      <c r="F92" s="1415">
        <v>0</v>
      </c>
      <c r="G92" s="1415">
        <v>0</v>
      </c>
      <c r="H92" s="1415">
        <v>0</v>
      </c>
      <c r="I92" s="1415">
        <v>0</v>
      </c>
      <c r="J92" s="1415">
        <v>0</v>
      </c>
      <c r="K92" s="1415">
        <v>0</v>
      </c>
      <c r="L92" s="1415">
        <v>0</v>
      </c>
      <c r="M92" s="1387"/>
    </row>
    <row r="93" spans="2:18" ht="15" customHeight="1">
      <c r="B93" s="186"/>
      <c r="C93" s="40"/>
      <c r="D93" s="1196" t="s">
        <v>561</v>
      </c>
      <c r="E93" s="1415">
        <v>0</v>
      </c>
      <c r="F93" s="1415">
        <v>0</v>
      </c>
      <c r="G93" s="1415">
        <v>0</v>
      </c>
      <c r="H93" s="1415">
        <v>0</v>
      </c>
      <c r="I93" s="1415">
        <v>0</v>
      </c>
      <c r="J93" s="1415">
        <v>0</v>
      </c>
      <c r="K93" s="1415">
        <v>0</v>
      </c>
      <c r="L93" s="1415">
        <v>0</v>
      </c>
      <c r="M93" s="1387"/>
    </row>
    <row r="94" spans="2:18" ht="15" customHeight="1">
      <c r="B94" s="186"/>
      <c r="C94" s="40"/>
      <c r="D94" s="1196" t="s">
        <v>918</v>
      </c>
      <c r="E94" s="1415">
        <v>0</v>
      </c>
      <c r="F94" s="1415">
        <v>0</v>
      </c>
      <c r="G94" s="1415">
        <v>0</v>
      </c>
      <c r="H94" s="1415">
        <v>0</v>
      </c>
      <c r="I94" s="1415">
        <v>0</v>
      </c>
      <c r="J94" s="1415">
        <v>0</v>
      </c>
      <c r="K94" s="1415">
        <v>0</v>
      </c>
      <c r="L94" s="1415">
        <v>0</v>
      </c>
      <c r="M94" s="1387"/>
    </row>
    <row r="95" spans="2:18" ht="15" customHeight="1">
      <c r="B95" s="186"/>
      <c r="C95" s="40"/>
      <c r="D95" s="1196" t="s">
        <v>564</v>
      </c>
      <c r="E95" s="1415">
        <v>0</v>
      </c>
      <c r="F95" s="1415">
        <v>0</v>
      </c>
      <c r="G95" s="1415">
        <v>0</v>
      </c>
      <c r="H95" s="1415">
        <v>0</v>
      </c>
      <c r="I95" s="1415">
        <v>0</v>
      </c>
      <c r="J95" s="1415">
        <v>0</v>
      </c>
      <c r="K95" s="1415">
        <v>0</v>
      </c>
      <c r="L95" s="1894">
        <v>0</v>
      </c>
      <c r="M95" s="1387"/>
    </row>
    <row r="96" spans="2:18" ht="15" customHeight="1">
      <c r="B96" s="186"/>
      <c r="C96" s="40"/>
      <c r="D96" s="1400"/>
      <c r="E96" s="1401"/>
      <c r="F96" s="1402"/>
      <c r="G96" s="1402"/>
      <c r="H96" s="1402"/>
      <c r="I96" s="1401"/>
      <c r="J96" s="1402"/>
      <c r="K96" s="1402"/>
      <c r="L96" s="282"/>
      <c r="M96" s="1387"/>
    </row>
    <row r="97" spans="2:18" ht="15" customHeight="1">
      <c r="B97" s="186"/>
      <c r="C97" s="40"/>
      <c r="D97" s="1916"/>
      <c r="E97" s="360"/>
      <c r="F97" s="1917"/>
      <c r="G97" s="1918"/>
      <c r="H97" s="1919"/>
      <c r="I97" s="1919"/>
      <c r="J97" s="1919"/>
      <c r="K97" s="1919"/>
      <c r="L97" s="282"/>
      <c r="M97" s="1387"/>
    </row>
    <row r="98" spans="2:18" ht="15" customHeight="1">
      <c r="B98" s="186"/>
      <c r="C98" s="40"/>
      <c r="D98" s="907" t="s">
        <v>1729</v>
      </c>
      <c r="E98" s="360"/>
      <c r="F98" s="1917"/>
      <c r="G98" s="1918"/>
      <c r="H98" s="1919"/>
      <c r="I98" s="1919"/>
      <c r="J98" s="1919"/>
      <c r="K98" s="1919"/>
      <c r="L98" s="282"/>
      <c r="M98" s="1387"/>
    </row>
    <row r="99" spans="2:18" ht="15" customHeight="1">
      <c r="B99" s="186"/>
      <c r="C99" s="40"/>
      <c r="D99" s="528" t="s">
        <v>588</v>
      </c>
      <c r="E99" s="1920">
        <v>2018</v>
      </c>
      <c r="F99" s="1920">
        <v>2020</v>
      </c>
      <c r="G99" s="1920">
        <v>2025</v>
      </c>
      <c r="H99" s="1920">
        <v>2030</v>
      </c>
      <c r="I99" s="1920">
        <v>2035</v>
      </c>
      <c r="J99" s="1920">
        <v>2040</v>
      </c>
      <c r="K99" s="1920">
        <v>2045</v>
      </c>
      <c r="L99" s="1920">
        <v>2050</v>
      </c>
      <c r="M99" s="1387"/>
    </row>
    <row r="100" spans="2:18" ht="15" customHeight="1">
      <c r="B100" s="186"/>
      <c r="C100" s="40"/>
      <c r="D100" s="1196" t="s">
        <v>917</v>
      </c>
      <c r="E100" s="1895">
        <v>0</v>
      </c>
      <c r="F100" s="1895">
        <v>0</v>
      </c>
      <c r="G100" s="1895">
        <v>2.4311010047637735E-2</v>
      </c>
      <c r="H100" s="1895">
        <v>4.8622020095275498E-2</v>
      </c>
      <c r="I100" s="1895">
        <v>7.2933030142913247E-2</v>
      </c>
      <c r="J100" s="1895">
        <v>9.7244040190550995E-2</v>
      </c>
      <c r="K100" s="1895">
        <v>0.12155505023818874</v>
      </c>
      <c r="L100" s="1895">
        <v>0.14586606028582649</v>
      </c>
      <c r="M100" s="1387"/>
      <c r="R100" s="270"/>
    </row>
    <row r="101" spans="2:18" ht="15" customHeight="1">
      <c r="B101" s="186"/>
      <c r="C101" s="40"/>
      <c r="D101" s="1196" t="s">
        <v>558</v>
      </c>
      <c r="E101" s="1390">
        <v>0</v>
      </c>
      <c r="F101" s="1390">
        <v>0</v>
      </c>
      <c r="G101" s="1390">
        <v>1.9311149901794361E-2</v>
      </c>
      <c r="H101" s="1390">
        <v>3.8622299803588722E-2</v>
      </c>
      <c r="I101" s="1390">
        <v>5.7933449705383083E-2</v>
      </c>
      <c r="J101" s="1390">
        <v>7.7244599607177444E-2</v>
      </c>
      <c r="K101" s="1390">
        <v>9.6555749508971805E-2</v>
      </c>
      <c r="L101" s="1390">
        <v>0.11586689941076618</v>
      </c>
      <c r="M101" s="1387"/>
      <c r="R101" s="270"/>
    </row>
    <row r="102" spans="2:18" ht="15" customHeight="1">
      <c r="B102" s="186"/>
      <c r="C102" s="40"/>
      <c r="D102" s="1196" t="s">
        <v>559</v>
      </c>
      <c r="E102" s="1390">
        <v>0</v>
      </c>
      <c r="F102" s="1390">
        <v>0</v>
      </c>
      <c r="G102" s="1390">
        <v>2.2354487204365475E-2</v>
      </c>
      <c r="H102" s="1390">
        <v>4.4708974408730978E-2</v>
      </c>
      <c r="I102" s="1390">
        <v>6.7063461613096467E-2</v>
      </c>
      <c r="J102" s="1390">
        <v>8.9417948817461956E-2</v>
      </c>
      <c r="K102" s="1390">
        <v>0.11177243602182745</v>
      </c>
      <c r="L102" s="1390">
        <v>0.13412692322619293</v>
      </c>
      <c r="M102" s="1387"/>
      <c r="R102" s="270"/>
    </row>
    <row r="103" spans="2:18" ht="15" customHeight="1">
      <c r="B103" s="186"/>
      <c r="C103" s="40"/>
      <c r="D103" s="1196" t="s">
        <v>560</v>
      </c>
      <c r="E103" s="1390">
        <v>0</v>
      </c>
      <c r="F103" s="1390">
        <v>0</v>
      </c>
      <c r="G103" s="1390">
        <v>1.6788515422871589E-2</v>
      </c>
      <c r="H103" s="1390">
        <v>3.3577030845743178E-2</v>
      </c>
      <c r="I103" s="1390">
        <v>5.0365546268614766E-2</v>
      </c>
      <c r="J103" s="1390">
        <v>6.7154061691486355E-2</v>
      </c>
      <c r="K103" s="1390">
        <v>8.3942577114357944E-2</v>
      </c>
      <c r="L103" s="1390">
        <v>0.10073109253722953</v>
      </c>
      <c r="M103" s="1387"/>
      <c r="R103" s="270"/>
    </row>
    <row r="104" spans="2:18" ht="15" customHeight="1">
      <c r="B104" s="186"/>
      <c r="C104" s="40"/>
      <c r="D104" s="1196" t="s">
        <v>561</v>
      </c>
      <c r="E104" s="1390">
        <v>0</v>
      </c>
      <c r="F104" s="1390">
        <v>0</v>
      </c>
      <c r="G104" s="1390">
        <v>2.3025181106852866E-2</v>
      </c>
      <c r="H104" s="1390">
        <v>4.6050362213705731E-2</v>
      </c>
      <c r="I104" s="1390">
        <v>6.9075543320558583E-2</v>
      </c>
      <c r="J104" s="1390">
        <v>9.2100724427411448E-2</v>
      </c>
      <c r="K104" s="1390">
        <v>0.1151259055342643</v>
      </c>
      <c r="L104" s="1390">
        <v>0.13815108664111717</v>
      </c>
      <c r="M104" s="1387"/>
      <c r="R104" s="270"/>
    </row>
    <row r="105" spans="2:18" ht="15" customHeight="1">
      <c r="B105" s="186"/>
      <c r="C105" s="40"/>
      <c r="D105" s="1196" t="s">
        <v>918</v>
      </c>
      <c r="E105" s="1390">
        <v>0</v>
      </c>
      <c r="F105" s="1390">
        <v>0</v>
      </c>
      <c r="G105" s="1390">
        <v>1.9238703303739391E-2</v>
      </c>
      <c r="H105" s="1390">
        <v>3.8477406607478781E-2</v>
      </c>
      <c r="I105" s="1390">
        <v>5.7716109911218165E-2</v>
      </c>
      <c r="J105" s="1390">
        <v>7.6954813214957563E-2</v>
      </c>
      <c r="K105" s="1390">
        <v>9.6193516518696953E-2</v>
      </c>
      <c r="L105" s="1390">
        <v>0.11543221982243633</v>
      </c>
      <c r="M105" s="1387"/>
      <c r="R105" s="270"/>
    </row>
    <row r="106" spans="2:18" ht="15" customHeight="1">
      <c r="B106" s="186"/>
      <c r="C106" s="40"/>
      <c r="D106" s="1196" t="s">
        <v>564</v>
      </c>
      <c r="E106" s="1896">
        <v>0</v>
      </c>
      <c r="F106" s="1896">
        <v>0</v>
      </c>
      <c r="G106" s="1896">
        <v>1.4988830759019404E-3</v>
      </c>
      <c r="H106" s="1896">
        <v>2.9977661518038809E-3</v>
      </c>
      <c r="I106" s="1896">
        <v>4.4966492277058222E-3</v>
      </c>
      <c r="J106" s="1896">
        <v>5.9955323036077627E-3</v>
      </c>
      <c r="K106" s="1896">
        <v>7.494415379509704E-3</v>
      </c>
      <c r="L106" s="1896">
        <v>8.9932984554116444E-3</v>
      </c>
      <c r="M106" s="1387"/>
      <c r="R106" s="270"/>
    </row>
    <row r="107" spans="2:18" ht="15" customHeight="1">
      <c r="B107" s="186"/>
      <c r="C107" s="40"/>
      <c r="D107" s="1400"/>
      <c r="E107" s="1399"/>
      <c r="F107" s="1415"/>
      <c r="G107" s="1415"/>
      <c r="H107" s="1415"/>
      <c r="I107" s="1399"/>
      <c r="J107" s="1415"/>
      <c r="K107" s="1415"/>
      <c r="L107" s="282"/>
      <c r="M107" s="1387"/>
    </row>
    <row r="108" spans="2:18" ht="15" customHeight="1">
      <c r="B108" s="186"/>
      <c r="C108" s="40"/>
      <c r="D108" s="1916"/>
      <c r="E108" s="360"/>
      <c r="F108" s="1917"/>
      <c r="G108" s="1918"/>
      <c r="H108" s="1919"/>
      <c r="I108" s="1919"/>
      <c r="J108" s="1919"/>
      <c r="K108" s="1919"/>
      <c r="L108" s="282"/>
      <c r="M108" s="1387"/>
    </row>
    <row r="109" spans="2:18" ht="15" customHeight="1">
      <c r="B109" s="186"/>
      <c r="C109" s="40"/>
      <c r="D109" s="907" t="s">
        <v>1730</v>
      </c>
      <c r="E109" s="360"/>
      <c r="F109" s="1917"/>
      <c r="G109" s="1918"/>
      <c r="H109" s="1919"/>
      <c r="I109" s="1919"/>
      <c r="J109" s="1919"/>
      <c r="K109" s="1919"/>
      <c r="L109" s="282"/>
      <c r="M109" s="1387"/>
    </row>
    <row r="110" spans="2:18" ht="15" customHeight="1">
      <c r="B110" s="186"/>
      <c r="C110" s="40"/>
      <c r="D110" s="528" t="s">
        <v>588</v>
      </c>
      <c r="E110" s="1920">
        <v>2018</v>
      </c>
      <c r="F110" s="1920">
        <v>2020</v>
      </c>
      <c r="G110" s="1920">
        <v>2025</v>
      </c>
      <c r="H110" s="1920">
        <v>2030</v>
      </c>
      <c r="I110" s="1920">
        <v>2035</v>
      </c>
      <c r="J110" s="1920">
        <v>2040</v>
      </c>
      <c r="K110" s="1920">
        <v>2045</v>
      </c>
      <c r="L110" s="1920">
        <v>2050</v>
      </c>
      <c r="M110" s="1387"/>
    </row>
    <row r="111" spans="2:18" ht="15" customHeight="1">
      <c r="B111" s="186"/>
      <c r="C111" s="40"/>
      <c r="D111" s="1196" t="s">
        <v>917</v>
      </c>
      <c r="E111" s="1390">
        <v>0</v>
      </c>
      <c r="F111" s="1390">
        <v>0</v>
      </c>
      <c r="G111" s="1390">
        <v>7.2933030142913247E-2</v>
      </c>
      <c r="H111" s="1390">
        <v>0.14586606028582649</v>
      </c>
      <c r="I111" s="1390">
        <v>0.15412475294087694</v>
      </c>
      <c r="J111" s="1390">
        <v>0.16651279192345259</v>
      </c>
      <c r="K111" s="1390">
        <v>0.17580382116038434</v>
      </c>
      <c r="L111" s="1390">
        <v>0.17890083090602826</v>
      </c>
      <c r="M111" s="1387"/>
    </row>
    <row r="112" spans="2:18" ht="15" customHeight="1">
      <c r="B112" s="186"/>
      <c r="C112" s="40"/>
      <c r="D112" s="1196" t="s">
        <v>558</v>
      </c>
      <c r="E112" s="1390">
        <v>0</v>
      </c>
      <c r="F112" s="1390">
        <v>0</v>
      </c>
      <c r="G112" s="1390">
        <v>5.793344970538309E-2</v>
      </c>
      <c r="H112" s="1390">
        <v>0.11586689941076618</v>
      </c>
      <c r="I112" s="1390">
        <v>0.12560278980212108</v>
      </c>
      <c r="J112" s="1390">
        <v>0.14020662538915346</v>
      </c>
      <c r="K112" s="1390">
        <v>0.15115950207942774</v>
      </c>
      <c r="L112" s="1390">
        <v>0.15481046097618584</v>
      </c>
      <c r="M112" s="1387"/>
    </row>
    <row r="113" spans="2:18" ht="15" customHeight="1">
      <c r="B113" s="186"/>
      <c r="C113" s="40"/>
      <c r="D113" s="1196" t="s">
        <v>559</v>
      </c>
      <c r="E113" s="1390">
        <v>0</v>
      </c>
      <c r="F113" s="1390">
        <v>0</v>
      </c>
      <c r="G113" s="1390">
        <v>6.7063461613096467E-2</v>
      </c>
      <c r="H113" s="1390">
        <v>0.13412692322619293</v>
      </c>
      <c r="I113" s="1390">
        <v>0.14380081458250477</v>
      </c>
      <c r="J113" s="1390">
        <v>0.1583116516169725</v>
      </c>
      <c r="K113" s="1390">
        <v>0.16919477939282329</v>
      </c>
      <c r="L113" s="1390">
        <v>0.17282248865144023</v>
      </c>
      <c r="M113" s="1387"/>
    </row>
    <row r="114" spans="2:18" ht="15" customHeight="1">
      <c r="B114" s="186"/>
      <c r="C114" s="40"/>
      <c r="D114" s="1196" t="s">
        <v>560</v>
      </c>
      <c r="E114" s="1390">
        <v>0</v>
      </c>
      <c r="F114" s="1390">
        <v>0</v>
      </c>
      <c r="G114" s="1390">
        <v>5.0365546268614766E-2</v>
      </c>
      <c r="H114" s="1390">
        <v>0.10073109253722953</v>
      </c>
      <c r="I114" s="1390">
        <v>0.10838978715929917</v>
      </c>
      <c r="J114" s="1390">
        <v>0.11987782909240365</v>
      </c>
      <c r="K114" s="1390">
        <v>0.128493860542232</v>
      </c>
      <c r="L114" s="1390">
        <v>0.13136587102550812</v>
      </c>
      <c r="M114" s="1387"/>
    </row>
    <row r="115" spans="2:18" ht="15" customHeight="1">
      <c r="B115" s="186"/>
      <c r="C115" s="40"/>
      <c r="D115" s="1196" t="s">
        <v>561</v>
      </c>
      <c r="E115" s="1390">
        <v>0</v>
      </c>
      <c r="F115" s="1390">
        <v>0</v>
      </c>
      <c r="G115" s="1390">
        <v>6.9075543320558583E-2</v>
      </c>
      <c r="H115" s="1390">
        <v>0.13815108664111717</v>
      </c>
      <c r="I115" s="1390">
        <v>0.14580025759567403</v>
      </c>
      <c r="J115" s="1390">
        <v>0.15727401402750935</v>
      </c>
      <c r="K115" s="1390">
        <v>0.16587933135138583</v>
      </c>
      <c r="L115" s="1390">
        <v>0.16874777045934464</v>
      </c>
      <c r="M115" s="1387"/>
    </row>
    <row r="116" spans="2:18" ht="15" customHeight="1">
      <c r="B116" s="186"/>
      <c r="C116" s="40"/>
      <c r="D116" s="1196" t="s">
        <v>918</v>
      </c>
      <c r="E116" s="1390">
        <v>0</v>
      </c>
      <c r="F116" s="1390">
        <v>0</v>
      </c>
      <c r="G116" s="1390">
        <v>5.7716109911218165E-2</v>
      </c>
      <c r="H116" s="1390">
        <v>0.11543221982243633</v>
      </c>
      <c r="I116" s="1390">
        <v>0.12502416174170394</v>
      </c>
      <c r="J116" s="1390">
        <v>0.13941207462060537</v>
      </c>
      <c r="K116" s="1390">
        <v>0.15020300927978145</v>
      </c>
      <c r="L116" s="1390">
        <v>0.1537999874995068</v>
      </c>
      <c r="M116" s="1387"/>
    </row>
    <row r="117" spans="2:18" ht="15" customHeight="1">
      <c r="B117" s="186"/>
      <c r="C117" s="40"/>
      <c r="D117" s="1196" t="s">
        <v>564</v>
      </c>
      <c r="E117" s="1390">
        <v>0</v>
      </c>
      <c r="F117" s="1390">
        <v>0</v>
      </c>
      <c r="G117" s="1390">
        <v>4.4966492277058222E-3</v>
      </c>
      <c r="H117" s="1390">
        <v>8.9932984554116444E-3</v>
      </c>
      <c r="I117" s="1390">
        <v>1.0907446709435558E-2</v>
      </c>
      <c r="J117" s="1390">
        <v>1.3778669090471429E-2</v>
      </c>
      <c r="K117" s="1390">
        <v>1.5932085876248333E-2</v>
      </c>
      <c r="L117" s="1896">
        <v>1.6649891471507302E-2</v>
      </c>
      <c r="M117" s="1387"/>
    </row>
    <row r="118" spans="2:18" ht="15" customHeight="1">
      <c r="B118" s="186"/>
      <c r="C118" s="40"/>
      <c r="D118" s="1400"/>
      <c r="E118" s="1401"/>
      <c r="F118" s="1402"/>
      <c r="G118" s="1402"/>
      <c r="H118" s="1402"/>
      <c r="I118" s="1401"/>
      <c r="J118" s="1402"/>
      <c r="K118" s="1402"/>
      <c r="L118" s="282"/>
      <c r="M118" s="1387"/>
    </row>
    <row r="119" spans="2:18" ht="15" customHeight="1">
      <c r="B119" s="186"/>
      <c r="C119" s="40"/>
      <c r="D119" s="1916"/>
      <c r="E119" s="360"/>
      <c r="F119" s="1917"/>
      <c r="G119" s="1918"/>
      <c r="H119" s="1919"/>
      <c r="I119" s="1919"/>
      <c r="J119" s="1919"/>
      <c r="K119" s="1919"/>
      <c r="L119" s="282"/>
      <c r="M119" s="1387"/>
    </row>
    <row r="120" spans="2:18" ht="15" customHeight="1">
      <c r="B120" s="186"/>
      <c r="C120" s="40"/>
      <c r="D120" s="907" t="s">
        <v>1731</v>
      </c>
      <c r="E120" s="360"/>
      <c r="F120" s="1917"/>
      <c r="G120" s="1918"/>
      <c r="H120" s="1919"/>
      <c r="I120" s="1919"/>
      <c r="J120" s="1919"/>
      <c r="K120" s="1919"/>
      <c r="L120" s="282"/>
      <c r="M120" s="1387"/>
    </row>
    <row r="121" spans="2:18" ht="15" customHeight="1">
      <c r="B121" s="186"/>
      <c r="C121" s="40"/>
      <c r="D121" s="528" t="s">
        <v>588</v>
      </c>
      <c r="E121" s="1920">
        <v>2018</v>
      </c>
      <c r="F121" s="1920">
        <v>2020</v>
      </c>
      <c r="G121" s="1920">
        <v>2025</v>
      </c>
      <c r="H121" s="1920">
        <v>2030</v>
      </c>
      <c r="I121" s="1920">
        <v>2035</v>
      </c>
      <c r="J121" s="1920">
        <v>2040</v>
      </c>
      <c r="K121" s="1920">
        <v>2045</v>
      </c>
      <c r="L121" s="1920">
        <v>2050</v>
      </c>
      <c r="M121" s="1387"/>
    </row>
    <row r="122" spans="2:18" ht="15" customHeight="1">
      <c r="B122" s="186"/>
      <c r="C122" s="40"/>
      <c r="D122" s="1196" t="s">
        <v>917</v>
      </c>
      <c r="E122" s="1390">
        <v>0</v>
      </c>
      <c r="F122" s="1390">
        <v>0</v>
      </c>
      <c r="G122" s="1390">
        <v>8.9450415453014132E-2</v>
      </c>
      <c r="H122" s="1390">
        <v>0.17890083090602826</v>
      </c>
      <c r="I122" s="1390">
        <v>0.17890083090602826</v>
      </c>
      <c r="J122" s="1390">
        <v>0.17890083090602826</v>
      </c>
      <c r="K122" s="1390">
        <v>0.17890083090602826</v>
      </c>
      <c r="L122" s="1390">
        <v>0.17890083090602826</v>
      </c>
      <c r="M122" s="1387"/>
    </row>
    <row r="123" spans="2:18" ht="15" customHeight="1">
      <c r="B123" s="186"/>
      <c r="C123" s="40"/>
      <c r="D123" s="1196" t="s">
        <v>558</v>
      </c>
      <c r="E123" s="1390">
        <v>0</v>
      </c>
      <c r="F123" s="1390">
        <v>0</v>
      </c>
      <c r="G123" s="1390">
        <v>7.7405230488092919E-2</v>
      </c>
      <c r="H123" s="1390">
        <v>0.15481046097618584</v>
      </c>
      <c r="I123" s="1390">
        <v>0.15481046097618584</v>
      </c>
      <c r="J123" s="1390">
        <v>0.15481046097618584</v>
      </c>
      <c r="K123" s="1390">
        <v>0.15481046097618584</v>
      </c>
      <c r="L123" s="1390">
        <v>0.15481046097618584</v>
      </c>
      <c r="M123" s="1387"/>
    </row>
    <row r="124" spans="2:18" ht="15" customHeight="1">
      <c r="B124" s="186"/>
      <c r="C124" s="40"/>
      <c r="D124" s="1196" t="s">
        <v>559</v>
      </c>
      <c r="E124" s="1390">
        <v>0</v>
      </c>
      <c r="F124" s="1390">
        <v>0</v>
      </c>
      <c r="G124" s="1390">
        <v>8.6411244325720116E-2</v>
      </c>
      <c r="H124" s="1390">
        <v>0.17282248865144023</v>
      </c>
      <c r="I124" s="1390">
        <v>0.17282248865144023</v>
      </c>
      <c r="J124" s="1390">
        <v>0.17282248865144023</v>
      </c>
      <c r="K124" s="1390">
        <v>0.17282248865144023</v>
      </c>
      <c r="L124" s="1390">
        <v>0.17282248865144023</v>
      </c>
      <c r="M124" s="1387"/>
    </row>
    <row r="125" spans="2:18" ht="15" customHeight="1">
      <c r="B125" s="186"/>
      <c r="C125" s="40"/>
      <c r="D125" s="1196" t="s">
        <v>560</v>
      </c>
      <c r="E125" s="1390">
        <v>0</v>
      </c>
      <c r="F125" s="1390">
        <v>0</v>
      </c>
      <c r="G125" s="1390">
        <v>6.5682935512754059E-2</v>
      </c>
      <c r="H125" s="1390">
        <v>0.13136587102550812</v>
      </c>
      <c r="I125" s="1390">
        <v>0.13136587102550812</v>
      </c>
      <c r="J125" s="1390">
        <v>0.13136587102550812</v>
      </c>
      <c r="K125" s="1390">
        <v>0.13136587102550812</v>
      </c>
      <c r="L125" s="1390">
        <v>0.13136587102550812</v>
      </c>
      <c r="M125" s="1387"/>
    </row>
    <row r="126" spans="2:18" ht="15" customHeight="1">
      <c r="B126" s="186"/>
      <c r="C126" s="40"/>
      <c r="D126" s="1196" t="s">
        <v>561</v>
      </c>
      <c r="E126" s="1390">
        <v>0</v>
      </c>
      <c r="F126" s="1390">
        <v>0</v>
      </c>
      <c r="G126" s="1390">
        <v>8.4373885229672319E-2</v>
      </c>
      <c r="H126" s="1390">
        <v>0.16874777045934464</v>
      </c>
      <c r="I126" s="1390">
        <v>0.16874777045934464</v>
      </c>
      <c r="J126" s="1390">
        <v>0.16874777045934464</v>
      </c>
      <c r="K126" s="1390">
        <v>0.16874777045934464</v>
      </c>
      <c r="L126" s="1390">
        <v>0.16874777045934464</v>
      </c>
      <c r="M126" s="1387"/>
      <c r="R126" s="1385"/>
    </row>
    <row r="127" spans="2:18" ht="15" customHeight="1">
      <c r="B127" s="186"/>
      <c r="C127" s="40"/>
      <c r="D127" s="1196" t="s">
        <v>918</v>
      </c>
      <c r="E127" s="1390">
        <v>0</v>
      </c>
      <c r="F127" s="1390">
        <v>0</v>
      </c>
      <c r="G127" s="1390">
        <v>7.6899993749753398E-2</v>
      </c>
      <c r="H127" s="1390">
        <v>0.1537999874995068</v>
      </c>
      <c r="I127" s="1390">
        <v>0.1537999874995068</v>
      </c>
      <c r="J127" s="1390">
        <v>0.1537999874995068</v>
      </c>
      <c r="K127" s="1390">
        <v>0.1537999874995068</v>
      </c>
      <c r="L127" s="1390">
        <v>0.1537999874995068</v>
      </c>
      <c r="M127" s="1387"/>
    </row>
    <row r="128" spans="2:18" ht="15" customHeight="1">
      <c r="B128" s="186"/>
      <c r="C128" s="40"/>
      <c r="D128" s="1642" t="s">
        <v>564</v>
      </c>
      <c r="E128" s="1896">
        <v>0</v>
      </c>
      <c r="F128" s="1896">
        <v>0</v>
      </c>
      <c r="G128" s="1896">
        <v>8.324945735753651E-3</v>
      </c>
      <c r="H128" s="1896">
        <v>1.6649891471507302E-2</v>
      </c>
      <c r="I128" s="1896">
        <v>1.6649891471507302E-2</v>
      </c>
      <c r="J128" s="1896">
        <v>1.6649891471507302E-2</v>
      </c>
      <c r="K128" s="1896">
        <v>1.6649891471507302E-2</v>
      </c>
      <c r="L128" s="1896">
        <v>1.6649891471507302E-2</v>
      </c>
      <c r="M128" s="1387"/>
    </row>
    <row r="129" spans="2:13" ht="15" customHeight="1">
      <c r="B129" s="1921"/>
      <c r="C129" s="40"/>
      <c r="D129" s="1388"/>
      <c r="E129" s="1389"/>
      <c r="F129" s="1389"/>
      <c r="G129" s="1389"/>
      <c r="H129" s="1389"/>
      <c r="I129" s="1389"/>
      <c r="J129" s="1389"/>
      <c r="K129" s="1389"/>
      <c r="L129" s="1389"/>
      <c r="M129" s="1387"/>
    </row>
    <row r="130" spans="2:13" ht="15" customHeight="1">
      <c r="B130" s="186"/>
      <c r="C130" s="40"/>
      <c r="D130" s="1493" t="s">
        <v>1762</v>
      </c>
      <c r="E130" s="1905"/>
      <c r="F130" s="1906"/>
      <c r="G130" s="1907"/>
      <c r="H130" s="1908"/>
      <c r="I130" s="1909"/>
      <c r="J130" s="1909"/>
      <c r="K130" s="1909"/>
      <c r="L130" s="1910"/>
      <c r="M130" s="1387"/>
    </row>
    <row r="131" spans="2:13" ht="15" customHeight="1">
      <c r="B131" s="186"/>
      <c r="C131" s="40"/>
      <c r="D131" s="12"/>
      <c r="E131" s="1389"/>
      <c r="F131" s="1390"/>
      <c r="G131" s="1390"/>
      <c r="H131" s="1390"/>
      <c r="I131" s="516"/>
      <c r="J131" s="516"/>
      <c r="K131" s="516"/>
      <c r="L131" s="516"/>
      <c r="M131" s="1387"/>
    </row>
    <row r="132" spans="2:13" ht="15" customHeight="1">
      <c r="B132" s="186"/>
      <c r="C132" s="40"/>
      <c r="D132" s="12"/>
      <c r="E132" s="1389"/>
      <c r="F132" s="1390"/>
      <c r="G132" s="1390"/>
      <c r="H132" s="1390"/>
      <c r="I132" s="516"/>
      <c r="J132" s="516"/>
      <c r="K132" s="516"/>
      <c r="L132" s="1874" t="s">
        <v>788</v>
      </c>
      <c r="M132" s="1387"/>
    </row>
    <row r="133" spans="2:13" ht="15" customHeight="1">
      <c r="B133" s="186"/>
      <c r="C133" s="40"/>
      <c r="D133" s="28" t="s">
        <v>879</v>
      </c>
      <c r="E133" s="89">
        <v>2018</v>
      </c>
      <c r="F133" s="89">
        <v>2020</v>
      </c>
      <c r="G133" s="89">
        <v>2025</v>
      </c>
      <c r="H133" s="89">
        <v>2030</v>
      </c>
      <c r="I133" s="89">
        <v>2035</v>
      </c>
      <c r="J133" s="89">
        <v>2040</v>
      </c>
      <c r="K133" s="89">
        <v>2045</v>
      </c>
      <c r="L133" s="89">
        <v>2050</v>
      </c>
      <c r="M133" s="1387"/>
    </row>
    <row r="134" spans="2:13" ht="15" customHeight="1">
      <c r="B134" s="186"/>
      <c r="C134" s="40"/>
      <c r="D134" s="1875">
        <v>1</v>
      </c>
      <c r="E134" s="1390">
        <v>0</v>
      </c>
      <c r="F134" s="1390">
        <v>0</v>
      </c>
      <c r="G134" s="1390">
        <v>0</v>
      </c>
      <c r="H134" s="1390">
        <v>0</v>
      </c>
      <c r="I134" s="1390">
        <v>0</v>
      </c>
      <c r="J134" s="1390">
        <v>0</v>
      </c>
      <c r="K134" s="1390">
        <v>0</v>
      </c>
      <c r="L134" s="1390">
        <v>0</v>
      </c>
      <c r="M134" s="1387"/>
    </row>
    <row r="135" spans="2:13" ht="15" customHeight="1">
      <c r="B135" s="186"/>
      <c r="C135" s="40"/>
      <c r="D135" s="259">
        <v>2</v>
      </c>
      <c r="E135" s="1390">
        <v>0</v>
      </c>
      <c r="F135" s="1390">
        <v>0</v>
      </c>
      <c r="G135" s="1390">
        <v>2.4311010047637735E-2</v>
      </c>
      <c r="H135" s="1390">
        <v>4.8622020095275498E-2</v>
      </c>
      <c r="I135" s="1390">
        <v>7.2933030142913247E-2</v>
      </c>
      <c r="J135" s="1390">
        <v>9.7244040190550995E-2</v>
      </c>
      <c r="K135" s="1390">
        <v>0.12155505023818874</v>
      </c>
      <c r="L135" s="1390">
        <v>0.14586606028582649</v>
      </c>
      <c r="M135" s="1387"/>
    </row>
    <row r="136" spans="2:13" ht="15" customHeight="1">
      <c r="B136" s="186"/>
      <c r="C136" s="40"/>
      <c r="D136" s="259">
        <v>3</v>
      </c>
      <c r="E136" s="2046">
        <v>0</v>
      </c>
      <c r="F136" s="2046">
        <v>0</v>
      </c>
      <c r="G136" s="2046">
        <v>7.2933030142913247E-2</v>
      </c>
      <c r="H136" s="2046">
        <v>0.14586606028582649</v>
      </c>
      <c r="I136" s="2046">
        <v>0.15412475294087694</v>
      </c>
      <c r="J136" s="2046">
        <v>0.16651279192345259</v>
      </c>
      <c r="K136" s="2046">
        <v>0.17580382116038434</v>
      </c>
      <c r="L136" s="2046">
        <v>0.17890083090602826</v>
      </c>
      <c r="M136" s="1387"/>
    </row>
    <row r="137" spans="2:13" ht="15" customHeight="1">
      <c r="B137" s="186"/>
      <c r="C137" s="40"/>
      <c r="D137" s="1873">
        <v>4</v>
      </c>
      <c r="E137" s="1896">
        <v>0</v>
      </c>
      <c r="F137" s="1896">
        <v>0</v>
      </c>
      <c r="G137" s="1896">
        <v>8.9450415453014132E-2</v>
      </c>
      <c r="H137" s="1896">
        <v>0.17890083090602826</v>
      </c>
      <c r="I137" s="1896">
        <v>0.17890083090602826</v>
      </c>
      <c r="J137" s="1896">
        <v>0.17890083090602826</v>
      </c>
      <c r="K137" s="1896">
        <v>0.17890083090602826</v>
      </c>
      <c r="L137" s="1896">
        <v>0.17890083090602826</v>
      </c>
      <c r="M137" s="1387"/>
    </row>
    <row r="138" spans="2:13" ht="15" customHeight="1">
      <c r="B138" s="186"/>
      <c r="C138" s="40"/>
      <c r="D138" s="1388"/>
      <c r="E138" s="1389"/>
      <c r="F138" s="1389"/>
      <c r="G138" s="1389"/>
      <c r="H138" s="1389"/>
      <c r="I138" s="1389"/>
      <c r="J138" s="1389"/>
      <c r="K138" s="1389"/>
      <c r="L138" s="1389"/>
      <c r="M138" s="1387"/>
    </row>
    <row r="139" spans="2:13" ht="15" customHeight="1">
      <c r="B139" s="186"/>
      <c r="C139" s="272"/>
      <c r="D139" s="2782" t="s">
        <v>1160</v>
      </c>
      <c r="E139" s="1922"/>
      <c r="F139" s="1923"/>
      <c r="G139" s="1924"/>
      <c r="H139" s="1909"/>
      <c r="I139" s="1909"/>
      <c r="J139" s="1909"/>
      <c r="K139" s="1909"/>
      <c r="L139" s="1910"/>
      <c r="M139" s="1387"/>
    </row>
    <row r="140" spans="2:13" ht="15" customHeight="1">
      <c r="B140" s="186"/>
      <c r="C140" s="282"/>
      <c r="D140" s="1387"/>
      <c r="E140" s="1387"/>
      <c r="F140" s="1387"/>
      <c r="G140" s="1387"/>
      <c r="H140" s="1387"/>
      <c r="I140" s="1387"/>
      <c r="J140" s="1387"/>
      <c r="K140" s="1387"/>
      <c r="L140" s="1387"/>
      <c r="M140" s="1387"/>
    </row>
    <row r="141" spans="2:13" ht="15" customHeight="1">
      <c r="B141" s="186"/>
      <c r="C141" s="272"/>
      <c r="D141" s="1876" t="s">
        <v>1726</v>
      </c>
      <c r="E141" s="1388"/>
      <c r="F141" s="1391"/>
      <c r="G141" s="1391"/>
      <c r="H141" s="1391"/>
      <c r="I141" s="1391"/>
      <c r="J141" s="1391"/>
      <c r="K141" s="1391"/>
      <c r="L141" s="1391"/>
      <c r="M141" s="1391"/>
    </row>
    <row r="142" spans="2:13" ht="15" customHeight="1">
      <c r="B142" s="186"/>
      <c r="C142" s="272"/>
      <c r="D142" s="1925" t="s">
        <v>588</v>
      </c>
      <c r="E142" s="89">
        <v>2018</v>
      </c>
      <c r="F142" s="89">
        <v>2020</v>
      </c>
      <c r="G142" s="89">
        <v>2025</v>
      </c>
      <c r="H142" s="89">
        <v>2030</v>
      </c>
      <c r="I142" s="89">
        <v>2035</v>
      </c>
      <c r="J142" s="89">
        <v>2040</v>
      </c>
      <c r="K142" s="89">
        <v>2045</v>
      </c>
      <c r="L142" s="89">
        <v>2050</v>
      </c>
      <c r="M142" s="1391"/>
    </row>
    <row r="143" spans="2:13" ht="15" customHeight="1">
      <c r="B143" s="186"/>
      <c r="C143" s="272"/>
      <c r="D143" s="1196" t="s">
        <v>1763</v>
      </c>
      <c r="E143" s="1415">
        <v>0</v>
      </c>
      <c r="F143" s="1415">
        <v>0</v>
      </c>
      <c r="G143" s="1415">
        <v>0</v>
      </c>
      <c r="H143" s="1415">
        <v>0</v>
      </c>
      <c r="I143" s="1415">
        <v>0</v>
      </c>
      <c r="J143" s="1415">
        <v>0</v>
      </c>
      <c r="K143" s="1415">
        <v>0</v>
      </c>
      <c r="L143" s="1415">
        <v>0</v>
      </c>
      <c r="M143" s="1391"/>
    </row>
    <row r="144" spans="2:13" ht="15" customHeight="1">
      <c r="B144" s="186"/>
      <c r="C144" s="272"/>
      <c r="D144" s="1196" t="s">
        <v>1764</v>
      </c>
      <c r="E144" s="1415">
        <v>0</v>
      </c>
      <c r="F144" s="1415">
        <v>0</v>
      </c>
      <c r="G144" s="1415">
        <v>0</v>
      </c>
      <c r="H144" s="1415">
        <v>0</v>
      </c>
      <c r="I144" s="1415">
        <v>0</v>
      </c>
      <c r="J144" s="1415">
        <v>0</v>
      </c>
      <c r="K144" s="1415">
        <v>0</v>
      </c>
      <c r="L144" s="1415">
        <v>0</v>
      </c>
      <c r="M144" s="1391"/>
    </row>
    <row r="145" spans="2:13" ht="15" customHeight="1">
      <c r="B145" s="1921"/>
      <c r="C145" s="272"/>
      <c r="D145" s="1196" t="s">
        <v>1765</v>
      </c>
      <c r="E145" s="1415">
        <v>0</v>
      </c>
      <c r="F145" s="1415">
        <v>0</v>
      </c>
      <c r="G145" s="1415">
        <v>0</v>
      </c>
      <c r="H145" s="1415">
        <v>0</v>
      </c>
      <c r="I145" s="1415">
        <v>0</v>
      </c>
      <c r="J145" s="1415">
        <v>0</v>
      </c>
      <c r="K145" s="1415">
        <v>0</v>
      </c>
      <c r="L145" s="1415">
        <v>0</v>
      </c>
      <c r="M145" s="1391"/>
    </row>
    <row r="146" spans="2:13" ht="15" customHeight="1">
      <c r="B146" s="1921"/>
      <c r="C146" s="272"/>
      <c r="D146" s="1196" t="s">
        <v>1766</v>
      </c>
      <c r="E146" s="1415">
        <v>0</v>
      </c>
      <c r="F146" s="1415">
        <v>0</v>
      </c>
      <c r="G146" s="1415">
        <v>0</v>
      </c>
      <c r="H146" s="1415">
        <v>0</v>
      </c>
      <c r="I146" s="1415">
        <v>0</v>
      </c>
      <c r="J146" s="1415">
        <v>0</v>
      </c>
      <c r="K146" s="1415">
        <v>0</v>
      </c>
      <c r="L146" s="1415">
        <v>0</v>
      </c>
      <c r="M146" s="1391"/>
    </row>
    <row r="147" spans="2:13" ht="15" customHeight="1">
      <c r="B147" s="1921"/>
      <c r="C147" s="272"/>
      <c r="D147" s="1196" t="s">
        <v>1767</v>
      </c>
      <c r="E147" s="1415">
        <v>0</v>
      </c>
      <c r="F147" s="1415">
        <v>0</v>
      </c>
      <c r="G147" s="1415">
        <v>0</v>
      </c>
      <c r="H147" s="1415">
        <v>0</v>
      </c>
      <c r="I147" s="1415">
        <v>0</v>
      </c>
      <c r="J147" s="1415">
        <v>0</v>
      </c>
      <c r="K147" s="1415">
        <v>0</v>
      </c>
      <c r="L147" s="1415">
        <v>0</v>
      </c>
      <c r="M147" s="1391"/>
    </row>
    <row r="148" spans="2:13" ht="15" customHeight="1">
      <c r="B148" s="1921"/>
      <c r="C148" s="40"/>
      <c r="D148" s="1641" t="s">
        <v>564</v>
      </c>
      <c r="E148" s="1894">
        <v>0</v>
      </c>
      <c r="F148" s="1894">
        <v>0</v>
      </c>
      <c r="G148" s="1894">
        <v>0</v>
      </c>
      <c r="H148" s="1894">
        <v>0</v>
      </c>
      <c r="I148" s="1894">
        <v>0</v>
      </c>
      <c r="J148" s="1894">
        <v>0</v>
      </c>
      <c r="K148" s="1894">
        <v>0</v>
      </c>
      <c r="L148" s="1894">
        <v>0</v>
      </c>
      <c r="M148" s="1391"/>
    </row>
    <row r="149" spans="2:13" ht="15" customHeight="1">
      <c r="B149" s="1921"/>
      <c r="C149" s="40"/>
      <c r="D149" s="1413"/>
      <c r="E149" s="1413"/>
      <c r="F149" s="1391"/>
      <c r="G149" s="1391"/>
      <c r="H149" s="1391"/>
      <c r="I149" s="1391"/>
      <c r="J149" s="1391"/>
      <c r="K149" s="1391"/>
      <c r="L149" s="1391"/>
      <c r="M149" s="1391"/>
    </row>
    <row r="150" spans="2:13" ht="15" customHeight="1">
      <c r="B150" s="1921"/>
      <c r="C150" s="40"/>
      <c r="D150" s="1829" t="s">
        <v>1729</v>
      </c>
      <c r="E150" s="1413"/>
      <c r="F150" s="1391"/>
      <c r="G150" s="1391"/>
      <c r="H150" s="1391"/>
      <c r="I150" s="1391"/>
      <c r="J150" s="1391"/>
      <c r="K150" s="1391"/>
      <c r="L150" s="1391"/>
      <c r="M150" s="1391"/>
    </row>
    <row r="151" spans="2:13" ht="15" customHeight="1">
      <c r="B151" s="1921"/>
      <c r="C151" s="272"/>
      <c r="D151" s="1925" t="s">
        <v>588</v>
      </c>
      <c r="E151" s="89">
        <v>2018</v>
      </c>
      <c r="F151" s="89">
        <v>2020</v>
      </c>
      <c r="G151" s="89">
        <v>2025</v>
      </c>
      <c r="H151" s="89">
        <v>2030</v>
      </c>
      <c r="I151" s="89">
        <v>2035</v>
      </c>
      <c r="J151" s="89">
        <v>2040</v>
      </c>
      <c r="K151" s="89">
        <v>2045</v>
      </c>
      <c r="L151" s="89">
        <v>2050</v>
      </c>
      <c r="M151" s="1391"/>
    </row>
    <row r="152" spans="2:13" ht="15" customHeight="1">
      <c r="B152" s="1921"/>
      <c r="C152" s="272"/>
      <c r="D152" s="1196" t="s">
        <v>1763</v>
      </c>
      <c r="E152" s="3350">
        <v>0</v>
      </c>
      <c r="F152" s="3350">
        <v>0</v>
      </c>
      <c r="G152" s="3350">
        <v>0.05</v>
      </c>
      <c r="H152" s="3350">
        <v>0.1</v>
      </c>
      <c r="I152" s="3350">
        <f>$H$152+(($H$152-$E$152)/($H$151-$E$151))*(I151-$H$151)</f>
        <v>0.14166666666666666</v>
      </c>
      <c r="J152" s="3350">
        <f>$H$152+(($H$152-$E$152)/($H$151-$E$151))*(J151-$H$151)</f>
        <v>0.18333333333333335</v>
      </c>
      <c r="K152" s="3350">
        <f>$H$152+(($H$152-$E$152)/($H$151-$E$151))*(K151-$H$151)</f>
        <v>0.22500000000000001</v>
      </c>
      <c r="L152" s="3350">
        <f>$H$152+(($H$152-$E$152)/($H$151-$E$151))*(L151-$H$151)</f>
        <v>0.26666666666666666</v>
      </c>
      <c r="M152" s="1391"/>
    </row>
    <row r="153" spans="2:13" ht="15" customHeight="1">
      <c r="B153" s="1921"/>
      <c r="C153" s="272"/>
      <c r="D153" s="1196" t="s">
        <v>1764</v>
      </c>
      <c r="E153" s="3351">
        <v>0</v>
      </c>
      <c r="F153" s="3351">
        <v>0</v>
      </c>
      <c r="G153" s="3351">
        <v>0.05</v>
      </c>
      <c r="H153" s="3351">
        <v>0.1</v>
      </c>
      <c r="I153" s="3351">
        <v>0.14166666666666666</v>
      </c>
      <c r="J153" s="3351">
        <v>0.18333333333333335</v>
      </c>
      <c r="K153" s="3351">
        <v>0.22500000000000001</v>
      </c>
      <c r="L153" s="3351">
        <v>0.26666666666666666</v>
      </c>
      <c r="M153" s="1391"/>
    </row>
    <row r="154" spans="2:13" ht="15" customHeight="1">
      <c r="B154" s="186"/>
      <c r="C154" s="272"/>
      <c r="D154" s="1196" t="s">
        <v>1765</v>
      </c>
      <c r="E154" s="3351">
        <v>0</v>
      </c>
      <c r="F154" s="3351">
        <v>0</v>
      </c>
      <c r="G154" s="3351">
        <v>0.05</v>
      </c>
      <c r="H154" s="3351">
        <v>0.1</v>
      </c>
      <c r="I154" s="3351">
        <v>0.14166666666666666</v>
      </c>
      <c r="J154" s="3351">
        <v>0.18333333333333335</v>
      </c>
      <c r="K154" s="3351">
        <v>0.22500000000000001</v>
      </c>
      <c r="L154" s="3351">
        <v>0.26666666666666666</v>
      </c>
      <c r="M154" s="1391"/>
    </row>
    <row r="155" spans="2:13" ht="15" customHeight="1">
      <c r="B155" s="186"/>
      <c r="C155" s="272"/>
      <c r="D155" s="1196" t="s">
        <v>1766</v>
      </c>
      <c r="E155" s="3351">
        <v>0</v>
      </c>
      <c r="F155" s="3351">
        <v>0</v>
      </c>
      <c r="G155" s="3351">
        <v>0.05</v>
      </c>
      <c r="H155" s="3351">
        <v>0.1</v>
      </c>
      <c r="I155" s="3351">
        <v>0.14166666666666666</v>
      </c>
      <c r="J155" s="3351">
        <v>0.18333333333333335</v>
      </c>
      <c r="K155" s="3351">
        <v>0.22500000000000001</v>
      </c>
      <c r="L155" s="3351">
        <v>0.26666666666666666</v>
      </c>
      <c r="M155" s="1391"/>
    </row>
    <row r="156" spans="2:13" ht="15" customHeight="1">
      <c r="B156" s="186"/>
      <c r="C156" s="272"/>
      <c r="D156" s="1196" t="s">
        <v>1767</v>
      </c>
      <c r="E156" s="3351">
        <v>0</v>
      </c>
      <c r="F156" s="3351">
        <v>0</v>
      </c>
      <c r="G156" s="3351">
        <v>0.05</v>
      </c>
      <c r="H156" s="3351">
        <v>0.1</v>
      </c>
      <c r="I156" s="3351">
        <v>0.14166666666666666</v>
      </c>
      <c r="J156" s="3351">
        <v>0.18333333333333335</v>
      </c>
      <c r="K156" s="3351">
        <v>0.22500000000000001</v>
      </c>
      <c r="L156" s="3351">
        <v>0.26666666666666666</v>
      </c>
      <c r="M156" s="1391"/>
    </row>
    <row r="157" spans="2:13" ht="15" customHeight="1">
      <c r="B157" s="1921"/>
      <c r="C157" s="40"/>
      <c r="D157" s="1641" t="s">
        <v>564</v>
      </c>
      <c r="E157" s="3352">
        <v>0</v>
      </c>
      <c r="F157" s="3352">
        <v>0</v>
      </c>
      <c r="G157" s="3352">
        <v>0.05</v>
      </c>
      <c r="H157" s="3352">
        <v>0.1</v>
      </c>
      <c r="I157" s="3352">
        <v>0.14166666666666666</v>
      </c>
      <c r="J157" s="3352">
        <v>0.18333333333333335</v>
      </c>
      <c r="K157" s="3352">
        <v>0.22500000000000001</v>
      </c>
      <c r="L157" s="3352">
        <v>0.26666666666666666</v>
      </c>
      <c r="M157" s="1391"/>
    </row>
    <row r="158" spans="2:13" ht="15" customHeight="1">
      <c r="B158" s="1921"/>
      <c r="C158" s="40"/>
      <c r="D158" s="1413"/>
      <c r="E158" s="1413"/>
      <c r="F158" s="1391"/>
      <c r="G158" s="1391"/>
      <c r="H158" s="1391"/>
      <c r="I158" s="1391"/>
      <c r="J158" s="1391"/>
      <c r="K158" s="1391"/>
      <c r="L158" s="1391"/>
      <c r="M158" s="1391"/>
    </row>
    <row r="159" spans="2:13" ht="15" customHeight="1">
      <c r="B159" s="1921"/>
      <c r="C159" s="272"/>
      <c r="D159" s="1876" t="s">
        <v>1730</v>
      </c>
      <c r="E159" s="1196"/>
      <c r="F159" s="1391"/>
      <c r="G159" s="1391"/>
      <c r="H159" s="1391"/>
      <c r="I159" s="1391"/>
      <c r="J159" s="1391"/>
      <c r="K159" s="1391"/>
      <c r="L159" s="1391"/>
      <c r="M159" s="1391"/>
    </row>
    <row r="160" spans="2:13" ht="15" customHeight="1">
      <c r="B160" s="1921"/>
      <c r="C160" s="272"/>
      <c r="D160" s="1925" t="s">
        <v>588</v>
      </c>
      <c r="E160" s="89">
        <v>2018</v>
      </c>
      <c r="F160" s="89">
        <v>2020</v>
      </c>
      <c r="G160" s="89">
        <v>2025</v>
      </c>
      <c r="H160" s="89">
        <v>2030</v>
      </c>
      <c r="I160" s="89">
        <v>2035</v>
      </c>
      <c r="J160" s="89">
        <v>2040</v>
      </c>
      <c r="K160" s="89">
        <v>2045</v>
      </c>
      <c r="L160" s="89">
        <v>2050</v>
      </c>
      <c r="M160" s="1391"/>
    </row>
    <row r="161" spans="2:13" ht="15" customHeight="1">
      <c r="B161" s="1921"/>
      <c r="C161" s="272"/>
      <c r="D161" s="1196" t="s">
        <v>1763</v>
      </c>
      <c r="E161" s="3350">
        <v>0</v>
      </c>
      <c r="F161" s="3350">
        <v>0</v>
      </c>
      <c r="G161" s="3350">
        <v>0.05</v>
      </c>
      <c r="H161" s="3350">
        <v>0.1</v>
      </c>
      <c r="I161" s="3350">
        <f t="shared" ref="I161:L166" si="8">(I170+I152)/2</f>
        <v>0.22083333333333333</v>
      </c>
      <c r="J161" s="3350">
        <f t="shared" si="8"/>
        <v>0.34166666666666667</v>
      </c>
      <c r="K161" s="3350">
        <f t="shared" si="8"/>
        <v>0.51250000000000007</v>
      </c>
      <c r="L161" s="3350">
        <f t="shared" si="8"/>
        <v>0.6333333333333333</v>
      </c>
      <c r="M161" s="1391"/>
    </row>
    <row r="162" spans="2:13" ht="15" customHeight="1">
      <c r="B162" s="1921"/>
      <c r="C162" s="272"/>
      <c r="D162" s="1196" t="s">
        <v>1764</v>
      </c>
      <c r="E162" s="3353">
        <v>0</v>
      </c>
      <c r="F162" s="3353">
        <v>0</v>
      </c>
      <c r="G162" s="3353">
        <v>0.05</v>
      </c>
      <c r="H162" s="3353">
        <v>0.1</v>
      </c>
      <c r="I162" s="3353">
        <f t="shared" si="8"/>
        <v>0.22083333333333333</v>
      </c>
      <c r="J162" s="3353">
        <f t="shared" si="8"/>
        <v>0.34166666666666667</v>
      </c>
      <c r="K162" s="3353">
        <f t="shared" si="8"/>
        <v>0.51250000000000007</v>
      </c>
      <c r="L162" s="3353">
        <f t="shared" si="8"/>
        <v>0.6333333333333333</v>
      </c>
      <c r="M162" s="1391"/>
    </row>
    <row r="163" spans="2:13" ht="15" customHeight="1">
      <c r="B163" s="186"/>
      <c r="C163" s="272"/>
      <c r="D163" s="1196" t="s">
        <v>1765</v>
      </c>
      <c r="E163" s="3353">
        <v>0</v>
      </c>
      <c r="F163" s="3353">
        <v>0</v>
      </c>
      <c r="G163" s="3353">
        <v>0.05</v>
      </c>
      <c r="H163" s="3353">
        <v>0.1</v>
      </c>
      <c r="I163" s="3353">
        <f t="shared" si="8"/>
        <v>0.22083333333333333</v>
      </c>
      <c r="J163" s="3353">
        <f t="shared" si="8"/>
        <v>0.34166666666666667</v>
      </c>
      <c r="K163" s="3353">
        <f t="shared" si="8"/>
        <v>0.51250000000000007</v>
      </c>
      <c r="L163" s="3353">
        <f t="shared" si="8"/>
        <v>0.6333333333333333</v>
      </c>
      <c r="M163" s="1391"/>
    </row>
    <row r="164" spans="2:13" ht="15" customHeight="1">
      <c r="B164" s="186"/>
      <c r="C164" s="272"/>
      <c r="D164" s="1196" t="s">
        <v>1766</v>
      </c>
      <c r="E164" s="3353">
        <v>0</v>
      </c>
      <c r="F164" s="3353">
        <v>0</v>
      </c>
      <c r="G164" s="3353">
        <v>0.05</v>
      </c>
      <c r="H164" s="3353">
        <v>0.1</v>
      </c>
      <c r="I164" s="3353">
        <f t="shared" si="8"/>
        <v>0.22083333333333333</v>
      </c>
      <c r="J164" s="3353">
        <f t="shared" si="8"/>
        <v>0.34166666666666667</v>
      </c>
      <c r="K164" s="3353">
        <f t="shared" si="8"/>
        <v>0.51250000000000007</v>
      </c>
      <c r="L164" s="3353">
        <f t="shared" si="8"/>
        <v>0.6333333333333333</v>
      </c>
      <c r="M164" s="1391"/>
    </row>
    <row r="165" spans="2:13" ht="15" customHeight="1">
      <c r="B165" s="1921"/>
      <c r="C165" s="272"/>
      <c r="D165" s="1196" t="s">
        <v>1767</v>
      </c>
      <c r="E165" s="3353">
        <v>0</v>
      </c>
      <c r="F165" s="3353">
        <v>0</v>
      </c>
      <c r="G165" s="3353">
        <v>0.05</v>
      </c>
      <c r="H165" s="3353">
        <v>0.1</v>
      </c>
      <c r="I165" s="3353">
        <f t="shared" si="8"/>
        <v>0.22083333333333333</v>
      </c>
      <c r="J165" s="3353">
        <f t="shared" si="8"/>
        <v>0.34166666666666667</v>
      </c>
      <c r="K165" s="3353">
        <f t="shared" si="8"/>
        <v>0.51250000000000007</v>
      </c>
      <c r="L165" s="3353">
        <f t="shared" si="8"/>
        <v>0.6333333333333333</v>
      </c>
      <c r="M165" s="1391"/>
    </row>
    <row r="166" spans="2:13" ht="15" customHeight="1">
      <c r="B166" s="1921"/>
      <c r="C166" s="40"/>
      <c r="D166" s="1641" t="s">
        <v>564</v>
      </c>
      <c r="E166" s="3352">
        <v>0</v>
      </c>
      <c r="F166" s="3352">
        <v>0</v>
      </c>
      <c r="G166" s="3352">
        <v>0.05</v>
      </c>
      <c r="H166" s="3352">
        <v>0.1</v>
      </c>
      <c r="I166" s="3352">
        <f t="shared" si="8"/>
        <v>0.22083333333333333</v>
      </c>
      <c r="J166" s="3352">
        <f t="shared" si="8"/>
        <v>0.34166666666666667</v>
      </c>
      <c r="K166" s="3352">
        <f t="shared" si="8"/>
        <v>0.51250000000000007</v>
      </c>
      <c r="L166" s="3352">
        <f t="shared" si="8"/>
        <v>0.6333333333333333</v>
      </c>
      <c r="M166" s="1391"/>
    </row>
    <row r="167" spans="2:13" ht="15" customHeight="1">
      <c r="B167" s="1921"/>
      <c r="C167" s="40"/>
      <c r="D167" s="1413"/>
      <c r="E167" s="1413"/>
      <c r="F167" s="1391"/>
      <c r="G167" s="1391"/>
      <c r="H167" s="1391"/>
      <c r="I167" s="1391"/>
      <c r="J167" s="1391"/>
      <c r="K167" s="1391"/>
      <c r="L167" s="1391"/>
      <c r="M167" s="1391"/>
    </row>
    <row r="168" spans="2:13" ht="15" customHeight="1">
      <c r="B168" s="1921"/>
      <c r="C168" s="40"/>
      <c r="D168" s="1829" t="s">
        <v>1731</v>
      </c>
      <c r="E168" s="1413"/>
      <c r="F168" s="1391"/>
      <c r="G168" s="1391"/>
      <c r="H168" s="1391"/>
      <c r="I168" s="1391"/>
      <c r="J168" s="1391"/>
      <c r="K168" s="1391"/>
      <c r="L168" s="1391"/>
      <c r="M168" s="1391"/>
    </row>
    <row r="169" spans="2:13" ht="15" customHeight="1">
      <c r="B169" s="1921"/>
      <c r="C169" s="272"/>
      <c r="D169" s="1925" t="s">
        <v>588</v>
      </c>
      <c r="E169" s="89">
        <v>2018</v>
      </c>
      <c r="F169" s="89">
        <v>2020</v>
      </c>
      <c r="G169" s="89">
        <v>2025</v>
      </c>
      <c r="H169" s="89">
        <v>2030</v>
      </c>
      <c r="I169" s="89">
        <v>2035</v>
      </c>
      <c r="J169" s="89">
        <v>2040</v>
      </c>
      <c r="K169" s="89">
        <v>2045</v>
      </c>
      <c r="L169" s="89">
        <v>2050</v>
      </c>
      <c r="M169" s="1391"/>
    </row>
    <row r="170" spans="2:13" ht="15" customHeight="1">
      <c r="B170" s="1921"/>
      <c r="C170" s="272"/>
      <c r="D170" s="1196" t="s">
        <v>1763</v>
      </c>
      <c r="E170" s="3350">
        <v>0</v>
      </c>
      <c r="F170" s="3350">
        <v>0</v>
      </c>
      <c r="G170" s="3350">
        <v>0.05</v>
      </c>
      <c r="H170" s="3350">
        <v>0.1</v>
      </c>
      <c r="I170" s="3350">
        <v>0.3</v>
      </c>
      <c r="J170" s="3350">
        <v>0.5</v>
      </c>
      <c r="K170" s="3350">
        <v>0.8</v>
      </c>
      <c r="L170" s="3350">
        <v>1</v>
      </c>
      <c r="M170" s="1391"/>
    </row>
    <row r="171" spans="2:13" ht="15" customHeight="1">
      <c r="B171" s="1921"/>
      <c r="C171" s="272"/>
      <c r="D171" s="1196" t="s">
        <v>1764</v>
      </c>
      <c r="E171" s="3351">
        <v>0</v>
      </c>
      <c r="F171" s="3351">
        <v>0</v>
      </c>
      <c r="G171" s="3351">
        <v>0.05</v>
      </c>
      <c r="H171" s="3351">
        <v>0.1</v>
      </c>
      <c r="I171" s="3351">
        <v>0.3</v>
      </c>
      <c r="J171" s="3351">
        <v>0.5</v>
      </c>
      <c r="K171" s="3351">
        <v>0.8</v>
      </c>
      <c r="L171" s="3351">
        <v>1</v>
      </c>
      <c r="M171" s="1391"/>
    </row>
    <row r="172" spans="2:13" ht="15" customHeight="1">
      <c r="B172" s="186"/>
      <c r="C172" s="272"/>
      <c r="D172" s="1196" t="s">
        <v>1765</v>
      </c>
      <c r="E172" s="3351">
        <v>0</v>
      </c>
      <c r="F172" s="3351">
        <v>0</v>
      </c>
      <c r="G172" s="3351">
        <v>0.05</v>
      </c>
      <c r="H172" s="3351">
        <v>0.1</v>
      </c>
      <c r="I172" s="3351">
        <v>0.3</v>
      </c>
      <c r="J172" s="3351">
        <v>0.5</v>
      </c>
      <c r="K172" s="3351">
        <v>0.8</v>
      </c>
      <c r="L172" s="3351">
        <v>1</v>
      </c>
      <c r="M172" s="1391"/>
    </row>
    <row r="173" spans="2:13" ht="15" customHeight="1">
      <c r="B173" s="186"/>
      <c r="C173" s="272"/>
      <c r="D173" s="1196" t="s">
        <v>1766</v>
      </c>
      <c r="E173" s="3351">
        <v>0</v>
      </c>
      <c r="F173" s="3351">
        <v>0</v>
      </c>
      <c r="G173" s="3351">
        <v>0.05</v>
      </c>
      <c r="H173" s="3351">
        <v>0.1</v>
      </c>
      <c r="I173" s="3351">
        <v>0.3</v>
      </c>
      <c r="J173" s="3351">
        <v>0.5</v>
      </c>
      <c r="K173" s="3351">
        <v>0.8</v>
      </c>
      <c r="L173" s="3351">
        <v>1</v>
      </c>
      <c r="M173" s="1391"/>
    </row>
    <row r="174" spans="2:13" ht="15" customHeight="1">
      <c r="B174" s="186"/>
      <c r="C174" s="272"/>
      <c r="D174" s="1196" t="s">
        <v>1767</v>
      </c>
      <c r="E174" s="3351">
        <v>0</v>
      </c>
      <c r="F174" s="3351">
        <v>0</v>
      </c>
      <c r="G174" s="3351">
        <v>0.05</v>
      </c>
      <c r="H174" s="3351">
        <v>0.1</v>
      </c>
      <c r="I174" s="3351">
        <v>0.3</v>
      </c>
      <c r="J174" s="3351">
        <v>0.5</v>
      </c>
      <c r="K174" s="3351">
        <v>0.8</v>
      </c>
      <c r="L174" s="3351">
        <v>1</v>
      </c>
      <c r="M174" s="1391"/>
    </row>
    <row r="175" spans="2:13" ht="15" customHeight="1">
      <c r="B175" s="1921"/>
      <c r="C175" s="40"/>
      <c r="D175" s="1641" t="s">
        <v>564</v>
      </c>
      <c r="E175" s="3352">
        <v>0</v>
      </c>
      <c r="F175" s="3352">
        <v>0</v>
      </c>
      <c r="G175" s="3352">
        <v>0.05</v>
      </c>
      <c r="H175" s="3352">
        <v>0.1</v>
      </c>
      <c r="I175" s="3352">
        <v>0.3</v>
      </c>
      <c r="J175" s="3352">
        <v>0.5</v>
      </c>
      <c r="K175" s="3352">
        <v>0.8</v>
      </c>
      <c r="L175" s="3352">
        <v>1</v>
      </c>
      <c r="M175" s="1391"/>
    </row>
    <row r="176" spans="2:13" ht="15" customHeight="1">
      <c r="B176" s="1921"/>
      <c r="C176" s="40"/>
      <c r="D176" s="40"/>
      <c r="E176" s="40"/>
      <c r="F176" s="40"/>
      <c r="G176" s="40"/>
      <c r="H176" s="40"/>
      <c r="I176" s="40"/>
      <c r="J176" s="40"/>
      <c r="K176" s="40"/>
      <c r="L176" s="40"/>
      <c r="M176" s="40"/>
    </row>
    <row r="177" spans="2:13" ht="15" customHeight="1">
      <c r="B177" s="1921"/>
      <c r="C177" s="40"/>
      <c r="D177" s="2782" t="s">
        <v>127</v>
      </c>
      <c r="E177" s="1922"/>
      <c r="F177" s="1923"/>
      <c r="G177" s="1924"/>
      <c r="H177" s="1909"/>
      <c r="I177" s="1909"/>
      <c r="J177" s="1909"/>
      <c r="K177" s="1909"/>
      <c r="L177" s="1910"/>
      <c r="M177" s="40"/>
    </row>
    <row r="178" spans="2:13" ht="15" customHeight="1">
      <c r="B178" s="1921"/>
      <c r="C178" s="40"/>
      <c r="D178" s="40"/>
      <c r="E178" s="40"/>
      <c r="F178" s="40"/>
      <c r="G178" s="40"/>
      <c r="H178" s="40"/>
      <c r="I178" s="40"/>
      <c r="J178" s="40"/>
      <c r="K178" s="40"/>
      <c r="L178" s="40"/>
      <c r="M178" s="40"/>
    </row>
    <row r="179" spans="2:13" ht="15" customHeight="1">
      <c r="B179" s="1921"/>
      <c r="C179" s="40"/>
      <c r="D179" s="1829" t="s">
        <v>1726</v>
      </c>
      <c r="E179" s="40"/>
      <c r="F179" s="40"/>
      <c r="G179" s="40"/>
      <c r="H179" s="40"/>
      <c r="I179" s="40"/>
      <c r="J179" s="40"/>
      <c r="K179" s="40"/>
      <c r="L179" s="40"/>
      <c r="M179" s="40"/>
    </row>
    <row r="180" spans="2:13" ht="15" customHeight="1">
      <c r="B180" s="1921"/>
      <c r="C180" s="40"/>
      <c r="D180" s="1925" t="s">
        <v>588</v>
      </c>
      <c r="E180" s="89">
        <v>2018</v>
      </c>
      <c r="F180" s="89">
        <v>2020</v>
      </c>
      <c r="G180" s="89">
        <v>2025</v>
      </c>
      <c r="H180" s="89">
        <v>2030</v>
      </c>
      <c r="I180" s="89">
        <v>2035</v>
      </c>
      <c r="J180" s="89">
        <v>2040</v>
      </c>
      <c r="K180" s="89">
        <v>2045</v>
      </c>
      <c r="L180" s="89">
        <v>2050</v>
      </c>
      <c r="M180" s="40"/>
    </row>
    <row r="181" spans="2:13" ht="15" customHeight="1">
      <c r="B181" s="1921"/>
      <c r="C181" s="40"/>
      <c r="D181" s="3359" t="s">
        <v>1768</v>
      </c>
      <c r="E181" s="3693">
        <v>0</v>
      </c>
      <c r="F181" s="3693">
        <v>0</v>
      </c>
      <c r="G181" s="3693">
        <v>0</v>
      </c>
      <c r="H181" s="3693">
        <v>0</v>
      </c>
      <c r="I181" s="3693">
        <v>0</v>
      </c>
      <c r="J181" s="3693">
        <v>0</v>
      </c>
      <c r="K181" s="3693">
        <v>0</v>
      </c>
      <c r="L181" s="3693">
        <v>0</v>
      </c>
      <c r="M181" s="40"/>
    </row>
    <row r="182" spans="2:13" ht="17.25" customHeight="1">
      <c r="B182" s="1921"/>
      <c r="C182" s="40"/>
      <c r="D182" s="3360" t="s">
        <v>1769</v>
      </c>
      <c r="E182" s="3694">
        <v>0.1</v>
      </c>
      <c r="F182" s="3694">
        <v>0.2</v>
      </c>
      <c r="G182" s="3694">
        <v>0.2</v>
      </c>
      <c r="H182" s="3694">
        <v>0.2</v>
      </c>
      <c r="I182" s="3694">
        <v>0.2</v>
      </c>
      <c r="J182" s="3694">
        <v>0.2</v>
      </c>
      <c r="K182" s="3694">
        <v>0.2</v>
      </c>
      <c r="L182" s="3694">
        <v>0.2</v>
      </c>
      <c r="M182" s="40"/>
    </row>
    <row r="183" spans="2:13" ht="15" customHeight="1">
      <c r="B183" s="1921"/>
      <c r="C183" s="40"/>
      <c r="D183" s="40"/>
      <c r="E183" s="3695"/>
      <c r="F183" s="3695"/>
      <c r="G183" s="3695"/>
      <c r="H183" s="3695"/>
      <c r="I183" s="3695"/>
      <c r="J183" s="3695"/>
      <c r="K183" s="3695"/>
      <c r="L183" s="3695"/>
      <c r="M183" s="40"/>
    </row>
    <row r="184" spans="2:13" ht="15" customHeight="1">
      <c r="B184" s="1921"/>
      <c r="C184" s="40"/>
      <c r="D184" s="1829" t="s">
        <v>1729</v>
      </c>
      <c r="E184" s="3695"/>
      <c r="F184" s="3695"/>
      <c r="G184" s="3695"/>
      <c r="H184" s="3695"/>
      <c r="I184" s="3695"/>
      <c r="J184" s="3695"/>
      <c r="K184" s="3695"/>
      <c r="L184" s="3695"/>
      <c r="M184" s="40"/>
    </row>
    <row r="185" spans="2:13" ht="15" customHeight="1">
      <c r="B185" s="1921"/>
      <c r="C185" s="40"/>
      <c r="D185" s="1925" t="s">
        <v>588</v>
      </c>
      <c r="E185" s="3696">
        <v>2018</v>
      </c>
      <c r="F185" s="3696">
        <v>2020</v>
      </c>
      <c r="G185" s="3696">
        <v>2025</v>
      </c>
      <c r="H185" s="3696">
        <v>2030</v>
      </c>
      <c r="I185" s="3696">
        <v>2035</v>
      </c>
      <c r="J185" s="3696">
        <v>2040</v>
      </c>
      <c r="K185" s="3696">
        <v>2045</v>
      </c>
      <c r="L185" s="3696">
        <v>2050</v>
      </c>
      <c r="M185" s="40"/>
    </row>
    <row r="186" spans="2:13" ht="15" customHeight="1">
      <c r="B186" s="1921"/>
      <c r="C186" s="40"/>
      <c r="D186" s="3359" t="s">
        <v>1768</v>
      </c>
      <c r="E186" s="3693">
        <v>0</v>
      </c>
      <c r="F186" s="3693">
        <v>0</v>
      </c>
      <c r="G186" s="3693">
        <v>0.26300000000000001</v>
      </c>
      <c r="H186" s="3693">
        <v>0.26300000000000001</v>
      </c>
      <c r="I186" s="3693">
        <v>0.26300000000000001</v>
      </c>
      <c r="J186" s="3693">
        <v>0.26300000000000001</v>
      </c>
      <c r="K186" s="3693">
        <v>0.26300000000000001</v>
      </c>
      <c r="L186" s="3693">
        <v>0.26300000000000001</v>
      </c>
      <c r="M186" s="40"/>
    </row>
    <row r="187" spans="2:13" ht="14.25" customHeight="1">
      <c r="B187" s="1921"/>
      <c r="C187" s="40"/>
      <c r="D187" s="3360" t="s">
        <v>1769</v>
      </c>
      <c r="E187" s="3694">
        <v>0.1</v>
      </c>
      <c r="F187" s="3694">
        <v>0.2</v>
      </c>
      <c r="G187" s="3694">
        <v>0.5</v>
      </c>
      <c r="H187" s="3694">
        <v>0.5</v>
      </c>
      <c r="I187" s="3694">
        <v>0.5</v>
      </c>
      <c r="J187" s="3694">
        <v>0.5</v>
      </c>
      <c r="K187" s="3694">
        <v>0.5</v>
      </c>
      <c r="L187" s="3694">
        <v>0.5</v>
      </c>
      <c r="M187" s="40"/>
    </row>
    <row r="188" spans="2:13" ht="15" customHeight="1">
      <c r="B188" s="1921"/>
      <c r="C188" s="40"/>
      <c r="D188" s="40"/>
      <c r="E188" s="3695"/>
      <c r="F188" s="3695"/>
      <c r="G188" s="3695"/>
      <c r="H188" s="3695"/>
      <c r="I188" s="3695"/>
      <c r="J188" s="3695"/>
      <c r="K188" s="3695"/>
      <c r="L188" s="3695"/>
      <c r="M188" s="40"/>
    </row>
    <row r="189" spans="2:13" ht="15" customHeight="1">
      <c r="B189" s="1921"/>
      <c r="C189" s="40"/>
      <c r="D189" s="1829" t="s">
        <v>1730</v>
      </c>
      <c r="E189" s="3695"/>
      <c r="F189" s="3695"/>
      <c r="G189" s="3695"/>
      <c r="H189" s="3695"/>
      <c r="I189" s="3695"/>
      <c r="J189" s="3695"/>
      <c r="K189" s="3695"/>
      <c r="L189" s="3695"/>
      <c r="M189" s="40"/>
    </row>
    <row r="190" spans="2:13" ht="15" customHeight="1">
      <c r="B190" s="1921"/>
      <c r="C190" s="40"/>
      <c r="D190" s="1925" t="s">
        <v>588</v>
      </c>
      <c r="E190" s="3696">
        <v>2018</v>
      </c>
      <c r="F190" s="3696">
        <v>2020</v>
      </c>
      <c r="G190" s="3696">
        <v>2025</v>
      </c>
      <c r="H190" s="3696">
        <v>2030</v>
      </c>
      <c r="I190" s="3696">
        <v>2035</v>
      </c>
      <c r="J190" s="3696">
        <v>2040</v>
      </c>
      <c r="K190" s="3696">
        <v>2045</v>
      </c>
      <c r="L190" s="3696">
        <v>2050</v>
      </c>
      <c r="M190" s="40"/>
    </row>
    <row r="191" spans="2:13" ht="15" customHeight="1">
      <c r="B191" s="1921"/>
      <c r="C191" s="40"/>
      <c r="D191" s="3361" t="s">
        <v>1768</v>
      </c>
      <c r="E191" s="3693">
        <v>0</v>
      </c>
      <c r="F191" s="3693">
        <v>0</v>
      </c>
      <c r="G191" s="3693">
        <f>(G196+G186)/2</f>
        <v>0.63149999999999995</v>
      </c>
      <c r="H191" s="3693">
        <f t="shared" ref="H191:L191" si="9">(H196+H186)/2</f>
        <v>0.63149999999999995</v>
      </c>
      <c r="I191" s="3693">
        <f t="shared" si="9"/>
        <v>0.63149999999999995</v>
      </c>
      <c r="J191" s="3693">
        <f t="shared" si="9"/>
        <v>0.63149999999999995</v>
      </c>
      <c r="K191" s="3693">
        <f t="shared" si="9"/>
        <v>0.63149999999999995</v>
      </c>
      <c r="L191" s="3693">
        <f t="shared" si="9"/>
        <v>0.63149999999999995</v>
      </c>
      <c r="M191" s="40"/>
    </row>
    <row r="192" spans="2:13" ht="17.25" customHeight="1">
      <c r="B192" s="1921"/>
      <c r="C192" s="40"/>
      <c r="D192" s="3362" t="s">
        <v>1769</v>
      </c>
      <c r="E192" s="3697">
        <v>0.1</v>
      </c>
      <c r="F192" s="3697">
        <v>0.2</v>
      </c>
      <c r="G192" s="3697">
        <v>0.5</v>
      </c>
      <c r="H192" s="3694">
        <v>0.75</v>
      </c>
      <c r="I192" s="3694">
        <v>0.75</v>
      </c>
      <c r="J192" s="3694">
        <v>0.75</v>
      </c>
      <c r="K192" s="3694">
        <v>0.75</v>
      </c>
      <c r="L192" s="3694">
        <v>0.75</v>
      </c>
      <c r="M192" s="40"/>
    </row>
    <row r="193" spans="2:25" ht="15" customHeight="1">
      <c r="B193" s="1921"/>
      <c r="C193" s="40"/>
      <c r="D193" s="40"/>
      <c r="E193" s="3695"/>
      <c r="F193" s="3695"/>
      <c r="G193" s="3695"/>
      <c r="H193" s="3695"/>
      <c r="I193" s="3695"/>
      <c r="J193" s="3695"/>
      <c r="K193" s="3695"/>
      <c r="L193" s="3695"/>
      <c r="M193" s="40"/>
    </row>
    <row r="194" spans="2:25" ht="15" customHeight="1">
      <c r="B194" s="1921"/>
      <c r="C194" s="40"/>
      <c r="D194" s="1829" t="s">
        <v>1731</v>
      </c>
      <c r="E194" s="3695"/>
      <c r="F194" s="3695"/>
      <c r="G194" s="3695"/>
      <c r="H194" s="3695"/>
      <c r="I194" s="3695"/>
      <c r="J194" s="3695"/>
      <c r="K194" s="3695"/>
      <c r="L194" s="3695"/>
      <c r="M194" s="40"/>
    </row>
    <row r="195" spans="2:25" ht="15" customHeight="1">
      <c r="B195" s="1921"/>
      <c r="C195" s="40"/>
      <c r="D195" s="1925" t="s">
        <v>588</v>
      </c>
      <c r="E195" s="3696">
        <v>2018</v>
      </c>
      <c r="F195" s="3696">
        <v>2020</v>
      </c>
      <c r="G195" s="3696">
        <v>2025</v>
      </c>
      <c r="H195" s="3696">
        <v>2030</v>
      </c>
      <c r="I195" s="3696">
        <v>2035</v>
      </c>
      <c r="J195" s="3696">
        <v>2040</v>
      </c>
      <c r="K195" s="3696">
        <v>2045</v>
      </c>
      <c r="L195" s="3696">
        <v>2050</v>
      </c>
      <c r="M195" s="40"/>
    </row>
    <row r="196" spans="2:25" ht="15" customHeight="1">
      <c r="B196" s="1921"/>
      <c r="C196" s="40"/>
      <c r="D196" s="3359" t="s">
        <v>1768</v>
      </c>
      <c r="E196" s="3693">
        <v>0</v>
      </c>
      <c r="F196" s="3693">
        <v>0</v>
      </c>
      <c r="G196" s="3693">
        <v>1</v>
      </c>
      <c r="H196" s="3693">
        <v>1</v>
      </c>
      <c r="I196" s="3693">
        <v>1</v>
      </c>
      <c r="J196" s="3693">
        <v>1</v>
      </c>
      <c r="K196" s="3693">
        <v>1</v>
      </c>
      <c r="L196" s="3693">
        <v>1</v>
      </c>
      <c r="M196" s="40"/>
    </row>
    <row r="197" spans="2:25" ht="15" customHeight="1">
      <c r="B197" s="1921"/>
      <c r="C197" s="40"/>
      <c r="D197" s="3360" t="s">
        <v>1769</v>
      </c>
      <c r="E197" s="3694">
        <v>0.1</v>
      </c>
      <c r="F197" s="3694">
        <v>0.2</v>
      </c>
      <c r="G197" s="3694">
        <v>0.5</v>
      </c>
      <c r="H197" s="3694">
        <v>1</v>
      </c>
      <c r="I197" s="3694">
        <v>1</v>
      </c>
      <c r="J197" s="3694">
        <v>1</v>
      </c>
      <c r="K197" s="3694">
        <v>1</v>
      </c>
      <c r="L197" s="3694">
        <v>1</v>
      </c>
      <c r="M197" s="40"/>
    </row>
    <row r="198" spans="2:25" ht="15" customHeight="1">
      <c r="B198" s="1921"/>
      <c r="C198" s="40"/>
      <c r="D198" s="40"/>
      <c r="E198" s="40"/>
      <c r="F198" s="40"/>
      <c r="G198" s="40"/>
      <c r="H198" s="40"/>
      <c r="I198" s="40"/>
      <c r="J198" s="40"/>
      <c r="K198" s="40"/>
      <c r="L198" s="40"/>
      <c r="M198" s="40"/>
    </row>
    <row r="199" spans="2:25" ht="15" customHeight="1">
      <c r="B199" s="186"/>
      <c r="C199" s="12"/>
      <c r="D199" s="1393"/>
      <c r="E199" s="1392"/>
      <c r="F199" s="1392"/>
      <c r="G199" s="1392"/>
      <c r="H199" s="1392"/>
      <c r="I199" s="1392"/>
      <c r="J199" s="1392"/>
      <c r="K199" s="1392"/>
      <c r="L199" s="1392"/>
      <c r="M199" s="1387"/>
      <c r="Q199" s="1053"/>
    </row>
    <row r="200" spans="2:25" ht="15" customHeight="1">
      <c r="B200" s="186"/>
    </row>
    <row r="201" spans="2:25" ht="15" customHeight="1">
      <c r="B201" s="186"/>
      <c r="C201" s="1018" t="s">
        <v>1770</v>
      </c>
      <c r="D201" s="336"/>
      <c r="E201" s="336"/>
      <c r="F201" s="336"/>
      <c r="G201" s="336"/>
      <c r="H201" s="336"/>
      <c r="I201" s="336"/>
      <c r="J201" s="336"/>
      <c r="K201" s="336"/>
      <c r="L201" s="336"/>
      <c r="M201" s="1910"/>
    </row>
    <row r="202" spans="2:25" ht="15" customHeight="1">
      <c r="B202" s="186"/>
      <c r="C202" s="11"/>
      <c r="D202" s="12"/>
      <c r="E202" s="12"/>
      <c r="F202" s="12"/>
      <c r="G202" s="12"/>
      <c r="H202" s="12"/>
      <c r="I202" s="12"/>
      <c r="J202" s="12"/>
      <c r="K202" s="12"/>
      <c r="L202" s="12"/>
      <c r="M202" s="1387"/>
    </row>
    <row r="203" spans="2:25" ht="15" customHeight="1">
      <c r="B203" s="186"/>
      <c r="C203" s="11"/>
      <c r="D203" s="12"/>
      <c r="E203" s="12"/>
      <c r="F203" s="12"/>
      <c r="G203" s="12"/>
      <c r="H203" s="12"/>
      <c r="I203" s="12"/>
      <c r="J203" s="12"/>
      <c r="K203" s="12"/>
      <c r="L203" s="12"/>
      <c r="M203" s="1387"/>
    </row>
    <row r="204" spans="2:25" ht="15" customHeight="1">
      <c r="B204" s="186"/>
      <c r="C204" s="11"/>
      <c r="D204" s="2782" t="s">
        <v>1166</v>
      </c>
      <c r="E204" s="181"/>
      <c r="F204" s="181"/>
      <c r="G204" s="181"/>
      <c r="H204" s="181"/>
      <c r="I204" s="181"/>
      <c r="J204" s="181"/>
      <c r="K204" s="181"/>
      <c r="L204" s="181"/>
      <c r="M204" s="1387"/>
      <c r="N204" t="s">
        <v>1771</v>
      </c>
      <c r="O204">
        <v>2</v>
      </c>
      <c r="P204" t="s">
        <v>1772</v>
      </c>
      <c r="Q204">
        <v>1</v>
      </c>
      <c r="S204" t="s">
        <v>1773</v>
      </c>
      <c r="X204">
        <v>7975661.1561763808</v>
      </c>
      <c r="Y204" t="s">
        <v>1774</v>
      </c>
    </row>
    <row r="205" spans="2:25" ht="15" customHeight="1">
      <c r="B205" s="186"/>
      <c r="C205" s="1403"/>
      <c r="D205" s="286"/>
      <c r="E205" s="1404"/>
      <c r="F205" s="447"/>
      <c r="G205" s="447"/>
      <c r="H205" s="447"/>
      <c r="I205" s="447"/>
      <c r="J205" s="12"/>
      <c r="K205" s="12"/>
      <c r="L205" s="536" t="s">
        <v>1774</v>
      </c>
      <c r="M205" s="1387"/>
      <c r="N205" t="s">
        <v>1775</v>
      </c>
      <c r="O205">
        <v>2</v>
      </c>
      <c r="P205" t="s">
        <v>1772</v>
      </c>
      <c r="Q205">
        <v>2</v>
      </c>
      <c r="S205" t="s">
        <v>1776</v>
      </c>
      <c r="T205" t="s">
        <v>1514</v>
      </c>
      <c r="X205">
        <v>73848</v>
      </c>
      <c r="Y205" t="s">
        <v>1774</v>
      </c>
    </row>
    <row r="206" spans="2:25" ht="15" customHeight="1">
      <c r="B206" s="186"/>
      <c r="C206" s="1403"/>
      <c r="D206" s="1926" t="s">
        <v>588</v>
      </c>
      <c r="E206" s="1920">
        <v>2018</v>
      </c>
      <c r="F206" s="1920">
        <v>2020</v>
      </c>
      <c r="G206" s="1920">
        <v>2025</v>
      </c>
      <c r="H206" s="1920">
        <v>2030</v>
      </c>
      <c r="I206" s="1920">
        <v>2035</v>
      </c>
      <c r="J206" s="1920">
        <v>2040</v>
      </c>
      <c r="K206" s="1920">
        <v>2045</v>
      </c>
      <c r="L206" s="1920">
        <v>2050</v>
      </c>
      <c r="M206" s="1387"/>
      <c r="N206" s="1367" t="s">
        <v>1775</v>
      </c>
      <c r="O206">
        <v>2</v>
      </c>
      <c r="P206" t="s">
        <v>1772</v>
      </c>
      <c r="Q206">
        <v>2</v>
      </c>
      <c r="S206" t="s">
        <v>1776</v>
      </c>
      <c r="T206" t="s">
        <v>1777</v>
      </c>
      <c r="X206">
        <v>19386</v>
      </c>
      <c r="Y206" t="s">
        <v>1774</v>
      </c>
    </row>
    <row r="207" spans="2:25" ht="15" customHeight="1">
      <c r="B207" s="186"/>
      <c r="C207" s="1403"/>
      <c r="D207" s="591" t="s">
        <v>1174</v>
      </c>
      <c r="E207" s="3698">
        <v>1096271.9528085589</v>
      </c>
      <c r="F207" s="3698">
        <v>1224808.7430034096</v>
      </c>
      <c r="G207" s="3698">
        <v>1616006.9132442635</v>
      </c>
      <c r="H207" s="3698">
        <v>2132151.945004513</v>
      </c>
      <c r="I207" s="3698">
        <v>2132151.945004513</v>
      </c>
      <c r="J207" s="3698">
        <v>2132151.945004513</v>
      </c>
      <c r="K207" s="3698">
        <v>2132151.945004513</v>
      </c>
      <c r="L207" s="3698">
        <v>2132151.945004513</v>
      </c>
      <c r="M207" s="1387"/>
      <c r="N207" t="s">
        <v>1775</v>
      </c>
      <c r="O207">
        <v>2</v>
      </c>
      <c r="P207" s="623" t="s">
        <v>1772</v>
      </c>
      <c r="Q207">
        <v>2</v>
      </c>
      <c r="S207" t="s">
        <v>1776</v>
      </c>
      <c r="T207" t="s">
        <v>1778</v>
      </c>
      <c r="X207">
        <v>87456.395000000004</v>
      </c>
      <c r="Y207" t="s">
        <v>1774</v>
      </c>
    </row>
    <row r="208" spans="2:25" ht="15" customHeight="1">
      <c r="B208" s="186"/>
      <c r="C208" s="1403"/>
      <c r="D208" s="1395" t="s">
        <v>1779</v>
      </c>
      <c r="E208" s="3698">
        <v>773639.11709700001</v>
      </c>
      <c r="F208" s="3698">
        <v>864347.52993750619</v>
      </c>
      <c r="G208" s="3698">
        <v>1140416.0786764768</v>
      </c>
      <c r="H208" s="3698">
        <v>1504659.6275896849</v>
      </c>
      <c r="I208" s="3698">
        <v>1504659.6275896849</v>
      </c>
      <c r="J208" s="3698">
        <v>1504659.6275896849</v>
      </c>
      <c r="K208" s="3698">
        <v>1504659.6275896849</v>
      </c>
      <c r="L208" s="3698">
        <v>1504659.6275896849</v>
      </c>
      <c r="M208" s="1387"/>
      <c r="N208" t="s">
        <v>1780</v>
      </c>
      <c r="O208">
        <v>2</v>
      </c>
      <c r="P208" s="623" t="s">
        <v>1772</v>
      </c>
      <c r="Q208">
        <v>3</v>
      </c>
      <c r="S208" t="s">
        <v>1781</v>
      </c>
      <c r="T208" t="s">
        <v>1782</v>
      </c>
      <c r="X208">
        <v>14645.446666667463</v>
      </c>
      <c r="Y208" t="s">
        <v>1774</v>
      </c>
    </row>
    <row r="209" spans="2:25" ht="15" customHeight="1">
      <c r="B209" s="1902"/>
      <c r="C209" s="1403"/>
      <c r="D209" s="591" t="s">
        <v>1783</v>
      </c>
      <c r="E209" s="3698">
        <v>16914.948664261432</v>
      </c>
      <c r="F209" s="3698">
        <v>17986.946622051495</v>
      </c>
      <c r="G209" s="3698">
        <v>22158.737417090371</v>
      </c>
      <c r="H209" s="3698">
        <v>26959.492123866552</v>
      </c>
      <c r="I209" s="3698">
        <v>26959.492123866552</v>
      </c>
      <c r="J209" s="3698">
        <v>26959.492123866552</v>
      </c>
      <c r="K209" s="3698">
        <v>26959.492123866552</v>
      </c>
      <c r="L209" s="3698">
        <v>26959.492123866552</v>
      </c>
      <c r="M209" s="1387"/>
      <c r="N209" t="s">
        <v>1780</v>
      </c>
      <c r="O209">
        <v>2</v>
      </c>
      <c r="P209" t="s">
        <v>1772</v>
      </c>
      <c r="Q209">
        <v>3</v>
      </c>
      <c r="S209" t="s">
        <v>1781</v>
      </c>
      <c r="T209" t="s">
        <v>1784</v>
      </c>
      <c r="X209">
        <v>683079.02</v>
      </c>
      <c r="Y209" t="s">
        <v>1774</v>
      </c>
    </row>
    <row r="210" spans="2:25" ht="15" customHeight="1">
      <c r="B210" s="186"/>
      <c r="C210" s="1403"/>
      <c r="D210" s="591" t="s">
        <v>1785</v>
      </c>
      <c r="E210" s="3698">
        <v>79212.703853481726</v>
      </c>
      <c r="F210" s="3698">
        <v>84232.870242835023</v>
      </c>
      <c r="G210" s="3698">
        <v>103769.36635318397</v>
      </c>
      <c r="H210" s="3698">
        <v>126251.30043463595</v>
      </c>
      <c r="I210" s="3698">
        <v>126251.30043463595</v>
      </c>
      <c r="J210" s="3698">
        <v>126251.30043463595</v>
      </c>
      <c r="K210" s="3698">
        <v>126251.30043463595</v>
      </c>
      <c r="L210" s="3698">
        <v>126251.30043463595</v>
      </c>
      <c r="M210" s="1387"/>
      <c r="N210" t="s">
        <v>1780</v>
      </c>
      <c r="O210">
        <v>2</v>
      </c>
      <c r="P210" t="s">
        <v>1772</v>
      </c>
      <c r="Q210">
        <v>3</v>
      </c>
      <c r="S210" t="s">
        <v>1781</v>
      </c>
      <c r="T210" t="s">
        <v>1786</v>
      </c>
      <c r="X210">
        <v>1145.354</v>
      </c>
      <c r="Y210" t="s">
        <v>1774</v>
      </c>
    </row>
    <row r="211" spans="2:25" ht="15" customHeight="1">
      <c r="B211" s="186"/>
      <c r="C211" s="1403"/>
      <c r="D211" s="2984" t="s">
        <v>1787</v>
      </c>
      <c r="E211" s="3698">
        <v>10145.793648523808</v>
      </c>
      <c r="F211" s="3698">
        <v>10129.481188945814</v>
      </c>
      <c r="G211" s="3698">
        <v>10088.700040000822</v>
      </c>
      <c r="H211" s="3698">
        <v>10047.91889105583</v>
      </c>
      <c r="I211" s="3698">
        <v>10047.91889105583</v>
      </c>
      <c r="J211" s="3698">
        <v>10047.91889105583</v>
      </c>
      <c r="K211" s="3698">
        <v>10047.91889105583</v>
      </c>
      <c r="L211" s="3698">
        <v>10047.91889105583</v>
      </c>
      <c r="M211" s="1387"/>
      <c r="N211" t="s">
        <v>1788</v>
      </c>
      <c r="O211">
        <v>2</v>
      </c>
      <c r="P211" t="s">
        <v>1772</v>
      </c>
      <c r="Q211">
        <v>4</v>
      </c>
      <c r="R211" t="s">
        <v>1789</v>
      </c>
      <c r="S211" t="s">
        <v>1790</v>
      </c>
      <c r="X211">
        <v>186995.01</v>
      </c>
      <c r="Y211" t="s">
        <v>1774</v>
      </c>
    </row>
    <row r="212" spans="2:25" ht="15" customHeight="1">
      <c r="B212" s="186"/>
      <c r="C212" s="1403"/>
      <c r="D212" s="2984" t="s">
        <v>1171</v>
      </c>
      <c r="E212" s="3698">
        <v>29573.790200461684</v>
      </c>
      <c r="F212" s="3698">
        <v>31299.790750652272</v>
      </c>
      <c r="G212" s="3698">
        <v>35614.792126128108</v>
      </c>
      <c r="H212" s="3698">
        <v>37340.792676318655</v>
      </c>
      <c r="I212" s="3698">
        <v>37340.792676318655</v>
      </c>
      <c r="J212" s="3698">
        <v>37340.792676318655</v>
      </c>
      <c r="K212" s="3698">
        <v>37340.792676318655</v>
      </c>
      <c r="L212" s="3698">
        <v>37340.792676318655</v>
      </c>
      <c r="M212" s="1387"/>
      <c r="N212" t="s">
        <v>1791</v>
      </c>
      <c r="O212">
        <v>2</v>
      </c>
      <c r="P212" t="s">
        <v>1792</v>
      </c>
      <c r="Q212">
        <v>1</v>
      </c>
      <c r="S212" t="s">
        <v>1793</v>
      </c>
      <c r="T212" t="s">
        <v>1794</v>
      </c>
      <c r="X212">
        <v>107864.118</v>
      </c>
      <c r="Y212" t="s">
        <v>1774</v>
      </c>
    </row>
    <row r="213" spans="2:25" ht="15" customHeight="1">
      <c r="B213" s="186"/>
      <c r="C213" s="1403"/>
      <c r="D213" s="2984" t="s">
        <v>1795</v>
      </c>
      <c r="E213" s="3698">
        <v>159697.15916776357</v>
      </c>
      <c r="F213" s="3698">
        <v>171509.78038158236</v>
      </c>
      <c r="G213" s="3698">
        <v>211288.79099423581</v>
      </c>
      <c r="H213" s="3698">
        <v>257065.11903898834</v>
      </c>
      <c r="I213" s="3698">
        <v>257065.11903898834</v>
      </c>
      <c r="J213" s="3698">
        <v>257065.11903898834</v>
      </c>
      <c r="K213" s="3698">
        <v>257065.11903898834</v>
      </c>
      <c r="L213" s="3698">
        <v>257065.11903898834</v>
      </c>
      <c r="M213" s="1387"/>
      <c r="N213" t="s">
        <v>1791</v>
      </c>
      <c r="O213">
        <v>2</v>
      </c>
      <c r="P213" t="s">
        <v>1792</v>
      </c>
      <c r="Q213">
        <v>1</v>
      </c>
      <c r="S213" t="s">
        <v>1796</v>
      </c>
      <c r="T213" t="s">
        <v>1797</v>
      </c>
      <c r="X213">
        <v>0</v>
      </c>
      <c r="Y213" t="s">
        <v>1798</v>
      </c>
    </row>
    <row r="214" spans="2:25" ht="15" customHeight="1">
      <c r="B214" s="186"/>
      <c r="C214" s="1403"/>
      <c r="D214" s="2984" t="s">
        <v>1799</v>
      </c>
      <c r="E214" s="3698">
        <v>13965.463675315488</v>
      </c>
      <c r="F214" s="3698">
        <v>14998.473487960595</v>
      </c>
      <c r="G214" s="3698">
        <v>18477.134790679247</v>
      </c>
      <c r="H214" s="3698">
        <v>22480.259516440572</v>
      </c>
      <c r="I214" s="3698">
        <v>231755.29543508068</v>
      </c>
      <c r="J214" s="3698">
        <v>231755.29543508068</v>
      </c>
      <c r="K214" s="3698">
        <v>231755.29543508068</v>
      </c>
      <c r="L214" s="3698">
        <v>231755.29543508068</v>
      </c>
      <c r="M214" s="1387"/>
      <c r="N214" t="s">
        <v>1800</v>
      </c>
      <c r="O214">
        <v>2</v>
      </c>
      <c r="P214" s="1053" t="s">
        <v>1792</v>
      </c>
      <c r="Q214" s="1053">
        <v>2</v>
      </c>
      <c r="R214" s="1053"/>
      <c r="S214" t="s">
        <v>1801</v>
      </c>
      <c r="X214">
        <v>304884.435</v>
      </c>
      <c r="Y214" t="s">
        <v>1774</v>
      </c>
    </row>
    <row r="215" spans="2:25" ht="15" customHeight="1">
      <c r="B215" s="186"/>
      <c r="C215" s="1403"/>
      <c r="D215" s="2984" t="s">
        <v>1802</v>
      </c>
      <c r="E215" s="3699">
        <v>2611.2974617230875</v>
      </c>
      <c r="F215" s="3699">
        <v>2611.2974617230875</v>
      </c>
      <c r="G215" s="3699">
        <v>2995.3533169664429</v>
      </c>
      <c r="H215" s="3699">
        <v>3381.1966859856689</v>
      </c>
      <c r="I215" s="3699">
        <v>34857.704214297162</v>
      </c>
      <c r="J215" s="3699">
        <v>34857.704214297162</v>
      </c>
      <c r="K215" s="3699">
        <v>34857.704214297162</v>
      </c>
      <c r="L215" s="3699">
        <v>34857.704214297162</v>
      </c>
      <c r="M215" s="1387"/>
      <c r="N215" t="s">
        <v>1803</v>
      </c>
      <c r="O215">
        <v>2</v>
      </c>
      <c r="P215" t="s">
        <v>1792</v>
      </c>
      <c r="Q215">
        <v>4</v>
      </c>
      <c r="S215" t="s">
        <v>1804</v>
      </c>
      <c r="X215">
        <v>0</v>
      </c>
      <c r="Y215" t="s">
        <v>1774</v>
      </c>
    </row>
    <row r="216" spans="2:25" ht="15" customHeight="1">
      <c r="B216" s="186"/>
      <c r="C216" s="1403"/>
      <c r="D216" s="2984" t="s">
        <v>1805</v>
      </c>
      <c r="E216" s="3699">
        <v>0</v>
      </c>
      <c r="F216" s="3699">
        <v>0</v>
      </c>
      <c r="G216" s="3698">
        <v>0</v>
      </c>
      <c r="H216" s="3698">
        <v>0</v>
      </c>
      <c r="I216" s="3698">
        <v>0</v>
      </c>
      <c r="J216" s="3698">
        <v>0</v>
      </c>
      <c r="K216" s="3698">
        <v>0</v>
      </c>
      <c r="L216" s="3698">
        <v>0</v>
      </c>
      <c r="M216" s="1387"/>
      <c r="N216" t="s">
        <v>1806</v>
      </c>
      <c r="O216">
        <v>2</v>
      </c>
      <c r="P216" t="s">
        <v>1792</v>
      </c>
      <c r="Q216">
        <v>8</v>
      </c>
      <c r="R216" t="s">
        <v>1789</v>
      </c>
      <c r="S216" t="s">
        <v>1807</v>
      </c>
      <c r="U216" s="1053"/>
      <c r="X216">
        <v>62079.145113000006</v>
      </c>
      <c r="Y216" t="s">
        <v>1774</v>
      </c>
    </row>
    <row r="217" spans="2:25" ht="15" customHeight="1">
      <c r="B217" s="186"/>
      <c r="C217" s="1403"/>
      <c r="D217" s="2984" t="s">
        <v>1808</v>
      </c>
      <c r="E217" s="3699">
        <v>0</v>
      </c>
      <c r="F217" s="3699">
        <v>0</v>
      </c>
      <c r="G217" s="3699">
        <v>0</v>
      </c>
      <c r="H217" s="3698">
        <v>0</v>
      </c>
      <c r="I217" s="3699">
        <v>0</v>
      </c>
      <c r="J217" s="3698">
        <v>0</v>
      </c>
      <c r="K217" s="3698">
        <v>0</v>
      </c>
      <c r="L217" s="3698">
        <v>0</v>
      </c>
      <c r="M217" s="1387"/>
      <c r="N217" t="s">
        <v>1809</v>
      </c>
      <c r="O217">
        <v>2</v>
      </c>
      <c r="P217" t="s">
        <v>1792</v>
      </c>
      <c r="Q217">
        <v>8</v>
      </c>
      <c r="R217" t="s">
        <v>1810</v>
      </c>
      <c r="S217" t="s">
        <v>1811</v>
      </c>
      <c r="X217">
        <v>406558.29100000003</v>
      </c>
      <c r="Y217" t="s">
        <v>1774</v>
      </c>
    </row>
    <row r="218" spans="2:25" ht="15" customHeight="1">
      <c r="B218" s="186"/>
      <c r="C218" s="1403"/>
      <c r="D218" s="1405" t="s">
        <v>338</v>
      </c>
      <c r="E218" s="1406">
        <f t="shared" ref="E218:L218" si="10">SUM(E207:E217)</f>
        <v>2182032.2265770896</v>
      </c>
      <c r="F218" s="1406">
        <f t="shared" si="10"/>
        <v>2421924.9130766662</v>
      </c>
      <c r="G218" s="1406">
        <f t="shared" si="10"/>
        <v>3160815.8669590252</v>
      </c>
      <c r="H218" s="1406">
        <f t="shared" si="10"/>
        <v>4120337.6519614896</v>
      </c>
      <c r="I218" s="1406">
        <f t="shared" si="10"/>
        <v>4361089.1954084411</v>
      </c>
      <c r="J218" s="1406">
        <f t="shared" si="10"/>
        <v>4361089.1954084411</v>
      </c>
      <c r="K218" s="1406">
        <f t="shared" si="10"/>
        <v>4361089.1954084411</v>
      </c>
      <c r="L218" s="1406">
        <f t="shared" si="10"/>
        <v>4361089.1954084411</v>
      </c>
      <c r="M218" s="1387"/>
      <c r="N218" t="s">
        <v>1812</v>
      </c>
      <c r="O218">
        <v>2</v>
      </c>
      <c r="P218" t="s">
        <v>1792</v>
      </c>
      <c r="Q218">
        <v>8</v>
      </c>
      <c r="R218" t="s">
        <v>1813</v>
      </c>
      <c r="S218" t="s">
        <v>1814</v>
      </c>
      <c r="X218">
        <v>56815.51</v>
      </c>
      <c r="Y218" t="s">
        <v>1774</v>
      </c>
    </row>
    <row r="219" spans="2:25" ht="15" customHeight="1">
      <c r="B219" s="186"/>
      <c r="C219" s="1403"/>
      <c r="D219" s="447"/>
      <c r="E219" s="1407"/>
      <c r="F219" s="1407"/>
      <c r="G219" s="1407"/>
      <c r="H219" s="1407"/>
      <c r="I219" s="1407"/>
      <c r="J219" s="1407"/>
      <c r="K219" s="1407"/>
      <c r="L219" s="1407"/>
      <c r="M219" s="1387"/>
      <c r="N219" t="s">
        <v>1815</v>
      </c>
      <c r="O219">
        <v>2</v>
      </c>
      <c r="P219" t="s">
        <v>1816</v>
      </c>
      <c r="Q219">
        <v>1</v>
      </c>
      <c r="S219" t="s">
        <v>1817</v>
      </c>
      <c r="T219" t="s">
        <v>1818</v>
      </c>
      <c r="X219">
        <v>324741.03918834549</v>
      </c>
      <c r="Y219" t="s">
        <v>1774</v>
      </c>
    </row>
    <row r="220" spans="2:25" ht="15" customHeight="1">
      <c r="B220" s="186"/>
      <c r="C220" s="1403"/>
      <c r="D220" s="2782" t="s">
        <v>1171</v>
      </c>
      <c r="E220" s="181"/>
      <c r="F220" s="181"/>
      <c r="G220" s="181"/>
      <c r="H220" s="181"/>
      <c r="I220" s="181"/>
      <c r="J220" s="181"/>
      <c r="K220" s="181"/>
      <c r="L220" s="181"/>
      <c r="M220" s="1387"/>
      <c r="N220" t="s">
        <v>1815</v>
      </c>
      <c r="O220">
        <v>2</v>
      </c>
      <c r="P220" t="s">
        <v>1816</v>
      </c>
      <c r="Q220">
        <v>1</v>
      </c>
      <c r="S220" t="s">
        <v>1819</v>
      </c>
      <c r="T220" t="s">
        <v>1820</v>
      </c>
      <c r="X220">
        <v>894258.96081165457</v>
      </c>
      <c r="Y220" t="s">
        <v>1774</v>
      </c>
    </row>
    <row r="221" spans="2:25" ht="15" customHeight="1">
      <c r="B221" s="186"/>
      <c r="C221" s="1403"/>
      <c r="D221" s="447"/>
      <c r="E221" s="1407"/>
      <c r="F221" s="1407"/>
      <c r="G221" s="1407"/>
      <c r="H221" s="1407"/>
      <c r="I221" s="1407"/>
      <c r="J221" s="1407"/>
      <c r="K221" s="1407"/>
      <c r="L221" s="1407"/>
      <c r="M221" s="1387"/>
      <c r="N221" t="s">
        <v>1815</v>
      </c>
      <c r="O221">
        <v>2</v>
      </c>
      <c r="P221" t="s">
        <v>1816</v>
      </c>
      <c r="Q221">
        <v>1</v>
      </c>
      <c r="S221" t="s">
        <v>1821</v>
      </c>
      <c r="T221" t="s">
        <v>1822</v>
      </c>
      <c r="X221">
        <v>319332.9806451613</v>
      </c>
      <c r="Y221" t="s">
        <v>1774</v>
      </c>
    </row>
    <row r="222" spans="2:25" ht="15" customHeight="1">
      <c r="B222" s="186"/>
      <c r="C222" s="1403"/>
      <c r="D222" s="1926" t="s">
        <v>588</v>
      </c>
      <c r="E222" s="664"/>
      <c r="F222" s="1407"/>
      <c r="G222" s="1407"/>
      <c r="H222" s="1407"/>
      <c r="I222" s="1407"/>
      <c r="J222" s="1407"/>
      <c r="K222" s="1407"/>
      <c r="L222" s="1407"/>
      <c r="M222" s="1387"/>
      <c r="N222" t="s">
        <v>1815</v>
      </c>
      <c r="O222">
        <v>2</v>
      </c>
      <c r="P222" t="s">
        <v>1816</v>
      </c>
      <c r="Q222">
        <v>1</v>
      </c>
      <c r="S222" t="s">
        <v>1823</v>
      </c>
      <c r="T222" t="s">
        <v>1824</v>
      </c>
      <c r="X222">
        <v>266110.81720430107</v>
      </c>
      <c r="Y222" t="s">
        <v>1774</v>
      </c>
    </row>
    <row r="223" spans="2:25" ht="15" customHeight="1">
      <c r="B223" s="186"/>
      <c r="C223" s="1403"/>
      <c r="D223" s="3355" t="s">
        <v>1825</v>
      </c>
      <c r="E223" s="3354">
        <v>0.8</v>
      </c>
      <c r="F223" s="1407"/>
      <c r="G223" s="1407"/>
      <c r="H223" s="1407"/>
      <c r="I223" s="1407"/>
      <c r="J223" s="1407"/>
      <c r="K223" s="1407"/>
      <c r="L223" s="1407"/>
      <c r="M223" s="1387"/>
      <c r="N223" t="s">
        <v>1826</v>
      </c>
      <c r="O223">
        <v>2</v>
      </c>
      <c r="P223" t="s">
        <v>1816</v>
      </c>
      <c r="Q223">
        <v>2</v>
      </c>
      <c r="S223" t="s">
        <v>1827</v>
      </c>
      <c r="T223" t="s">
        <v>1828</v>
      </c>
      <c r="X223">
        <v>137623.94</v>
      </c>
      <c r="Y223" t="s">
        <v>1774</v>
      </c>
    </row>
    <row r="224" spans="2:25" ht="15" customHeight="1">
      <c r="B224" s="186"/>
      <c r="C224" s="1403"/>
      <c r="D224" s="3356"/>
      <c r="E224" s="3356"/>
      <c r="F224" s="1407"/>
      <c r="G224" s="1407"/>
      <c r="H224" s="1407"/>
      <c r="I224" s="1407"/>
      <c r="J224" s="1407"/>
      <c r="K224" s="1407"/>
      <c r="L224" s="1407"/>
      <c r="M224" s="1387"/>
      <c r="N224" s="887" t="s">
        <v>1829</v>
      </c>
      <c r="O224">
        <v>2</v>
      </c>
      <c r="P224" t="s">
        <v>1830</v>
      </c>
      <c r="Q224">
        <v>1</v>
      </c>
      <c r="S224" t="s">
        <v>1831</v>
      </c>
      <c r="T224" t="s">
        <v>1832</v>
      </c>
      <c r="X224">
        <v>18.283402200000001</v>
      </c>
      <c r="Y224" t="s">
        <v>11</v>
      </c>
    </row>
    <row r="225" spans="2:25" ht="46.5" customHeight="1">
      <c r="B225" s="186"/>
      <c r="C225" s="1403"/>
      <c r="D225" s="1926" t="s">
        <v>588</v>
      </c>
      <c r="E225" s="1926" t="s">
        <v>1833</v>
      </c>
      <c r="F225" s="1407"/>
      <c r="G225" s="1407"/>
      <c r="H225" s="1407"/>
      <c r="I225" s="1407"/>
      <c r="J225" s="1407"/>
      <c r="K225" s="1407"/>
      <c r="L225" s="1407"/>
      <c r="M225" s="1387"/>
      <c r="N225" s="887" t="s">
        <v>1829</v>
      </c>
      <c r="O225">
        <v>2</v>
      </c>
      <c r="P225" t="s">
        <v>1830</v>
      </c>
      <c r="Q225">
        <v>1</v>
      </c>
      <c r="S225" t="s">
        <v>1831</v>
      </c>
      <c r="T225" t="s">
        <v>1834</v>
      </c>
      <c r="X225">
        <v>1.1434110924000001</v>
      </c>
      <c r="Y225" t="s">
        <v>11</v>
      </c>
    </row>
    <row r="226" spans="2:25" ht="15" customHeight="1">
      <c r="B226" s="186"/>
      <c r="C226" s="1403"/>
      <c r="D226" s="1212" t="s">
        <v>1835</v>
      </c>
      <c r="E226" s="3355">
        <v>7.52</v>
      </c>
      <c r="F226" s="1407"/>
      <c r="G226" s="1407"/>
      <c r="H226" s="1407"/>
      <c r="I226" s="1407"/>
      <c r="J226" s="1407"/>
      <c r="K226" s="1407"/>
      <c r="L226" s="1407"/>
      <c r="M226" s="1387"/>
      <c r="N226" s="887" t="s">
        <v>1836</v>
      </c>
      <c r="O226">
        <v>2</v>
      </c>
      <c r="P226" t="s">
        <v>1830</v>
      </c>
      <c r="Q226">
        <v>2</v>
      </c>
      <c r="S226" t="s">
        <v>1837</v>
      </c>
      <c r="T226" t="s">
        <v>1838</v>
      </c>
      <c r="X226">
        <v>280.92141900000001</v>
      </c>
      <c r="Y226" t="s">
        <v>11</v>
      </c>
    </row>
    <row r="227" spans="2:25" ht="15" customHeight="1">
      <c r="B227" s="186"/>
      <c r="C227" s="1403"/>
      <c r="D227" s="2984"/>
      <c r="E227" s="2984"/>
      <c r="F227" s="1407"/>
      <c r="G227" s="1407"/>
      <c r="H227" s="1407"/>
      <c r="I227" s="1407"/>
      <c r="J227" s="1407"/>
      <c r="K227" s="1407"/>
      <c r="L227" s="1407"/>
      <c r="M227" s="1387"/>
      <c r="N227" s="887" t="s">
        <v>1839</v>
      </c>
      <c r="O227">
        <v>2</v>
      </c>
      <c r="P227" t="s">
        <v>1840</v>
      </c>
      <c r="Q227">
        <v>1</v>
      </c>
      <c r="R227" t="s">
        <v>1789</v>
      </c>
      <c r="S227" t="s">
        <v>1841</v>
      </c>
      <c r="T227" t="s">
        <v>1842</v>
      </c>
      <c r="X227">
        <v>68.942999999999998</v>
      </c>
      <c r="Y227" t="s">
        <v>9</v>
      </c>
    </row>
    <row r="228" spans="2:25" ht="15" customHeight="1">
      <c r="B228" s="186"/>
      <c r="C228" s="1403"/>
      <c r="D228" s="2782" t="s">
        <v>1174</v>
      </c>
      <c r="E228" s="181"/>
      <c r="F228" s="181"/>
      <c r="G228" s="181"/>
      <c r="H228" s="181"/>
      <c r="I228" s="181"/>
      <c r="J228" s="181"/>
      <c r="K228" s="181"/>
      <c r="L228" s="181"/>
      <c r="M228" s="1387"/>
      <c r="N228" t="s">
        <v>1843</v>
      </c>
      <c r="O228">
        <v>2</v>
      </c>
      <c r="P228" t="s">
        <v>1816</v>
      </c>
      <c r="Q228">
        <v>5</v>
      </c>
      <c r="S228" t="s">
        <v>1844</v>
      </c>
      <c r="T228" t="s">
        <v>1845</v>
      </c>
      <c r="X228">
        <v>26920.592388897807</v>
      </c>
      <c r="Y228" t="s">
        <v>1774</v>
      </c>
    </row>
    <row r="229" spans="2:25" ht="15" customHeight="1">
      <c r="B229" s="186"/>
      <c r="C229" s="1403"/>
      <c r="D229" s="2984"/>
      <c r="E229" s="2984"/>
      <c r="F229" s="1407"/>
      <c r="G229" s="1407"/>
      <c r="H229" s="1407"/>
      <c r="I229" s="1407"/>
      <c r="J229" s="1407"/>
      <c r="K229" s="1407"/>
      <c r="L229" s="1407"/>
      <c r="M229" s="1387"/>
    </row>
    <row r="230" spans="2:25" ht="15" customHeight="1">
      <c r="B230" s="186"/>
      <c r="C230" s="1403"/>
      <c r="D230" s="1926" t="s">
        <v>588</v>
      </c>
      <c r="E230" s="1926"/>
      <c r="F230" s="1407"/>
      <c r="G230" s="1407"/>
      <c r="H230" s="1407"/>
      <c r="I230" s="1407"/>
      <c r="J230" s="1407"/>
      <c r="K230" s="1407"/>
      <c r="L230" s="1407"/>
      <c r="M230" s="1387"/>
      <c r="X230" s="1367">
        <f>SUM(X204:X228)</f>
        <v>11949775.502426701</v>
      </c>
    </row>
    <row r="231" spans="2:25" ht="15" customHeight="1">
      <c r="B231" s="186"/>
      <c r="C231" s="1403"/>
      <c r="D231" s="1212" t="s">
        <v>1846</v>
      </c>
      <c r="E231" s="1212">
        <v>3.7</v>
      </c>
      <c r="F231" s="1407"/>
      <c r="G231" s="1407"/>
      <c r="H231" s="1407"/>
      <c r="I231" s="1407"/>
      <c r="J231" s="1407"/>
      <c r="K231" s="1407"/>
      <c r="L231" s="1407"/>
      <c r="M231" s="1387"/>
    </row>
    <row r="232" spans="2:25" ht="15" customHeight="1">
      <c r="B232" s="186"/>
      <c r="C232" s="1403"/>
      <c r="D232" s="1212"/>
      <c r="E232" s="1212"/>
      <c r="F232" s="1407"/>
      <c r="G232" s="1407"/>
      <c r="H232" s="1407"/>
      <c r="I232" s="1407"/>
      <c r="J232" s="1407"/>
      <c r="K232" s="1407"/>
      <c r="L232" s="1407"/>
      <c r="M232" s="1387"/>
    </row>
    <row r="233" spans="2:25" ht="15" customHeight="1">
      <c r="B233" s="186"/>
      <c r="C233" s="1403"/>
      <c r="D233" s="1926" t="s">
        <v>588</v>
      </c>
      <c r="E233" s="1926"/>
      <c r="F233" s="1407"/>
      <c r="G233" s="1407"/>
      <c r="H233" s="1407"/>
      <c r="I233" s="1407"/>
      <c r="J233" s="1407"/>
      <c r="K233" s="1407"/>
      <c r="L233" s="1407"/>
      <c r="M233" s="1387"/>
    </row>
    <row r="234" spans="2:25" ht="15" customHeight="1">
      <c r="B234" s="186"/>
      <c r="C234" s="1403"/>
      <c r="D234" s="1212" t="s">
        <v>1847</v>
      </c>
      <c r="E234" s="1212">
        <v>0.15</v>
      </c>
      <c r="F234" s="1407"/>
      <c r="G234" s="1407"/>
      <c r="H234" s="1407"/>
      <c r="I234" s="1407"/>
      <c r="J234" s="1407"/>
      <c r="K234" s="1407"/>
      <c r="L234" s="1407"/>
      <c r="M234" s="1387"/>
    </row>
    <row r="235" spans="2:25" ht="15" customHeight="1">
      <c r="B235" s="186"/>
      <c r="C235" s="1403"/>
      <c r="D235" s="2984"/>
      <c r="E235" s="2984"/>
      <c r="F235" s="1407"/>
      <c r="G235" s="1407"/>
      <c r="H235" s="1407"/>
      <c r="I235" s="1407"/>
      <c r="J235" s="1407"/>
      <c r="K235" s="1407"/>
      <c r="L235" s="1407"/>
      <c r="M235" s="1387"/>
    </row>
    <row r="236" spans="2:25" ht="15" customHeight="1">
      <c r="B236" s="186"/>
      <c r="C236" s="1403"/>
      <c r="D236" s="2984"/>
      <c r="E236" s="2984"/>
      <c r="F236" s="1407"/>
      <c r="G236" s="1407"/>
      <c r="H236" s="1407"/>
      <c r="I236" s="1407"/>
      <c r="J236" s="1407"/>
      <c r="K236" s="1407"/>
      <c r="L236" s="1407"/>
      <c r="M236" s="1387"/>
    </row>
    <row r="237" spans="2:25" ht="15" customHeight="1">
      <c r="B237" s="186"/>
      <c r="C237" s="11"/>
      <c r="D237" s="2782" t="s">
        <v>1848</v>
      </c>
      <c r="E237" s="181"/>
      <c r="F237" s="181"/>
      <c r="G237" s="181"/>
      <c r="H237" s="181"/>
      <c r="I237" s="181"/>
      <c r="J237" s="181"/>
      <c r="K237" s="181"/>
      <c r="L237" s="181"/>
      <c r="M237" s="1387"/>
    </row>
    <row r="238" spans="2:25" ht="15" customHeight="1">
      <c r="B238" s="186"/>
      <c r="C238" s="11"/>
      <c r="D238" s="1927"/>
      <c r="E238" s="1928"/>
      <c r="F238" s="593"/>
      <c r="G238" s="593"/>
      <c r="H238" s="593"/>
      <c r="I238" s="593"/>
      <c r="J238" s="593"/>
      <c r="K238" s="593"/>
      <c r="L238" s="536" t="s">
        <v>1774</v>
      </c>
      <c r="M238" s="1387"/>
    </row>
    <row r="239" spans="2:25" ht="15" customHeight="1">
      <c r="B239" s="186"/>
      <c r="C239" s="11"/>
      <c r="D239" s="1926" t="s">
        <v>588</v>
      </c>
      <c r="E239" s="1920">
        <v>2018</v>
      </c>
      <c r="F239" s="1920">
        <v>2020</v>
      </c>
      <c r="G239" s="1920">
        <v>2025</v>
      </c>
      <c r="H239" s="1920">
        <v>2030</v>
      </c>
      <c r="I239" s="1920">
        <v>2035</v>
      </c>
      <c r="J239" s="1920">
        <v>2040</v>
      </c>
      <c r="K239" s="1920">
        <v>2045</v>
      </c>
      <c r="L239" s="1920">
        <v>2050</v>
      </c>
      <c r="M239" s="1387"/>
    </row>
    <row r="240" spans="2:25" ht="15" customHeight="1">
      <c r="B240" s="186"/>
      <c r="C240" s="11"/>
      <c r="D240" s="1212" t="s">
        <v>1849</v>
      </c>
      <c r="E240" s="1929">
        <v>1232275.584</v>
      </c>
      <c r="F240" s="1929">
        <v>1232275.584</v>
      </c>
      <c r="G240" s="1929">
        <v>1580404.2172305731</v>
      </c>
      <c r="H240" s="1929">
        <v>1859738.532236293</v>
      </c>
      <c r="I240" s="1929">
        <v>1859738.532236293</v>
      </c>
      <c r="J240" s="1929">
        <v>1859738.532236293</v>
      </c>
      <c r="K240" s="1929">
        <v>1859738.532236293</v>
      </c>
      <c r="L240" s="1929">
        <v>1859738.532236293</v>
      </c>
      <c r="M240" s="1387"/>
    </row>
    <row r="241" spans="2:13" ht="15" customHeight="1">
      <c r="B241" s="186"/>
      <c r="C241" s="11"/>
      <c r="D241" s="516"/>
      <c r="E241" s="1394"/>
      <c r="F241" s="12"/>
      <c r="G241" s="12"/>
      <c r="H241" s="12"/>
      <c r="I241" s="12"/>
      <c r="J241" s="12"/>
      <c r="K241" s="12"/>
      <c r="L241" s="12"/>
      <c r="M241" s="1387"/>
    </row>
    <row r="242" spans="2:13" ht="15" customHeight="1">
      <c r="B242" s="186"/>
      <c r="C242" s="11"/>
      <c r="D242" s="2782" t="s">
        <v>1850</v>
      </c>
      <c r="E242" s="181"/>
      <c r="F242" s="181"/>
      <c r="G242" s="181"/>
      <c r="H242" s="181"/>
      <c r="I242" s="181"/>
      <c r="J242" s="181"/>
      <c r="K242" s="181"/>
      <c r="L242" s="181"/>
      <c r="M242" s="1387"/>
    </row>
    <row r="243" spans="2:13" ht="15" customHeight="1">
      <c r="B243" s="186"/>
      <c r="C243" s="11"/>
      <c r="D243" s="1196"/>
      <c r="E243" s="1670"/>
      <c r="F243" s="1670"/>
      <c r="G243" s="1670"/>
      <c r="H243" s="1670"/>
      <c r="I243" s="1670"/>
      <c r="J243" s="1670"/>
      <c r="K243" s="1670"/>
      <c r="L243" s="1670"/>
      <c r="M243" s="1387"/>
    </row>
    <row r="244" spans="2:13">
      <c r="B244" s="186"/>
      <c r="C244" s="11"/>
      <c r="D244" s="1926" t="s">
        <v>588</v>
      </c>
      <c r="E244" s="664" t="s">
        <v>1851</v>
      </c>
      <c r="F244" s="1670"/>
      <c r="G244" s="1670"/>
      <c r="H244" s="1670"/>
      <c r="I244" s="1670"/>
      <c r="J244" s="1670"/>
      <c r="K244" s="1670"/>
      <c r="L244" s="1670"/>
      <c r="M244" s="1387"/>
    </row>
    <row r="245" spans="2:13" ht="15" customHeight="1">
      <c r="B245" s="186"/>
      <c r="C245" s="11"/>
      <c r="D245" s="1212" t="s">
        <v>1849</v>
      </c>
      <c r="E245" s="1929">
        <v>226.7</v>
      </c>
      <c r="F245" s="1670"/>
      <c r="G245" s="1670"/>
      <c r="H245" s="1670"/>
      <c r="I245" s="1670"/>
      <c r="J245" s="1670"/>
      <c r="K245" s="1670"/>
      <c r="L245" s="1670"/>
      <c r="M245" s="1387"/>
    </row>
    <row r="246" spans="2:13" ht="15" customHeight="1">
      <c r="B246" s="186"/>
      <c r="C246" s="11"/>
      <c r="D246" s="1196"/>
      <c r="E246" s="1670"/>
      <c r="F246" s="1670"/>
      <c r="G246" s="1670"/>
      <c r="H246" s="1670"/>
      <c r="I246" s="1670"/>
      <c r="J246" s="1670"/>
      <c r="K246" s="1670"/>
      <c r="L246" s="1670"/>
      <c r="M246" s="1387"/>
    </row>
    <row r="247" spans="2:13" ht="15" customHeight="1">
      <c r="B247" s="186"/>
      <c r="C247" s="11"/>
      <c r="D247" s="2782" t="s">
        <v>1178</v>
      </c>
      <c r="E247" s="181"/>
      <c r="F247" s="181"/>
      <c r="G247" s="181"/>
      <c r="H247" s="181"/>
      <c r="I247" s="181"/>
      <c r="J247" s="181"/>
      <c r="K247" s="181"/>
      <c r="L247" s="181"/>
      <c r="M247" s="1387"/>
    </row>
    <row r="248" spans="2:13" ht="15" customHeight="1">
      <c r="B248" s="186"/>
      <c r="C248" s="12"/>
      <c r="D248" s="12"/>
      <c r="E248" s="12"/>
      <c r="F248" s="12"/>
      <c r="G248" s="12"/>
      <c r="H248" s="12"/>
      <c r="I248" s="12"/>
      <c r="J248" s="12"/>
      <c r="K248" s="12"/>
      <c r="L248" s="12"/>
      <c r="M248" s="12"/>
    </row>
    <row r="249" spans="2:13" ht="15" customHeight="1">
      <c r="B249" s="186"/>
      <c r="C249" s="11"/>
      <c r="D249" s="1196"/>
      <c r="E249" s="2791" t="s">
        <v>788</v>
      </c>
      <c r="F249" s="1670"/>
      <c r="G249" s="1670"/>
      <c r="H249" s="1670"/>
      <c r="I249" s="1670"/>
      <c r="J249" s="1670"/>
      <c r="K249" s="1670"/>
      <c r="L249" s="1670"/>
      <c r="M249" s="1387"/>
    </row>
    <row r="250" spans="2:13" ht="15" customHeight="1">
      <c r="B250" s="186"/>
      <c r="C250" s="11"/>
      <c r="D250" s="1926" t="s">
        <v>1469</v>
      </c>
      <c r="E250" s="1920"/>
      <c r="F250" s="1670"/>
      <c r="G250" s="1670"/>
      <c r="H250" s="1670"/>
      <c r="I250" s="1670"/>
      <c r="J250" s="1670"/>
      <c r="K250" s="1670"/>
      <c r="L250" s="1670"/>
      <c r="M250" s="1387"/>
    </row>
    <row r="251" spans="2:13" ht="15" customHeight="1">
      <c r="B251" s="186"/>
      <c r="C251" s="11"/>
      <c r="D251" s="2787" t="s">
        <v>1852</v>
      </c>
      <c r="E251" s="2788">
        <v>4.6601487235804475E-3</v>
      </c>
      <c r="F251" s="1670"/>
      <c r="G251" s="1670"/>
      <c r="H251" s="1670"/>
      <c r="I251" s="1670"/>
      <c r="J251" s="1670"/>
      <c r="K251" s="1670"/>
      <c r="L251" s="1670"/>
      <c r="M251" s="1387"/>
    </row>
    <row r="252" spans="2:13" ht="15" customHeight="1">
      <c r="B252" s="186"/>
      <c r="C252" s="11"/>
      <c r="D252" s="1196" t="s">
        <v>162</v>
      </c>
      <c r="E252" s="2789">
        <v>0.11210022897195746</v>
      </c>
      <c r="F252" s="1670"/>
      <c r="G252" s="1670"/>
      <c r="H252" s="1670"/>
      <c r="I252" s="1670"/>
      <c r="J252" s="1670"/>
      <c r="K252" s="1670"/>
      <c r="L252" s="1670"/>
      <c r="M252" s="1387"/>
    </row>
    <row r="253" spans="2:13" ht="15" customHeight="1">
      <c r="B253" s="186"/>
      <c r="C253" s="11"/>
      <c r="D253" s="1196" t="s">
        <v>1853</v>
      </c>
      <c r="E253" s="2789">
        <v>7.7324273854694023E-2</v>
      </c>
      <c r="F253" s="1670"/>
      <c r="G253" s="1670"/>
      <c r="H253" s="1670"/>
      <c r="I253" s="1670"/>
      <c r="J253" s="1670"/>
      <c r="K253" s="1670"/>
      <c r="L253" s="1670"/>
      <c r="M253" s="1387"/>
    </row>
    <row r="254" spans="2:13" ht="15" customHeight="1">
      <c r="B254" s="186"/>
      <c r="C254" s="11"/>
      <c r="D254" s="1196" t="s">
        <v>514</v>
      </c>
      <c r="E254" s="2789">
        <v>0.77549139258448008</v>
      </c>
      <c r="F254" s="1670"/>
      <c r="G254" s="1670"/>
      <c r="H254" s="1670"/>
      <c r="I254" s="1670"/>
      <c r="J254" s="1670"/>
      <c r="K254" s="1670"/>
      <c r="L254" s="1670"/>
      <c r="M254" s="1387"/>
    </row>
    <row r="255" spans="2:13" ht="15" customHeight="1">
      <c r="B255" s="186"/>
      <c r="C255" s="11"/>
      <c r="D255" s="1642" t="s">
        <v>590</v>
      </c>
      <c r="E255" s="2790">
        <v>3.0423955865287979E-2</v>
      </c>
      <c r="F255" s="1670"/>
      <c r="G255" s="1670"/>
      <c r="H255" s="1670"/>
      <c r="I255" s="1670"/>
      <c r="J255" s="1670"/>
      <c r="K255" s="1670"/>
      <c r="L255" s="1670"/>
      <c r="M255" s="1387"/>
    </row>
    <row r="256" spans="2:13" ht="15" customHeight="1">
      <c r="B256" s="186"/>
      <c r="C256" s="11"/>
      <c r="D256" s="1196"/>
      <c r="E256" s="1670"/>
      <c r="F256" s="1670"/>
      <c r="G256" s="1670"/>
      <c r="H256" s="1670"/>
      <c r="I256" s="1670"/>
      <c r="J256" s="1670"/>
      <c r="K256" s="1670"/>
      <c r="L256" s="1670"/>
      <c r="M256" s="1387"/>
    </row>
    <row r="257" spans="2:20" ht="15" customHeight="1">
      <c r="B257" s="186"/>
      <c r="C257" s="11"/>
      <c r="D257" s="516"/>
      <c r="E257" s="1394"/>
      <c r="F257" s="12"/>
      <c r="G257" s="12"/>
      <c r="H257" s="12"/>
      <c r="I257" s="12"/>
      <c r="J257" s="12"/>
      <c r="K257" s="12"/>
      <c r="L257" s="12"/>
      <c r="M257" s="1387"/>
    </row>
    <row r="258" spans="2:20" ht="15" customHeight="1">
      <c r="B258" s="186"/>
      <c r="C258" s="11"/>
      <c r="D258" s="2782" t="s">
        <v>1182</v>
      </c>
      <c r="E258" s="181"/>
      <c r="F258" s="181"/>
      <c r="G258" s="181"/>
      <c r="H258" s="181"/>
      <c r="I258" s="181"/>
      <c r="J258" s="181"/>
      <c r="K258" s="181"/>
      <c r="L258" s="181"/>
      <c r="M258" s="1387"/>
    </row>
    <row r="259" spans="2:20" ht="15" customHeight="1">
      <c r="B259" s="186"/>
      <c r="C259" s="11"/>
      <c r="D259" s="447"/>
      <c r="E259" s="447"/>
      <c r="F259" s="447"/>
      <c r="G259" s="447"/>
      <c r="H259" s="447"/>
      <c r="I259" s="447"/>
      <c r="J259" s="447"/>
      <c r="K259" s="447"/>
      <c r="L259" s="447"/>
      <c r="M259" s="1387"/>
    </row>
    <row r="260" spans="2:20" ht="15" customHeight="1">
      <c r="B260" s="186"/>
      <c r="C260" s="11"/>
      <c r="D260" s="286" t="s">
        <v>917</v>
      </c>
      <c r="E260" s="1196"/>
      <c r="F260" s="447"/>
      <c r="G260" s="447"/>
      <c r="H260" s="447"/>
      <c r="I260" s="1409"/>
      <c r="J260" s="1409"/>
      <c r="K260" s="1409"/>
      <c r="L260" s="1409" t="s">
        <v>12</v>
      </c>
      <c r="M260" s="1387"/>
      <c r="N260" s="2208"/>
      <c r="O260" s="2208"/>
      <c r="P260" s="2208"/>
      <c r="Q260" s="2208"/>
      <c r="R260" s="2208"/>
    </row>
    <row r="261" spans="2:20" ht="15" customHeight="1">
      <c r="B261" s="186"/>
      <c r="C261" s="11"/>
      <c r="D261" s="528" t="s">
        <v>1469</v>
      </c>
      <c r="E261" s="1920">
        <v>2018</v>
      </c>
      <c r="F261" s="1920">
        <v>2020</v>
      </c>
      <c r="G261" s="1920">
        <v>2025</v>
      </c>
      <c r="H261" s="1920">
        <v>2030</v>
      </c>
      <c r="I261" s="1920">
        <v>2035</v>
      </c>
      <c r="J261" s="1920">
        <v>2040</v>
      </c>
      <c r="K261" s="1920">
        <v>2045</v>
      </c>
      <c r="L261" s="1920">
        <v>2050</v>
      </c>
      <c r="M261" s="1387"/>
    </row>
    <row r="262" spans="2:20" ht="15" customHeight="1">
      <c r="B262" s="186"/>
      <c r="C262" s="11"/>
      <c r="D262" s="1196" t="s">
        <v>504</v>
      </c>
      <c r="E262" s="1410">
        <v>0</v>
      </c>
      <c r="F262" s="1410">
        <v>0</v>
      </c>
      <c r="G262" s="1410">
        <v>0</v>
      </c>
      <c r="H262" s="1410">
        <v>0</v>
      </c>
      <c r="I262" s="3357">
        <v>0</v>
      </c>
      <c r="J262" s="3357">
        <v>0</v>
      </c>
      <c r="K262" s="3357">
        <v>0</v>
      </c>
      <c r="L262" s="3357">
        <v>0</v>
      </c>
      <c r="M262" s="1387"/>
      <c r="S262" s="2208"/>
      <c r="T262" s="2208"/>
    </row>
    <row r="263" spans="2:20" ht="15" customHeight="1">
      <c r="B263" s="186"/>
      <c r="C263" s="11"/>
      <c r="D263" s="1196" t="s">
        <v>569</v>
      </c>
      <c r="E263" s="1411">
        <v>3.692189829750145</v>
      </c>
      <c r="F263" s="1411">
        <v>3.692189829750145</v>
      </c>
      <c r="G263" s="1411">
        <v>4.2850623840295619</v>
      </c>
      <c r="H263" s="1411">
        <v>4.8939640388004353</v>
      </c>
      <c r="I263" s="3358">
        <v>4.8939640388004353</v>
      </c>
      <c r="J263" s="3358">
        <v>4.8939640388004353</v>
      </c>
      <c r="K263" s="3358">
        <v>4.8939640388004353</v>
      </c>
      <c r="L263" s="3358">
        <v>4.8939640388004353</v>
      </c>
      <c r="M263" s="1387"/>
    </row>
    <row r="264" spans="2:20" ht="15" customHeight="1">
      <c r="B264" s="186"/>
      <c r="C264" s="11"/>
      <c r="D264" s="1196" t="s">
        <v>513</v>
      </c>
      <c r="E264" s="1411">
        <v>1.0591945843406678</v>
      </c>
      <c r="F264" s="1411">
        <v>1.0591945843406678</v>
      </c>
      <c r="G264" s="1411">
        <v>1.2292745172945678</v>
      </c>
      <c r="H264" s="1411">
        <v>1.4039527881496243</v>
      </c>
      <c r="I264" s="3358">
        <v>1.4039527881496243</v>
      </c>
      <c r="J264" s="3358">
        <v>1.4039527881496243</v>
      </c>
      <c r="K264" s="3358">
        <v>1.4039527881496243</v>
      </c>
      <c r="L264" s="3358">
        <v>1.4039527881496243</v>
      </c>
      <c r="M264" s="1387"/>
    </row>
    <row r="265" spans="2:20" ht="15" customHeight="1">
      <c r="B265" s="186"/>
      <c r="C265" s="11"/>
      <c r="D265" s="1196" t="s">
        <v>503</v>
      </c>
      <c r="E265" s="1411">
        <v>1.7797549174727256E-2</v>
      </c>
      <c r="F265" s="1411">
        <v>1.7797549174727256E-2</v>
      </c>
      <c r="G265" s="1411">
        <v>2.0655386644001711E-2</v>
      </c>
      <c r="H265" s="1411">
        <v>2.3590489562068846E-2</v>
      </c>
      <c r="I265" s="3358">
        <v>2.3590489562068846E-2</v>
      </c>
      <c r="J265" s="3358">
        <v>2.3590489562068846E-2</v>
      </c>
      <c r="K265" s="3358">
        <v>2.3590489562068846E-2</v>
      </c>
      <c r="L265" s="3358">
        <v>2.3590489562068846E-2</v>
      </c>
      <c r="M265" s="1387"/>
    </row>
    <row r="266" spans="2:20" ht="15" customHeight="1">
      <c r="B266" s="186"/>
      <c r="C266" s="11"/>
      <c r="D266" s="1196" t="s">
        <v>525</v>
      </c>
      <c r="E266" s="1411">
        <v>3.1640318521880136E-3</v>
      </c>
      <c r="F266" s="1411">
        <v>3.1640318521880136E-3</v>
      </c>
      <c r="G266" s="1411">
        <v>3.6720955576110582E-3</v>
      </c>
      <c r="H266" s="1411">
        <v>4.1938954431482035E-3</v>
      </c>
      <c r="I266" s="3358">
        <v>4.1938954431482035E-3</v>
      </c>
      <c r="J266" s="3358">
        <v>4.1938954431482035E-3</v>
      </c>
      <c r="K266" s="3358">
        <v>4.1938954431482035E-3</v>
      </c>
      <c r="L266" s="3358">
        <v>4.1938954431482035E-3</v>
      </c>
      <c r="M266" s="1387"/>
    </row>
    <row r="267" spans="2:20" ht="15" customHeight="1">
      <c r="B267" s="186"/>
      <c r="C267" s="11"/>
      <c r="D267" s="1196" t="s">
        <v>487</v>
      </c>
      <c r="E267" s="1411">
        <v>5.8464570212658174E-3</v>
      </c>
      <c r="F267" s="1411">
        <v>5.8464570212658174E-3</v>
      </c>
      <c r="G267" s="1411">
        <v>6.7852505469273234E-3</v>
      </c>
      <c r="H267" s="1411">
        <v>7.7494256080553291E-3</v>
      </c>
      <c r="I267" s="3358">
        <v>7.7494256080553291E-3</v>
      </c>
      <c r="J267" s="3358">
        <v>7.7494256080553291E-3</v>
      </c>
      <c r="K267" s="3358">
        <v>7.7494256080553291E-3</v>
      </c>
      <c r="L267" s="3358">
        <v>7.7494256080553291E-3</v>
      </c>
      <c r="M267" s="1387"/>
    </row>
    <row r="268" spans="2:20" ht="15" customHeight="1">
      <c r="B268" s="186"/>
      <c r="C268" s="11"/>
      <c r="D268" s="1196" t="s">
        <v>494</v>
      </c>
      <c r="E268" s="1411">
        <v>2.7927075517519568E-3</v>
      </c>
      <c r="F268" s="1411">
        <v>2.7927075517519568E-3</v>
      </c>
      <c r="G268" s="1411">
        <v>3.2411459408676758E-3</v>
      </c>
      <c r="H268" s="1411">
        <v>3.7017084601214481E-3</v>
      </c>
      <c r="I268" s="3358">
        <v>3.7017084601214481E-3</v>
      </c>
      <c r="J268" s="3358">
        <v>3.7017084601214481E-3</v>
      </c>
      <c r="K268" s="3358">
        <v>3.7017084601214481E-3</v>
      </c>
      <c r="L268" s="3358">
        <v>3.7017084601214481E-3</v>
      </c>
      <c r="M268" s="1387"/>
    </row>
    <row r="269" spans="2:20" ht="15" customHeight="1">
      <c r="B269" s="186"/>
      <c r="C269" s="11"/>
      <c r="D269" s="1196" t="s">
        <v>1854</v>
      </c>
      <c r="E269" s="1411">
        <v>9.3603602647336581E-2</v>
      </c>
      <c r="F269" s="1411">
        <v>9.3603602647336581E-2</v>
      </c>
      <c r="G269" s="1411">
        <v>0.10863398016046606</v>
      </c>
      <c r="H269" s="1411">
        <v>0.12407072398258304</v>
      </c>
      <c r="I269" s="3358">
        <v>0.12407072398258304</v>
      </c>
      <c r="J269" s="3358">
        <v>0.12407072398258304</v>
      </c>
      <c r="K269" s="3358">
        <v>0.12407072398258304</v>
      </c>
      <c r="L269" s="3358">
        <v>0.12407072398258304</v>
      </c>
      <c r="M269" s="1387"/>
    </row>
    <row r="270" spans="2:20" ht="15" customHeight="1">
      <c r="B270" s="186"/>
      <c r="C270" s="11"/>
      <c r="D270" s="1196" t="s">
        <v>506</v>
      </c>
      <c r="E270" s="1411">
        <v>9.5189247366907486E-4</v>
      </c>
      <c r="F270" s="1411">
        <v>9.5189247366907486E-4</v>
      </c>
      <c r="G270" s="1411">
        <v>1.104742394254476E-3</v>
      </c>
      <c r="H270" s="1411">
        <v>1.2617248163690681E-3</v>
      </c>
      <c r="I270" s="3358">
        <v>1.2617248163690681E-3</v>
      </c>
      <c r="J270" s="3358">
        <v>1.2617248163690681E-3</v>
      </c>
      <c r="K270" s="3358">
        <v>1.2617248163690681E-3</v>
      </c>
      <c r="L270" s="3358">
        <v>1.2617248163690681E-3</v>
      </c>
      <c r="M270" s="1387"/>
    </row>
    <row r="271" spans="2:20" ht="15" customHeight="1">
      <c r="B271" s="186"/>
      <c r="C271" s="11"/>
      <c r="D271" s="1196" t="s">
        <v>507</v>
      </c>
      <c r="E271" s="1411">
        <v>1.6727384556109681E-2</v>
      </c>
      <c r="F271" s="1411">
        <v>1.6727384556109681E-2</v>
      </c>
      <c r="G271" s="1411">
        <v>1.9413380581635244E-2</v>
      </c>
      <c r="H271" s="1411">
        <v>2.2171996093257845E-2</v>
      </c>
      <c r="I271" s="3358">
        <v>2.2171996093257845E-2</v>
      </c>
      <c r="J271" s="3358">
        <v>2.2171996093257845E-2</v>
      </c>
      <c r="K271" s="3358">
        <v>2.2171996093257845E-2</v>
      </c>
      <c r="L271" s="3358">
        <v>2.2171996093257845E-2</v>
      </c>
      <c r="M271" s="1387"/>
    </row>
    <row r="272" spans="2:20" ht="15" customHeight="1">
      <c r="B272" s="186"/>
      <c r="C272" s="11"/>
      <c r="D272" s="1196" t="s">
        <v>570</v>
      </c>
      <c r="E272" s="1411">
        <v>1.4163906842320207E-2</v>
      </c>
      <c r="F272" s="1411">
        <v>1.4163906842320207E-2</v>
      </c>
      <c r="G272" s="1411">
        <v>1.643827300857725E-2</v>
      </c>
      <c r="H272" s="1411">
        <v>1.8774129698506142E-2</v>
      </c>
      <c r="I272" s="3358">
        <v>1.8774129698506142E-2</v>
      </c>
      <c r="J272" s="3358">
        <v>1.8774129698506142E-2</v>
      </c>
      <c r="K272" s="3358">
        <v>1.8774129698506142E-2</v>
      </c>
      <c r="L272" s="3358">
        <v>1.8774129698506142E-2</v>
      </c>
      <c r="M272" s="1387"/>
    </row>
    <row r="273" spans="2:20" ht="15" customHeight="1">
      <c r="B273" s="186"/>
      <c r="C273" s="11"/>
      <c r="D273" s="1196" t="s">
        <v>498</v>
      </c>
      <c r="E273" s="1411">
        <v>1.3707276064479038E-2</v>
      </c>
      <c r="F273" s="1411">
        <v>1.3707276064479038E-2</v>
      </c>
      <c r="G273" s="1411">
        <v>1.5908318845941533E-2</v>
      </c>
      <c r="H273" s="1411">
        <v>1.8168869755542869E-2</v>
      </c>
      <c r="I273" s="3358">
        <v>1.8168869755542869E-2</v>
      </c>
      <c r="J273" s="3358">
        <v>1.8168869755542869E-2</v>
      </c>
      <c r="K273" s="3358">
        <v>1.8168869755542869E-2</v>
      </c>
      <c r="L273" s="3358">
        <v>1.8168869755542869E-2</v>
      </c>
      <c r="M273" s="1387"/>
    </row>
    <row r="274" spans="2:20" ht="15" customHeight="1">
      <c r="B274" s="186"/>
      <c r="C274" s="11"/>
      <c r="D274" s="1196" t="s">
        <v>502</v>
      </c>
      <c r="E274" s="1411">
        <v>1.3898000089675389E-4</v>
      </c>
      <c r="F274" s="1411">
        <v>1.3898000089675389E-4</v>
      </c>
      <c r="G274" s="1411">
        <v>1.6129668338731528E-4</v>
      </c>
      <c r="H274" s="1411">
        <v>1.842167271630216E-4</v>
      </c>
      <c r="I274" s="3358">
        <v>1.842167271630216E-4</v>
      </c>
      <c r="J274" s="3358">
        <v>1.842167271630216E-4</v>
      </c>
      <c r="K274" s="3358">
        <v>1.842167271630216E-4</v>
      </c>
      <c r="L274" s="3358">
        <v>1.842167271630216E-4</v>
      </c>
      <c r="M274" s="1387"/>
    </row>
    <row r="275" spans="2:20" ht="15" customHeight="1">
      <c r="B275" s="186"/>
      <c r="C275" s="11"/>
      <c r="D275" s="1196" t="s">
        <v>571</v>
      </c>
      <c r="E275" s="1411">
        <v>0.55840508306747416</v>
      </c>
      <c r="F275" s="1411">
        <v>0.55840508306747416</v>
      </c>
      <c r="G275" s="1411">
        <v>0.64807085411024479</v>
      </c>
      <c r="H275" s="1411">
        <v>0.74016085890159156</v>
      </c>
      <c r="I275" s="3358">
        <v>0.74016085890159156</v>
      </c>
      <c r="J275" s="3358">
        <v>0.74016085890159156</v>
      </c>
      <c r="K275" s="3358">
        <v>0.74016085890159156</v>
      </c>
      <c r="L275" s="3358">
        <v>0.74016085890159156</v>
      </c>
      <c r="M275" s="1387"/>
    </row>
    <row r="276" spans="2:20" ht="15" customHeight="1">
      <c r="B276" s="186"/>
      <c r="C276" s="11"/>
      <c r="D276" s="1196" t="s">
        <v>549</v>
      </c>
      <c r="E276" s="1411">
        <v>0</v>
      </c>
      <c r="F276" s="1411">
        <v>0</v>
      </c>
      <c r="G276" s="1411">
        <v>0</v>
      </c>
      <c r="H276" s="1411">
        <v>0</v>
      </c>
      <c r="I276" s="3358">
        <v>0</v>
      </c>
      <c r="J276" s="3358">
        <v>0</v>
      </c>
      <c r="K276" s="3358">
        <v>0</v>
      </c>
      <c r="L276" s="3358">
        <v>0</v>
      </c>
      <c r="M276" s="1387"/>
    </row>
    <row r="277" spans="2:20" ht="15" customHeight="1">
      <c r="B277" s="186"/>
      <c r="C277" s="11"/>
      <c r="D277" s="1413" t="s">
        <v>572</v>
      </c>
      <c r="E277" s="1411">
        <v>0</v>
      </c>
      <c r="F277" s="1411">
        <v>0</v>
      </c>
      <c r="G277" s="1411">
        <v>0</v>
      </c>
      <c r="H277" s="1411">
        <v>0</v>
      </c>
      <c r="I277" s="3358">
        <v>0</v>
      </c>
      <c r="J277" s="3358">
        <v>0</v>
      </c>
      <c r="K277" s="3358">
        <v>0</v>
      </c>
      <c r="L277" s="3358">
        <v>0</v>
      </c>
      <c r="M277" s="1387"/>
    </row>
    <row r="278" spans="2:20" ht="15" customHeight="1">
      <c r="B278" s="186"/>
      <c r="C278" s="11"/>
      <c r="D278" s="1730" t="s">
        <v>338</v>
      </c>
      <c r="E278" s="1414">
        <f t="shared" ref="E278:L278" si="11">SUM(E262:E277)</f>
        <v>5.4786832853430321</v>
      </c>
      <c r="F278" s="1414">
        <f t="shared" si="11"/>
        <v>5.4786832853430321</v>
      </c>
      <c r="G278" s="1414">
        <f t="shared" si="11"/>
        <v>6.3584216257980444</v>
      </c>
      <c r="H278" s="1414">
        <f t="shared" si="11"/>
        <v>7.2619448659984656</v>
      </c>
      <c r="I278" s="1414">
        <f t="shared" si="11"/>
        <v>7.2619448659984656</v>
      </c>
      <c r="J278" s="1414">
        <f t="shared" si="11"/>
        <v>7.2619448659984656</v>
      </c>
      <c r="K278" s="1414">
        <f t="shared" si="11"/>
        <v>7.2619448659984656</v>
      </c>
      <c r="L278" s="1414">
        <f t="shared" si="11"/>
        <v>7.2619448659984656</v>
      </c>
      <c r="M278" s="1387"/>
    </row>
    <row r="279" spans="2:20" ht="15" customHeight="1">
      <c r="B279" s="186"/>
      <c r="C279" s="11"/>
      <c r="D279" s="451"/>
      <c r="E279" s="447"/>
      <c r="F279" s="447"/>
      <c r="G279" s="447"/>
      <c r="H279" s="447"/>
      <c r="I279" s="447"/>
      <c r="J279" s="447"/>
      <c r="K279" s="447"/>
      <c r="L279" s="1408"/>
      <c r="M279" s="1387"/>
    </row>
    <row r="280" spans="2:20" ht="15" customHeight="1">
      <c r="B280" s="186"/>
      <c r="C280" s="11"/>
      <c r="D280" s="286" t="s">
        <v>1855</v>
      </c>
      <c r="E280" s="447"/>
      <c r="F280" s="447"/>
      <c r="G280" s="447"/>
      <c r="H280" s="1409"/>
      <c r="I280" s="1409"/>
      <c r="J280" s="1409"/>
      <c r="K280" s="1409"/>
      <c r="L280" s="1409" t="s">
        <v>12</v>
      </c>
      <c r="M280" s="1387"/>
      <c r="N280" s="2208"/>
      <c r="O280" s="2208"/>
      <c r="P280" s="2208"/>
      <c r="Q280" s="2208"/>
      <c r="R280" s="2208"/>
    </row>
    <row r="281" spans="2:20" ht="15" customHeight="1">
      <c r="B281" s="186"/>
      <c r="C281" s="11"/>
      <c r="D281" s="528" t="s">
        <v>1469</v>
      </c>
      <c r="E281" s="1920">
        <v>2018</v>
      </c>
      <c r="F281" s="1920">
        <v>2020</v>
      </c>
      <c r="G281" s="1920">
        <v>2025</v>
      </c>
      <c r="H281" s="1920">
        <v>2030</v>
      </c>
      <c r="I281" s="1920">
        <v>2035</v>
      </c>
      <c r="J281" s="1920">
        <v>2040</v>
      </c>
      <c r="K281" s="1920">
        <v>2045</v>
      </c>
      <c r="L281" s="1920">
        <v>2050</v>
      </c>
      <c r="M281" s="1387"/>
    </row>
    <row r="282" spans="2:20" ht="15" customHeight="1">
      <c r="B282" s="186"/>
      <c r="C282" s="11"/>
      <c r="D282" s="1196" t="s">
        <v>504</v>
      </c>
      <c r="E282" s="1410">
        <v>0</v>
      </c>
      <c r="F282" s="1410">
        <v>0</v>
      </c>
      <c r="G282" s="1410">
        <v>0</v>
      </c>
      <c r="H282" s="1410">
        <v>0</v>
      </c>
      <c r="I282" s="3357">
        <v>0</v>
      </c>
      <c r="J282" s="3357">
        <v>0</v>
      </c>
      <c r="K282" s="3357">
        <v>0</v>
      </c>
      <c r="L282" s="3357">
        <v>0</v>
      </c>
      <c r="M282" s="1387"/>
      <c r="S282" s="2208"/>
      <c r="T282" s="2208"/>
    </row>
    <row r="283" spans="2:20" ht="15" customHeight="1">
      <c r="B283" s="186"/>
      <c r="C283" s="11"/>
      <c r="D283" s="1196" t="s">
        <v>569</v>
      </c>
      <c r="E283" s="1411">
        <v>2.4604596887198857E-3</v>
      </c>
      <c r="F283" s="1411">
        <v>2.4604596887198857E-3</v>
      </c>
      <c r="G283" s="1411">
        <v>2.8223311200272858E-3</v>
      </c>
      <c r="H283" s="1411">
        <v>3.1858868119955374E-3</v>
      </c>
      <c r="I283" s="3358">
        <v>3.1858868119955374E-3</v>
      </c>
      <c r="J283" s="3358">
        <v>3.1858868119955374E-3</v>
      </c>
      <c r="K283" s="3358">
        <v>3.1858868119955374E-3</v>
      </c>
      <c r="L283" s="3358">
        <v>3.1858868119955374E-3</v>
      </c>
      <c r="M283" s="1387"/>
    </row>
    <row r="284" spans="2:20" ht="15" customHeight="1">
      <c r="B284" s="186"/>
      <c r="C284" s="11"/>
      <c r="D284" s="1196" t="s">
        <v>513</v>
      </c>
      <c r="E284" s="1411">
        <v>0.96610709143409135</v>
      </c>
      <c r="F284" s="1411">
        <v>0.96610709143409135</v>
      </c>
      <c r="G284" s="1411">
        <v>1.1081970259192102</v>
      </c>
      <c r="H284" s="1411">
        <v>1.2509482905515903</v>
      </c>
      <c r="I284" s="3358">
        <v>1.2509482905515903</v>
      </c>
      <c r="J284" s="3358">
        <v>1.2509482905515903</v>
      </c>
      <c r="K284" s="3358">
        <v>1.2509482905515903</v>
      </c>
      <c r="L284" s="3358">
        <v>1.2509482905515903</v>
      </c>
      <c r="M284" s="1387"/>
    </row>
    <row r="285" spans="2:20" ht="15" customHeight="1">
      <c r="B285" s="186"/>
      <c r="C285" s="11"/>
      <c r="D285" s="1196" t="s">
        <v>503</v>
      </c>
      <c r="E285" s="1411">
        <v>0</v>
      </c>
      <c r="F285" s="1411">
        <v>0</v>
      </c>
      <c r="G285" s="1411">
        <v>0</v>
      </c>
      <c r="H285" s="1411">
        <v>0</v>
      </c>
      <c r="I285" s="3358">
        <v>0</v>
      </c>
      <c r="J285" s="3358">
        <v>0</v>
      </c>
      <c r="K285" s="3358">
        <v>0</v>
      </c>
      <c r="L285" s="3358">
        <v>0</v>
      </c>
      <c r="M285" s="1387"/>
    </row>
    <row r="286" spans="2:20" ht="15" customHeight="1">
      <c r="B286" s="186"/>
      <c r="C286" s="11"/>
      <c r="D286" s="1196" t="s">
        <v>525</v>
      </c>
      <c r="E286" s="1411">
        <v>3.5248669284326179E-3</v>
      </c>
      <c r="F286" s="1411">
        <v>3.5248669284326179E-3</v>
      </c>
      <c r="G286" s="1411">
        <v>4.0432857614693283E-3</v>
      </c>
      <c r="H286" s="1411">
        <v>4.5641174748021528E-3</v>
      </c>
      <c r="I286" s="3358">
        <v>4.5641174748021528E-3</v>
      </c>
      <c r="J286" s="3358">
        <v>4.5641174748021528E-3</v>
      </c>
      <c r="K286" s="3358">
        <v>4.5641174748021528E-3</v>
      </c>
      <c r="L286" s="3358">
        <v>4.5641174748021528E-3</v>
      </c>
      <c r="M286" s="1387"/>
    </row>
    <row r="287" spans="2:20" ht="15" customHeight="1">
      <c r="B287" s="186"/>
      <c r="C287" s="11"/>
      <c r="D287" s="1196" t="s">
        <v>487</v>
      </c>
      <c r="E287" s="1411">
        <v>0</v>
      </c>
      <c r="F287" s="1411">
        <v>0</v>
      </c>
      <c r="G287" s="1411">
        <v>0</v>
      </c>
      <c r="H287" s="1411">
        <v>0</v>
      </c>
      <c r="I287" s="3358">
        <v>0</v>
      </c>
      <c r="J287" s="3358">
        <v>0</v>
      </c>
      <c r="K287" s="3358">
        <v>0</v>
      </c>
      <c r="L287" s="3358">
        <v>0</v>
      </c>
      <c r="M287" s="1387"/>
    </row>
    <row r="288" spans="2:20" ht="15" customHeight="1">
      <c r="B288" s="186"/>
      <c r="C288" s="11"/>
      <c r="D288" s="1196" t="s">
        <v>494</v>
      </c>
      <c r="E288" s="1411">
        <v>4.068598816207707E-3</v>
      </c>
      <c r="F288" s="1411">
        <v>4.068598816207707E-3</v>
      </c>
      <c r="G288" s="1411">
        <v>4.6669868669392683E-3</v>
      </c>
      <c r="H288" s="1411">
        <v>5.2681599992400749E-3</v>
      </c>
      <c r="I288" s="3358">
        <v>5.2681599992400749E-3</v>
      </c>
      <c r="J288" s="3358">
        <v>5.2681599992400749E-3</v>
      </c>
      <c r="K288" s="3358">
        <v>5.2681599992400749E-3</v>
      </c>
      <c r="L288" s="3358">
        <v>5.2681599992400749E-3</v>
      </c>
      <c r="M288" s="1387"/>
    </row>
    <row r="289" spans="2:20" ht="15" customHeight="1">
      <c r="B289" s="186"/>
      <c r="C289" s="11"/>
      <c r="D289" s="1196" t="s">
        <v>1854</v>
      </c>
      <c r="E289" s="1411">
        <v>4.4076866052160414E-2</v>
      </c>
      <c r="F289" s="1411">
        <v>4.4076866052160414E-2</v>
      </c>
      <c r="G289" s="1411">
        <v>5.0559458991587237E-2</v>
      </c>
      <c r="H289" s="1411">
        <v>5.7072223907366937E-2</v>
      </c>
      <c r="I289" s="3358">
        <v>5.7072223907366937E-2</v>
      </c>
      <c r="J289" s="3358">
        <v>5.7072223907366937E-2</v>
      </c>
      <c r="K289" s="3358">
        <v>5.7072223907366937E-2</v>
      </c>
      <c r="L289" s="3358">
        <v>5.7072223907366937E-2</v>
      </c>
      <c r="M289" s="1387"/>
    </row>
    <row r="290" spans="2:20" ht="15" customHeight="1">
      <c r="B290" s="186"/>
      <c r="C290" s="11"/>
      <c r="D290" s="1196" t="s">
        <v>506</v>
      </c>
      <c r="E290" s="1411">
        <v>1.1523764458753802E-4</v>
      </c>
      <c r="F290" s="1411">
        <v>1.1523764458753802E-4</v>
      </c>
      <c r="G290" s="1411">
        <v>1.3218618943814761E-4</v>
      </c>
      <c r="H290" s="1411">
        <v>1.492136180161833E-4</v>
      </c>
      <c r="I290" s="3358">
        <v>1.492136180161833E-4</v>
      </c>
      <c r="J290" s="3358">
        <v>1.492136180161833E-4</v>
      </c>
      <c r="K290" s="3358">
        <v>1.492136180161833E-4</v>
      </c>
      <c r="L290" s="3358">
        <v>1.492136180161833E-4</v>
      </c>
      <c r="M290" s="1387"/>
    </row>
    <row r="291" spans="2:20" ht="15" customHeight="1">
      <c r="B291" s="186"/>
      <c r="C291" s="11"/>
      <c r="D291" s="1196" t="s">
        <v>507</v>
      </c>
      <c r="E291" s="1411">
        <v>3.3219524380950086E-3</v>
      </c>
      <c r="F291" s="1411">
        <v>3.3219524380950086E-3</v>
      </c>
      <c r="G291" s="1411">
        <v>3.8105276783315092E-3</v>
      </c>
      <c r="H291" s="1411">
        <v>4.3013768976274342E-3</v>
      </c>
      <c r="I291" s="3358">
        <v>4.3013768976274342E-3</v>
      </c>
      <c r="J291" s="3358">
        <v>4.3013768976274342E-3</v>
      </c>
      <c r="K291" s="3358">
        <v>4.3013768976274342E-3</v>
      </c>
      <c r="L291" s="3358">
        <v>4.3013768976274342E-3</v>
      </c>
      <c r="M291" s="1387"/>
    </row>
    <row r="292" spans="2:20" ht="15" customHeight="1">
      <c r="B292" s="186"/>
      <c r="C292" s="11"/>
      <c r="D292" s="1196" t="s">
        <v>570</v>
      </c>
      <c r="E292" s="1411">
        <v>8.548808198381142E-4</v>
      </c>
      <c r="F292" s="1411">
        <v>8.548808198381142E-4</v>
      </c>
      <c r="G292" s="1411">
        <v>9.8061218105095034E-4</v>
      </c>
      <c r="H292" s="1411">
        <v>1.1069287345923462E-3</v>
      </c>
      <c r="I292" s="3358">
        <v>1.1069287345923462E-3</v>
      </c>
      <c r="J292" s="3358">
        <v>1.1069287345923462E-3</v>
      </c>
      <c r="K292" s="3358">
        <v>1.1069287345923462E-3</v>
      </c>
      <c r="L292" s="3358">
        <v>1.1069287345923462E-3</v>
      </c>
      <c r="M292" s="1387"/>
    </row>
    <row r="293" spans="2:20" ht="15" customHeight="1">
      <c r="B293" s="186"/>
      <c r="C293" s="11"/>
      <c r="D293" s="1196" t="s">
        <v>498</v>
      </c>
      <c r="E293" s="1411">
        <v>4.2244078399685317E-3</v>
      </c>
      <c r="F293" s="1411">
        <v>4.2244078399685317E-3</v>
      </c>
      <c r="G293" s="1411">
        <v>4.8457114599725461E-3</v>
      </c>
      <c r="H293" s="1411">
        <v>5.4699068176355305E-3</v>
      </c>
      <c r="I293" s="3358">
        <v>5.4699068176355305E-3</v>
      </c>
      <c r="J293" s="3358">
        <v>5.4699068176355305E-3</v>
      </c>
      <c r="K293" s="3358">
        <v>5.4699068176355305E-3</v>
      </c>
      <c r="L293" s="3358">
        <v>5.4699068176355305E-3</v>
      </c>
      <c r="M293" s="1387"/>
    </row>
    <row r="294" spans="2:20" ht="15" customHeight="1">
      <c r="B294" s="186"/>
      <c r="C294" s="11"/>
      <c r="D294" s="1196" t="s">
        <v>502</v>
      </c>
      <c r="E294" s="1411">
        <v>1.0070800106108963E-5</v>
      </c>
      <c r="F294" s="1411">
        <v>1.0070800106108963E-5</v>
      </c>
      <c r="G294" s="1411">
        <v>1.1551960259033241E-5</v>
      </c>
      <c r="H294" s="1411">
        <v>1.3040014185718486E-5</v>
      </c>
      <c r="I294" s="3358">
        <v>1.3040014185718486E-5</v>
      </c>
      <c r="J294" s="3358">
        <v>1.3040014185718486E-5</v>
      </c>
      <c r="K294" s="3358">
        <v>1.3040014185718486E-5</v>
      </c>
      <c r="L294" s="3358">
        <v>1.3040014185718486E-5</v>
      </c>
      <c r="M294" s="1387"/>
    </row>
    <row r="295" spans="2:20" ht="15" customHeight="1">
      <c r="B295" s="186"/>
      <c r="C295" s="11"/>
      <c r="D295" s="1196" t="s">
        <v>571</v>
      </c>
      <c r="E295" s="1411">
        <v>1.0318359620703796</v>
      </c>
      <c r="F295" s="1411">
        <v>1.0318359620703796</v>
      </c>
      <c r="G295" s="1411">
        <v>1.1835929521079296</v>
      </c>
      <c r="H295" s="1411">
        <v>1.3360562657350645</v>
      </c>
      <c r="I295" s="3358">
        <v>1.3360562657350645</v>
      </c>
      <c r="J295" s="3358">
        <v>1.3360562657350645</v>
      </c>
      <c r="K295" s="3358">
        <v>1.3360562657350645</v>
      </c>
      <c r="L295" s="3358">
        <v>1.3360562657350645</v>
      </c>
      <c r="M295" s="1387"/>
    </row>
    <row r="296" spans="2:20" ht="15" customHeight="1">
      <c r="B296" s="186"/>
      <c r="C296" s="11"/>
      <c r="D296" s="1196" t="s">
        <v>549</v>
      </c>
      <c r="E296" s="1411">
        <v>0</v>
      </c>
      <c r="F296" s="1411">
        <v>0</v>
      </c>
      <c r="G296" s="1411">
        <v>0</v>
      </c>
      <c r="H296" s="1411">
        <v>0</v>
      </c>
      <c r="I296" s="3358">
        <v>0</v>
      </c>
      <c r="J296" s="3358">
        <v>0</v>
      </c>
      <c r="K296" s="3358">
        <v>0</v>
      </c>
      <c r="L296" s="3358">
        <v>0</v>
      </c>
      <c r="M296" s="1387"/>
    </row>
    <row r="297" spans="2:20" ht="15" customHeight="1">
      <c r="B297" s="186"/>
      <c r="C297" s="11"/>
      <c r="D297" s="1413" t="s">
        <v>572</v>
      </c>
      <c r="E297" s="1411">
        <v>0</v>
      </c>
      <c r="F297" s="1411">
        <v>0</v>
      </c>
      <c r="G297" s="1411">
        <v>0</v>
      </c>
      <c r="H297" s="1411">
        <v>0</v>
      </c>
      <c r="I297" s="3358">
        <v>0</v>
      </c>
      <c r="J297" s="3358">
        <v>0</v>
      </c>
      <c r="K297" s="3358">
        <v>0</v>
      </c>
      <c r="L297" s="3358">
        <v>0</v>
      </c>
      <c r="M297" s="1387"/>
    </row>
    <row r="298" spans="2:20" ht="15" customHeight="1">
      <c r="B298" s="186"/>
      <c r="C298" s="11"/>
      <c r="D298" s="1730" t="s">
        <v>338</v>
      </c>
      <c r="E298" s="1414">
        <f>SUM(E282:E297)</f>
        <v>2.0606003945325866</v>
      </c>
      <c r="F298" s="1414">
        <f>SUM(F282:F297)</f>
        <v>2.0606003945325866</v>
      </c>
      <c r="G298" s="1414">
        <f>SUM(G282:G297)</f>
        <v>2.3636626302362149</v>
      </c>
      <c r="H298" s="1414">
        <f>SUM(H282:H297)</f>
        <v>2.6681354105621171</v>
      </c>
      <c r="I298" s="1414">
        <v>27.506555690934096</v>
      </c>
      <c r="J298" s="1414">
        <v>27.506555690934096</v>
      </c>
      <c r="K298" s="1414">
        <v>27.506555690934096</v>
      </c>
      <c r="L298" s="1414">
        <v>27.506555690934096</v>
      </c>
      <c r="M298" s="1387"/>
    </row>
    <row r="299" spans="2:20" ht="15" customHeight="1">
      <c r="B299" s="186"/>
      <c r="C299" s="11"/>
      <c r="D299" s="451"/>
      <c r="E299" s="447"/>
      <c r="F299" s="447"/>
      <c r="G299" s="447"/>
      <c r="H299" s="447"/>
      <c r="I299" s="447"/>
      <c r="J299" s="447"/>
      <c r="K299" s="447"/>
      <c r="L299" s="447"/>
      <c r="M299" s="1387"/>
    </row>
    <row r="300" spans="2:20" ht="15" customHeight="1">
      <c r="B300" s="186"/>
      <c r="C300" s="11"/>
      <c r="D300" s="286" t="s">
        <v>559</v>
      </c>
      <c r="E300" s="447"/>
      <c r="F300" s="447"/>
      <c r="G300" s="447"/>
      <c r="H300" s="1409"/>
      <c r="I300" s="1409"/>
      <c r="J300" s="1409"/>
      <c r="K300" s="1409"/>
      <c r="L300" s="1409" t="s">
        <v>12</v>
      </c>
      <c r="M300" s="1387"/>
      <c r="N300" s="2208"/>
      <c r="O300" s="2208"/>
      <c r="P300" s="2208"/>
      <c r="Q300" s="2208"/>
      <c r="R300" s="2208"/>
    </row>
    <row r="301" spans="2:20" ht="15" customHeight="1">
      <c r="B301" s="186"/>
      <c r="C301" s="11"/>
      <c r="D301" s="528" t="s">
        <v>1469</v>
      </c>
      <c r="E301" s="1920">
        <v>2018</v>
      </c>
      <c r="F301" s="1920">
        <v>2020</v>
      </c>
      <c r="G301" s="1920">
        <v>2025</v>
      </c>
      <c r="H301" s="1920">
        <v>2030</v>
      </c>
      <c r="I301" s="1920">
        <v>2035</v>
      </c>
      <c r="J301" s="1920">
        <v>2040</v>
      </c>
      <c r="K301" s="1920">
        <v>2045</v>
      </c>
      <c r="L301" s="1920">
        <v>2050</v>
      </c>
      <c r="M301" s="1387"/>
    </row>
    <row r="302" spans="2:20" ht="15" customHeight="1">
      <c r="B302" s="186"/>
      <c r="C302" s="11"/>
      <c r="D302" s="1196" t="s">
        <v>504</v>
      </c>
      <c r="E302" s="1410">
        <v>0</v>
      </c>
      <c r="F302" s="1410">
        <v>0</v>
      </c>
      <c r="G302" s="1410">
        <v>0</v>
      </c>
      <c r="H302" s="1410">
        <v>0</v>
      </c>
      <c r="I302" s="3357">
        <v>0</v>
      </c>
      <c r="J302" s="3357">
        <v>0</v>
      </c>
      <c r="K302" s="3357">
        <v>0</v>
      </c>
      <c r="L302" s="3357">
        <v>0</v>
      </c>
      <c r="M302" s="1387"/>
      <c r="S302" s="2208"/>
      <c r="T302" s="2208"/>
    </row>
    <row r="303" spans="2:20" ht="15" customHeight="1">
      <c r="B303" s="186"/>
      <c r="C303" s="11"/>
      <c r="D303" s="1196" t="s">
        <v>569</v>
      </c>
      <c r="E303" s="1411">
        <v>1.1891657317183872</v>
      </c>
      <c r="F303" s="1411">
        <v>1.1891657317183872</v>
      </c>
      <c r="G303" s="1411">
        <v>1.3791001034144388</v>
      </c>
      <c r="H303" s="1410">
        <v>1.5739219500243631</v>
      </c>
      <c r="I303" s="3358">
        <v>1.5739219500243631</v>
      </c>
      <c r="J303" s="3358">
        <v>1.5739219500243631</v>
      </c>
      <c r="K303" s="3358">
        <v>1.5739219500243631</v>
      </c>
      <c r="L303" s="3358">
        <v>1.5739219500243631</v>
      </c>
      <c r="M303" s="1387"/>
    </row>
    <row r="304" spans="2:20" ht="15" customHeight="1">
      <c r="B304" s="186"/>
      <c r="C304" s="11"/>
      <c r="D304" s="1196" t="s">
        <v>513</v>
      </c>
      <c r="E304" s="1411">
        <v>0.65062396927930943</v>
      </c>
      <c r="F304" s="1411">
        <v>0.65062396927930943</v>
      </c>
      <c r="G304" s="1411">
        <v>0.75454207885759783</v>
      </c>
      <c r="H304" s="1410">
        <v>0.86113425500491003</v>
      </c>
      <c r="I304" s="3358">
        <v>0.86113425500491003</v>
      </c>
      <c r="J304" s="3358">
        <v>0.86113425500491003</v>
      </c>
      <c r="K304" s="3358">
        <v>0.86113425500491003</v>
      </c>
      <c r="L304" s="3358">
        <v>0.86113425500491003</v>
      </c>
      <c r="M304" s="1387"/>
    </row>
    <row r="305" spans="2:18" ht="15" customHeight="1">
      <c r="B305" s="186"/>
      <c r="C305" s="11"/>
      <c r="D305" s="1196" t="s">
        <v>503</v>
      </c>
      <c r="E305" s="1411">
        <v>0</v>
      </c>
      <c r="F305" s="1411">
        <v>0</v>
      </c>
      <c r="G305" s="1411">
        <v>0</v>
      </c>
      <c r="H305" s="1410">
        <v>0</v>
      </c>
      <c r="I305" s="3358">
        <v>0</v>
      </c>
      <c r="J305" s="3358">
        <v>0</v>
      </c>
      <c r="K305" s="3358">
        <v>0</v>
      </c>
      <c r="L305" s="3358">
        <v>0</v>
      </c>
      <c r="M305" s="1387"/>
    </row>
    <row r="306" spans="2:18" ht="15" customHeight="1">
      <c r="B306" s="186"/>
      <c r="C306" s="11"/>
      <c r="D306" s="1196" t="s">
        <v>525</v>
      </c>
      <c r="E306" s="1411">
        <v>0</v>
      </c>
      <c r="F306" s="1411">
        <v>0</v>
      </c>
      <c r="G306" s="1411">
        <v>0</v>
      </c>
      <c r="H306" s="1410">
        <v>0</v>
      </c>
      <c r="I306" s="3358">
        <v>0</v>
      </c>
      <c r="J306" s="3358">
        <v>0</v>
      </c>
      <c r="K306" s="3358">
        <v>0</v>
      </c>
      <c r="L306" s="3358">
        <v>0</v>
      </c>
      <c r="M306" s="1387"/>
    </row>
    <row r="307" spans="2:18" ht="15" customHeight="1">
      <c r="B307" s="186"/>
      <c r="C307" s="11"/>
      <c r="D307" s="1196" t="s">
        <v>487</v>
      </c>
      <c r="E307" s="1411">
        <v>0</v>
      </c>
      <c r="F307" s="1411">
        <v>0</v>
      </c>
      <c r="G307" s="1411">
        <v>0</v>
      </c>
      <c r="H307" s="1410">
        <v>0</v>
      </c>
      <c r="I307" s="3358">
        <v>0</v>
      </c>
      <c r="J307" s="3358">
        <v>0</v>
      </c>
      <c r="K307" s="3358">
        <v>0</v>
      </c>
      <c r="L307" s="3358">
        <v>0</v>
      </c>
      <c r="M307" s="1387"/>
    </row>
    <row r="308" spans="2:18" ht="15" customHeight="1">
      <c r="B308" s="186"/>
      <c r="C308" s="11"/>
      <c r="D308" s="1196" t="s">
        <v>494</v>
      </c>
      <c r="E308" s="1411">
        <v>4.1358429391967103E-4</v>
      </c>
      <c r="F308" s="1411">
        <v>4.1358429391967103E-4</v>
      </c>
      <c r="G308" s="1411">
        <v>4.7964226289214958E-4</v>
      </c>
      <c r="H308" s="1410">
        <v>5.4740006461912816E-4</v>
      </c>
      <c r="I308" s="3358">
        <v>5.4740006461912816E-4</v>
      </c>
      <c r="J308" s="3358">
        <v>5.4740006461912816E-4</v>
      </c>
      <c r="K308" s="3358">
        <v>5.4740006461912816E-4</v>
      </c>
      <c r="L308" s="3358">
        <v>5.4740006461912816E-4</v>
      </c>
      <c r="M308" s="1387"/>
    </row>
    <row r="309" spans="2:18" ht="15" customHeight="1">
      <c r="B309" s="186"/>
      <c r="C309" s="11"/>
      <c r="D309" s="1196" t="s">
        <v>1854</v>
      </c>
      <c r="E309" s="1411">
        <v>3.4237686715510485E-3</v>
      </c>
      <c r="F309" s="1411">
        <v>3.4237686715510485E-3</v>
      </c>
      <c r="G309" s="1411">
        <v>3.9706153676158425E-3</v>
      </c>
      <c r="H309" s="1410">
        <v>4.5315337637362113E-3</v>
      </c>
      <c r="I309" s="3358">
        <v>4.5315337637362113E-3</v>
      </c>
      <c r="J309" s="3358">
        <v>4.5315337637362113E-3</v>
      </c>
      <c r="K309" s="3358">
        <v>4.5315337637362113E-3</v>
      </c>
      <c r="L309" s="3358">
        <v>4.5315337637362113E-3</v>
      </c>
      <c r="M309" s="1387"/>
    </row>
    <row r="310" spans="2:18" ht="15" customHeight="1">
      <c r="B310" s="186"/>
      <c r="C310" s="11"/>
      <c r="D310" s="1196" t="s">
        <v>506</v>
      </c>
      <c r="E310" s="1411">
        <v>0</v>
      </c>
      <c r="F310" s="1411">
        <v>0</v>
      </c>
      <c r="G310" s="1411">
        <v>0</v>
      </c>
      <c r="H310" s="1410">
        <v>0</v>
      </c>
      <c r="I310" s="3358">
        <v>0</v>
      </c>
      <c r="J310" s="3358">
        <v>0</v>
      </c>
      <c r="K310" s="3358">
        <v>0</v>
      </c>
      <c r="L310" s="3358">
        <v>0</v>
      </c>
      <c r="M310" s="1387"/>
    </row>
    <row r="311" spans="2:18" ht="15" customHeight="1">
      <c r="B311" s="186"/>
      <c r="C311" s="11"/>
      <c r="D311" s="1196" t="s">
        <v>507</v>
      </c>
      <c r="E311" s="1411">
        <v>0</v>
      </c>
      <c r="F311" s="1411">
        <v>0</v>
      </c>
      <c r="G311" s="1411">
        <v>0</v>
      </c>
      <c r="H311" s="1410">
        <v>0</v>
      </c>
      <c r="I311" s="3358">
        <v>0</v>
      </c>
      <c r="J311" s="3358">
        <v>0</v>
      </c>
      <c r="K311" s="3358">
        <v>0</v>
      </c>
      <c r="L311" s="3358">
        <v>0</v>
      </c>
      <c r="M311" s="1387"/>
    </row>
    <row r="312" spans="2:18" ht="15" customHeight="1">
      <c r="B312" s="186"/>
      <c r="C312" s="11"/>
      <c r="D312" s="1196" t="s">
        <v>570</v>
      </c>
      <c r="E312" s="1411">
        <v>0</v>
      </c>
      <c r="F312" s="1411">
        <v>0</v>
      </c>
      <c r="G312" s="1411">
        <v>0</v>
      </c>
      <c r="H312" s="1410">
        <v>0</v>
      </c>
      <c r="I312" s="3358">
        <v>0</v>
      </c>
      <c r="J312" s="3358">
        <v>0</v>
      </c>
      <c r="K312" s="3358">
        <v>0</v>
      </c>
      <c r="L312" s="3358">
        <v>0</v>
      </c>
      <c r="M312" s="1387"/>
    </row>
    <row r="313" spans="2:18" ht="15" customHeight="1">
      <c r="B313" s="186"/>
      <c r="C313" s="11"/>
      <c r="D313" s="1196" t="s">
        <v>498</v>
      </c>
      <c r="E313" s="1411">
        <v>3.2992893740443365E-4</v>
      </c>
      <c r="F313" s="1411">
        <v>3.2992893740443365E-4</v>
      </c>
      <c r="G313" s="1411">
        <v>3.826254150768134E-4</v>
      </c>
      <c r="H313" s="1410">
        <v>4.3667790172415293E-4</v>
      </c>
      <c r="I313" s="3358">
        <v>4.3667790172415293E-4</v>
      </c>
      <c r="J313" s="3358">
        <v>4.3667790172415293E-4</v>
      </c>
      <c r="K313" s="3358">
        <v>4.3667790172415293E-4</v>
      </c>
      <c r="L313" s="3358">
        <v>4.3667790172415293E-4</v>
      </c>
      <c r="M313" s="1387"/>
    </row>
    <row r="314" spans="2:18" ht="15" customHeight="1">
      <c r="B314" s="186"/>
      <c r="C314" s="11"/>
      <c r="D314" s="1196" t="s">
        <v>502</v>
      </c>
      <c r="E314" s="1411">
        <v>0</v>
      </c>
      <c r="F314" s="1411">
        <v>0</v>
      </c>
      <c r="G314" s="1411">
        <v>0</v>
      </c>
      <c r="H314" s="1410">
        <v>0</v>
      </c>
      <c r="I314" s="3358">
        <v>0</v>
      </c>
      <c r="J314" s="3358">
        <v>0</v>
      </c>
      <c r="K314" s="3358">
        <v>0</v>
      </c>
      <c r="L314" s="3358">
        <v>0</v>
      </c>
      <c r="M314" s="1387"/>
    </row>
    <row r="315" spans="2:18" ht="15" customHeight="1">
      <c r="B315" s="186"/>
      <c r="C315" s="11"/>
      <c r="D315" s="1196" t="s">
        <v>571</v>
      </c>
      <c r="E315" s="1411">
        <v>0.35258236874524113</v>
      </c>
      <c r="F315" s="1411">
        <v>0.35258236874524113</v>
      </c>
      <c r="G315" s="1411">
        <v>0.40889706811179832</v>
      </c>
      <c r="H315" s="1410">
        <v>0.46666088212768714</v>
      </c>
      <c r="I315" s="3358">
        <v>0.46666088212768714</v>
      </c>
      <c r="J315" s="3358">
        <v>0.46666088212768714</v>
      </c>
      <c r="K315" s="3358">
        <v>0.46666088212768714</v>
      </c>
      <c r="L315" s="3358">
        <v>0.46666088212768714</v>
      </c>
      <c r="M315" s="1387"/>
    </row>
    <row r="316" spans="2:18" ht="15" customHeight="1">
      <c r="B316" s="186"/>
      <c r="C316" s="11"/>
      <c r="D316" s="1196" t="s">
        <v>549</v>
      </c>
      <c r="E316" s="1411">
        <v>0</v>
      </c>
      <c r="F316" s="1411">
        <v>0</v>
      </c>
      <c r="G316" s="1411">
        <v>0</v>
      </c>
      <c r="H316" s="1410">
        <v>0</v>
      </c>
      <c r="I316" s="3358">
        <v>0</v>
      </c>
      <c r="J316" s="3358">
        <v>0</v>
      </c>
      <c r="K316" s="3358">
        <v>0</v>
      </c>
      <c r="L316" s="3358">
        <v>0</v>
      </c>
      <c r="M316" s="1387"/>
    </row>
    <row r="317" spans="2:18" ht="15" customHeight="1">
      <c r="B317" s="186"/>
      <c r="C317" s="11"/>
      <c r="D317" s="1413" t="s">
        <v>572</v>
      </c>
      <c r="E317" s="1411">
        <v>0</v>
      </c>
      <c r="F317" s="1411">
        <v>0</v>
      </c>
      <c r="G317" s="1411">
        <v>0</v>
      </c>
      <c r="H317" s="1410">
        <v>0</v>
      </c>
      <c r="I317" s="3358">
        <v>0</v>
      </c>
      <c r="J317" s="3358">
        <v>0</v>
      </c>
      <c r="K317" s="3358">
        <v>0</v>
      </c>
      <c r="L317" s="3358">
        <v>0</v>
      </c>
      <c r="M317" s="1387"/>
    </row>
    <row r="318" spans="2:18" ht="15" customHeight="1">
      <c r="B318" s="186"/>
      <c r="C318" s="11"/>
      <c r="D318" s="1730" t="s">
        <v>338</v>
      </c>
      <c r="E318" s="1414">
        <f>SUM(E302:E317)</f>
        <v>2.1965393516458129</v>
      </c>
      <c r="F318" s="1414">
        <f>SUM(F302:F317)</f>
        <v>2.1965393516458129</v>
      </c>
      <c r="G318" s="1414">
        <f>SUM(G302:G317)</f>
        <v>2.5473721334294197</v>
      </c>
      <c r="H318" s="1414">
        <f>SUM(H302:H317)</f>
        <v>2.9072326988870398</v>
      </c>
      <c r="I318" s="1414">
        <v>29.971471122546802</v>
      </c>
      <c r="J318" s="1414">
        <v>29.971471122546802</v>
      </c>
      <c r="K318" s="1414">
        <v>29.971471122546802</v>
      </c>
      <c r="L318" s="1414">
        <v>29.971471122546802</v>
      </c>
      <c r="M318" s="1387"/>
    </row>
    <row r="319" spans="2:18" ht="15" customHeight="1">
      <c r="B319" s="186"/>
      <c r="C319" s="11"/>
      <c r="D319" s="447"/>
      <c r="E319" s="447"/>
      <c r="F319" s="447"/>
      <c r="G319" s="447"/>
      <c r="H319" s="447"/>
      <c r="I319" s="447"/>
      <c r="J319" s="447"/>
      <c r="K319" s="447"/>
      <c r="L319" s="447"/>
      <c r="M319" s="1387"/>
    </row>
    <row r="320" spans="2:18" ht="15" customHeight="1">
      <c r="B320" s="186"/>
      <c r="C320" s="11"/>
      <c r="D320" s="286" t="s">
        <v>560</v>
      </c>
      <c r="E320" s="447"/>
      <c r="F320" s="447"/>
      <c r="G320" s="447"/>
      <c r="H320" s="1409"/>
      <c r="I320" s="1409"/>
      <c r="J320" s="1409"/>
      <c r="K320" s="1409"/>
      <c r="L320" s="1409" t="s">
        <v>12</v>
      </c>
      <c r="M320" s="1387"/>
      <c r="N320" s="2208"/>
      <c r="O320" s="2208"/>
      <c r="P320" s="2208"/>
      <c r="Q320" s="2208"/>
      <c r="R320" s="2208"/>
    </row>
    <row r="321" spans="2:20" ht="15" customHeight="1">
      <c r="B321" s="186"/>
      <c r="C321" s="11"/>
      <c r="D321" s="528" t="s">
        <v>1469</v>
      </c>
      <c r="E321" s="1920">
        <v>2018</v>
      </c>
      <c r="F321" s="1920">
        <v>2020</v>
      </c>
      <c r="G321" s="1920">
        <v>2025</v>
      </c>
      <c r="H321" s="1920">
        <v>2030</v>
      </c>
      <c r="I321" s="1920">
        <v>2035</v>
      </c>
      <c r="J321" s="1920">
        <v>2040</v>
      </c>
      <c r="K321" s="1920">
        <v>2045</v>
      </c>
      <c r="L321" s="1920">
        <v>2050</v>
      </c>
      <c r="M321" s="1387"/>
    </row>
    <row r="322" spans="2:20" ht="15" customHeight="1">
      <c r="B322" s="186"/>
      <c r="C322" s="11"/>
      <c r="D322" s="1196" t="s">
        <v>504</v>
      </c>
      <c r="E322" s="1410">
        <v>0</v>
      </c>
      <c r="F322" s="1410">
        <v>0</v>
      </c>
      <c r="G322" s="1410">
        <v>0</v>
      </c>
      <c r="H322" s="1410">
        <v>0</v>
      </c>
      <c r="I322" s="3357">
        <v>0</v>
      </c>
      <c r="J322" s="3357">
        <v>0</v>
      </c>
      <c r="K322" s="3357">
        <v>0</v>
      </c>
      <c r="L322" s="3357">
        <v>0</v>
      </c>
      <c r="M322" s="1387"/>
      <c r="S322" s="2208"/>
      <c r="T322" s="2208"/>
    </row>
    <row r="323" spans="2:20" ht="15" customHeight="1">
      <c r="B323" s="186"/>
      <c r="C323" s="11"/>
      <c r="D323" s="1196" t="s">
        <v>569</v>
      </c>
      <c r="E323" s="1411">
        <v>0.42276310009315343</v>
      </c>
      <c r="F323" s="1411">
        <v>0.42276310009315343</v>
      </c>
      <c r="G323" s="1411">
        <v>0.4870895048307391</v>
      </c>
      <c r="H323" s="1410">
        <v>0.55228731570933509</v>
      </c>
      <c r="I323" s="3358">
        <v>0.55228731570933509</v>
      </c>
      <c r="J323" s="3358">
        <v>0.55228731570933509</v>
      </c>
      <c r="K323" s="3358">
        <v>0.55228731570933509</v>
      </c>
      <c r="L323" s="3358">
        <v>0.55228731570933509</v>
      </c>
      <c r="M323" s="1387"/>
    </row>
    <row r="324" spans="2:20" ht="15" customHeight="1">
      <c r="B324" s="186"/>
      <c r="C324" s="11"/>
      <c r="D324" s="1196" t="s">
        <v>513</v>
      </c>
      <c r="E324" s="1411">
        <v>0.62883384398865816</v>
      </c>
      <c r="F324" s="1411">
        <v>0.62883384398865816</v>
      </c>
      <c r="G324" s="1411">
        <v>0.72451537426458146</v>
      </c>
      <c r="H324" s="1410">
        <v>0.82149306703246794</v>
      </c>
      <c r="I324" s="3358">
        <v>0.82149306703246794</v>
      </c>
      <c r="J324" s="3358">
        <v>0.82149306703246794</v>
      </c>
      <c r="K324" s="3358">
        <v>0.82149306703246794</v>
      </c>
      <c r="L324" s="3358">
        <v>0.82149306703246794</v>
      </c>
      <c r="M324" s="1387"/>
    </row>
    <row r="325" spans="2:20" ht="15" customHeight="1">
      <c r="B325" s="186"/>
      <c r="C325" s="11"/>
      <c r="D325" s="1196" t="s">
        <v>503</v>
      </c>
      <c r="E325" s="1411">
        <v>8.4910900379429175E-5</v>
      </c>
      <c r="F325" s="1411">
        <v>8.4910900379429175E-5</v>
      </c>
      <c r="G325" s="1411">
        <v>9.783069622546319E-5</v>
      </c>
      <c r="H325" s="1410">
        <v>1.1092551179297487E-4</v>
      </c>
      <c r="I325" s="3358">
        <v>1.1092551179297487E-4</v>
      </c>
      <c r="J325" s="3358">
        <v>1.1092551179297487E-4</v>
      </c>
      <c r="K325" s="3358">
        <v>1.1092551179297487E-4</v>
      </c>
      <c r="L325" s="3358">
        <v>1.1092551179297487E-4</v>
      </c>
      <c r="M325" s="1387"/>
    </row>
    <row r="326" spans="2:20" ht="15" customHeight="1">
      <c r="B326" s="186"/>
      <c r="C326" s="11"/>
      <c r="D326" s="1196" t="s">
        <v>525</v>
      </c>
      <c r="E326" s="1411">
        <v>1.0359836231932423E-4</v>
      </c>
      <c r="F326" s="1411">
        <v>1.0359836231932423E-4</v>
      </c>
      <c r="G326" s="1411">
        <v>1.193615880673507E-4</v>
      </c>
      <c r="H326" s="1410">
        <v>1.3533835243571509E-4</v>
      </c>
      <c r="I326" s="3358">
        <v>1.3533835243571509E-4</v>
      </c>
      <c r="J326" s="3358">
        <v>1.3533835243571509E-4</v>
      </c>
      <c r="K326" s="3358">
        <v>1.3533835243571509E-4</v>
      </c>
      <c r="L326" s="3358">
        <v>1.3533835243571509E-4</v>
      </c>
      <c r="M326" s="1387"/>
    </row>
    <row r="327" spans="2:20" ht="15" customHeight="1">
      <c r="B327" s="186"/>
      <c r="C327" s="11"/>
      <c r="D327" s="1196" t="s">
        <v>487</v>
      </c>
      <c r="E327" s="1411">
        <v>0</v>
      </c>
      <c r="F327" s="1411">
        <v>0</v>
      </c>
      <c r="G327" s="1411">
        <v>0</v>
      </c>
      <c r="H327" s="1410">
        <v>0</v>
      </c>
      <c r="I327" s="3358">
        <v>0</v>
      </c>
      <c r="J327" s="3358">
        <v>0</v>
      </c>
      <c r="K327" s="3358">
        <v>0</v>
      </c>
      <c r="L327" s="3358">
        <v>0</v>
      </c>
      <c r="M327" s="1387"/>
    </row>
    <row r="328" spans="2:20" ht="15" customHeight="1">
      <c r="B328" s="186"/>
      <c r="C328" s="11"/>
      <c r="D328" s="1196" t="s">
        <v>494</v>
      </c>
      <c r="E328" s="1411">
        <v>3.8067225404824876E-3</v>
      </c>
      <c r="F328" s="1411">
        <v>3.8067225404824876E-3</v>
      </c>
      <c r="G328" s="1411">
        <v>4.3859423796993226E-3</v>
      </c>
      <c r="H328" s="1410">
        <v>4.9730086969984868E-3</v>
      </c>
      <c r="I328" s="3358">
        <v>4.9730086969984868E-3</v>
      </c>
      <c r="J328" s="3358">
        <v>4.9730086969984868E-3</v>
      </c>
      <c r="K328" s="3358">
        <v>4.9730086969984868E-3</v>
      </c>
      <c r="L328" s="3358">
        <v>4.9730086969984868E-3</v>
      </c>
      <c r="M328" s="1387"/>
    </row>
    <row r="329" spans="2:20" ht="15" customHeight="1">
      <c r="B329" s="186"/>
      <c r="C329" s="11"/>
      <c r="D329" s="1196" t="s">
        <v>1854</v>
      </c>
      <c r="E329" s="1411">
        <v>9.5754013926097874E-3</v>
      </c>
      <c r="F329" s="1411">
        <v>9.5754013926097874E-3</v>
      </c>
      <c r="G329" s="1411">
        <v>1.1032366641871461E-2</v>
      </c>
      <c r="H329" s="1410">
        <v>1.2509068863386201E-2</v>
      </c>
      <c r="I329" s="3358">
        <v>1.2509068863386201E-2</v>
      </c>
      <c r="J329" s="3358">
        <v>1.2509068863386201E-2</v>
      </c>
      <c r="K329" s="3358">
        <v>1.2509068863386201E-2</v>
      </c>
      <c r="L329" s="3358">
        <v>1.2509068863386201E-2</v>
      </c>
      <c r="M329" s="1387"/>
    </row>
    <row r="330" spans="2:20" ht="15" customHeight="1">
      <c r="B330" s="186"/>
      <c r="C330" s="11"/>
      <c r="D330" s="1196" t="s">
        <v>506</v>
      </c>
      <c r="E330" s="1411">
        <v>0</v>
      </c>
      <c r="F330" s="1411">
        <v>0</v>
      </c>
      <c r="G330" s="1411">
        <v>0</v>
      </c>
      <c r="H330" s="1410">
        <v>0</v>
      </c>
      <c r="I330" s="3358">
        <v>0</v>
      </c>
      <c r="J330" s="3358">
        <v>0</v>
      </c>
      <c r="K330" s="3358">
        <v>0</v>
      </c>
      <c r="L330" s="3358">
        <v>0</v>
      </c>
      <c r="M330" s="1387"/>
    </row>
    <row r="331" spans="2:20" ht="15" customHeight="1">
      <c r="B331" s="186"/>
      <c r="C331" s="11"/>
      <c r="D331" s="1196" t="s">
        <v>507</v>
      </c>
      <c r="E331" s="1411">
        <v>8.1474697043805715E-4</v>
      </c>
      <c r="F331" s="1411">
        <v>8.1474697043805715E-4</v>
      </c>
      <c r="G331" s="1411">
        <v>9.3871650176085262E-4</v>
      </c>
      <c r="H331" s="1410">
        <v>1.0643654027193915E-3</v>
      </c>
      <c r="I331" s="3358">
        <v>1.0643654027193915E-3</v>
      </c>
      <c r="J331" s="3358">
        <v>1.0643654027193915E-3</v>
      </c>
      <c r="K331" s="3358">
        <v>1.0643654027193915E-3</v>
      </c>
      <c r="L331" s="3358">
        <v>1.0643654027193915E-3</v>
      </c>
      <c r="M331" s="1387"/>
    </row>
    <row r="332" spans="2:20" ht="15" customHeight="1">
      <c r="B332" s="186"/>
      <c r="C332" s="11"/>
      <c r="D332" s="1196" t="s">
        <v>570</v>
      </c>
      <c r="E332" s="1411">
        <v>1.6419327062202795E-3</v>
      </c>
      <c r="F332" s="1411">
        <v>1.6419327062202795E-3</v>
      </c>
      <c r="G332" s="1411">
        <v>1.8917644152529091E-3</v>
      </c>
      <c r="H332" s="1410">
        <v>2.1449805025413765E-3</v>
      </c>
      <c r="I332" s="3358">
        <v>2.1449805025413765E-3</v>
      </c>
      <c r="J332" s="3358">
        <v>2.1449805025413765E-3</v>
      </c>
      <c r="K332" s="3358">
        <v>2.1449805025413765E-3</v>
      </c>
      <c r="L332" s="3358">
        <v>2.1449805025413765E-3</v>
      </c>
      <c r="M332" s="1387"/>
    </row>
    <row r="333" spans="2:20" ht="15" customHeight="1">
      <c r="B333" s="186"/>
      <c r="C333" s="11"/>
      <c r="D333" s="1196" t="s">
        <v>498</v>
      </c>
      <c r="E333" s="1411">
        <v>1.33288947343845E-2</v>
      </c>
      <c r="F333" s="1411">
        <v>1.33288947343845E-2</v>
      </c>
      <c r="G333" s="1411">
        <v>1.5356980622674583E-2</v>
      </c>
      <c r="H333" s="1410">
        <v>1.741254024441459E-2</v>
      </c>
      <c r="I333" s="3358">
        <v>1.741254024441459E-2</v>
      </c>
      <c r="J333" s="3358">
        <v>1.741254024441459E-2</v>
      </c>
      <c r="K333" s="3358">
        <v>1.741254024441459E-2</v>
      </c>
      <c r="L333" s="3358">
        <v>1.741254024441459E-2</v>
      </c>
      <c r="M333" s="1387"/>
    </row>
    <row r="334" spans="2:20">
      <c r="B334" s="186"/>
      <c r="C334" s="11"/>
      <c r="D334" s="1196" t="s">
        <v>502</v>
      </c>
      <c r="E334" s="1411">
        <v>1.4669657417708243E-4</v>
      </c>
      <c r="F334" s="1411">
        <v>1.4669657417708243E-4</v>
      </c>
      <c r="G334" s="1411">
        <v>1.6901749859563503E-4</v>
      </c>
      <c r="H334" s="1410">
        <v>1.9164079636601258E-4</v>
      </c>
      <c r="I334" s="3358">
        <v>1.9164079636601258E-4</v>
      </c>
      <c r="J334" s="3358">
        <v>1.9164079636601258E-4</v>
      </c>
      <c r="K334" s="3358">
        <v>1.9164079636601258E-4</v>
      </c>
      <c r="L334" s="3358">
        <v>1.9164079636601258E-4</v>
      </c>
      <c r="M334" s="1387"/>
    </row>
    <row r="335" spans="2:20" ht="15" customHeight="1">
      <c r="B335" s="186"/>
      <c r="C335" s="11"/>
      <c r="D335" s="1196" t="s">
        <v>571</v>
      </c>
      <c r="E335" s="1411">
        <v>0.94458081747887357</v>
      </c>
      <c r="F335" s="1411">
        <v>0.94458081747887357</v>
      </c>
      <c r="G335" s="1411">
        <v>1.0883054896631705</v>
      </c>
      <c r="H335" s="1410">
        <v>1.2339771471090721</v>
      </c>
      <c r="I335" s="3358">
        <v>1.2339771471090721</v>
      </c>
      <c r="J335" s="3358">
        <v>1.2339771471090721</v>
      </c>
      <c r="K335" s="3358">
        <v>1.2339771471090721</v>
      </c>
      <c r="L335" s="3358">
        <v>1.2339771471090721</v>
      </c>
      <c r="M335" s="1387"/>
    </row>
    <row r="336" spans="2:20" ht="15" customHeight="1">
      <c r="B336" s="186"/>
      <c r="C336" s="11"/>
      <c r="D336" s="1196" t="s">
        <v>549</v>
      </c>
      <c r="E336" s="1411">
        <v>0</v>
      </c>
      <c r="F336" s="1411">
        <v>0</v>
      </c>
      <c r="G336" s="1411">
        <v>0</v>
      </c>
      <c r="H336" s="1410">
        <v>0</v>
      </c>
      <c r="I336" s="3358">
        <v>0</v>
      </c>
      <c r="J336" s="3358">
        <v>0</v>
      </c>
      <c r="K336" s="3358">
        <v>0</v>
      </c>
      <c r="L336" s="3358">
        <v>0</v>
      </c>
      <c r="M336" s="1387"/>
    </row>
    <row r="337" spans="2:20" ht="15" customHeight="1">
      <c r="B337" s="186"/>
      <c r="C337" s="11"/>
      <c r="D337" s="1413" t="s">
        <v>572</v>
      </c>
      <c r="E337" s="1411">
        <v>0</v>
      </c>
      <c r="F337" s="1411">
        <v>0</v>
      </c>
      <c r="G337" s="1411">
        <v>0</v>
      </c>
      <c r="H337" s="1410">
        <v>0</v>
      </c>
      <c r="I337" s="3358">
        <v>0</v>
      </c>
      <c r="J337" s="3358">
        <v>0</v>
      </c>
      <c r="K337" s="3358">
        <v>0</v>
      </c>
      <c r="L337" s="3358">
        <v>0</v>
      </c>
      <c r="M337" s="1387"/>
    </row>
    <row r="338" spans="2:20" ht="15" customHeight="1">
      <c r="B338" s="186"/>
      <c r="C338" s="11"/>
      <c r="D338" s="1730" t="s">
        <v>338</v>
      </c>
      <c r="E338" s="1414">
        <f t="shared" ref="E338:L338" si="12">SUM(E322:E337)</f>
        <v>2.0256806657416959</v>
      </c>
      <c r="F338" s="1414">
        <f t="shared" si="12"/>
        <v>2.0256806657416959</v>
      </c>
      <c r="G338" s="1414">
        <f t="shared" si="12"/>
        <v>2.3339023491026385</v>
      </c>
      <c r="H338" s="1414">
        <f t="shared" si="12"/>
        <v>2.6462993982215299</v>
      </c>
      <c r="I338" s="1414">
        <f t="shared" si="12"/>
        <v>2.6462993982215299</v>
      </c>
      <c r="J338" s="1414">
        <f t="shared" si="12"/>
        <v>2.6462993982215299</v>
      </c>
      <c r="K338" s="1414">
        <f t="shared" si="12"/>
        <v>2.6462993982215299</v>
      </c>
      <c r="L338" s="1414">
        <f t="shared" si="12"/>
        <v>2.6462993982215299</v>
      </c>
      <c r="M338" s="1387"/>
    </row>
    <row r="339" spans="2:20" ht="15" customHeight="1">
      <c r="B339" s="186"/>
      <c r="C339" s="11"/>
      <c r="D339" s="447"/>
      <c r="E339" s="447"/>
      <c r="F339" s="447"/>
      <c r="G339" s="447"/>
      <c r="H339" s="447"/>
      <c r="I339" s="447"/>
      <c r="J339" s="447"/>
      <c r="K339" s="447"/>
      <c r="L339" s="447"/>
      <c r="M339" s="1387"/>
      <c r="N339" s="1367"/>
      <c r="O339" s="1367"/>
      <c r="P339" s="1367"/>
      <c r="Q339" s="1367"/>
      <c r="R339" s="1367"/>
    </row>
    <row r="340" spans="2:20" ht="15" customHeight="1">
      <c r="B340" s="186"/>
      <c r="C340" s="11"/>
      <c r="D340" s="286" t="s">
        <v>561</v>
      </c>
      <c r="E340" s="447"/>
      <c r="F340" s="447"/>
      <c r="G340" s="447"/>
      <c r="H340" s="1409"/>
      <c r="I340" s="1409"/>
      <c r="J340" s="1409"/>
      <c r="K340" s="1409"/>
      <c r="L340" s="1409" t="s">
        <v>12</v>
      </c>
      <c r="M340" s="1387"/>
      <c r="N340" s="2208"/>
      <c r="O340" s="2208"/>
      <c r="P340" s="2208"/>
      <c r="Q340" s="2208"/>
      <c r="R340" s="2208"/>
    </row>
    <row r="341" spans="2:20" ht="15" customHeight="1">
      <c r="B341" s="186"/>
      <c r="C341" s="11"/>
      <c r="D341" s="528" t="s">
        <v>1469</v>
      </c>
      <c r="E341" s="1920">
        <v>2018</v>
      </c>
      <c r="F341" s="1920">
        <v>2020</v>
      </c>
      <c r="G341" s="1920">
        <v>2025</v>
      </c>
      <c r="H341" s="1920">
        <v>2030</v>
      </c>
      <c r="I341" s="1920">
        <v>2035</v>
      </c>
      <c r="J341" s="1920">
        <v>2040</v>
      </c>
      <c r="K341" s="1920">
        <v>2045</v>
      </c>
      <c r="L341" s="1920">
        <v>2050</v>
      </c>
      <c r="M341" s="1387"/>
      <c r="S341" s="1367"/>
      <c r="T341" s="1367"/>
    </row>
    <row r="342" spans="2:20" ht="15" customHeight="1">
      <c r="B342" s="186"/>
      <c r="C342" s="11"/>
      <c r="D342" s="1196" t="s">
        <v>504</v>
      </c>
      <c r="E342" s="1410">
        <v>4.5091386450945024</v>
      </c>
      <c r="F342" s="1410">
        <v>4.5091386450945024</v>
      </c>
      <c r="G342" s="1410">
        <v>5.1847385415998737</v>
      </c>
      <c r="H342" s="1410">
        <v>5.8667892306528904</v>
      </c>
      <c r="I342" s="3357">
        <v>5.8667892306528904</v>
      </c>
      <c r="J342" s="3357">
        <v>5.8667892306528904</v>
      </c>
      <c r="K342" s="3357">
        <v>5.8667892306528904</v>
      </c>
      <c r="L342" s="3357">
        <v>5.8667892306528904</v>
      </c>
      <c r="M342" s="1387"/>
      <c r="S342" s="2208"/>
      <c r="T342" s="2208"/>
    </row>
    <row r="343" spans="2:20" ht="15" customHeight="1">
      <c r="B343" s="186"/>
      <c r="C343" s="11"/>
      <c r="D343" s="1196" t="s">
        <v>569</v>
      </c>
      <c r="E343" s="1411">
        <v>2.2964386423130154</v>
      </c>
      <c r="F343" s="1411">
        <v>2.2964386423130154</v>
      </c>
      <c r="G343" s="1411">
        <v>2.6405118303853006</v>
      </c>
      <c r="H343" s="1410">
        <v>2.9878703131548501</v>
      </c>
      <c r="I343" s="3358">
        <v>2.9878703131548501</v>
      </c>
      <c r="J343" s="3358">
        <v>2.9878703131548501</v>
      </c>
      <c r="K343" s="3358">
        <v>2.9878703131548501</v>
      </c>
      <c r="L343" s="3358">
        <v>2.9878703131548501</v>
      </c>
      <c r="M343" s="1387"/>
    </row>
    <row r="344" spans="2:20" ht="15" customHeight="1">
      <c r="B344" s="186"/>
      <c r="C344" s="11"/>
      <c r="D344" s="1196" t="s">
        <v>513</v>
      </c>
      <c r="E344" s="1411">
        <v>1.1570677503289639</v>
      </c>
      <c r="F344" s="1411">
        <v>1.1570677503289639</v>
      </c>
      <c r="G344" s="1411">
        <v>1.3304300959783664</v>
      </c>
      <c r="H344" s="1410">
        <v>1.5054477475760706</v>
      </c>
      <c r="I344" s="3358">
        <v>1.5054477475760706</v>
      </c>
      <c r="J344" s="3358">
        <v>1.5054477475760706</v>
      </c>
      <c r="K344" s="3358">
        <v>1.5054477475760706</v>
      </c>
      <c r="L344" s="3358">
        <v>1.5054477475760706</v>
      </c>
      <c r="M344" s="1387"/>
    </row>
    <row r="345" spans="2:20" ht="15" customHeight="1">
      <c r="B345" s="186"/>
      <c r="C345" s="11"/>
      <c r="D345" s="1196" t="s">
        <v>503</v>
      </c>
      <c r="E345" s="1411">
        <v>8.8936002483492419E-5</v>
      </c>
      <c r="F345" s="1411">
        <v>8.8936002483492419E-5</v>
      </c>
      <c r="G345" s="1411">
        <v>1.0226119800366468E-4</v>
      </c>
      <c r="H345" s="1410">
        <v>1.1571362573983063E-4</v>
      </c>
      <c r="I345" s="3358">
        <v>1.1571362573983063E-4</v>
      </c>
      <c r="J345" s="3358">
        <v>1.1571362573983063E-4</v>
      </c>
      <c r="K345" s="3358">
        <v>1.1571362573983063E-4</v>
      </c>
      <c r="L345" s="3358">
        <v>1.1571362573983063E-4</v>
      </c>
      <c r="M345" s="1387"/>
    </row>
    <row r="346" spans="2:20" ht="15" customHeight="1">
      <c r="B346" s="186"/>
      <c r="C346" s="11"/>
      <c r="D346" s="1196" t="s">
        <v>525</v>
      </c>
      <c r="E346" s="1411">
        <v>2.425626993790795E-5</v>
      </c>
      <c r="F346" s="1411">
        <v>2.425626993790795E-5</v>
      </c>
      <c r="G346" s="1411">
        <v>2.7890563480308778E-5</v>
      </c>
      <c r="H346" s="1410">
        <v>3.1559558143625312E-5</v>
      </c>
      <c r="I346" s="3358">
        <v>3.1559558143625312E-5</v>
      </c>
      <c r="J346" s="3358">
        <v>3.1559558143625312E-5</v>
      </c>
      <c r="K346" s="3358">
        <v>3.1559558143625312E-5</v>
      </c>
      <c r="L346" s="3358">
        <v>3.1559558143625312E-5</v>
      </c>
      <c r="M346" s="1387"/>
    </row>
    <row r="347" spans="2:20" ht="15" customHeight="1">
      <c r="B347" s="186"/>
      <c r="C347" s="11"/>
      <c r="D347" s="1196" t="s">
        <v>487</v>
      </c>
      <c r="E347" s="1411">
        <v>3.1633835567326053E-2</v>
      </c>
      <c r="F347" s="1411">
        <v>3.1633835567326053E-2</v>
      </c>
      <c r="G347" s="1411">
        <v>3.6373502656206515E-2</v>
      </c>
      <c r="H347" s="1410">
        <v>4.1158425242154711E-2</v>
      </c>
      <c r="I347" s="3358">
        <v>4.1158425242154711E-2</v>
      </c>
      <c r="J347" s="3358">
        <v>4.1158425242154711E-2</v>
      </c>
      <c r="K347" s="3358">
        <v>4.1158425242154711E-2</v>
      </c>
      <c r="L347" s="3358">
        <v>4.1158425242154711E-2</v>
      </c>
      <c r="M347" s="1387"/>
    </row>
    <row r="348" spans="2:20" ht="15" customHeight="1">
      <c r="B348" s="186"/>
      <c r="C348" s="11"/>
      <c r="D348" s="1196" t="s">
        <v>494</v>
      </c>
      <c r="E348" s="1411">
        <v>4.7662040871854385E-4</v>
      </c>
      <c r="F348" s="1411">
        <v>4.7662040871854385E-4</v>
      </c>
      <c r="G348" s="1411">
        <v>5.4803198510750798E-4</v>
      </c>
      <c r="H348" s="1410">
        <v>6.2012541664057199E-4</v>
      </c>
      <c r="I348" s="3358">
        <v>6.2012541664057199E-4</v>
      </c>
      <c r="J348" s="3358">
        <v>6.2012541664057199E-4</v>
      </c>
      <c r="K348" s="3358">
        <v>6.2012541664057199E-4</v>
      </c>
      <c r="L348" s="3358">
        <v>6.2012541664057199E-4</v>
      </c>
      <c r="M348" s="1387"/>
    </row>
    <row r="349" spans="2:20" ht="15" customHeight="1">
      <c r="B349" s="186"/>
      <c r="C349" s="11"/>
      <c r="D349" s="1196" t="s">
        <v>1854</v>
      </c>
      <c r="E349" s="1411">
        <v>5.8827481630265015E-2</v>
      </c>
      <c r="F349" s="1411">
        <v>5.8827481630265015E-2</v>
      </c>
      <c r="G349" s="1411">
        <v>6.7641546494807622E-2</v>
      </c>
      <c r="H349" s="1410">
        <v>7.6539770199866256E-2</v>
      </c>
      <c r="I349" s="3358">
        <v>7.6539770199866256E-2</v>
      </c>
      <c r="J349" s="3358">
        <v>7.6539770199866256E-2</v>
      </c>
      <c r="K349" s="3358">
        <v>7.6539770199866256E-2</v>
      </c>
      <c r="L349" s="3358">
        <v>7.6539770199866256E-2</v>
      </c>
      <c r="M349" s="1387"/>
    </row>
    <row r="350" spans="2:20" ht="15" customHeight="1">
      <c r="B350" s="186"/>
      <c r="C350" s="11"/>
      <c r="D350" s="1196" t="s">
        <v>506</v>
      </c>
      <c r="E350" s="1411">
        <v>1.1171968140930877E-4</v>
      </c>
      <c r="F350" s="1411">
        <v>1.1171968140930877E-4</v>
      </c>
      <c r="G350" s="1411">
        <v>1.2845853358007855E-4</v>
      </c>
      <c r="H350" s="1410">
        <v>1.453572123929155E-4</v>
      </c>
      <c r="I350" s="3358">
        <v>1.453572123929155E-4</v>
      </c>
      <c r="J350" s="3358">
        <v>1.453572123929155E-4</v>
      </c>
      <c r="K350" s="3358">
        <v>1.453572123929155E-4</v>
      </c>
      <c r="L350" s="3358">
        <v>1.453572123929155E-4</v>
      </c>
      <c r="M350" s="1387"/>
    </row>
    <row r="351" spans="2:20" ht="15" customHeight="1">
      <c r="B351" s="186"/>
      <c r="C351" s="11"/>
      <c r="D351" s="1196" t="s">
        <v>507</v>
      </c>
      <c r="E351" s="1411">
        <v>1.5484482709858056E-3</v>
      </c>
      <c r="F351" s="1411">
        <v>1.5484482709858056E-3</v>
      </c>
      <c r="G351" s="1411">
        <v>1.7804507827648612E-3</v>
      </c>
      <c r="H351" s="1410">
        <v>2.0146685110970283E-3</v>
      </c>
      <c r="I351" s="3358">
        <v>2.0146685110970283E-3</v>
      </c>
      <c r="J351" s="3358">
        <v>2.0146685110970283E-3</v>
      </c>
      <c r="K351" s="3358">
        <v>2.0146685110970283E-3</v>
      </c>
      <c r="L351" s="3358">
        <v>2.0146685110970283E-3</v>
      </c>
      <c r="M351" s="1387"/>
    </row>
    <row r="352" spans="2:20" ht="15" customHeight="1">
      <c r="B352" s="186"/>
      <c r="C352" s="11"/>
      <c r="D352" s="1196" t="s">
        <v>570</v>
      </c>
      <c r="E352" s="1411">
        <v>1.3289176043077363E-2</v>
      </c>
      <c r="F352" s="1411">
        <v>1.3289176043077363E-2</v>
      </c>
      <c r="G352" s="1411">
        <v>1.5280280479201122E-2</v>
      </c>
      <c r="H352" s="1410">
        <v>1.7290396465984625E-2</v>
      </c>
      <c r="I352" s="3358">
        <v>1.7290396465984625E-2</v>
      </c>
      <c r="J352" s="3358">
        <v>1.7290396465984625E-2</v>
      </c>
      <c r="K352" s="3358">
        <v>1.7290396465984625E-2</v>
      </c>
      <c r="L352" s="3358">
        <v>1.7290396465984625E-2</v>
      </c>
      <c r="M352" s="1387"/>
    </row>
    <row r="353" spans="2:20" ht="15" customHeight="1">
      <c r="B353" s="186"/>
      <c r="C353" s="11"/>
      <c r="D353" s="1196" t="s">
        <v>498</v>
      </c>
      <c r="E353" s="1411">
        <v>2.9413096743436222E-2</v>
      </c>
      <c r="F353" s="1411">
        <v>2.9413096743436222E-2</v>
      </c>
      <c r="G353" s="1411">
        <v>3.3820032675066128E-2</v>
      </c>
      <c r="H353" s="1410">
        <v>3.8269047105542423E-2</v>
      </c>
      <c r="I353" s="3358">
        <v>3.8269047105542423E-2</v>
      </c>
      <c r="J353" s="3358">
        <v>3.8269047105542423E-2</v>
      </c>
      <c r="K353" s="3358">
        <v>3.8269047105542423E-2</v>
      </c>
      <c r="L353" s="3358">
        <v>3.8269047105542423E-2</v>
      </c>
      <c r="M353" s="1387"/>
    </row>
    <row r="354" spans="2:20" ht="15" customHeight="1">
      <c r="B354" s="186"/>
      <c r="C354" s="11"/>
      <c r="D354" s="1196" t="s">
        <v>502</v>
      </c>
      <c r="E354" s="1411">
        <v>0</v>
      </c>
      <c r="F354" s="1411">
        <v>0</v>
      </c>
      <c r="G354" s="1411">
        <v>0</v>
      </c>
      <c r="H354" s="1410">
        <v>0</v>
      </c>
      <c r="I354" s="3358">
        <v>0</v>
      </c>
      <c r="J354" s="3358">
        <v>0</v>
      </c>
      <c r="K354" s="3358">
        <v>0</v>
      </c>
      <c r="L354" s="3358">
        <v>0</v>
      </c>
      <c r="M354" s="1387"/>
    </row>
    <row r="355" spans="2:20" ht="15" customHeight="1">
      <c r="B355" s="186"/>
      <c r="C355" s="11"/>
      <c r="D355" s="1196" t="s">
        <v>571</v>
      </c>
      <c r="E355" s="1411">
        <v>0.80464941018368086</v>
      </c>
      <c r="F355" s="1411">
        <v>0.80464941018368086</v>
      </c>
      <c r="G355" s="1411">
        <v>0.92520925565097634</v>
      </c>
      <c r="H355" s="1410">
        <v>1.0469202359196661</v>
      </c>
      <c r="I355" s="3358">
        <v>1.0469202359196661</v>
      </c>
      <c r="J355" s="3358">
        <v>1.0469202359196661</v>
      </c>
      <c r="K355" s="3358">
        <v>1.0469202359196661</v>
      </c>
      <c r="L355" s="3358">
        <v>1.0469202359196661</v>
      </c>
      <c r="M355" s="1387"/>
    </row>
    <row r="356" spans="2:20" ht="15" customHeight="1">
      <c r="B356" s="186"/>
      <c r="C356" s="11"/>
      <c r="D356" s="1196" t="s">
        <v>549</v>
      </c>
      <c r="E356" s="1411">
        <v>0</v>
      </c>
      <c r="F356" s="1411">
        <v>0</v>
      </c>
      <c r="G356" s="1411">
        <v>0</v>
      </c>
      <c r="H356" s="1410">
        <v>0</v>
      </c>
      <c r="I356" s="3358">
        <v>0</v>
      </c>
      <c r="J356" s="3358">
        <v>0</v>
      </c>
      <c r="K356" s="3358">
        <v>0</v>
      </c>
      <c r="L356" s="3358">
        <v>0</v>
      </c>
      <c r="M356" s="1387"/>
    </row>
    <row r="357" spans="2:20" ht="15" customHeight="1">
      <c r="B357" s="186"/>
      <c r="C357" s="11"/>
      <c r="D357" s="1413" t="s">
        <v>572</v>
      </c>
      <c r="E357" s="1411">
        <v>0</v>
      </c>
      <c r="F357" s="1411">
        <v>0</v>
      </c>
      <c r="G357" s="1411">
        <v>0</v>
      </c>
      <c r="H357" s="1410">
        <v>0</v>
      </c>
      <c r="I357" s="3358">
        <v>0</v>
      </c>
      <c r="J357" s="3358">
        <v>0</v>
      </c>
      <c r="K357" s="3358">
        <v>0</v>
      </c>
      <c r="L357" s="3358">
        <v>0</v>
      </c>
      <c r="M357" s="1387"/>
    </row>
    <row r="358" spans="2:20" ht="15" customHeight="1">
      <c r="B358" s="186"/>
      <c r="C358" s="11"/>
      <c r="D358" s="1730" t="s">
        <v>338</v>
      </c>
      <c r="E358" s="1414">
        <f t="shared" ref="E358:L358" si="13">SUM(E342:E357)</f>
        <v>8.9027080185378029</v>
      </c>
      <c r="F358" s="1414">
        <f t="shared" si="13"/>
        <v>8.9027080185378029</v>
      </c>
      <c r="G358" s="1414">
        <f t="shared" si="13"/>
        <v>10.236592178982733</v>
      </c>
      <c r="H358" s="1414">
        <f t="shared" si="13"/>
        <v>11.583212590641038</v>
      </c>
      <c r="I358" s="1414">
        <f t="shared" si="13"/>
        <v>11.583212590641038</v>
      </c>
      <c r="J358" s="1414">
        <f t="shared" si="13"/>
        <v>11.583212590641038</v>
      </c>
      <c r="K358" s="1414">
        <f t="shared" si="13"/>
        <v>11.583212590641038</v>
      </c>
      <c r="L358" s="1414">
        <f t="shared" si="13"/>
        <v>11.583212590641038</v>
      </c>
      <c r="M358" s="1387"/>
    </row>
    <row r="359" spans="2:20" ht="15" customHeight="1">
      <c r="B359" s="186"/>
      <c r="C359" s="11"/>
      <c r="D359" s="447"/>
      <c r="E359" s="447"/>
      <c r="F359" s="447"/>
      <c r="G359" s="447"/>
      <c r="H359" s="447"/>
      <c r="I359" s="447"/>
      <c r="J359" s="447"/>
      <c r="K359" s="447"/>
      <c r="L359" s="447"/>
      <c r="M359" s="1387"/>
    </row>
    <row r="360" spans="2:20" ht="15" customHeight="1">
      <c r="B360" s="186"/>
      <c r="C360" s="11"/>
      <c r="D360" s="286" t="s">
        <v>562</v>
      </c>
      <c r="E360" s="447"/>
      <c r="F360" s="447"/>
      <c r="G360" s="447"/>
      <c r="H360" s="447"/>
      <c r="I360" s="1409"/>
      <c r="J360" s="1409"/>
      <c r="K360" s="1409"/>
      <c r="L360" s="1409" t="s">
        <v>12</v>
      </c>
      <c r="M360" s="1387"/>
      <c r="N360" s="2208"/>
      <c r="O360" s="2208"/>
      <c r="P360" s="2208"/>
      <c r="Q360" s="2208"/>
      <c r="R360" s="2208"/>
    </row>
    <row r="361" spans="2:20" ht="15" customHeight="1">
      <c r="B361" s="186"/>
      <c r="C361" s="11"/>
      <c r="D361" s="528" t="s">
        <v>1469</v>
      </c>
      <c r="E361" s="1920">
        <v>2018</v>
      </c>
      <c r="F361" s="1920">
        <v>2020</v>
      </c>
      <c r="G361" s="1920">
        <v>2025</v>
      </c>
      <c r="H361" s="1920">
        <v>2030</v>
      </c>
      <c r="I361" s="1920">
        <v>2035</v>
      </c>
      <c r="J361" s="1920">
        <v>2040</v>
      </c>
      <c r="K361" s="1920">
        <v>2045</v>
      </c>
      <c r="L361" s="1920">
        <v>2050</v>
      </c>
      <c r="M361" s="1387"/>
    </row>
    <row r="362" spans="2:20" ht="15" customHeight="1">
      <c r="B362" s="186"/>
      <c r="C362" s="11"/>
      <c r="D362" s="1196" t="s">
        <v>504</v>
      </c>
      <c r="E362" s="1410">
        <v>0</v>
      </c>
      <c r="F362" s="1410">
        <v>0</v>
      </c>
      <c r="G362" s="1410">
        <v>0</v>
      </c>
      <c r="H362" s="1410">
        <v>0</v>
      </c>
      <c r="I362" s="3357">
        <v>0</v>
      </c>
      <c r="J362" s="3357">
        <v>0</v>
      </c>
      <c r="K362" s="3357">
        <v>0</v>
      </c>
      <c r="L362" s="3357">
        <v>0</v>
      </c>
      <c r="M362" s="1387"/>
      <c r="S362" s="2208"/>
      <c r="T362" s="2208"/>
    </row>
    <row r="363" spans="2:20" ht="15" customHeight="1">
      <c r="B363" s="186"/>
      <c r="C363" s="11"/>
      <c r="D363" s="1196" t="s">
        <v>569</v>
      </c>
      <c r="E363" s="1411">
        <v>0.43540125214377834</v>
      </c>
      <c r="F363" s="1411">
        <v>0.43540125214377834</v>
      </c>
      <c r="G363" s="1411">
        <v>0.49305142049131723</v>
      </c>
      <c r="H363" s="1410">
        <v>0.54926973350455366</v>
      </c>
      <c r="I363" s="3358">
        <v>0.54926973350455366</v>
      </c>
      <c r="J363" s="3358">
        <v>0.54926973350455366</v>
      </c>
      <c r="K363" s="3358">
        <v>0.54926973350455366</v>
      </c>
      <c r="L363" s="3358">
        <v>0.54926973350455366</v>
      </c>
      <c r="M363" s="1387"/>
    </row>
    <row r="364" spans="2:20" ht="15" customHeight="1">
      <c r="B364" s="186"/>
      <c r="C364" s="11"/>
      <c r="D364" s="1196" t="s">
        <v>513</v>
      </c>
      <c r="E364" s="1411">
        <v>0.27726156537643593</v>
      </c>
      <c r="F364" s="1411">
        <v>0.27726156537643593</v>
      </c>
      <c r="G364" s="1411">
        <v>0.31397293412320154</v>
      </c>
      <c r="H364" s="1410">
        <v>0.34977250381237007</v>
      </c>
      <c r="I364" s="3358">
        <v>0.34977250381237007</v>
      </c>
      <c r="J364" s="3358">
        <v>0.34977250381237007</v>
      </c>
      <c r="K364" s="3358">
        <v>0.34977250381237007</v>
      </c>
      <c r="L364" s="3358">
        <v>0.34977250381237007</v>
      </c>
      <c r="M364" s="1387"/>
    </row>
    <row r="365" spans="2:20" ht="15" customHeight="1">
      <c r="B365" s="186"/>
      <c r="C365" s="11"/>
      <c r="D365" s="1196" t="s">
        <v>503</v>
      </c>
      <c r="E365" s="1411">
        <v>0</v>
      </c>
      <c r="F365" s="1411">
        <v>0</v>
      </c>
      <c r="G365" s="1411">
        <v>0</v>
      </c>
      <c r="H365" s="1410">
        <v>0</v>
      </c>
      <c r="I365" s="3358">
        <v>0</v>
      </c>
      <c r="J365" s="3358">
        <v>0</v>
      </c>
      <c r="K365" s="3358">
        <v>0</v>
      </c>
      <c r="L365" s="3358">
        <v>0</v>
      </c>
      <c r="M365" s="1387"/>
    </row>
    <row r="366" spans="2:20" ht="15" customHeight="1">
      <c r="B366" s="186"/>
      <c r="C366" s="11"/>
      <c r="D366" s="1196" t="s">
        <v>525</v>
      </c>
      <c r="E366" s="1411">
        <v>0</v>
      </c>
      <c r="F366" s="1411">
        <v>0</v>
      </c>
      <c r="G366" s="1411">
        <v>0</v>
      </c>
      <c r="H366" s="1410">
        <v>0</v>
      </c>
      <c r="I366" s="3358">
        <v>0</v>
      </c>
      <c r="J366" s="3358">
        <v>0</v>
      </c>
      <c r="K366" s="3358">
        <v>0</v>
      </c>
      <c r="L366" s="3358">
        <v>0</v>
      </c>
      <c r="M366" s="1387"/>
    </row>
    <row r="367" spans="2:20" ht="15" customHeight="1">
      <c r="B367" s="186"/>
      <c r="C367" s="11"/>
      <c r="D367" s="1196" t="s">
        <v>487</v>
      </c>
      <c r="E367" s="1411">
        <v>2.2872138901170969E-6</v>
      </c>
      <c r="F367" s="1411">
        <v>2.2872138901170969E-6</v>
      </c>
      <c r="G367" s="1411">
        <v>2.5900569921129025E-6</v>
      </c>
      <c r="H367" s="1410">
        <v>2.8853783899493162E-6</v>
      </c>
      <c r="I367" s="3358">
        <v>2.8853783899493162E-6</v>
      </c>
      <c r="J367" s="3358">
        <v>2.8853783899493162E-6</v>
      </c>
      <c r="K367" s="3358">
        <v>2.8853783899493162E-6</v>
      </c>
      <c r="L367" s="3358">
        <v>2.8853783899493162E-6</v>
      </c>
      <c r="M367" s="1387"/>
    </row>
    <row r="368" spans="2:20" ht="15" customHeight="1">
      <c r="B368" s="186"/>
      <c r="C368" s="11"/>
      <c r="D368" s="1196" t="s">
        <v>494</v>
      </c>
      <c r="E368" s="1411">
        <v>2.1088288978483163E-4</v>
      </c>
      <c r="F368" s="1411">
        <v>2.1088288978483163E-4</v>
      </c>
      <c r="G368" s="1411">
        <v>2.3880525803217047E-4</v>
      </c>
      <c r="H368" s="1410">
        <v>2.6603411933811969E-4</v>
      </c>
      <c r="I368" s="3358">
        <v>2.6603411933811969E-4</v>
      </c>
      <c r="J368" s="3358">
        <v>2.6603411933811969E-4</v>
      </c>
      <c r="K368" s="3358">
        <v>2.6603411933811969E-4</v>
      </c>
      <c r="L368" s="3358">
        <v>2.6603411933811969E-4</v>
      </c>
      <c r="M368" s="1387"/>
    </row>
    <row r="369" spans="2:20" ht="15" customHeight="1">
      <c r="B369" s="186"/>
      <c r="C369" s="11"/>
      <c r="D369" s="1196" t="s">
        <v>1854</v>
      </c>
      <c r="E369" s="1411">
        <v>2.6770220019238668E-4</v>
      </c>
      <c r="F369" s="1411">
        <v>2.6770220019238668E-4</v>
      </c>
      <c r="G369" s="1411">
        <v>3.0314784218838471E-4</v>
      </c>
      <c r="H369" s="1410">
        <v>3.3771312194044663E-4</v>
      </c>
      <c r="I369" s="3358">
        <v>3.3771312194044663E-4</v>
      </c>
      <c r="J369" s="3358">
        <v>3.3771312194044663E-4</v>
      </c>
      <c r="K369" s="3358">
        <v>3.3771312194044663E-4</v>
      </c>
      <c r="L369" s="3358">
        <v>3.3771312194044663E-4</v>
      </c>
      <c r="M369" s="1387"/>
    </row>
    <row r="370" spans="2:20" ht="15" customHeight="1">
      <c r="B370" s="186"/>
      <c r="C370" s="11"/>
      <c r="D370" s="1196" t="s">
        <v>506</v>
      </c>
      <c r="E370" s="1411">
        <v>0</v>
      </c>
      <c r="F370" s="1411">
        <v>0</v>
      </c>
      <c r="G370" s="1411">
        <v>0</v>
      </c>
      <c r="H370" s="1410">
        <v>0</v>
      </c>
      <c r="I370" s="3358">
        <v>0</v>
      </c>
      <c r="J370" s="3358">
        <v>0</v>
      </c>
      <c r="K370" s="3358">
        <v>0</v>
      </c>
      <c r="L370" s="3358">
        <v>0</v>
      </c>
      <c r="M370" s="1387"/>
    </row>
    <row r="371" spans="2:20" ht="15" customHeight="1">
      <c r="B371" s="186"/>
      <c r="C371" s="11"/>
      <c r="D371" s="1196" t="s">
        <v>507</v>
      </c>
      <c r="E371" s="1411">
        <v>0</v>
      </c>
      <c r="F371" s="1411">
        <v>0</v>
      </c>
      <c r="G371" s="1411">
        <v>0</v>
      </c>
      <c r="H371" s="1410">
        <v>0</v>
      </c>
      <c r="I371" s="3358">
        <v>0</v>
      </c>
      <c r="J371" s="3358">
        <v>0</v>
      </c>
      <c r="K371" s="3358">
        <v>0</v>
      </c>
      <c r="L371" s="3358">
        <v>0</v>
      </c>
      <c r="M371" s="1387"/>
    </row>
    <row r="372" spans="2:20" ht="15" customHeight="1">
      <c r="B372" s="186"/>
      <c r="C372" s="11"/>
      <c r="D372" s="1196" t="s">
        <v>570</v>
      </c>
      <c r="E372" s="1411">
        <v>3.1416544963127034E-3</v>
      </c>
      <c r="F372" s="1411">
        <v>3.1416544963127034E-3</v>
      </c>
      <c r="G372" s="1411">
        <v>3.5576315053600311E-3</v>
      </c>
      <c r="H372" s="1410">
        <v>3.9632769071211325E-3</v>
      </c>
      <c r="I372" s="3358">
        <v>3.9632769071211325E-3</v>
      </c>
      <c r="J372" s="3358">
        <v>3.9632769071211325E-3</v>
      </c>
      <c r="K372" s="3358">
        <v>3.9632769071211325E-3</v>
      </c>
      <c r="L372" s="3358">
        <v>3.9632769071211325E-3</v>
      </c>
      <c r="M372" s="1387"/>
    </row>
    <row r="373" spans="2:20" ht="15" customHeight="1">
      <c r="B373" s="186"/>
      <c r="C373" s="11"/>
      <c r="D373" s="1196" t="s">
        <v>498</v>
      </c>
      <c r="E373" s="1411">
        <v>7.5482451379248205E-4</v>
      </c>
      <c r="F373" s="1411">
        <v>7.5482451379248205E-4</v>
      </c>
      <c r="G373" s="1411">
        <v>8.5476855409720746E-4</v>
      </c>
      <c r="H373" s="1410">
        <v>9.5223028756148578E-4</v>
      </c>
      <c r="I373" s="3358">
        <v>9.5223028756148578E-4</v>
      </c>
      <c r="J373" s="3358">
        <v>9.5223028756148578E-4</v>
      </c>
      <c r="K373" s="3358">
        <v>9.5223028756148578E-4</v>
      </c>
      <c r="L373" s="3358">
        <v>9.5223028756148578E-4</v>
      </c>
      <c r="M373" s="1387"/>
    </row>
    <row r="374" spans="2:20" ht="15" customHeight="1">
      <c r="B374" s="186"/>
      <c r="C374" s="11"/>
      <c r="D374" s="1196" t="s">
        <v>502</v>
      </c>
      <c r="E374" s="1411">
        <v>1.4207537364674149E-6</v>
      </c>
      <c r="F374" s="1411">
        <v>1.4207537364674149E-6</v>
      </c>
      <c r="G374" s="1411">
        <v>1.6088714593367427E-6</v>
      </c>
      <c r="H374" s="1410">
        <v>1.7923169085130696E-6</v>
      </c>
      <c r="I374" s="3358">
        <v>1.7923169085130696E-6</v>
      </c>
      <c r="J374" s="3358">
        <v>1.7923169085130696E-6</v>
      </c>
      <c r="K374" s="3358">
        <v>1.7923169085130696E-6</v>
      </c>
      <c r="L374" s="3358">
        <v>1.7923169085130696E-6</v>
      </c>
      <c r="M374" s="1387"/>
    </row>
    <row r="375" spans="2:20" ht="15" customHeight="1">
      <c r="B375" s="186"/>
      <c r="C375" s="11"/>
      <c r="D375" s="1196" t="s">
        <v>571</v>
      </c>
      <c r="E375" s="1411">
        <v>0.29378522985873629</v>
      </c>
      <c r="F375" s="1411">
        <v>0.29378522985873629</v>
      </c>
      <c r="G375" s="1411">
        <v>0.33268444724955737</v>
      </c>
      <c r="H375" s="1410">
        <v>0.37061752605799902</v>
      </c>
      <c r="I375" s="3358">
        <v>0.37061752605799902</v>
      </c>
      <c r="J375" s="3358">
        <v>0.37061752605799902</v>
      </c>
      <c r="K375" s="3358">
        <v>0.37061752605799902</v>
      </c>
      <c r="L375" s="3358">
        <v>0.37061752605799902</v>
      </c>
      <c r="M375" s="1387"/>
    </row>
    <row r="376" spans="2:20" ht="15" customHeight="1">
      <c r="B376" s="186"/>
      <c r="C376" s="11"/>
      <c r="D376" s="1196" t="s">
        <v>549</v>
      </c>
      <c r="E376" s="1411">
        <v>0</v>
      </c>
      <c r="F376" s="1411">
        <v>0</v>
      </c>
      <c r="G376" s="1411">
        <v>0</v>
      </c>
      <c r="H376" s="1410">
        <v>0</v>
      </c>
      <c r="I376" s="3358">
        <v>0</v>
      </c>
      <c r="J376" s="3358">
        <v>0</v>
      </c>
      <c r="K376" s="3358">
        <v>0</v>
      </c>
      <c r="L376" s="3358">
        <v>0</v>
      </c>
      <c r="M376" s="1387"/>
    </row>
    <row r="377" spans="2:20" ht="15" customHeight="1">
      <c r="B377" s="186"/>
      <c r="C377" s="11"/>
      <c r="D377" s="1413" t="s">
        <v>572</v>
      </c>
      <c r="E377" s="1411">
        <v>0</v>
      </c>
      <c r="F377" s="1411">
        <v>0</v>
      </c>
      <c r="G377" s="1411">
        <v>0</v>
      </c>
      <c r="H377" s="1410">
        <v>0</v>
      </c>
      <c r="I377" s="3358">
        <v>0</v>
      </c>
      <c r="J377" s="3358">
        <v>0</v>
      </c>
      <c r="K377" s="3358">
        <v>0</v>
      </c>
      <c r="L377" s="3358">
        <v>0</v>
      </c>
      <c r="M377" s="1387"/>
    </row>
    <row r="378" spans="2:20" ht="15" customHeight="1">
      <c r="B378" s="186"/>
      <c r="C378" s="11"/>
      <c r="D378" s="1730" t="s">
        <v>338</v>
      </c>
      <c r="E378" s="1414">
        <f t="shared" ref="E378:L378" si="14">SUM(E362:E377)</f>
        <v>1.0108268194466594</v>
      </c>
      <c r="F378" s="1414">
        <f t="shared" si="14"/>
        <v>1.0108268194466594</v>
      </c>
      <c r="G378" s="1414">
        <f t="shared" si="14"/>
        <v>1.1446673539522054</v>
      </c>
      <c r="H378" s="1414">
        <f t="shared" si="14"/>
        <v>1.2751836955061826</v>
      </c>
      <c r="I378" s="1414">
        <f t="shared" si="14"/>
        <v>1.2751836955061826</v>
      </c>
      <c r="J378" s="1414">
        <f t="shared" si="14"/>
        <v>1.2751836955061826</v>
      </c>
      <c r="K378" s="1414">
        <f t="shared" si="14"/>
        <v>1.2751836955061826</v>
      </c>
      <c r="L378" s="1414">
        <f t="shared" si="14"/>
        <v>1.2751836955061826</v>
      </c>
      <c r="M378" s="1387"/>
    </row>
    <row r="379" spans="2:20" ht="15" customHeight="1">
      <c r="B379" s="186"/>
      <c r="C379" s="11"/>
      <c r="D379" s="447"/>
      <c r="E379" s="447"/>
      <c r="F379" s="447"/>
      <c r="G379" s="447"/>
      <c r="H379" s="447"/>
      <c r="I379" s="447"/>
      <c r="J379" s="447"/>
      <c r="K379" s="447"/>
      <c r="L379" s="447"/>
      <c r="M379" s="1387"/>
    </row>
    <row r="380" spans="2:20" ht="15" customHeight="1">
      <c r="B380" s="186"/>
      <c r="C380" s="11"/>
      <c r="D380" s="286" t="s">
        <v>563</v>
      </c>
      <c r="E380" s="447"/>
      <c r="F380" s="447"/>
      <c r="G380" s="447"/>
      <c r="H380" s="447"/>
      <c r="I380" s="1409"/>
      <c r="J380" s="1409"/>
      <c r="K380" s="1409"/>
      <c r="L380" s="1409" t="s">
        <v>12</v>
      </c>
      <c r="M380" s="1387"/>
      <c r="N380" s="2208"/>
      <c r="O380" s="2208"/>
      <c r="P380" s="2208"/>
      <c r="Q380" s="2208"/>
      <c r="R380" s="2208"/>
    </row>
    <row r="381" spans="2:20" ht="15" customHeight="1">
      <c r="B381" s="186"/>
      <c r="C381" s="11"/>
      <c r="D381" s="528" t="s">
        <v>1469</v>
      </c>
      <c r="E381" s="1920">
        <v>2018</v>
      </c>
      <c r="F381" s="1920">
        <v>2020</v>
      </c>
      <c r="G381" s="1920">
        <v>2025</v>
      </c>
      <c r="H381" s="1920">
        <v>2030</v>
      </c>
      <c r="I381" s="1920">
        <v>2035</v>
      </c>
      <c r="J381" s="1920">
        <v>2040</v>
      </c>
      <c r="K381" s="1920">
        <v>2045</v>
      </c>
      <c r="L381" s="1920">
        <v>2050</v>
      </c>
      <c r="M381" s="1387"/>
    </row>
    <row r="382" spans="2:20" ht="15" customHeight="1">
      <c r="B382" s="186"/>
      <c r="C382" s="11"/>
      <c r="D382" s="1196" t="s">
        <v>504</v>
      </c>
      <c r="E382" s="1410">
        <v>0.20299641791550596</v>
      </c>
      <c r="F382" s="1410">
        <v>0.20299641791550596</v>
      </c>
      <c r="G382" s="1410">
        <v>0.26034468192170679</v>
      </c>
      <c r="H382" s="1410">
        <v>0.30636025350593016</v>
      </c>
      <c r="I382" s="3357">
        <v>0.30636025350593016</v>
      </c>
      <c r="J382" s="3357">
        <v>0.30636025350593016</v>
      </c>
      <c r="K382" s="3357">
        <v>0.30636025350593016</v>
      </c>
      <c r="L382" s="3357">
        <v>0.30636025350593016</v>
      </c>
      <c r="M382" s="1387"/>
      <c r="S382" s="2208"/>
      <c r="T382" s="2208"/>
    </row>
    <row r="383" spans="2:20" ht="15" customHeight="1">
      <c r="B383" s="186"/>
      <c r="C383" s="11"/>
      <c r="D383" s="1196" t="s">
        <v>569</v>
      </c>
      <c r="E383" s="1410">
        <v>2.7394730000616119</v>
      </c>
      <c r="F383" s="1410">
        <v>2.7394730000616119</v>
      </c>
      <c r="G383" s="1410">
        <v>3.5133980892756709</v>
      </c>
      <c r="H383" s="1410">
        <v>4.1343864654836295</v>
      </c>
      <c r="I383" s="3358">
        <v>4.1343864654836295</v>
      </c>
      <c r="J383" s="3358">
        <v>4.1343864654836295</v>
      </c>
      <c r="K383" s="3358">
        <v>4.1343864654836295</v>
      </c>
      <c r="L383" s="3358">
        <v>4.1343864654836295</v>
      </c>
      <c r="M383" s="1387"/>
    </row>
    <row r="384" spans="2:20" ht="15" customHeight="1">
      <c r="B384" s="186"/>
      <c r="C384" s="11"/>
      <c r="D384" s="1196" t="s">
        <v>513</v>
      </c>
      <c r="E384" s="1410">
        <v>0.2664583871485306</v>
      </c>
      <c r="F384" s="1410">
        <v>0.2664583871485306</v>
      </c>
      <c r="G384" s="1410">
        <v>0.34173521266976137</v>
      </c>
      <c r="H384" s="1410">
        <v>0.40213645084901561</v>
      </c>
      <c r="I384" s="3358">
        <v>0.40213645084901561</v>
      </c>
      <c r="J384" s="3358">
        <v>0.40213645084901561</v>
      </c>
      <c r="K384" s="3358">
        <v>0.40213645084901561</v>
      </c>
      <c r="L384" s="3358">
        <v>0.40213645084901561</v>
      </c>
      <c r="M384" s="1387"/>
    </row>
    <row r="385" spans="2:18" ht="15" customHeight="1">
      <c r="B385" s="186"/>
      <c r="C385" s="11"/>
      <c r="D385" s="1196" t="s">
        <v>503</v>
      </c>
      <c r="E385" s="1410">
        <v>2.7019445659830742E-3</v>
      </c>
      <c r="F385" s="1410">
        <v>2.7019445659830742E-3</v>
      </c>
      <c r="G385" s="1410">
        <v>3.465267544246726E-3</v>
      </c>
      <c r="H385" s="1410">
        <v>4.0777489115009424E-3</v>
      </c>
      <c r="I385" s="3358">
        <v>4.0777489115009424E-3</v>
      </c>
      <c r="J385" s="3358">
        <v>4.0777489115009424E-3</v>
      </c>
      <c r="K385" s="3358">
        <v>4.0777489115009424E-3</v>
      </c>
      <c r="L385" s="3358">
        <v>4.0777489115009424E-3</v>
      </c>
      <c r="M385" s="1387"/>
    </row>
    <row r="386" spans="2:18" ht="15" customHeight="1">
      <c r="B386" s="186"/>
      <c r="C386" s="11"/>
      <c r="D386" s="1196" t="s">
        <v>525</v>
      </c>
      <c r="E386" s="1410">
        <v>0</v>
      </c>
      <c r="F386" s="1410">
        <v>0</v>
      </c>
      <c r="G386" s="1410">
        <v>0</v>
      </c>
      <c r="H386" s="1410">
        <v>0</v>
      </c>
      <c r="I386" s="3358">
        <v>0</v>
      </c>
      <c r="J386" s="3358">
        <v>0</v>
      </c>
      <c r="K386" s="3358">
        <v>0</v>
      </c>
      <c r="L386" s="3358">
        <v>0</v>
      </c>
      <c r="M386" s="1387"/>
    </row>
    <row r="387" spans="2:18" ht="15" customHeight="1">
      <c r="B387" s="186"/>
      <c r="C387" s="11"/>
      <c r="D387" s="1196" t="s">
        <v>487</v>
      </c>
      <c r="E387" s="1410">
        <v>0.20150183235579783</v>
      </c>
      <c r="F387" s="1410">
        <v>0.20150183235579783</v>
      </c>
      <c r="G387" s="1410">
        <v>0.25842786286577174</v>
      </c>
      <c r="H387" s="1410">
        <v>0.30410463926573661</v>
      </c>
      <c r="I387" s="3358">
        <v>0.30410463926573661</v>
      </c>
      <c r="J387" s="3358">
        <v>0.30410463926573661</v>
      </c>
      <c r="K387" s="3358">
        <v>0.30410463926573661</v>
      </c>
      <c r="L387" s="3358">
        <v>0.30410463926573661</v>
      </c>
      <c r="M387" s="1387"/>
    </row>
    <row r="388" spans="2:18" ht="15" customHeight="1">
      <c r="B388" s="186"/>
      <c r="C388" s="11"/>
      <c r="D388" s="1196" t="s">
        <v>494</v>
      </c>
      <c r="E388" s="1410">
        <v>0</v>
      </c>
      <c r="F388" s="1410">
        <v>0</v>
      </c>
      <c r="G388" s="1410">
        <v>0</v>
      </c>
      <c r="H388" s="1410">
        <v>0</v>
      </c>
      <c r="I388" s="3358">
        <v>0</v>
      </c>
      <c r="J388" s="3358">
        <v>0</v>
      </c>
      <c r="K388" s="3358">
        <v>0</v>
      </c>
      <c r="L388" s="3358">
        <v>0</v>
      </c>
      <c r="M388" s="1387"/>
    </row>
    <row r="389" spans="2:18" ht="15" customHeight="1">
      <c r="B389" s="186"/>
      <c r="C389" s="11"/>
      <c r="D389" s="1196" t="s">
        <v>1854</v>
      </c>
      <c r="E389" s="1410">
        <v>0</v>
      </c>
      <c r="F389" s="1410">
        <v>0</v>
      </c>
      <c r="G389" s="1410">
        <v>0</v>
      </c>
      <c r="H389" s="1410">
        <v>0</v>
      </c>
      <c r="I389" s="3358">
        <v>0</v>
      </c>
      <c r="J389" s="3358">
        <v>0</v>
      </c>
      <c r="K389" s="3358">
        <v>0</v>
      </c>
      <c r="L389" s="3358">
        <v>0</v>
      </c>
      <c r="M389" s="1387"/>
    </row>
    <row r="390" spans="2:18" ht="15" customHeight="1">
      <c r="B390" s="186"/>
      <c r="C390" s="11"/>
      <c r="D390" s="1196" t="s">
        <v>506</v>
      </c>
      <c r="E390" s="1410">
        <v>0</v>
      </c>
      <c r="F390" s="1410">
        <v>0</v>
      </c>
      <c r="G390" s="1410">
        <v>0</v>
      </c>
      <c r="H390" s="1410">
        <v>0</v>
      </c>
      <c r="I390" s="3358">
        <v>0</v>
      </c>
      <c r="J390" s="3358">
        <v>0</v>
      </c>
      <c r="K390" s="3358">
        <v>0</v>
      </c>
      <c r="L390" s="3358">
        <v>0</v>
      </c>
      <c r="M390" s="1387"/>
    </row>
    <row r="391" spans="2:18" ht="15" customHeight="1">
      <c r="B391" s="186"/>
      <c r="C391" s="11"/>
      <c r="D391" s="1196" t="s">
        <v>507</v>
      </c>
      <c r="E391" s="1410">
        <v>0</v>
      </c>
      <c r="F391" s="1410">
        <v>0</v>
      </c>
      <c r="G391" s="1410">
        <v>0</v>
      </c>
      <c r="H391" s="1410">
        <v>0</v>
      </c>
      <c r="I391" s="3358">
        <v>0</v>
      </c>
      <c r="J391" s="3358">
        <v>0</v>
      </c>
      <c r="K391" s="3358">
        <v>0</v>
      </c>
      <c r="L391" s="3358">
        <v>0</v>
      </c>
      <c r="M391" s="1387"/>
    </row>
    <row r="392" spans="2:18" ht="15" customHeight="1">
      <c r="B392" s="186"/>
      <c r="C392" s="11"/>
      <c r="D392" s="1196" t="s">
        <v>570</v>
      </c>
      <c r="E392" s="1410">
        <v>0</v>
      </c>
      <c r="F392" s="1410">
        <v>0</v>
      </c>
      <c r="G392" s="1410">
        <v>0</v>
      </c>
      <c r="H392" s="1410">
        <v>0</v>
      </c>
      <c r="I392" s="3358">
        <v>0</v>
      </c>
      <c r="J392" s="3358">
        <v>0</v>
      </c>
      <c r="K392" s="3358">
        <v>0</v>
      </c>
      <c r="L392" s="3358">
        <v>0</v>
      </c>
      <c r="M392" s="1387"/>
    </row>
    <row r="393" spans="2:18" ht="15" customHeight="1">
      <c r="B393" s="186"/>
      <c r="C393" s="11"/>
      <c r="D393" s="1196" t="s">
        <v>498</v>
      </c>
      <c r="E393" s="1410">
        <v>0</v>
      </c>
      <c r="F393" s="1410">
        <v>0</v>
      </c>
      <c r="G393" s="1410">
        <v>0</v>
      </c>
      <c r="H393" s="1410">
        <v>0</v>
      </c>
      <c r="I393" s="3358">
        <v>0</v>
      </c>
      <c r="J393" s="3358">
        <v>0</v>
      </c>
      <c r="K393" s="3358">
        <v>0</v>
      </c>
      <c r="L393" s="3358">
        <v>0</v>
      </c>
      <c r="M393" s="1387"/>
    </row>
    <row r="394" spans="2:18" ht="15" customHeight="1">
      <c r="B394" s="186"/>
      <c r="C394" s="11"/>
      <c r="D394" s="1196" t="s">
        <v>502</v>
      </c>
      <c r="E394" s="1410">
        <v>0</v>
      </c>
      <c r="F394" s="1410">
        <v>0</v>
      </c>
      <c r="G394" s="1410">
        <v>0</v>
      </c>
      <c r="H394" s="1410">
        <v>0</v>
      </c>
      <c r="I394" s="3358">
        <v>0</v>
      </c>
      <c r="J394" s="3358">
        <v>0</v>
      </c>
      <c r="K394" s="3358">
        <v>0</v>
      </c>
      <c r="L394" s="3358">
        <v>0</v>
      </c>
      <c r="M394" s="1387"/>
    </row>
    <row r="395" spans="2:18" ht="15" customHeight="1">
      <c r="B395" s="186"/>
      <c r="C395" s="11"/>
      <c r="D395" s="1196" t="s">
        <v>571</v>
      </c>
      <c r="E395" s="1410">
        <v>0</v>
      </c>
      <c r="F395" s="1410">
        <v>0</v>
      </c>
      <c r="G395" s="1410">
        <v>0</v>
      </c>
      <c r="H395" s="1410">
        <v>0</v>
      </c>
      <c r="I395" s="3358">
        <v>0</v>
      </c>
      <c r="J395" s="3358">
        <v>0</v>
      </c>
      <c r="K395" s="3358">
        <v>0</v>
      </c>
      <c r="L395" s="3358">
        <v>0</v>
      </c>
      <c r="M395" s="1387"/>
    </row>
    <row r="396" spans="2:18" ht="15" customHeight="1">
      <c r="B396" s="186"/>
      <c r="C396" s="11"/>
      <c r="D396" s="1196" t="s">
        <v>549</v>
      </c>
      <c r="E396" s="1411">
        <v>0</v>
      </c>
      <c r="F396" s="1411">
        <v>0</v>
      </c>
      <c r="G396" s="1410">
        <v>0</v>
      </c>
      <c r="H396" s="1410">
        <v>0</v>
      </c>
      <c r="I396" s="3358">
        <v>0</v>
      </c>
      <c r="J396" s="3358">
        <v>0</v>
      </c>
      <c r="K396" s="3358">
        <v>0</v>
      </c>
      <c r="L396" s="3358">
        <v>0</v>
      </c>
      <c r="M396" s="1387"/>
    </row>
    <row r="397" spans="2:18" ht="15" customHeight="1">
      <c r="B397" s="186"/>
      <c r="C397" s="11"/>
      <c r="D397" s="1413" t="s">
        <v>572</v>
      </c>
      <c r="E397" s="1411">
        <v>0</v>
      </c>
      <c r="F397" s="1411">
        <v>0</v>
      </c>
      <c r="G397" s="1410">
        <v>0</v>
      </c>
      <c r="H397" s="1410">
        <v>0</v>
      </c>
      <c r="I397" s="3358">
        <v>0</v>
      </c>
      <c r="J397" s="3358">
        <v>0</v>
      </c>
      <c r="K397" s="3358">
        <v>0</v>
      </c>
      <c r="L397" s="3358">
        <v>0</v>
      </c>
      <c r="M397" s="1387"/>
    </row>
    <row r="398" spans="2:18" ht="15" customHeight="1">
      <c r="B398" s="186"/>
      <c r="C398" s="11"/>
      <c r="D398" s="1730" t="s">
        <v>338</v>
      </c>
      <c r="E398" s="1414">
        <f t="shared" ref="E398:L398" si="15">SUM(E382:E397)</f>
        <v>3.4131315820474297</v>
      </c>
      <c r="F398" s="1414">
        <f t="shared" si="15"/>
        <v>3.4131315820474297</v>
      </c>
      <c r="G398" s="1414">
        <f t="shared" si="15"/>
        <v>4.3773711142771576</v>
      </c>
      <c r="H398" s="1414">
        <f t="shared" si="15"/>
        <v>5.1510655580158131</v>
      </c>
      <c r="I398" s="1414">
        <f t="shared" si="15"/>
        <v>5.1510655580158131</v>
      </c>
      <c r="J398" s="1414">
        <f t="shared" si="15"/>
        <v>5.1510655580158131</v>
      </c>
      <c r="K398" s="1414">
        <f t="shared" si="15"/>
        <v>5.1510655580158131</v>
      </c>
      <c r="L398" s="1414">
        <f t="shared" si="15"/>
        <v>5.1510655580158131</v>
      </c>
      <c r="M398" s="1387"/>
    </row>
    <row r="399" spans="2:18" ht="15" customHeight="1">
      <c r="B399" s="186"/>
      <c r="C399" s="11"/>
      <c r="D399" s="451"/>
      <c r="E399" s="1412"/>
      <c r="F399" s="1412"/>
      <c r="G399" s="1412"/>
      <c r="H399" s="1412"/>
      <c r="I399" s="1412"/>
      <c r="J399" s="1412"/>
      <c r="K399" s="1410"/>
      <c r="L399" s="447"/>
      <c r="M399" s="1387"/>
    </row>
    <row r="400" spans="2:18" ht="15" customHeight="1">
      <c r="B400" s="186"/>
      <c r="C400" s="11"/>
      <c r="D400" s="451" t="s">
        <v>919</v>
      </c>
      <c r="E400" s="1412"/>
      <c r="F400" s="1412"/>
      <c r="G400" s="1412"/>
      <c r="H400" s="1412"/>
      <c r="I400" s="1412"/>
      <c r="J400" s="1412"/>
      <c r="K400" s="1412"/>
      <c r="L400" s="1409" t="s">
        <v>12</v>
      </c>
      <c r="M400" s="1387"/>
      <c r="N400" s="2208"/>
      <c r="O400" s="2208"/>
      <c r="P400" s="2208"/>
      <c r="Q400" s="2208"/>
      <c r="R400" s="2208"/>
    </row>
    <row r="401" spans="2:20" ht="15" customHeight="1">
      <c r="B401" s="186"/>
      <c r="C401" s="11"/>
      <c r="D401" s="528" t="s">
        <v>1469</v>
      </c>
      <c r="E401" s="1920">
        <v>2018</v>
      </c>
      <c r="F401" s="1920">
        <v>2020</v>
      </c>
      <c r="G401" s="1920">
        <v>2025</v>
      </c>
      <c r="H401" s="1920">
        <v>2030</v>
      </c>
      <c r="I401" s="1920">
        <v>2035</v>
      </c>
      <c r="J401" s="1920">
        <v>2040</v>
      </c>
      <c r="K401" s="1920">
        <v>2045</v>
      </c>
      <c r="L401" s="1920">
        <v>2050</v>
      </c>
      <c r="M401" s="1387"/>
    </row>
    <row r="402" spans="2:20" ht="15" customHeight="1">
      <c r="B402" s="186"/>
      <c r="C402" s="11"/>
      <c r="D402" s="1196" t="s">
        <v>504</v>
      </c>
      <c r="E402" s="1410">
        <v>0</v>
      </c>
      <c r="F402" s="1410">
        <v>0</v>
      </c>
      <c r="G402" s="1410">
        <v>0</v>
      </c>
      <c r="H402" s="1410">
        <v>0</v>
      </c>
      <c r="I402" s="3357">
        <v>0</v>
      </c>
      <c r="J402" s="3357">
        <v>0</v>
      </c>
      <c r="K402" s="3357">
        <v>0</v>
      </c>
      <c r="L402" s="3357">
        <v>0</v>
      </c>
      <c r="M402" s="1387"/>
      <c r="S402" s="2208"/>
      <c r="T402" s="2208"/>
    </row>
    <row r="403" spans="2:20" ht="15" customHeight="1">
      <c r="B403" s="186"/>
      <c r="C403" s="11"/>
      <c r="D403" s="1196" t="s">
        <v>569</v>
      </c>
      <c r="E403" s="1411">
        <v>6.1953724213428936E-2</v>
      </c>
      <c r="F403" s="1411">
        <v>6.1953724213428936E-2</v>
      </c>
      <c r="G403" s="1411">
        <v>7.0837919109690034E-2</v>
      </c>
      <c r="H403" s="1411">
        <v>7.9702863482968664E-2</v>
      </c>
      <c r="I403" s="3358">
        <v>7.9702863482968664E-2</v>
      </c>
      <c r="J403" s="3358">
        <v>7.9702863482968664E-2</v>
      </c>
      <c r="K403" s="3358">
        <v>7.9702863482968664E-2</v>
      </c>
      <c r="L403" s="3358">
        <v>7.9702863482968664E-2</v>
      </c>
      <c r="M403" s="1387"/>
    </row>
    <row r="404" spans="2:20" ht="15" customHeight="1">
      <c r="B404" s="186"/>
      <c r="C404" s="11"/>
      <c r="D404" s="1196" t="s">
        <v>513</v>
      </c>
      <c r="E404" s="1411">
        <v>1.2734682306717348E-2</v>
      </c>
      <c r="F404" s="1411">
        <v>1.2734682306717348E-2</v>
      </c>
      <c r="G404" s="1411">
        <v>1.456084208954315E-2</v>
      </c>
      <c r="H404" s="1411">
        <v>1.638304489807027E-2</v>
      </c>
      <c r="I404" s="3358">
        <v>1.638304489807027E-2</v>
      </c>
      <c r="J404" s="3358">
        <v>1.638304489807027E-2</v>
      </c>
      <c r="K404" s="3358">
        <v>1.638304489807027E-2</v>
      </c>
      <c r="L404" s="3358">
        <v>1.638304489807027E-2</v>
      </c>
      <c r="M404" s="1387"/>
    </row>
    <row r="405" spans="2:20" ht="15" customHeight="1">
      <c r="B405" s="186"/>
      <c r="C405" s="11"/>
      <c r="D405" s="1196" t="s">
        <v>503</v>
      </c>
      <c r="E405" s="1411">
        <v>0</v>
      </c>
      <c r="F405" s="1411">
        <v>0</v>
      </c>
      <c r="G405" s="1411">
        <v>0</v>
      </c>
      <c r="H405" s="1411">
        <v>0</v>
      </c>
      <c r="I405" s="3358">
        <v>0</v>
      </c>
      <c r="J405" s="3358">
        <v>0</v>
      </c>
      <c r="K405" s="3358">
        <v>0</v>
      </c>
      <c r="L405" s="3358">
        <v>0</v>
      </c>
      <c r="M405" s="1387"/>
    </row>
    <row r="406" spans="2:20" ht="15" customHeight="1">
      <c r="B406" s="186"/>
      <c r="C406" s="11"/>
      <c r="D406" s="1196" t="s">
        <v>525</v>
      </c>
      <c r="E406" s="1411">
        <v>0</v>
      </c>
      <c r="F406" s="1411">
        <v>0</v>
      </c>
      <c r="G406" s="1411">
        <v>0</v>
      </c>
      <c r="H406" s="1411">
        <v>0</v>
      </c>
      <c r="I406" s="3358">
        <v>0</v>
      </c>
      <c r="J406" s="3358">
        <v>0</v>
      </c>
      <c r="K406" s="3358">
        <v>0</v>
      </c>
      <c r="L406" s="3358">
        <v>0</v>
      </c>
      <c r="M406" s="1387"/>
    </row>
    <row r="407" spans="2:20" ht="15" customHeight="1">
      <c r="B407" s="186"/>
      <c r="C407" s="11"/>
      <c r="D407" s="1196" t="s">
        <v>487</v>
      </c>
      <c r="E407" s="1411">
        <v>0</v>
      </c>
      <c r="F407" s="1411">
        <v>0</v>
      </c>
      <c r="G407" s="1411">
        <v>0</v>
      </c>
      <c r="H407" s="1411">
        <v>0</v>
      </c>
      <c r="I407" s="3358">
        <v>0</v>
      </c>
      <c r="J407" s="3358">
        <v>0</v>
      </c>
      <c r="K407" s="3358">
        <v>0</v>
      </c>
      <c r="L407" s="3358">
        <v>0</v>
      </c>
      <c r="M407" s="1387"/>
    </row>
    <row r="408" spans="2:20" ht="15" customHeight="1">
      <c r="B408" s="186"/>
      <c r="C408" s="11"/>
      <c r="D408" s="1196" t="s">
        <v>494</v>
      </c>
      <c r="E408" s="1411">
        <v>4.7550652655669988E-4</v>
      </c>
      <c r="F408" s="1411">
        <v>4.7550652655669988E-4</v>
      </c>
      <c r="G408" s="1411">
        <v>5.4369439919887746E-4</v>
      </c>
      <c r="H408" s="1411">
        <v>6.1173452044379815E-4</v>
      </c>
      <c r="I408" s="3358">
        <v>6.1173452044379815E-4</v>
      </c>
      <c r="J408" s="3358">
        <v>6.1173452044379815E-4</v>
      </c>
      <c r="K408" s="3358">
        <v>6.1173452044379815E-4</v>
      </c>
      <c r="L408" s="3358">
        <v>6.1173452044379815E-4</v>
      </c>
      <c r="M408" s="1387"/>
    </row>
    <row r="409" spans="2:20" ht="15" customHeight="1">
      <c r="B409" s="186"/>
      <c r="C409" s="11"/>
      <c r="D409" s="1196" t="s">
        <v>1854</v>
      </c>
      <c r="E409" s="1411">
        <v>4.6820386041676056E-4</v>
      </c>
      <c r="F409" s="1411">
        <v>4.6820386041676056E-4</v>
      </c>
      <c r="G409" s="1411">
        <v>5.3534452709879201E-4</v>
      </c>
      <c r="H409" s="1411">
        <v>6.0233971149884803E-4</v>
      </c>
      <c r="I409" s="3358">
        <v>6.0233971149884803E-4</v>
      </c>
      <c r="J409" s="3358">
        <v>6.0233971149884803E-4</v>
      </c>
      <c r="K409" s="3358">
        <v>6.0233971149884803E-4</v>
      </c>
      <c r="L409" s="3358">
        <v>6.0233971149884803E-4</v>
      </c>
      <c r="M409" s="1387"/>
    </row>
    <row r="410" spans="2:20" ht="15" customHeight="1">
      <c r="B410" s="186"/>
      <c r="C410" s="11"/>
      <c r="D410" s="1196" t="s">
        <v>506</v>
      </c>
      <c r="E410" s="1411">
        <v>0</v>
      </c>
      <c r="F410" s="1411">
        <v>0</v>
      </c>
      <c r="G410" s="1411">
        <v>0</v>
      </c>
      <c r="H410" s="1411">
        <v>0</v>
      </c>
      <c r="I410" s="3358">
        <v>0</v>
      </c>
      <c r="J410" s="3358">
        <v>0</v>
      </c>
      <c r="K410" s="3358">
        <v>0</v>
      </c>
      <c r="L410" s="3358">
        <v>0</v>
      </c>
      <c r="M410" s="1387"/>
    </row>
    <row r="411" spans="2:20" ht="15" customHeight="1">
      <c r="B411" s="186"/>
      <c r="C411" s="11"/>
      <c r="D411" s="1196" t="s">
        <v>507</v>
      </c>
      <c r="E411" s="1411">
        <v>0</v>
      </c>
      <c r="F411" s="1411">
        <v>0</v>
      </c>
      <c r="G411" s="1411">
        <v>0</v>
      </c>
      <c r="H411" s="1411">
        <v>0</v>
      </c>
      <c r="I411" s="3358">
        <v>0</v>
      </c>
      <c r="J411" s="3358">
        <v>0</v>
      </c>
      <c r="K411" s="3358">
        <v>0</v>
      </c>
      <c r="L411" s="3358">
        <v>0</v>
      </c>
      <c r="M411" s="1387"/>
    </row>
    <row r="412" spans="2:20" ht="15" customHeight="1">
      <c r="B412" s="186"/>
      <c r="C412" s="11"/>
      <c r="D412" s="1196" t="s">
        <v>570</v>
      </c>
      <c r="E412" s="1411">
        <v>3.5304901235349355E-5</v>
      </c>
      <c r="F412" s="1411">
        <v>3.5304901235349355E-5</v>
      </c>
      <c r="G412" s="1411">
        <v>4.036764164926794E-5</v>
      </c>
      <c r="H412" s="1411">
        <v>4.5419411975088456E-5</v>
      </c>
      <c r="I412" s="3358">
        <v>4.5419411975088456E-5</v>
      </c>
      <c r="J412" s="3358">
        <v>4.5419411975088456E-5</v>
      </c>
      <c r="K412" s="3358">
        <v>4.5419411975088456E-5</v>
      </c>
      <c r="L412" s="3358">
        <v>4.5419411975088456E-5</v>
      </c>
      <c r="M412" s="1387"/>
    </row>
    <row r="413" spans="2:20" ht="15" customHeight="1">
      <c r="B413" s="186"/>
      <c r="C413" s="11"/>
      <c r="D413" s="1196" t="s">
        <v>498</v>
      </c>
      <c r="E413" s="1411">
        <v>6.0330224172276594E-4</v>
      </c>
      <c r="F413" s="1411">
        <v>6.0330224172276594E-4</v>
      </c>
      <c r="G413" s="1411">
        <v>6.8981608354366634E-4</v>
      </c>
      <c r="H413" s="1411">
        <v>7.7614246474267345E-4</v>
      </c>
      <c r="I413" s="3358">
        <v>7.7614246474267345E-4</v>
      </c>
      <c r="J413" s="3358">
        <v>7.7614246474267345E-4</v>
      </c>
      <c r="K413" s="3358">
        <v>7.7614246474267345E-4</v>
      </c>
      <c r="L413" s="3358">
        <v>7.7614246474267345E-4</v>
      </c>
      <c r="M413" s="1387"/>
    </row>
    <row r="414" spans="2:20" ht="15" customHeight="1">
      <c r="B414" s="186"/>
      <c r="C414" s="11"/>
      <c r="D414" s="1196" t="s">
        <v>502</v>
      </c>
      <c r="E414" s="1411">
        <v>0</v>
      </c>
      <c r="F414" s="1411">
        <v>0</v>
      </c>
      <c r="G414" s="1411">
        <v>0</v>
      </c>
      <c r="H414" s="1411">
        <v>0</v>
      </c>
      <c r="I414" s="3358">
        <v>0</v>
      </c>
      <c r="J414" s="3358">
        <v>0</v>
      </c>
      <c r="K414" s="3358">
        <v>0</v>
      </c>
      <c r="L414" s="3358">
        <v>0</v>
      </c>
      <c r="M414" s="1387"/>
    </row>
    <row r="415" spans="2:20" ht="15" customHeight="1">
      <c r="B415" s="186"/>
      <c r="C415" s="11"/>
      <c r="D415" s="1196" t="s">
        <v>571</v>
      </c>
      <c r="E415" s="1411">
        <v>1.2090459962210314E-2</v>
      </c>
      <c r="F415" s="1411">
        <v>1.2090459962210314E-2</v>
      </c>
      <c r="G415" s="1411">
        <v>1.3824237940103611E-2</v>
      </c>
      <c r="H415" s="1411">
        <v>1.5554259119187381E-2</v>
      </c>
      <c r="I415" s="3358">
        <v>1.5554259119187381E-2</v>
      </c>
      <c r="J415" s="3358">
        <v>1.5554259119187381E-2</v>
      </c>
      <c r="K415" s="3358">
        <v>1.5554259119187381E-2</v>
      </c>
      <c r="L415" s="3358">
        <v>1.5554259119187381E-2</v>
      </c>
      <c r="M415" s="1387"/>
    </row>
    <row r="416" spans="2:20" ht="15" customHeight="1">
      <c r="B416" s="186"/>
      <c r="C416" s="11"/>
      <c r="D416" s="1196" t="s">
        <v>549</v>
      </c>
      <c r="E416" s="1411">
        <v>0</v>
      </c>
      <c r="F416" s="1411">
        <v>0</v>
      </c>
      <c r="G416" s="1411">
        <v>0</v>
      </c>
      <c r="H416" s="1411">
        <v>0</v>
      </c>
      <c r="I416" s="3358">
        <v>0</v>
      </c>
      <c r="J416" s="3358">
        <v>0</v>
      </c>
      <c r="K416" s="3358">
        <v>0</v>
      </c>
      <c r="L416" s="3358">
        <v>0</v>
      </c>
      <c r="M416" s="1387"/>
    </row>
    <row r="417" spans="2:16" ht="15" customHeight="1">
      <c r="B417" s="186"/>
      <c r="C417" s="11"/>
      <c r="D417" s="1413" t="s">
        <v>572</v>
      </c>
      <c r="E417" s="1411">
        <v>0</v>
      </c>
      <c r="F417" s="1411">
        <v>0</v>
      </c>
      <c r="G417" s="1411">
        <v>0</v>
      </c>
      <c r="H417" s="1411">
        <v>0</v>
      </c>
      <c r="I417" s="3358">
        <v>0</v>
      </c>
      <c r="J417" s="3358">
        <v>0</v>
      </c>
      <c r="K417" s="3358">
        <v>0</v>
      </c>
      <c r="L417" s="3358">
        <v>0</v>
      </c>
      <c r="M417" s="1387"/>
    </row>
    <row r="418" spans="2:16" ht="15" customHeight="1">
      <c r="B418" s="186"/>
      <c r="C418" s="11"/>
      <c r="D418" s="1730" t="s">
        <v>338</v>
      </c>
      <c r="E418" s="1414">
        <f t="shared" ref="E418:L418" si="16">SUM(E402:E417)</f>
        <v>8.836118401228818E-2</v>
      </c>
      <c r="F418" s="1414">
        <f t="shared" si="16"/>
        <v>8.836118401228818E-2</v>
      </c>
      <c r="G418" s="1414">
        <f t="shared" si="16"/>
        <v>0.10103222179082741</v>
      </c>
      <c r="H418" s="1414">
        <f t="shared" si="16"/>
        <v>0.11367580360888672</v>
      </c>
      <c r="I418" s="1414">
        <f t="shared" si="16"/>
        <v>0.11367580360888672</v>
      </c>
      <c r="J418" s="1414">
        <f t="shared" si="16"/>
        <v>0.11367580360888672</v>
      </c>
      <c r="K418" s="1414">
        <f t="shared" si="16"/>
        <v>0.11367580360888672</v>
      </c>
      <c r="L418" s="1414">
        <f t="shared" si="16"/>
        <v>0.11367580360888672</v>
      </c>
      <c r="M418" s="1387"/>
    </row>
    <row r="419" spans="2:16" ht="15" customHeight="1">
      <c r="B419" s="186"/>
      <c r="C419" s="11"/>
      <c r="D419" s="451"/>
      <c r="E419" s="1412"/>
      <c r="F419" s="1412"/>
      <c r="G419" s="1412"/>
      <c r="H419" s="1412"/>
      <c r="I419" s="1412"/>
      <c r="J419" s="1412"/>
      <c r="K419" s="1412"/>
      <c r="L419" s="1412"/>
      <c r="M419" s="1387"/>
    </row>
    <row r="420" spans="2:16" ht="15" customHeight="1">
      <c r="B420" s="186"/>
      <c r="C420" s="11"/>
      <c r="D420" s="398" t="s">
        <v>1856</v>
      </c>
      <c r="E420" s="181"/>
      <c r="F420" s="181"/>
      <c r="G420" s="181"/>
      <c r="H420" s="181"/>
      <c r="I420" s="181"/>
      <c r="J420" s="181"/>
      <c r="K420" s="181"/>
      <c r="L420" s="181"/>
      <c r="M420" s="1387"/>
    </row>
    <row r="421" spans="2:16" ht="15" customHeight="1">
      <c r="B421" s="186"/>
      <c r="C421" s="11"/>
      <c r="D421" s="451"/>
      <c r="E421" s="1412"/>
      <c r="F421" s="1412"/>
      <c r="G421" s="1412"/>
      <c r="H421" s="1412"/>
      <c r="I421" s="1412"/>
      <c r="J421" s="1412"/>
      <c r="K421" s="1412"/>
      <c r="L421" s="1412"/>
      <c r="M421" s="1387"/>
    </row>
    <row r="422" spans="2:16" ht="15" customHeight="1">
      <c r="B422" s="186"/>
      <c r="C422" s="11"/>
      <c r="D422" s="528" t="s">
        <v>1469</v>
      </c>
      <c r="E422" s="1920" t="s">
        <v>1506</v>
      </c>
      <c r="F422" s="1412"/>
      <c r="G422" s="1412"/>
      <c r="H422" s="1412"/>
      <c r="I422" s="1412"/>
      <c r="J422" s="1412"/>
      <c r="K422" s="1412"/>
      <c r="L422" s="1412"/>
      <c r="M422" s="1387"/>
    </row>
    <row r="423" spans="2:16" ht="15" customHeight="1">
      <c r="B423" s="186"/>
      <c r="C423" s="11"/>
      <c r="D423" s="449" t="s">
        <v>1857</v>
      </c>
      <c r="E423" s="1410">
        <v>0.21</v>
      </c>
      <c r="F423" s="1412"/>
      <c r="G423" s="1412"/>
      <c r="H423" s="1412"/>
      <c r="I423" s="1412"/>
      <c r="J423" s="1412"/>
      <c r="K423" s="1412"/>
      <c r="L423" s="1412"/>
      <c r="M423" s="1387"/>
    </row>
    <row r="424" spans="2:16" ht="15" customHeight="1">
      <c r="B424" s="186"/>
      <c r="C424" s="11"/>
      <c r="D424" s="363" t="s">
        <v>1858</v>
      </c>
      <c r="E424" s="1643">
        <v>0.57999999999999996</v>
      </c>
      <c r="F424" s="1412"/>
      <c r="G424" s="1412"/>
      <c r="H424" s="1412"/>
      <c r="I424" s="1412"/>
      <c r="J424" s="1412"/>
      <c r="K424" s="1412"/>
      <c r="L424" s="1412"/>
      <c r="M424" s="1387"/>
    </row>
    <row r="425" spans="2:16" ht="15" customHeight="1">
      <c r="B425" s="186"/>
      <c r="C425" s="11"/>
      <c r="D425" s="451"/>
      <c r="E425" s="1412"/>
      <c r="F425" s="1412"/>
      <c r="G425" s="1412"/>
      <c r="H425" s="1412"/>
      <c r="I425" s="1412"/>
      <c r="J425" s="1412"/>
      <c r="K425" s="1412"/>
      <c r="L425" s="1412"/>
      <c r="M425" s="1387"/>
    </row>
    <row r="426" spans="2:16" ht="15" customHeight="1">
      <c r="B426" s="186"/>
      <c r="C426" s="11"/>
      <c r="D426" s="451"/>
      <c r="E426" s="1412"/>
      <c r="F426" s="1412"/>
      <c r="G426" s="1412"/>
      <c r="H426" s="1412"/>
      <c r="I426" s="1412"/>
      <c r="J426" s="1412"/>
      <c r="K426" s="1412"/>
      <c r="L426" s="1412"/>
      <c r="M426" s="1387"/>
    </row>
    <row r="427" spans="2:16" ht="15" customHeight="1">
      <c r="B427" s="186"/>
      <c r="C427" s="11"/>
      <c r="D427" s="398" t="s">
        <v>1859</v>
      </c>
      <c r="E427" s="181"/>
      <c r="F427" s="181"/>
      <c r="G427" s="181"/>
      <c r="H427" s="181"/>
      <c r="I427" s="181"/>
      <c r="J427" s="181"/>
      <c r="K427" s="181"/>
      <c r="L427" s="181"/>
      <c r="M427" s="1387"/>
    </row>
    <row r="428" spans="2:16" ht="15" customHeight="1">
      <c r="B428" s="186"/>
      <c r="C428" s="1387"/>
      <c r="D428" s="1387"/>
      <c r="E428" s="1387"/>
      <c r="F428" s="1387"/>
      <c r="G428" s="1387"/>
      <c r="H428" s="1387"/>
      <c r="I428" s="1387"/>
      <c r="J428" s="1387"/>
      <c r="K428" s="1387"/>
      <c r="L428" s="1387"/>
      <c r="M428" s="1387"/>
      <c r="P428" s="2988"/>
    </row>
    <row r="429" spans="2:16" ht="15" customHeight="1">
      <c r="B429" s="186"/>
      <c r="C429" s="1387"/>
      <c r="D429" s="1387"/>
      <c r="E429" s="3363"/>
      <c r="F429" s="3363"/>
      <c r="G429" s="3363"/>
      <c r="H429" s="3363"/>
      <c r="I429" s="3363"/>
      <c r="J429" s="3364" t="s">
        <v>750</v>
      </c>
      <c r="K429" s="1387"/>
      <c r="L429" s="1387"/>
      <c r="M429" s="1387"/>
    </row>
    <row r="430" spans="2:16" ht="15" customHeight="1">
      <c r="B430" s="186"/>
      <c r="C430" s="11"/>
      <c r="D430" s="528" t="s">
        <v>1469</v>
      </c>
      <c r="E430" s="3365" t="s">
        <v>162</v>
      </c>
      <c r="F430" s="3365" t="s">
        <v>569</v>
      </c>
      <c r="G430" s="3365" t="s">
        <v>513</v>
      </c>
      <c r="H430" s="3365" t="s">
        <v>1854</v>
      </c>
      <c r="I430" s="3365" t="s">
        <v>1860</v>
      </c>
      <c r="J430" s="3365" t="s">
        <v>570</v>
      </c>
      <c r="K430" s="1412"/>
      <c r="L430" s="1412"/>
      <c r="M430" s="1387"/>
      <c r="P430" s="2986"/>
    </row>
    <row r="431" spans="2:16" ht="15" customHeight="1">
      <c r="B431" s="186"/>
      <c r="C431" s="11"/>
      <c r="D431" s="1413" t="s">
        <v>917</v>
      </c>
      <c r="E431" s="3366">
        <v>7.4689999999999999E-4</v>
      </c>
      <c r="F431" s="3366">
        <v>2.9876E-3</v>
      </c>
      <c r="G431" s="3366">
        <v>9.4109399999999996E-3</v>
      </c>
      <c r="H431" s="3366">
        <v>8.8303448275862029E-4</v>
      </c>
      <c r="I431" s="3366">
        <v>6.9906896551724077E-4</v>
      </c>
      <c r="J431" s="3366">
        <v>1.1037931034482754E-4</v>
      </c>
      <c r="K431" s="1757"/>
      <c r="L431" s="1412"/>
      <c r="M431" s="1387"/>
    </row>
    <row r="432" spans="2:16" ht="15" customHeight="1">
      <c r="B432" s="186"/>
      <c r="C432" s="11"/>
      <c r="D432" s="1196" t="s">
        <v>1855</v>
      </c>
      <c r="E432" s="3366">
        <v>6.7900000000000002E-4</v>
      </c>
      <c r="F432" s="3366">
        <v>2.7160000000000001E-3</v>
      </c>
      <c r="G432" s="3366">
        <v>8.5553999999999995E-3</v>
      </c>
      <c r="H432" s="3366">
        <v>8.0275862068965472E-4</v>
      </c>
      <c r="I432" s="3366">
        <v>6.3551724137930982E-4</v>
      </c>
      <c r="J432" s="3366">
        <v>1.0034482758620684E-4</v>
      </c>
      <c r="K432" s="1757"/>
      <c r="L432" s="1412"/>
      <c r="M432" s="1387"/>
    </row>
    <row r="433" spans="2:15" ht="15" customHeight="1">
      <c r="B433" s="186"/>
      <c r="C433" s="11"/>
      <c r="D433" s="1196" t="s">
        <v>559</v>
      </c>
      <c r="E433" s="3366">
        <v>9.4090000000000002E-5</v>
      </c>
      <c r="F433" s="3366">
        <v>3.7636000000000001E-4</v>
      </c>
      <c r="G433" s="3366">
        <v>1.185534E-3</v>
      </c>
      <c r="H433" s="3366">
        <v>1.1123940886699499E-4</v>
      </c>
      <c r="I433" s="3366">
        <v>8.8064532019704349E-5</v>
      </c>
      <c r="J433" s="3366">
        <v>1.3904926108374373E-5</v>
      </c>
      <c r="K433" s="1757"/>
      <c r="L433" s="1412"/>
      <c r="M433" s="1387"/>
    </row>
    <row r="434" spans="2:15" ht="15" customHeight="1">
      <c r="B434" s="186"/>
      <c r="C434" s="11"/>
      <c r="D434" s="1196" t="s">
        <v>560</v>
      </c>
      <c r="E434" s="3366">
        <v>4.1709999999999999E-5</v>
      </c>
      <c r="F434" s="3366">
        <v>1.6684E-4</v>
      </c>
      <c r="G434" s="3366">
        <v>5.25546E-4</v>
      </c>
      <c r="H434" s="3366">
        <v>4.9312315270935929E-5</v>
      </c>
      <c r="I434" s="3366">
        <v>3.9038916256157604E-5</v>
      </c>
      <c r="J434" s="3366">
        <v>6.1640394088669912E-6</v>
      </c>
      <c r="K434" s="1757"/>
      <c r="L434" s="1412"/>
      <c r="M434" s="1387"/>
    </row>
    <row r="435" spans="2:15" ht="15" customHeight="1">
      <c r="B435" s="186"/>
      <c r="C435" s="11"/>
      <c r="D435" s="1196" t="s">
        <v>561</v>
      </c>
      <c r="E435" s="3366">
        <v>2.6723500000000005E-4</v>
      </c>
      <c r="F435" s="3366">
        <v>1.0689400000000002E-3</v>
      </c>
      <c r="G435" s="3366">
        <v>3.367161E-3</v>
      </c>
      <c r="H435" s="3366">
        <v>3.1594285714285701E-4</v>
      </c>
      <c r="I435" s="3366">
        <v>2.5012142857142836E-4</v>
      </c>
      <c r="J435" s="3366">
        <v>3.9492857142857126E-5</v>
      </c>
      <c r="K435" s="1757"/>
      <c r="L435" s="1412"/>
      <c r="M435" s="1387"/>
    </row>
    <row r="436" spans="2:15" ht="15" customHeight="1">
      <c r="B436" s="186"/>
      <c r="C436" s="11"/>
      <c r="D436" s="1196" t="s">
        <v>562</v>
      </c>
      <c r="E436" s="3366">
        <v>6.7900000000000011E-5</v>
      </c>
      <c r="F436" s="3366">
        <v>2.7160000000000004E-4</v>
      </c>
      <c r="G436" s="3366">
        <v>8.5554000000000001E-4</v>
      </c>
      <c r="H436" s="3366">
        <v>8.0275862068965461E-5</v>
      </c>
      <c r="I436" s="3366">
        <v>6.3551724137930976E-5</v>
      </c>
      <c r="J436" s="3366">
        <v>1.0034482758620683E-5</v>
      </c>
      <c r="K436" s="1757"/>
      <c r="L436" s="1412"/>
      <c r="M436" s="1387"/>
    </row>
    <row r="437" spans="2:15" ht="15" customHeight="1">
      <c r="B437" s="186"/>
      <c r="C437" s="11"/>
      <c r="D437" s="1196" t="s">
        <v>563</v>
      </c>
      <c r="E437" s="3366">
        <v>8.2450000000000015E-6</v>
      </c>
      <c r="F437" s="3366">
        <v>3.2980000000000006E-5</v>
      </c>
      <c r="G437" s="3366">
        <v>1.0388699999999999E-4</v>
      </c>
      <c r="H437" s="3366">
        <v>9.7477832512315208E-6</v>
      </c>
      <c r="I437" s="3366">
        <v>7.7169950738916193E-6</v>
      </c>
      <c r="J437" s="3366">
        <v>1.2184729064039401E-6</v>
      </c>
      <c r="K437" s="1757"/>
      <c r="L437" s="1412"/>
      <c r="M437" s="1387"/>
    </row>
    <row r="438" spans="2:15" ht="15" customHeight="1">
      <c r="B438" s="186"/>
      <c r="C438" s="11"/>
      <c r="D438" s="1642" t="s">
        <v>564</v>
      </c>
      <c r="E438" s="3367">
        <v>5.7715000000000006E-5</v>
      </c>
      <c r="F438" s="3367">
        <v>2.3086000000000002E-4</v>
      </c>
      <c r="G438" s="3367">
        <v>7.2720900000000004E-4</v>
      </c>
      <c r="H438" s="3367">
        <v>6.8234482758620661E-5</v>
      </c>
      <c r="I438" s="3367">
        <v>5.4018965517241337E-5</v>
      </c>
      <c r="J438" s="3367">
        <v>8.5293103448275826E-6</v>
      </c>
      <c r="K438" s="1757"/>
      <c r="L438" s="1412"/>
      <c r="M438" s="1387"/>
    </row>
    <row r="439" spans="2:15" ht="15" customHeight="1">
      <c r="B439" s="186"/>
      <c r="C439" s="11"/>
      <c r="D439" s="286"/>
      <c r="E439" s="1756"/>
      <c r="F439" s="1757"/>
      <c r="G439" s="1757"/>
      <c r="H439" s="1757"/>
      <c r="I439" s="1757"/>
      <c r="J439" s="1757"/>
      <c r="K439" s="1757"/>
      <c r="L439" s="1412"/>
      <c r="M439" s="1387"/>
    </row>
    <row r="440" spans="2:15" ht="15" customHeight="1">
      <c r="B440" s="186"/>
      <c r="C440" s="11"/>
      <c r="D440" s="1196"/>
      <c r="E440" s="1756"/>
      <c r="F440" s="1757"/>
      <c r="G440" s="1757"/>
      <c r="H440" s="1757"/>
      <c r="I440" s="1757"/>
      <c r="J440" s="1757"/>
      <c r="K440" s="1757"/>
      <c r="L440" s="1412"/>
      <c r="M440" s="1387"/>
    </row>
    <row r="441" spans="2:15" ht="15" customHeight="1">
      <c r="B441" s="186"/>
      <c r="C441" s="11"/>
      <c r="D441" s="398" t="s">
        <v>1861</v>
      </c>
      <c r="E441" s="1930"/>
      <c r="F441" s="1930"/>
      <c r="G441" s="1930"/>
      <c r="H441" s="1930"/>
      <c r="I441" s="1930"/>
      <c r="J441" s="1930"/>
      <c r="K441" s="1930"/>
      <c r="L441" s="181"/>
      <c r="M441" s="1387"/>
    </row>
    <row r="442" spans="2:15" ht="15" customHeight="1">
      <c r="B442" s="186"/>
      <c r="C442" s="1387"/>
      <c r="D442" s="1387"/>
      <c r="E442" s="1758"/>
      <c r="F442" s="1758"/>
      <c r="G442" s="1758"/>
      <c r="H442" s="1758"/>
      <c r="I442" s="1758"/>
      <c r="J442" s="1758"/>
      <c r="K442" s="1758"/>
      <c r="L442" s="1387"/>
      <c r="M442" s="1387"/>
      <c r="O442" s="2986"/>
    </row>
    <row r="443" spans="2:15" ht="15" customHeight="1">
      <c r="B443" s="186"/>
      <c r="C443" s="11"/>
      <c r="D443" s="451"/>
      <c r="E443" s="3368"/>
      <c r="F443" s="3368"/>
      <c r="G443" s="3368"/>
      <c r="H443" s="3368"/>
      <c r="I443" s="3368"/>
      <c r="J443" s="3369" t="s">
        <v>9</v>
      </c>
      <c r="K443" s="1757"/>
      <c r="L443" s="1412"/>
      <c r="M443" s="1387"/>
    </row>
    <row r="444" spans="2:15" ht="15" customHeight="1">
      <c r="B444" s="186"/>
      <c r="C444" s="11"/>
      <c r="D444" s="528" t="s">
        <v>1469</v>
      </c>
      <c r="E444" s="3365" t="s">
        <v>162</v>
      </c>
      <c r="F444" s="3365" t="s">
        <v>569</v>
      </c>
      <c r="G444" s="3365" t="s">
        <v>513</v>
      </c>
      <c r="H444" s="3365" t="s">
        <v>1854</v>
      </c>
      <c r="I444" s="3365" t="s">
        <v>1860</v>
      </c>
      <c r="J444" s="3365" t="s">
        <v>570</v>
      </c>
      <c r="K444" s="1757"/>
      <c r="L444" s="1412"/>
      <c r="M444" s="1387"/>
    </row>
    <row r="445" spans="2:15" ht="15" customHeight="1">
      <c r="B445" s="186"/>
      <c r="C445" s="11"/>
      <c r="D445" s="1413" t="s">
        <v>917</v>
      </c>
      <c r="E445" s="3370">
        <f>E431*$E$423*'ELECT_ Electricidad'!HORAS_OPERACION_AÑO*UNIDAD_GWH_A_TWH</f>
        <v>1.37399724E-3</v>
      </c>
      <c r="F445" s="3370">
        <f>F431*$E$423*'ELECT_ Electricidad'!HORAS_OPERACION_AÑO*UNIDAD_GWH_A_TWH</f>
        <v>5.4959889599999999E-3</v>
      </c>
      <c r="G445" s="3370">
        <f>G431*$E$423*'ELECT_ Electricidad'!HORAS_OPERACION_AÑO*UNIDAD_GWH_A_TWH</f>
        <v>1.7312365223999999E-2</v>
      </c>
      <c r="H445" s="3370">
        <f>H431*$E$423*'ELECT_ Electricidad'!HORAS_OPERACION_AÑO*UNIDAD_GWH_A_TWH</f>
        <v>1.6244302344827577E-3</v>
      </c>
      <c r="I445" s="3370">
        <f>I431*$E$423*'ELECT_ Electricidad'!HORAS_OPERACION_AÑO*UNIDAD_GWH_A_TWH</f>
        <v>1.2860072689655161E-3</v>
      </c>
      <c r="J445" s="3370">
        <f>J431*$E$423*'ELECT_ Electricidad'!HORAS_OPERACION_AÑO*UNIDAD_GWH_A_TWH</f>
        <v>2.0305377931034471E-4</v>
      </c>
      <c r="K445" s="1757"/>
      <c r="L445" s="1412"/>
      <c r="M445" s="1387"/>
    </row>
    <row r="446" spans="2:15" ht="15" customHeight="1">
      <c r="B446" s="186"/>
      <c r="C446" s="11"/>
      <c r="D446" s="1196" t="s">
        <v>1855</v>
      </c>
      <c r="E446" s="3366">
        <f>E432*$E$423*'ELECT_ Electricidad'!HORAS_OPERACION_AÑO*UNIDAD_GWH_A_TWH</f>
        <v>1.2490884000000001E-3</v>
      </c>
      <c r="F446" s="3366">
        <f>F432*$E$423*'ELECT_ Electricidad'!HORAS_OPERACION_AÑO*UNIDAD_GWH_A_TWH</f>
        <v>4.9963536000000005E-3</v>
      </c>
      <c r="G446" s="3366">
        <f>G432*$E$423*'ELECT_ Electricidad'!HORAS_OPERACION_AÑO*UNIDAD_GWH_A_TWH</f>
        <v>1.5738513839999999E-2</v>
      </c>
      <c r="H446" s="3366">
        <f>H432*$E$423*'ELECT_ Electricidad'!HORAS_OPERACION_AÑO*UNIDAD_GWH_A_TWH</f>
        <v>1.4767547586206887E-3</v>
      </c>
      <c r="I446" s="3366">
        <f>I432*$E$423*'ELECT_ Electricidad'!HORAS_OPERACION_AÑO*UNIDAD_GWH_A_TWH</f>
        <v>1.1690975172413784E-3</v>
      </c>
      <c r="J446" s="3366">
        <f>J432*$E$423*'ELECT_ Electricidad'!HORAS_OPERACION_AÑO*UNIDAD_GWH_A_TWH</f>
        <v>1.8459434482758608E-4</v>
      </c>
      <c r="K446" s="1757"/>
      <c r="L446" s="1412"/>
      <c r="M446" s="1387"/>
    </row>
    <row r="447" spans="2:15" ht="15" customHeight="1">
      <c r="B447" s="186"/>
      <c r="C447" s="11"/>
      <c r="D447" s="1196" t="s">
        <v>559</v>
      </c>
      <c r="E447" s="3366">
        <f>E433*$E$423*'ELECT_ Electricidad'!HORAS_OPERACION_AÑO*UNIDAD_GWH_A_TWH</f>
        <v>1.7308796399999999E-4</v>
      </c>
      <c r="F447" s="3366">
        <f>F433*$E$423*'ELECT_ Electricidad'!HORAS_OPERACION_AÑO*UNIDAD_GWH_A_TWH</f>
        <v>6.9235185599999995E-4</v>
      </c>
      <c r="G447" s="3366">
        <f>G433*$E$423*'ELECT_ Electricidad'!HORAS_OPERACION_AÑO*UNIDAD_GWH_A_TWH</f>
        <v>2.1809083464000003E-3</v>
      </c>
      <c r="H447" s="3366">
        <f>H433*$E$423*'ELECT_ Electricidad'!HORAS_OPERACION_AÑO*UNIDAD_GWH_A_TWH</f>
        <v>2.0463601655172398E-4</v>
      </c>
      <c r="I447" s="3366">
        <f>I433*$E$423*'ELECT_ Electricidad'!HORAS_OPERACION_AÑO*UNIDAD_GWH_A_TWH</f>
        <v>1.6200351310344813E-4</v>
      </c>
      <c r="J447" s="3366">
        <f>J433*$E$423*'ELECT_ Electricidad'!HORAS_OPERACION_AÑO*UNIDAD_GWH_A_TWH</f>
        <v>2.5579502068965497E-5</v>
      </c>
      <c r="K447" s="1757"/>
      <c r="L447" s="1412"/>
      <c r="M447" s="1387"/>
    </row>
    <row r="448" spans="2:15" ht="15" customHeight="1">
      <c r="B448" s="186"/>
      <c r="C448" s="11"/>
      <c r="D448" s="1196" t="s">
        <v>560</v>
      </c>
      <c r="E448" s="3366">
        <f>E434*$E$423*'ELECT_ Electricidad'!HORAS_OPERACION_AÑO*UNIDAD_GWH_A_TWH</f>
        <v>7.6729715999999989E-5</v>
      </c>
      <c r="F448" s="3366">
        <f>F434*$E$423*'ELECT_ Electricidad'!HORAS_OPERACION_AÑO*UNIDAD_GWH_A_TWH</f>
        <v>3.0691886399999995E-4</v>
      </c>
      <c r="G448" s="3366">
        <f>G434*$E$423*'ELECT_ Electricidad'!HORAS_OPERACION_AÑO*UNIDAD_GWH_A_TWH</f>
        <v>9.6679442160000002E-4</v>
      </c>
      <c r="H448" s="3366">
        <f>H434*$E$423*'ELECT_ Electricidad'!HORAS_OPERACION_AÑO*UNIDAD_GWH_A_TWH</f>
        <v>9.0714935172413736E-5</v>
      </c>
      <c r="I448" s="3366">
        <f>I434*$E$423*'ELECT_ Electricidad'!HORAS_OPERACION_AÑO*UNIDAD_GWH_A_TWH</f>
        <v>7.1815990344827524E-5</v>
      </c>
      <c r="J448" s="3366">
        <f>J434*$E$423*'ELECT_ Electricidad'!HORAS_OPERACION_AÑO*UNIDAD_GWH_A_TWH</f>
        <v>1.1339366896551717E-5</v>
      </c>
      <c r="K448" s="1757"/>
      <c r="L448" s="1412"/>
      <c r="M448" s="1387"/>
    </row>
    <row r="449" spans="2:13" ht="15" customHeight="1">
      <c r="B449" s="186"/>
      <c r="C449" s="11"/>
      <c r="D449" s="1196" t="s">
        <v>561</v>
      </c>
      <c r="E449" s="3366">
        <f>E435*$E$423*'ELECT_ Electricidad'!HORAS_OPERACION_AÑO*UNIDAD_GWH_A_TWH</f>
        <v>4.9160550600000014E-4</v>
      </c>
      <c r="F449" s="3366">
        <f>F435*$E$423*'ELECT_ Electricidad'!HORAS_OPERACION_AÑO*UNIDAD_GWH_A_TWH</f>
        <v>1.9664220240000006E-3</v>
      </c>
      <c r="G449" s="3366">
        <f>G435*$E$423*'ELECT_ Electricidad'!HORAS_OPERACION_AÑO*UNIDAD_GWH_A_TWH</f>
        <v>6.1942293755999998E-3</v>
      </c>
      <c r="H449" s="3366">
        <f>H435*$E$423*'ELECT_ Electricidad'!HORAS_OPERACION_AÑO*UNIDAD_GWH_A_TWH</f>
        <v>5.8120847999999976E-4</v>
      </c>
      <c r="I449" s="3366">
        <f>I435*$E$423*'ELECT_ Electricidad'!HORAS_OPERACION_AÑO*UNIDAD_GWH_A_TWH</f>
        <v>4.6012337999999967E-4</v>
      </c>
      <c r="J449" s="3366">
        <f>J435*$E$423*'ELECT_ Electricidad'!HORAS_OPERACION_AÑO*UNIDAD_GWH_A_TWH</f>
        <v>7.265105999999997E-5</v>
      </c>
      <c r="K449" s="1757"/>
      <c r="L449" s="1412"/>
      <c r="M449" s="1387"/>
    </row>
    <row r="450" spans="2:13" ht="15" customHeight="1">
      <c r="B450" s="186"/>
      <c r="C450" s="11"/>
      <c r="D450" s="1196" t="s">
        <v>562</v>
      </c>
      <c r="E450" s="3366">
        <f>E436*$E$423*'ELECT_ Electricidad'!HORAS_OPERACION_AÑO*UNIDAD_GWH_A_TWH</f>
        <v>1.2490884000000002E-4</v>
      </c>
      <c r="F450" s="3366">
        <f>F436*$E$423*'ELECT_ Electricidad'!HORAS_OPERACION_AÑO*UNIDAD_GWH_A_TWH</f>
        <v>4.9963536000000009E-4</v>
      </c>
      <c r="G450" s="3366">
        <f>G436*$E$423*'ELECT_ Electricidad'!HORAS_OPERACION_AÑO*UNIDAD_GWH_A_TWH</f>
        <v>1.573851384E-3</v>
      </c>
      <c r="H450" s="3366">
        <f>H436*$E$423*'ELECT_ Electricidad'!HORAS_OPERACION_AÑO*UNIDAD_GWH_A_TWH</f>
        <v>1.4767547586206888E-4</v>
      </c>
      <c r="I450" s="3366">
        <f>I436*$E$423*'ELECT_ Electricidad'!HORAS_OPERACION_AÑO*UNIDAD_GWH_A_TWH</f>
        <v>1.1690975172413783E-4</v>
      </c>
      <c r="J450" s="3366">
        <f>J436*$E$423*'ELECT_ Electricidad'!HORAS_OPERACION_AÑO*UNIDAD_GWH_A_TWH</f>
        <v>1.845943448275861E-5</v>
      </c>
      <c r="K450" s="1757"/>
      <c r="L450" s="1412"/>
      <c r="M450" s="1387"/>
    </row>
    <row r="451" spans="2:13" ht="15" customHeight="1">
      <c r="B451" s="186"/>
      <c r="C451" s="11"/>
      <c r="D451" s="1196" t="s">
        <v>563</v>
      </c>
      <c r="E451" s="3366">
        <f>E437*$E$423*'ELECT_ Electricidad'!HORAS_OPERACION_AÑO*UNIDAD_GWH_A_TWH</f>
        <v>1.5167502000000002E-5</v>
      </c>
      <c r="F451" s="3366">
        <f>F437*$E$423*'ELECT_ Electricidad'!HORAS_OPERACION_AÑO*UNIDAD_GWH_A_TWH</f>
        <v>6.0670008000000009E-5</v>
      </c>
      <c r="G451" s="3366">
        <f>G437*$E$423*'ELECT_ Electricidad'!HORAS_OPERACION_AÑO*UNIDAD_GWH_A_TWH</f>
        <v>1.911105252E-4</v>
      </c>
      <c r="H451" s="3366">
        <f>H437*$E$423*'ELECT_ Electricidad'!HORAS_OPERACION_AÑO*UNIDAD_GWH_A_TWH</f>
        <v>1.7932022068965504E-5</v>
      </c>
      <c r="I451" s="3366">
        <f>I437*$E$423*'ELECT_ Electricidad'!HORAS_OPERACION_AÑO*UNIDAD_GWH_A_TWH</f>
        <v>1.4196184137931024E-5</v>
      </c>
      <c r="J451" s="3366">
        <f>J437*$E$423*'ELECT_ Electricidad'!HORAS_OPERACION_AÑO*UNIDAD_GWH_A_TWH</f>
        <v>2.2415027586206881E-6</v>
      </c>
      <c r="K451" s="1757"/>
      <c r="L451" s="1412"/>
      <c r="M451" s="1387"/>
    </row>
    <row r="452" spans="2:13" ht="15" customHeight="1">
      <c r="B452" s="186"/>
      <c r="C452" s="11"/>
      <c r="D452" s="1642" t="s">
        <v>564</v>
      </c>
      <c r="E452" s="3367">
        <f>E438*$E$423*'ELECT_ Electricidad'!HORAS_OPERACION_AÑO*UNIDAD_GWH_A_TWH</f>
        <v>1.0617251400000001E-4</v>
      </c>
      <c r="F452" s="3367">
        <f>F438*$E$423*'ELECT_ Electricidad'!HORAS_OPERACION_AÑO*UNIDAD_GWH_A_TWH</f>
        <v>4.2469005600000002E-4</v>
      </c>
      <c r="G452" s="3367">
        <f>G438*$E$423*'ELECT_ Electricidad'!HORAS_OPERACION_AÑO*UNIDAD_GWH_A_TWH</f>
        <v>1.3377736764000002E-3</v>
      </c>
      <c r="H452" s="3367">
        <f>H438*$E$423*'ELECT_ Electricidad'!HORAS_OPERACION_AÑO*UNIDAD_GWH_A_TWH</f>
        <v>1.2552415448275855E-4</v>
      </c>
      <c r="I452" s="3367">
        <f>I438*$E$423*'ELECT_ Electricidad'!HORAS_OPERACION_AÑO*UNIDAD_GWH_A_TWH</f>
        <v>9.9373288965517176E-5</v>
      </c>
      <c r="J452" s="3367">
        <f>J438*$E$423*'ELECT_ Electricidad'!HORAS_OPERACION_AÑO*UNIDAD_GWH_A_TWH</f>
        <v>1.5690519310344819E-5</v>
      </c>
      <c r="K452" s="1757"/>
      <c r="L452" s="1412"/>
      <c r="M452" s="1387"/>
    </row>
    <row r="453" spans="2:13" ht="15" customHeight="1">
      <c r="B453" s="186"/>
      <c r="C453" s="11"/>
      <c r="D453" s="286"/>
      <c r="E453" s="1756"/>
      <c r="F453" s="1757"/>
      <c r="G453" s="1757"/>
      <c r="H453" s="1757"/>
      <c r="I453" s="1757"/>
      <c r="J453" s="1757"/>
      <c r="K453" s="1757"/>
      <c r="L453" s="1412"/>
      <c r="M453" s="1387"/>
    </row>
    <row r="454" spans="2:13" ht="15" customHeight="1">
      <c r="B454" s="186"/>
      <c r="C454" s="11"/>
      <c r="D454" s="398" t="s">
        <v>1862</v>
      </c>
      <c r="E454" s="1930"/>
      <c r="F454" s="1930"/>
      <c r="G454" s="1930"/>
      <c r="H454" s="1930"/>
      <c r="I454" s="1930"/>
      <c r="J454" s="1930"/>
      <c r="K454" s="1930"/>
      <c r="L454" s="181"/>
      <c r="M454" s="1387"/>
    </row>
    <row r="455" spans="2:13" ht="15" customHeight="1">
      <c r="B455" s="186"/>
      <c r="C455" s="1387"/>
      <c r="D455" s="1387"/>
      <c r="E455" s="3363"/>
      <c r="F455" s="3363"/>
      <c r="G455" s="3363"/>
      <c r="H455" s="1758"/>
      <c r="I455" s="1758"/>
      <c r="J455" s="1758"/>
      <c r="K455" s="1758"/>
      <c r="L455" s="1387"/>
      <c r="M455" s="1387"/>
    </row>
    <row r="456" spans="2:13" ht="15" customHeight="1">
      <c r="B456" s="186"/>
      <c r="C456" s="11"/>
      <c r="D456" s="451"/>
      <c r="E456" s="3368"/>
      <c r="F456" s="3368"/>
      <c r="G456" s="3369" t="s">
        <v>750</v>
      </c>
      <c r="H456" s="1757"/>
      <c r="I456" s="1757"/>
      <c r="J456" s="1757"/>
      <c r="K456" s="1757"/>
      <c r="L456" s="1412"/>
      <c r="M456" s="1387"/>
    </row>
    <row r="457" spans="2:13" ht="15" customHeight="1">
      <c r="B457" s="186"/>
      <c r="C457" s="11"/>
      <c r="D457" s="528" t="s">
        <v>1469</v>
      </c>
      <c r="E457" s="3365" t="s">
        <v>162</v>
      </c>
      <c r="F457" s="3365" t="s">
        <v>569</v>
      </c>
      <c r="G457" s="3365" t="s">
        <v>513</v>
      </c>
      <c r="H457" s="1757"/>
      <c r="I457" s="1757"/>
      <c r="J457" s="1757"/>
      <c r="K457" s="1757"/>
      <c r="L457" s="1412"/>
      <c r="M457" s="1387"/>
    </row>
    <row r="458" spans="2:13" ht="15" customHeight="1">
      <c r="B458" s="186"/>
      <c r="C458" s="11"/>
      <c r="D458" s="1413" t="s">
        <v>917</v>
      </c>
      <c r="E458" s="3370">
        <v>0</v>
      </c>
      <c r="F458" s="3370">
        <v>0</v>
      </c>
      <c r="G458" s="3370">
        <v>0</v>
      </c>
      <c r="H458" s="1757"/>
      <c r="I458" s="1757"/>
      <c r="J458" s="1757"/>
      <c r="K458" s="1757"/>
      <c r="L458" s="1412"/>
      <c r="M458" s="1387"/>
    </row>
    <row r="459" spans="2:13" ht="15" customHeight="1">
      <c r="B459" s="186"/>
      <c r="C459" s="11"/>
      <c r="D459" s="1196" t="s">
        <v>1855</v>
      </c>
      <c r="E459" s="3366">
        <v>0</v>
      </c>
      <c r="F459" s="3366">
        <v>0</v>
      </c>
      <c r="G459" s="3366">
        <v>0</v>
      </c>
      <c r="H459" s="1757"/>
      <c r="I459" s="1757"/>
      <c r="J459" s="1757"/>
      <c r="K459" s="1757"/>
      <c r="L459" s="1412"/>
      <c r="M459" s="1387"/>
    </row>
    <row r="460" spans="2:13" ht="15" customHeight="1">
      <c r="B460" s="186"/>
      <c r="C460" s="11"/>
      <c r="D460" s="1196" t="s">
        <v>559</v>
      </c>
      <c r="E460" s="3366">
        <v>4.0288950000000002E-3</v>
      </c>
      <c r="F460" s="3366">
        <v>1.177677E-3</v>
      </c>
      <c r="G460" s="3366">
        <v>9.917280000000001E-4</v>
      </c>
      <c r="H460" s="1757"/>
      <c r="I460" s="1757"/>
      <c r="J460" s="1757"/>
      <c r="K460" s="1757"/>
      <c r="L460" s="1412"/>
      <c r="M460" s="1387"/>
    </row>
    <row r="461" spans="2:13" ht="15" customHeight="1">
      <c r="B461" s="186"/>
      <c r="C461" s="11"/>
      <c r="D461" s="1196" t="s">
        <v>560</v>
      </c>
      <c r="E461" s="3366">
        <v>0</v>
      </c>
      <c r="F461" s="3366">
        <v>0</v>
      </c>
      <c r="G461" s="3366">
        <v>0</v>
      </c>
      <c r="H461" s="1757"/>
      <c r="I461" s="1757"/>
      <c r="J461" s="1757"/>
      <c r="K461" s="1757"/>
      <c r="L461" s="1412"/>
      <c r="M461" s="1387"/>
    </row>
    <row r="462" spans="2:13" ht="15" customHeight="1">
      <c r="B462" s="186"/>
      <c r="C462" s="11"/>
      <c r="D462" s="1196" t="s">
        <v>561</v>
      </c>
      <c r="E462" s="3366">
        <v>1.2944165000000004E-2</v>
      </c>
      <c r="F462" s="3366">
        <v>3.7836790000000007E-3</v>
      </c>
      <c r="G462" s="3366">
        <v>3.1862560000000002E-3</v>
      </c>
      <c r="H462" s="1757"/>
      <c r="I462" s="1757"/>
      <c r="J462" s="1757"/>
      <c r="K462" s="1757"/>
      <c r="L462" s="1412"/>
      <c r="M462" s="1387"/>
    </row>
    <row r="463" spans="2:13" ht="15" customHeight="1">
      <c r="B463" s="186"/>
      <c r="C463" s="11"/>
      <c r="D463" s="1196" t="s">
        <v>562</v>
      </c>
      <c r="E463" s="3366">
        <v>2.3958999999999999E-3</v>
      </c>
      <c r="F463" s="3366">
        <v>7.0034000000000003E-4</v>
      </c>
      <c r="G463" s="3366">
        <v>5.8976000000000005E-4</v>
      </c>
      <c r="H463" s="1757"/>
      <c r="I463" s="1757"/>
      <c r="J463" s="1757"/>
      <c r="K463" s="1757"/>
      <c r="L463" s="1412"/>
      <c r="M463" s="1387"/>
    </row>
    <row r="464" spans="2:13" ht="15" customHeight="1">
      <c r="B464" s="186"/>
      <c r="C464" s="11"/>
      <c r="D464" s="1196" t="s">
        <v>563</v>
      </c>
      <c r="E464" s="3366">
        <v>0</v>
      </c>
      <c r="F464" s="3366">
        <v>0</v>
      </c>
      <c r="G464" s="3366">
        <v>0</v>
      </c>
      <c r="H464" s="1757"/>
      <c r="I464" s="1757"/>
      <c r="J464" s="1757"/>
      <c r="K464" s="1757"/>
      <c r="L464" s="1412"/>
      <c r="M464" s="1387"/>
    </row>
    <row r="465" spans="2:13" ht="15" customHeight="1">
      <c r="B465" s="186"/>
      <c r="C465" s="11"/>
      <c r="D465" s="1642" t="s">
        <v>564</v>
      </c>
      <c r="E465" s="3367">
        <v>2.3832900000000001E-3</v>
      </c>
      <c r="F465" s="3367">
        <v>6.96654E-4</v>
      </c>
      <c r="G465" s="3367">
        <v>5.8665600000000007E-4</v>
      </c>
      <c r="H465" s="1757"/>
      <c r="I465" s="1757"/>
      <c r="J465" s="1757"/>
      <c r="K465" s="1757"/>
      <c r="L465" s="1412"/>
      <c r="M465" s="1387"/>
    </row>
    <row r="466" spans="2:13" ht="15" customHeight="1">
      <c r="B466" s="186"/>
      <c r="C466" s="11"/>
      <c r="D466" s="286"/>
      <c r="E466" s="1756"/>
      <c r="F466" s="1757"/>
      <c r="G466" s="1757"/>
      <c r="H466" s="1757"/>
      <c r="I466" s="1757"/>
      <c r="J466" s="1757"/>
      <c r="K466" s="1757"/>
      <c r="L466" s="1412"/>
      <c r="M466" s="1387"/>
    </row>
    <row r="467" spans="2:13" ht="15" customHeight="1">
      <c r="B467" s="186"/>
      <c r="C467" s="11"/>
      <c r="D467" s="447"/>
      <c r="E467" s="1759"/>
      <c r="F467" s="1757"/>
      <c r="G467" s="1757"/>
      <c r="H467" s="1757"/>
      <c r="I467" s="1757"/>
      <c r="J467" s="1757"/>
      <c r="K467" s="1757"/>
      <c r="L467" s="1412"/>
      <c r="M467" s="1387"/>
    </row>
    <row r="468" spans="2:13" ht="15" customHeight="1">
      <c r="B468" s="186"/>
      <c r="C468" s="11"/>
      <c r="D468" s="398" t="s">
        <v>1863</v>
      </c>
      <c r="E468" s="1930"/>
      <c r="F468" s="1930"/>
      <c r="G468" s="1930"/>
      <c r="H468" s="1930"/>
      <c r="I468" s="1930"/>
      <c r="J468" s="1930"/>
      <c r="K468" s="1930"/>
      <c r="L468" s="181"/>
      <c r="M468" s="1387"/>
    </row>
    <row r="469" spans="2:13" ht="15" customHeight="1">
      <c r="B469" s="186"/>
      <c r="C469" s="1387"/>
      <c r="D469" s="1387"/>
      <c r="E469" s="1758"/>
      <c r="F469" s="1758"/>
      <c r="G469" s="1758"/>
      <c r="H469" s="1758"/>
      <c r="I469" s="1758"/>
      <c r="J469" s="1758"/>
      <c r="K469" s="1758"/>
      <c r="L469" s="1387"/>
      <c r="M469" s="1387"/>
    </row>
    <row r="470" spans="2:13" ht="15" customHeight="1">
      <c r="B470" s="186"/>
      <c r="C470" s="11"/>
      <c r="D470" s="451"/>
      <c r="E470" s="3368"/>
      <c r="F470" s="3368"/>
      <c r="G470" s="3369" t="s">
        <v>9</v>
      </c>
      <c r="H470" s="1757"/>
      <c r="I470" s="1757"/>
      <c r="J470" s="1757"/>
      <c r="K470" s="1757"/>
      <c r="L470" s="1412"/>
      <c r="M470" s="1387"/>
    </row>
    <row r="471" spans="2:13" ht="15" customHeight="1">
      <c r="B471" s="186"/>
      <c r="C471" s="11"/>
      <c r="D471" s="528" t="s">
        <v>1469</v>
      </c>
      <c r="E471" s="3371" t="s">
        <v>162</v>
      </c>
      <c r="F471" s="3371" t="s">
        <v>569</v>
      </c>
      <c r="G471" s="3371" t="s">
        <v>513</v>
      </c>
      <c r="H471" s="1757"/>
      <c r="I471" s="1757"/>
      <c r="J471" s="1757"/>
      <c r="K471" s="1757"/>
      <c r="L471" s="1412"/>
      <c r="M471" s="1387"/>
    </row>
    <row r="472" spans="2:13" ht="15" customHeight="1">
      <c r="B472" s="186"/>
      <c r="C472" s="11"/>
      <c r="D472" s="1413" t="s">
        <v>917</v>
      </c>
      <c r="E472" s="3372">
        <f>E458*$E$424*'ELECT_ Electricidad'!HORAS_OPERACION_AÑO*UNIDAD_GWH_A_TWH</f>
        <v>0</v>
      </c>
      <c r="F472" s="3372">
        <f>F458*$E$424*'ELECT_ Electricidad'!HORAS_OPERACION_AÑO*UNIDAD_GWH_A_TWH</f>
        <v>0</v>
      </c>
      <c r="G472" s="3372">
        <f>G458*$E$424*'ELECT_ Electricidad'!HORAS_OPERACION_AÑO*UNIDAD_GWH_A_TWH</f>
        <v>0</v>
      </c>
      <c r="H472" s="1757"/>
      <c r="I472" s="1757"/>
      <c r="J472" s="1757"/>
      <c r="K472" s="1757"/>
      <c r="L472" s="1412"/>
      <c r="M472" s="1387"/>
    </row>
    <row r="473" spans="2:13" ht="15" customHeight="1">
      <c r="B473" s="186"/>
      <c r="C473" s="11"/>
      <c r="D473" s="1196" t="s">
        <v>1855</v>
      </c>
      <c r="E473" s="3372">
        <f>E459*$E$424*'ELECT_ Electricidad'!HORAS_OPERACION_AÑO*UNIDAD_GWH_A_TWH</f>
        <v>0</v>
      </c>
      <c r="F473" s="3372">
        <f>F459*$E$424*'ELECT_ Electricidad'!HORAS_OPERACION_AÑO*UNIDAD_GWH_A_TWH</f>
        <v>0</v>
      </c>
      <c r="G473" s="3372">
        <f>G459*$E$424*'ELECT_ Electricidad'!HORAS_OPERACION_AÑO*UNIDAD_GWH_A_TWH</f>
        <v>0</v>
      </c>
      <c r="H473" s="1757"/>
      <c r="I473" s="1757"/>
      <c r="J473" s="1757"/>
      <c r="K473" s="1757"/>
      <c r="L473" s="1412"/>
      <c r="M473" s="1387"/>
    </row>
    <row r="474" spans="2:13" ht="15" customHeight="1">
      <c r="B474" s="186"/>
      <c r="C474" s="11"/>
      <c r="D474" s="1196" t="s">
        <v>559</v>
      </c>
      <c r="E474" s="3372">
        <f>E460*$E$424*'ELECT_ Electricidad'!HORAS_OPERACION_AÑO*UNIDAD_GWH_A_TWH</f>
        <v>2.0470009716E-2</v>
      </c>
      <c r="F474" s="3372">
        <f>F460*$E$424*'ELECT_ Electricidad'!HORAS_OPERACION_AÑO*UNIDAD_GWH_A_TWH</f>
        <v>5.9835413015999995E-3</v>
      </c>
      <c r="G474" s="3372">
        <f>G460*$E$424*'ELECT_ Electricidad'!HORAS_OPERACION_AÑO*UNIDAD_GWH_A_TWH</f>
        <v>5.0387716224000005E-3</v>
      </c>
      <c r="H474" s="1757"/>
      <c r="I474" s="1757"/>
      <c r="J474" s="1757"/>
      <c r="K474" s="1757"/>
      <c r="L474" s="1412"/>
      <c r="M474" s="1387"/>
    </row>
    <row r="475" spans="2:13" ht="15" customHeight="1">
      <c r="B475" s="186"/>
      <c r="C475" s="11"/>
      <c r="D475" s="1196" t="s">
        <v>560</v>
      </c>
      <c r="E475" s="3372">
        <f>E461*$E$424*'ELECT_ Electricidad'!HORAS_OPERACION_AÑO*UNIDAD_GWH_A_TWH</f>
        <v>0</v>
      </c>
      <c r="F475" s="3372">
        <f>F461*$E$424*'ELECT_ Electricidad'!HORAS_OPERACION_AÑO*UNIDAD_GWH_A_TWH</f>
        <v>0</v>
      </c>
      <c r="G475" s="3372">
        <f>G461*$E$424*'ELECT_ Electricidad'!HORAS_OPERACION_AÑO*UNIDAD_GWH_A_TWH</f>
        <v>0</v>
      </c>
      <c r="H475" s="1757"/>
      <c r="I475" s="1757"/>
      <c r="J475" s="1757"/>
      <c r="K475" s="1757"/>
      <c r="L475" s="1412"/>
      <c r="M475" s="1387"/>
    </row>
    <row r="476" spans="2:13" ht="15" customHeight="1">
      <c r="B476" s="186"/>
      <c r="C476" s="11"/>
      <c r="D476" s="1196" t="s">
        <v>561</v>
      </c>
      <c r="E476" s="3372">
        <f>E462*$E$424*'ELECT_ Electricidad'!HORAS_OPERACION_AÑO*UNIDAD_GWH_A_TWH</f>
        <v>6.5766713532000018E-2</v>
      </c>
      <c r="F476" s="3372">
        <f>F462*$E$424*'ELECT_ Electricidad'!HORAS_OPERACION_AÑO*UNIDAD_GWH_A_TWH</f>
        <v>1.9224116263200003E-2</v>
      </c>
      <c r="G476" s="3372">
        <f>G462*$E$424*'ELECT_ Electricidad'!HORAS_OPERACION_AÑO*UNIDAD_GWH_A_TWH</f>
        <v>1.6188729484800001E-2</v>
      </c>
      <c r="H476" s="1757"/>
      <c r="I476" s="1757"/>
      <c r="J476" s="1757"/>
      <c r="K476" s="1757"/>
      <c r="L476" s="1412"/>
      <c r="M476" s="1387"/>
    </row>
    <row r="477" spans="2:13" ht="15" customHeight="1">
      <c r="B477" s="186"/>
      <c r="C477" s="11"/>
      <c r="D477" s="1196" t="s">
        <v>562</v>
      </c>
      <c r="E477" s="3372">
        <f>E463*$E$424*'ELECT_ Electricidad'!HORAS_OPERACION_AÑO*UNIDAD_GWH_A_TWH</f>
        <v>1.2173088719999999E-2</v>
      </c>
      <c r="F477" s="3372">
        <f>F463*$E$424*'ELECT_ Electricidad'!HORAS_OPERACION_AÑO*UNIDAD_GWH_A_TWH</f>
        <v>3.5582874720000001E-3</v>
      </c>
      <c r="G477" s="3372">
        <f>G463*$E$424*'ELECT_ Electricidad'!HORAS_OPERACION_AÑO*UNIDAD_GWH_A_TWH</f>
        <v>2.9964526079999999E-3</v>
      </c>
      <c r="H477" s="1757"/>
      <c r="I477" s="1757"/>
      <c r="J477" s="1757"/>
      <c r="K477" s="1757"/>
      <c r="L477" s="1412"/>
      <c r="M477" s="1387"/>
    </row>
    <row r="478" spans="2:13" ht="15" customHeight="1">
      <c r="B478" s="186"/>
      <c r="C478" s="11"/>
      <c r="D478" s="1196" t="s">
        <v>563</v>
      </c>
      <c r="E478" s="3372">
        <f>E464*$E$424*'ELECT_ Electricidad'!HORAS_OPERACION_AÑO*UNIDAD_GWH_A_TWH</f>
        <v>0</v>
      </c>
      <c r="F478" s="3372">
        <f>F464*$E$424*'ELECT_ Electricidad'!HORAS_OPERACION_AÑO*UNIDAD_GWH_A_TWH</f>
        <v>0</v>
      </c>
      <c r="G478" s="3372">
        <f>G464*$E$424*'ELECT_ Electricidad'!HORAS_OPERACION_AÑO*UNIDAD_GWH_A_TWH</f>
        <v>0</v>
      </c>
      <c r="H478" s="1757"/>
      <c r="I478" s="1757"/>
      <c r="J478" s="1757"/>
      <c r="K478" s="1757"/>
      <c r="L478" s="1412"/>
      <c r="M478" s="1387"/>
    </row>
    <row r="479" spans="2:13" ht="15" customHeight="1">
      <c r="B479" s="186"/>
      <c r="C479" s="11"/>
      <c r="D479" s="1642" t="s">
        <v>564</v>
      </c>
      <c r="E479" s="3373">
        <f>E465*$E$424*'ELECT_ Electricidad'!HORAS_OPERACION_AÑO*UNIDAD_GWH_A_TWH</f>
        <v>1.2109019832000001E-2</v>
      </c>
      <c r="F479" s="3373">
        <f>F465*$E$424*'ELECT_ Electricidad'!HORAS_OPERACION_AÑO*UNIDAD_GWH_A_TWH</f>
        <v>3.5395596432000001E-3</v>
      </c>
      <c r="G479" s="3373">
        <f>G465*$E$424*'ELECT_ Electricidad'!HORAS_OPERACION_AÑO*UNIDAD_GWH_A_TWH</f>
        <v>2.9806818048000003E-3</v>
      </c>
      <c r="H479" s="1757"/>
      <c r="I479" s="1757"/>
      <c r="J479" s="1757"/>
      <c r="K479" s="1757"/>
      <c r="L479" s="1412"/>
      <c r="M479" s="1387"/>
    </row>
    <row r="480" spans="2:13" ht="15" customHeight="1">
      <c r="B480" s="186"/>
      <c r="C480" s="11"/>
      <c r="D480" s="286"/>
      <c r="E480" s="3372"/>
      <c r="F480" s="3368"/>
      <c r="G480" s="3368"/>
      <c r="H480" s="1412"/>
      <c r="I480" s="1412"/>
      <c r="J480" s="1412"/>
      <c r="K480" s="1412"/>
      <c r="L480" s="1412"/>
      <c r="M480" s="1387"/>
    </row>
    <row r="481" spans="2:16" ht="15" customHeight="1">
      <c r="B481" s="186"/>
      <c r="C481" s="11"/>
      <c r="D481" s="398" t="s">
        <v>1864</v>
      </c>
      <c r="E481" s="181"/>
      <c r="F481" s="181"/>
      <c r="G481" s="181"/>
      <c r="H481" s="181"/>
      <c r="I481" s="181"/>
      <c r="J481" s="1932"/>
      <c r="K481" s="1932"/>
      <c r="L481" s="181"/>
      <c r="M481" s="1387"/>
    </row>
    <row r="482" spans="2:16">
      <c r="B482" s="186"/>
      <c r="C482" s="11"/>
      <c r="D482" s="451"/>
      <c r="E482" s="451"/>
      <c r="F482" s="451"/>
      <c r="G482" s="451"/>
      <c r="H482" s="451"/>
      <c r="I482" s="451"/>
      <c r="J482" s="451"/>
      <c r="K482" s="451"/>
      <c r="L482" s="451"/>
      <c r="M482" s="1387"/>
    </row>
    <row r="483" spans="2:16" ht="15" customHeight="1">
      <c r="B483" s="186"/>
      <c r="C483" s="11"/>
      <c r="D483" s="451"/>
      <c r="E483" s="451"/>
      <c r="F483" s="1410"/>
      <c r="G483" s="1410"/>
      <c r="H483" s="1410"/>
      <c r="I483" s="1410"/>
      <c r="J483" s="1410"/>
      <c r="K483" s="1410"/>
      <c r="L483" s="1933" t="s">
        <v>1865</v>
      </c>
      <c r="M483" s="1387"/>
    </row>
    <row r="484" spans="2:16" ht="15" customHeight="1">
      <c r="B484" s="186"/>
      <c r="C484" s="11"/>
      <c r="D484" s="1934" t="s">
        <v>869</v>
      </c>
      <c r="E484" s="1920">
        <v>2018</v>
      </c>
      <c r="F484" s="1920">
        <v>2020</v>
      </c>
      <c r="G484" s="1920">
        <v>2025</v>
      </c>
      <c r="H484" s="1920">
        <v>2030</v>
      </c>
      <c r="I484" s="1920">
        <v>2035</v>
      </c>
      <c r="J484" s="1920">
        <v>2040</v>
      </c>
      <c r="K484" s="1920">
        <v>2045</v>
      </c>
      <c r="L484" s="1920">
        <v>2050</v>
      </c>
      <c r="M484" s="1387"/>
      <c r="O484" s="2982"/>
      <c r="P484" s="2982"/>
    </row>
    <row r="485" spans="2:16" ht="15" customHeight="1">
      <c r="B485" s="186"/>
      <c r="C485" s="11"/>
      <c r="D485" s="1196" t="s">
        <v>1763</v>
      </c>
      <c r="E485" s="1410">
        <v>75.98618276054404</v>
      </c>
      <c r="F485" s="1410">
        <v>98.879659777820535</v>
      </c>
      <c r="G485" s="1410">
        <v>157.25274642324038</v>
      </c>
      <c r="H485" s="1410">
        <v>201.6551010848188</v>
      </c>
      <c r="I485" s="2985">
        <v>246.05745574639724</v>
      </c>
      <c r="J485" s="2985">
        <v>290.45981040797568</v>
      </c>
      <c r="K485" s="1410">
        <v>334.86216506955412</v>
      </c>
      <c r="L485" s="1410">
        <v>379.26451973113257</v>
      </c>
      <c r="M485" s="1387"/>
      <c r="P485" s="2983"/>
    </row>
    <row r="486" spans="2:16" ht="15" customHeight="1">
      <c r="B486" s="186"/>
      <c r="C486" s="11"/>
      <c r="D486" s="1196" t="s">
        <v>1764</v>
      </c>
      <c r="E486" s="1410">
        <v>1.2205092900000002E-2</v>
      </c>
      <c r="F486" s="1410">
        <v>0.12695579387703687</v>
      </c>
      <c r="G486" s="1410">
        <v>0.22304718063275369</v>
      </c>
      <c r="H486" s="1410">
        <v>0.28187849244836538</v>
      </c>
      <c r="I486" s="1410">
        <v>0.34070980426397712</v>
      </c>
      <c r="J486" s="1410">
        <v>0.39954111607958886</v>
      </c>
      <c r="K486" s="1410">
        <v>0.45837242789520055</v>
      </c>
      <c r="L486" s="1410">
        <v>0.51720373971081235</v>
      </c>
      <c r="M486" s="1387"/>
    </row>
    <row r="487" spans="2:16" ht="15" customHeight="1">
      <c r="B487" s="186"/>
      <c r="C487" s="11"/>
      <c r="D487" s="1196" t="s">
        <v>1765</v>
      </c>
      <c r="E487" s="1410">
        <v>0.26514492752321672</v>
      </c>
      <c r="F487" s="1410">
        <v>0.36604690972460707</v>
      </c>
      <c r="G487" s="1410">
        <v>1.1748214796208332</v>
      </c>
      <c r="H487" s="1410">
        <v>2.1622475299780257</v>
      </c>
      <c r="I487" s="1410">
        <v>3.1496735803352189</v>
      </c>
      <c r="J487" s="1410">
        <v>4.1370996306924122</v>
      </c>
      <c r="K487" s="1410">
        <v>5.1245256810496054</v>
      </c>
      <c r="L487" s="1410">
        <v>6.1119517314067986</v>
      </c>
      <c r="M487" s="1387"/>
      <c r="O487" s="2982"/>
    </row>
    <row r="488" spans="2:16" ht="15" customHeight="1">
      <c r="B488" s="186"/>
      <c r="C488" s="11"/>
      <c r="D488" s="1196" t="s">
        <v>1766</v>
      </c>
      <c r="E488" s="1410">
        <v>2.6937741366202181</v>
      </c>
      <c r="F488" s="1410">
        <v>2.6079263226317684</v>
      </c>
      <c r="G488" s="1410">
        <v>3.6534493365746181</v>
      </c>
      <c r="H488" s="1410">
        <v>4.1874384057099423</v>
      </c>
      <c r="I488" s="1410">
        <v>4.7214274748452674</v>
      </c>
      <c r="J488" s="1410">
        <v>5.2554165439805924</v>
      </c>
      <c r="K488" s="1410">
        <v>5.7894056131159175</v>
      </c>
      <c r="L488" s="1410">
        <v>6.3233946822512426</v>
      </c>
      <c r="M488" s="1387"/>
    </row>
    <row r="489" spans="2:16" ht="27" customHeight="1">
      <c r="B489" s="186"/>
      <c r="C489" s="11"/>
      <c r="D489" s="1196" t="s">
        <v>1767</v>
      </c>
      <c r="E489" s="1410">
        <v>1.1634837585358113E-2</v>
      </c>
      <c r="F489" s="1410">
        <v>2.483581722104506E-2</v>
      </c>
      <c r="G489" s="1410">
        <v>7.1619531181547805E-2</v>
      </c>
      <c r="H489" s="1410">
        <v>8.2094371427087739E-2</v>
      </c>
      <c r="I489" s="1410">
        <v>9.2569211672627688E-2</v>
      </c>
      <c r="J489" s="1410">
        <v>0.10304405191816765</v>
      </c>
      <c r="K489" s="1410">
        <v>0.11351889216370761</v>
      </c>
      <c r="L489" s="1410">
        <v>0.1239937324092476</v>
      </c>
      <c r="M489" s="447"/>
    </row>
    <row r="490" spans="2:16">
      <c r="B490" s="186"/>
      <c r="C490" s="11"/>
      <c r="D490" s="1642" t="s">
        <v>564</v>
      </c>
      <c r="E490" s="1643">
        <v>1.8581751494488822E-2</v>
      </c>
      <c r="F490" s="1643">
        <v>1.9107567954742416E-2</v>
      </c>
      <c r="G490" s="1643">
        <v>2.1414260456747852E-2</v>
      </c>
      <c r="H490" s="1643">
        <v>2.5334972644612094E-2</v>
      </c>
      <c r="I490" s="1643">
        <v>2.9255684832476342E-2</v>
      </c>
      <c r="J490" s="1643">
        <v>3.3176397020340594E-2</v>
      </c>
      <c r="K490" s="1643">
        <v>3.7097109208204845E-2</v>
      </c>
      <c r="L490" s="1643">
        <v>4.1017821396069118E-2</v>
      </c>
      <c r="M490" s="447"/>
    </row>
    <row r="491" spans="2:16" ht="15" customHeight="1">
      <c r="B491" s="186"/>
      <c r="C491" s="11"/>
      <c r="D491" s="907"/>
      <c r="E491" s="1410"/>
      <c r="F491" s="1410"/>
      <c r="G491" s="1410"/>
      <c r="H491" s="1410"/>
      <c r="I491" s="1410"/>
      <c r="J491" s="1410"/>
      <c r="K491" s="1410"/>
      <c r="L491" s="1410"/>
      <c r="M491" s="447"/>
    </row>
    <row r="492" spans="2:16">
      <c r="B492" s="186"/>
      <c r="C492" s="1935"/>
      <c r="D492" s="1396"/>
      <c r="E492" s="1397"/>
      <c r="F492" s="1936"/>
      <c r="G492" s="1936"/>
      <c r="H492" s="1936"/>
      <c r="I492" s="1936"/>
      <c r="J492" s="1936"/>
      <c r="K492" s="1936"/>
      <c r="L492" s="1936"/>
      <c r="M492" s="1936"/>
    </row>
    <row r="493" spans="2:16" ht="15" customHeight="1">
      <c r="B493" s="186"/>
      <c r="C493" s="1937"/>
      <c r="D493" s="186"/>
      <c r="F493" s="1937"/>
      <c r="G493" s="1937"/>
      <c r="H493" s="1937"/>
      <c r="I493" s="1937"/>
      <c r="J493" s="1937"/>
      <c r="K493" s="1937"/>
      <c r="L493" s="1937"/>
      <c r="M493" s="270"/>
    </row>
    <row r="494" spans="2:16" ht="15" customHeight="1">
      <c r="B494" s="186"/>
      <c r="C494" s="1018" t="s">
        <v>51</v>
      </c>
      <c r="D494" s="181"/>
      <c r="E494" s="181"/>
      <c r="F494" s="181"/>
      <c r="G494" s="181"/>
      <c r="H494" s="181"/>
      <c r="I494" s="181"/>
      <c r="J494" s="181"/>
      <c r="K494" s="181"/>
      <c r="L494" s="181"/>
      <c r="M494" s="181"/>
    </row>
    <row r="495" spans="2:16" ht="15" customHeight="1">
      <c r="B495" s="186"/>
      <c r="C495" s="12"/>
      <c r="D495" s="12"/>
      <c r="E495" s="12"/>
      <c r="F495" s="12"/>
      <c r="G495" s="12"/>
      <c r="H495" s="12"/>
      <c r="I495" s="12"/>
      <c r="J495" s="12"/>
      <c r="K495" s="12"/>
      <c r="L495" s="12"/>
      <c r="M495" s="12"/>
    </row>
    <row r="496" spans="2:16" ht="15" customHeight="1">
      <c r="B496" s="1921"/>
      <c r="C496" s="12"/>
      <c r="D496" s="2054" t="s">
        <v>1866</v>
      </c>
      <c r="E496" s="2054"/>
      <c r="F496" s="2054"/>
      <c r="G496" s="2054"/>
      <c r="H496" s="2054"/>
      <c r="I496" s="181"/>
      <c r="J496" s="181"/>
      <c r="K496" s="181"/>
      <c r="L496" s="181"/>
      <c r="M496" s="12"/>
    </row>
    <row r="497" spans="2:13" ht="15" customHeight="1">
      <c r="B497" s="1921"/>
      <c r="C497" s="12"/>
      <c r="D497" s="12"/>
      <c r="E497" s="12"/>
      <c r="F497" s="12"/>
      <c r="G497" s="12"/>
      <c r="H497" s="12"/>
      <c r="I497" s="12"/>
      <c r="J497" s="12"/>
      <c r="K497" s="12"/>
      <c r="L497" s="12"/>
      <c r="M497" s="12"/>
    </row>
    <row r="498" spans="2:13" ht="15" customHeight="1">
      <c r="B498" s="1921"/>
      <c r="C498" s="12"/>
      <c r="D498" s="286" t="s">
        <v>820</v>
      </c>
      <c r="E498" s="12"/>
      <c r="F498" s="12"/>
      <c r="G498" s="12"/>
      <c r="H498" s="12"/>
      <c r="I498" s="12"/>
      <c r="J498" s="12"/>
      <c r="K498" s="12"/>
      <c r="L498" s="12"/>
      <c r="M498" s="12"/>
    </row>
    <row r="499" spans="2:13" ht="29.25" customHeight="1">
      <c r="B499" s="1921"/>
      <c r="C499" s="12"/>
      <c r="D499" s="528" t="s">
        <v>296</v>
      </c>
      <c r="E499" s="1931" t="s">
        <v>915</v>
      </c>
      <c r="F499" s="1931" t="s">
        <v>916</v>
      </c>
      <c r="G499" s="12"/>
      <c r="H499" s="12"/>
      <c r="I499" s="12"/>
      <c r="J499" s="12"/>
      <c r="K499" s="12"/>
      <c r="L499" s="12"/>
      <c r="M499" s="12"/>
    </row>
    <row r="500" spans="2:13">
      <c r="B500" s="1921"/>
      <c r="C500" s="12"/>
      <c r="D500" s="449" t="s">
        <v>917</v>
      </c>
      <c r="E500" s="2061" cm="1">
        <f t="array" ref="E500">(COSTOS_INDUSTRIA_PARTIDA_GASTO_CAPITAL_NETO_CEMENTO*(1+(COSTOS_INDUSTRIA_AUMENTO_UNIDAD_ENERGÍA_ALTO_CEMENTO)))</f>
        <v>65786</v>
      </c>
      <c r="F500" s="2061" cm="1">
        <f t="array" ref="F500">COSTOS_INDUSTRIA_PARTIDA_OM_CEMENTO*(1+(COSTOS_INDUSTRIA_AUMENTO_UNIDAD_ENERGÍA_ALTO_CEMENTO))</f>
        <v>520109.78651647415</v>
      </c>
      <c r="G500" s="12"/>
      <c r="H500" s="12"/>
      <c r="I500" s="12"/>
      <c r="J500" s="12"/>
      <c r="K500" s="12"/>
      <c r="L500" s="12"/>
      <c r="M500" s="12"/>
    </row>
    <row r="501" spans="2:13">
      <c r="B501" s="1921"/>
      <c r="C501" s="12"/>
      <c r="D501" s="360" t="s">
        <v>558</v>
      </c>
      <c r="E501" s="2061" cm="1">
        <f t="array" ref="E501">COSTOS_INDUSTRIA_PARTIDA_GASTO_CAPITAL_NETO_HIERRO*(1+(cOSTOS_INDUSTRIA_AUMENTO_UNIDAD_ENERGIA_ALTO_HIERRO))</f>
        <v>40860</v>
      </c>
      <c r="F501" s="2061" cm="1">
        <f t="array" ref="F501">COSTOS_INDUSTRIA_PARTIDA_OM_HIERRO*(1+(cOSTOS_INDUSTRIA_AUMENTO_UNIDAD_ENERGIA_ALTO_HIERRO))</f>
        <v>698133.94162106351</v>
      </c>
      <c r="G501" s="12"/>
      <c r="H501" s="12"/>
      <c r="I501" s="12"/>
      <c r="J501" s="12"/>
      <c r="K501" s="12"/>
      <c r="L501" s="12"/>
      <c r="M501" s="12"/>
    </row>
    <row r="502" spans="2:13" ht="15" customHeight="1">
      <c r="B502" s="1921"/>
      <c r="C502" s="12"/>
      <c r="D502" s="360" t="s">
        <v>559</v>
      </c>
      <c r="E502" s="2061" cm="1">
        <f t="array" ref="E502">COSTOS_INDUSTRIA_PARTIDA_GASTO_CAPITAL_NETO_PAPEL*(1+(COSTOS_INDUSTRIA_AUMENTO_UNIDAD_ENERGIA_ALTO_PAPEL))</f>
        <v>15933</v>
      </c>
      <c r="F502" s="2061" cm="1">
        <f t="array" ref="F502">COSTOS_INDUSTRIA_PARTIDA_OM_PAPEL*(1+(COSTOS_INDUSTRIA_AUMENTO_UNIDAD_ENERGIA_ALTO_PAPEL))</f>
        <v>125967</v>
      </c>
      <c r="G502" s="12"/>
      <c r="H502" s="12"/>
      <c r="I502" s="12"/>
      <c r="J502" s="12"/>
      <c r="K502" s="12"/>
      <c r="L502" s="12"/>
      <c r="M502" s="12"/>
    </row>
    <row r="503" spans="2:13" ht="15" customHeight="1">
      <c r="B503" s="1921"/>
      <c r="C503" s="12"/>
      <c r="D503" s="360" t="s">
        <v>560</v>
      </c>
      <c r="E503" s="2061" cm="1">
        <f t="array" ref="E503">COSTOS_INDUSTRIA_PARTIDA_GASTO_CAPITAL_NETO_QUIMICOS*(1+(COSTOS_INDUSTRIA_AUMENTO_UNIDAD_ENERGIA_ALTO_QUIMICOS))</f>
        <v>73989.731123634134</v>
      </c>
      <c r="F503" s="2061" cm="1">
        <f t="array" ref="F503">COSTOS_INDUSTRIA_PARTIDA_OM_QUIMICOS*(1+(COSTOS_INDUSTRIA_AUMENTO_UNIDAD_ENERGIA_ALTO_QUIMICOS))</f>
        <v>2158916.881025922</v>
      </c>
      <c r="G503" s="12"/>
      <c r="H503" s="12"/>
      <c r="I503" s="12"/>
      <c r="J503" s="12"/>
      <c r="K503" s="12"/>
      <c r="L503" s="12"/>
      <c r="M503" s="12"/>
    </row>
    <row r="504" spans="2:13" ht="15" customHeight="1">
      <c r="B504" s="1921"/>
      <c r="C504" s="12"/>
      <c r="D504" s="360" t="s">
        <v>561</v>
      </c>
      <c r="E504" s="2061" cm="1">
        <f t="array" ref="E504">COSTOS_INDUSTRIA_PARTIDA_GASTO_CAPITAL_NETO_ALIMENTOS*(1+(COSTOS_INDUSTRIA_AUMENTO_UNIDAD_ENERGIA_ALTO_ALIMENTOS))</f>
        <v>7451</v>
      </c>
      <c r="F504" s="2061" cm="1">
        <f t="array" ref="F504">COSTOS_INDUSTRIA_PARTIDA_OM_ALIMENTOS*(1+(COSTOS_INDUSTRIA_AUMENTO_UNIDAD_ENERGIA_ALTO_ALIMENTOS))</f>
        <v>58908</v>
      </c>
      <c r="G504" s="12"/>
      <c r="H504" s="12"/>
      <c r="I504" s="12"/>
      <c r="J504" s="12"/>
      <c r="K504" s="12"/>
      <c r="L504" s="12"/>
      <c r="M504" s="12"/>
    </row>
    <row r="505" spans="2:13" ht="15" customHeight="1">
      <c r="B505" s="1921"/>
      <c r="C505" s="12"/>
      <c r="D505" s="360" t="s">
        <v>918</v>
      </c>
      <c r="E505" s="2061" cm="1">
        <f t="array" ref="E505">COSTOS_INDUSTRIA_PARTIDA_GASTO_CAPITAL_NETO_TEXTIL*(1+(COSTOS_INDUSTRIA_AUMENTO_UNIDAD_ENERGIA_ALTO_TEXTIL))</f>
        <v>0</v>
      </c>
      <c r="F505" s="2061" cm="1">
        <f t="array" ref="F505">COSTOS_INDUSTRIA_PARTIDA_OM_TEXTIL*(1+(COSTOS_INDUSTRIA_AUMENTO_UNIDAD_ENERGIA_ALTO_TEXTIL))</f>
        <v>0</v>
      </c>
      <c r="G505" s="12"/>
      <c r="H505" s="12"/>
      <c r="I505" s="12"/>
      <c r="J505" s="12"/>
      <c r="K505" s="12"/>
      <c r="L505" s="12"/>
      <c r="M505" s="12"/>
    </row>
    <row r="506" spans="2:13" ht="15" customHeight="1">
      <c r="B506" s="1921"/>
      <c r="C506" s="12"/>
      <c r="D506" s="360" t="s">
        <v>564</v>
      </c>
      <c r="E506" s="2061" cm="1">
        <f t="array" ref="E506">COSTOS_INDUSTRIA_PARTIDA_GASTO_CAPITAL_NETO_OTROS*(1+(COSTOS_INDUSTRIA_AUMENTO_UNIDAD_ENERGIA_ALTO_OTROS))</f>
        <v>0</v>
      </c>
      <c r="F506" s="2061" cm="1">
        <f t="array" ref="F506">COSTOS_INDUSTRIA_PARTIDA_OM_OTROS*(1+(COSTOS_INDUSTRIA_AUMENTO_UNIDAD_ENERGIA_ALTO_OTROS))</f>
        <v>0</v>
      </c>
      <c r="G506" s="12"/>
      <c r="H506" s="12"/>
      <c r="I506" s="12"/>
      <c r="J506" s="12"/>
      <c r="K506" s="12"/>
      <c r="L506" s="12"/>
      <c r="M506" s="12"/>
    </row>
    <row r="507" spans="2:13" ht="15" customHeight="1">
      <c r="B507" s="1921"/>
      <c r="C507" s="12"/>
      <c r="D507" s="450" t="s">
        <v>563</v>
      </c>
      <c r="E507" s="2062" cm="1">
        <f t="array" ref="E507">COSTOS_INDUSTRIA_PARTIDA_GASTO_CAPITAL_NETO_LADRILLERAS*(1+(COSTOS_INDUSTRIA_AUMENTO_UNIDAD_ENERGIA_ALTO_LADRILLERAS))</f>
        <v>2557</v>
      </c>
      <c r="F507" s="2062" cm="1">
        <f t="array" ref="F507">COSTOS_INDUSTRIA_PARTIDA_OM_LADRILLERAS*(1+(COSTOS_INDUSTRIA_AUMENTO_UNIDAD_ENERGIA_ALTO_LADRILLERAS))</f>
        <v>20215</v>
      </c>
      <c r="G507" s="12"/>
      <c r="H507" s="12"/>
      <c r="I507" s="12"/>
      <c r="J507" s="12"/>
      <c r="K507" s="12"/>
      <c r="L507" s="12"/>
      <c r="M507" s="12"/>
    </row>
    <row r="508" spans="2:13" ht="15" customHeight="1">
      <c r="B508" s="1921"/>
      <c r="C508" s="12"/>
      <c r="D508" s="12"/>
      <c r="E508" s="12"/>
      <c r="F508" s="12"/>
      <c r="G508" s="12"/>
      <c r="H508" s="12"/>
      <c r="I508" s="12"/>
      <c r="J508" s="12"/>
      <c r="K508" s="12"/>
      <c r="L508" s="12"/>
      <c r="M508" s="12"/>
    </row>
    <row r="509" spans="2:13" ht="15" customHeight="1">
      <c r="B509" s="1921"/>
      <c r="C509" s="12"/>
      <c r="D509" s="286" t="s">
        <v>822</v>
      </c>
      <c r="E509" s="12"/>
      <c r="F509" s="12"/>
      <c r="G509" s="12"/>
      <c r="H509" s="12"/>
      <c r="I509" s="12"/>
      <c r="J509" s="12"/>
      <c r="K509" s="12"/>
      <c r="L509" s="12"/>
      <c r="M509" s="12"/>
    </row>
    <row r="510" spans="2:13" ht="25.5">
      <c r="B510" s="1921"/>
      <c r="C510" s="12"/>
      <c r="D510" s="528" t="s">
        <v>296</v>
      </c>
      <c r="E510" s="1931" t="s">
        <v>915</v>
      </c>
      <c r="F510" s="1931" t="s">
        <v>916</v>
      </c>
      <c r="G510" s="12"/>
      <c r="H510" s="12"/>
      <c r="I510" s="12"/>
      <c r="J510" s="12"/>
      <c r="K510" s="12"/>
      <c r="L510" s="12"/>
      <c r="M510" s="12"/>
    </row>
    <row r="511" spans="2:13" ht="15" customHeight="1">
      <c r="B511" s="1921"/>
      <c r="C511" s="12"/>
      <c r="D511" s="449" t="s">
        <v>917</v>
      </c>
      <c r="E511" s="2061" cm="1">
        <f t="array" ref="E511">COSTOS_INDUSTRIA_PARTIDA_GASTO_CAPITAL_NETO_CEMENTO*(1+(COSTOS_INDUSTRIA_AUMENTO_UNIDAD_ENERGIA_BAJO_CEMENTO))</f>
        <v>65786</v>
      </c>
      <c r="F511" s="2061" cm="1">
        <f t="array" ref="F511">COSTOS_INDUSTRIA_PARTIDA_OM_CEMENTO*(1+(COSTOS_INDUSTRIA_AUMENTO_UNIDAD_ENERGIA_BAJO_CEMENTO))</f>
        <v>520109.78651647415</v>
      </c>
      <c r="G511" s="12"/>
      <c r="H511" s="12"/>
      <c r="I511" s="12"/>
      <c r="J511" s="12"/>
      <c r="K511" s="12"/>
      <c r="L511" s="12"/>
      <c r="M511" s="12"/>
    </row>
    <row r="512" spans="2:13" ht="15" customHeight="1">
      <c r="B512" s="1921"/>
      <c r="C512" s="12"/>
      <c r="D512" s="360" t="s">
        <v>558</v>
      </c>
      <c r="E512" s="2061" cm="1">
        <f t="array" ref="E512">COSTOS_INDUSTRIA_PARTIDA_GASTO_CAPITAL_NETO_HIERRO*(1+(COSTOS_INDUSTRIA_AUMENTO_UNIDAD_ENERGIA_BAJO_HIERRO))</f>
        <v>40860</v>
      </c>
      <c r="F512" s="2061" cm="1">
        <f t="array" ref="F512">COSTOS_INDUSTRIA_PARTIDA_OM_HIERRO*(1+(COSTOS_INDUSTRIA_AUMENTO_UNIDAD_ENERGIA_BAJO_HIERRO))</f>
        <v>698133.94162106351</v>
      </c>
      <c r="G512" s="12"/>
      <c r="H512" s="12"/>
      <c r="I512" s="12"/>
      <c r="J512" s="12"/>
      <c r="K512" s="12"/>
      <c r="L512" s="12"/>
      <c r="M512" s="12"/>
    </row>
    <row r="513" spans="2:13" ht="15" customHeight="1">
      <c r="B513" s="1921"/>
      <c r="C513" s="12"/>
      <c r="D513" s="360" t="s">
        <v>559</v>
      </c>
      <c r="E513" s="2061" cm="1">
        <f t="array" ref="E513">COSTOS_INDUSTRIA_PARTIDA_GASTO_CAPITAL_NETO_PAPEL*(1+(COSTOS_INDUSTRIA_AUMENTO_UNIDAD_ENERGIA_BAJO_PAPEL))</f>
        <v>15933</v>
      </c>
      <c r="F513" s="2061" cm="1">
        <f t="array" ref="F513">COSTOS_INDUSTRIA_PARTIDA_OM_PAPEL*1+(COSTOS_INDUSTRIA_AUMENTO_UNIDAD_ENERGIA_BAJO_PAPEL)</f>
        <v>125967</v>
      </c>
      <c r="G513" s="12"/>
      <c r="H513" s="12"/>
      <c r="I513" s="12"/>
      <c r="J513" s="12"/>
      <c r="K513" s="12"/>
      <c r="L513" s="12"/>
      <c r="M513" s="12"/>
    </row>
    <row r="514" spans="2:13" ht="15" customHeight="1">
      <c r="B514" s="1921"/>
      <c r="C514" s="12"/>
      <c r="D514" s="360" t="s">
        <v>560</v>
      </c>
      <c r="E514" s="2061" cm="1">
        <f t="array" ref="E514">COSTOS_INDUSTRIA_PARTIDA_GASTO_CAPITAL_NETO_QUIMICOS*(1+(COSTOS_INDUSTRIA_AUMENTO_UNIDAD_ENERGIA_BAJO_QUIMICOS))</f>
        <v>73989.731123634134</v>
      </c>
      <c r="F514" s="2061" cm="1">
        <f t="array" ref="F514">COSTOS_INDUSTRIA_PARTIDA_OM_QUIMICOS*(1+(COSTOS_INDUSTRIA_AUMENTO_UNIDAD_ENERGIA_BAJO_QUIMICOS))</f>
        <v>2158916.881025922</v>
      </c>
      <c r="G514" s="12"/>
      <c r="H514" s="12"/>
      <c r="I514" s="12"/>
      <c r="J514" s="12"/>
      <c r="K514" s="12"/>
      <c r="L514" s="12"/>
      <c r="M514" s="12"/>
    </row>
    <row r="515" spans="2:13" ht="15" customHeight="1">
      <c r="B515" s="1921"/>
      <c r="C515" s="12"/>
      <c r="D515" s="360" t="s">
        <v>561</v>
      </c>
      <c r="E515" s="2061" cm="1">
        <f t="array" ref="E515">COSTOS_INDUSTRIA_PARTIDA_GASTO_CAPITAL_NETO_ALIMENTOS*(1+(COSTOS_INDUSTRIA_AUMENTO_UNIDAD_ENERGIA_BAJO_ALIMENTOS))</f>
        <v>7451</v>
      </c>
      <c r="F515" s="2061" cm="1">
        <f t="array" ref="F515">COSTOS_INDUSTRIA_PARTIDA_OM_ALIMENTOS*(1+(COSTOS_INDUSTRIA_AUMENTO_UNIDAD_ENERGIA_BAJO_ALIMENTOS))</f>
        <v>58908</v>
      </c>
      <c r="G515" s="12"/>
      <c r="H515" s="12"/>
      <c r="I515" s="12"/>
      <c r="J515" s="12"/>
      <c r="K515" s="12"/>
      <c r="L515" s="12"/>
      <c r="M515" s="12"/>
    </row>
    <row r="516" spans="2:13" ht="15" customHeight="1">
      <c r="B516" s="1921"/>
      <c r="C516" s="12"/>
      <c r="D516" s="360" t="s">
        <v>918</v>
      </c>
      <c r="E516" s="2061" cm="1">
        <f t="array" ref="E516">COSTOS_INDUSTRIA_PARTIDA_GASTO_CAPITAL_NETO_TEXTIL*(1+(COSTOS_INDUSTRIA_AUMENTO_UNIDAD_ENERGIA_BAJO_TEXTIL))</f>
        <v>0</v>
      </c>
      <c r="F516" s="2061" cm="1">
        <f t="array" ref="F516">COSTOS_INDUSTRIA_PARTIDA_OM_TEXTIL*(1+(COSTOS_INDUSTRIA_AUMENTO_UNIDAD_ENERGIA_BAJO_TEXTIL))</f>
        <v>0</v>
      </c>
      <c r="G516" s="12"/>
      <c r="H516" s="12"/>
      <c r="I516" s="12"/>
      <c r="J516" s="12"/>
      <c r="K516" s="12"/>
      <c r="L516" s="12"/>
      <c r="M516" s="12"/>
    </row>
    <row r="517" spans="2:13">
      <c r="B517" s="1921"/>
      <c r="C517" s="12"/>
      <c r="D517" s="360" t="s">
        <v>564</v>
      </c>
      <c r="E517" s="2061" cm="1">
        <f t="array" ref="E517">COSTOS_INDUSTRIA_PARTIDA_GASTO_CAPITAL_NETO_OTROS*(1+(COSTOS_INDUSTRIA_AUMENTO_UNIDAD_ENERGIA_BAJO_OTROS))</f>
        <v>0</v>
      </c>
      <c r="F517" s="2061" cm="1">
        <f t="array" ref="F517">COSTOS_INDUSTRIA_PARTIDA_OM_OTROS*(1+(COSTOS_INDUSTRIA_AUMENTO_UNIDAD_ENERGIA_BAJO_OTROS))</f>
        <v>0</v>
      </c>
      <c r="G517" s="12"/>
      <c r="H517" s="12"/>
      <c r="I517" s="12"/>
      <c r="J517" s="12"/>
      <c r="K517" s="12"/>
      <c r="L517" s="12"/>
      <c r="M517" s="12"/>
    </row>
    <row r="518" spans="2:13" ht="15" customHeight="1">
      <c r="B518" s="1921"/>
      <c r="C518" s="12"/>
      <c r="D518" s="450" t="s">
        <v>563</v>
      </c>
      <c r="E518" s="2062" cm="1">
        <f t="array" ref="E518">COSTOS_INDUSTRIA_PARTIDA_GASTO_CAPITAL_NETO_LADRILLERAS*(1+(COSTOS_INDUSTRIA_AUMENTO_UNIDAD_ENERGIA_BAJO_LADRILLERAS))</f>
        <v>2557</v>
      </c>
      <c r="F518" s="2062" cm="1">
        <f t="array" ref="F518">COSTOS_INDUSTRIA_PARTIDA_OM_LADRILLERAS*(1+(COSTOS_INDUSTRIA_AUMENTO_UNIDAD_ENERGIA_BAJO_LADRILLERAS))</f>
        <v>20215</v>
      </c>
      <c r="G518" s="12"/>
      <c r="H518" s="12"/>
      <c r="I518" s="12"/>
      <c r="J518" s="12"/>
      <c r="K518" s="12"/>
      <c r="L518" s="12"/>
      <c r="M518" s="12"/>
    </row>
    <row r="519" spans="2:13" ht="15" customHeight="1">
      <c r="B519" s="1921"/>
      <c r="C519" s="12"/>
      <c r="D519" s="12"/>
      <c r="E519" s="12"/>
      <c r="F519" s="12"/>
      <c r="G519" s="12"/>
      <c r="H519" s="12"/>
      <c r="I519" s="12"/>
      <c r="J519" s="12"/>
      <c r="K519" s="12"/>
      <c r="L519" s="12"/>
      <c r="M519" s="12"/>
    </row>
    <row r="520" spans="2:13" ht="15" customHeight="1">
      <c r="B520" s="1921"/>
      <c r="C520" s="12"/>
      <c r="D520" s="2054" t="s">
        <v>1867</v>
      </c>
      <c r="E520" s="2054"/>
      <c r="F520" s="2054"/>
      <c r="G520" s="2054"/>
      <c r="H520" s="2054"/>
      <c r="I520" s="181"/>
      <c r="J520" s="181"/>
      <c r="K520" s="181"/>
      <c r="L520" s="181"/>
      <c r="M520" s="12"/>
    </row>
    <row r="521" spans="2:13" ht="15" customHeight="1">
      <c r="B521" s="1921"/>
      <c r="C521" s="12"/>
      <c r="D521" s="12"/>
      <c r="E521" s="12"/>
      <c r="F521" s="12"/>
      <c r="G521" s="12"/>
      <c r="H521" s="12"/>
      <c r="I521" s="12"/>
      <c r="J521" s="12"/>
      <c r="K521" s="12"/>
      <c r="L521" s="12"/>
      <c r="M521" s="12"/>
    </row>
    <row r="522" spans="2:13" ht="15" customHeight="1">
      <c r="B522" s="1921"/>
      <c r="C522" s="12"/>
      <c r="D522" s="528" t="s">
        <v>1469</v>
      </c>
      <c r="E522" s="2070">
        <v>2018</v>
      </c>
      <c r="F522" s="2070">
        <v>2020</v>
      </c>
      <c r="G522" s="2070">
        <v>2025</v>
      </c>
      <c r="H522" s="2070">
        <v>2030</v>
      </c>
      <c r="I522" s="2070">
        <v>2035</v>
      </c>
      <c r="J522" s="2070">
        <v>2040</v>
      </c>
      <c r="K522" s="2070">
        <v>2045</v>
      </c>
      <c r="L522" s="2070">
        <v>2050</v>
      </c>
      <c r="M522" s="12"/>
    </row>
    <row r="523" spans="2:13" ht="15" customHeight="1">
      <c r="B523" s="1921"/>
      <c r="C523" s="12"/>
      <c r="D523" s="449" t="s">
        <v>917</v>
      </c>
      <c r="E523" s="2071">
        <f t="shared" ref="E523:L523" si="17">F882/$F$882</f>
        <v>1</v>
      </c>
      <c r="F523" s="2071">
        <f t="shared" si="17"/>
        <v>1</v>
      </c>
      <c r="G523" s="2071">
        <f t="shared" si="17"/>
        <v>1.1605747758423182</v>
      </c>
      <c r="H523" s="2071">
        <f t="shared" si="17"/>
        <v>1.3254909049818855</v>
      </c>
      <c r="I523" s="2071">
        <f t="shared" si="17"/>
        <v>1.3254909049818855</v>
      </c>
      <c r="J523" s="2071">
        <f t="shared" si="17"/>
        <v>1.3254909049818855</v>
      </c>
      <c r="K523" s="2071">
        <f t="shared" si="17"/>
        <v>1.3254909049818855</v>
      </c>
      <c r="L523" s="2071">
        <f t="shared" si="17"/>
        <v>1.3254909049818855</v>
      </c>
      <c r="M523" s="12"/>
    </row>
    <row r="524" spans="2:13" ht="15" customHeight="1">
      <c r="B524" s="1921"/>
      <c r="C524" s="12"/>
      <c r="D524" s="360" t="s">
        <v>558</v>
      </c>
      <c r="E524" s="2771">
        <f t="shared" ref="E524:L524" si="18">(F902/$F$902)</f>
        <v>1</v>
      </c>
      <c r="F524" s="2072">
        <f t="shared" si="18"/>
        <v>1</v>
      </c>
      <c r="G524" s="2771">
        <f t="shared" si="18"/>
        <v>1.1470747246810913</v>
      </c>
      <c r="H524" s="2072">
        <f t="shared" si="18"/>
        <v>1.2948339802523137</v>
      </c>
      <c r="I524" s="2072">
        <f t="shared" si="18"/>
        <v>1.2948339802523137</v>
      </c>
      <c r="J524" s="2072">
        <f t="shared" si="18"/>
        <v>1.2948339802523137</v>
      </c>
      <c r="K524" s="2072">
        <f t="shared" si="18"/>
        <v>1.2948339802523137</v>
      </c>
      <c r="L524" s="2072">
        <f t="shared" si="18"/>
        <v>1.2948339802523137</v>
      </c>
      <c r="M524" s="12"/>
    </row>
    <row r="525" spans="2:13" ht="15" customHeight="1">
      <c r="B525" s="1921"/>
      <c r="C525" s="12"/>
      <c r="D525" s="360" t="s">
        <v>559</v>
      </c>
      <c r="E525" s="2771">
        <f t="shared" ref="E525:L525" si="19">(F922/$F$922)</f>
        <v>1</v>
      </c>
      <c r="F525" s="2072">
        <f t="shared" si="19"/>
        <v>1</v>
      </c>
      <c r="G525" s="2771">
        <f t="shared" si="19"/>
        <v>1.1597206904218385</v>
      </c>
      <c r="H525" s="2072">
        <f t="shared" si="19"/>
        <v>1.323551384002623</v>
      </c>
      <c r="I525" s="2072">
        <f t="shared" si="19"/>
        <v>1.323551384002623</v>
      </c>
      <c r="J525" s="2072">
        <f t="shared" si="19"/>
        <v>1.323551384002623</v>
      </c>
      <c r="K525" s="2072">
        <f t="shared" si="19"/>
        <v>1.323551384002623</v>
      </c>
      <c r="L525" s="2072">
        <f t="shared" si="19"/>
        <v>1.323551384002623</v>
      </c>
      <c r="M525" s="12"/>
    </row>
    <row r="526" spans="2:13" ht="15" customHeight="1">
      <c r="B526" s="1921"/>
      <c r="C526" s="12"/>
      <c r="D526" s="360" t="s">
        <v>560</v>
      </c>
      <c r="E526" s="2771">
        <f t="shared" ref="E526:L526" si="20">(F942/$F$942)</f>
        <v>1</v>
      </c>
      <c r="F526" s="2072">
        <f t="shared" si="20"/>
        <v>1</v>
      </c>
      <c r="G526" s="2771">
        <f t="shared" si="20"/>
        <v>1.1521570939455494</v>
      </c>
      <c r="H526" s="2072">
        <f t="shared" si="20"/>
        <v>1.3063754040682403</v>
      </c>
      <c r="I526" s="2072">
        <f t="shared" si="20"/>
        <v>1.3063754040682403</v>
      </c>
      <c r="J526" s="2072">
        <f t="shared" si="20"/>
        <v>1.3063754040682403</v>
      </c>
      <c r="K526" s="2072">
        <f t="shared" si="20"/>
        <v>1.3063754040682403</v>
      </c>
      <c r="L526" s="2072">
        <f t="shared" si="20"/>
        <v>1.3063754040682403</v>
      </c>
      <c r="M526" s="12"/>
    </row>
    <row r="527" spans="2:13" ht="15" customHeight="1">
      <c r="B527" s="1921"/>
      <c r="C527" s="12"/>
      <c r="D527" s="360" t="s">
        <v>561</v>
      </c>
      <c r="E527" s="2771">
        <f t="shared" ref="E527:L527" si="21">(F962/$F$962)</f>
        <v>1</v>
      </c>
      <c r="F527" s="2072">
        <f t="shared" si="21"/>
        <v>1</v>
      </c>
      <c r="G527" s="2771">
        <f t="shared" si="21"/>
        <v>1.1498290360267267</v>
      </c>
      <c r="H527" s="2072">
        <f t="shared" si="21"/>
        <v>1.3010886762232023</v>
      </c>
      <c r="I527" s="2072">
        <f t="shared" si="21"/>
        <v>1.3010886762232023</v>
      </c>
      <c r="J527" s="2072">
        <f t="shared" si="21"/>
        <v>1.3010886762232023</v>
      </c>
      <c r="K527" s="2072">
        <f t="shared" si="21"/>
        <v>1.3010886762232023</v>
      </c>
      <c r="L527" s="2072">
        <f t="shared" si="21"/>
        <v>1.3010886762232023</v>
      </c>
      <c r="M527" s="12"/>
    </row>
    <row r="528" spans="2:13">
      <c r="B528" s="1921"/>
      <c r="C528" s="12"/>
      <c r="D528" s="360" t="s">
        <v>918</v>
      </c>
      <c r="E528" s="2771">
        <f t="shared" ref="E528:L528" si="22">(F982/$F$982)</f>
        <v>1</v>
      </c>
      <c r="F528" s="2072">
        <f t="shared" si="22"/>
        <v>1</v>
      </c>
      <c r="G528" s="2771">
        <f t="shared" si="22"/>
        <v>1.1324069879534975</v>
      </c>
      <c r="H528" s="2072">
        <f t="shared" si="22"/>
        <v>1.2615253879039694</v>
      </c>
      <c r="I528" s="2072">
        <f t="shared" si="22"/>
        <v>1.2615253879039694</v>
      </c>
      <c r="J528" s="2072">
        <f t="shared" si="22"/>
        <v>1.2615253879039694</v>
      </c>
      <c r="K528" s="2072">
        <f t="shared" si="22"/>
        <v>1.2615253879039694</v>
      </c>
      <c r="L528" s="2072">
        <f t="shared" si="22"/>
        <v>1.2615253879039694</v>
      </c>
      <c r="M528" s="12"/>
    </row>
    <row r="529" spans="2:13" ht="15" customHeight="1">
      <c r="B529" s="1921"/>
      <c r="C529" s="12"/>
      <c r="D529" s="360" t="s">
        <v>564</v>
      </c>
      <c r="E529" s="2771">
        <f t="shared" ref="E529:L529" si="23">(F1023/$F$1023)</f>
        <v>1</v>
      </c>
      <c r="F529" s="2072">
        <f t="shared" si="23"/>
        <v>1</v>
      </c>
      <c r="G529" s="2771">
        <f t="shared" si="23"/>
        <v>1.1434004978563563</v>
      </c>
      <c r="H529" s="2072">
        <f t="shared" si="23"/>
        <v>1.2864902714870605</v>
      </c>
      <c r="I529" s="2072">
        <f t="shared" si="23"/>
        <v>1.2864902714870605</v>
      </c>
      <c r="J529" s="2072">
        <f t="shared" si="23"/>
        <v>1.2864902714870605</v>
      </c>
      <c r="K529" s="2072">
        <f t="shared" si="23"/>
        <v>1.2864902714870605</v>
      </c>
      <c r="L529" s="2072">
        <f t="shared" si="23"/>
        <v>1.2864902714870605</v>
      </c>
      <c r="M529" s="12"/>
    </row>
    <row r="530" spans="2:13" ht="15" customHeight="1">
      <c r="B530" s="1921"/>
      <c r="C530" s="12"/>
      <c r="D530" s="450" t="s">
        <v>563</v>
      </c>
      <c r="E530" s="2073">
        <f t="shared" ref="E530:L530" si="24">(F1384/$F$1384)</f>
        <v>1</v>
      </c>
      <c r="F530" s="2073">
        <f t="shared" si="24"/>
        <v>1</v>
      </c>
      <c r="G530" s="2073">
        <f t="shared" si="24"/>
        <v>1.2825087486522604</v>
      </c>
      <c r="H530" s="2073">
        <f t="shared" si="24"/>
        <v>1.5091904411507784</v>
      </c>
      <c r="I530" s="2073">
        <f t="shared" si="24"/>
        <v>1.5091904411507784</v>
      </c>
      <c r="J530" s="2073">
        <f t="shared" si="24"/>
        <v>1.5091904411507784</v>
      </c>
      <c r="K530" s="2073">
        <f t="shared" si="24"/>
        <v>1.5091904411507784</v>
      </c>
      <c r="L530" s="2073">
        <f t="shared" si="24"/>
        <v>1.5091904411507784</v>
      </c>
      <c r="M530" s="12"/>
    </row>
    <row r="531" spans="2:13" ht="15" customHeight="1">
      <c r="B531" s="1921"/>
      <c r="C531" s="12"/>
      <c r="D531" s="12"/>
      <c r="E531" s="12"/>
      <c r="F531" s="12"/>
      <c r="G531" s="12"/>
      <c r="H531" s="12"/>
      <c r="I531" s="12"/>
      <c r="J531" s="12"/>
      <c r="K531" s="12"/>
      <c r="L531" s="12"/>
      <c r="M531" s="12"/>
    </row>
    <row r="532" spans="2:13" ht="15" customHeight="1">
      <c r="B532" s="1921"/>
      <c r="C532" s="12"/>
      <c r="D532" s="2064" t="s">
        <v>1868</v>
      </c>
      <c r="E532" s="2064"/>
      <c r="F532" s="2064"/>
      <c r="G532" s="2054"/>
      <c r="H532" s="2054"/>
      <c r="I532" s="181"/>
      <c r="J532" s="181"/>
      <c r="K532" s="181"/>
      <c r="L532" s="181"/>
      <c r="M532" s="12"/>
    </row>
    <row r="533" spans="2:13" ht="15" customHeight="1">
      <c r="B533" s="1921"/>
      <c r="C533" s="12"/>
      <c r="D533" s="12"/>
      <c r="E533" s="12"/>
      <c r="F533" s="12"/>
      <c r="G533" s="12"/>
      <c r="H533" s="12"/>
      <c r="I533" s="12"/>
      <c r="J533" s="12"/>
      <c r="K533" s="12"/>
      <c r="L533" s="12"/>
      <c r="M533" s="12"/>
    </row>
    <row r="534" spans="2:13" ht="15" customHeight="1">
      <c r="B534" s="1921"/>
      <c r="C534" s="12"/>
      <c r="D534" s="2067" t="s">
        <v>1869</v>
      </c>
      <c r="E534" s="12"/>
      <c r="F534" s="12"/>
      <c r="G534" s="12"/>
      <c r="H534" s="12"/>
      <c r="I534" s="12"/>
      <c r="J534" s="12"/>
      <c r="K534" s="12"/>
      <c r="L534" s="1158" t="s">
        <v>803</v>
      </c>
      <c r="M534" s="12"/>
    </row>
    <row r="535" spans="2:13" ht="15" customHeight="1">
      <c r="B535" s="1921"/>
      <c r="C535" s="12"/>
      <c r="D535" s="2066" t="s">
        <v>296</v>
      </c>
      <c r="E535" s="1920">
        <v>2018</v>
      </c>
      <c r="F535" s="1920">
        <v>2020</v>
      </c>
      <c r="G535" s="1920">
        <v>2025</v>
      </c>
      <c r="H535" s="1920">
        <v>2030</v>
      </c>
      <c r="I535" s="1920">
        <v>2035</v>
      </c>
      <c r="J535" s="1920">
        <v>2040</v>
      </c>
      <c r="K535" s="1920">
        <v>2045</v>
      </c>
      <c r="L535" s="1920">
        <v>2050</v>
      </c>
      <c r="M535" s="12"/>
    </row>
    <row r="536" spans="2:13" ht="15" customHeight="1">
      <c r="B536" s="1921"/>
      <c r="C536" s="12"/>
      <c r="D536" s="449" t="s">
        <v>917</v>
      </c>
      <c r="E536" s="2061">
        <f>$E500*E523</f>
        <v>65786</v>
      </c>
      <c r="F536" s="2061">
        <f>$E500*F523</f>
        <v>65786</v>
      </c>
      <c r="G536" s="2061">
        <f>$E500*G523</f>
        <v>76349.57220356274</v>
      </c>
      <c r="H536" s="2061">
        <f t="shared" ref="G536:L543" si="25">$E500*H523</f>
        <v>87198.744675138325</v>
      </c>
      <c r="I536" s="2061">
        <f t="shared" si="25"/>
        <v>87198.744675138325</v>
      </c>
      <c r="J536" s="2061">
        <f t="shared" si="25"/>
        <v>87198.744675138325</v>
      </c>
      <c r="K536" s="2061">
        <f t="shared" si="25"/>
        <v>87198.744675138325</v>
      </c>
      <c r="L536" s="2061">
        <f t="shared" si="25"/>
        <v>87198.744675138325</v>
      </c>
      <c r="M536" s="12"/>
    </row>
    <row r="537" spans="2:13" ht="15" customHeight="1">
      <c r="B537" s="1921"/>
      <c r="C537" s="12"/>
      <c r="D537" s="360" t="s">
        <v>558</v>
      </c>
      <c r="E537" s="2061">
        <f t="shared" ref="E537:F543" si="26">$E501*E524</f>
        <v>40860</v>
      </c>
      <c r="F537" s="2061">
        <f t="shared" si="26"/>
        <v>40860</v>
      </c>
      <c r="G537" s="2061">
        <f t="shared" si="25"/>
        <v>46869.473250469389</v>
      </c>
      <c r="H537" s="2061">
        <f t="shared" si="25"/>
        <v>52906.916433109538</v>
      </c>
      <c r="I537" s="2061">
        <f t="shared" si="25"/>
        <v>52906.916433109538</v>
      </c>
      <c r="J537" s="2061">
        <f t="shared" si="25"/>
        <v>52906.916433109538</v>
      </c>
      <c r="K537" s="2061">
        <f t="shared" si="25"/>
        <v>52906.916433109538</v>
      </c>
      <c r="L537" s="2061">
        <f t="shared" si="25"/>
        <v>52906.916433109538</v>
      </c>
      <c r="M537" s="12"/>
    </row>
    <row r="538" spans="2:13" ht="15" customHeight="1">
      <c r="B538" s="1921"/>
      <c r="C538" s="12"/>
      <c r="D538" s="360" t="s">
        <v>559</v>
      </c>
      <c r="E538" s="2061">
        <f t="shared" si="26"/>
        <v>15933</v>
      </c>
      <c r="F538" s="2061">
        <f t="shared" si="26"/>
        <v>15933</v>
      </c>
      <c r="G538" s="2061">
        <f t="shared" si="25"/>
        <v>18477.829760491153</v>
      </c>
      <c r="H538" s="2061">
        <f t="shared" si="25"/>
        <v>21088.144201313793</v>
      </c>
      <c r="I538" s="2061">
        <f t="shared" si="25"/>
        <v>21088.144201313793</v>
      </c>
      <c r="J538" s="2061">
        <f t="shared" si="25"/>
        <v>21088.144201313793</v>
      </c>
      <c r="K538" s="2061">
        <f t="shared" si="25"/>
        <v>21088.144201313793</v>
      </c>
      <c r="L538" s="2061">
        <f t="shared" si="25"/>
        <v>21088.144201313793</v>
      </c>
      <c r="M538" s="12"/>
    </row>
    <row r="539" spans="2:13">
      <c r="B539" s="1921"/>
      <c r="C539" s="12"/>
      <c r="D539" s="360" t="s">
        <v>560</v>
      </c>
      <c r="E539" s="2061">
        <f t="shared" si="26"/>
        <v>73989.731123634134</v>
      </c>
      <c r="F539" s="2061">
        <f t="shared" si="26"/>
        <v>73989.731123634134</v>
      </c>
      <c r="G539" s="2061">
        <f t="shared" si="25"/>
        <v>85247.79359321887</v>
      </c>
      <c r="H539" s="2061">
        <f t="shared" si="25"/>
        <v>96658.36489353799</v>
      </c>
      <c r="I539" s="2061">
        <f t="shared" si="25"/>
        <v>96658.36489353799</v>
      </c>
      <c r="J539" s="2061">
        <f t="shared" si="25"/>
        <v>96658.36489353799</v>
      </c>
      <c r="K539" s="2061">
        <f t="shared" si="25"/>
        <v>96658.36489353799</v>
      </c>
      <c r="L539" s="2061">
        <f t="shared" si="25"/>
        <v>96658.36489353799</v>
      </c>
      <c r="M539" s="12"/>
    </row>
    <row r="540" spans="2:13" ht="15" customHeight="1">
      <c r="B540" s="1921"/>
      <c r="C540" s="12"/>
      <c r="D540" s="360" t="s">
        <v>561</v>
      </c>
      <c r="E540" s="2061">
        <f t="shared" si="26"/>
        <v>7451</v>
      </c>
      <c r="F540" s="2061">
        <f t="shared" si="26"/>
        <v>7451</v>
      </c>
      <c r="G540" s="2061">
        <f t="shared" si="25"/>
        <v>8567.3761474351413</v>
      </c>
      <c r="H540" s="2061">
        <f t="shared" si="25"/>
        <v>9694.4117265390814</v>
      </c>
      <c r="I540" s="2061">
        <f t="shared" si="25"/>
        <v>9694.4117265390814</v>
      </c>
      <c r="J540" s="2061">
        <f t="shared" si="25"/>
        <v>9694.4117265390814</v>
      </c>
      <c r="K540" s="2061">
        <f t="shared" si="25"/>
        <v>9694.4117265390814</v>
      </c>
      <c r="L540" s="2061">
        <f t="shared" si="25"/>
        <v>9694.4117265390814</v>
      </c>
      <c r="M540" s="12"/>
    </row>
    <row r="541" spans="2:13" ht="15" customHeight="1">
      <c r="B541" s="1921"/>
      <c r="C541" s="12"/>
      <c r="D541" s="360" t="s">
        <v>918</v>
      </c>
      <c r="E541" s="2061">
        <f t="shared" si="26"/>
        <v>0</v>
      </c>
      <c r="F541" s="2061">
        <f t="shared" si="26"/>
        <v>0</v>
      </c>
      <c r="G541" s="2061">
        <f t="shared" si="25"/>
        <v>0</v>
      </c>
      <c r="H541" s="2061">
        <f t="shared" si="25"/>
        <v>0</v>
      </c>
      <c r="I541" s="2061">
        <f t="shared" si="25"/>
        <v>0</v>
      </c>
      <c r="J541" s="2061">
        <f t="shared" si="25"/>
        <v>0</v>
      </c>
      <c r="K541" s="2061">
        <f t="shared" si="25"/>
        <v>0</v>
      </c>
      <c r="L541" s="2061">
        <f t="shared" si="25"/>
        <v>0</v>
      </c>
      <c r="M541" s="12"/>
    </row>
    <row r="542" spans="2:13" ht="15" customHeight="1">
      <c r="B542" s="1921"/>
      <c r="C542" s="12"/>
      <c r="D542" s="360" t="s">
        <v>564</v>
      </c>
      <c r="E542" s="2061">
        <f t="shared" si="26"/>
        <v>0</v>
      </c>
      <c r="F542" s="2061">
        <f t="shared" si="26"/>
        <v>0</v>
      </c>
      <c r="G542" s="2061">
        <f t="shared" si="25"/>
        <v>0</v>
      </c>
      <c r="H542" s="2061">
        <f t="shared" si="25"/>
        <v>0</v>
      </c>
      <c r="I542" s="2061">
        <f t="shared" si="25"/>
        <v>0</v>
      </c>
      <c r="J542" s="2061">
        <f t="shared" si="25"/>
        <v>0</v>
      </c>
      <c r="K542" s="2061">
        <f t="shared" si="25"/>
        <v>0</v>
      </c>
      <c r="L542" s="2061">
        <f t="shared" si="25"/>
        <v>0</v>
      </c>
      <c r="M542" s="12"/>
    </row>
    <row r="543" spans="2:13" ht="15" customHeight="1">
      <c r="B543" s="1921"/>
      <c r="C543" s="12"/>
      <c r="D543" s="450" t="s">
        <v>563</v>
      </c>
      <c r="E543" s="2062">
        <f t="shared" si="26"/>
        <v>2557</v>
      </c>
      <c r="F543" s="2062">
        <f t="shared" si="26"/>
        <v>2557</v>
      </c>
      <c r="G543" s="2062">
        <f t="shared" si="25"/>
        <v>3279.37487030383</v>
      </c>
      <c r="H543" s="2062">
        <f t="shared" si="25"/>
        <v>3858.9999580225403</v>
      </c>
      <c r="I543" s="2062">
        <f t="shared" si="25"/>
        <v>3858.9999580225403</v>
      </c>
      <c r="J543" s="2062">
        <f t="shared" si="25"/>
        <v>3858.9999580225403</v>
      </c>
      <c r="K543" s="2062">
        <f t="shared" si="25"/>
        <v>3858.9999580225403</v>
      </c>
      <c r="L543" s="2062">
        <f t="shared" si="25"/>
        <v>3858.9999580225403</v>
      </c>
      <c r="M543" s="12"/>
    </row>
    <row r="544" spans="2:13" ht="15" customHeight="1">
      <c r="B544" s="1921"/>
      <c r="C544" s="12"/>
      <c r="D544" s="12"/>
      <c r="E544" s="12"/>
      <c r="F544" s="12"/>
      <c r="G544" s="12"/>
      <c r="H544" s="12"/>
      <c r="I544" s="12"/>
      <c r="J544" s="12"/>
      <c r="K544" s="12"/>
      <c r="L544" s="12"/>
      <c r="M544" s="12"/>
    </row>
    <row r="545" spans="2:13" ht="15" customHeight="1">
      <c r="B545" s="1921"/>
      <c r="C545" s="12"/>
      <c r="D545" s="2067" t="s">
        <v>1870</v>
      </c>
      <c r="E545" s="12"/>
      <c r="F545" s="12"/>
      <c r="G545" s="12"/>
      <c r="H545" s="12"/>
      <c r="I545" s="12"/>
      <c r="J545" s="12"/>
      <c r="K545" s="12"/>
      <c r="L545" s="1158" t="s">
        <v>803</v>
      </c>
      <c r="M545" s="12"/>
    </row>
    <row r="546" spans="2:13" ht="15" customHeight="1">
      <c r="B546" s="1921"/>
      <c r="C546" s="12"/>
      <c r="D546" s="2066" t="s">
        <v>296</v>
      </c>
      <c r="E546" s="1920">
        <v>2018</v>
      </c>
      <c r="F546" s="1920">
        <v>2020</v>
      </c>
      <c r="G546" s="1920">
        <v>2025</v>
      </c>
      <c r="H546" s="1920">
        <v>2030</v>
      </c>
      <c r="I546" s="1920">
        <v>2035</v>
      </c>
      <c r="J546" s="1920">
        <v>2040</v>
      </c>
      <c r="K546" s="1920">
        <v>2045</v>
      </c>
      <c r="L546" s="1920">
        <v>2050</v>
      </c>
      <c r="M546" s="12"/>
    </row>
    <row r="547" spans="2:13" ht="15" customHeight="1">
      <c r="B547" s="1921"/>
      <c r="C547" s="12"/>
      <c r="D547" s="449" t="s">
        <v>917</v>
      </c>
      <c r="E547" s="2061">
        <f t="shared" ref="E547:F554" si="27">E558+((E536-E558)*0.35)</f>
        <v>65786</v>
      </c>
      <c r="F547" s="2061">
        <f t="shared" si="27"/>
        <v>65786</v>
      </c>
      <c r="G547" s="2061">
        <f t="shared" ref="G547:L554" si="28">G558+((G536-G558)*0.35)</f>
        <v>76349.57220356274</v>
      </c>
      <c r="H547" s="2061">
        <f t="shared" si="28"/>
        <v>87198.744675138325</v>
      </c>
      <c r="I547" s="2061">
        <f t="shared" si="28"/>
        <v>87198.744675138325</v>
      </c>
      <c r="J547" s="2061">
        <f t="shared" si="28"/>
        <v>87198.744675138325</v>
      </c>
      <c r="K547" s="2061">
        <f t="shared" si="28"/>
        <v>87198.744675138325</v>
      </c>
      <c r="L547" s="2061">
        <f t="shared" si="28"/>
        <v>87198.744675138325</v>
      </c>
      <c r="M547" s="12"/>
    </row>
    <row r="548" spans="2:13" ht="15" customHeight="1">
      <c r="B548" s="1921"/>
      <c r="C548" s="12"/>
      <c r="D548" s="360" t="s">
        <v>558</v>
      </c>
      <c r="E548" s="2061">
        <f t="shared" si="27"/>
        <v>40860</v>
      </c>
      <c r="F548" s="2061">
        <f t="shared" si="27"/>
        <v>40860</v>
      </c>
      <c r="G548" s="2061">
        <f t="shared" si="28"/>
        <v>46869.473250469389</v>
      </c>
      <c r="H548" s="2061">
        <f t="shared" si="28"/>
        <v>52906.916433109538</v>
      </c>
      <c r="I548" s="2061">
        <f t="shared" si="28"/>
        <v>52906.916433109538</v>
      </c>
      <c r="J548" s="2061">
        <f t="shared" si="28"/>
        <v>52906.916433109538</v>
      </c>
      <c r="K548" s="2061">
        <f t="shared" si="28"/>
        <v>52906.916433109538</v>
      </c>
      <c r="L548" s="2061">
        <f t="shared" si="28"/>
        <v>52906.916433109538</v>
      </c>
      <c r="M548" s="12"/>
    </row>
    <row r="549" spans="2:13" ht="15" customHeight="1">
      <c r="B549" s="1921"/>
      <c r="C549" s="12"/>
      <c r="D549" s="360" t="s">
        <v>559</v>
      </c>
      <c r="E549" s="2061">
        <f t="shared" si="27"/>
        <v>15933</v>
      </c>
      <c r="F549" s="2061">
        <f t="shared" si="27"/>
        <v>15933</v>
      </c>
      <c r="G549" s="2061">
        <f t="shared" si="28"/>
        <v>18477.829760491153</v>
      </c>
      <c r="H549" s="2061">
        <f t="shared" si="28"/>
        <v>21088.144201313793</v>
      </c>
      <c r="I549" s="2061">
        <f t="shared" si="28"/>
        <v>21088.144201313793</v>
      </c>
      <c r="J549" s="2061">
        <f t="shared" si="28"/>
        <v>21088.144201313793</v>
      </c>
      <c r="K549" s="2061">
        <f t="shared" si="28"/>
        <v>21088.144201313793</v>
      </c>
      <c r="L549" s="2061">
        <f t="shared" si="28"/>
        <v>21088.144201313793</v>
      </c>
      <c r="M549" s="12"/>
    </row>
    <row r="550" spans="2:13" ht="15" customHeight="1">
      <c r="B550" s="1921"/>
      <c r="C550" s="12"/>
      <c r="D550" s="360" t="s">
        <v>560</v>
      </c>
      <c r="E550" s="2061">
        <f t="shared" si="27"/>
        <v>73989.731123634134</v>
      </c>
      <c r="F550" s="2061">
        <f t="shared" si="27"/>
        <v>73989.731123634134</v>
      </c>
      <c r="G550" s="2061">
        <f t="shared" si="28"/>
        <v>85247.79359321887</v>
      </c>
      <c r="H550" s="2061">
        <f t="shared" si="28"/>
        <v>96658.36489353799</v>
      </c>
      <c r="I550" s="2061">
        <f t="shared" si="28"/>
        <v>96658.36489353799</v>
      </c>
      <c r="J550" s="2061">
        <f t="shared" si="28"/>
        <v>96658.36489353799</v>
      </c>
      <c r="K550" s="2061">
        <f t="shared" si="28"/>
        <v>96658.36489353799</v>
      </c>
      <c r="L550" s="2061">
        <f t="shared" si="28"/>
        <v>96658.36489353799</v>
      </c>
      <c r="M550" s="12"/>
    </row>
    <row r="551" spans="2:13" ht="15" customHeight="1">
      <c r="B551" s="1921"/>
      <c r="C551" s="12"/>
      <c r="D551" s="360" t="s">
        <v>561</v>
      </c>
      <c r="E551" s="2061">
        <f t="shared" si="27"/>
        <v>7451</v>
      </c>
      <c r="F551" s="2061">
        <f t="shared" si="27"/>
        <v>7451</v>
      </c>
      <c r="G551" s="2061">
        <f t="shared" si="28"/>
        <v>8567.3761474351413</v>
      </c>
      <c r="H551" s="2061">
        <f t="shared" si="28"/>
        <v>9694.4117265390814</v>
      </c>
      <c r="I551" s="2061">
        <f t="shared" si="28"/>
        <v>9694.4117265390814</v>
      </c>
      <c r="J551" s="2061">
        <f t="shared" si="28"/>
        <v>9694.4117265390814</v>
      </c>
      <c r="K551" s="2061">
        <f t="shared" si="28"/>
        <v>9694.4117265390814</v>
      </c>
      <c r="L551" s="2061">
        <f t="shared" si="28"/>
        <v>9694.4117265390814</v>
      </c>
      <c r="M551" s="12"/>
    </row>
    <row r="552" spans="2:13" ht="15" customHeight="1">
      <c r="B552" s="1921"/>
      <c r="C552" s="12"/>
      <c r="D552" s="360" t="s">
        <v>918</v>
      </c>
      <c r="E552" s="2061">
        <f t="shared" si="27"/>
        <v>0</v>
      </c>
      <c r="F552" s="2061">
        <f t="shared" si="27"/>
        <v>0</v>
      </c>
      <c r="G552" s="2061">
        <f t="shared" si="28"/>
        <v>0</v>
      </c>
      <c r="H552" s="2061">
        <f t="shared" si="28"/>
        <v>0</v>
      </c>
      <c r="I552" s="2061">
        <f t="shared" si="28"/>
        <v>0</v>
      </c>
      <c r="J552" s="2061">
        <f t="shared" si="28"/>
        <v>0</v>
      </c>
      <c r="K552" s="2061">
        <f t="shared" si="28"/>
        <v>0</v>
      </c>
      <c r="L552" s="2061">
        <f t="shared" si="28"/>
        <v>0</v>
      </c>
      <c r="M552" s="12"/>
    </row>
    <row r="553" spans="2:13" ht="15" customHeight="1">
      <c r="B553" s="1921"/>
      <c r="C553" s="12"/>
      <c r="D553" s="360" t="s">
        <v>564</v>
      </c>
      <c r="E553" s="2061">
        <f t="shared" si="27"/>
        <v>0</v>
      </c>
      <c r="F553" s="2061">
        <f t="shared" si="27"/>
        <v>0</v>
      </c>
      <c r="G553" s="2061">
        <f t="shared" si="28"/>
        <v>0</v>
      </c>
      <c r="H553" s="2061">
        <f t="shared" si="28"/>
        <v>0</v>
      </c>
      <c r="I553" s="2061">
        <f t="shared" si="28"/>
        <v>0</v>
      </c>
      <c r="J553" s="2061">
        <f t="shared" si="28"/>
        <v>0</v>
      </c>
      <c r="K553" s="2061">
        <f t="shared" si="28"/>
        <v>0</v>
      </c>
      <c r="L553" s="2061">
        <f t="shared" si="28"/>
        <v>0</v>
      </c>
      <c r="M553" s="12"/>
    </row>
    <row r="554" spans="2:13" ht="15" customHeight="1">
      <c r="B554" s="1921"/>
      <c r="C554" s="12"/>
      <c r="D554" s="450" t="s">
        <v>563</v>
      </c>
      <c r="E554" s="2062">
        <f t="shared" si="27"/>
        <v>2557</v>
      </c>
      <c r="F554" s="2062">
        <f t="shared" si="27"/>
        <v>2557</v>
      </c>
      <c r="G554" s="2062">
        <f t="shared" si="28"/>
        <v>3279.37487030383</v>
      </c>
      <c r="H554" s="2062">
        <f t="shared" si="28"/>
        <v>3858.9999580225403</v>
      </c>
      <c r="I554" s="2062">
        <f t="shared" si="28"/>
        <v>3858.9999580225403</v>
      </c>
      <c r="J554" s="2062">
        <f t="shared" si="28"/>
        <v>3858.9999580225403</v>
      </c>
      <c r="K554" s="2062">
        <f t="shared" si="28"/>
        <v>3858.9999580225403</v>
      </c>
      <c r="L554" s="2062">
        <f t="shared" si="28"/>
        <v>3858.9999580225403</v>
      </c>
      <c r="M554" s="12"/>
    </row>
    <row r="555" spans="2:13" ht="15" customHeight="1">
      <c r="B555" s="1921"/>
      <c r="C555" s="12"/>
      <c r="D555" s="12"/>
      <c r="E555" s="12"/>
      <c r="F555" s="12"/>
      <c r="G555" s="12"/>
      <c r="H555" s="12"/>
      <c r="I555" s="12"/>
      <c r="J555" s="12"/>
      <c r="K555" s="12"/>
      <c r="L555" s="12"/>
      <c r="M555" s="12"/>
    </row>
    <row r="556" spans="2:13" ht="15" customHeight="1">
      <c r="B556" s="1921"/>
      <c r="C556" s="12"/>
      <c r="D556" s="2067" t="s">
        <v>1871</v>
      </c>
      <c r="E556" s="12"/>
      <c r="F556" s="12"/>
      <c r="G556" s="12"/>
      <c r="H556" s="12"/>
      <c r="I556" s="12"/>
      <c r="J556" s="12"/>
      <c r="K556" s="12"/>
      <c r="L556" s="1158" t="s">
        <v>803</v>
      </c>
      <c r="M556" s="12"/>
    </row>
    <row r="557" spans="2:13" ht="15" customHeight="1">
      <c r="B557" s="1921"/>
      <c r="C557" s="12"/>
      <c r="D557" s="2066"/>
      <c r="E557" s="1920">
        <v>2018</v>
      </c>
      <c r="F557" s="1920">
        <v>2020</v>
      </c>
      <c r="G557" s="1920">
        <v>2025</v>
      </c>
      <c r="H557" s="1920">
        <v>2030</v>
      </c>
      <c r="I557" s="1920">
        <v>2035</v>
      </c>
      <c r="J557" s="1920">
        <v>2040</v>
      </c>
      <c r="K557" s="1920">
        <v>2045</v>
      </c>
      <c r="L557" s="1920">
        <v>2050</v>
      </c>
      <c r="M557" s="12"/>
    </row>
    <row r="558" spans="2:13" ht="15" customHeight="1">
      <c r="B558" s="1921"/>
      <c r="C558" s="12"/>
      <c r="D558" s="449" t="s">
        <v>917</v>
      </c>
      <c r="E558" s="2061">
        <f>$E511*E523</f>
        <v>65786</v>
      </c>
      <c r="F558" s="2061">
        <f t="shared" ref="E558:L565" si="29">$E511*F523</f>
        <v>65786</v>
      </c>
      <c r="G558" s="2061">
        <f t="shared" si="29"/>
        <v>76349.57220356274</v>
      </c>
      <c r="H558" s="2061">
        <f t="shared" si="29"/>
        <v>87198.744675138325</v>
      </c>
      <c r="I558" s="2061">
        <f t="shared" si="29"/>
        <v>87198.744675138325</v>
      </c>
      <c r="J558" s="2061">
        <f t="shared" si="29"/>
        <v>87198.744675138325</v>
      </c>
      <c r="K558" s="2061">
        <f t="shared" si="29"/>
        <v>87198.744675138325</v>
      </c>
      <c r="L558" s="2061">
        <f t="shared" si="29"/>
        <v>87198.744675138325</v>
      </c>
      <c r="M558" s="12"/>
    </row>
    <row r="559" spans="2:13" ht="15" customHeight="1">
      <c r="B559" s="1921"/>
      <c r="C559" s="12"/>
      <c r="D559" s="360" t="s">
        <v>558</v>
      </c>
      <c r="E559" s="2061">
        <f t="shared" si="29"/>
        <v>40860</v>
      </c>
      <c r="F559" s="2061">
        <f t="shared" si="29"/>
        <v>40860</v>
      </c>
      <c r="G559" s="2061">
        <f t="shared" si="29"/>
        <v>46869.473250469389</v>
      </c>
      <c r="H559" s="2061">
        <f t="shared" si="29"/>
        <v>52906.916433109538</v>
      </c>
      <c r="I559" s="2061">
        <f t="shared" si="29"/>
        <v>52906.916433109538</v>
      </c>
      <c r="J559" s="2061">
        <f t="shared" si="29"/>
        <v>52906.916433109538</v>
      </c>
      <c r="K559" s="2061">
        <f t="shared" si="29"/>
        <v>52906.916433109538</v>
      </c>
      <c r="L559" s="2061">
        <f t="shared" si="29"/>
        <v>52906.916433109538</v>
      </c>
      <c r="M559" s="12"/>
    </row>
    <row r="560" spans="2:13" ht="15" customHeight="1">
      <c r="B560" s="1921"/>
      <c r="C560" s="12"/>
      <c r="D560" s="360" t="s">
        <v>559</v>
      </c>
      <c r="E560" s="2061">
        <f t="shared" si="29"/>
        <v>15933</v>
      </c>
      <c r="F560" s="2061">
        <f t="shared" si="29"/>
        <v>15933</v>
      </c>
      <c r="G560" s="2061">
        <f t="shared" si="29"/>
        <v>18477.829760491153</v>
      </c>
      <c r="H560" s="2061">
        <f t="shared" si="29"/>
        <v>21088.144201313793</v>
      </c>
      <c r="I560" s="2061">
        <f t="shared" si="29"/>
        <v>21088.144201313793</v>
      </c>
      <c r="J560" s="2061">
        <f t="shared" si="29"/>
        <v>21088.144201313793</v>
      </c>
      <c r="K560" s="2061">
        <f t="shared" si="29"/>
        <v>21088.144201313793</v>
      </c>
      <c r="L560" s="2061">
        <f t="shared" si="29"/>
        <v>21088.144201313793</v>
      </c>
      <c r="M560" s="12"/>
    </row>
    <row r="561" spans="2:13" ht="15" customHeight="1">
      <c r="B561" s="1921"/>
      <c r="C561" s="12"/>
      <c r="D561" s="360" t="s">
        <v>560</v>
      </c>
      <c r="E561" s="2061">
        <f t="shared" si="29"/>
        <v>73989.731123634134</v>
      </c>
      <c r="F561" s="2061">
        <f t="shared" si="29"/>
        <v>73989.731123634134</v>
      </c>
      <c r="G561" s="2061">
        <f t="shared" si="29"/>
        <v>85247.79359321887</v>
      </c>
      <c r="H561" s="2061">
        <f t="shared" si="29"/>
        <v>96658.36489353799</v>
      </c>
      <c r="I561" s="2061">
        <f t="shared" si="29"/>
        <v>96658.36489353799</v>
      </c>
      <c r="J561" s="2061">
        <f t="shared" si="29"/>
        <v>96658.36489353799</v>
      </c>
      <c r="K561" s="2061">
        <f t="shared" si="29"/>
        <v>96658.36489353799</v>
      </c>
      <c r="L561" s="2061">
        <f t="shared" si="29"/>
        <v>96658.36489353799</v>
      </c>
      <c r="M561" s="12"/>
    </row>
    <row r="562" spans="2:13" ht="15" customHeight="1">
      <c r="B562" s="1921"/>
      <c r="C562" s="12"/>
      <c r="D562" s="360" t="s">
        <v>561</v>
      </c>
      <c r="E562" s="2061">
        <f t="shared" si="29"/>
        <v>7451</v>
      </c>
      <c r="F562" s="2061">
        <f t="shared" si="29"/>
        <v>7451</v>
      </c>
      <c r="G562" s="2061">
        <f t="shared" si="29"/>
        <v>8567.3761474351413</v>
      </c>
      <c r="H562" s="2061">
        <f t="shared" si="29"/>
        <v>9694.4117265390814</v>
      </c>
      <c r="I562" s="2061">
        <f t="shared" si="29"/>
        <v>9694.4117265390814</v>
      </c>
      <c r="J562" s="2061">
        <f t="shared" si="29"/>
        <v>9694.4117265390814</v>
      </c>
      <c r="K562" s="2061">
        <f t="shared" si="29"/>
        <v>9694.4117265390814</v>
      </c>
      <c r="L562" s="2061">
        <f t="shared" si="29"/>
        <v>9694.4117265390814</v>
      </c>
      <c r="M562" s="12"/>
    </row>
    <row r="563" spans="2:13" ht="15" customHeight="1">
      <c r="B563" s="1921"/>
      <c r="C563" s="12"/>
      <c r="D563" s="360" t="s">
        <v>918</v>
      </c>
      <c r="E563" s="2061">
        <f t="shared" si="29"/>
        <v>0</v>
      </c>
      <c r="F563" s="2061">
        <f t="shared" si="29"/>
        <v>0</v>
      </c>
      <c r="G563" s="2061">
        <f t="shared" si="29"/>
        <v>0</v>
      </c>
      <c r="H563" s="2061">
        <f t="shared" si="29"/>
        <v>0</v>
      </c>
      <c r="I563" s="2061">
        <f t="shared" si="29"/>
        <v>0</v>
      </c>
      <c r="J563" s="2061">
        <f t="shared" si="29"/>
        <v>0</v>
      </c>
      <c r="K563" s="2061">
        <f t="shared" si="29"/>
        <v>0</v>
      </c>
      <c r="L563" s="2061">
        <f t="shared" si="29"/>
        <v>0</v>
      </c>
      <c r="M563" s="12"/>
    </row>
    <row r="564" spans="2:13" ht="15" customHeight="1">
      <c r="B564" s="1921"/>
      <c r="C564" s="12"/>
      <c r="D564" s="360" t="s">
        <v>564</v>
      </c>
      <c r="E564" s="2061">
        <f t="shared" si="29"/>
        <v>0</v>
      </c>
      <c r="F564" s="2061">
        <f t="shared" si="29"/>
        <v>0</v>
      </c>
      <c r="G564" s="2061">
        <f t="shared" si="29"/>
        <v>0</v>
      </c>
      <c r="H564" s="2061">
        <f t="shared" si="29"/>
        <v>0</v>
      </c>
      <c r="I564" s="2061">
        <f t="shared" si="29"/>
        <v>0</v>
      </c>
      <c r="J564" s="2061">
        <f t="shared" si="29"/>
        <v>0</v>
      </c>
      <c r="K564" s="2061">
        <f t="shared" si="29"/>
        <v>0</v>
      </c>
      <c r="L564" s="2061">
        <f t="shared" si="29"/>
        <v>0</v>
      </c>
      <c r="M564" s="12"/>
    </row>
    <row r="565" spans="2:13" ht="15" customHeight="1">
      <c r="B565" s="1921"/>
      <c r="C565" s="12"/>
      <c r="D565" s="450" t="s">
        <v>563</v>
      </c>
      <c r="E565" s="2062">
        <f t="shared" si="29"/>
        <v>2557</v>
      </c>
      <c r="F565" s="2062">
        <f t="shared" si="29"/>
        <v>2557</v>
      </c>
      <c r="G565" s="2062">
        <f t="shared" si="29"/>
        <v>3279.37487030383</v>
      </c>
      <c r="H565" s="2062">
        <f t="shared" si="29"/>
        <v>3858.9999580225403</v>
      </c>
      <c r="I565" s="2062">
        <f t="shared" si="29"/>
        <v>3858.9999580225403</v>
      </c>
      <c r="J565" s="2062">
        <f t="shared" si="29"/>
        <v>3858.9999580225403</v>
      </c>
      <c r="K565" s="2062">
        <f t="shared" si="29"/>
        <v>3858.9999580225403</v>
      </c>
      <c r="L565" s="2062">
        <f t="shared" si="29"/>
        <v>3858.9999580225403</v>
      </c>
      <c r="M565" s="12"/>
    </row>
    <row r="566" spans="2:13" ht="15" customHeight="1">
      <c r="B566" s="1921"/>
      <c r="C566" s="12"/>
      <c r="D566" s="12"/>
      <c r="E566" s="12"/>
      <c r="F566" s="12"/>
      <c r="G566" s="12"/>
      <c r="H566" s="12"/>
      <c r="I566" s="12"/>
      <c r="J566" s="12"/>
      <c r="K566" s="12"/>
      <c r="L566" s="12"/>
      <c r="M566" s="12"/>
    </row>
    <row r="567" spans="2:13" ht="15" customHeight="1">
      <c r="B567" s="1921"/>
      <c r="C567" s="12"/>
      <c r="D567" s="2064" t="s">
        <v>1872</v>
      </c>
      <c r="E567" s="2064"/>
      <c r="F567" s="2064"/>
      <c r="G567" s="2054"/>
      <c r="H567" s="2054"/>
      <c r="I567" s="181"/>
      <c r="J567" s="181"/>
      <c r="K567" s="181"/>
      <c r="L567" s="181"/>
      <c r="M567" s="12"/>
    </row>
    <row r="568" spans="2:13" ht="15" customHeight="1">
      <c r="B568" s="1921"/>
      <c r="C568" s="12"/>
      <c r="D568" s="12"/>
      <c r="E568" s="12"/>
      <c r="F568" s="12"/>
      <c r="G568" s="12"/>
      <c r="H568" s="12"/>
      <c r="I568" s="12"/>
      <c r="J568" s="12"/>
      <c r="K568" s="12"/>
      <c r="L568" s="12"/>
      <c r="M568" s="12"/>
    </row>
    <row r="569" spans="2:13" ht="15" customHeight="1">
      <c r="B569" s="1921"/>
      <c r="C569" s="12"/>
      <c r="D569" s="2067" t="s">
        <v>1873</v>
      </c>
      <c r="E569" s="12"/>
      <c r="F569" s="12"/>
      <c r="G569" s="12"/>
      <c r="H569" s="12"/>
      <c r="I569" s="12"/>
      <c r="J569" s="12"/>
      <c r="K569" s="12"/>
      <c r="L569" s="1158" t="s">
        <v>803</v>
      </c>
      <c r="M569" s="12"/>
    </row>
    <row r="570" spans="2:13" ht="15" customHeight="1">
      <c r="B570" s="1921"/>
      <c r="C570" s="12"/>
      <c r="D570" s="2066" t="s">
        <v>296</v>
      </c>
      <c r="E570" s="1920">
        <v>2018</v>
      </c>
      <c r="F570" s="1920">
        <v>2020</v>
      </c>
      <c r="G570" s="1920">
        <v>2025</v>
      </c>
      <c r="H570" s="1920">
        <v>2030</v>
      </c>
      <c r="I570" s="1920">
        <v>2035</v>
      </c>
      <c r="J570" s="1920">
        <v>2040</v>
      </c>
      <c r="K570" s="1920">
        <v>2045</v>
      </c>
      <c r="L570" s="1920">
        <v>2050</v>
      </c>
      <c r="M570" s="12"/>
    </row>
    <row r="571" spans="2:13" ht="15" customHeight="1">
      <c r="B571" s="1921"/>
      <c r="C571" s="12"/>
      <c r="D571" s="449" t="s">
        <v>917</v>
      </c>
      <c r="E571" s="2061">
        <f t="shared" ref="E571:L578" si="30">$F500*E523</f>
        <v>520109.78651647415</v>
      </c>
      <c r="F571" s="2061">
        <f t="shared" si="30"/>
        <v>520109.78651647415</v>
      </c>
      <c r="G571" s="2061">
        <f t="shared" si="30"/>
        <v>603626.2988997529</v>
      </c>
      <c r="H571" s="2061">
        <f t="shared" si="30"/>
        <v>689400.79161965661</v>
      </c>
      <c r="I571" s="2061">
        <f t="shared" si="30"/>
        <v>689400.79161965661</v>
      </c>
      <c r="J571" s="2061">
        <f t="shared" si="30"/>
        <v>689400.79161965661</v>
      </c>
      <c r="K571" s="2061">
        <f t="shared" si="30"/>
        <v>689400.79161965661</v>
      </c>
      <c r="L571" s="2061">
        <f t="shared" si="30"/>
        <v>689400.79161965661</v>
      </c>
      <c r="M571" s="12"/>
    </row>
    <row r="572" spans="2:13" ht="15" customHeight="1">
      <c r="B572" s="1921"/>
      <c r="C572" s="12"/>
      <c r="D572" s="360" t="s">
        <v>558</v>
      </c>
      <c r="E572" s="2061">
        <f t="shared" si="30"/>
        <v>698133.94162106351</v>
      </c>
      <c r="F572" s="2061">
        <f t="shared" si="30"/>
        <v>698133.94162106351</v>
      </c>
      <c r="G572" s="2061">
        <f t="shared" si="30"/>
        <v>800811.7988755065</v>
      </c>
      <c r="H572" s="2061">
        <f t="shared" si="30"/>
        <v>903967.55037843809</v>
      </c>
      <c r="I572" s="2061">
        <f t="shared" si="30"/>
        <v>903967.55037843809</v>
      </c>
      <c r="J572" s="2061">
        <f t="shared" si="30"/>
        <v>903967.55037843809</v>
      </c>
      <c r="K572" s="2061">
        <f t="shared" si="30"/>
        <v>903967.55037843809</v>
      </c>
      <c r="L572" s="2061">
        <f t="shared" si="30"/>
        <v>903967.55037843809</v>
      </c>
      <c r="M572" s="12"/>
    </row>
    <row r="573" spans="2:13" ht="15" customHeight="1">
      <c r="B573" s="1921"/>
      <c r="C573" s="12"/>
      <c r="D573" s="360" t="s">
        <v>559</v>
      </c>
      <c r="E573" s="2061">
        <f t="shared" si="30"/>
        <v>125967</v>
      </c>
      <c r="F573" s="2061">
        <f t="shared" si="30"/>
        <v>125967</v>
      </c>
      <c r="G573" s="2061">
        <f t="shared" si="30"/>
        <v>146086.53621036772</v>
      </c>
      <c r="H573" s="2061">
        <f t="shared" si="30"/>
        <v>166723.79718865841</v>
      </c>
      <c r="I573" s="2061">
        <f t="shared" si="30"/>
        <v>166723.79718865841</v>
      </c>
      <c r="J573" s="2061">
        <f t="shared" si="30"/>
        <v>166723.79718865841</v>
      </c>
      <c r="K573" s="2061">
        <f t="shared" si="30"/>
        <v>166723.79718865841</v>
      </c>
      <c r="L573" s="2061">
        <f t="shared" si="30"/>
        <v>166723.79718865841</v>
      </c>
      <c r="M573" s="12"/>
    </row>
    <row r="574" spans="2:13" ht="15" customHeight="1">
      <c r="B574" s="1921"/>
      <c r="C574" s="12"/>
      <c r="D574" s="360" t="s">
        <v>560</v>
      </c>
      <c r="E574" s="2061">
        <f t="shared" si="30"/>
        <v>2158916.881025922</v>
      </c>
      <c r="F574" s="2061">
        <f t="shared" si="30"/>
        <v>2158916.881025922</v>
      </c>
      <c r="G574" s="2061">
        <f t="shared" si="30"/>
        <v>2487411.3997128159</v>
      </c>
      <c r="H574" s="2061">
        <f t="shared" si="30"/>
        <v>2820355.9127999838</v>
      </c>
      <c r="I574" s="2061">
        <f t="shared" si="30"/>
        <v>2820355.9127999838</v>
      </c>
      <c r="J574" s="2061">
        <f t="shared" si="30"/>
        <v>2820355.9127999838</v>
      </c>
      <c r="K574" s="2061">
        <f t="shared" si="30"/>
        <v>2820355.9127999838</v>
      </c>
      <c r="L574" s="2061">
        <f t="shared" si="30"/>
        <v>2820355.9127999838</v>
      </c>
      <c r="M574" s="12"/>
    </row>
    <row r="575" spans="2:13" ht="15" customHeight="1">
      <c r="B575" s="1921"/>
      <c r="C575" s="12"/>
      <c r="D575" s="360" t="s">
        <v>561</v>
      </c>
      <c r="E575" s="2061">
        <f t="shared" si="30"/>
        <v>58908</v>
      </c>
      <c r="F575" s="2061">
        <f t="shared" si="30"/>
        <v>58908</v>
      </c>
      <c r="G575" s="2061">
        <f t="shared" si="30"/>
        <v>67734.12885426241</v>
      </c>
      <c r="H575" s="2061">
        <f t="shared" si="30"/>
        <v>76644.531738956401</v>
      </c>
      <c r="I575" s="2061">
        <f t="shared" si="30"/>
        <v>76644.531738956401</v>
      </c>
      <c r="J575" s="2061">
        <f t="shared" si="30"/>
        <v>76644.531738956401</v>
      </c>
      <c r="K575" s="2061">
        <f t="shared" si="30"/>
        <v>76644.531738956401</v>
      </c>
      <c r="L575" s="2061">
        <f t="shared" si="30"/>
        <v>76644.531738956401</v>
      </c>
      <c r="M575" s="12"/>
    </row>
    <row r="576" spans="2:13" ht="15" customHeight="1">
      <c r="B576" s="1921"/>
      <c r="C576" s="12"/>
      <c r="D576" s="360" t="s">
        <v>918</v>
      </c>
      <c r="E576" s="2061">
        <f t="shared" si="30"/>
        <v>0</v>
      </c>
      <c r="F576" s="2061">
        <f t="shared" si="30"/>
        <v>0</v>
      </c>
      <c r="G576" s="2061">
        <f t="shared" si="30"/>
        <v>0</v>
      </c>
      <c r="H576" s="2061">
        <f t="shared" si="30"/>
        <v>0</v>
      </c>
      <c r="I576" s="2061">
        <f t="shared" si="30"/>
        <v>0</v>
      </c>
      <c r="J576" s="2061">
        <f t="shared" si="30"/>
        <v>0</v>
      </c>
      <c r="K576" s="2061">
        <f t="shared" si="30"/>
        <v>0</v>
      </c>
      <c r="L576" s="2061">
        <f t="shared" si="30"/>
        <v>0</v>
      </c>
      <c r="M576" s="12"/>
    </row>
    <row r="577" spans="2:13" ht="15" customHeight="1">
      <c r="B577" s="1921"/>
      <c r="C577" s="12"/>
      <c r="D577" s="360" t="s">
        <v>564</v>
      </c>
      <c r="E577" s="2061">
        <f t="shared" si="30"/>
        <v>0</v>
      </c>
      <c r="F577" s="2061">
        <f t="shared" si="30"/>
        <v>0</v>
      </c>
      <c r="G577" s="2061">
        <f t="shared" si="30"/>
        <v>0</v>
      </c>
      <c r="H577" s="2061">
        <f t="shared" si="30"/>
        <v>0</v>
      </c>
      <c r="I577" s="2061">
        <f t="shared" si="30"/>
        <v>0</v>
      </c>
      <c r="J577" s="2061">
        <f t="shared" si="30"/>
        <v>0</v>
      </c>
      <c r="K577" s="2061">
        <f t="shared" si="30"/>
        <v>0</v>
      </c>
      <c r="L577" s="2061">
        <f t="shared" si="30"/>
        <v>0</v>
      </c>
      <c r="M577" s="12"/>
    </row>
    <row r="578" spans="2:13" ht="15" customHeight="1">
      <c r="B578" s="1921"/>
      <c r="C578" s="12"/>
      <c r="D578" s="450" t="s">
        <v>563</v>
      </c>
      <c r="E578" s="2062">
        <f t="shared" si="30"/>
        <v>20215</v>
      </c>
      <c r="F578" s="2062">
        <f t="shared" si="30"/>
        <v>20215</v>
      </c>
      <c r="G578" s="2062">
        <f t="shared" si="30"/>
        <v>25925.914354005443</v>
      </c>
      <c r="H578" s="2062">
        <f t="shared" si="30"/>
        <v>30508.284767862984</v>
      </c>
      <c r="I578" s="2062">
        <f t="shared" si="30"/>
        <v>30508.284767862984</v>
      </c>
      <c r="J578" s="2062">
        <f t="shared" si="30"/>
        <v>30508.284767862984</v>
      </c>
      <c r="K578" s="2062">
        <f t="shared" si="30"/>
        <v>30508.284767862984</v>
      </c>
      <c r="L578" s="2062">
        <f t="shared" si="30"/>
        <v>30508.284767862984</v>
      </c>
      <c r="M578" s="12"/>
    </row>
    <row r="579" spans="2:13" ht="15" customHeight="1">
      <c r="B579" s="1921"/>
      <c r="C579" s="12"/>
      <c r="D579" s="12"/>
      <c r="E579" s="12"/>
      <c r="F579" s="12"/>
      <c r="G579" s="12"/>
      <c r="H579" s="12"/>
      <c r="I579" s="12"/>
      <c r="J579" s="12"/>
      <c r="K579" s="12"/>
      <c r="L579" s="12"/>
      <c r="M579" s="12"/>
    </row>
    <row r="580" spans="2:13" ht="15" customHeight="1">
      <c r="B580" s="1921"/>
      <c r="C580" s="12"/>
      <c r="D580" s="2067" t="s">
        <v>1874</v>
      </c>
      <c r="E580" s="12"/>
      <c r="F580" s="12"/>
      <c r="G580" s="12"/>
      <c r="H580" s="12"/>
      <c r="I580" s="12"/>
      <c r="J580" s="12"/>
      <c r="K580" s="12"/>
      <c r="L580" s="1158" t="s">
        <v>803</v>
      </c>
      <c r="M580" s="12"/>
    </row>
    <row r="581" spans="2:13" ht="15" customHeight="1">
      <c r="B581" s="1921"/>
      <c r="C581" s="12"/>
      <c r="D581" s="2066" t="s">
        <v>296</v>
      </c>
      <c r="E581" s="1920">
        <v>2018</v>
      </c>
      <c r="F581" s="1920">
        <v>2020</v>
      </c>
      <c r="G581" s="1920">
        <v>2025</v>
      </c>
      <c r="H581" s="1920">
        <v>2030</v>
      </c>
      <c r="I581" s="1920">
        <v>2035</v>
      </c>
      <c r="J581" s="1920">
        <v>2040</v>
      </c>
      <c r="K581" s="1920">
        <v>2045</v>
      </c>
      <c r="L581" s="1920">
        <v>2050</v>
      </c>
      <c r="M581" s="12"/>
    </row>
    <row r="582" spans="2:13" ht="15" customHeight="1">
      <c r="B582" s="1921"/>
      <c r="C582" s="12"/>
      <c r="D582" s="449" t="s">
        <v>917</v>
      </c>
      <c r="E582" s="2061">
        <f t="shared" ref="E582:L589" si="31">E593+((E571-E593)*0.35)</f>
        <v>520109.78651647415</v>
      </c>
      <c r="F582" s="2061">
        <f t="shared" si="31"/>
        <v>520109.78651647415</v>
      </c>
      <c r="G582" s="2061">
        <f t="shared" si="31"/>
        <v>603626.2988997529</v>
      </c>
      <c r="H582" s="2061">
        <f t="shared" si="31"/>
        <v>689400.79161965661</v>
      </c>
      <c r="I582" s="2061">
        <f t="shared" si="31"/>
        <v>689400.79161965661</v>
      </c>
      <c r="J582" s="2061">
        <f t="shared" si="31"/>
        <v>689400.79161965661</v>
      </c>
      <c r="K582" s="2061">
        <f t="shared" si="31"/>
        <v>689400.79161965661</v>
      </c>
      <c r="L582" s="2061">
        <f t="shared" si="31"/>
        <v>689400.79161965661</v>
      </c>
      <c r="M582" s="12"/>
    </row>
    <row r="583" spans="2:13" ht="15" customHeight="1">
      <c r="B583" s="1921"/>
      <c r="C583" s="12"/>
      <c r="D583" s="360" t="s">
        <v>558</v>
      </c>
      <c r="E583" s="2061">
        <f t="shared" si="31"/>
        <v>698133.94162106351</v>
      </c>
      <c r="F583" s="2061">
        <f t="shared" si="31"/>
        <v>698133.94162106351</v>
      </c>
      <c r="G583" s="2061">
        <f t="shared" si="31"/>
        <v>800811.7988755065</v>
      </c>
      <c r="H583" s="2061">
        <f t="shared" si="31"/>
        <v>903967.55037843809</v>
      </c>
      <c r="I583" s="2061">
        <f t="shared" si="31"/>
        <v>903967.55037843809</v>
      </c>
      <c r="J583" s="2061">
        <f t="shared" si="31"/>
        <v>903967.55037843809</v>
      </c>
      <c r="K583" s="2061">
        <f t="shared" si="31"/>
        <v>903967.55037843809</v>
      </c>
      <c r="L583" s="2061">
        <f t="shared" si="31"/>
        <v>903967.55037843809</v>
      </c>
      <c r="M583" s="12"/>
    </row>
    <row r="584" spans="2:13" ht="15" customHeight="1">
      <c r="B584" s="1921"/>
      <c r="C584" s="12"/>
      <c r="D584" s="360" t="s">
        <v>559</v>
      </c>
      <c r="E584" s="2061">
        <f t="shared" si="31"/>
        <v>125967</v>
      </c>
      <c r="F584" s="2061">
        <f t="shared" si="31"/>
        <v>125967</v>
      </c>
      <c r="G584" s="2061">
        <f t="shared" si="31"/>
        <v>146086.53621036772</v>
      </c>
      <c r="H584" s="2061">
        <f t="shared" si="31"/>
        <v>166723.79718865841</v>
      </c>
      <c r="I584" s="2061">
        <f t="shared" si="31"/>
        <v>166723.79718865841</v>
      </c>
      <c r="J584" s="2061">
        <f t="shared" si="31"/>
        <v>166723.79718865841</v>
      </c>
      <c r="K584" s="2061">
        <f t="shared" si="31"/>
        <v>166723.79718865841</v>
      </c>
      <c r="L584" s="2061">
        <f t="shared" si="31"/>
        <v>166723.79718865841</v>
      </c>
      <c r="M584" s="12"/>
    </row>
    <row r="585" spans="2:13" ht="15" customHeight="1">
      <c r="B585" s="1921"/>
      <c r="C585" s="12"/>
      <c r="D585" s="360" t="s">
        <v>560</v>
      </c>
      <c r="E585" s="2061">
        <f t="shared" si="31"/>
        <v>2158916.881025922</v>
      </c>
      <c r="F585" s="2061">
        <f t="shared" si="31"/>
        <v>2158916.881025922</v>
      </c>
      <c r="G585" s="2061">
        <f t="shared" si="31"/>
        <v>2487411.3997128159</v>
      </c>
      <c r="H585" s="2061">
        <f t="shared" si="31"/>
        <v>2820355.9127999838</v>
      </c>
      <c r="I585" s="2061">
        <f t="shared" si="31"/>
        <v>2820355.9127999838</v>
      </c>
      <c r="J585" s="2061">
        <f t="shared" si="31"/>
        <v>2820355.9127999838</v>
      </c>
      <c r="K585" s="2061">
        <f t="shared" si="31"/>
        <v>2820355.9127999838</v>
      </c>
      <c r="L585" s="2061">
        <f t="shared" si="31"/>
        <v>2820355.9127999838</v>
      </c>
      <c r="M585" s="12"/>
    </row>
    <row r="586" spans="2:13" ht="15" customHeight="1">
      <c r="B586" s="1921"/>
      <c r="C586" s="12"/>
      <c r="D586" s="360" t="s">
        <v>561</v>
      </c>
      <c r="E586" s="2061">
        <f t="shared" si="31"/>
        <v>58908</v>
      </c>
      <c r="F586" s="2061">
        <f t="shared" si="31"/>
        <v>58908</v>
      </c>
      <c r="G586" s="2061">
        <f t="shared" si="31"/>
        <v>67734.12885426241</v>
      </c>
      <c r="H586" s="2061">
        <f t="shared" si="31"/>
        <v>76644.531738956401</v>
      </c>
      <c r="I586" s="2061">
        <f t="shared" si="31"/>
        <v>76644.531738956401</v>
      </c>
      <c r="J586" s="2061">
        <f t="shared" si="31"/>
        <v>76644.531738956401</v>
      </c>
      <c r="K586" s="2061">
        <f t="shared" si="31"/>
        <v>76644.531738956401</v>
      </c>
      <c r="L586" s="2061">
        <f t="shared" si="31"/>
        <v>76644.531738956401</v>
      </c>
      <c r="M586" s="12"/>
    </row>
    <row r="587" spans="2:13" ht="15" customHeight="1">
      <c r="B587" s="1921"/>
      <c r="C587" s="12"/>
      <c r="D587" s="360" t="s">
        <v>918</v>
      </c>
      <c r="E587" s="2061">
        <f t="shared" si="31"/>
        <v>0</v>
      </c>
      <c r="F587" s="2061">
        <f t="shared" si="31"/>
        <v>0</v>
      </c>
      <c r="G587" s="2061">
        <f t="shared" si="31"/>
        <v>0</v>
      </c>
      <c r="H587" s="2061">
        <f t="shared" si="31"/>
        <v>0</v>
      </c>
      <c r="I587" s="2061">
        <f t="shared" si="31"/>
        <v>0</v>
      </c>
      <c r="J587" s="2061">
        <f t="shared" si="31"/>
        <v>0</v>
      </c>
      <c r="K587" s="2061">
        <f t="shared" si="31"/>
        <v>0</v>
      </c>
      <c r="L587" s="2061">
        <f t="shared" si="31"/>
        <v>0</v>
      </c>
      <c r="M587" s="12"/>
    </row>
    <row r="588" spans="2:13" ht="15" customHeight="1">
      <c r="B588" s="1921"/>
      <c r="C588" s="12"/>
      <c r="D588" s="360" t="s">
        <v>564</v>
      </c>
      <c r="E588" s="2061">
        <f t="shared" si="31"/>
        <v>0</v>
      </c>
      <c r="F588" s="2061">
        <f t="shared" si="31"/>
        <v>0</v>
      </c>
      <c r="G588" s="2061">
        <f t="shared" si="31"/>
        <v>0</v>
      </c>
      <c r="H588" s="2061">
        <f t="shared" si="31"/>
        <v>0</v>
      </c>
      <c r="I588" s="2061">
        <f t="shared" si="31"/>
        <v>0</v>
      </c>
      <c r="J588" s="2061">
        <f t="shared" si="31"/>
        <v>0</v>
      </c>
      <c r="K588" s="2061">
        <f t="shared" si="31"/>
        <v>0</v>
      </c>
      <c r="L588" s="2061">
        <f t="shared" si="31"/>
        <v>0</v>
      </c>
      <c r="M588" s="12"/>
    </row>
    <row r="589" spans="2:13" ht="15" customHeight="1">
      <c r="B589" s="1921"/>
      <c r="C589" s="12"/>
      <c r="D589" s="450" t="s">
        <v>563</v>
      </c>
      <c r="E589" s="2062">
        <f t="shared" si="31"/>
        <v>20215</v>
      </c>
      <c r="F589" s="2062">
        <f t="shared" si="31"/>
        <v>20215</v>
      </c>
      <c r="G589" s="2062">
        <f t="shared" si="31"/>
        <v>25925.914354005443</v>
      </c>
      <c r="H589" s="2062">
        <f t="shared" si="31"/>
        <v>30508.284767862984</v>
      </c>
      <c r="I589" s="2062">
        <f t="shared" si="31"/>
        <v>30508.284767862984</v>
      </c>
      <c r="J589" s="2062">
        <f t="shared" si="31"/>
        <v>30508.284767862984</v>
      </c>
      <c r="K589" s="2062">
        <f t="shared" si="31"/>
        <v>30508.284767862984</v>
      </c>
      <c r="L589" s="2062">
        <f t="shared" si="31"/>
        <v>30508.284767862984</v>
      </c>
      <c r="M589" s="12"/>
    </row>
    <row r="590" spans="2:13" ht="15" customHeight="1">
      <c r="B590" s="1921"/>
      <c r="C590" s="12"/>
      <c r="D590" s="12"/>
      <c r="E590" s="12"/>
      <c r="F590" s="12"/>
      <c r="G590" s="12"/>
      <c r="H590" s="12"/>
      <c r="I590" s="12"/>
      <c r="J590" s="12"/>
      <c r="K590" s="12"/>
      <c r="L590" s="12"/>
      <c r="M590" s="12"/>
    </row>
    <row r="591" spans="2:13" ht="15" customHeight="1">
      <c r="B591" s="1921"/>
      <c r="C591" s="12"/>
      <c r="D591" s="2067" t="s">
        <v>1875</v>
      </c>
      <c r="E591" s="12"/>
      <c r="F591" s="12"/>
      <c r="G591" s="12"/>
      <c r="H591" s="12"/>
      <c r="I591" s="12"/>
      <c r="J591" s="12"/>
      <c r="K591" s="12"/>
      <c r="L591" s="1158" t="s">
        <v>803</v>
      </c>
      <c r="M591" s="12"/>
    </row>
    <row r="592" spans="2:13" ht="15" customHeight="1">
      <c r="B592" s="1921"/>
      <c r="C592" s="12"/>
      <c r="D592" s="2066"/>
      <c r="E592" s="1920">
        <v>2018</v>
      </c>
      <c r="F592" s="1920">
        <v>2020</v>
      </c>
      <c r="G592" s="1920">
        <v>2025</v>
      </c>
      <c r="H592" s="1920">
        <v>2030</v>
      </c>
      <c r="I592" s="1920">
        <v>2035</v>
      </c>
      <c r="J592" s="1920">
        <v>2040</v>
      </c>
      <c r="K592" s="1920">
        <v>2045</v>
      </c>
      <c r="L592" s="1920">
        <v>2050</v>
      </c>
      <c r="M592" s="12"/>
    </row>
    <row r="593" spans="2:13" ht="15" customHeight="1">
      <c r="B593" s="1921"/>
      <c r="C593" s="12"/>
      <c r="D593" s="449" t="s">
        <v>917</v>
      </c>
      <c r="E593" s="2061">
        <f t="shared" ref="E593:L600" si="32">$F511*E523</f>
        <v>520109.78651647415</v>
      </c>
      <c r="F593" s="2061">
        <f t="shared" si="32"/>
        <v>520109.78651647415</v>
      </c>
      <c r="G593" s="2061">
        <f t="shared" si="32"/>
        <v>603626.2988997529</v>
      </c>
      <c r="H593" s="2061">
        <f t="shared" si="32"/>
        <v>689400.79161965661</v>
      </c>
      <c r="I593" s="2061">
        <f t="shared" si="32"/>
        <v>689400.79161965661</v>
      </c>
      <c r="J593" s="2061">
        <f t="shared" si="32"/>
        <v>689400.79161965661</v>
      </c>
      <c r="K593" s="2061">
        <f t="shared" si="32"/>
        <v>689400.79161965661</v>
      </c>
      <c r="L593" s="2061">
        <f t="shared" si="32"/>
        <v>689400.79161965661</v>
      </c>
      <c r="M593" s="12"/>
    </row>
    <row r="594" spans="2:13" ht="15" customHeight="1">
      <c r="B594" s="1921"/>
      <c r="C594" s="12"/>
      <c r="D594" s="360" t="s">
        <v>558</v>
      </c>
      <c r="E594" s="2061">
        <f t="shared" si="32"/>
        <v>698133.94162106351</v>
      </c>
      <c r="F594" s="2061">
        <f t="shared" si="32"/>
        <v>698133.94162106351</v>
      </c>
      <c r="G594" s="2061">
        <f t="shared" si="32"/>
        <v>800811.7988755065</v>
      </c>
      <c r="H594" s="2061">
        <f t="shared" si="32"/>
        <v>903967.55037843809</v>
      </c>
      <c r="I594" s="2061">
        <f t="shared" si="32"/>
        <v>903967.55037843809</v>
      </c>
      <c r="J594" s="2061">
        <f t="shared" si="32"/>
        <v>903967.55037843809</v>
      </c>
      <c r="K594" s="2061">
        <f t="shared" si="32"/>
        <v>903967.55037843809</v>
      </c>
      <c r="L594" s="2061">
        <f t="shared" si="32"/>
        <v>903967.55037843809</v>
      </c>
      <c r="M594" s="12"/>
    </row>
    <row r="595" spans="2:13" ht="15" customHeight="1">
      <c r="B595" s="1921"/>
      <c r="C595" s="12"/>
      <c r="D595" s="360" t="s">
        <v>559</v>
      </c>
      <c r="E595" s="2061">
        <f t="shared" si="32"/>
        <v>125967</v>
      </c>
      <c r="F595" s="2061">
        <f t="shared" si="32"/>
        <v>125967</v>
      </c>
      <c r="G595" s="2061">
        <f t="shared" si="32"/>
        <v>146086.53621036772</v>
      </c>
      <c r="H595" s="2061">
        <f t="shared" si="32"/>
        <v>166723.79718865841</v>
      </c>
      <c r="I595" s="2061">
        <f t="shared" si="32"/>
        <v>166723.79718865841</v>
      </c>
      <c r="J595" s="2061">
        <f t="shared" si="32"/>
        <v>166723.79718865841</v>
      </c>
      <c r="K595" s="2061">
        <f t="shared" si="32"/>
        <v>166723.79718865841</v>
      </c>
      <c r="L595" s="2061">
        <f t="shared" si="32"/>
        <v>166723.79718865841</v>
      </c>
      <c r="M595" s="12"/>
    </row>
    <row r="596" spans="2:13" ht="15" customHeight="1">
      <c r="B596" s="1921"/>
      <c r="C596" s="12"/>
      <c r="D596" s="360" t="s">
        <v>560</v>
      </c>
      <c r="E596" s="2061">
        <f t="shared" si="32"/>
        <v>2158916.881025922</v>
      </c>
      <c r="F596" s="2061">
        <f t="shared" si="32"/>
        <v>2158916.881025922</v>
      </c>
      <c r="G596" s="2061">
        <f t="shared" si="32"/>
        <v>2487411.3997128159</v>
      </c>
      <c r="H596" s="2061">
        <f t="shared" si="32"/>
        <v>2820355.9127999838</v>
      </c>
      <c r="I596" s="2061">
        <f t="shared" si="32"/>
        <v>2820355.9127999838</v>
      </c>
      <c r="J596" s="2061">
        <f t="shared" si="32"/>
        <v>2820355.9127999838</v>
      </c>
      <c r="K596" s="2061">
        <f t="shared" si="32"/>
        <v>2820355.9127999838</v>
      </c>
      <c r="L596" s="2061">
        <f t="shared" si="32"/>
        <v>2820355.9127999838</v>
      </c>
      <c r="M596" s="12"/>
    </row>
    <row r="597" spans="2:13" ht="15" customHeight="1">
      <c r="B597" s="1921"/>
      <c r="C597" s="12"/>
      <c r="D597" s="360" t="s">
        <v>561</v>
      </c>
      <c r="E597" s="2061">
        <f t="shared" si="32"/>
        <v>58908</v>
      </c>
      <c r="F597" s="2061">
        <f t="shared" si="32"/>
        <v>58908</v>
      </c>
      <c r="G597" s="2061">
        <f t="shared" si="32"/>
        <v>67734.12885426241</v>
      </c>
      <c r="H597" s="2061">
        <f t="shared" si="32"/>
        <v>76644.531738956401</v>
      </c>
      <c r="I597" s="2061">
        <f t="shared" si="32"/>
        <v>76644.531738956401</v>
      </c>
      <c r="J597" s="2061">
        <f t="shared" si="32"/>
        <v>76644.531738956401</v>
      </c>
      <c r="K597" s="2061">
        <f t="shared" si="32"/>
        <v>76644.531738956401</v>
      </c>
      <c r="L597" s="2061">
        <f t="shared" si="32"/>
        <v>76644.531738956401</v>
      </c>
      <c r="M597" s="12"/>
    </row>
    <row r="598" spans="2:13" ht="15" customHeight="1">
      <c r="B598" s="1921"/>
      <c r="C598" s="12"/>
      <c r="D598" s="360" t="s">
        <v>918</v>
      </c>
      <c r="E598" s="2061">
        <f t="shared" si="32"/>
        <v>0</v>
      </c>
      <c r="F598" s="2061">
        <f t="shared" si="32"/>
        <v>0</v>
      </c>
      <c r="G598" s="2061">
        <f t="shared" si="32"/>
        <v>0</v>
      </c>
      <c r="H598" s="2061">
        <f t="shared" si="32"/>
        <v>0</v>
      </c>
      <c r="I598" s="2061">
        <f t="shared" si="32"/>
        <v>0</v>
      </c>
      <c r="J598" s="2061">
        <f t="shared" si="32"/>
        <v>0</v>
      </c>
      <c r="K598" s="2061">
        <f t="shared" si="32"/>
        <v>0</v>
      </c>
      <c r="L598" s="2061">
        <f t="shared" si="32"/>
        <v>0</v>
      </c>
      <c r="M598" s="12"/>
    </row>
    <row r="599" spans="2:13" ht="15" customHeight="1">
      <c r="B599" s="1921"/>
      <c r="C599" s="12"/>
      <c r="D599" s="360" t="s">
        <v>564</v>
      </c>
      <c r="E599" s="2061">
        <f t="shared" si="32"/>
        <v>0</v>
      </c>
      <c r="F599" s="2061">
        <f t="shared" si="32"/>
        <v>0</v>
      </c>
      <c r="G599" s="2061">
        <f t="shared" si="32"/>
        <v>0</v>
      </c>
      <c r="H599" s="2061">
        <f t="shared" si="32"/>
        <v>0</v>
      </c>
      <c r="I599" s="2061">
        <f t="shared" si="32"/>
        <v>0</v>
      </c>
      <c r="J599" s="2061">
        <f t="shared" si="32"/>
        <v>0</v>
      </c>
      <c r="K599" s="2061">
        <f t="shared" si="32"/>
        <v>0</v>
      </c>
      <c r="L599" s="2061">
        <f t="shared" si="32"/>
        <v>0</v>
      </c>
      <c r="M599" s="12"/>
    </row>
    <row r="600" spans="2:13" ht="15" customHeight="1">
      <c r="B600" s="1921"/>
      <c r="C600" s="12"/>
      <c r="D600" s="450" t="s">
        <v>563</v>
      </c>
      <c r="E600" s="2062">
        <f t="shared" si="32"/>
        <v>20215</v>
      </c>
      <c r="F600" s="2062">
        <f t="shared" si="32"/>
        <v>20215</v>
      </c>
      <c r="G600" s="2062">
        <f t="shared" si="32"/>
        <v>25925.914354005443</v>
      </c>
      <c r="H600" s="2062">
        <f t="shared" si="32"/>
        <v>30508.284767862984</v>
      </c>
      <c r="I600" s="2062">
        <f t="shared" si="32"/>
        <v>30508.284767862984</v>
      </c>
      <c r="J600" s="2062">
        <f t="shared" si="32"/>
        <v>30508.284767862984</v>
      </c>
      <c r="K600" s="2062">
        <f t="shared" si="32"/>
        <v>30508.284767862984</v>
      </c>
      <c r="L600" s="2062">
        <f t="shared" si="32"/>
        <v>30508.284767862984</v>
      </c>
      <c r="M600" s="12"/>
    </row>
    <row r="601" spans="2:13" ht="15" customHeight="1">
      <c r="B601" s="1921"/>
      <c r="C601" s="12"/>
      <c r="D601" s="12"/>
      <c r="E601" s="12"/>
      <c r="F601" s="12"/>
      <c r="G601" s="12"/>
      <c r="H601" s="12"/>
      <c r="I601" s="12"/>
      <c r="J601" s="12"/>
      <c r="K601" s="12"/>
      <c r="L601" s="12"/>
      <c r="M601" s="12"/>
    </row>
    <row r="602" spans="2:13" ht="15" customHeight="1">
      <c r="B602" s="1921"/>
      <c r="C602" s="1385"/>
      <c r="D602" s="1385"/>
      <c r="E602" s="1385"/>
      <c r="F602" s="1385"/>
      <c r="G602" s="211"/>
      <c r="H602" s="1385"/>
      <c r="I602" s="1385"/>
      <c r="J602" s="1385"/>
      <c r="K602" s="1385"/>
      <c r="L602" s="1385"/>
      <c r="M602" s="1385"/>
    </row>
    <row r="603" spans="2:13" ht="15" customHeight="1">
      <c r="B603" s="1921"/>
      <c r="C603" s="48" t="s">
        <v>52</v>
      </c>
      <c r="D603" s="48"/>
      <c r="E603" s="48"/>
      <c r="F603" s="48"/>
      <c r="G603" s="48"/>
      <c r="H603" s="48"/>
      <c r="I603" s="48"/>
      <c r="J603" s="48"/>
      <c r="K603" s="48"/>
      <c r="L603" s="48"/>
      <c r="M603" s="48"/>
    </row>
    <row r="604" spans="2:13" ht="15" customHeight="1">
      <c r="B604" s="1921"/>
      <c r="C604" s="50"/>
      <c r="D604" s="6"/>
      <c r="E604" s="6"/>
      <c r="F604" s="6"/>
      <c r="G604" s="6"/>
      <c r="H604" s="6"/>
      <c r="I604" s="6"/>
      <c r="J604" s="6"/>
      <c r="K604" s="6"/>
      <c r="L604" s="6"/>
      <c r="M604" s="6"/>
    </row>
    <row r="605" spans="2:13" ht="15" customHeight="1">
      <c r="B605" s="1921"/>
      <c r="C605" s="50"/>
      <c r="D605" s="48" t="s">
        <v>1876</v>
      </c>
      <c r="E605" s="48"/>
      <c r="F605" s="48"/>
      <c r="G605" s="48"/>
      <c r="H605" s="48"/>
      <c r="I605" s="48"/>
      <c r="J605" s="48"/>
      <c r="K605" s="48"/>
      <c r="L605" s="48"/>
      <c r="M605" s="50"/>
    </row>
    <row r="606" spans="2:13" ht="15" customHeight="1">
      <c r="B606" s="1921"/>
      <c r="C606" s="50"/>
      <c r="D606" s="6"/>
      <c r="E606" s="6"/>
      <c r="F606" s="6"/>
      <c r="G606" s="6"/>
      <c r="H606" s="6"/>
      <c r="I606" s="6"/>
      <c r="J606" s="6"/>
      <c r="K606" s="6"/>
      <c r="L606" s="6"/>
      <c r="M606" s="6"/>
    </row>
    <row r="607" spans="2:13" ht="15" customHeight="1">
      <c r="B607" s="1921"/>
      <c r="C607" s="50"/>
      <c r="D607" s="48" t="s">
        <v>1877</v>
      </c>
      <c r="E607" s="48"/>
      <c r="F607" s="48"/>
      <c r="G607" s="48"/>
      <c r="H607" s="48"/>
      <c r="I607" s="48"/>
      <c r="J607" s="48"/>
      <c r="K607" s="48"/>
      <c r="L607" s="48"/>
      <c r="M607" s="50"/>
    </row>
    <row r="608" spans="2:13" ht="15" customHeight="1">
      <c r="B608" s="1921"/>
      <c r="C608" s="50"/>
      <c r="D608" s="6"/>
      <c r="E608" s="6"/>
      <c r="F608" s="6"/>
      <c r="G608" s="6"/>
      <c r="H608" s="6"/>
      <c r="I608" s="6"/>
      <c r="J608" s="6"/>
      <c r="K608" s="6"/>
      <c r="L608" s="214" t="s">
        <v>9</v>
      </c>
      <c r="M608" s="6"/>
    </row>
    <row r="609" spans="2:16" ht="15" customHeight="1">
      <c r="B609" s="1921"/>
      <c r="C609" s="50"/>
      <c r="D609" s="1938" t="s">
        <v>699</v>
      </c>
      <c r="E609" s="1899">
        <v>2018</v>
      </c>
      <c r="F609" s="1899" t="s">
        <v>322</v>
      </c>
      <c r="G609" s="1899" t="s">
        <v>323</v>
      </c>
      <c r="H609" s="1899" t="s">
        <v>324</v>
      </c>
      <c r="I609" s="1899" t="s">
        <v>325</v>
      </c>
      <c r="J609" s="1899" t="s">
        <v>326</v>
      </c>
      <c r="K609" s="1899" t="s">
        <v>327</v>
      </c>
      <c r="L609" s="1899" t="s">
        <v>328</v>
      </c>
      <c r="M609" s="6"/>
    </row>
    <row r="610" spans="2:16" ht="15" customHeight="1">
      <c r="B610" s="1921"/>
      <c r="C610" s="50"/>
      <c r="D610" s="219" t="s">
        <v>504</v>
      </c>
      <c r="E610" s="1897" cm="1">
        <f t="array" ref="E610:L610">_xlfn.ANCHORARRAY(E840)</f>
        <v>1.3089264063916797</v>
      </c>
      <c r="F610" s="1897">
        <v>1.3089264063916797</v>
      </c>
      <c r="G610" s="1897">
        <v>1.5125231176448957</v>
      </c>
      <c r="H610" s="1897">
        <v>1.714763745599686</v>
      </c>
      <c r="I610" s="1897">
        <v>1.714763745599686</v>
      </c>
      <c r="J610" s="1897">
        <v>1.714763745599686</v>
      </c>
      <c r="K610" s="1897">
        <v>1.714763745599686</v>
      </c>
      <c r="L610" s="1897">
        <v>1.714763745599686</v>
      </c>
      <c r="M610" s="6"/>
      <c r="O610" s="1398"/>
    </row>
    <row r="611" spans="2:16" ht="15" customHeight="1">
      <c r="B611" s="1921"/>
      <c r="C611" s="50"/>
      <c r="D611" s="219" t="s">
        <v>569</v>
      </c>
      <c r="E611" s="1898" cm="1">
        <f t="array" ref="E611:L611">_xlfn.ANCHORARRAY(E841)</f>
        <v>3.0110682611062018</v>
      </c>
      <c r="F611" s="1897">
        <v>3.0110682611062018</v>
      </c>
      <c r="G611" s="1897">
        <v>3.5755204396269034</v>
      </c>
      <c r="H611" s="1897">
        <v>4.1040523797145134</v>
      </c>
      <c r="I611" s="1897">
        <v>4.1040523797145134</v>
      </c>
      <c r="J611" s="1897">
        <v>4.1040523797145134</v>
      </c>
      <c r="K611" s="1897">
        <v>4.1040523797145134</v>
      </c>
      <c r="L611" s="1897">
        <v>4.1040523797145134</v>
      </c>
      <c r="M611" s="6"/>
    </row>
    <row r="612" spans="2:16" ht="15" customHeight="1">
      <c r="B612" s="1921"/>
      <c r="C612" s="50"/>
      <c r="D612" s="219" t="s">
        <v>513</v>
      </c>
      <c r="E612" s="1898" cm="1">
        <f t="array" ref="E612:L612">_xlfn.ANCHORARRAY(E842)</f>
        <v>1.3939671872787258</v>
      </c>
      <c r="F612" s="1897">
        <v>1.3939671872787258</v>
      </c>
      <c r="G612" s="1897">
        <v>1.6158966892213547</v>
      </c>
      <c r="H612" s="1897">
        <v>1.8364633744094923</v>
      </c>
      <c r="I612" s="1897">
        <v>1.8364633744094923</v>
      </c>
      <c r="J612" s="1897">
        <v>1.8364633744094923</v>
      </c>
      <c r="K612" s="1897">
        <v>1.8364633744094923</v>
      </c>
      <c r="L612" s="1897">
        <v>1.8364633744094923</v>
      </c>
      <c r="M612" s="6"/>
    </row>
    <row r="613" spans="2:16" ht="15" customHeight="1">
      <c r="B613" s="1921"/>
      <c r="C613" s="50"/>
      <c r="D613" s="219" t="s">
        <v>503</v>
      </c>
      <c r="E613" s="1898" cm="1">
        <f t="array" ref="E613:L613">_xlfn.ANCHORARRAY(E843)</f>
        <v>5.7425946232148384E-3</v>
      </c>
      <c r="F613" s="1897">
        <v>5.7425946232148384E-3</v>
      </c>
      <c r="G613" s="1897">
        <v>6.7557628006882668E-3</v>
      </c>
      <c r="H613" s="1897">
        <v>7.7485771141952275E-3</v>
      </c>
      <c r="I613" s="1897">
        <v>7.7485771141952275E-3</v>
      </c>
      <c r="J613" s="1897">
        <v>7.7485771141952275E-3</v>
      </c>
      <c r="K613" s="1897">
        <v>7.7485771141952275E-3</v>
      </c>
      <c r="L613" s="1897">
        <v>7.7485771141952275E-3</v>
      </c>
      <c r="M613" s="6"/>
    </row>
    <row r="614" spans="2:16" ht="15" customHeight="1">
      <c r="B614" s="1921"/>
      <c r="C614" s="50"/>
      <c r="D614" s="219" t="s">
        <v>525</v>
      </c>
      <c r="E614" s="1898" cm="1">
        <f t="array" ref="E614:L614">_xlfn.ANCHORARRAY(E844)</f>
        <v>1.8935426146883107E-3</v>
      </c>
      <c r="F614" s="1897">
        <v>1.8935426146883107E-3</v>
      </c>
      <c r="G614" s="1897">
        <v>2.1840648529522525E-3</v>
      </c>
      <c r="H614" s="1897">
        <v>2.4791418968138248E-3</v>
      </c>
      <c r="I614" s="1897">
        <v>2.4791418968138248E-3</v>
      </c>
      <c r="J614" s="1897">
        <v>2.4791418968138248E-3</v>
      </c>
      <c r="K614" s="1897">
        <v>2.4791418968138248E-3</v>
      </c>
      <c r="L614" s="1897">
        <v>2.4791418968138248E-3</v>
      </c>
      <c r="M614" s="6"/>
    </row>
    <row r="615" spans="2:16" ht="15" customHeight="1">
      <c r="B615" s="1921"/>
      <c r="C615" s="50"/>
      <c r="D615" s="219" t="s">
        <v>487</v>
      </c>
      <c r="E615" s="1898" cm="1">
        <f t="array" ref="E615:L615">_xlfn.ANCHORARRAY(E845)</f>
        <v>6.6384558932856039E-2</v>
      </c>
      <c r="F615" s="1897">
        <v>6.6384558932856039E-2</v>
      </c>
      <c r="G615" s="1897">
        <v>8.3774779479416694E-2</v>
      </c>
      <c r="H615" s="1897">
        <v>9.8059826526205401E-2</v>
      </c>
      <c r="I615" s="1897">
        <v>9.8059826526205401E-2</v>
      </c>
      <c r="J615" s="1897">
        <v>9.8059826526205401E-2</v>
      </c>
      <c r="K615" s="1897">
        <v>9.8059826526205401E-2</v>
      </c>
      <c r="L615" s="1897">
        <v>9.8059826526205401E-2</v>
      </c>
      <c r="M615" s="6"/>
      <c r="P615" s="2028"/>
    </row>
    <row r="616" spans="2:16" ht="15" customHeight="1">
      <c r="B616" s="186"/>
      <c r="C616" s="50"/>
      <c r="D616" s="219" t="s">
        <v>494</v>
      </c>
      <c r="E616" s="2101" cm="1">
        <f t="array" ref="E616:L616">_xlfn.ANCHORARRAY(E846)</f>
        <v>3.4012841742838877E-3</v>
      </c>
      <c r="F616" s="1897">
        <v>3.4012841742838877E-3</v>
      </c>
      <c r="G616" s="1897">
        <v>3.9178469702047464E-3</v>
      </c>
      <c r="H616" s="1897">
        <v>4.4411586881671541E-3</v>
      </c>
      <c r="I616" s="1897">
        <v>4.4411586881671541E-3</v>
      </c>
      <c r="J616" s="1897">
        <v>4.4411586881671541E-3</v>
      </c>
      <c r="K616" s="1897">
        <v>4.4411586881671541E-3</v>
      </c>
      <c r="L616" s="1897">
        <v>4.4411586881671541E-3</v>
      </c>
      <c r="M616" s="6"/>
      <c r="O616" s="3"/>
    </row>
    <row r="617" spans="2:16" ht="15" customHeight="1">
      <c r="B617" s="186"/>
      <c r="C617" s="50"/>
      <c r="D617" s="219" t="s">
        <v>526</v>
      </c>
      <c r="E617" s="1898" cm="1">
        <f t="array" ref="E617:L617">_xlfn.ANCHORARRAY(E847)</f>
        <v>5.8400840681814919E-2</v>
      </c>
      <c r="F617" s="1897">
        <v>5.8400840681814919E-2</v>
      </c>
      <c r="G617" s="1897">
        <v>6.7410127784899271E-2</v>
      </c>
      <c r="H617" s="1897">
        <v>7.6573159319550041E-2</v>
      </c>
      <c r="I617" s="1897">
        <v>7.6573159319550041E-2</v>
      </c>
      <c r="J617" s="1897">
        <v>7.6573159319550041E-2</v>
      </c>
      <c r="K617" s="1897">
        <v>7.6573159319550041E-2</v>
      </c>
      <c r="L617" s="1897">
        <v>7.6573159319550041E-2</v>
      </c>
      <c r="M617" s="6"/>
      <c r="O617" s="3"/>
    </row>
    <row r="618" spans="2:16" ht="15" customHeight="1">
      <c r="B618" s="186"/>
      <c r="C618" s="50"/>
      <c r="D618" s="219" t="s">
        <v>506</v>
      </c>
      <c r="E618" s="1898" cm="1">
        <f t="array" ref="E618:L618">_xlfn.ANCHORARRAY(E848)</f>
        <v>3.2745827768498084E-4</v>
      </c>
      <c r="F618" s="1897">
        <v>3.2745827768498084E-4</v>
      </c>
      <c r="G618" s="1897">
        <v>3.7927419924242028E-4</v>
      </c>
      <c r="H618" s="1897">
        <v>4.3230434632727204E-4</v>
      </c>
      <c r="I618" s="1897">
        <v>4.3230434632727204E-4</v>
      </c>
      <c r="J618" s="1897">
        <v>4.3230434632727204E-4</v>
      </c>
      <c r="K618" s="1897">
        <v>4.3230434632727204E-4</v>
      </c>
      <c r="L618" s="1897">
        <v>4.3230434632727204E-4</v>
      </c>
      <c r="M618" s="6"/>
      <c r="O618" s="3"/>
    </row>
    <row r="619" spans="2:16" ht="15" customHeight="1">
      <c r="B619" s="186"/>
      <c r="C619" s="50"/>
      <c r="D619" s="219" t="s">
        <v>507</v>
      </c>
      <c r="E619" s="1898" cm="1">
        <f t="array" ref="E619:L619">_xlfn.ANCHORARRAY(E849)</f>
        <v>6.2257033987857587E-3</v>
      </c>
      <c r="F619" s="1897">
        <v>6.2257033987857587E-3</v>
      </c>
      <c r="G619" s="1897">
        <v>7.206409873470189E-3</v>
      </c>
      <c r="H619" s="1897">
        <v>8.2090019179727608E-3</v>
      </c>
      <c r="I619" s="1897">
        <v>8.2090019179727608E-3</v>
      </c>
      <c r="J619" s="1897">
        <v>8.2090019179727608E-3</v>
      </c>
      <c r="K619" s="1897">
        <v>8.2090019179727608E-3</v>
      </c>
      <c r="L619" s="1897">
        <v>8.2090019179727608E-3</v>
      </c>
      <c r="M619" s="6"/>
      <c r="O619" s="3"/>
    </row>
    <row r="620" spans="2:16" ht="15" customHeight="1">
      <c r="B620" s="186"/>
      <c r="C620" s="50"/>
      <c r="D620" s="219" t="s">
        <v>570</v>
      </c>
      <c r="E620" s="1898" cm="1">
        <f t="array" ref="E620:L620">_xlfn.ANCHORARRAY(E850)</f>
        <v>9.2019043913900769E-3</v>
      </c>
      <c r="F620" s="1897">
        <v>9.2019043913900769E-3</v>
      </c>
      <c r="G620" s="1897">
        <v>1.0608035897525511E-2</v>
      </c>
      <c r="H620" s="1897">
        <v>1.2034758811311407E-2</v>
      </c>
      <c r="I620" s="1897">
        <v>1.2034758811311407E-2</v>
      </c>
      <c r="J620" s="1897">
        <v>1.2034758811311407E-2</v>
      </c>
      <c r="K620" s="1897">
        <v>1.2034758811311407E-2</v>
      </c>
      <c r="L620" s="1897">
        <v>1.2034758811311407E-2</v>
      </c>
      <c r="M620" s="6"/>
      <c r="O620" s="3"/>
    </row>
    <row r="621" spans="2:16" ht="15" customHeight="1">
      <c r="B621" s="186"/>
      <c r="C621" s="50"/>
      <c r="D621" s="219" t="s">
        <v>498</v>
      </c>
      <c r="E621" s="1898" cm="1">
        <f t="array" ref="E621:L621">_xlfn.ANCHORARRAY(E851)</f>
        <v>1.7322703076441241E-2</v>
      </c>
      <c r="F621" s="1897">
        <v>1.7322703076441241E-2</v>
      </c>
      <c r="G621" s="1897">
        <v>1.9960626015659177E-2</v>
      </c>
      <c r="H621" s="1897">
        <v>2.263483738254566E-2</v>
      </c>
      <c r="I621" s="1897">
        <v>2.263483738254566E-2</v>
      </c>
      <c r="J621" s="1897">
        <v>2.263483738254566E-2</v>
      </c>
      <c r="K621" s="1897">
        <v>2.263483738254566E-2</v>
      </c>
      <c r="L621" s="1897">
        <v>2.263483738254566E-2</v>
      </c>
      <c r="M621" s="6"/>
      <c r="O621" s="3"/>
    </row>
    <row r="622" spans="2:16" ht="15" customHeight="1">
      <c r="B622" s="186"/>
      <c r="C622" s="50"/>
      <c r="D622" s="219" t="s">
        <v>502</v>
      </c>
      <c r="E622" s="1898" cm="1">
        <f t="array" ref="E622:L622">_xlfn.ANCHORARRAY(E852)</f>
        <v>8.2546702476781963E-5</v>
      </c>
      <c r="F622" s="1897">
        <v>8.2546702476781963E-5</v>
      </c>
      <c r="G622" s="1897">
        <v>9.5409726028145272E-5</v>
      </c>
      <c r="H622" s="1897">
        <v>1.0852495961757469E-4</v>
      </c>
      <c r="I622" s="1897">
        <v>1.0852495961757469E-4</v>
      </c>
      <c r="J622" s="1897">
        <v>1.0852495961757469E-4</v>
      </c>
      <c r="K622" s="1897">
        <v>1.0852495961757469E-4</v>
      </c>
      <c r="L622" s="1897">
        <v>1.0852495961757469E-4</v>
      </c>
      <c r="M622" s="6"/>
      <c r="O622" s="3"/>
    </row>
    <row r="623" spans="2:16" ht="15" customHeight="1">
      <c r="B623" s="186"/>
      <c r="C623" s="50"/>
      <c r="D623" s="219" t="s">
        <v>571</v>
      </c>
      <c r="E623" s="1898" cm="1">
        <f t="array" ref="E623:L623">_xlfn.ANCHORARRAY(E853)</f>
        <v>1.1105359253796188</v>
      </c>
      <c r="F623" s="1897">
        <v>1.1105359253796188</v>
      </c>
      <c r="G623" s="1897">
        <v>1.2779400846760602</v>
      </c>
      <c r="H623" s="1897">
        <v>1.4472075486028639</v>
      </c>
      <c r="I623" s="1897">
        <v>1.4472075486028639</v>
      </c>
      <c r="J623" s="1897">
        <v>1.4472075486028639</v>
      </c>
      <c r="K623" s="1897">
        <v>1.4472075486028639</v>
      </c>
      <c r="L623" s="1897">
        <v>1.4472075486028639</v>
      </c>
      <c r="M623" s="6"/>
      <c r="O623" s="3"/>
    </row>
    <row r="624" spans="2:16" ht="15" customHeight="1">
      <c r="B624" s="186"/>
      <c r="C624" s="50"/>
      <c r="D624" s="219" t="s">
        <v>1878</v>
      </c>
      <c r="E624" s="1898" cm="1">
        <f t="array" ref="E624:L624">_xlfn.ANCHORARRAY(E854)</f>
        <v>0</v>
      </c>
      <c r="F624" s="1897">
        <v>0</v>
      </c>
      <c r="G624" s="1897">
        <v>0</v>
      </c>
      <c r="H624" s="1897">
        <v>0</v>
      </c>
      <c r="I624" s="1897">
        <v>0</v>
      </c>
      <c r="J624" s="1897">
        <v>0</v>
      </c>
      <c r="K624" s="1897">
        <v>0</v>
      </c>
      <c r="L624" s="1897">
        <v>0</v>
      </c>
      <c r="M624" s="6"/>
      <c r="O624" s="3"/>
    </row>
    <row r="625" spans="2:16" ht="15" customHeight="1">
      <c r="B625" s="186"/>
      <c r="C625" s="50"/>
      <c r="D625" s="219" t="s">
        <v>549</v>
      </c>
      <c r="E625" s="1898" cm="1">
        <f t="array" ref="E625:L625">_xlfn.ANCHORARRAY(E855)</f>
        <v>0</v>
      </c>
      <c r="F625" s="1897">
        <v>0</v>
      </c>
      <c r="G625" s="1897">
        <v>0</v>
      </c>
      <c r="H625" s="1897">
        <v>0</v>
      </c>
      <c r="I625" s="1897">
        <v>0</v>
      </c>
      <c r="J625" s="1897">
        <v>0</v>
      </c>
      <c r="K625" s="1897">
        <v>0</v>
      </c>
      <c r="L625" s="1897">
        <v>0</v>
      </c>
      <c r="M625" s="6"/>
      <c r="O625" s="3"/>
    </row>
    <row r="626" spans="2:16" ht="15" customHeight="1">
      <c r="B626" s="186"/>
      <c r="C626" s="50"/>
      <c r="D626" s="219" t="s">
        <v>572</v>
      </c>
      <c r="E626" s="1898" cm="1">
        <f t="array" ref="E626:L626">_xlfn.ANCHORARRAY(E856)</f>
        <v>0</v>
      </c>
      <c r="F626" s="1497">
        <v>0</v>
      </c>
      <c r="G626" s="1498">
        <v>0</v>
      </c>
      <c r="H626" s="1498">
        <v>0</v>
      </c>
      <c r="I626" s="1498">
        <v>0</v>
      </c>
      <c r="J626" s="1498">
        <v>0</v>
      </c>
      <c r="K626" s="1498">
        <v>0</v>
      </c>
      <c r="L626" s="1498">
        <v>0</v>
      </c>
      <c r="M626" s="6"/>
      <c r="O626" s="3"/>
    </row>
    <row r="627" spans="2:16" ht="15" customHeight="1">
      <c r="B627" s="186"/>
      <c r="C627" s="50"/>
      <c r="D627" s="1939" t="s">
        <v>338</v>
      </c>
      <c r="E627" s="1987">
        <f t="shared" ref="E627:L627" si="33">SUM(E610:E626)</f>
        <v>6.9934809170298635</v>
      </c>
      <c r="F627" s="1987">
        <f t="shared" si="33"/>
        <v>6.9934809170298635</v>
      </c>
      <c r="G627" s="1987">
        <f t="shared" si="33"/>
        <v>8.1841726687693015</v>
      </c>
      <c r="H627" s="1987">
        <f t="shared" si="33"/>
        <v>9.3352083392892631</v>
      </c>
      <c r="I627" s="1987">
        <f t="shared" si="33"/>
        <v>9.3352083392892631</v>
      </c>
      <c r="J627" s="1987">
        <f t="shared" si="33"/>
        <v>9.3352083392892631</v>
      </c>
      <c r="K627" s="1987">
        <f t="shared" si="33"/>
        <v>9.3352083392892631</v>
      </c>
      <c r="L627" s="1987">
        <f t="shared" si="33"/>
        <v>9.3352083392892631</v>
      </c>
      <c r="M627" s="6"/>
      <c r="O627" s="3"/>
    </row>
    <row r="628" spans="2:16" ht="15" customHeight="1">
      <c r="B628" s="186"/>
      <c r="C628" s="50"/>
      <c r="D628" s="50"/>
      <c r="E628" s="50"/>
      <c r="F628" s="50"/>
      <c r="G628" s="50"/>
      <c r="H628" s="50"/>
      <c r="I628" s="50"/>
      <c r="J628" s="50"/>
      <c r="K628" s="50"/>
      <c r="L628" s="50"/>
      <c r="M628" s="6"/>
      <c r="O628" s="3"/>
    </row>
    <row r="629" spans="2:16" ht="15" customHeight="1">
      <c r="B629" s="186"/>
      <c r="C629" s="50"/>
      <c r="D629" s="48" t="s">
        <v>1879</v>
      </c>
      <c r="E629" s="48"/>
      <c r="F629" s="48"/>
      <c r="G629" s="48"/>
      <c r="H629" s="48"/>
      <c r="I629" s="48"/>
      <c r="J629" s="48"/>
      <c r="K629" s="48"/>
      <c r="L629" s="48"/>
      <c r="M629" s="50"/>
      <c r="O629" s="3"/>
    </row>
    <row r="630" spans="2:16" ht="15" customHeight="1">
      <c r="B630" s="186"/>
      <c r="C630" s="50"/>
      <c r="D630" s="6"/>
      <c r="E630" s="6"/>
      <c r="F630" s="6"/>
      <c r="G630" s="6"/>
      <c r="H630" s="6"/>
      <c r="I630" s="6"/>
      <c r="J630" s="6"/>
      <c r="K630" s="6"/>
      <c r="L630" s="214" t="s">
        <v>9</v>
      </c>
      <c r="M630" s="6"/>
      <c r="O630" s="3"/>
    </row>
    <row r="631" spans="2:16" ht="15" customHeight="1">
      <c r="B631" s="186"/>
      <c r="C631" s="50"/>
      <c r="D631" s="1938" t="s">
        <v>699</v>
      </c>
      <c r="E631" s="1899">
        <v>2018</v>
      </c>
      <c r="F631" s="1899" t="s">
        <v>322</v>
      </c>
      <c r="G631" s="1899" t="s">
        <v>323</v>
      </c>
      <c r="H631" s="1899" t="s">
        <v>324</v>
      </c>
      <c r="I631" s="1899" t="s">
        <v>325</v>
      </c>
      <c r="J631" s="1899" t="s">
        <v>326</v>
      </c>
      <c r="K631" s="1899" t="s">
        <v>327</v>
      </c>
      <c r="L631" s="1899" t="s">
        <v>328</v>
      </c>
      <c r="M631" s="6"/>
      <c r="O631" s="3"/>
    </row>
    <row r="632" spans="2:16" ht="15" customHeight="1">
      <c r="B632" s="186"/>
      <c r="C632" s="50"/>
      <c r="D632" s="219" t="s">
        <v>504</v>
      </c>
      <c r="E632" s="1900" cm="1">
        <f t="array" ref="E632:L632">_xlfn.ANCHORARRAY(F1164)+_xlfn.ANCHORARRAY(F1173)+_xlfn.ANCHORARRAY(F1182)+_xlfn.ANCHORARRAY(F1192)+_xlfn.ANCHORARRAY(F1201)+_xlfn.ANCHORARRAY(F1210)+_xlfn.ANCHORARRAY(F1219)+_xlfn.ANCHORARRAY(F1228)</f>
        <v>0.10202056965</v>
      </c>
      <c r="F632" s="1900">
        <v>0.10202056965</v>
      </c>
      <c r="G632" s="1900">
        <v>0.10202056965</v>
      </c>
      <c r="H632" s="1900">
        <v>0.10202056965</v>
      </c>
      <c r="I632" s="1900">
        <v>0.10202056965</v>
      </c>
      <c r="J632" s="1900">
        <v>0.10202056965</v>
      </c>
      <c r="K632" s="1900">
        <v>0.10202056965</v>
      </c>
      <c r="L632" s="1900">
        <v>0.10202056965</v>
      </c>
      <c r="M632" s="6"/>
      <c r="O632" s="3"/>
    </row>
    <row r="633" spans="2:16" ht="15" customHeight="1">
      <c r="B633" s="186"/>
      <c r="C633" s="50"/>
      <c r="D633" s="219" t="s">
        <v>569</v>
      </c>
      <c r="E633" s="1900" cm="1">
        <f t="array" ref="E633:L633">_xlfn.ANCHORARRAY(F1165)+_xlfn.ANCHORARRAY(F1174)+_xlfn.ANCHORARRAY(F1183)+_xlfn.ANCHORARRAY(F1193)+_xlfn.ANCHORARRAY(F1202)+_xlfn.ANCHORARRAY(F1211)+_xlfn.ANCHORARRAY(F1220)+_xlfn.ANCHORARRAY(F1229)</f>
        <v>4.3208975764800005E-2</v>
      </c>
      <c r="F633" s="1900">
        <v>4.3208975764800005E-2</v>
      </c>
      <c r="G633" s="1900">
        <v>4.3208975764800005E-2</v>
      </c>
      <c r="H633" s="1900">
        <v>4.3208975764800005E-2</v>
      </c>
      <c r="I633" s="1900">
        <v>4.3208975764800005E-2</v>
      </c>
      <c r="J633" s="1900">
        <v>4.3208975764800005E-2</v>
      </c>
      <c r="K633" s="1900">
        <v>4.3208975764800005E-2</v>
      </c>
      <c r="L633" s="1900">
        <v>4.3208975764800005E-2</v>
      </c>
      <c r="M633" s="6"/>
      <c r="O633" s="3"/>
    </row>
    <row r="634" spans="2:16" ht="15" customHeight="1">
      <c r="B634" s="186"/>
      <c r="C634" s="50"/>
      <c r="D634" s="219" t="s">
        <v>513</v>
      </c>
      <c r="E634" s="1900" cm="1">
        <f t="array" ref="E634:L634">_xlfn.ANCHORARRAY(F1166)+_xlfn.ANCHORARRAY(F1175)+_xlfn.ANCHORARRAY(F1184)+_xlfn.ANCHORARRAY(F1194)+_xlfn.ANCHORARRAY(F1203)+_xlfn.ANCHORARRAY(F1212)+_xlfn.ANCHORARRAY(F1221)+_xlfn.ANCHORARRAY(F1230)</f>
        <v>6.9719500508400006E-2</v>
      </c>
      <c r="F634" s="1900">
        <v>6.9719500508400006E-2</v>
      </c>
      <c r="G634" s="1900">
        <v>6.9719500508400006E-2</v>
      </c>
      <c r="H634" s="1900">
        <v>6.9719500508400006E-2</v>
      </c>
      <c r="I634" s="1900">
        <v>6.9719500508400006E-2</v>
      </c>
      <c r="J634" s="1900">
        <v>6.9719500508400006E-2</v>
      </c>
      <c r="K634" s="1900">
        <v>6.9719500508400006E-2</v>
      </c>
      <c r="L634" s="1900">
        <v>6.9719500508400006E-2</v>
      </c>
      <c r="M634" s="6"/>
      <c r="O634" s="3"/>
      <c r="P634" s="2987"/>
    </row>
    <row r="635" spans="2:16" ht="15" customHeight="1">
      <c r="B635" s="186"/>
      <c r="C635" s="50"/>
      <c r="D635" s="219" t="s">
        <v>503</v>
      </c>
      <c r="E635" s="1900">
        <v>0</v>
      </c>
      <c r="F635" s="1900">
        <v>0</v>
      </c>
      <c r="G635" s="1900">
        <v>0</v>
      </c>
      <c r="H635" s="1900">
        <v>0</v>
      </c>
      <c r="I635" s="1900">
        <v>0</v>
      </c>
      <c r="J635" s="1900">
        <v>0</v>
      </c>
      <c r="K635" s="1900">
        <v>0</v>
      </c>
      <c r="L635" s="1900">
        <v>0</v>
      </c>
      <c r="M635" s="6"/>
      <c r="O635" s="3"/>
    </row>
    <row r="636" spans="2:16" ht="15" customHeight="1">
      <c r="B636" s="1902"/>
      <c r="C636" s="50"/>
      <c r="D636" s="219" t="s">
        <v>525</v>
      </c>
      <c r="E636" s="1900">
        <v>0</v>
      </c>
      <c r="F636" s="1900">
        <v>0</v>
      </c>
      <c r="G636" s="1900">
        <v>0</v>
      </c>
      <c r="H636" s="1900">
        <v>0</v>
      </c>
      <c r="I636" s="1900">
        <v>0</v>
      </c>
      <c r="J636" s="1900">
        <v>0</v>
      </c>
      <c r="K636" s="1900">
        <v>0</v>
      </c>
      <c r="L636" s="1900">
        <v>0</v>
      </c>
      <c r="M636" s="6"/>
      <c r="O636" s="3"/>
    </row>
    <row r="637" spans="2:16" ht="15" customHeight="1">
      <c r="B637" s="1902"/>
      <c r="C637" s="50"/>
      <c r="D637" s="219" t="s">
        <v>487</v>
      </c>
      <c r="E637" s="1900">
        <v>0</v>
      </c>
      <c r="F637" s="1900">
        <v>0</v>
      </c>
      <c r="G637" s="1900">
        <v>0</v>
      </c>
      <c r="H637" s="1900">
        <v>0</v>
      </c>
      <c r="I637" s="1900">
        <v>0</v>
      </c>
      <c r="J637" s="1900">
        <v>0</v>
      </c>
      <c r="K637" s="1900">
        <v>0</v>
      </c>
      <c r="L637" s="1900">
        <v>0</v>
      </c>
      <c r="M637" s="6"/>
      <c r="O637" s="3"/>
    </row>
    <row r="638" spans="2:16" ht="15" customHeight="1">
      <c r="B638" s="1940"/>
      <c r="C638" s="50"/>
      <c r="D638" s="219" t="s">
        <v>494</v>
      </c>
      <c r="E638" s="1900">
        <v>0</v>
      </c>
      <c r="F638" s="1900">
        <v>0</v>
      </c>
      <c r="G638" s="1900">
        <v>0</v>
      </c>
      <c r="H638" s="1900">
        <v>0</v>
      </c>
      <c r="I638" s="1900">
        <v>0</v>
      </c>
      <c r="J638" s="1900">
        <v>0</v>
      </c>
      <c r="K638" s="1900">
        <v>0</v>
      </c>
      <c r="L638" s="1900">
        <v>0</v>
      </c>
      <c r="M638" s="6"/>
      <c r="O638" s="3"/>
    </row>
    <row r="639" spans="2:16" ht="15" customHeight="1">
      <c r="B639" s="1940"/>
      <c r="C639" s="50"/>
      <c r="D639" s="219" t="s">
        <v>526</v>
      </c>
      <c r="E639" s="1901" cm="1">
        <f t="array" ref="E639:L639">_xlfn.ANCHORARRAY(F1167)+_xlfn.ANCHORARRAY(F1176)+_xlfn.ANCHORARRAY(F1185)+_xlfn.ANCHORARRAY(F1195)+_xlfn.ANCHORARRAY(F1204)+_xlfn.ANCHORARRAY(F1213)+_xlfn.ANCHORARRAY(F1222)+_xlfn.ANCHORARRAY(F1231)</f>
        <v>4.2461094413793078E-3</v>
      </c>
      <c r="F639" s="1900">
        <v>4.2461094413793078E-3</v>
      </c>
      <c r="G639" s="1900">
        <v>4.2461094413793078E-3</v>
      </c>
      <c r="H639" s="1900">
        <v>4.2461094413793078E-3</v>
      </c>
      <c r="I639" s="1900">
        <v>4.2461094413793078E-3</v>
      </c>
      <c r="J639" s="1900">
        <v>4.2461094413793078E-3</v>
      </c>
      <c r="K639" s="1900">
        <v>4.2461094413793078E-3</v>
      </c>
      <c r="L639" s="1900">
        <v>4.2461094413793078E-3</v>
      </c>
      <c r="M639" s="6"/>
    </row>
    <row r="640" spans="2:16" ht="15" customHeight="1">
      <c r="B640" s="1940"/>
      <c r="C640" s="50"/>
      <c r="D640" s="219" t="s">
        <v>506</v>
      </c>
      <c r="E640" s="1900">
        <v>0</v>
      </c>
      <c r="F640" s="1900">
        <v>0</v>
      </c>
      <c r="G640" s="1900">
        <v>0</v>
      </c>
      <c r="H640" s="1900">
        <v>0</v>
      </c>
      <c r="I640" s="1900">
        <v>0</v>
      </c>
      <c r="J640" s="1900">
        <v>0</v>
      </c>
      <c r="K640" s="1900">
        <v>0</v>
      </c>
      <c r="L640" s="1900">
        <v>0</v>
      </c>
      <c r="M640" s="6"/>
    </row>
    <row r="641" spans="2:13" ht="15" customHeight="1">
      <c r="B641" s="1940"/>
      <c r="C641" s="50"/>
      <c r="D641" s="219" t="s">
        <v>507</v>
      </c>
      <c r="E641" s="1900">
        <v>0</v>
      </c>
      <c r="F641" s="1900">
        <v>0</v>
      </c>
      <c r="G641" s="1900">
        <v>0</v>
      </c>
      <c r="H641" s="1900">
        <v>0</v>
      </c>
      <c r="I641" s="1900">
        <v>0</v>
      </c>
      <c r="J641" s="1900">
        <v>0</v>
      </c>
      <c r="K641" s="1900">
        <v>0</v>
      </c>
      <c r="L641" s="1900">
        <v>0</v>
      </c>
      <c r="M641" s="6"/>
    </row>
    <row r="642" spans="2:13" ht="15" customHeight="1">
      <c r="B642" s="1940"/>
      <c r="C642" s="50"/>
      <c r="D642" s="219" t="s">
        <v>570</v>
      </c>
      <c r="E642" s="1901" cm="1">
        <f t="array" ref="E642:L642">_xlfn.ANCHORARRAY(F1169)+_xlfn.ANCHORARRAY(F1178)+_xlfn.ANCHORARRAY(F1187)+_xlfn.ANCHORARRAY(F1197)+_xlfn.ANCHORARRAY(F1206)+_xlfn.ANCHORARRAY(F1215)+_xlfn.ANCHORARRAY(F1224)+_xlfn.ANCHORARRAY(F1233)</f>
        <v>6.4005891517241343E-4</v>
      </c>
      <c r="F642" s="1900">
        <v>6.4005891517241343E-4</v>
      </c>
      <c r="G642" s="1900">
        <v>6.4005891517241343E-4</v>
      </c>
      <c r="H642" s="1900">
        <v>6.4005891517241343E-4</v>
      </c>
      <c r="I642" s="1900">
        <v>6.4005891517241343E-4</v>
      </c>
      <c r="J642" s="1900">
        <v>6.4005891517241343E-4</v>
      </c>
      <c r="K642" s="1900">
        <v>6.4005891517241343E-4</v>
      </c>
      <c r="L642" s="1900">
        <v>6.4005891517241343E-4</v>
      </c>
      <c r="M642" s="6"/>
    </row>
    <row r="643" spans="2:13" ht="15" customHeight="1">
      <c r="B643" s="1940"/>
      <c r="C643" s="50"/>
      <c r="D643" s="219" t="s">
        <v>498</v>
      </c>
      <c r="E643" s="1900">
        <v>0</v>
      </c>
      <c r="F643" s="1900">
        <v>0</v>
      </c>
      <c r="G643" s="1900">
        <v>0</v>
      </c>
      <c r="H643" s="1900">
        <v>0</v>
      </c>
      <c r="I643" s="1900">
        <v>0</v>
      </c>
      <c r="J643" s="1900">
        <v>0</v>
      </c>
      <c r="K643" s="1900">
        <v>0</v>
      </c>
      <c r="L643" s="1900">
        <v>0</v>
      </c>
      <c r="M643" s="6"/>
    </row>
    <row r="644" spans="2:13" ht="15" customHeight="1">
      <c r="B644" s="1940"/>
      <c r="C644" s="50"/>
      <c r="D644" s="219" t="s">
        <v>502</v>
      </c>
      <c r="E644" s="1900">
        <v>0</v>
      </c>
      <c r="F644" s="1900">
        <v>0</v>
      </c>
      <c r="G644" s="1900">
        <v>0</v>
      </c>
      <c r="H644" s="1900">
        <v>0</v>
      </c>
      <c r="I644" s="1900">
        <v>0</v>
      </c>
      <c r="J644" s="1900">
        <v>0</v>
      </c>
      <c r="K644" s="1900">
        <v>0</v>
      </c>
      <c r="L644" s="1900">
        <v>0</v>
      </c>
      <c r="M644" s="6"/>
    </row>
    <row r="645" spans="2:13" ht="15" customHeight="1">
      <c r="B645" s="1940"/>
      <c r="C645" s="50"/>
      <c r="D645" s="219" t="s">
        <v>571</v>
      </c>
      <c r="E645" s="1900">
        <v>0</v>
      </c>
      <c r="F645" s="1900">
        <v>0</v>
      </c>
      <c r="G645" s="1900">
        <v>0</v>
      </c>
      <c r="H645" s="1900">
        <v>0</v>
      </c>
      <c r="I645" s="1900">
        <v>0</v>
      </c>
      <c r="J645" s="1900">
        <v>0</v>
      </c>
      <c r="K645" s="1900">
        <v>0</v>
      </c>
      <c r="L645" s="1900">
        <v>0</v>
      </c>
      <c r="M645" s="6"/>
    </row>
    <row r="646" spans="2:13" ht="15" customHeight="1">
      <c r="B646" s="1940"/>
      <c r="C646" s="50"/>
      <c r="D646" s="219" t="s">
        <v>1878</v>
      </c>
      <c r="E646" s="1901" cm="1">
        <f t="array" ref="E646:L646">_xlfn.ANCHORARRAY(F1168)+_xlfn.ANCHORARRAY(F1177)+_xlfn.ANCHORARRAY(F1186)+_xlfn.ANCHORARRAY(F1196)+_xlfn.ANCHORARRAY(F1205)+_xlfn.ANCHORARRAY(F1214)+_xlfn.ANCHORARRAY(F1223)+_xlfn.ANCHORARRAY(F1232)</f>
        <v>3.3875259827586181E-3</v>
      </c>
      <c r="F646" s="1900">
        <v>3.3875259827586181E-3</v>
      </c>
      <c r="G646" s="1900">
        <v>3.3875259827586181E-3</v>
      </c>
      <c r="H646" s="1900">
        <v>3.3875259827586181E-3</v>
      </c>
      <c r="I646" s="1900">
        <v>3.3875259827586181E-3</v>
      </c>
      <c r="J646" s="1900">
        <v>3.3875259827586181E-3</v>
      </c>
      <c r="K646" s="1900">
        <v>3.3875259827586181E-3</v>
      </c>
      <c r="L646" s="1900">
        <v>3.3875259827586181E-3</v>
      </c>
      <c r="M646" s="6"/>
    </row>
    <row r="647" spans="2:13" ht="15" customHeight="1">
      <c r="B647" s="1940"/>
      <c r="C647" s="50"/>
      <c r="D647" s="219" t="s">
        <v>549</v>
      </c>
      <c r="E647" s="1900">
        <v>0</v>
      </c>
      <c r="F647" s="1900">
        <v>0</v>
      </c>
      <c r="G647" s="1900">
        <v>0</v>
      </c>
      <c r="H647" s="1900">
        <v>0</v>
      </c>
      <c r="I647" s="1900">
        <v>0</v>
      </c>
      <c r="J647" s="1900">
        <v>0</v>
      </c>
      <c r="K647" s="1900">
        <v>0</v>
      </c>
      <c r="L647" s="1900">
        <v>0</v>
      </c>
      <c r="M647" s="6"/>
    </row>
    <row r="648" spans="2:13" ht="15" customHeight="1">
      <c r="B648" s="186"/>
      <c r="C648" s="50"/>
      <c r="D648" s="219" t="s">
        <v>572</v>
      </c>
      <c r="E648" s="1900">
        <v>0</v>
      </c>
      <c r="F648" s="1900">
        <v>0</v>
      </c>
      <c r="G648" s="1900">
        <v>0</v>
      </c>
      <c r="H648" s="1900">
        <v>0</v>
      </c>
      <c r="I648" s="1900">
        <v>0</v>
      </c>
      <c r="J648" s="1900">
        <v>0</v>
      </c>
      <c r="K648" s="1900">
        <v>0</v>
      </c>
      <c r="L648" s="1900">
        <v>0</v>
      </c>
      <c r="M648" s="6"/>
    </row>
    <row r="649" spans="2:13" ht="15" customHeight="1">
      <c r="B649" s="1902"/>
      <c r="C649" s="50"/>
      <c r="D649" s="2083" t="s">
        <v>338</v>
      </c>
      <c r="E649" s="2084">
        <f>SUM(E632:E648)</f>
        <v>0.22322274026251038</v>
      </c>
      <c r="F649" s="2084">
        <f t="shared" ref="F649:L649" si="34">SUM(F632:F648)</f>
        <v>0.22322274026251038</v>
      </c>
      <c r="G649" s="2084">
        <f t="shared" si="34"/>
        <v>0.22322274026251038</v>
      </c>
      <c r="H649" s="2084">
        <f t="shared" si="34"/>
        <v>0.22322274026251038</v>
      </c>
      <c r="I649" s="2084">
        <f t="shared" si="34"/>
        <v>0.22322274026251038</v>
      </c>
      <c r="J649" s="2084">
        <f t="shared" si="34"/>
        <v>0.22322274026251038</v>
      </c>
      <c r="K649" s="2084">
        <f t="shared" si="34"/>
        <v>0.22322274026251038</v>
      </c>
      <c r="L649" s="2084">
        <f t="shared" si="34"/>
        <v>0.22322274026251038</v>
      </c>
      <c r="M649" s="6"/>
    </row>
    <row r="650" spans="2:13" ht="15" customHeight="1">
      <c r="B650" s="1902"/>
      <c r="C650" s="50"/>
      <c r="D650" s="219"/>
      <c r="E650" s="1897"/>
      <c r="F650" s="1897"/>
      <c r="G650" s="1897"/>
      <c r="H650" s="1897"/>
      <c r="I650" s="1897"/>
      <c r="J650" s="1897"/>
      <c r="K650" s="1897"/>
      <c r="L650" s="1897"/>
      <c r="M650" s="6"/>
    </row>
    <row r="651" spans="2:13" ht="15" customHeight="1">
      <c r="B651" s="186"/>
      <c r="C651" s="50"/>
      <c r="D651" s="48" t="s">
        <v>1880</v>
      </c>
      <c r="E651" s="48"/>
      <c r="F651" s="48"/>
      <c r="G651" s="48"/>
      <c r="H651" s="48"/>
      <c r="I651" s="48"/>
      <c r="J651" s="48"/>
      <c r="K651" s="48"/>
      <c r="L651" s="48"/>
      <c r="M651" s="50"/>
    </row>
    <row r="652" spans="2:13" ht="15" customHeight="1">
      <c r="B652" s="186"/>
      <c r="C652" s="50"/>
      <c r="D652" s="6"/>
      <c r="E652" s="6"/>
      <c r="F652" s="6"/>
      <c r="G652" s="6"/>
      <c r="H652" s="6"/>
      <c r="I652" s="6"/>
      <c r="J652" s="6"/>
      <c r="K652" s="6"/>
      <c r="L652" s="214" t="s">
        <v>9</v>
      </c>
      <c r="M652" s="6"/>
    </row>
    <row r="653" spans="2:13" ht="15" customHeight="1">
      <c r="B653" s="186"/>
      <c r="C653" s="50"/>
      <c r="D653" s="1938" t="s">
        <v>699</v>
      </c>
      <c r="E653" s="1899">
        <v>2018</v>
      </c>
      <c r="F653" s="1899" t="s">
        <v>322</v>
      </c>
      <c r="G653" s="1899" t="s">
        <v>323</v>
      </c>
      <c r="H653" s="1899" t="s">
        <v>324</v>
      </c>
      <c r="I653" s="1899" t="s">
        <v>325</v>
      </c>
      <c r="J653" s="1899" t="s">
        <v>326</v>
      </c>
      <c r="K653" s="1899" t="s">
        <v>327</v>
      </c>
      <c r="L653" s="1899" t="s">
        <v>328</v>
      </c>
      <c r="M653" s="6"/>
    </row>
    <row r="654" spans="2:13" ht="15" customHeight="1">
      <c r="B654" s="186"/>
      <c r="C654" s="50"/>
      <c r="D654" s="219" t="s">
        <v>1881</v>
      </c>
      <c r="E654" s="1897" cm="1">
        <f t="array" ref="E654:L654">_xlfn.ANCHORARRAY(E610)-_xlfn.ANCHORARRAY(E632)-SALIDA_GENERACION_AGRO_CULTIVOS</f>
        <v>0.74246093042497097</v>
      </c>
      <c r="F654" s="1897">
        <v>0.74303205967541519</v>
      </c>
      <c r="G654" s="1897">
        <v>0.94684018031369432</v>
      </c>
      <c r="H654" s="1897">
        <v>1.1492919459223421</v>
      </c>
      <c r="I654" s="1897">
        <v>1.149502812194259</v>
      </c>
      <c r="J654" s="1897">
        <v>1.1497134074330506</v>
      </c>
      <c r="K654" s="1897">
        <v>1.1499237319870845</v>
      </c>
      <c r="L654" s="1897">
        <v>1.1501337862042809</v>
      </c>
      <c r="M654" s="6"/>
    </row>
    <row r="655" spans="2:13" ht="15" customHeight="1">
      <c r="B655" s="186"/>
      <c r="C655" s="50"/>
      <c r="D655" s="219" t="s">
        <v>569</v>
      </c>
      <c r="E655" s="1897" cm="1">
        <f t="array" ref="E655:L655">_xlfn.ANCHORARRAY(E611)-_xlfn.ANCHORARRAY(E633)</f>
        <v>2.9678592853414019</v>
      </c>
      <c r="F655" s="1897">
        <v>2.9678592853414019</v>
      </c>
      <c r="G655" s="1897">
        <v>3.5323114638621034</v>
      </c>
      <c r="H655" s="1897">
        <v>4.060843403949713</v>
      </c>
      <c r="I655" s="1897">
        <v>4.060843403949713</v>
      </c>
      <c r="J655" s="1897">
        <v>4.060843403949713</v>
      </c>
      <c r="K655" s="1897">
        <v>4.060843403949713</v>
      </c>
      <c r="L655" s="1897">
        <v>4.060843403949713</v>
      </c>
      <c r="M655" s="6"/>
    </row>
    <row r="656" spans="2:13" ht="15" customHeight="1">
      <c r="B656" s="186"/>
      <c r="C656" s="50"/>
      <c r="D656" s="219" t="s">
        <v>513</v>
      </c>
      <c r="E656" s="1897" cm="1">
        <f t="array" ref="E656:L656">_xlfn.ANCHORARRAY(E612)-_xlfn.ANCHORARRAY(E634)</f>
        <v>1.3242476867703259</v>
      </c>
      <c r="F656" s="1897">
        <v>1.3242476867703259</v>
      </c>
      <c r="G656" s="1897">
        <v>1.5461771887129547</v>
      </c>
      <c r="H656" s="1897">
        <v>1.7667438739010923</v>
      </c>
      <c r="I656" s="1897">
        <v>1.7667438739010923</v>
      </c>
      <c r="J656" s="1897">
        <v>1.7667438739010923</v>
      </c>
      <c r="K656" s="1897">
        <v>1.7667438739010923</v>
      </c>
      <c r="L656" s="1897">
        <v>1.7667438739010923</v>
      </c>
      <c r="M656" s="6"/>
    </row>
    <row r="657" spans="2:13" ht="15" customHeight="1">
      <c r="B657" s="186"/>
      <c r="C657" s="50"/>
      <c r="D657" s="219" t="s">
        <v>503</v>
      </c>
      <c r="E657" s="1897" cm="1">
        <f t="array" ref="E657:L657">_xlfn.ANCHORARRAY(E613)-E635:L635</f>
        <v>5.7425946232148384E-3</v>
      </c>
      <c r="F657" s="1897">
        <v>5.7425946232148384E-3</v>
      </c>
      <c r="G657" s="1897">
        <v>6.7557628006882668E-3</v>
      </c>
      <c r="H657" s="1897">
        <v>7.7485771141952275E-3</v>
      </c>
      <c r="I657" s="1897">
        <v>7.7485771141952275E-3</v>
      </c>
      <c r="J657" s="1897">
        <v>7.7485771141952275E-3</v>
      </c>
      <c r="K657" s="1897">
        <v>7.7485771141952275E-3</v>
      </c>
      <c r="L657" s="1897">
        <v>7.7485771141952275E-3</v>
      </c>
      <c r="M657" s="6"/>
    </row>
    <row r="658" spans="2:13" ht="15" customHeight="1">
      <c r="B658" s="186"/>
      <c r="C658" s="50"/>
      <c r="D658" s="219" t="s">
        <v>525</v>
      </c>
      <c r="E658" s="1897" cm="1">
        <f t="array" ref="E658:L658">_xlfn.ANCHORARRAY(E614)-E636:L636</f>
        <v>1.8935426146883107E-3</v>
      </c>
      <c r="F658" s="1897">
        <v>1.8935426146883107E-3</v>
      </c>
      <c r="G658" s="1897">
        <v>2.1840648529522525E-3</v>
      </c>
      <c r="H658" s="1897">
        <v>2.4791418968138248E-3</v>
      </c>
      <c r="I658" s="1897">
        <v>2.4791418968138248E-3</v>
      </c>
      <c r="J658" s="1897">
        <v>2.4791418968138248E-3</v>
      </c>
      <c r="K658" s="1897">
        <v>2.4791418968138248E-3</v>
      </c>
      <c r="L658" s="1897">
        <v>2.4791418968138248E-3</v>
      </c>
      <c r="M658" s="6"/>
    </row>
    <row r="659" spans="2:13" ht="15" customHeight="1">
      <c r="B659" s="186"/>
      <c r="C659" s="50"/>
      <c r="D659" s="219" t="s">
        <v>487</v>
      </c>
      <c r="E659" s="1897" cm="1">
        <f t="array" ref="E659:L659">_xlfn.ANCHORARRAY(E615)-E637:L637</f>
        <v>6.6384558932856039E-2</v>
      </c>
      <c r="F659" s="1897">
        <v>6.6384558932856039E-2</v>
      </c>
      <c r="G659" s="1897">
        <v>8.3774779479416694E-2</v>
      </c>
      <c r="H659" s="1897">
        <v>9.8059826526205401E-2</v>
      </c>
      <c r="I659" s="1897">
        <v>9.8059826526205401E-2</v>
      </c>
      <c r="J659" s="1897">
        <v>9.8059826526205401E-2</v>
      </c>
      <c r="K659" s="1897">
        <v>9.8059826526205401E-2</v>
      </c>
      <c r="L659" s="1897">
        <v>9.8059826526205401E-2</v>
      </c>
      <c r="M659" s="6"/>
    </row>
    <row r="660" spans="2:13" ht="15" customHeight="1">
      <c r="B660" s="186"/>
      <c r="C660" s="50"/>
      <c r="D660" s="219" t="s">
        <v>494</v>
      </c>
      <c r="E660" s="1897" cm="1">
        <f t="array" ref="E660:L660">_xlfn.ANCHORARRAY(E616)-E638:L638</f>
        <v>3.4012841742838877E-3</v>
      </c>
      <c r="F660" s="1897">
        <v>3.4012841742838877E-3</v>
      </c>
      <c r="G660" s="1897">
        <v>3.9178469702047464E-3</v>
      </c>
      <c r="H660" s="1897">
        <v>4.4411586881671541E-3</v>
      </c>
      <c r="I660" s="1897">
        <v>4.4411586881671541E-3</v>
      </c>
      <c r="J660" s="1897">
        <v>4.4411586881671541E-3</v>
      </c>
      <c r="K660" s="1897">
        <v>4.4411586881671541E-3</v>
      </c>
      <c r="L660" s="1897">
        <v>4.4411586881671541E-3</v>
      </c>
      <c r="M660" s="6"/>
    </row>
    <row r="661" spans="2:13" ht="15" customHeight="1">
      <c r="B661" s="186"/>
      <c r="C661" s="50"/>
      <c r="D661" s="219" t="s">
        <v>526</v>
      </c>
      <c r="E661" s="1897" cm="1">
        <f t="array" ref="E661:L661">_xlfn.ANCHORARRAY(E617)-E639:L639</f>
        <v>5.4154731240435613E-2</v>
      </c>
      <c r="F661" s="1897">
        <v>5.4154731240435613E-2</v>
      </c>
      <c r="G661" s="1897">
        <v>6.3164018343519965E-2</v>
      </c>
      <c r="H661" s="1897">
        <v>7.2327049878170735E-2</v>
      </c>
      <c r="I661" s="1897">
        <v>7.2327049878170735E-2</v>
      </c>
      <c r="J661" s="1897">
        <v>7.2327049878170735E-2</v>
      </c>
      <c r="K661" s="1897">
        <v>7.2327049878170735E-2</v>
      </c>
      <c r="L661" s="1897">
        <v>7.2327049878170735E-2</v>
      </c>
      <c r="M661" s="6"/>
    </row>
    <row r="662" spans="2:13" ht="15" customHeight="1">
      <c r="B662" s="186"/>
      <c r="C662" s="50"/>
      <c r="D662" s="219" t="s">
        <v>506</v>
      </c>
      <c r="E662" s="1897" cm="1">
        <f t="array" ref="E662:L662">_xlfn.ANCHORARRAY(E618)-E640:L640</f>
        <v>3.2745827768498084E-4</v>
      </c>
      <c r="F662" s="1897">
        <v>3.2745827768498084E-4</v>
      </c>
      <c r="G662" s="1897">
        <v>3.7927419924242028E-4</v>
      </c>
      <c r="H662" s="1897">
        <v>4.3230434632727204E-4</v>
      </c>
      <c r="I662" s="1897">
        <v>4.3230434632727204E-4</v>
      </c>
      <c r="J662" s="1897">
        <v>4.3230434632727204E-4</v>
      </c>
      <c r="K662" s="1897">
        <v>4.3230434632727204E-4</v>
      </c>
      <c r="L662" s="1897">
        <v>4.3230434632727204E-4</v>
      </c>
      <c r="M662" s="6"/>
    </row>
    <row r="663" spans="2:13" ht="15" customHeight="1">
      <c r="B663" s="186"/>
      <c r="C663" s="50"/>
      <c r="D663" s="219" t="s">
        <v>507</v>
      </c>
      <c r="E663" s="1897" cm="1">
        <f t="array" ref="E663:L663">_xlfn.ANCHORARRAY(E619)-E641:L641</f>
        <v>6.2257033987857587E-3</v>
      </c>
      <c r="F663" s="1897">
        <v>6.2257033987857587E-3</v>
      </c>
      <c r="G663" s="1897">
        <v>7.206409873470189E-3</v>
      </c>
      <c r="H663" s="1897">
        <v>8.2090019179727608E-3</v>
      </c>
      <c r="I663" s="1897">
        <v>8.2090019179727608E-3</v>
      </c>
      <c r="J663" s="1897">
        <v>8.2090019179727608E-3</v>
      </c>
      <c r="K663" s="1897">
        <v>8.2090019179727608E-3</v>
      </c>
      <c r="L663" s="1897">
        <v>8.2090019179727608E-3</v>
      </c>
      <c r="M663" s="6"/>
    </row>
    <row r="664" spans="2:13" ht="15" customHeight="1">
      <c r="B664" s="186"/>
      <c r="C664" s="50"/>
      <c r="D664" s="219" t="s">
        <v>570</v>
      </c>
      <c r="E664" s="1897" cm="1">
        <f t="array" ref="E664:L664">_xlfn.ANCHORARRAY(E620)-E642:L642</f>
        <v>8.5618454762176627E-3</v>
      </c>
      <c r="F664" s="1897">
        <v>8.5618454762176627E-3</v>
      </c>
      <c r="G664" s="1897">
        <v>9.9679769823530964E-3</v>
      </c>
      <c r="H664" s="1897">
        <v>1.1394699896138992E-2</v>
      </c>
      <c r="I664" s="1897">
        <v>1.1394699896138992E-2</v>
      </c>
      <c r="J664" s="1897">
        <v>1.1394699896138992E-2</v>
      </c>
      <c r="K664" s="1897">
        <v>1.1394699896138992E-2</v>
      </c>
      <c r="L664" s="1897">
        <v>1.1394699896138992E-2</v>
      </c>
      <c r="M664" s="6"/>
    </row>
    <row r="665" spans="2:13" ht="15" customHeight="1">
      <c r="B665" s="186"/>
      <c r="C665" s="50"/>
      <c r="D665" s="219" t="s">
        <v>498</v>
      </c>
      <c r="E665" s="1897" cm="1">
        <f t="array" ref="E665:L665">_xlfn.ANCHORARRAY(E621)-E643:L643</f>
        <v>1.7322703076441241E-2</v>
      </c>
      <c r="F665" s="1897">
        <v>1.7322703076441241E-2</v>
      </c>
      <c r="G665" s="1897">
        <v>1.9960626015659177E-2</v>
      </c>
      <c r="H665" s="1897">
        <v>2.263483738254566E-2</v>
      </c>
      <c r="I665" s="1897">
        <v>2.263483738254566E-2</v>
      </c>
      <c r="J665" s="1897">
        <v>2.263483738254566E-2</v>
      </c>
      <c r="K665" s="1897">
        <v>2.263483738254566E-2</v>
      </c>
      <c r="L665" s="1897">
        <v>2.263483738254566E-2</v>
      </c>
      <c r="M665" s="6"/>
    </row>
    <row r="666" spans="2:13" ht="15" customHeight="1">
      <c r="B666" s="186"/>
      <c r="C666" s="50"/>
      <c r="D666" s="219" t="s">
        <v>502</v>
      </c>
      <c r="E666" s="1897" cm="1">
        <f t="array" ref="E666:L666">_xlfn.ANCHORARRAY(E622)-E644:L644</f>
        <v>8.2546702476781963E-5</v>
      </c>
      <c r="F666" s="1897">
        <v>8.2546702476781963E-5</v>
      </c>
      <c r="G666" s="1897">
        <v>9.5409726028145272E-5</v>
      </c>
      <c r="H666" s="1897">
        <v>1.0852495961757469E-4</v>
      </c>
      <c r="I666" s="1897">
        <v>1.0852495961757469E-4</v>
      </c>
      <c r="J666" s="1897">
        <v>1.0852495961757469E-4</v>
      </c>
      <c r="K666" s="1897">
        <v>1.0852495961757469E-4</v>
      </c>
      <c r="L666" s="1897">
        <v>1.0852495961757469E-4</v>
      </c>
      <c r="M666" s="6"/>
    </row>
    <row r="667" spans="2:13" ht="15" customHeight="1">
      <c r="B667" s="186"/>
      <c r="C667" s="50"/>
      <c r="D667" s="219" t="s">
        <v>571</v>
      </c>
      <c r="E667" s="1897" cm="1">
        <f t="array" ref="E667:L667">_xlfn.ANCHORARRAY(E623)-E645:L645</f>
        <v>1.1105359253796188</v>
      </c>
      <c r="F667" s="1897">
        <v>1.1105359253796188</v>
      </c>
      <c r="G667" s="1897">
        <v>1.2779400846760602</v>
      </c>
      <c r="H667" s="1897">
        <v>1.4472075486028639</v>
      </c>
      <c r="I667" s="1897">
        <v>1.4472075486028639</v>
      </c>
      <c r="J667" s="1897">
        <v>1.4472075486028639</v>
      </c>
      <c r="K667" s="1897">
        <v>1.4472075486028639</v>
      </c>
      <c r="L667" s="1897">
        <v>1.4472075486028639</v>
      </c>
      <c r="M667" s="6"/>
    </row>
    <row r="668" spans="2:13" ht="15" customHeight="1">
      <c r="B668" s="186"/>
      <c r="C668" s="50"/>
      <c r="D668" s="219" t="s">
        <v>1860</v>
      </c>
      <c r="E668" s="1897" cm="1">
        <f t="array" ref="E668:L668">_xlfn.ANCHORARRAY(E624)-E646:L646</f>
        <v>-3.3875259827586181E-3</v>
      </c>
      <c r="F668" s="1897">
        <v>-3.3875259827586181E-3</v>
      </c>
      <c r="G668" s="1897">
        <v>-3.3875259827586181E-3</v>
      </c>
      <c r="H668" s="1897">
        <v>-3.3875259827586181E-3</v>
      </c>
      <c r="I668" s="1897">
        <v>-3.3875259827586181E-3</v>
      </c>
      <c r="J668" s="1897">
        <v>-3.3875259827586181E-3</v>
      </c>
      <c r="K668" s="1897">
        <v>-3.3875259827586181E-3</v>
      </c>
      <c r="L668" s="1897">
        <v>-3.3875259827586181E-3</v>
      </c>
      <c r="M668" s="6"/>
    </row>
    <row r="669" spans="2:13" ht="15" customHeight="1">
      <c r="B669" s="186"/>
      <c r="C669" s="50"/>
      <c r="D669" s="219" t="s">
        <v>549</v>
      </c>
      <c r="E669" s="1897" cm="1">
        <f t="array" ref="E669:L669">_xlfn.ANCHORARRAY(E625)-E647:L647</f>
        <v>0</v>
      </c>
      <c r="F669" s="1897">
        <v>0</v>
      </c>
      <c r="G669" s="1897">
        <v>0</v>
      </c>
      <c r="H669" s="1897">
        <v>0</v>
      </c>
      <c r="I669" s="1897">
        <v>0</v>
      </c>
      <c r="J669" s="1897">
        <v>0</v>
      </c>
      <c r="K669" s="1897">
        <v>0</v>
      </c>
      <c r="L669" s="1897">
        <v>0</v>
      </c>
      <c r="M669" s="6"/>
    </row>
    <row r="670" spans="2:13" ht="15" customHeight="1">
      <c r="B670" s="186"/>
      <c r="C670" s="50"/>
      <c r="D670" s="219" t="s">
        <v>572</v>
      </c>
      <c r="E670" s="1897" cm="1">
        <f t="array" ref="E670:L670">_xlfn.ANCHORARRAY(E626)-E648:L648</f>
        <v>0</v>
      </c>
      <c r="F670" s="1497">
        <v>0</v>
      </c>
      <c r="G670" s="1498">
        <v>0</v>
      </c>
      <c r="H670" s="1498">
        <v>0</v>
      </c>
      <c r="I670" s="1498">
        <v>0</v>
      </c>
      <c r="J670" s="1498">
        <v>0</v>
      </c>
      <c r="K670" s="1498">
        <v>0</v>
      </c>
      <c r="L670" s="1498">
        <v>0</v>
      </c>
      <c r="M670" s="6"/>
    </row>
    <row r="671" spans="2:13" ht="15" customHeight="1">
      <c r="B671" s="186"/>
      <c r="C671" s="50"/>
      <c r="D671" s="9" t="s">
        <v>1882</v>
      </c>
      <c r="E671" s="1987" cm="1">
        <f t="array" ref="E671:L671">E667:L667</f>
        <v>1.1105359253796188</v>
      </c>
      <c r="F671" s="2087">
        <v>1.1105359253796188</v>
      </c>
      <c r="G671" s="2087">
        <v>1.2779400846760602</v>
      </c>
      <c r="H671" s="2087">
        <v>1.4472075486028639</v>
      </c>
      <c r="I671" s="2087">
        <v>1.4472075486028639</v>
      </c>
      <c r="J671" s="2087">
        <v>1.4472075486028639</v>
      </c>
      <c r="K671" s="2087">
        <v>1.4472075486028639</v>
      </c>
      <c r="L671" s="2087">
        <v>1.4472075486028639</v>
      </c>
      <c r="M671" s="6"/>
    </row>
    <row r="672" spans="2:13" ht="15" customHeight="1">
      <c r="B672" s="186"/>
      <c r="C672" s="50"/>
      <c r="D672" s="9" t="s">
        <v>1667</v>
      </c>
      <c r="E672" s="2086" cm="1">
        <f t="array" ref="E672:L672">SALIDA_DEMANDA_IND_CARBONMINERAL+SALIDA_DEMANDA_IND_GN+SALIDA_DEMANDA_IND_LEÑA+SALIDA_DEMANDA_IND_PETROLEO+E660:L660++SALIDA_DEMANDA_IND_DIESEL+SALIDA_DEMANDA_IND_CARBONDELEÑA+SALIDA_DEMANDA_IND_COQUE+SALIDA_DEMANDA_IND_FUELOIL+SALIDA_DEMANDA_IND_GLP+E666:L666</f>
        <v>4.3898193816959576</v>
      </c>
      <c r="F672" s="2086">
        <v>4.3898193816959576</v>
      </c>
      <c r="G672" s="2086">
        <v>5.1921200423391767</v>
      </c>
      <c r="H672" s="2086">
        <v>5.9573625739307543</v>
      </c>
      <c r="I672" s="2086">
        <v>5.9573625739307543</v>
      </c>
      <c r="J672" s="2086">
        <v>5.9573625739307543</v>
      </c>
      <c r="K672" s="2086">
        <v>5.9573625739307543</v>
      </c>
      <c r="L672" s="2086">
        <v>5.9573625739307543</v>
      </c>
      <c r="M672" s="6"/>
    </row>
    <row r="673" spans="2:13" ht="15" customHeight="1">
      <c r="B673" s="186"/>
      <c r="C673" s="50"/>
      <c r="D673" s="9" t="s">
        <v>1883</v>
      </c>
      <c r="E673" s="2086" cm="1">
        <f t="array" ref="E673:L673">E659:L659+SALIDA_DEMANDA_IND_BAGAZO+E668:L668+SALIDA_DEMANDA_IND_HIDROGENO_VERDE+SALIDA_DEMANDA_IND_HIDROGENO_AZUL</f>
        <v>0.80545796337506836</v>
      </c>
      <c r="F673" s="2086">
        <v>0.80602909262551259</v>
      </c>
      <c r="G673" s="2086">
        <v>1.0272274338103524</v>
      </c>
      <c r="H673" s="2086">
        <v>1.2439642464657887</v>
      </c>
      <c r="I673" s="2086">
        <v>1.2441751127377056</v>
      </c>
      <c r="J673" s="2086">
        <v>1.2443857079764973</v>
      </c>
      <c r="K673" s="2086">
        <v>1.2445960325305312</v>
      </c>
      <c r="L673" s="2086">
        <v>1.2448060867477275</v>
      </c>
      <c r="M673" s="6"/>
    </row>
    <row r="674" spans="2:13" ht="15" customHeight="1">
      <c r="B674" s="186"/>
      <c r="C674" s="50"/>
      <c r="D674" s="9" t="s">
        <v>1714</v>
      </c>
      <c r="E674" s="2086">
        <f>SUM(E671:E673)</f>
        <v>6.3058132704506447</v>
      </c>
      <c r="F674" s="2086">
        <f t="shared" ref="F674:L674" si="35">SUM(F671:F673)</f>
        <v>6.3063843997010887</v>
      </c>
      <c r="G674" s="2086">
        <f t="shared" si="35"/>
        <v>7.4972875608255887</v>
      </c>
      <c r="H674" s="2086">
        <f t="shared" si="35"/>
        <v>8.6485343689994068</v>
      </c>
      <c r="I674" s="2086">
        <f t="shared" si="35"/>
        <v>8.6487452352713241</v>
      </c>
      <c r="J674" s="2086">
        <f t="shared" si="35"/>
        <v>8.6489558305101149</v>
      </c>
      <c r="K674" s="2086">
        <f t="shared" si="35"/>
        <v>8.6491661550641492</v>
      </c>
      <c r="L674" s="2086">
        <f t="shared" si="35"/>
        <v>8.6493762092813462</v>
      </c>
      <c r="M674" s="6"/>
    </row>
    <row r="675" spans="2:13" ht="15" customHeight="1">
      <c r="B675" s="186"/>
      <c r="C675" s="50"/>
      <c r="D675" s="9" t="s">
        <v>1884</v>
      </c>
      <c r="E675" s="1987" cm="1">
        <f t="array" ref="E675:L675">IF(E674:L674&lt;0,ABS(E674:L674),0)</f>
        <v>0</v>
      </c>
      <c r="F675" s="1987">
        <v>0</v>
      </c>
      <c r="G675" s="1987">
        <v>0</v>
      </c>
      <c r="H675" s="1987">
        <v>0</v>
      </c>
      <c r="I675" s="1987">
        <v>0</v>
      </c>
      <c r="J675" s="1987">
        <v>0</v>
      </c>
      <c r="K675" s="1987">
        <v>0</v>
      </c>
      <c r="L675" s="1987">
        <v>0</v>
      </c>
      <c r="M675" s="6"/>
    </row>
    <row r="676" spans="2:13" ht="15" customHeight="1">
      <c r="B676" s="186"/>
      <c r="C676" s="50"/>
      <c r="D676" s="397"/>
      <c r="E676" s="2098"/>
      <c r="F676" s="2098"/>
      <c r="G676" s="2098"/>
      <c r="H676" s="2098"/>
      <c r="I676" s="2098"/>
      <c r="J676" s="2098"/>
      <c r="K676" s="2098"/>
      <c r="L676" s="2098"/>
      <c r="M676" s="6"/>
    </row>
    <row r="677" spans="2:13" ht="15" customHeight="1">
      <c r="B677" s="186"/>
      <c r="C677" s="50"/>
      <c r="D677" s="48" t="s">
        <v>1885</v>
      </c>
      <c r="E677" s="48"/>
      <c r="F677" s="48"/>
      <c r="G677" s="48"/>
      <c r="H677" s="48"/>
      <c r="I677" s="48"/>
      <c r="J677" s="48"/>
      <c r="K677" s="48"/>
      <c r="L677" s="48"/>
      <c r="M677" s="50"/>
    </row>
    <row r="678" spans="2:13" ht="15" customHeight="1">
      <c r="B678" s="186"/>
      <c r="C678" s="50"/>
      <c r="D678" s="6"/>
      <c r="E678" s="6"/>
      <c r="F678" s="6"/>
      <c r="G678" s="6"/>
      <c r="H678" s="6"/>
      <c r="I678" s="6"/>
      <c r="J678" s="6"/>
      <c r="K678" s="6"/>
      <c r="L678" s="6"/>
      <c r="M678" s="6"/>
    </row>
    <row r="679" spans="2:13" ht="15" customHeight="1">
      <c r="B679" s="186"/>
      <c r="C679" s="50"/>
      <c r="D679" s="48" t="s">
        <v>1877</v>
      </c>
      <c r="E679" s="48"/>
      <c r="F679" s="48"/>
      <c r="G679" s="48"/>
      <c r="H679" s="48"/>
      <c r="I679" s="48"/>
      <c r="J679" s="48"/>
      <c r="K679" s="48"/>
      <c r="L679" s="48"/>
      <c r="M679" s="50"/>
    </row>
    <row r="680" spans="2:13" ht="15" customHeight="1">
      <c r="B680" s="186"/>
      <c r="C680" s="50"/>
      <c r="D680" s="6"/>
      <c r="E680" s="6"/>
      <c r="F680" s="6"/>
      <c r="G680" s="6"/>
      <c r="H680" s="6"/>
      <c r="I680" s="6"/>
      <c r="J680" s="6"/>
      <c r="K680" s="6"/>
      <c r="L680" s="214" t="s">
        <v>9</v>
      </c>
      <c r="M680" s="6"/>
    </row>
    <row r="681" spans="2:13" ht="15" customHeight="1">
      <c r="B681" s="186"/>
      <c r="C681" s="50"/>
      <c r="D681" s="1938" t="s">
        <v>699</v>
      </c>
      <c r="E681" s="1899">
        <v>2018</v>
      </c>
      <c r="F681" s="1899" t="s">
        <v>322</v>
      </c>
      <c r="G681" s="1899" t="s">
        <v>323</v>
      </c>
      <c r="H681" s="1899" t="s">
        <v>324</v>
      </c>
      <c r="I681" s="1899" t="s">
        <v>325</v>
      </c>
      <c r="J681" s="1899" t="s">
        <v>326</v>
      </c>
      <c r="K681" s="1899" t="s">
        <v>327</v>
      </c>
      <c r="L681" s="1899" t="s">
        <v>328</v>
      </c>
      <c r="M681" s="6"/>
    </row>
    <row r="682" spans="2:13" ht="15" customHeight="1">
      <c r="B682" s="186"/>
      <c r="C682" s="50"/>
      <c r="D682" s="219" t="s">
        <v>917</v>
      </c>
      <c r="E682" s="1898" cm="1">
        <f t="array" ref="E682:L682">(F882:M882*UNIDAD_PJ_A_TWH)</f>
        <v>1.5218564681508544</v>
      </c>
      <c r="F682" s="1898">
        <v>1.5218564681508544</v>
      </c>
      <c r="G682" s="1898">
        <v>1.7662282293883598</v>
      </c>
      <c r="H682" s="1898">
        <v>2.0172069072218122</v>
      </c>
      <c r="I682" s="1898">
        <v>2.0172069072218122</v>
      </c>
      <c r="J682" s="1898">
        <v>2.0172069072218122</v>
      </c>
      <c r="K682" s="1898">
        <v>2.0172069072218122</v>
      </c>
      <c r="L682" s="1898">
        <v>2.0172069072218122</v>
      </c>
      <c r="M682" s="6"/>
    </row>
    <row r="683" spans="2:13" ht="15" customHeight="1">
      <c r="B683" s="186"/>
      <c r="C683" s="50"/>
      <c r="D683" s="219" t="s">
        <v>1855</v>
      </c>
      <c r="E683" s="1898" cm="1">
        <f t="array" ref="E683:L683">(F902:M902*UNIDAD_PJ_A_TWH)</f>
        <v>0.57238899848127867</v>
      </c>
      <c r="F683" s="1898">
        <v>0.57238899848127867</v>
      </c>
      <c r="G683" s="1898">
        <v>0.65657295284339834</v>
      </c>
      <c r="H683" s="1898">
        <v>0.7411487251561496</v>
      </c>
      <c r="I683" s="1898">
        <v>0.7411487251561496</v>
      </c>
      <c r="J683" s="1898">
        <v>0.7411487251561496</v>
      </c>
      <c r="K683" s="1898">
        <v>0.7411487251561496</v>
      </c>
      <c r="L683" s="1898">
        <v>0.7411487251561496</v>
      </c>
      <c r="M683" s="6"/>
    </row>
    <row r="684" spans="2:13" ht="15" customHeight="1">
      <c r="B684" s="186"/>
      <c r="C684" s="50"/>
      <c r="D684" s="219" t="s">
        <v>559</v>
      </c>
      <c r="E684" s="1898" cm="1">
        <f t="array" ref="E684:L684">(F922:M922*UNIDAD_PJ_A_TWH)</f>
        <v>0.61014981990161965</v>
      </c>
      <c r="F684" s="1898">
        <v>0.61014981990161965</v>
      </c>
      <c r="G684" s="1898">
        <v>0.70760337039706667</v>
      </c>
      <c r="H684" s="1898">
        <v>0.80756463857973981</v>
      </c>
      <c r="I684" s="1898">
        <v>0.80756463857973981</v>
      </c>
      <c r="J684" s="1898">
        <v>0.80756463857973981</v>
      </c>
      <c r="K684" s="1898">
        <v>0.80756463857973981</v>
      </c>
      <c r="L684" s="1898">
        <v>0.80756463857973981</v>
      </c>
      <c r="M684" s="6"/>
    </row>
    <row r="685" spans="2:13" ht="15" customHeight="1">
      <c r="B685" s="186"/>
      <c r="C685" s="50"/>
      <c r="D685" s="219" t="s">
        <v>560</v>
      </c>
      <c r="E685" s="1898" cm="1">
        <f t="array" ref="E685:L685">(F942:M942*UNIDAD_PJ_A_TWH)</f>
        <v>0.56268907381714228</v>
      </c>
      <c r="F685" s="1898">
        <v>0.56268907381714228</v>
      </c>
      <c r="G685" s="1898">
        <v>0.64830620808407147</v>
      </c>
      <c r="H685" s="1898">
        <v>0.73508316617265312</v>
      </c>
      <c r="I685" s="1898">
        <v>0.73508316617265312</v>
      </c>
      <c r="J685" s="1898">
        <v>0.73508316617265312</v>
      </c>
      <c r="K685" s="1898">
        <v>0.73508316617265312</v>
      </c>
      <c r="L685" s="1898">
        <v>0.73508316617265312</v>
      </c>
      <c r="M685" s="6"/>
    </row>
    <row r="686" spans="2:13" ht="15" customHeight="1">
      <c r="B686" s="186"/>
      <c r="C686" s="50"/>
      <c r="D686" s="219" t="s">
        <v>561</v>
      </c>
      <c r="E686" s="1898" cm="1">
        <f t="array" ref="E686:L686">(F962:M962*UNIDAD_PJ_A_TWH)</f>
        <v>2.4729744495938539</v>
      </c>
      <c r="F686" s="1898">
        <v>2.4729744495938539</v>
      </c>
      <c r="G686" s="1898">
        <v>2.8434978274952263</v>
      </c>
      <c r="H686" s="1898">
        <v>3.2175590529558695</v>
      </c>
      <c r="I686" s="1898">
        <v>3.2175590529558695</v>
      </c>
      <c r="J686" s="1898">
        <v>3.2175590529558695</v>
      </c>
      <c r="K686" s="1898">
        <v>3.2175590529558695</v>
      </c>
      <c r="L686" s="1898">
        <v>3.2175590529558695</v>
      </c>
      <c r="M686" s="6"/>
    </row>
    <row r="687" spans="2:13" ht="15" customHeight="1">
      <c r="B687" s="186"/>
      <c r="C687" s="50"/>
      <c r="D687" s="219" t="s">
        <v>562</v>
      </c>
      <c r="E687" s="1898" cm="1">
        <f t="array" ref="E687:L687">(F982:M982*UNIDAD_PJ_A_TWH)</f>
        <v>0.28078522762407432</v>
      </c>
      <c r="F687" s="1898">
        <v>0.28078522762407432</v>
      </c>
      <c r="G687" s="1898">
        <v>0.31796315387561519</v>
      </c>
      <c r="H687" s="1898">
        <v>0.3542176931961647</v>
      </c>
      <c r="I687" s="1898">
        <v>0.3542176931961647</v>
      </c>
      <c r="J687" s="1898">
        <v>0.3542176931961647</v>
      </c>
      <c r="K687" s="1898">
        <v>0.3542176931961647</v>
      </c>
      <c r="L687" s="1898">
        <v>0.3542176931961647</v>
      </c>
      <c r="M687" s="6"/>
    </row>
    <row r="688" spans="2:13" ht="15" customHeight="1">
      <c r="B688" s="186"/>
      <c r="C688" s="50"/>
      <c r="D688" s="219" t="s">
        <v>563</v>
      </c>
      <c r="E688" s="1898" cm="1">
        <f t="array" ref="E688:L688">(F1002:M1002*UNIDAD_PJ_A_TWH)</f>
        <v>0.94809210612429362</v>
      </c>
      <c r="F688" s="1898">
        <v>0.94809210612429362</v>
      </c>
      <c r="G688" s="1898">
        <v>1.2159364206325536</v>
      </c>
      <c r="H688" s="1898">
        <v>1.4308515438932929</v>
      </c>
      <c r="I688" s="1898">
        <v>1.4308515438932929</v>
      </c>
      <c r="J688" s="1898">
        <v>1.4308515438932929</v>
      </c>
      <c r="K688" s="1898">
        <v>1.4308515438932929</v>
      </c>
      <c r="L688" s="1898">
        <v>1.4308515438932929</v>
      </c>
      <c r="M688" s="6"/>
    </row>
    <row r="689" spans="2:14" ht="15" customHeight="1">
      <c r="B689" s="186"/>
      <c r="C689" s="50"/>
      <c r="D689" s="219" t="s">
        <v>1886</v>
      </c>
      <c r="E689" s="1898" cm="1">
        <f t="array" ref="E689:L689">(F1023:M1023*UNIDAD_PJ_A_TWH)</f>
        <v>2.4544773336746914E-2</v>
      </c>
      <c r="F689" s="1898">
        <v>2.4544773336746914E-2</v>
      </c>
      <c r="G689" s="1898">
        <v>2.8064506053007841E-2</v>
      </c>
      <c r="H689" s="1898">
        <v>3.1576612113579899E-2</v>
      </c>
      <c r="I689" s="1898">
        <v>3.1576612113579899E-2</v>
      </c>
      <c r="J689" s="1898">
        <v>3.1576612113579899E-2</v>
      </c>
      <c r="K689" s="1898">
        <v>3.1576612113579899E-2</v>
      </c>
      <c r="L689" s="1898">
        <v>3.1576612113579899E-2</v>
      </c>
      <c r="M689" s="6"/>
    </row>
    <row r="690" spans="2:14" ht="15" customHeight="1">
      <c r="B690" s="186"/>
      <c r="C690" s="50"/>
      <c r="D690" s="1939" t="s">
        <v>338</v>
      </c>
      <c r="E690" s="1987">
        <f t="shared" ref="E690:L690" si="36">SUM(E682:E689)</f>
        <v>6.9934809170298635</v>
      </c>
      <c r="F690" s="1987">
        <f t="shared" si="36"/>
        <v>6.9934809170298635</v>
      </c>
      <c r="G690" s="1987">
        <f t="shared" si="36"/>
        <v>8.1841726687692997</v>
      </c>
      <c r="H690" s="1987">
        <f t="shared" si="36"/>
        <v>9.3352083392892631</v>
      </c>
      <c r="I690" s="1987">
        <f t="shared" si="36"/>
        <v>9.3352083392892631</v>
      </c>
      <c r="J690" s="1987">
        <f t="shared" si="36"/>
        <v>9.3352083392892631</v>
      </c>
      <c r="K690" s="1987">
        <f t="shared" si="36"/>
        <v>9.3352083392892631</v>
      </c>
      <c r="L690" s="1987">
        <f t="shared" si="36"/>
        <v>9.3352083392892631</v>
      </c>
      <c r="M690" s="6"/>
    </row>
    <row r="691" spans="2:14" ht="15" customHeight="1">
      <c r="B691" s="186"/>
      <c r="C691" s="50"/>
      <c r="D691" s="50"/>
      <c r="E691" s="50"/>
      <c r="F691" s="50"/>
      <c r="G691" s="50"/>
      <c r="H691" s="50"/>
      <c r="I691" s="50"/>
      <c r="J691" s="50"/>
      <c r="K691" s="50"/>
      <c r="L691" s="50"/>
      <c r="M691" s="6"/>
    </row>
    <row r="692" spans="2:14" ht="15" customHeight="1">
      <c r="B692" s="186"/>
      <c r="C692" s="50"/>
      <c r="D692" s="48" t="s">
        <v>1879</v>
      </c>
      <c r="E692" s="48"/>
      <c r="F692" s="48"/>
      <c r="G692" s="48"/>
      <c r="H692" s="48"/>
      <c r="I692" s="48"/>
      <c r="J692" s="48"/>
      <c r="K692" s="48"/>
      <c r="L692" s="48"/>
      <c r="M692" s="50"/>
    </row>
    <row r="693" spans="2:14" ht="15" customHeight="1">
      <c r="B693" s="186"/>
      <c r="C693" s="50"/>
      <c r="D693" s="6"/>
      <c r="E693" s="6"/>
      <c r="F693" s="6"/>
      <c r="G693" s="6"/>
      <c r="H693" s="6"/>
      <c r="I693" s="6"/>
      <c r="J693" s="6"/>
      <c r="K693" s="6"/>
      <c r="L693" s="214" t="s">
        <v>9</v>
      </c>
      <c r="M693" s="6"/>
    </row>
    <row r="694" spans="2:14" ht="15" customHeight="1">
      <c r="B694" s="186"/>
      <c r="C694" s="50"/>
      <c r="D694" s="1938" t="s">
        <v>699</v>
      </c>
      <c r="E694" s="1899">
        <v>2018</v>
      </c>
      <c r="F694" s="1899" t="s">
        <v>322</v>
      </c>
      <c r="G694" s="1899" t="s">
        <v>323</v>
      </c>
      <c r="H694" s="1899" t="s">
        <v>324</v>
      </c>
      <c r="I694" s="1899" t="s">
        <v>325</v>
      </c>
      <c r="J694" s="1899" t="s">
        <v>326</v>
      </c>
      <c r="K694" s="1899" t="s">
        <v>327</v>
      </c>
      <c r="L694" s="1899" t="s">
        <v>328</v>
      </c>
      <c r="M694" s="6"/>
    </row>
    <row r="695" spans="2:14" ht="15" customHeight="1">
      <c r="B695" s="186"/>
      <c r="C695" s="50"/>
      <c r="D695" s="219" t="s">
        <v>917</v>
      </c>
      <c r="E695" s="2101" cm="1">
        <f t="array" ref="E695:L695">F1170:M1170</f>
        <v>2.7295842706758618E-2</v>
      </c>
      <c r="F695" s="2101">
        <v>2.7295842706758618E-2</v>
      </c>
      <c r="G695" s="2101">
        <v>2.7295842706758618E-2</v>
      </c>
      <c r="H695" s="2101">
        <v>2.7295842706758618E-2</v>
      </c>
      <c r="I695" s="2101">
        <v>2.7295842706758618E-2</v>
      </c>
      <c r="J695" s="2101">
        <v>2.7295842706758618E-2</v>
      </c>
      <c r="K695" s="2101">
        <v>2.7295842706758618E-2</v>
      </c>
      <c r="L695" s="2101">
        <v>2.7295842706758618E-2</v>
      </c>
      <c r="M695" s="6"/>
    </row>
    <row r="696" spans="2:14" ht="15" customHeight="1">
      <c r="B696" s="186"/>
      <c r="C696" s="50"/>
      <c r="D696" s="219" t="s">
        <v>1855</v>
      </c>
      <c r="E696" s="2101" cm="1">
        <f t="array" ref="E696:L696">F1179:M1179</f>
        <v>2.4814402460689652E-2</v>
      </c>
      <c r="F696" s="2101">
        <v>2.4814402460689652E-2</v>
      </c>
      <c r="G696" s="2101">
        <v>2.4814402460689652E-2</v>
      </c>
      <c r="H696" s="2101">
        <v>2.4814402460689652E-2</v>
      </c>
      <c r="I696" s="2101">
        <v>2.4814402460689652E-2</v>
      </c>
      <c r="J696" s="2101">
        <v>2.4814402460689652E-2</v>
      </c>
      <c r="K696" s="2101">
        <v>2.4814402460689652E-2</v>
      </c>
      <c r="L696" s="2101">
        <v>2.4814402460689652E-2</v>
      </c>
      <c r="M696" s="6"/>
    </row>
    <row r="697" spans="2:14" ht="15" customHeight="1">
      <c r="B697" s="186"/>
      <c r="C697" s="50"/>
      <c r="D697" s="219" t="s">
        <v>559</v>
      </c>
      <c r="E697" s="2101" cm="1">
        <f t="array" ref="E697:L697">F1188:M1188</f>
        <v>3.4930889838124139E-2</v>
      </c>
      <c r="F697" s="2101">
        <v>3.4930889838124139E-2</v>
      </c>
      <c r="G697" s="2101">
        <v>3.4930889838124139E-2</v>
      </c>
      <c r="H697" s="2101">
        <v>3.4930889838124139E-2</v>
      </c>
      <c r="I697" s="2101">
        <v>3.4930889838124139E-2</v>
      </c>
      <c r="J697" s="2101">
        <v>3.4930889838124139E-2</v>
      </c>
      <c r="K697" s="2101">
        <v>3.4930889838124139E-2</v>
      </c>
      <c r="L697" s="2101">
        <v>3.4930889838124139E-2</v>
      </c>
      <c r="M697" s="6"/>
      <c r="N697" s="1990"/>
    </row>
    <row r="698" spans="2:14" ht="15" customHeight="1">
      <c r="B698" s="186"/>
      <c r="C698" s="50"/>
      <c r="D698" s="219" t="s">
        <v>560</v>
      </c>
      <c r="E698" s="2101" cm="1">
        <f t="array" ref="E698:L698">F1198:M1198</f>
        <v>1.5243132940137927E-3</v>
      </c>
      <c r="F698" s="2101">
        <v>1.5243132940137927E-3</v>
      </c>
      <c r="G698" s="2101">
        <v>1.5243132940137927E-3</v>
      </c>
      <c r="H698" s="2101">
        <v>1.5243132940137927E-3</v>
      </c>
      <c r="I698" s="2101">
        <v>1.5243132940137927E-3</v>
      </c>
      <c r="J698" s="2101">
        <v>1.5243132940137927E-3</v>
      </c>
      <c r="K698" s="2101">
        <v>1.5243132940137927E-3</v>
      </c>
      <c r="L698" s="2101">
        <v>1.5243132940137927E-3</v>
      </c>
      <c r="M698" s="6"/>
    </row>
    <row r="699" spans="2:14" ht="15" customHeight="1">
      <c r="B699" s="186"/>
      <c r="C699" s="50"/>
      <c r="D699" s="219" t="s">
        <v>561</v>
      </c>
      <c r="E699" s="2101" cm="1">
        <f t="array" ref="E699:L699">F1207:M1207</f>
        <v>0.11094579910560003</v>
      </c>
      <c r="F699" s="2101">
        <v>0.11094579910560003</v>
      </c>
      <c r="G699" s="2101">
        <v>0.11094579910560003</v>
      </c>
      <c r="H699" s="2101">
        <v>0.11094579910560003</v>
      </c>
      <c r="I699" s="2101">
        <v>0.11094579910560003</v>
      </c>
      <c r="J699" s="2101">
        <v>0.11094579910560003</v>
      </c>
      <c r="K699" s="2101">
        <v>0.11094579910560003</v>
      </c>
      <c r="L699" s="2101">
        <v>0.11094579910560003</v>
      </c>
      <c r="M699" s="6"/>
    </row>
    <row r="700" spans="2:14" ht="15" customHeight="1">
      <c r="B700" s="186"/>
      <c r="C700" s="50"/>
      <c r="D700" s="219" t="s">
        <v>562</v>
      </c>
      <c r="E700" s="2101" cm="1">
        <f t="array" ref="E700:L700">F1216:M1216</f>
        <v>2.1300950903999999E-2</v>
      </c>
      <c r="F700" s="2101">
        <v>2.1300950903999999E-2</v>
      </c>
      <c r="G700" s="2101">
        <v>2.1300950903999999E-2</v>
      </c>
      <c r="H700" s="2101">
        <v>2.1300950903999999E-2</v>
      </c>
      <c r="I700" s="2101">
        <v>2.1300950903999999E-2</v>
      </c>
      <c r="J700" s="2101">
        <v>2.1300950903999999E-2</v>
      </c>
      <c r="K700" s="2101">
        <v>2.1300950903999999E-2</v>
      </c>
      <c r="L700" s="2101">
        <v>2.1300950903999999E-2</v>
      </c>
      <c r="M700" s="6"/>
    </row>
    <row r="701" spans="2:14" ht="15" customHeight="1">
      <c r="B701" s="186"/>
      <c r="C701" s="50"/>
      <c r="D701" s="219" t="s">
        <v>563</v>
      </c>
      <c r="E701" s="2101" cm="1">
        <f t="array" ref="E701:L701">F1225:M1225</f>
        <v>3.0131774416551724E-4</v>
      </c>
      <c r="F701" s="2101">
        <v>3.0131774416551724E-4</v>
      </c>
      <c r="G701" s="2101">
        <v>3.0131774416551724E-4</v>
      </c>
      <c r="H701" s="2101">
        <v>3.0131774416551724E-4</v>
      </c>
      <c r="I701" s="2101">
        <v>3.0131774416551724E-4</v>
      </c>
      <c r="J701" s="2101">
        <v>3.0131774416551724E-4</v>
      </c>
      <c r="K701" s="2101">
        <v>3.0131774416551724E-4</v>
      </c>
      <c r="L701" s="2101">
        <v>3.0131774416551724E-4</v>
      </c>
      <c r="M701" s="6"/>
    </row>
    <row r="702" spans="2:14" ht="15" customHeight="1">
      <c r="B702" s="186"/>
      <c r="C702" s="50"/>
      <c r="D702" s="219" t="s">
        <v>1886</v>
      </c>
      <c r="E702" s="2101" cm="1">
        <f t="array" ref="E702:L702">F1234:M1234</f>
        <v>2.1092242091586208E-3</v>
      </c>
      <c r="F702" s="2101">
        <v>2.1092242091586208E-3</v>
      </c>
      <c r="G702" s="2101">
        <v>2.1092242091586208E-3</v>
      </c>
      <c r="H702" s="2101">
        <v>2.1092242091586208E-3</v>
      </c>
      <c r="I702" s="2101">
        <v>2.1092242091586208E-3</v>
      </c>
      <c r="J702" s="2101">
        <v>2.1092242091586208E-3</v>
      </c>
      <c r="K702" s="2101">
        <v>2.1092242091586208E-3</v>
      </c>
      <c r="L702" s="2101">
        <v>2.1092242091586208E-3</v>
      </c>
      <c r="M702" s="6"/>
    </row>
    <row r="703" spans="2:14" ht="15" customHeight="1">
      <c r="B703" s="186"/>
      <c r="C703" s="50"/>
      <c r="D703" s="1939" t="s">
        <v>338</v>
      </c>
      <c r="E703" s="2102">
        <f t="shared" ref="E703:L703" si="37">SUM(E695:E702)</f>
        <v>0.22322274026251038</v>
      </c>
      <c r="F703" s="2102">
        <f t="shared" si="37"/>
        <v>0.22322274026251038</v>
      </c>
      <c r="G703" s="2102">
        <f t="shared" si="37"/>
        <v>0.22322274026251038</v>
      </c>
      <c r="H703" s="2102">
        <f t="shared" si="37"/>
        <v>0.22322274026251038</v>
      </c>
      <c r="I703" s="2102">
        <f t="shared" si="37"/>
        <v>0.22322274026251038</v>
      </c>
      <c r="J703" s="2102">
        <f t="shared" si="37"/>
        <v>0.22322274026251038</v>
      </c>
      <c r="K703" s="2102">
        <f t="shared" si="37"/>
        <v>0.22322274026251038</v>
      </c>
      <c r="L703" s="2102">
        <f t="shared" si="37"/>
        <v>0.22322274026251038</v>
      </c>
      <c r="M703" s="6"/>
    </row>
    <row r="704" spans="2:14" ht="15" customHeight="1">
      <c r="B704" s="186"/>
      <c r="C704" s="50"/>
      <c r="D704" s="219"/>
      <c r="E704" s="1898"/>
      <c r="F704" s="1898"/>
      <c r="G704" s="1898"/>
      <c r="H704" s="1898"/>
      <c r="I704" s="1898"/>
      <c r="J704" s="1898"/>
      <c r="K704" s="1898"/>
      <c r="L704" s="1898"/>
      <c r="M704" s="6"/>
    </row>
    <row r="705" spans="2:13" ht="15" customHeight="1">
      <c r="B705" s="186"/>
      <c r="C705" s="50"/>
      <c r="D705" s="48" t="s">
        <v>1887</v>
      </c>
      <c r="E705" s="48"/>
      <c r="F705" s="48"/>
      <c r="G705" s="48"/>
      <c r="H705" s="48"/>
      <c r="I705" s="48"/>
      <c r="J705" s="48"/>
      <c r="K705" s="48"/>
      <c r="L705" s="48"/>
      <c r="M705" s="50"/>
    </row>
    <row r="706" spans="2:13" ht="15" customHeight="1">
      <c r="B706" s="186"/>
      <c r="C706" s="50"/>
      <c r="D706" s="6"/>
      <c r="E706" s="6"/>
      <c r="F706" s="6"/>
      <c r="G706" s="6"/>
      <c r="H706" s="6"/>
      <c r="I706" s="6"/>
      <c r="J706" s="6"/>
      <c r="K706" s="6"/>
      <c r="L706" s="214" t="s">
        <v>9</v>
      </c>
      <c r="M706" s="6"/>
    </row>
    <row r="707" spans="2:13" ht="15" customHeight="1">
      <c r="B707" s="186"/>
      <c r="C707" s="50"/>
      <c r="D707" s="1938" t="s">
        <v>699</v>
      </c>
      <c r="E707" s="1899">
        <v>2018</v>
      </c>
      <c r="F707" s="1899" t="s">
        <v>322</v>
      </c>
      <c r="G707" s="1899" t="s">
        <v>323</v>
      </c>
      <c r="H707" s="1899" t="s">
        <v>324</v>
      </c>
      <c r="I707" s="1899" t="s">
        <v>325</v>
      </c>
      <c r="J707" s="1899" t="s">
        <v>326</v>
      </c>
      <c r="K707" s="1899" t="s">
        <v>327</v>
      </c>
      <c r="L707" s="1899" t="s">
        <v>328</v>
      </c>
      <c r="M707" s="6"/>
    </row>
    <row r="708" spans="2:13" ht="15" customHeight="1">
      <c r="B708" s="186"/>
      <c r="C708" s="50"/>
      <c r="D708" s="219" t="s">
        <v>917</v>
      </c>
      <c r="E708" s="1898">
        <f>E682-E695</f>
        <v>1.4945606254440957</v>
      </c>
      <c r="F708" s="1898">
        <f t="shared" ref="F708:L708" si="38">F682-F695</f>
        <v>1.4945606254440957</v>
      </c>
      <c r="G708" s="1898">
        <f t="shared" si="38"/>
        <v>1.7389323866816011</v>
      </c>
      <c r="H708" s="1898">
        <f t="shared" si="38"/>
        <v>1.9899110645150535</v>
      </c>
      <c r="I708" s="1898">
        <f t="shared" si="38"/>
        <v>1.9899110645150535</v>
      </c>
      <c r="J708" s="1898">
        <f t="shared" si="38"/>
        <v>1.9899110645150535</v>
      </c>
      <c r="K708" s="1898">
        <f t="shared" si="38"/>
        <v>1.9899110645150535</v>
      </c>
      <c r="L708" s="1898">
        <f t="shared" si="38"/>
        <v>1.9899110645150535</v>
      </c>
      <c r="M708" s="6"/>
    </row>
    <row r="709" spans="2:13" ht="15" customHeight="1">
      <c r="B709" s="186"/>
      <c r="C709" s="50"/>
      <c r="D709" s="219" t="s">
        <v>1855</v>
      </c>
      <c r="E709" s="1898">
        <f t="shared" ref="E709:L715" si="39">E683-E696</f>
        <v>0.547574596020589</v>
      </c>
      <c r="F709" s="1898">
        <f t="shared" si="39"/>
        <v>0.547574596020589</v>
      </c>
      <c r="G709" s="1898">
        <f t="shared" si="39"/>
        <v>0.63175855038270867</v>
      </c>
      <c r="H709" s="1898">
        <f t="shared" si="39"/>
        <v>0.71633432269545994</v>
      </c>
      <c r="I709" s="1898">
        <f t="shared" si="39"/>
        <v>0.71633432269545994</v>
      </c>
      <c r="J709" s="1898">
        <f t="shared" si="39"/>
        <v>0.71633432269545994</v>
      </c>
      <c r="K709" s="1898">
        <f t="shared" si="39"/>
        <v>0.71633432269545994</v>
      </c>
      <c r="L709" s="1898">
        <f t="shared" si="39"/>
        <v>0.71633432269545994</v>
      </c>
      <c r="M709" s="6"/>
    </row>
    <row r="710" spans="2:13" ht="15" customHeight="1">
      <c r="B710" s="186"/>
      <c r="C710" s="50"/>
      <c r="D710" s="219" t="s">
        <v>559</v>
      </c>
      <c r="E710" s="1898">
        <f t="shared" si="39"/>
        <v>0.57521893006349556</v>
      </c>
      <c r="F710" s="1898">
        <f t="shared" si="39"/>
        <v>0.57521893006349556</v>
      </c>
      <c r="G710" s="1898">
        <f t="shared" si="39"/>
        <v>0.67267248055894258</v>
      </c>
      <c r="H710" s="1898">
        <f t="shared" si="39"/>
        <v>0.77263374874161572</v>
      </c>
      <c r="I710" s="1898">
        <f t="shared" si="39"/>
        <v>0.77263374874161572</v>
      </c>
      <c r="J710" s="1898">
        <f t="shared" si="39"/>
        <v>0.77263374874161572</v>
      </c>
      <c r="K710" s="1898">
        <f t="shared" si="39"/>
        <v>0.77263374874161572</v>
      </c>
      <c r="L710" s="1898">
        <f t="shared" si="39"/>
        <v>0.77263374874161572</v>
      </c>
      <c r="M710" s="6"/>
    </row>
    <row r="711" spans="2:13" ht="15" customHeight="1">
      <c r="B711" s="186"/>
      <c r="C711" s="50"/>
      <c r="D711" s="219" t="s">
        <v>560</v>
      </c>
      <c r="E711" s="1898">
        <f t="shared" si="39"/>
        <v>0.56116476052312847</v>
      </c>
      <c r="F711" s="1898">
        <f t="shared" si="39"/>
        <v>0.56116476052312847</v>
      </c>
      <c r="G711" s="1898">
        <f t="shared" si="39"/>
        <v>0.64678189479005765</v>
      </c>
      <c r="H711" s="1898">
        <f t="shared" si="39"/>
        <v>0.73355885287863931</v>
      </c>
      <c r="I711" s="1898">
        <f t="shared" si="39"/>
        <v>0.73355885287863931</v>
      </c>
      <c r="J711" s="1898">
        <f t="shared" si="39"/>
        <v>0.73355885287863931</v>
      </c>
      <c r="K711" s="1898">
        <f t="shared" si="39"/>
        <v>0.73355885287863931</v>
      </c>
      <c r="L711" s="1898">
        <f t="shared" si="39"/>
        <v>0.73355885287863931</v>
      </c>
      <c r="M711" s="6"/>
    </row>
    <row r="712" spans="2:13" ht="15" customHeight="1">
      <c r="B712" s="186"/>
      <c r="C712" s="50"/>
      <c r="D712" s="219" t="s">
        <v>561</v>
      </c>
      <c r="E712" s="1898">
        <f t="shared" si="39"/>
        <v>2.3620286504882539</v>
      </c>
      <c r="F712" s="1898">
        <f t="shared" si="39"/>
        <v>2.3620286504882539</v>
      </c>
      <c r="G712" s="1898">
        <f t="shared" si="39"/>
        <v>2.7325520283896263</v>
      </c>
      <c r="H712" s="1898">
        <f t="shared" si="39"/>
        <v>3.1066132538502695</v>
      </c>
      <c r="I712" s="1898">
        <f t="shared" si="39"/>
        <v>3.1066132538502695</v>
      </c>
      <c r="J712" s="1898">
        <f t="shared" si="39"/>
        <v>3.1066132538502695</v>
      </c>
      <c r="K712" s="1898">
        <f t="shared" si="39"/>
        <v>3.1066132538502695</v>
      </c>
      <c r="L712" s="1898">
        <f t="shared" si="39"/>
        <v>3.1066132538502695</v>
      </c>
      <c r="M712" s="6"/>
    </row>
    <row r="713" spans="2:13" ht="15" customHeight="1">
      <c r="B713" s="186"/>
      <c r="C713" s="50"/>
      <c r="D713" s="219" t="s">
        <v>562</v>
      </c>
      <c r="E713" s="1898">
        <f t="shared" si="39"/>
        <v>0.25948427672007435</v>
      </c>
      <c r="F713" s="1898">
        <f t="shared" si="39"/>
        <v>0.25948427672007435</v>
      </c>
      <c r="G713" s="1898">
        <f t="shared" si="39"/>
        <v>0.29666220297161516</v>
      </c>
      <c r="H713" s="1898">
        <f t="shared" si="39"/>
        <v>0.33291674229216472</v>
      </c>
      <c r="I713" s="1898">
        <f t="shared" si="39"/>
        <v>0.33291674229216472</v>
      </c>
      <c r="J713" s="1898">
        <f t="shared" si="39"/>
        <v>0.33291674229216472</v>
      </c>
      <c r="K713" s="1898">
        <f t="shared" si="39"/>
        <v>0.33291674229216472</v>
      </c>
      <c r="L713" s="1898">
        <f t="shared" si="39"/>
        <v>0.33291674229216472</v>
      </c>
      <c r="M713" s="6"/>
    </row>
    <row r="714" spans="2:13" ht="15" customHeight="1">
      <c r="B714" s="186"/>
      <c r="C714" s="50"/>
      <c r="D714" s="219" t="s">
        <v>563</v>
      </c>
      <c r="E714" s="1898">
        <f t="shared" si="39"/>
        <v>0.94779078838012809</v>
      </c>
      <c r="F714" s="1898">
        <f t="shared" si="39"/>
        <v>0.94779078838012809</v>
      </c>
      <c r="G714" s="1898">
        <f t="shared" si="39"/>
        <v>1.2156351028883881</v>
      </c>
      <c r="H714" s="1898">
        <f t="shared" si="39"/>
        <v>1.4305502261491274</v>
      </c>
      <c r="I714" s="1898">
        <f t="shared" si="39"/>
        <v>1.4305502261491274</v>
      </c>
      <c r="J714" s="1898">
        <f t="shared" si="39"/>
        <v>1.4305502261491274</v>
      </c>
      <c r="K714" s="1898">
        <f t="shared" si="39"/>
        <v>1.4305502261491274</v>
      </c>
      <c r="L714" s="1898">
        <f t="shared" si="39"/>
        <v>1.4305502261491274</v>
      </c>
      <c r="M714" s="6"/>
    </row>
    <row r="715" spans="2:13" ht="15" customHeight="1">
      <c r="B715" s="186"/>
      <c r="C715" s="50"/>
      <c r="D715" s="219" t="s">
        <v>1886</v>
      </c>
      <c r="E715" s="1898">
        <f t="shared" si="39"/>
        <v>2.2435549127588293E-2</v>
      </c>
      <c r="F715" s="1898">
        <f t="shared" si="39"/>
        <v>2.2435549127588293E-2</v>
      </c>
      <c r="G715" s="1898">
        <f t="shared" si="39"/>
        <v>2.595528184384922E-2</v>
      </c>
      <c r="H715" s="1898">
        <f t="shared" si="39"/>
        <v>2.9467387904421279E-2</v>
      </c>
      <c r="I715" s="1898">
        <f t="shared" si="39"/>
        <v>2.9467387904421279E-2</v>
      </c>
      <c r="J715" s="1898">
        <f t="shared" si="39"/>
        <v>2.9467387904421279E-2</v>
      </c>
      <c r="K715" s="1898">
        <f t="shared" si="39"/>
        <v>2.9467387904421279E-2</v>
      </c>
      <c r="L715" s="1898">
        <f t="shared" si="39"/>
        <v>2.9467387904421279E-2</v>
      </c>
      <c r="M715" s="6"/>
    </row>
    <row r="716" spans="2:13" ht="15" customHeight="1">
      <c r="B716" s="186"/>
      <c r="C716" s="50"/>
      <c r="D716" s="1939" t="s">
        <v>338</v>
      </c>
      <c r="E716" s="1987">
        <f t="shared" ref="E716:L716" si="40">SUM(E708:E715)</f>
        <v>6.7702581767673529</v>
      </c>
      <c r="F716" s="1987">
        <f t="shared" si="40"/>
        <v>6.7702581767673529</v>
      </c>
      <c r="G716" s="1987">
        <f t="shared" si="40"/>
        <v>7.96094992850679</v>
      </c>
      <c r="H716" s="1987">
        <f t="shared" si="40"/>
        <v>9.1119855990267524</v>
      </c>
      <c r="I716" s="1987">
        <f t="shared" si="40"/>
        <v>9.1119855990267524</v>
      </c>
      <c r="J716" s="1987">
        <f t="shared" si="40"/>
        <v>9.1119855990267524</v>
      </c>
      <c r="K716" s="1987">
        <f t="shared" si="40"/>
        <v>9.1119855990267524</v>
      </c>
      <c r="L716" s="1987">
        <f t="shared" si="40"/>
        <v>9.1119855990267524</v>
      </c>
      <c r="M716" s="6"/>
    </row>
    <row r="717" spans="2:13" ht="15" customHeight="1">
      <c r="B717" s="186"/>
      <c r="C717" s="50"/>
      <c r="D717" s="219"/>
      <c r="E717" s="1898"/>
      <c r="F717" s="1497"/>
      <c r="G717" s="1497"/>
      <c r="H717" s="1497"/>
      <c r="I717" s="1497"/>
      <c r="J717" s="1497"/>
      <c r="K717" s="1497"/>
      <c r="L717" s="1497"/>
      <c r="M717" s="6"/>
    </row>
    <row r="718" spans="2:13" ht="15" customHeight="1">
      <c r="B718" s="186"/>
      <c r="C718" s="50"/>
      <c r="D718" s="1941"/>
      <c r="E718" s="1897"/>
      <c r="F718" s="1897"/>
      <c r="G718" s="1897"/>
      <c r="H718" s="1897"/>
      <c r="I718" s="1897"/>
      <c r="J718" s="1897"/>
      <c r="K718" s="1897"/>
      <c r="L718" s="1897"/>
      <c r="M718" s="6"/>
    </row>
    <row r="719" spans="2:13" ht="15" customHeight="1">
      <c r="B719" s="186"/>
    </row>
    <row r="720" spans="2:13" ht="15" customHeight="1">
      <c r="B720" s="186"/>
      <c r="C720" s="475" t="s">
        <v>1671</v>
      </c>
      <c r="D720" s="475"/>
      <c r="E720" s="475"/>
      <c r="F720" s="475"/>
      <c r="G720" s="475"/>
      <c r="H720" s="475"/>
      <c r="I720" s="475"/>
      <c r="J720" s="475"/>
      <c r="K720" s="475"/>
      <c r="L720" s="475"/>
      <c r="M720" s="475"/>
    </row>
    <row r="721" spans="2:13" ht="15" customHeight="1">
      <c r="B721" s="186"/>
      <c r="C721" s="58"/>
      <c r="D721" s="58"/>
      <c r="E721" s="58"/>
      <c r="F721" s="58"/>
      <c r="G721" s="58"/>
      <c r="H721" s="58"/>
      <c r="I721" s="58"/>
      <c r="J721" s="58"/>
      <c r="K721" s="58"/>
      <c r="L721" s="58"/>
      <c r="M721" s="58"/>
    </row>
    <row r="722" spans="2:13" ht="15" customHeight="1">
      <c r="B722" s="186"/>
      <c r="C722" s="2104"/>
      <c r="D722" s="1942" t="s">
        <v>1888</v>
      </c>
      <c r="E722" s="58"/>
      <c r="F722" s="58"/>
      <c r="G722" s="58"/>
      <c r="H722" s="58"/>
      <c r="I722" s="58"/>
      <c r="J722" s="58"/>
      <c r="K722" s="58"/>
      <c r="L722" s="109" t="s">
        <v>29</v>
      </c>
      <c r="M722" s="58"/>
    </row>
    <row r="723" spans="2:13" ht="15" customHeight="1">
      <c r="B723" s="186"/>
      <c r="C723" s="2104"/>
      <c r="D723" s="1943" t="s">
        <v>1889</v>
      </c>
      <c r="E723" s="1944">
        <v>2018</v>
      </c>
      <c r="F723" s="1944" t="s">
        <v>322</v>
      </c>
      <c r="G723" s="1944" t="s">
        <v>323</v>
      </c>
      <c r="H723" s="1944" t="s">
        <v>324</v>
      </c>
      <c r="I723" s="1944" t="s">
        <v>325</v>
      </c>
      <c r="J723" s="1944" t="s">
        <v>326</v>
      </c>
      <c r="K723" s="1944" t="s">
        <v>327</v>
      </c>
      <c r="L723" s="1944" t="s">
        <v>328</v>
      </c>
      <c r="M723" s="58"/>
    </row>
    <row r="724" spans="2:13" ht="15" customHeight="1">
      <c r="B724" s="186"/>
      <c r="C724" s="2104"/>
      <c r="D724" s="2106" t="s">
        <v>557</v>
      </c>
      <c r="E724" s="2106" cm="1">
        <f t="array" ref="E724:L724">EMISIONES_TOTALES_CO2_CEMENTO+EMISIONES_TOTALES_CH4_CEMENTO+EMISIONES_TOTALES_N2O_CEMENTO+EMISIONES_PRODUCCION_CO2_CEMENTO-F1417:M1417</f>
        <v>0.80410809561800356</v>
      </c>
      <c r="F724" s="2106">
        <v>0.85126761644079341</v>
      </c>
      <c r="G724" s="2106">
        <v>1.0617459712244595</v>
      </c>
      <c r="H724" s="2106">
        <v>1.3207772702283573</v>
      </c>
      <c r="I724" s="2106">
        <v>1.3207772702283573</v>
      </c>
      <c r="J724" s="2106">
        <v>1.3207772702283573</v>
      </c>
      <c r="K724" s="2106">
        <v>1.3207772702283573</v>
      </c>
      <c r="L724" s="2106">
        <v>1.3207772702283573</v>
      </c>
      <c r="M724" s="58"/>
    </row>
    <row r="725" spans="2:13" ht="15" customHeight="1">
      <c r="B725" s="186"/>
      <c r="C725" s="2104"/>
      <c r="D725" s="2106" t="s">
        <v>558</v>
      </c>
      <c r="E725" s="2106" cm="1">
        <f t="array" ref="E725:L725">EMISIONES_TOTALES_CO2_HIERRO+EMISIONES_TOTALES_CH4_HIERRO+EMISIONES_TOTALES_N2O_HIERRO+EMISIONES_PRODUCCION_CO2_HIERRO+EMISIONES_PRODUCCION_CO2_FERROALEACIONES+EMISIONES_PRODUCCION_CO2_PLOMO-F1426:M1426</f>
        <v>0.36746979256062651</v>
      </c>
      <c r="F725" s="2106">
        <v>0.39081097742740806</v>
      </c>
      <c r="G725" s="2106">
        <v>0.47804145601245662</v>
      </c>
      <c r="H725" s="2106">
        <v>0.57716251435725996</v>
      </c>
      <c r="I725" s="2106">
        <v>1.8181805277828991</v>
      </c>
      <c r="J725" s="2106">
        <v>1.8181805277828991</v>
      </c>
      <c r="K725" s="2106">
        <v>1.8181805277828991</v>
      </c>
      <c r="L725" s="2106">
        <v>1.8181805277828991</v>
      </c>
      <c r="M725" s="58"/>
    </row>
    <row r="726" spans="2:13" ht="15" customHeight="1">
      <c r="B726" s="186"/>
      <c r="C726" s="2104"/>
      <c r="D726" s="2106" t="s">
        <v>559</v>
      </c>
      <c r="E726" s="2106" cm="1">
        <f t="array" ref="E726:L726">EMISIONES_TOTALES_CO2_PAPEL+EMISIONES_TOTALES_CH4_PAPEL+EMISIONES_TOTALES_N2O_PAPEL-F1435:M1435</f>
        <v>0.12907632565804764</v>
      </c>
      <c r="F726" s="2106">
        <v>0.12907632565804764</v>
      </c>
      <c r="G726" s="2106">
        <v>0.15163756220187111</v>
      </c>
      <c r="H726" s="2106">
        <v>0.1747793544221066</v>
      </c>
      <c r="I726" s="2106">
        <v>0.1747793544221066</v>
      </c>
      <c r="J726" s="2106">
        <v>0.1747793544221066</v>
      </c>
      <c r="K726" s="2106">
        <v>0.1747793544221066</v>
      </c>
      <c r="L726" s="2106">
        <v>0.1747793544221066</v>
      </c>
      <c r="M726" s="58"/>
    </row>
    <row r="727" spans="2:13" ht="15" customHeight="1">
      <c r="B727" s="186"/>
      <c r="C727" s="2104"/>
      <c r="D727" s="2106" t="s">
        <v>560</v>
      </c>
      <c r="E727" s="2106" cm="1">
        <f t="array" ref="E727:L727">EMISIONES_TOTALES_CO2_QUIMICO+EMISIONES_TOTALES_CH4_QUIMICO+EMISIONES_TOTALES_N2O_QUIMICO+EMISIONES_PRODUCCION_CO2_AMONIACO+EMISIONES_PRODUCCION_CO2_CAL-F1445:M1445</f>
        <v>0.103682178046165</v>
      </c>
      <c r="F727" s="2106">
        <v>0.10445398362792072</v>
      </c>
      <c r="G727" s="2106">
        <v>0.11880124311067528</v>
      </c>
      <c r="H727" s="2106">
        <v>0.13377070034086194</v>
      </c>
      <c r="I727" s="2106">
        <v>0.13377070034086194</v>
      </c>
      <c r="J727" s="2106">
        <v>0.13377070034086194</v>
      </c>
      <c r="K727" s="2106">
        <v>0.13377070034086194</v>
      </c>
      <c r="L727" s="2106">
        <v>0.13377070034086194</v>
      </c>
      <c r="M727" s="58"/>
    </row>
    <row r="728" spans="2:13" ht="15" customHeight="1">
      <c r="B728" s="186"/>
      <c r="C728" s="2104"/>
      <c r="D728" s="2106" t="s">
        <v>561</v>
      </c>
      <c r="E728" s="2106" cm="1">
        <f t="array" ref="E728:L728">EMISIONES_TOTALES_CO2_ALIMENTACION+EMISIONES_TOTALES_CH4_ALIMENTACION+EMISIONES_TOTALES_N2O_ALIMENTACION+-F1454:M1454</f>
        <v>0.74929474570938903</v>
      </c>
      <c r="F728" s="2106">
        <v>0.74929474570938903</v>
      </c>
      <c r="G728" s="2106">
        <v>0.86737000309390955</v>
      </c>
      <c r="H728" s="2106">
        <v>0.98657267182697761</v>
      </c>
      <c r="I728" s="2106">
        <v>0.98657267182697761</v>
      </c>
      <c r="J728" s="2106">
        <v>0.98657267182697761</v>
      </c>
      <c r="K728" s="2106">
        <v>0.98657267182697761</v>
      </c>
      <c r="L728" s="2106">
        <v>0.98657267182697761</v>
      </c>
      <c r="M728" s="58"/>
    </row>
    <row r="729" spans="2:13" ht="15" customHeight="1">
      <c r="B729" s="186"/>
      <c r="C729" s="2104"/>
      <c r="D729" s="2106" t="s">
        <v>562</v>
      </c>
      <c r="E729" s="2106" cm="1">
        <f t="array" ref="E729:L729">EMISIONES_TOTALES_CO2_TEXTIL+EMISIONES_TOTALES_CH4_TEXTIL+EMISIONES_TOTALES_N2O_TEXTIL-F1463:M1463</f>
        <v>4.6711732520175256E-2</v>
      </c>
      <c r="F729" s="2106">
        <v>4.6711732520175256E-2</v>
      </c>
      <c r="G729" s="2106">
        <v>5.3875779917808939E-2</v>
      </c>
      <c r="H729" s="2106">
        <v>6.0861894105956438E-2</v>
      </c>
      <c r="I729" s="2106">
        <v>6.0861894105956438E-2</v>
      </c>
      <c r="J729" s="2106">
        <v>6.0861894105956438E-2</v>
      </c>
      <c r="K729" s="2106">
        <v>6.0861894105956438E-2</v>
      </c>
      <c r="L729" s="2106">
        <v>6.0861894105956438E-2</v>
      </c>
      <c r="M729" s="58"/>
    </row>
    <row r="730" spans="2:13" ht="15" customHeight="1">
      <c r="B730" s="186"/>
      <c r="C730" s="2104"/>
      <c r="D730" s="2106" t="s">
        <v>563</v>
      </c>
      <c r="E730" s="2106" cm="1">
        <f t="array" ref="E730:L730">EMISIONES_TOTALES_CO2_LADRILLERAS+EMISIONES_TOTALES_CH4_LADRILLERAS+EMISIONES_TOTALES_N2O_LADRILLERAS-F1225:M1225</f>
        <v>0.29928112590993755</v>
      </c>
      <c r="F730" s="2106">
        <v>0.29928112590993755</v>
      </c>
      <c r="G730" s="2106">
        <v>0.38391578718484454</v>
      </c>
      <c r="H730" s="2106">
        <v>0.45182564255519853</v>
      </c>
      <c r="I730" s="2106">
        <v>0.45182564255519853</v>
      </c>
      <c r="J730" s="2106">
        <v>0.45182564255519853</v>
      </c>
      <c r="K730" s="2106">
        <v>0.45182564255519853</v>
      </c>
      <c r="L730" s="2106">
        <v>0.45182564255519853</v>
      </c>
      <c r="M730" s="58"/>
    </row>
    <row r="731" spans="2:13" ht="15" customHeight="1">
      <c r="B731" s="186"/>
      <c r="C731" s="2104"/>
      <c r="D731" s="2106" t="s">
        <v>564</v>
      </c>
      <c r="E731" s="2106" cm="1">
        <f t="array" ref="E731:L731">EMISIONES_TOTALES_CO2_OTROS+EMISIONES_TOTALES_CH4_OTROS+EMISIONES_TOTALES_N2O_OTROS+EMISIONES_PRODUCCION_CO2_VIDRIO-F1481:M1481</f>
        <v>2.0626364161375092E-2</v>
      </c>
      <c r="F731" s="2106">
        <v>2.1680599103139284E-2</v>
      </c>
      <c r="G731" s="2106">
        <v>2.6683648671996869E-2</v>
      </c>
      <c r="H731" s="2106">
        <v>3.2303289234448244E-2</v>
      </c>
      <c r="I731" s="2106">
        <v>3.2303289234448244E-2</v>
      </c>
      <c r="J731" s="2106">
        <v>3.2303289234448244E-2</v>
      </c>
      <c r="K731" s="2106">
        <v>3.2303289234448244E-2</v>
      </c>
      <c r="L731" s="2106">
        <v>3.2303289234448244E-2</v>
      </c>
      <c r="M731" s="58"/>
    </row>
    <row r="732" spans="2:13" ht="15" customHeight="1">
      <c r="B732" s="186"/>
      <c r="C732" s="2104"/>
      <c r="D732" s="2105" t="s">
        <v>338</v>
      </c>
      <c r="E732" s="2108">
        <f t="shared" ref="E732:L732" si="41">SUM(E724:E731)</f>
        <v>2.5202503601837201</v>
      </c>
      <c r="F732" s="2108">
        <f t="shared" si="41"/>
        <v>2.5925771063968113</v>
      </c>
      <c r="G732" s="2108">
        <f t="shared" si="41"/>
        <v>3.1420714514180221</v>
      </c>
      <c r="H732" s="2108">
        <f t="shared" si="41"/>
        <v>3.7380533370711668</v>
      </c>
      <c r="I732" s="2108">
        <f t="shared" si="41"/>
        <v>4.9790713504968069</v>
      </c>
      <c r="J732" s="2108">
        <f t="shared" si="41"/>
        <v>4.9790713504968069</v>
      </c>
      <c r="K732" s="2108">
        <f t="shared" si="41"/>
        <v>4.9790713504968069</v>
      </c>
      <c r="L732" s="2108">
        <f t="shared" si="41"/>
        <v>4.9790713504968069</v>
      </c>
      <c r="M732" s="58"/>
    </row>
    <row r="733" spans="2:13" ht="15" customHeight="1">
      <c r="B733" s="186"/>
      <c r="C733" s="2104"/>
      <c r="D733" s="2104"/>
      <c r="E733" s="2052"/>
      <c r="F733" s="2052"/>
      <c r="G733" s="2052"/>
      <c r="H733" s="2052"/>
      <c r="I733" s="2052"/>
      <c r="J733" s="2052"/>
      <c r="K733" s="2052"/>
      <c r="L733" s="2052"/>
      <c r="M733" s="58"/>
    </row>
    <row r="734" spans="2:13" ht="15" customHeight="1">
      <c r="B734" s="186"/>
      <c r="C734" s="2104"/>
      <c r="D734" s="2099"/>
      <c r="E734" s="58"/>
      <c r="F734" s="58"/>
      <c r="G734" s="58"/>
      <c r="H734" s="58"/>
      <c r="I734" s="58"/>
      <c r="J734" s="58"/>
      <c r="K734" s="58"/>
      <c r="L734" s="109" t="s">
        <v>29</v>
      </c>
      <c r="M734" s="58"/>
    </row>
    <row r="735" spans="2:13" ht="15" customHeight="1">
      <c r="B735" s="186"/>
      <c r="C735" s="2104"/>
      <c r="D735" s="1943" t="s">
        <v>1889</v>
      </c>
      <c r="E735" s="1944">
        <v>2018</v>
      </c>
      <c r="F735" s="1944" t="s">
        <v>322</v>
      </c>
      <c r="G735" s="1944" t="s">
        <v>323</v>
      </c>
      <c r="H735" s="1944" t="s">
        <v>324</v>
      </c>
      <c r="I735" s="1944" t="s">
        <v>325</v>
      </c>
      <c r="J735" s="1944" t="s">
        <v>326</v>
      </c>
      <c r="K735" s="1944" t="s">
        <v>327</v>
      </c>
      <c r="L735" s="1944" t="s">
        <v>328</v>
      </c>
      <c r="M735" s="58"/>
    </row>
    <row r="736" spans="2:13" ht="15" customHeight="1">
      <c r="B736" s="186"/>
      <c r="C736" s="2104"/>
      <c r="D736" s="2107" t="s">
        <v>565</v>
      </c>
      <c r="E736" s="2109" cm="1">
        <f t="array" ref="E736:L736">EMISION_TOTAL_SAO</f>
        <v>7.8987523506667309E-2</v>
      </c>
      <c r="F736" s="2109">
        <v>0.10202453218922972</v>
      </c>
      <c r="G736" s="2109">
        <v>0.16239709821170684</v>
      </c>
      <c r="H736" s="2109">
        <v>0.20839409485702687</v>
      </c>
      <c r="I736" s="2109">
        <v>0.25439109150234679</v>
      </c>
      <c r="J736" s="2109">
        <v>0.30038808814766682</v>
      </c>
      <c r="K736" s="2109">
        <v>0.34638508479298674</v>
      </c>
      <c r="L736" s="2109">
        <v>0.39238208143830666</v>
      </c>
      <c r="M736" s="58"/>
    </row>
    <row r="737" spans="2:13" ht="15" customHeight="1">
      <c r="B737" s="186"/>
      <c r="C737" s="2104"/>
      <c r="D737" s="542"/>
      <c r="E737" s="2138"/>
      <c r="F737" s="2138"/>
      <c r="G737" s="2138"/>
      <c r="H737" s="2138"/>
      <c r="I737" s="2138"/>
      <c r="J737" s="2138"/>
      <c r="K737" s="2138"/>
      <c r="L737" s="2138"/>
      <c r="M737" s="58"/>
    </row>
    <row r="738" spans="2:13" ht="15" customHeight="1">
      <c r="B738" s="186"/>
      <c r="C738" s="2104"/>
      <c r="D738" s="542"/>
      <c r="E738" s="2138"/>
      <c r="F738" s="2138"/>
      <c r="G738" s="2138"/>
      <c r="H738" s="2138"/>
      <c r="I738" s="2138"/>
      <c r="J738" s="2138"/>
      <c r="K738" s="2138"/>
      <c r="L738" s="109" t="s">
        <v>29</v>
      </c>
      <c r="M738" s="58"/>
    </row>
    <row r="739" spans="2:13" ht="15" customHeight="1">
      <c r="B739" s="186"/>
      <c r="C739" s="2104"/>
      <c r="D739" s="1944"/>
      <c r="E739" s="1944">
        <v>2018</v>
      </c>
      <c r="F739" s="1944" t="s">
        <v>322</v>
      </c>
      <c r="G739" s="1944" t="s">
        <v>323</v>
      </c>
      <c r="H739" s="1944" t="s">
        <v>324</v>
      </c>
      <c r="I739" s="1944" t="s">
        <v>325</v>
      </c>
      <c r="J739" s="1944" t="s">
        <v>326</v>
      </c>
      <c r="K739" s="1944" t="s">
        <v>327</v>
      </c>
      <c r="L739" s="1944" t="s">
        <v>328</v>
      </c>
      <c r="M739" s="58"/>
    </row>
    <row r="740" spans="2:13" ht="15" customHeight="1">
      <c r="B740" s="186"/>
      <c r="C740" s="2104"/>
      <c r="D740" s="3700" t="s">
        <v>1890</v>
      </c>
      <c r="E740" s="2108" cm="1">
        <f t="array" ref="E740:L740">E732:L732+SALIDA_EMISIONES_IND_EMISIONES_SAO</f>
        <v>2.5992378836903876</v>
      </c>
      <c r="F740" s="2108">
        <v>2.694601638586041</v>
      </c>
      <c r="G740" s="2108">
        <v>3.3044685496297288</v>
      </c>
      <c r="H740" s="2108">
        <v>3.9464474319281937</v>
      </c>
      <c r="I740" s="2108">
        <v>5.233462441999154</v>
      </c>
      <c r="J740" s="2108">
        <v>5.2794594386444738</v>
      </c>
      <c r="K740" s="2108">
        <v>5.3254564352897935</v>
      </c>
      <c r="L740" s="2108">
        <v>5.3714534319351133</v>
      </c>
      <c r="M740" s="58"/>
    </row>
    <row r="741" spans="2:13" ht="15" customHeight="1">
      <c r="B741" s="186"/>
      <c r="C741" s="2104"/>
      <c r="D741" s="542"/>
      <c r="E741" s="2138"/>
      <c r="F741" s="2138"/>
      <c r="G741" s="2138"/>
      <c r="H741" s="2138"/>
      <c r="I741" s="2138"/>
      <c r="J741" s="2138"/>
      <c r="K741" s="2138"/>
      <c r="L741" s="2138"/>
      <c r="M741" s="58"/>
    </row>
    <row r="742" spans="2:13" ht="15" customHeight="1">
      <c r="B742" s="186"/>
      <c r="C742" s="2104"/>
      <c r="D742" s="2139" t="s">
        <v>1891</v>
      </c>
      <c r="E742" s="2139"/>
      <c r="F742" s="2139"/>
      <c r="G742" s="2139"/>
      <c r="H742" s="2139"/>
      <c r="I742" s="2139"/>
      <c r="J742" s="2139"/>
      <c r="K742" s="2139"/>
      <c r="L742" s="2139"/>
      <c r="M742" s="58"/>
    </row>
    <row r="743" spans="2:13" ht="15" customHeight="1">
      <c r="B743" s="186"/>
      <c r="C743" s="2104"/>
      <c r="D743" s="542"/>
      <c r="E743" s="2138"/>
      <c r="F743" s="2138"/>
      <c r="G743" s="2138"/>
      <c r="H743" s="2138"/>
      <c r="I743" s="2138"/>
      <c r="J743" s="2138"/>
      <c r="K743" s="2138"/>
      <c r="L743" s="2138"/>
      <c r="M743" s="58"/>
    </row>
    <row r="744" spans="2:13" ht="15" customHeight="1">
      <c r="B744" s="186"/>
      <c r="C744" s="2104"/>
      <c r="D744" s="2099"/>
      <c r="E744" s="58"/>
      <c r="F744" s="58"/>
      <c r="G744" s="58"/>
      <c r="H744" s="58"/>
      <c r="I744" s="58"/>
      <c r="J744" s="58"/>
      <c r="K744" s="58"/>
      <c r="L744" s="109" t="s">
        <v>29</v>
      </c>
      <c r="M744" s="58"/>
    </row>
    <row r="745" spans="2:13" ht="15" customHeight="1">
      <c r="B745" s="186"/>
      <c r="C745" s="2104"/>
      <c r="D745" s="1943" t="s">
        <v>1889</v>
      </c>
      <c r="E745" s="1944">
        <v>2018</v>
      </c>
      <c r="F745" s="1944" t="s">
        <v>322</v>
      </c>
      <c r="G745" s="1944" t="s">
        <v>323</v>
      </c>
      <c r="H745" s="1944" t="s">
        <v>324</v>
      </c>
      <c r="I745" s="1944" t="s">
        <v>325</v>
      </c>
      <c r="J745" s="1944" t="s">
        <v>326</v>
      </c>
      <c r="K745" s="1944" t="s">
        <v>327</v>
      </c>
      <c r="L745" s="1944" t="s">
        <v>328</v>
      </c>
      <c r="M745" s="58"/>
    </row>
    <row r="746" spans="2:13" ht="15" customHeight="1">
      <c r="B746" s="186"/>
      <c r="C746" s="2104"/>
      <c r="D746" s="2107" t="s">
        <v>1892</v>
      </c>
      <c r="E746" s="2109" cm="1">
        <f t="array" ref="E746:L746">SALIDA_EMISIONES_CULTIVOS_BAGAZO_Y_OTROS_A_INDUSTRIA</f>
        <v>2.131022839070458E-2</v>
      </c>
      <c r="F746" s="2109">
        <v>2.128583625103719E-2</v>
      </c>
      <c r="G746" s="2109">
        <v>2.1277426045735251E-2</v>
      </c>
      <c r="H746" s="2109">
        <v>2.1269026650337638E-2</v>
      </c>
      <c r="I746" s="2109">
        <v>2.1260638050950038E-2</v>
      </c>
      <c r="J746" s="2109">
        <v>2.1252260233695995E-2</v>
      </c>
      <c r="K746" s="2109">
        <v>2.1243893184716894E-2</v>
      </c>
      <c r="L746" s="2109">
        <v>2.1235536890171922E-2</v>
      </c>
      <c r="M746" s="58"/>
    </row>
    <row r="747" spans="2:13" ht="15" customHeight="1">
      <c r="B747" s="186"/>
      <c r="C747" s="2104"/>
      <c r="D747" s="542"/>
      <c r="E747" s="2138"/>
      <c r="F747" s="2138"/>
      <c r="G747" s="2138"/>
      <c r="H747" s="2138"/>
      <c r="I747" s="2138"/>
      <c r="J747" s="2138"/>
      <c r="K747" s="2138"/>
      <c r="L747" s="2138"/>
      <c r="M747" s="58"/>
    </row>
    <row r="748" spans="2:13" ht="15" customHeight="1">
      <c r="B748" s="186"/>
      <c r="C748" s="2104"/>
      <c r="D748" s="542"/>
      <c r="E748" s="2138"/>
      <c r="F748" s="2138"/>
      <c r="G748" s="2138"/>
      <c r="H748" s="2138"/>
      <c r="I748" s="2138"/>
      <c r="J748" s="2138"/>
      <c r="K748" s="2138"/>
      <c r="L748" s="2138"/>
      <c r="M748" s="58"/>
    </row>
    <row r="749" spans="2:13" ht="15" customHeight="1">
      <c r="B749" s="186"/>
      <c r="C749" s="2104"/>
      <c r="D749" s="2104"/>
      <c r="E749" s="2052"/>
      <c r="F749" s="2052"/>
      <c r="G749" s="2052"/>
      <c r="H749" s="2052"/>
      <c r="I749" s="2052"/>
      <c r="J749" s="2052"/>
      <c r="K749" s="2052"/>
      <c r="L749" s="2052"/>
      <c r="M749" s="58"/>
    </row>
    <row r="750" spans="2:13" ht="15" customHeight="1">
      <c r="B750" s="186"/>
    </row>
    <row r="751" spans="2:13" ht="15" customHeight="1">
      <c r="B751" s="186"/>
      <c r="C751" s="489" t="s">
        <v>797</v>
      </c>
      <c r="D751" s="489"/>
      <c r="E751" s="489"/>
      <c r="F751" s="489"/>
      <c r="G751" s="489"/>
      <c r="H751" s="489"/>
      <c r="I751" s="489"/>
      <c r="J751" s="489"/>
      <c r="K751" s="489"/>
      <c r="L751" s="489"/>
      <c r="M751" s="489"/>
    </row>
    <row r="752" spans="2:13" ht="15" customHeight="1">
      <c r="B752" s="186"/>
      <c r="C752" s="491"/>
      <c r="D752" s="66"/>
      <c r="E752" s="66"/>
      <c r="F752" s="66"/>
      <c r="G752" s="66"/>
      <c r="H752" s="66"/>
      <c r="I752" s="66"/>
      <c r="J752" s="66"/>
      <c r="K752" s="66"/>
      <c r="L752" s="66"/>
      <c r="M752" s="66"/>
    </row>
    <row r="753" spans="2:13" ht="15" customHeight="1">
      <c r="B753" s="1921"/>
      <c r="C753" s="491"/>
      <c r="D753" s="2141" t="s">
        <v>1868</v>
      </c>
      <c r="E753" s="2141"/>
      <c r="F753" s="2141"/>
      <c r="G753" s="2141"/>
      <c r="H753" s="2141"/>
      <c r="I753" s="2141"/>
      <c r="J753" s="2141"/>
      <c r="K753" s="2141"/>
      <c r="L753" s="2141"/>
      <c r="M753" s="66"/>
    </row>
    <row r="754" spans="2:13" ht="15" customHeight="1">
      <c r="B754" s="1921"/>
      <c r="C754" s="491"/>
      <c r="D754" s="114"/>
      <c r="E754" s="66"/>
      <c r="F754" s="66"/>
      <c r="G754" s="66"/>
      <c r="H754" s="66"/>
      <c r="I754" s="66"/>
      <c r="J754" s="66"/>
      <c r="K754" s="66"/>
      <c r="L754" s="1945"/>
      <c r="M754" s="66"/>
    </row>
    <row r="755" spans="2:13" ht="15" customHeight="1">
      <c r="B755" s="1921"/>
      <c r="C755" s="491"/>
      <c r="D755" s="2658" t="s">
        <v>1869</v>
      </c>
      <c r="E755" s="324"/>
      <c r="F755" s="324"/>
      <c r="G755" s="324"/>
      <c r="H755" s="324"/>
      <c r="I755" s="324"/>
      <c r="J755" s="324"/>
      <c r="K755" s="324"/>
      <c r="L755" s="325" t="s">
        <v>803</v>
      </c>
      <c r="M755" s="66"/>
    </row>
    <row r="756" spans="2:13" ht="15" customHeight="1">
      <c r="B756" s="1921"/>
      <c r="C756" s="491"/>
      <c r="D756" s="2024" t="s">
        <v>296</v>
      </c>
      <c r="E756" s="2025">
        <v>2018</v>
      </c>
      <c r="F756" s="2025">
        <v>2020</v>
      </c>
      <c r="G756" s="2025">
        <v>2025</v>
      </c>
      <c r="H756" s="2025">
        <v>2030</v>
      </c>
      <c r="I756" s="2025">
        <v>2035</v>
      </c>
      <c r="J756" s="2025">
        <v>2040</v>
      </c>
      <c r="K756" s="2025">
        <v>2045</v>
      </c>
      <c r="L756" s="2025">
        <v>2050</v>
      </c>
      <c r="M756" s="66"/>
    </row>
    <row r="757" spans="2:13" ht="15" customHeight="1">
      <c r="B757" s="1921"/>
      <c r="C757" s="491"/>
      <c r="D757" s="331" t="s">
        <v>917</v>
      </c>
      <c r="E757" s="2683">
        <f t="shared" ref="E757:L764" si="42">E536</f>
        <v>65786</v>
      </c>
      <c r="F757" s="2683">
        <f t="shared" si="42"/>
        <v>65786</v>
      </c>
      <c r="G757" s="2683">
        <f t="shared" si="42"/>
        <v>76349.57220356274</v>
      </c>
      <c r="H757" s="2683">
        <f t="shared" si="42"/>
        <v>87198.744675138325</v>
      </c>
      <c r="I757" s="2683">
        <f t="shared" si="42"/>
        <v>87198.744675138325</v>
      </c>
      <c r="J757" s="2683">
        <f t="shared" si="42"/>
        <v>87198.744675138325</v>
      </c>
      <c r="K757" s="2683">
        <f t="shared" si="42"/>
        <v>87198.744675138325</v>
      </c>
      <c r="L757" s="2683">
        <f t="shared" si="42"/>
        <v>87198.744675138325</v>
      </c>
      <c r="M757" s="66"/>
    </row>
    <row r="758" spans="2:13" ht="15" customHeight="1">
      <c r="B758" s="1921"/>
      <c r="C758" s="491"/>
      <c r="D758" s="331" t="s">
        <v>558</v>
      </c>
      <c r="E758" s="1500">
        <f t="shared" si="42"/>
        <v>40860</v>
      </c>
      <c r="F758" s="1500">
        <f t="shared" si="42"/>
        <v>40860</v>
      </c>
      <c r="G758" s="1500">
        <f t="shared" si="42"/>
        <v>46869.473250469389</v>
      </c>
      <c r="H758" s="1500">
        <f t="shared" si="42"/>
        <v>52906.916433109538</v>
      </c>
      <c r="I758" s="1500">
        <f t="shared" si="42"/>
        <v>52906.916433109538</v>
      </c>
      <c r="J758" s="1500">
        <f t="shared" si="42"/>
        <v>52906.916433109538</v>
      </c>
      <c r="K758" s="1500">
        <f t="shared" si="42"/>
        <v>52906.916433109538</v>
      </c>
      <c r="L758" s="1500">
        <f t="shared" si="42"/>
        <v>52906.916433109538</v>
      </c>
      <c r="M758" s="66"/>
    </row>
    <row r="759" spans="2:13" ht="15" customHeight="1">
      <c r="B759" s="1921"/>
      <c r="C759" s="491"/>
      <c r="D759" s="331" t="s">
        <v>559</v>
      </c>
      <c r="E759" s="1500">
        <f t="shared" si="42"/>
        <v>15933</v>
      </c>
      <c r="F759" s="1500">
        <f t="shared" si="42"/>
        <v>15933</v>
      </c>
      <c r="G759" s="1500">
        <f t="shared" si="42"/>
        <v>18477.829760491153</v>
      </c>
      <c r="H759" s="1500">
        <f t="shared" si="42"/>
        <v>21088.144201313793</v>
      </c>
      <c r="I759" s="1500">
        <f t="shared" si="42"/>
        <v>21088.144201313793</v>
      </c>
      <c r="J759" s="1500">
        <f t="shared" si="42"/>
        <v>21088.144201313793</v>
      </c>
      <c r="K759" s="1500">
        <f t="shared" si="42"/>
        <v>21088.144201313793</v>
      </c>
      <c r="L759" s="1500">
        <f t="shared" si="42"/>
        <v>21088.144201313793</v>
      </c>
      <c r="M759" s="66"/>
    </row>
    <row r="760" spans="2:13" ht="15" customHeight="1">
      <c r="B760" s="1921"/>
      <c r="C760" s="491"/>
      <c r="D760" s="331" t="s">
        <v>560</v>
      </c>
      <c r="E760" s="1500">
        <f t="shared" si="42"/>
        <v>73989.731123634134</v>
      </c>
      <c r="F760" s="1500">
        <f t="shared" si="42"/>
        <v>73989.731123634134</v>
      </c>
      <c r="G760" s="1500">
        <f t="shared" si="42"/>
        <v>85247.79359321887</v>
      </c>
      <c r="H760" s="1500">
        <f t="shared" si="42"/>
        <v>96658.36489353799</v>
      </c>
      <c r="I760" s="1500">
        <f t="shared" si="42"/>
        <v>96658.36489353799</v>
      </c>
      <c r="J760" s="1500">
        <f t="shared" si="42"/>
        <v>96658.36489353799</v>
      </c>
      <c r="K760" s="1500">
        <f t="shared" si="42"/>
        <v>96658.36489353799</v>
      </c>
      <c r="L760" s="1500">
        <f t="shared" si="42"/>
        <v>96658.36489353799</v>
      </c>
      <c r="M760" s="66"/>
    </row>
    <row r="761" spans="2:13" ht="15" customHeight="1">
      <c r="B761" s="1921"/>
      <c r="C761" s="491"/>
      <c r="D761" s="331" t="s">
        <v>561</v>
      </c>
      <c r="E761" s="1500">
        <f t="shared" si="42"/>
        <v>7451</v>
      </c>
      <c r="F761" s="1500">
        <f t="shared" si="42"/>
        <v>7451</v>
      </c>
      <c r="G761" s="1500">
        <f t="shared" si="42"/>
        <v>8567.3761474351413</v>
      </c>
      <c r="H761" s="1500">
        <f t="shared" si="42"/>
        <v>9694.4117265390814</v>
      </c>
      <c r="I761" s="1500">
        <f t="shared" si="42"/>
        <v>9694.4117265390814</v>
      </c>
      <c r="J761" s="1500">
        <f t="shared" si="42"/>
        <v>9694.4117265390814</v>
      </c>
      <c r="K761" s="1500">
        <f t="shared" si="42"/>
        <v>9694.4117265390814</v>
      </c>
      <c r="L761" s="1500">
        <f t="shared" si="42"/>
        <v>9694.4117265390814</v>
      </c>
      <c r="M761" s="66"/>
    </row>
    <row r="762" spans="2:13" ht="15" customHeight="1">
      <c r="B762" s="1921"/>
      <c r="C762" s="491"/>
      <c r="D762" s="331" t="s">
        <v>918</v>
      </c>
      <c r="E762" s="1500">
        <f t="shared" si="42"/>
        <v>0</v>
      </c>
      <c r="F762" s="1500">
        <f t="shared" si="42"/>
        <v>0</v>
      </c>
      <c r="G762" s="1500">
        <f t="shared" si="42"/>
        <v>0</v>
      </c>
      <c r="H762" s="1500">
        <f t="shared" si="42"/>
        <v>0</v>
      </c>
      <c r="I762" s="1500">
        <f t="shared" si="42"/>
        <v>0</v>
      </c>
      <c r="J762" s="1500">
        <f t="shared" si="42"/>
        <v>0</v>
      </c>
      <c r="K762" s="1500">
        <f t="shared" si="42"/>
        <v>0</v>
      </c>
      <c r="L762" s="1500">
        <f t="shared" si="42"/>
        <v>0</v>
      </c>
      <c r="M762" s="66"/>
    </row>
    <row r="763" spans="2:13" ht="15" customHeight="1">
      <c r="B763" s="1921"/>
      <c r="C763" s="491"/>
      <c r="D763" s="331" t="s">
        <v>1886</v>
      </c>
      <c r="E763" s="1500">
        <f t="shared" si="42"/>
        <v>0</v>
      </c>
      <c r="F763" s="1500">
        <f t="shared" si="42"/>
        <v>0</v>
      </c>
      <c r="G763" s="1500">
        <f t="shared" si="42"/>
        <v>0</v>
      </c>
      <c r="H763" s="1500">
        <f t="shared" si="42"/>
        <v>0</v>
      </c>
      <c r="I763" s="1500">
        <f t="shared" si="42"/>
        <v>0</v>
      </c>
      <c r="J763" s="1500">
        <f t="shared" si="42"/>
        <v>0</v>
      </c>
      <c r="K763" s="1500">
        <f t="shared" si="42"/>
        <v>0</v>
      </c>
      <c r="L763" s="1500">
        <f t="shared" si="42"/>
        <v>0</v>
      </c>
      <c r="M763" s="66"/>
    </row>
    <row r="764" spans="2:13" ht="15" customHeight="1">
      <c r="B764" s="1921"/>
      <c r="C764" s="491"/>
      <c r="D764" s="333" t="s">
        <v>563</v>
      </c>
      <c r="E764" s="1644">
        <f t="shared" si="42"/>
        <v>2557</v>
      </c>
      <c r="F764" s="1644">
        <f t="shared" si="42"/>
        <v>2557</v>
      </c>
      <c r="G764" s="1644">
        <f t="shared" si="42"/>
        <v>3279.37487030383</v>
      </c>
      <c r="H764" s="1644">
        <f t="shared" si="42"/>
        <v>3858.9999580225403</v>
      </c>
      <c r="I764" s="1644">
        <f t="shared" si="42"/>
        <v>3858.9999580225403</v>
      </c>
      <c r="J764" s="1644">
        <f t="shared" si="42"/>
        <v>3858.9999580225403</v>
      </c>
      <c r="K764" s="1644">
        <f t="shared" si="42"/>
        <v>3858.9999580225403</v>
      </c>
      <c r="L764" s="1644">
        <f t="shared" si="42"/>
        <v>3858.9999580225403</v>
      </c>
      <c r="M764" s="66"/>
    </row>
    <row r="765" spans="2:13" ht="15" customHeight="1">
      <c r="B765" s="1921"/>
      <c r="C765" s="491"/>
      <c r="D765" s="2024" t="s">
        <v>338</v>
      </c>
      <c r="E765" s="2796">
        <f>SUM(E757:E764)</f>
        <v>206576.73112363415</v>
      </c>
      <c r="F765" s="2796">
        <f t="shared" ref="F765:L765" si="43">SUM(F757:F764)</f>
        <v>206576.73112363415</v>
      </c>
      <c r="G765" s="2796">
        <f t="shared" si="43"/>
        <v>238791.41982548113</v>
      </c>
      <c r="H765" s="2796">
        <f t="shared" si="43"/>
        <v>271405.5818876613</v>
      </c>
      <c r="I765" s="2796">
        <f t="shared" si="43"/>
        <v>271405.5818876613</v>
      </c>
      <c r="J765" s="2796">
        <f t="shared" si="43"/>
        <v>271405.5818876613</v>
      </c>
      <c r="K765" s="2796">
        <f t="shared" si="43"/>
        <v>271405.5818876613</v>
      </c>
      <c r="L765" s="2796">
        <f t="shared" si="43"/>
        <v>271405.5818876613</v>
      </c>
      <c r="M765" s="66"/>
    </row>
    <row r="766" spans="2:13" ht="15" customHeight="1">
      <c r="B766" s="1921"/>
      <c r="C766" s="491"/>
      <c r="D766" s="114"/>
      <c r="E766" s="1499"/>
      <c r="F766" s="1499"/>
      <c r="G766" s="1499"/>
      <c r="H766" s="1499"/>
      <c r="I766" s="1499"/>
      <c r="J766" s="1499"/>
      <c r="K766" s="1499"/>
      <c r="L766" s="1499"/>
      <c r="M766" s="66"/>
    </row>
    <row r="767" spans="2:13" ht="15" customHeight="1">
      <c r="B767" s="1921"/>
      <c r="C767" s="491"/>
      <c r="D767" s="2658" t="s">
        <v>1870</v>
      </c>
      <c r="E767" s="324"/>
      <c r="F767" s="324"/>
      <c r="G767" s="324"/>
      <c r="H767" s="324"/>
      <c r="I767" s="324"/>
      <c r="J767" s="324"/>
      <c r="K767" s="324"/>
      <c r="L767" s="325" t="s">
        <v>803</v>
      </c>
      <c r="M767" s="66"/>
    </row>
    <row r="768" spans="2:13" ht="15" customHeight="1">
      <c r="B768" s="1921"/>
      <c r="C768" s="491"/>
      <c r="D768" s="2024" t="s">
        <v>296</v>
      </c>
      <c r="E768" s="2025">
        <v>2018</v>
      </c>
      <c r="F768" s="2025">
        <v>2020</v>
      </c>
      <c r="G768" s="2025">
        <v>2025</v>
      </c>
      <c r="H768" s="2025">
        <v>2030</v>
      </c>
      <c r="I768" s="2025">
        <v>2035</v>
      </c>
      <c r="J768" s="2025">
        <v>2040</v>
      </c>
      <c r="K768" s="2025">
        <v>2045</v>
      </c>
      <c r="L768" s="2025">
        <v>2050</v>
      </c>
      <c r="M768" s="66"/>
    </row>
    <row r="769" spans="2:13" ht="15" customHeight="1">
      <c r="B769" s="1921"/>
      <c r="C769" s="491"/>
      <c r="D769" s="331" t="s">
        <v>917</v>
      </c>
      <c r="E769" s="1499">
        <f t="shared" ref="E769:L776" si="44">E547</f>
        <v>65786</v>
      </c>
      <c r="F769" s="1499">
        <f t="shared" si="44"/>
        <v>65786</v>
      </c>
      <c r="G769" s="1499">
        <f t="shared" si="44"/>
        <v>76349.57220356274</v>
      </c>
      <c r="H769" s="1499">
        <f t="shared" si="44"/>
        <v>87198.744675138325</v>
      </c>
      <c r="I769" s="1499">
        <f t="shared" si="44"/>
        <v>87198.744675138325</v>
      </c>
      <c r="J769" s="1499">
        <f t="shared" si="44"/>
        <v>87198.744675138325</v>
      </c>
      <c r="K769" s="1499">
        <f t="shared" si="44"/>
        <v>87198.744675138325</v>
      </c>
      <c r="L769" s="1499">
        <f t="shared" si="44"/>
        <v>87198.744675138325</v>
      </c>
      <c r="M769" s="66"/>
    </row>
    <row r="770" spans="2:13" ht="15" customHeight="1">
      <c r="B770" s="1921"/>
      <c r="C770" s="491"/>
      <c r="D770" s="331" t="s">
        <v>558</v>
      </c>
      <c r="E770" s="1499">
        <f t="shared" si="44"/>
        <v>40860</v>
      </c>
      <c r="F770" s="1499">
        <f t="shared" si="44"/>
        <v>40860</v>
      </c>
      <c r="G770" s="1499">
        <f t="shared" si="44"/>
        <v>46869.473250469389</v>
      </c>
      <c r="H770" s="1499">
        <f t="shared" si="44"/>
        <v>52906.916433109538</v>
      </c>
      <c r="I770" s="1499">
        <f t="shared" si="44"/>
        <v>52906.916433109538</v>
      </c>
      <c r="J770" s="1499">
        <f t="shared" si="44"/>
        <v>52906.916433109538</v>
      </c>
      <c r="K770" s="1499">
        <f t="shared" si="44"/>
        <v>52906.916433109538</v>
      </c>
      <c r="L770" s="1499">
        <f t="shared" si="44"/>
        <v>52906.916433109538</v>
      </c>
      <c r="M770" s="66"/>
    </row>
    <row r="771" spans="2:13" ht="15" customHeight="1">
      <c r="B771" s="1921"/>
      <c r="C771" s="491"/>
      <c r="D771" s="331" t="s">
        <v>559</v>
      </c>
      <c r="E771" s="1499">
        <f t="shared" si="44"/>
        <v>15933</v>
      </c>
      <c r="F771" s="1499">
        <f t="shared" si="44"/>
        <v>15933</v>
      </c>
      <c r="G771" s="1499">
        <f t="shared" si="44"/>
        <v>18477.829760491153</v>
      </c>
      <c r="H771" s="1499">
        <f t="shared" si="44"/>
        <v>21088.144201313793</v>
      </c>
      <c r="I771" s="1499">
        <f t="shared" si="44"/>
        <v>21088.144201313793</v>
      </c>
      <c r="J771" s="1499">
        <f t="shared" si="44"/>
        <v>21088.144201313793</v>
      </c>
      <c r="K771" s="1499">
        <f t="shared" si="44"/>
        <v>21088.144201313793</v>
      </c>
      <c r="L771" s="1499">
        <f t="shared" si="44"/>
        <v>21088.144201313793</v>
      </c>
      <c r="M771" s="66"/>
    </row>
    <row r="772" spans="2:13" ht="15" customHeight="1">
      <c r="B772" s="1921"/>
      <c r="C772" s="491"/>
      <c r="D772" s="331" t="s">
        <v>560</v>
      </c>
      <c r="E772" s="1499">
        <f t="shared" si="44"/>
        <v>73989.731123634134</v>
      </c>
      <c r="F772" s="1499">
        <f t="shared" si="44"/>
        <v>73989.731123634134</v>
      </c>
      <c r="G772" s="1499">
        <f t="shared" si="44"/>
        <v>85247.79359321887</v>
      </c>
      <c r="H772" s="1499">
        <f t="shared" si="44"/>
        <v>96658.36489353799</v>
      </c>
      <c r="I772" s="1499">
        <f t="shared" si="44"/>
        <v>96658.36489353799</v>
      </c>
      <c r="J772" s="1499">
        <f t="shared" si="44"/>
        <v>96658.36489353799</v>
      </c>
      <c r="K772" s="1499">
        <f t="shared" si="44"/>
        <v>96658.36489353799</v>
      </c>
      <c r="L772" s="1499">
        <f t="shared" si="44"/>
        <v>96658.36489353799</v>
      </c>
      <c r="M772" s="66"/>
    </row>
    <row r="773" spans="2:13" ht="15" customHeight="1">
      <c r="B773" s="1921"/>
      <c r="C773" s="491"/>
      <c r="D773" s="331" t="s">
        <v>561</v>
      </c>
      <c r="E773" s="1499">
        <f t="shared" si="44"/>
        <v>7451</v>
      </c>
      <c r="F773" s="1499">
        <f t="shared" si="44"/>
        <v>7451</v>
      </c>
      <c r="G773" s="1499">
        <f t="shared" si="44"/>
        <v>8567.3761474351413</v>
      </c>
      <c r="H773" s="1499">
        <f t="shared" si="44"/>
        <v>9694.4117265390814</v>
      </c>
      <c r="I773" s="1499">
        <f t="shared" si="44"/>
        <v>9694.4117265390814</v>
      </c>
      <c r="J773" s="1499">
        <f t="shared" si="44"/>
        <v>9694.4117265390814</v>
      </c>
      <c r="K773" s="1499">
        <f t="shared" si="44"/>
        <v>9694.4117265390814</v>
      </c>
      <c r="L773" s="1499">
        <f t="shared" si="44"/>
        <v>9694.4117265390814</v>
      </c>
      <c r="M773" s="66"/>
    </row>
    <row r="774" spans="2:13" ht="15" customHeight="1">
      <c r="B774" s="1921"/>
      <c r="C774" s="491"/>
      <c r="D774" s="331" t="s">
        <v>918</v>
      </c>
      <c r="E774" s="1499">
        <f t="shared" si="44"/>
        <v>0</v>
      </c>
      <c r="F774" s="1499">
        <f t="shared" si="44"/>
        <v>0</v>
      </c>
      <c r="G774" s="1499">
        <f t="shared" si="44"/>
        <v>0</v>
      </c>
      <c r="H774" s="1499">
        <f t="shared" si="44"/>
        <v>0</v>
      </c>
      <c r="I774" s="1499">
        <f t="shared" si="44"/>
        <v>0</v>
      </c>
      <c r="J774" s="1499">
        <f t="shared" si="44"/>
        <v>0</v>
      </c>
      <c r="K774" s="1499">
        <f t="shared" si="44"/>
        <v>0</v>
      </c>
      <c r="L774" s="1499">
        <f t="shared" si="44"/>
        <v>0</v>
      </c>
      <c r="M774" s="66"/>
    </row>
    <row r="775" spans="2:13" ht="15" customHeight="1">
      <c r="B775" s="1921"/>
      <c r="C775" s="491"/>
      <c r="D775" s="331" t="s">
        <v>1886</v>
      </c>
      <c r="E775" s="1499">
        <f t="shared" si="44"/>
        <v>0</v>
      </c>
      <c r="F775" s="1499">
        <f t="shared" si="44"/>
        <v>0</v>
      </c>
      <c r="G775" s="1499">
        <f t="shared" si="44"/>
        <v>0</v>
      </c>
      <c r="H775" s="1499">
        <f t="shared" si="44"/>
        <v>0</v>
      </c>
      <c r="I775" s="1499">
        <f t="shared" si="44"/>
        <v>0</v>
      </c>
      <c r="J775" s="1499">
        <f t="shared" si="44"/>
        <v>0</v>
      </c>
      <c r="K775" s="1499">
        <f t="shared" si="44"/>
        <v>0</v>
      </c>
      <c r="L775" s="1499">
        <f t="shared" si="44"/>
        <v>0</v>
      </c>
      <c r="M775" s="66"/>
    </row>
    <row r="776" spans="2:13" ht="15" customHeight="1">
      <c r="B776" s="1921"/>
      <c r="C776" s="491"/>
      <c r="D776" s="333" t="s">
        <v>563</v>
      </c>
      <c r="E776" s="1644">
        <f t="shared" si="44"/>
        <v>2557</v>
      </c>
      <c r="F776" s="1644">
        <f t="shared" si="44"/>
        <v>2557</v>
      </c>
      <c r="G776" s="1644">
        <f t="shared" si="44"/>
        <v>3279.37487030383</v>
      </c>
      <c r="H776" s="1644">
        <f t="shared" si="44"/>
        <v>3858.9999580225403</v>
      </c>
      <c r="I776" s="1644">
        <f t="shared" si="44"/>
        <v>3858.9999580225403</v>
      </c>
      <c r="J776" s="1644">
        <f t="shared" si="44"/>
        <v>3858.9999580225403</v>
      </c>
      <c r="K776" s="1644">
        <f t="shared" si="44"/>
        <v>3858.9999580225403</v>
      </c>
      <c r="L776" s="1644">
        <f t="shared" si="44"/>
        <v>3858.9999580225403</v>
      </c>
      <c r="M776" s="66"/>
    </row>
    <row r="777" spans="2:13" ht="15" customHeight="1">
      <c r="B777" s="1921"/>
      <c r="C777" s="491"/>
      <c r="D777" s="2024" t="s">
        <v>338</v>
      </c>
      <c r="E777" s="2796">
        <f>SUM(E769:E776)</f>
        <v>206576.73112363415</v>
      </c>
      <c r="F777" s="2796">
        <f t="shared" ref="F777:L777" si="45">SUM(F769:F776)</f>
        <v>206576.73112363415</v>
      </c>
      <c r="G777" s="2796">
        <f t="shared" si="45"/>
        <v>238791.41982548113</v>
      </c>
      <c r="H777" s="2796">
        <f t="shared" si="45"/>
        <v>271405.5818876613</v>
      </c>
      <c r="I777" s="2796">
        <f t="shared" si="45"/>
        <v>271405.5818876613</v>
      </c>
      <c r="J777" s="2796">
        <f t="shared" si="45"/>
        <v>271405.5818876613</v>
      </c>
      <c r="K777" s="2796">
        <f t="shared" si="45"/>
        <v>271405.5818876613</v>
      </c>
      <c r="L777" s="2796">
        <f t="shared" si="45"/>
        <v>271405.5818876613</v>
      </c>
      <c r="M777" s="66"/>
    </row>
    <row r="778" spans="2:13" ht="15" customHeight="1">
      <c r="B778" s="1921"/>
      <c r="C778" s="491"/>
      <c r="D778" s="114"/>
      <c r="E778" s="66"/>
      <c r="F778" s="66"/>
      <c r="G778" s="66"/>
      <c r="H778" s="66"/>
      <c r="I778" s="66"/>
      <c r="J778" s="66"/>
      <c r="K778" s="66"/>
      <c r="L778" s="1945"/>
      <c r="M778" s="66"/>
    </row>
    <row r="779" spans="2:13" ht="15" customHeight="1">
      <c r="B779" s="1921"/>
      <c r="C779" s="491"/>
      <c r="D779" s="2658" t="s">
        <v>1871</v>
      </c>
      <c r="E779" s="324"/>
      <c r="F779" s="324"/>
      <c r="G779" s="324"/>
      <c r="H779" s="324"/>
      <c r="I779" s="324"/>
      <c r="J779" s="324"/>
      <c r="K779" s="324"/>
      <c r="L779" s="325" t="s">
        <v>803</v>
      </c>
      <c r="M779" s="66"/>
    </row>
    <row r="780" spans="2:13" ht="15" customHeight="1">
      <c r="B780" s="1921"/>
      <c r="C780" s="491"/>
      <c r="D780" s="2024"/>
      <c r="E780" s="2025">
        <v>2018</v>
      </c>
      <c r="F780" s="2025">
        <v>2020</v>
      </c>
      <c r="G780" s="2025">
        <v>2025</v>
      </c>
      <c r="H780" s="2025">
        <v>2030</v>
      </c>
      <c r="I780" s="2025">
        <v>2035</v>
      </c>
      <c r="J780" s="2025">
        <v>2040</v>
      </c>
      <c r="K780" s="2025">
        <v>2045</v>
      </c>
      <c r="L780" s="2025">
        <v>2050</v>
      </c>
      <c r="M780" s="66"/>
    </row>
    <row r="781" spans="2:13" ht="15" customHeight="1">
      <c r="B781" s="1921"/>
      <c r="C781" s="491"/>
      <c r="D781" s="331" t="s">
        <v>917</v>
      </c>
      <c r="E781" s="1499">
        <f t="shared" ref="E781:L788" si="46">E558</f>
        <v>65786</v>
      </c>
      <c r="F781" s="1499">
        <f t="shared" si="46"/>
        <v>65786</v>
      </c>
      <c r="G781" s="1499">
        <f t="shared" si="46"/>
        <v>76349.57220356274</v>
      </c>
      <c r="H781" s="1499">
        <f t="shared" si="46"/>
        <v>87198.744675138325</v>
      </c>
      <c r="I781" s="1499">
        <f t="shared" si="46"/>
        <v>87198.744675138325</v>
      </c>
      <c r="J781" s="1499">
        <f t="shared" si="46"/>
        <v>87198.744675138325</v>
      </c>
      <c r="K781" s="1499">
        <f t="shared" si="46"/>
        <v>87198.744675138325</v>
      </c>
      <c r="L781" s="1499">
        <f t="shared" si="46"/>
        <v>87198.744675138325</v>
      </c>
      <c r="M781" s="66"/>
    </row>
    <row r="782" spans="2:13" ht="15" customHeight="1">
      <c r="B782" s="1921"/>
      <c r="C782" s="491"/>
      <c r="D782" s="331" t="s">
        <v>558</v>
      </c>
      <c r="E782" s="1499">
        <f t="shared" si="46"/>
        <v>40860</v>
      </c>
      <c r="F782" s="1499">
        <f t="shared" si="46"/>
        <v>40860</v>
      </c>
      <c r="G782" s="1499">
        <f t="shared" si="46"/>
        <v>46869.473250469389</v>
      </c>
      <c r="H782" s="1499">
        <f t="shared" si="46"/>
        <v>52906.916433109538</v>
      </c>
      <c r="I782" s="1499">
        <f t="shared" si="46"/>
        <v>52906.916433109538</v>
      </c>
      <c r="J782" s="1499">
        <f t="shared" si="46"/>
        <v>52906.916433109538</v>
      </c>
      <c r="K782" s="1499">
        <f t="shared" si="46"/>
        <v>52906.916433109538</v>
      </c>
      <c r="L782" s="1499">
        <f t="shared" si="46"/>
        <v>52906.916433109538</v>
      </c>
      <c r="M782" s="66"/>
    </row>
    <row r="783" spans="2:13" ht="15" customHeight="1">
      <c r="B783" s="1921"/>
      <c r="C783" s="491"/>
      <c r="D783" s="331" t="s">
        <v>559</v>
      </c>
      <c r="E783" s="1499">
        <f t="shared" si="46"/>
        <v>15933</v>
      </c>
      <c r="F783" s="1499">
        <f t="shared" si="46"/>
        <v>15933</v>
      </c>
      <c r="G783" s="1499">
        <f t="shared" si="46"/>
        <v>18477.829760491153</v>
      </c>
      <c r="H783" s="1499">
        <f t="shared" si="46"/>
        <v>21088.144201313793</v>
      </c>
      <c r="I783" s="1499">
        <f t="shared" si="46"/>
        <v>21088.144201313793</v>
      </c>
      <c r="J783" s="1499">
        <f t="shared" si="46"/>
        <v>21088.144201313793</v>
      </c>
      <c r="K783" s="1499">
        <f t="shared" si="46"/>
        <v>21088.144201313793</v>
      </c>
      <c r="L783" s="1499">
        <f t="shared" si="46"/>
        <v>21088.144201313793</v>
      </c>
      <c r="M783" s="66"/>
    </row>
    <row r="784" spans="2:13" ht="15" customHeight="1">
      <c r="B784" s="1921"/>
      <c r="C784" s="491"/>
      <c r="D784" s="331" t="s">
        <v>560</v>
      </c>
      <c r="E784" s="1499">
        <f t="shared" si="46"/>
        <v>73989.731123634134</v>
      </c>
      <c r="F784" s="1499">
        <f t="shared" si="46"/>
        <v>73989.731123634134</v>
      </c>
      <c r="G784" s="1499">
        <f t="shared" si="46"/>
        <v>85247.79359321887</v>
      </c>
      <c r="H784" s="1499">
        <f t="shared" si="46"/>
        <v>96658.36489353799</v>
      </c>
      <c r="I784" s="1499">
        <f t="shared" si="46"/>
        <v>96658.36489353799</v>
      </c>
      <c r="J784" s="1499">
        <f t="shared" si="46"/>
        <v>96658.36489353799</v>
      </c>
      <c r="K784" s="1499">
        <f t="shared" si="46"/>
        <v>96658.36489353799</v>
      </c>
      <c r="L784" s="1499">
        <f t="shared" si="46"/>
        <v>96658.36489353799</v>
      </c>
      <c r="M784" s="66"/>
    </row>
    <row r="785" spans="2:16" ht="15" customHeight="1">
      <c r="B785" s="1921"/>
      <c r="C785" s="491"/>
      <c r="D785" s="331" t="s">
        <v>561</v>
      </c>
      <c r="E785" s="1499">
        <f t="shared" si="46"/>
        <v>7451</v>
      </c>
      <c r="F785" s="1499">
        <f t="shared" si="46"/>
        <v>7451</v>
      </c>
      <c r="G785" s="1499">
        <f t="shared" si="46"/>
        <v>8567.3761474351413</v>
      </c>
      <c r="H785" s="1499">
        <f t="shared" si="46"/>
        <v>9694.4117265390814</v>
      </c>
      <c r="I785" s="1499">
        <f t="shared" si="46"/>
        <v>9694.4117265390814</v>
      </c>
      <c r="J785" s="1499">
        <f t="shared" si="46"/>
        <v>9694.4117265390814</v>
      </c>
      <c r="K785" s="1499">
        <f t="shared" si="46"/>
        <v>9694.4117265390814</v>
      </c>
      <c r="L785" s="1499">
        <f t="shared" si="46"/>
        <v>9694.4117265390814</v>
      </c>
      <c r="M785" s="66"/>
    </row>
    <row r="786" spans="2:16" ht="15" customHeight="1">
      <c r="B786" s="1921"/>
      <c r="C786" s="491"/>
      <c r="D786" s="331" t="s">
        <v>918</v>
      </c>
      <c r="E786" s="1499">
        <f t="shared" si="46"/>
        <v>0</v>
      </c>
      <c r="F786" s="1499">
        <f t="shared" si="46"/>
        <v>0</v>
      </c>
      <c r="G786" s="1499">
        <f t="shared" si="46"/>
        <v>0</v>
      </c>
      <c r="H786" s="1499">
        <f t="shared" si="46"/>
        <v>0</v>
      </c>
      <c r="I786" s="1499">
        <f t="shared" si="46"/>
        <v>0</v>
      </c>
      <c r="J786" s="1499">
        <f t="shared" si="46"/>
        <v>0</v>
      </c>
      <c r="K786" s="1499">
        <f t="shared" si="46"/>
        <v>0</v>
      </c>
      <c r="L786" s="1499">
        <f t="shared" si="46"/>
        <v>0</v>
      </c>
      <c r="M786" s="66"/>
    </row>
    <row r="787" spans="2:16" ht="15" customHeight="1">
      <c r="B787" s="1921"/>
      <c r="C787" s="491"/>
      <c r="D787" s="331" t="s">
        <v>1886</v>
      </c>
      <c r="E787" s="1499">
        <f t="shared" si="46"/>
        <v>0</v>
      </c>
      <c r="F787" s="1499">
        <f t="shared" si="46"/>
        <v>0</v>
      </c>
      <c r="G787" s="1499">
        <f t="shared" si="46"/>
        <v>0</v>
      </c>
      <c r="H787" s="1499">
        <f t="shared" si="46"/>
        <v>0</v>
      </c>
      <c r="I787" s="1499">
        <f t="shared" si="46"/>
        <v>0</v>
      </c>
      <c r="J787" s="1499">
        <f t="shared" si="46"/>
        <v>0</v>
      </c>
      <c r="K787" s="1499">
        <f t="shared" si="46"/>
        <v>0</v>
      </c>
      <c r="L787" s="1499">
        <f t="shared" si="46"/>
        <v>0</v>
      </c>
      <c r="M787" s="66"/>
    </row>
    <row r="788" spans="2:16" ht="15" customHeight="1">
      <c r="B788" s="1921"/>
      <c r="C788" s="491"/>
      <c r="D788" s="333" t="s">
        <v>563</v>
      </c>
      <c r="E788" s="1644">
        <f t="shared" si="46"/>
        <v>2557</v>
      </c>
      <c r="F788" s="1644">
        <f t="shared" si="46"/>
        <v>2557</v>
      </c>
      <c r="G788" s="1644">
        <f t="shared" si="46"/>
        <v>3279.37487030383</v>
      </c>
      <c r="H788" s="1644">
        <f t="shared" si="46"/>
        <v>3858.9999580225403</v>
      </c>
      <c r="I788" s="1644">
        <f t="shared" si="46"/>
        <v>3858.9999580225403</v>
      </c>
      <c r="J788" s="1644">
        <f t="shared" si="46"/>
        <v>3858.9999580225403</v>
      </c>
      <c r="K788" s="1644">
        <f t="shared" si="46"/>
        <v>3858.9999580225403</v>
      </c>
      <c r="L788" s="1644">
        <f t="shared" si="46"/>
        <v>3858.9999580225403</v>
      </c>
      <c r="M788" s="66"/>
    </row>
    <row r="789" spans="2:16" ht="15" customHeight="1">
      <c r="B789" s="1921"/>
      <c r="C789" s="491"/>
      <c r="D789" s="2024" t="s">
        <v>338</v>
      </c>
      <c r="E789" s="2796">
        <f>SUM(E781:E788)</f>
        <v>206576.73112363415</v>
      </c>
      <c r="F789" s="2796">
        <f t="shared" ref="F789:L789" si="47">SUM(F781:F788)</f>
        <v>206576.73112363415</v>
      </c>
      <c r="G789" s="2796">
        <f t="shared" si="47"/>
        <v>238791.41982548113</v>
      </c>
      <c r="H789" s="2796">
        <f t="shared" si="47"/>
        <v>271405.5818876613</v>
      </c>
      <c r="I789" s="2796">
        <f t="shared" si="47"/>
        <v>271405.5818876613</v>
      </c>
      <c r="J789" s="2796">
        <f t="shared" si="47"/>
        <v>271405.5818876613</v>
      </c>
      <c r="K789" s="2796">
        <f t="shared" si="47"/>
        <v>271405.5818876613</v>
      </c>
      <c r="L789" s="2796">
        <f t="shared" si="47"/>
        <v>271405.5818876613</v>
      </c>
      <c r="M789" s="66"/>
    </row>
    <row r="790" spans="2:16" ht="15" customHeight="1">
      <c r="B790" s="1921"/>
      <c r="C790" s="491"/>
      <c r="D790" s="114"/>
      <c r="E790" s="66"/>
      <c r="F790" s="66"/>
      <c r="G790" s="66"/>
      <c r="H790" s="66"/>
      <c r="I790" s="66"/>
      <c r="J790" s="66"/>
      <c r="K790" s="66"/>
      <c r="L790" s="1945"/>
      <c r="M790" s="66"/>
    </row>
    <row r="791" spans="2:16" ht="15" customHeight="1">
      <c r="B791" s="1921"/>
      <c r="C791" s="491"/>
      <c r="D791" s="2141" t="s">
        <v>1872</v>
      </c>
      <c r="E791" s="2141"/>
      <c r="F791" s="2141"/>
      <c r="G791" s="2141"/>
      <c r="H791" s="2141"/>
      <c r="I791" s="2141"/>
      <c r="J791" s="2141"/>
      <c r="K791" s="2141"/>
      <c r="L791" s="2141"/>
      <c r="M791" s="66"/>
    </row>
    <row r="792" spans="2:16" ht="15" customHeight="1">
      <c r="B792" s="1921"/>
      <c r="C792" s="491"/>
      <c r="D792" s="1988"/>
      <c r="E792" s="1989"/>
      <c r="F792" s="1989"/>
      <c r="G792" s="1989"/>
      <c r="H792" s="1989"/>
      <c r="I792" s="1989"/>
      <c r="J792" s="1989"/>
      <c r="K792" s="1989"/>
      <c r="L792" s="1989"/>
      <c r="M792" s="66"/>
    </row>
    <row r="793" spans="2:16" ht="15" customHeight="1">
      <c r="B793" s="1921"/>
      <c r="C793" s="491"/>
      <c r="D793" s="2658" t="s">
        <v>1869</v>
      </c>
      <c r="E793" s="324"/>
      <c r="F793" s="324"/>
      <c r="G793" s="324"/>
      <c r="H793" s="324"/>
      <c r="I793" s="324"/>
      <c r="J793" s="324"/>
      <c r="K793" s="324"/>
      <c r="L793" s="325" t="s">
        <v>803</v>
      </c>
      <c r="M793" s="66"/>
    </row>
    <row r="794" spans="2:16" ht="15" customHeight="1">
      <c r="B794" s="1921"/>
      <c r="C794" s="491"/>
      <c r="D794" s="2024" t="s">
        <v>296</v>
      </c>
      <c r="E794" s="2025">
        <v>2018</v>
      </c>
      <c r="F794" s="2025">
        <v>2020</v>
      </c>
      <c r="G794" s="2025">
        <v>2025</v>
      </c>
      <c r="H794" s="2025">
        <v>2030</v>
      </c>
      <c r="I794" s="2025">
        <v>2035</v>
      </c>
      <c r="J794" s="2025">
        <v>2040</v>
      </c>
      <c r="K794" s="2025">
        <v>2045</v>
      </c>
      <c r="L794" s="2025">
        <v>2050</v>
      </c>
      <c r="M794" s="66"/>
    </row>
    <row r="795" spans="2:16" ht="15" customHeight="1">
      <c r="B795" s="1921"/>
      <c r="C795" s="491"/>
      <c r="D795" s="331" t="s">
        <v>917</v>
      </c>
      <c r="E795" s="1499">
        <f t="shared" ref="E795:L802" si="48">E571</f>
        <v>520109.78651647415</v>
      </c>
      <c r="F795" s="1499">
        <f t="shared" si="48"/>
        <v>520109.78651647415</v>
      </c>
      <c r="G795" s="1499">
        <f t="shared" si="48"/>
        <v>603626.2988997529</v>
      </c>
      <c r="H795" s="1499">
        <f t="shared" si="48"/>
        <v>689400.79161965661</v>
      </c>
      <c r="I795" s="1499">
        <f t="shared" si="48"/>
        <v>689400.79161965661</v>
      </c>
      <c r="J795" s="1499">
        <f t="shared" si="48"/>
        <v>689400.79161965661</v>
      </c>
      <c r="K795" s="1499">
        <f t="shared" si="48"/>
        <v>689400.79161965661</v>
      </c>
      <c r="L795" s="1499">
        <f t="shared" si="48"/>
        <v>689400.79161965661</v>
      </c>
      <c r="M795" s="66"/>
    </row>
    <row r="796" spans="2:16" ht="15" customHeight="1">
      <c r="B796" s="1921"/>
      <c r="C796" s="491"/>
      <c r="D796" s="331" t="s">
        <v>558</v>
      </c>
      <c r="E796" s="1499">
        <f t="shared" si="48"/>
        <v>698133.94162106351</v>
      </c>
      <c r="F796" s="1499">
        <f t="shared" si="48"/>
        <v>698133.94162106351</v>
      </c>
      <c r="G796" s="1499">
        <f t="shared" si="48"/>
        <v>800811.7988755065</v>
      </c>
      <c r="H796" s="1499">
        <f t="shared" si="48"/>
        <v>903967.55037843809</v>
      </c>
      <c r="I796" s="1499">
        <f t="shared" si="48"/>
        <v>903967.55037843809</v>
      </c>
      <c r="J796" s="1499">
        <f t="shared" si="48"/>
        <v>903967.55037843809</v>
      </c>
      <c r="K796" s="1499">
        <f t="shared" si="48"/>
        <v>903967.55037843809</v>
      </c>
      <c r="L796" s="1499">
        <f t="shared" si="48"/>
        <v>903967.55037843809</v>
      </c>
      <c r="M796" s="66"/>
    </row>
    <row r="797" spans="2:16" ht="15" customHeight="1">
      <c r="B797" s="1921"/>
      <c r="C797" s="491"/>
      <c r="D797" s="331" t="s">
        <v>559</v>
      </c>
      <c r="E797" s="1499">
        <f t="shared" si="48"/>
        <v>125967</v>
      </c>
      <c r="F797" s="1499">
        <f t="shared" si="48"/>
        <v>125967</v>
      </c>
      <c r="G797" s="1499">
        <f t="shared" si="48"/>
        <v>146086.53621036772</v>
      </c>
      <c r="H797" s="1499">
        <f t="shared" si="48"/>
        <v>166723.79718865841</v>
      </c>
      <c r="I797" s="1499">
        <f t="shared" si="48"/>
        <v>166723.79718865841</v>
      </c>
      <c r="J797" s="1499">
        <f t="shared" si="48"/>
        <v>166723.79718865841</v>
      </c>
      <c r="K797" s="1499">
        <f t="shared" si="48"/>
        <v>166723.79718865841</v>
      </c>
      <c r="L797" s="1499">
        <f t="shared" si="48"/>
        <v>166723.79718865841</v>
      </c>
      <c r="M797" s="66"/>
    </row>
    <row r="798" spans="2:16" ht="15" customHeight="1">
      <c r="B798" s="1921"/>
      <c r="C798" s="491"/>
      <c r="D798" s="331" t="s">
        <v>560</v>
      </c>
      <c r="E798" s="1499">
        <f t="shared" si="48"/>
        <v>2158916.881025922</v>
      </c>
      <c r="F798" s="1499">
        <f t="shared" si="48"/>
        <v>2158916.881025922</v>
      </c>
      <c r="G798" s="1499">
        <f t="shared" si="48"/>
        <v>2487411.3997128159</v>
      </c>
      <c r="H798" s="1499">
        <f t="shared" si="48"/>
        <v>2820355.9127999838</v>
      </c>
      <c r="I798" s="1499">
        <f t="shared" si="48"/>
        <v>2820355.9127999838</v>
      </c>
      <c r="J798" s="1499">
        <f t="shared" si="48"/>
        <v>2820355.9127999838</v>
      </c>
      <c r="K798" s="1499">
        <f t="shared" si="48"/>
        <v>2820355.9127999838</v>
      </c>
      <c r="L798" s="1499">
        <f t="shared" si="48"/>
        <v>2820355.9127999838</v>
      </c>
      <c r="M798" s="66"/>
    </row>
    <row r="799" spans="2:16" ht="15" customHeight="1">
      <c r="B799" s="1921"/>
      <c r="C799" s="491"/>
      <c r="D799" s="331" t="s">
        <v>561</v>
      </c>
      <c r="E799" s="1499">
        <f t="shared" si="48"/>
        <v>58908</v>
      </c>
      <c r="F799" s="1499">
        <f t="shared" si="48"/>
        <v>58908</v>
      </c>
      <c r="G799" s="1499">
        <f t="shared" si="48"/>
        <v>67734.12885426241</v>
      </c>
      <c r="H799" s="1499">
        <f t="shared" si="48"/>
        <v>76644.531738956401</v>
      </c>
      <c r="I799" s="1499">
        <f t="shared" si="48"/>
        <v>76644.531738956401</v>
      </c>
      <c r="J799" s="1499">
        <f t="shared" si="48"/>
        <v>76644.531738956401</v>
      </c>
      <c r="K799" s="1499">
        <f t="shared" si="48"/>
        <v>76644.531738956401</v>
      </c>
      <c r="L799" s="1499">
        <f t="shared" si="48"/>
        <v>76644.531738956401</v>
      </c>
      <c r="M799" s="66"/>
      <c r="P799" s="1956"/>
    </row>
    <row r="800" spans="2:16" ht="15" customHeight="1">
      <c r="B800" s="1921"/>
      <c r="C800" s="491"/>
      <c r="D800" s="331" t="s">
        <v>918</v>
      </c>
      <c r="E800" s="1499">
        <f t="shared" si="48"/>
        <v>0</v>
      </c>
      <c r="F800" s="1499">
        <f t="shared" si="48"/>
        <v>0</v>
      </c>
      <c r="G800" s="1499">
        <f t="shared" si="48"/>
        <v>0</v>
      </c>
      <c r="H800" s="1499">
        <f t="shared" si="48"/>
        <v>0</v>
      </c>
      <c r="I800" s="1499">
        <f t="shared" si="48"/>
        <v>0</v>
      </c>
      <c r="J800" s="1499">
        <f t="shared" si="48"/>
        <v>0</v>
      </c>
      <c r="K800" s="1499">
        <f t="shared" si="48"/>
        <v>0</v>
      </c>
      <c r="L800" s="1499">
        <f t="shared" si="48"/>
        <v>0</v>
      </c>
      <c r="M800" s="66"/>
    </row>
    <row r="801" spans="2:13" ht="15" customHeight="1">
      <c r="B801" s="1921"/>
      <c r="C801" s="491"/>
      <c r="D801" s="331" t="s">
        <v>1886</v>
      </c>
      <c r="E801" s="1499">
        <f t="shared" si="48"/>
        <v>0</v>
      </c>
      <c r="F801" s="1499">
        <f t="shared" si="48"/>
        <v>0</v>
      </c>
      <c r="G801" s="1499">
        <f t="shared" si="48"/>
        <v>0</v>
      </c>
      <c r="H801" s="1499">
        <f t="shared" si="48"/>
        <v>0</v>
      </c>
      <c r="I801" s="1499">
        <f t="shared" si="48"/>
        <v>0</v>
      </c>
      <c r="J801" s="1499">
        <f t="shared" si="48"/>
        <v>0</v>
      </c>
      <c r="K801" s="1499">
        <f t="shared" si="48"/>
        <v>0</v>
      </c>
      <c r="L801" s="1499">
        <f t="shared" si="48"/>
        <v>0</v>
      </c>
      <c r="M801" s="66"/>
    </row>
    <row r="802" spans="2:13" ht="15" customHeight="1">
      <c r="B802" s="1921"/>
      <c r="C802" s="491"/>
      <c r="D802" s="333" t="s">
        <v>563</v>
      </c>
      <c r="E802" s="1644">
        <f t="shared" si="48"/>
        <v>20215</v>
      </c>
      <c r="F802" s="1644">
        <f t="shared" si="48"/>
        <v>20215</v>
      </c>
      <c r="G802" s="1644">
        <f t="shared" si="48"/>
        <v>25925.914354005443</v>
      </c>
      <c r="H802" s="1644">
        <f t="shared" si="48"/>
        <v>30508.284767862984</v>
      </c>
      <c r="I802" s="1644">
        <f t="shared" si="48"/>
        <v>30508.284767862984</v>
      </c>
      <c r="J802" s="1644">
        <f t="shared" si="48"/>
        <v>30508.284767862984</v>
      </c>
      <c r="K802" s="1644">
        <f t="shared" si="48"/>
        <v>30508.284767862984</v>
      </c>
      <c r="L802" s="1644">
        <f t="shared" si="48"/>
        <v>30508.284767862984</v>
      </c>
      <c r="M802" s="66"/>
    </row>
    <row r="803" spans="2:13" ht="15" customHeight="1">
      <c r="B803" s="1921"/>
      <c r="C803" s="491"/>
      <c r="D803" s="2024" t="s">
        <v>338</v>
      </c>
      <c r="E803" s="1499">
        <f>SUM(E795:E802)</f>
        <v>3582250.6091634594</v>
      </c>
      <c r="F803" s="1499">
        <f t="shared" ref="F803:L803" si="49">SUM(F795:F802)</f>
        <v>3582250.6091634594</v>
      </c>
      <c r="G803" s="1499">
        <f t="shared" si="49"/>
        <v>4131596.0769067113</v>
      </c>
      <c r="H803" s="1499">
        <f t="shared" si="49"/>
        <v>4687600.868493557</v>
      </c>
      <c r="I803" s="1499">
        <f t="shared" si="49"/>
        <v>4687600.868493557</v>
      </c>
      <c r="J803" s="1499">
        <f t="shared" si="49"/>
        <v>4687600.868493557</v>
      </c>
      <c r="K803" s="1499">
        <f t="shared" si="49"/>
        <v>4687600.868493557</v>
      </c>
      <c r="L803" s="1499">
        <f t="shared" si="49"/>
        <v>4687600.868493557</v>
      </c>
      <c r="M803" s="66"/>
    </row>
    <row r="804" spans="2:13" ht="15" customHeight="1">
      <c r="B804" s="1921"/>
      <c r="C804" s="491"/>
      <c r="D804" s="1988"/>
      <c r="E804" s="1989"/>
      <c r="F804" s="1989"/>
      <c r="G804" s="1989"/>
      <c r="H804" s="1989"/>
      <c r="I804" s="1989"/>
      <c r="J804" s="1989"/>
      <c r="K804" s="1989"/>
      <c r="L804" s="1989"/>
      <c r="M804" s="66"/>
    </row>
    <row r="805" spans="2:13" ht="15" customHeight="1">
      <c r="B805" s="1921"/>
      <c r="C805" s="491"/>
      <c r="D805" s="2658" t="s">
        <v>1870</v>
      </c>
      <c r="E805" s="324"/>
      <c r="F805" s="324"/>
      <c r="G805" s="324"/>
      <c r="H805" s="324"/>
      <c r="I805" s="324"/>
      <c r="J805" s="324"/>
      <c r="K805" s="324"/>
      <c r="L805" s="325" t="s">
        <v>803</v>
      </c>
      <c r="M805" s="66"/>
    </row>
    <row r="806" spans="2:13" ht="15" customHeight="1">
      <c r="B806" s="1921"/>
      <c r="C806" s="491"/>
      <c r="D806" s="2024" t="s">
        <v>296</v>
      </c>
      <c r="E806" s="2025">
        <v>2018</v>
      </c>
      <c r="F806" s="2025">
        <v>2020</v>
      </c>
      <c r="G806" s="2025">
        <v>2025</v>
      </c>
      <c r="H806" s="2025">
        <v>2030</v>
      </c>
      <c r="I806" s="2025">
        <v>2035</v>
      </c>
      <c r="J806" s="2025">
        <v>2040</v>
      </c>
      <c r="K806" s="2025">
        <v>2045</v>
      </c>
      <c r="L806" s="2025">
        <v>2050</v>
      </c>
      <c r="M806" s="66"/>
    </row>
    <row r="807" spans="2:13" ht="15" customHeight="1">
      <c r="B807" s="1921"/>
      <c r="C807" s="491"/>
      <c r="D807" s="331" t="s">
        <v>917</v>
      </c>
      <c r="E807" s="1499">
        <f t="shared" ref="E807:L814" si="50">E582</f>
        <v>520109.78651647415</v>
      </c>
      <c r="F807" s="1499">
        <f t="shared" si="50"/>
        <v>520109.78651647415</v>
      </c>
      <c r="G807" s="1499">
        <f t="shared" si="50"/>
        <v>603626.2988997529</v>
      </c>
      <c r="H807" s="1499">
        <f t="shared" si="50"/>
        <v>689400.79161965661</v>
      </c>
      <c r="I807" s="1499">
        <f t="shared" si="50"/>
        <v>689400.79161965661</v>
      </c>
      <c r="J807" s="1499">
        <f t="shared" si="50"/>
        <v>689400.79161965661</v>
      </c>
      <c r="K807" s="1499">
        <f t="shared" si="50"/>
        <v>689400.79161965661</v>
      </c>
      <c r="L807" s="1499">
        <f t="shared" si="50"/>
        <v>689400.79161965661</v>
      </c>
      <c r="M807" s="66"/>
    </row>
    <row r="808" spans="2:13" ht="15" customHeight="1">
      <c r="B808" s="1921"/>
      <c r="C808" s="491"/>
      <c r="D808" s="331" t="s">
        <v>558</v>
      </c>
      <c r="E808" s="1499">
        <f t="shared" si="50"/>
        <v>698133.94162106351</v>
      </c>
      <c r="F808" s="1499">
        <f t="shared" si="50"/>
        <v>698133.94162106351</v>
      </c>
      <c r="G808" s="1499">
        <f t="shared" si="50"/>
        <v>800811.7988755065</v>
      </c>
      <c r="H808" s="1499">
        <f t="shared" si="50"/>
        <v>903967.55037843809</v>
      </c>
      <c r="I808" s="1499">
        <f t="shared" si="50"/>
        <v>903967.55037843809</v>
      </c>
      <c r="J808" s="1499">
        <f t="shared" si="50"/>
        <v>903967.55037843809</v>
      </c>
      <c r="K808" s="1499">
        <f t="shared" si="50"/>
        <v>903967.55037843809</v>
      </c>
      <c r="L808" s="1499">
        <f t="shared" si="50"/>
        <v>903967.55037843809</v>
      </c>
      <c r="M808" s="66"/>
    </row>
    <row r="809" spans="2:13" ht="15" customHeight="1">
      <c r="B809" s="1921"/>
      <c r="C809" s="491"/>
      <c r="D809" s="331" t="s">
        <v>559</v>
      </c>
      <c r="E809" s="1499">
        <f t="shared" si="50"/>
        <v>125967</v>
      </c>
      <c r="F809" s="1499">
        <f t="shared" si="50"/>
        <v>125967</v>
      </c>
      <c r="G809" s="1499">
        <f t="shared" si="50"/>
        <v>146086.53621036772</v>
      </c>
      <c r="H809" s="1499">
        <f t="shared" si="50"/>
        <v>166723.79718865841</v>
      </c>
      <c r="I809" s="1499">
        <f t="shared" si="50"/>
        <v>166723.79718865841</v>
      </c>
      <c r="J809" s="1499">
        <f t="shared" si="50"/>
        <v>166723.79718865841</v>
      </c>
      <c r="K809" s="1499">
        <f t="shared" si="50"/>
        <v>166723.79718865841</v>
      </c>
      <c r="L809" s="1499">
        <f t="shared" si="50"/>
        <v>166723.79718865841</v>
      </c>
      <c r="M809" s="66"/>
    </row>
    <row r="810" spans="2:13" ht="15" customHeight="1">
      <c r="B810" s="1921"/>
      <c r="C810" s="491"/>
      <c r="D810" s="331" t="s">
        <v>560</v>
      </c>
      <c r="E810" s="1499">
        <f t="shared" si="50"/>
        <v>2158916.881025922</v>
      </c>
      <c r="F810" s="1499">
        <f t="shared" si="50"/>
        <v>2158916.881025922</v>
      </c>
      <c r="G810" s="1499">
        <f t="shared" si="50"/>
        <v>2487411.3997128159</v>
      </c>
      <c r="H810" s="1499">
        <f t="shared" si="50"/>
        <v>2820355.9127999838</v>
      </c>
      <c r="I810" s="1499">
        <f t="shared" si="50"/>
        <v>2820355.9127999838</v>
      </c>
      <c r="J810" s="1499">
        <f t="shared" si="50"/>
        <v>2820355.9127999838</v>
      </c>
      <c r="K810" s="1499">
        <f t="shared" si="50"/>
        <v>2820355.9127999838</v>
      </c>
      <c r="L810" s="1499">
        <f t="shared" si="50"/>
        <v>2820355.9127999838</v>
      </c>
      <c r="M810" s="66"/>
    </row>
    <row r="811" spans="2:13" ht="15" customHeight="1">
      <c r="B811" s="1921"/>
      <c r="C811" s="491"/>
      <c r="D811" s="331" t="s">
        <v>561</v>
      </c>
      <c r="E811" s="1499">
        <f t="shared" si="50"/>
        <v>58908</v>
      </c>
      <c r="F811" s="1499">
        <f t="shared" si="50"/>
        <v>58908</v>
      </c>
      <c r="G811" s="1499">
        <f t="shared" si="50"/>
        <v>67734.12885426241</v>
      </c>
      <c r="H811" s="1499">
        <f t="shared" si="50"/>
        <v>76644.531738956401</v>
      </c>
      <c r="I811" s="1499">
        <f t="shared" si="50"/>
        <v>76644.531738956401</v>
      </c>
      <c r="J811" s="1499">
        <f t="shared" si="50"/>
        <v>76644.531738956401</v>
      </c>
      <c r="K811" s="1499">
        <f t="shared" si="50"/>
        <v>76644.531738956401</v>
      </c>
      <c r="L811" s="1499">
        <f t="shared" si="50"/>
        <v>76644.531738956401</v>
      </c>
      <c r="M811" s="66"/>
    </row>
    <row r="812" spans="2:13" ht="15" customHeight="1">
      <c r="B812" s="1921"/>
      <c r="C812" s="491"/>
      <c r="D812" s="331" t="s">
        <v>918</v>
      </c>
      <c r="E812" s="1499">
        <f t="shared" si="50"/>
        <v>0</v>
      </c>
      <c r="F812" s="1499">
        <f t="shared" si="50"/>
        <v>0</v>
      </c>
      <c r="G812" s="1499">
        <f t="shared" si="50"/>
        <v>0</v>
      </c>
      <c r="H812" s="1499">
        <f t="shared" si="50"/>
        <v>0</v>
      </c>
      <c r="I812" s="1499">
        <f t="shared" si="50"/>
        <v>0</v>
      </c>
      <c r="J812" s="1499">
        <f t="shared" si="50"/>
        <v>0</v>
      </c>
      <c r="K812" s="1499">
        <f t="shared" si="50"/>
        <v>0</v>
      </c>
      <c r="L812" s="1499">
        <f t="shared" si="50"/>
        <v>0</v>
      </c>
      <c r="M812" s="66"/>
    </row>
    <row r="813" spans="2:13" ht="15" customHeight="1">
      <c r="B813" s="1921"/>
      <c r="C813" s="491"/>
      <c r="D813" s="331" t="s">
        <v>1886</v>
      </c>
      <c r="E813" s="1499">
        <f t="shared" si="50"/>
        <v>0</v>
      </c>
      <c r="F813" s="1499">
        <f t="shared" si="50"/>
        <v>0</v>
      </c>
      <c r="G813" s="1499">
        <f t="shared" si="50"/>
        <v>0</v>
      </c>
      <c r="H813" s="1499">
        <f t="shared" si="50"/>
        <v>0</v>
      </c>
      <c r="I813" s="1499">
        <f t="shared" si="50"/>
        <v>0</v>
      </c>
      <c r="J813" s="1499">
        <f t="shared" si="50"/>
        <v>0</v>
      </c>
      <c r="K813" s="1499">
        <f t="shared" si="50"/>
        <v>0</v>
      </c>
      <c r="L813" s="1499">
        <f t="shared" si="50"/>
        <v>0</v>
      </c>
      <c r="M813" s="66"/>
    </row>
    <row r="814" spans="2:13" ht="15" customHeight="1">
      <c r="B814" s="1921"/>
      <c r="C814" s="491"/>
      <c r="D814" s="333" t="s">
        <v>563</v>
      </c>
      <c r="E814" s="1644">
        <f t="shared" si="50"/>
        <v>20215</v>
      </c>
      <c r="F814" s="1644">
        <f t="shared" si="50"/>
        <v>20215</v>
      </c>
      <c r="G814" s="1644">
        <f t="shared" si="50"/>
        <v>25925.914354005443</v>
      </c>
      <c r="H814" s="1644">
        <f t="shared" si="50"/>
        <v>30508.284767862984</v>
      </c>
      <c r="I814" s="1644">
        <f t="shared" si="50"/>
        <v>30508.284767862984</v>
      </c>
      <c r="J814" s="1644">
        <f t="shared" si="50"/>
        <v>30508.284767862984</v>
      </c>
      <c r="K814" s="1644">
        <f t="shared" si="50"/>
        <v>30508.284767862984</v>
      </c>
      <c r="L814" s="1644">
        <f t="shared" si="50"/>
        <v>30508.284767862984</v>
      </c>
      <c r="M814" s="66"/>
    </row>
    <row r="815" spans="2:13" ht="15" customHeight="1">
      <c r="B815" s="1921"/>
      <c r="C815" s="491"/>
      <c r="D815" s="2024" t="s">
        <v>338</v>
      </c>
      <c r="E815" s="1499">
        <f>SUM(E807:E814)</f>
        <v>3582250.6091634594</v>
      </c>
      <c r="F815" s="1499">
        <f t="shared" ref="F815:L815" si="51">SUM(F807:F814)</f>
        <v>3582250.6091634594</v>
      </c>
      <c r="G815" s="1499">
        <f t="shared" si="51"/>
        <v>4131596.0769067113</v>
      </c>
      <c r="H815" s="1499">
        <f t="shared" si="51"/>
        <v>4687600.868493557</v>
      </c>
      <c r="I815" s="1499">
        <f t="shared" si="51"/>
        <v>4687600.868493557</v>
      </c>
      <c r="J815" s="1499">
        <f t="shared" si="51"/>
        <v>4687600.868493557</v>
      </c>
      <c r="K815" s="1499">
        <f t="shared" si="51"/>
        <v>4687600.868493557</v>
      </c>
      <c r="L815" s="1499">
        <f t="shared" si="51"/>
        <v>4687600.868493557</v>
      </c>
      <c r="M815" s="66"/>
    </row>
    <row r="816" spans="2:13" ht="15" customHeight="1">
      <c r="B816" s="1921"/>
      <c r="C816" s="491"/>
      <c r="D816" s="1988"/>
      <c r="E816" s="1989"/>
      <c r="F816" s="1989"/>
      <c r="G816" s="1989"/>
      <c r="H816" s="1989"/>
      <c r="I816" s="1989"/>
      <c r="J816" s="1989"/>
      <c r="K816" s="1989"/>
      <c r="L816" s="1989"/>
      <c r="M816" s="66"/>
    </row>
    <row r="817" spans="2:13" ht="15" customHeight="1">
      <c r="B817" s="1921"/>
      <c r="C817" s="491"/>
      <c r="D817" s="2658" t="s">
        <v>1871</v>
      </c>
      <c r="E817" s="324"/>
      <c r="F817" s="324"/>
      <c r="G817" s="324"/>
      <c r="H817" s="324"/>
      <c r="I817" s="324"/>
      <c r="J817" s="324"/>
      <c r="K817" s="324"/>
      <c r="L817" s="325" t="s">
        <v>803</v>
      </c>
      <c r="M817" s="66"/>
    </row>
    <row r="818" spans="2:13" ht="15" customHeight="1">
      <c r="B818" s="1921"/>
      <c r="C818" s="491"/>
      <c r="D818" s="2024"/>
      <c r="E818" s="2025">
        <v>2018</v>
      </c>
      <c r="F818" s="2025">
        <v>2020</v>
      </c>
      <c r="G818" s="2025">
        <v>2025</v>
      </c>
      <c r="H818" s="2025">
        <v>2030</v>
      </c>
      <c r="I818" s="2025">
        <v>2035</v>
      </c>
      <c r="J818" s="2025">
        <v>2040</v>
      </c>
      <c r="K818" s="2025">
        <v>2045</v>
      </c>
      <c r="L818" s="2025">
        <v>2050</v>
      </c>
      <c r="M818" s="66"/>
    </row>
    <row r="819" spans="2:13" ht="15" customHeight="1">
      <c r="B819" s="1921"/>
      <c r="C819" s="491"/>
      <c r="D819" s="331" t="s">
        <v>917</v>
      </c>
      <c r="E819" s="1499">
        <f t="shared" ref="E819:L826" si="52">E593</f>
        <v>520109.78651647415</v>
      </c>
      <c r="F819" s="1499">
        <f t="shared" si="52"/>
        <v>520109.78651647415</v>
      </c>
      <c r="G819" s="1499">
        <f t="shared" si="52"/>
        <v>603626.2988997529</v>
      </c>
      <c r="H819" s="1499">
        <f t="shared" si="52"/>
        <v>689400.79161965661</v>
      </c>
      <c r="I819" s="1499">
        <f t="shared" si="52"/>
        <v>689400.79161965661</v>
      </c>
      <c r="J819" s="1499">
        <f t="shared" si="52"/>
        <v>689400.79161965661</v>
      </c>
      <c r="K819" s="1499">
        <f t="shared" si="52"/>
        <v>689400.79161965661</v>
      </c>
      <c r="L819" s="1499">
        <f t="shared" si="52"/>
        <v>689400.79161965661</v>
      </c>
      <c r="M819" s="66"/>
    </row>
    <row r="820" spans="2:13" ht="15" customHeight="1">
      <c r="B820" s="1921"/>
      <c r="C820" s="491"/>
      <c r="D820" s="331" t="s">
        <v>558</v>
      </c>
      <c r="E820" s="1499">
        <f t="shared" si="52"/>
        <v>698133.94162106351</v>
      </c>
      <c r="F820" s="1499">
        <f t="shared" si="52"/>
        <v>698133.94162106351</v>
      </c>
      <c r="G820" s="1499">
        <f t="shared" si="52"/>
        <v>800811.7988755065</v>
      </c>
      <c r="H820" s="1499">
        <f t="shared" si="52"/>
        <v>903967.55037843809</v>
      </c>
      <c r="I820" s="1499">
        <f t="shared" si="52"/>
        <v>903967.55037843809</v>
      </c>
      <c r="J820" s="1499">
        <f t="shared" si="52"/>
        <v>903967.55037843809</v>
      </c>
      <c r="K820" s="1499">
        <f t="shared" si="52"/>
        <v>903967.55037843809</v>
      </c>
      <c r="L820" s="1499">
        <f t="shared" si="52"/>
        <v>903967.55037843809</v>
      </c>
      <c r="M820" s="66"/>
    </row>
    <row r="821" spans="2:13" ht="15" customHeight="1">
      <c r="B821" s="1921"/>
      <c r="C821" s="491"/>
      <c r="D821" s="331" t="s">
        <v>559</v>
      </c>
      <c r="E821" s="1499">
        <f t="shared" si="52"/>
        <v>125967</v>
      </c>
      <c r="F821" s="1499">
        <f t="shared" si="52"/>
        <v>125967</v>
      </c>
      <c r="G821" s="1499">
        <f t="shared" si="52"/>
        <v>146086.53621036772</v>
      </c>
      <c r="H821" s="1499">
        <f t="shared" si="52"/>
        <v>166723.79718865841</v>
      </c>
      <c r="I821" s="1499">
        <f t="shared" si="52"/>
        <v>166723.79718865841</v>
      </c>
      <c r="J821" s="1499">
        <f t="shared" si="52"/>
        <v>166723.79718865841</v>
      </c>
      <c r="K821" s="1499">
        <f t="shared" si="52"/>
        <v>166723.79718865841</v>
      </c>
      <c r="L821" s="1499">
        <f t="shared" si="52"/>
        <v>166723.79718865841</v>
      </c>
      <c r="M821" s="66"/>
    </row>
    <row r="822" spans="2:13" ht="15" customHeight="1">
      <c r="B822" s="1921"/>
      <c r="C822" s="491"/>
      <c r="D822" s="331" t="s">
        <v>560</v>
      </c>
      <c r="E822" s="1499">
        <f t="shared" si="52"/>
        <v>2158916.881025922</v>
      </c>
      <c r="F822" s="1499">
        <f t="shared" si="52"/>
        <v>2158916.881025922</v>
      </c>
      <c r="G822" s="1499">
        <f t="shared" si="52"/>
        <v>2487411.3997128159</v>
      </c>
      <c r="H822" s="1499">
        <f t="shared" si="52"/>
        <v>2820355.9127999838</v>
      </c>
      <c r="I822" s="1499">
        <f t="shared" si="52"/>
        <v>2820355.9127999838</v>
      </c>
      <c r="J822" s="1499">
        <f t="shared" si="52"/>
        <v>2820355.9127999838</v>
      </c>
      <c r="K822" s="1499">
        <f t="shared" si="52"/>
        <v>2820355.9127999838</v>
      </c>
      <c r="L822" s="1499">
        <f t="shared" si="52"/>
        <v>2820355.9127999838</v>
      </c>
      <c r="M822" s="66"/>
    </row>
    <row r="823" spans="2:13" ht="15" customHeight="1">
      <c r="B823" s="1921"/>
      <c r="C823" s="491"/>
      <c r="D823" s="331" t="s">
        <v>561</v>
      </c>
      <c r="E823" s="1499">
        <f t="shared" si="52"/>
        <v>58908</v>
      </c>
      <c r="F823" s="1499">
        <f t="shared" si="52"/>
        <v>58908</v>
      </c>
      <c r="G823" s="1499">
        <f t="shared" si="52"/>
        <v>67734.12885426241</v>
      </c>
      <c r="H823" s="1499">
        <f t="shared" si="52"/>
        <v>76644.531738956401</v>
      </c>
      <c r="I823" s="1499">
        <f t="shared" si="52"/>
        <v>76644.531738956401</v>
      </c>
      <c r="J823" s="1499">
        <f t="shared" si="52"/>
        <v>76644.531738956401</v>
      </c>
      <c r="K823" s="1499">
        <f t="shared" si="52"/>
        <v>76644.531738956401</v>
      </c>
      <c r="L823" s="1499">
        <f t="shared" si="52"/>
        <v>76644.531738956401</v>
      </c>
      <c r="M823" s="66"/>
    </row>
    <row r="824" spans="2:13" ht="15" customHeight="1">
      <c r="B824" s="1921"/>
      <c r="C824" s="491"/>
      <c r="D824" s="331" t="s">
        <v>918</v>
      </c>
      <c r="E824" s="1499">
        <f t="shared" si="52"/>
        <v>0</v>
      </c>
      <c r="F824" s="1499">
        <f t="shared" si="52"/>
        <v>0</v>
      </c>
      <c r="G824" s="1499">
        <f t="shared" si="52"/>
        <v>0</v>
      </c>
      <c r="H824" s="1499">
        <f t="shared" si="52"/>
        <v>0</v>
      </c>
      <c r="I824" s="1499">
        <f t="shared" si="52"/>
        <v>0</v>
      </c>
      <c r="J824" s="1499">
        <f t="shared" si="52"/>
        <v>0</v>
      </c>
      <c r="K824" s="1499">
        <f t="shared" si="52"/>
        <v>0</v>
      </c>
      <c r="L824" s="1499">
        <f t="shared" si="52"/>
        <v>0</v>
      </c>
      <c r="M824" s="66"/>
    </row>
    <row r="825" spans="2:13" ht="15" customHeight="1">
      <c r="B825" s="1921"/>
      <c r="C825" s="491"/>
      <c r="D825" s="331" t="s">
        <v>1886</v>
      </c>
      <c r="E825" s="1499">
        <f t="shared" si="52"/>
        <v>0</v>
      </c>
      <c r="F825" s="1499">
        <f t="shared" si="52"/>
        <v>0</v>
      </c>
      <c r="G825" s="1499">
        <f t="shared" si="52"/>
        <v>0</v>
      </c>
      <c r="H825" s="1499">
        <f t="shared" si="52"/>
        <v>0</v>
      </c>
      <c r="I825" s="1499">
        <f t="shared" si="52"/>
        <v>0</v>
      </c>
      <c r="J825" s="1499">
        <f t="shared" si="52"/>
        <v>0</v>
      </c>
      <c r="K825" s="1499">
        <f t="shared" si="52"/>
        <v>0</v>
      </c>
      <c r="L825" s="1499">
        <f t="shared" si="52"/>
        <v>0</v>
      </c>
      <c r="M825" s="66"/>
    </row>
    <row r="826" spans="2:13" ht="15" customHeight="1">
      <c r="B826" s="1921"/>
      <c r="C826" s="491"/>
      <c r="D826" s="333" t="s">
        <v>563</v>
      </c>
      <c r="E826" s="1644">
        <f t="shared" si="52"/>
        <v>20215</v>
      </c>
      <c r="F826" s="1644">
        <f t="shared" si="52"/>
        <v>20215</v>
      </c>
      <c r="G826" s="1644">
        <f t="shared" si="52"/>
        <v>25925.914354005443</v>
      </c>
      <c r="H826" s="1644">
        <f t="shared" si="52"/>
        <v>30508.284767862984</v>
      </c>
      <c r="I826" s="1644">
        <f t="shared" si="52"/>
        <v>30508.284767862984</v>
      </c>
      <c r="J826" s="1644">
        <f t="shared" si="52"/>
        <v>30508.284767862984</v>
      </c>
      <c r="K826" s="1644">
        <f t="shared" si="52"/>
        <v>30508.284767862984</v>
      </c>
      <c r="L826" s="1644">
        <f t="shared" si="52"/>
        <v>30508.284767862984</v>
      </c>
      <c r="M826" s="66"/>
    </row>
    <row r="827" spans="2:13" ht="15" customHeight="1">
      <c r="B827" s="1921"/>
      <c r="C827" s="491"/>
      <c r="D827" s="2797" t="s">
        <v>338</v>
      </c>
      <c r="E827" s="1499">
        <f>SUM(E819:E826)</f>
        <v>3582250.6091634594</v>
      </c>
      <c r="F827" s="1499">
        <f t="shared" ref="F827:L827" si="53">SUM(F819:F826)</f>
        <v>3582250.6091634594</v>
      </c>
      <c r="G827" s="1499">
        <f t="shared" si="53"/>
        <v>4131596.0769067113</v>
      </c>
      <c r="H827" s="1499">
        <f t="shared" si="53"/>
        <v>4687600.868493557</v>
      </c>
      <c r="I827" s="1499">
        <f t="shared" si="53"/>
        <v>4687600.868493557</v>
      </c>
      <c r="J827" s="1499">
        <f t="shared" si="53"/>
        <v>4687600.868493557</v>
      </c>
      <c r="K827" s="1499">
        <f t="shared" si="53"/>
        <v>4687600.868493557</v>
      </c>
      <c r="L827" s="1499">
        <f t="shared" si="53"/>
        <v>4687600.868493557</v>
      </c>
      <c r="M827" s="66"/>
    </row>
    <row r="828" spans="2:13" ht="15" customHeight="1">
      <c r="B828" s="1921"/>
      <c r="C828" s="491"/>
      <c r="D828" s="1988"/>
      <c r="E828" s="1989"/>
      <c r="F828" s="1989"/>
      <c r="G828" s="1989"/>
      <c r="H828" s="1989"/>
      <c r="I828" s="1989"/>
      <c r="J828" s="1989"/>
      <c r="K828" s="1989"/>
      <c r="L828" s="1989"/>
      <c r="M828" s="66"/>
    </row>
    <row r="829" spans="2:13" ht="15" customHeight="1">
      <c r="B829" s="186"/>
    </row>
    <row r="830" spans="2:13" ht="15" customHeight="1">
      <c r="B830" s="186"/>
    </row>
    <row r="831" spans="2:13" ht="15" customHeight="1">
      <c r="B831" s="186"/>
      <c r="F831" s="1398"/>
      <c r="G831" s="1398"/>
      <c r="H831" s="1398"/>
      <c r="I831" s="1398"/>
      <c r="J831" s="1398"/>
      <c r="K831" s="1398"/>
      <c r="L831" s="1398"/>
      <c r="M831" s="1398"/>
    </row>
    <row r="832" spans="2:13" ht="15" customHeight="1">
      <c r="B832" s="186"/>
      <c r="C832" s="1947" t="s">
        <v>1893</v>
      </c>
    </row>
    <row r="833" spans="2:13" ht="15" customHeight="1">
      <c r="B833" s="186"/>
      <c r="C833" s="1745">
        <v>1</v>
      </c>
      <c r="D833" t="s">
        <v>1894</v>
      </c>
    </row>
    <row r="834" spans="2:13" ht="15" customHeight="1">
      <c r="B834" s="186"/>
      <c r="C834" s="1745">
        <v>2</v>
      </c>
      <c r="D834" t="s">
        <v>1895</v>
      </c>
    </row>
    <row r="835" spans="2:13" ht="15" customHeight="1">
      <c r="B835" s="186"/>
      <c r="C835" s="1745">
        <v>3</v>
      </c>
      <c r="D835" t="s">
        <v>797</v>
      </c>
    </row>
    <row r="836" spans="2:13" ht="15" customHeight="1">
      <c r="B836" s="186"/>
      <c r="C836" s="1745"/>
    </row>
    <row r="837" spans="2:13" ht="15" customHeight="1">
      <c r="B837" s="186"/>
      <c r="C837" s="3"/>
      <c r="D837" s="71" t="s">
        <v>1896</v>
      </c>
      <c r="E837" s="3"/>
      <c r="F837" s="959"/>
      <c r="G837" s="3"/>
      <c r="H837" s="3"/>
      <c r="I837" s="3"/>
      <c r="J837" s="3"/>
      <c r="K837" s="3"/>
      <c r="L837" s="554"/>
      <c r="M837" s="3"/>
    </row>
    <row r="838" spans="2:13" ht="15" customHeight="1">
      <c r="B838" s="186"/>
      <c r="C838" s="3"/>
      <c r="D838" s="3"/>
      <c r="E838" s="3"/>
      <c r="F838" s="3"/>
      <c r="G838" s="3"/>
      <c r="H838" s="3"/>
      <c r="I838" s="3"/>
      <c r="J838" s="3"/>
      <c r="K838" s="3"/>
      <c r="L838" s="554" t="s">
        <v>9</v>
      </c>
      <c r="M838" s="3"/>
    </row>
    <row r="839" spans="2:13" ht="15" customHeight="1">
      <c r="B839" s="186"/>
      <c r="C839" s="3"/>
      <c r="D839" s="1984" t="s">
        <v>699</v>
      </c>
      <c r="E839" s="1985">
        <v>2018</v>
      </c>
      <c r="F839" s="1985" t="s">
        <v>322</v>
      </c>
      <c r="G839" s="1985" t="s">
        <v>323</v>
      </c>
      <c r="H839" s="1985" t="s">
        <v>324</v>
      </c>
      <c r="I839" s="1985" t="s">
        <v>325</v>
      </c>
      <c r="J839" s="1985" t="s">
        <v>326</v>
      </c>
      <c r="K839" s="1985" t="s">
        <v>327</v>
      </c>
      <c r="L839" s="1985" t="s">
        <v>328</v>
      </c>
      <c r="M839" s="3"/>
    </row>
    <row r="840" spans="2:13" ht="15" customHeight="1">
      <c r="B840" s="186"/>
      <c r="C840" s="3"/>
      <c r="D840" s="1948" t="s">
        <v>504</v>
      </c>
      <c r="E840" s="1949" cm="1">
        <f t="array" ref="E840:L840">((F865:M865+F885:M885+F905:M905+F925:M925+F945:M945+F965:M965+F985:M985+F1006:M1006)*UNIDAD_PJ_A_TWH)</f>
        <v>1.3089264063916797</v>
      </c>
      <c r="F840" s="1949">
        <v>1.3089264063916797</v>
      </c>
      <c r="G840" s="1949">
        <v>1.5125231176448957</v>
      </c>
      <c r="H840" s="1949">
        <v>1.714763745599686</v>
      </c>
      <c r="I840" s="1949">
        <v>1.714763745599686</v>
      </c>
      <c r="J840" s="1949">
        <v>1.714763745599686</v>
      </c>
      <c r="K840" s="1949">
        <v>1.714763745599686</v>
      </c>
      <c r="L840" s="1949">
        <v>1.714763745599686</v>
      </c>
      <c r="M840" s="3"/>
    </row>
    <row r="841" spans="2:13" ht="15" customHeight="1">
      <c r="B841" s="186"/>
      <c r="C841" s="3"/>
      <c r="D841" s="1948" t="s">
        <v>569</v>
      </c>
      <c r="E841" s="1949" cm="1">
        <f t="array" ref="E841:L841">((F866:M866+F886:M886+F906:M906+F926:M926+F946:M946+F966:M966+F986:M986+F1007:M1007)*UNIDAD_PJ_A_TWH)</f>
        <v>3.0110682611062018</v>
      </c>
      <c r="F841" s="1949">
        <v>3.0110682611062018</v>
      </c>
      <c r="G841" s="1949">
        <v>3.5755204396269034</v>
      </c>
      <c r="H841" s="1949">
        <v>4.1040523797145134</v>
      </c>
      <c r="I841" s="1949">
        <v>4.1040523797145134</v>
      </c>
      <c r="J841" s="1949">
        <v>4.1040523797145134</v>
      </c>
      <c r="K841" s="1949">
        <v>4.1040523797145134</v>
      </c>
      <c r="L841" s="1949">
        <v>4.1040523797145134</v>
      </c>
      <c r="M841" s="3"/>
    </row>
    <row r="842" spans="2:13" ht="15" customHeight="1">
      <c r="B842" s="186"/>
      <c r="C842" s="3"/>
      <c r="D842" s="1948" t="s">
        <v>513</v>
      </c>
      <c r="E842" s="1949" cm="1">
        <f t="array" ref="E842:L842">((F867:M867+F887:M887+F907:M907+F927:M927+F947:M947+F967:M967+F987:M987+F1008:M1008)*UNIDAD_PJ_A_TWH)</f>
        <v>1.3939671872787258</v>
      </c>
      <c r="F842" s="1949">
        <v>1.3939671872787258</v>
      </c>
      <c r="G842" s="1949">
        <v>1.6158966892213547</v>
      </c>
      <c r="H842" s="1949">
        <v>1.8364633744094923</v>
      </c>
      <c r="I842" s="1949">
        <v>1.8364633744094923</v>
      </c>
      <c r="J842" s="1949">
        <v>1.8364633744094923</v>
      </c>
      <c r="K842" s="1949">
        <v>1.8364633744094923</v>
      </c>
      <c r="L842" s="1949">
        <v>1.8364633744094923</v>
      </c>
      <c r="M842" s="3"/>
    </row>
    <row r="843" spans="2:13" ht="15" customHeight="1">
      <c r="B843" s="186"/>
      <c r="C843" s="3"/>
      <c r="D843" s="1948" t="s">
        <v>503</v>
      </c>
      <c r="E843" s="1949" cm="1">
        <f t="array" ref="E843:L843">(F868:M868+F888:M888+F908:M908+F928:M928+F948:M948+F968:M968+F988:M988+F1009:M1009)*UNIDAD_PJ_A_TWH</f>
        <v>5.7425946232148384E-3</v>
      </c>
      <c r="F843" s="1949">
        <v>5.7425946232148384E-3</v>
      </c>
      <c r="G843" s="1949">
        <v>6.7557628006882668E-3</v>
      </c>
      <c r="H843" s="1949">
        <v>7.7485771141952275E-3</v>
      </c>
      <c r="I843" s="1949">
        <v>7.7485771141952275E-3</v>
      </c>
      <c r="J843" s="1949">
        <v>7.7485771141952275E-3</v>
      </c>
      <c r="K843" s="1949">
        <v>7.7485771141952275E-3</v>
      </c>
      <c r="L843" s="1949">
        <v>7.7485771141952275E-3</v>
      </c>
      <c r="M843" s="3"/>
    </row>
    <row r="844" spans="2:13" ht="15" customHeight="1">
      <c r="B844" s="186"/>
      <c r="C844" s="3"/>
      <c r="D844" s="1948" t="s">
        <v>525</v>
      </c>
      <c r="E844" s="1949" cm="1">
        <f t="array" ref="E844:L844">(F869:M869+F889:M889+F909:M909+F929:M929+F949:M949+F969:M969+F989:M989+F1010:M1010)*UNIDAD_PJ_A_TWH</f>
        <v>1.8935426146883107E-3</v>
      </c>
      <c r="F844" s="1949">
        <v>1.8935426146883107E-3</v>
      </c>
      <c r="G844" s="1949">
        <v>2.1840648529522525E-3</v>
      </c>
      <c r="H844" s="1949">
        <v>2.4791418968138248E-3</v>
      </c>
      <c r="I844" s="1949">
        <v>2.4791418968138248E-3</v>
      </c>
      <c r="J844" s="1949">
        <v>2.4791418968138248E-3</v>
      </c>
      <c r="K844" s="1949">
        <v>2.4791418968138248E-3</v>
      </c>
      <c r="L844" s="1949">
        <v>2.4791418968138248E-3</v>
      </c>
      <c r="M844" s="3"/>
    </row>
    <row r="845" spans="2:13" ht="15" customHeight="1">
      <c r="B845" s="186"/>
      <c r="C845" s="3"/>
      <c r="D845" s="1948" t="s">
        <v>487</v>
      </c>
      <c r="E845" s="1949" cm="1">
        <f t="array" ref="E845:L845">(F870:M870+F890:M890+F910:M910+F930:M930+F950:M950+F970:M970+F990:M990+F1011:M1011)*UNIDAD_PJ_A_TWH</f>
        <v>6.6384558932856039E-2</v>
      </c>
      <c r="F845" s="1949">
        <v>6.6384558932856039E-2</v>
      </c>
      <c r="G845" s="1949">
        <v>8.3774779479416694E-2</v>
      </c>
      <c r="H845" s="1949">
        <v>9.8059826526205401E-2</v>
      </c>
      <c r="I845" s="1949">
        <v>9.8059826526205401E-2</v>
      </c>
      <c r="J845" s="1949">
        <v>9.8059826526205401E-2</v>
      </c>
      <c r="K845" s="1949">
        <v>9.8059826526205401E-2</v>
      </c>
      <c r="L845" s="1949">
        <v>9.8059826526205401E-2</v>
      </c>
      <c r="M845" s="3"/>
    </row>
    <row r="846" spans="2:13" ht="15" customHeight="1">
      <c r="B846" s="186"/>
      <c r="C846" s="3"/>
      <c r="D846" s="1948" t="s">
        <v>494</v>
      </c>
      <c r="E846" s="1949" cm="1">
        <f t="array" ref="E846:L846">(F871:M871+F891:M891+F911:M911+F931:M931+F951:M951+F971:M971+F991:M991+F1012:M1012)*UNIDAD_PJ_A_TWH</f>
        <v>3.4012841742838877E-3</v>
      </c>
      <c r="F846" s="1949">
        <v>3.4012841742838877E-3</v>
      </c>
      <c r="G846" s="1949">
        <v>3.9178469702047464E-3</v>
      </c>
      <c r="H846" s="1949">
        <v>4.4411586881671541E-3</v>
      </c>
      <c r="I846" s="1949">
        <v>4.4411586881671541E-3</v>
      </c>
      <c r="J846" s="1949">
        <v>4.4411586881671541E-3</v>
      </c>
      <c r="K846" s="1949">
        <v>4.4411586881671541E-3</v>
      </c>
      <c r="L846" s="1949">
        <v>4.4411586881671541E-3</v>
      </c>
      <c r="M846" s="3"/>
    </row>
    <row r="847" spans="2:13" ht="15" customHeight="1">
      <c r="B847" s="186"/>
      <c r="C847" s="3"/>
      <c r="D847" s="1948" t="s">
        <v>1854</v>
      </c>
      <c r="E847" s="1949" cm="1">
        <f t="array" ref="E847:L847">((F872:M872+F892:M892+F912:M912+F932:M932+F952:M952+F972:M972+F992:M992+F1013:M1013)*UNIDAD_PJ_A_TWH)</f>
        <v>5.8400840681814919E-2</v>
      </c>
      <c r="F847" s="1949">
        <v>5.8400840681814919E-2</v>
      </c>
      <c r="G847" s="1949">
        <v>6.7410127784899271E-2</v>
      </c>
      <c r="H847" s="1949">
        <v>7.6573159319550041E-2</v>
      </c>
      <c r="I847" s="1949">
        <v>7.6573159319550041E-2</v>
      </c>
      <c r="J847" s="1949">
        <v>7.6573159319550041E-2</v>
      </c>
      <c r="K847" s="1949">
        <v>7.6573159319550041E-2</v>
      </c>
      <c r="L847" s="1949">
        <v>7.6573159319550041E-2</v>
      </c>
      <c r="M847" s="3"/>
    </row>
    <row r="848" spans="2:13" ht="15" customHeight="1">
      <c r="B848" s="186"/>
      <c r="C848" s="3"/>
      <c r="D848" s="1948" t="s">
        <v>506</v>
      </c>
      <c r="E848" s="1949" cm="1">
        <f t="array" ref="E848:L848">(F873:M873+F893:M893+F913:M913+F933:M933+F953:M953+F973:M973+F993:M993+F1014:M1014)*UNIDAD_PJ_A_TWH</f>
        <v>3.2745827768498084E-4</v>
      </c>
      <c r="F848" s="1949">
        <v>3.2745827768498084E-4</v>
      </c>
      <c r="G848" s="1949">
        <v>3.7927419924242028E-4</v>
      </c>
      <c r="H848" s="1949">
        <v>4.3230434632727204E-4</v>
      </c>
      <c r="I848" s="1949">
        <v>4.3230434632727204E-4</v>
      </c>
      <c r="J848" s="1949">
        <v>4.3230434632727204E-4</v>
      </c>
      <c r="K848" s="1949">
        <v>4.3230434632727204E-4</v>
      </c>
      <c r="L848" s="1949">
        <v>4.3230434632727204E-4</v>
      </c>
      <c r="M848" s="3"/>
    </row>
    <row r="849" spans="2:13" ht="15" customHeight="1">
      <c r="B849" s="186"/>
      <c r="C849" s="3"/>
      <c r="D849" s="1948" t="s">
        <v>507</v>
      </c>
      <c r="E849" s="1949" cm="1">
        <f t="array" ref="E849:L849">(F874:M874+F894:M894+F914:M914+F934:M934+F954:M954+F974:M974+F994:M994+F1015:M1015)*UNIDAD_PJ_A_TWH</f>
        <v>6.2257033987857587E-3</v>
      </c>
      <c r="F849" s="1949">
        <v>6.2257033987857587E-3</v>
      </c>
      <c r="G849" s="1949">
        <v>7.206409873470189E-3</v>
      </c>
      <c r="H849" s="1949">
        <v>8.2090019179727608E-3</v>
      </c>
      <c r="I849" s="1949">
        <v>8.2090019179727608E-3</v>
      </c>
      <c r="J849" s="1949">
        <v>8.2090019179727608E-3</v>
      </c>
      <c r="K849" s="1949">
        <v>8.2090019179727608E-3</v>
      </c>
      <c r="L849" s="1949">
        <v>8.2090019179727608E-3</v>
      </c>
      <c r="M849" s="3"/>
    </row>
    <row r="850" spans="2:13" ht="15" customHeight="1">
      <c r="B850" s="186"/>
      <c r="C850" s="3"/>
      <c r="D850" s="1948" t="s">
        <v>570</v>
      </c>
      <c r="E850" s="1949" cm="1">
        <f t="array" ref="E850:L850">((F875:M875+F895:M895+F915:M915+F935:M935+F955:M955+F975:M975+F995:M995+F1016:M1016)*UNIDAD_PJ_A_TWH)</f>
        <v>9.2019043913900769E-3</v>
      </c>
      <c r="F850" s="1949">
        <v>9.2019043913900769E-3</v>
      </c>
      <c r="G850" s="1949">
        <v>1.0608035897525511E-2</v>
      </c>
      <c r="H850" s="1949">
        <v>1.2034758811311407E-2</v>
      </c>
      <c r="I850" s="1949">
        <v>1.2034758811311407E-2</v>
      </c>
      <c r="J850" s="1949">
        <v>1.2034758811311407E-2</v>
      </c>
      <c r="K850" s="1949">
        <v>1.2034758811311407E-2</v>
      </c>
      <c r="L850" s="1949">
        <v>1.2034758811311407E-2</v>
      </c>
      <c r="M850" s="3"/>
    </row>
    <row r="851" spans="2:13" ht="15" customHeight="1">
      <c r="B851" s="186"/>
      <c r="C851" s="3"/>
      <c r="D851" s="1948" t="s">
        <v>498</v>
      </c>
      <c r="E851" s="1949" cm="1">
        <f t="array" ref="E851:L851">(F876:M876+F896:M896+F916:M916+F936:M936+F956:M956+F976:M976+F996:M996+F1017:M1017)*UNIDAD_PJ_A_TWH</f>
        <v>1.7322703076441241E-2</v>
      </c>
      <c r="F851" s="1949">
        <v>1.7322703076441241E-2</v>
      </c>
      <c r="G851" s="1949">
        <v>1.9960626015659177E-2</v>
      </c>
      <c r="H851" s="1949">
        <v>2.263483738254566E-2</v>
      </c>
      <c r="I851" s="1949">
        <v>2.263483738254566E-2</v>
      </c>
      <c r="J851" s="1949">
        <v>2.263483738254566E-2</v>
      </c>
      <c r="K851" s="1949">
        <v>2.263483738254566E-2</v>
      </c>
      <c r="L851" s="1949">
        <v>2.263483738254566E-2</v>
      </c>
      <c r="M851" s="3"/>
    </row>
    <row r="852" spans="2:13" ht="15" customHeight="1">
      <c r="B852" s="186"/>
      <c r="C852" s="3"/>
      <c r="D852" s="1948" t="s">
        <v>502</v>
      </c>
      <c r="E852" s="1949" cm="1">
        <f t="array" ref="E852:L852">(F877:M877+F897:M897+F917:M917+F937:M937+F957:M957+F977:M977+F997:M997+F1018:M1018)*UNIDAD_PJ_A_TWH</f>
        <v>8.2546702476781963E-5</v>
      </c>
      <c r="F852" s="1949">
        <v>8.2546702476781963E-5</v>
      </c>
      <c r="G852" s="1949">
        <v>9.5409726028145272E-5</v>
      </c>
      <c r="H852" s="1949">
        <v>1.0852495961757469E-4</v>
      </c>
      <c r="I852" s="1949">
        <v>1.0852495961757469E-4</v>
      </c>
      <c r="J852" s="1949">
        <v>1.0852495961757469E-4</v>
      </c>
      <c r="K852" s="1949">
        <v>1.0852495961757469E-4</v>
      </c>
      <c r="L852" s="1949">
        <v>1.0852495961757469E-4</v>
      </c>
      <c r="M852" s="3"/>
    </row>
    <row r="853" spans="2:13" ht="15" customHeight="1">
      <c r="B853" s="186"/>
      <c r="C853" s="3"/>
      <c r="D853" s="1948" t="s">
        <v>571</v>
      </c>
      <c r="E853" s="1949" cm="1">
        <f t="array" ref="E853:L853">(F878:M878+F898:M898+F918:M918+F938:M938+F958:M958+F978:M978+F998:M998+F1019:M1019)*UNIDAD_PJ_A_TWH</f>
        <v>1.1105359253796188</v>
      </c>
      <c r="F853" s="1949">
        <v>1.1105359253796188</v>
      </c>
      <c r="G853" s="1949">
        <v>1.2779400846760602</v>
      </c>
      <c r="H853" s="1949">
        <v>1.4472075486028639</v>
      </c>
      <c r="I853" s="1949">
        <v>1.4472075486028639</v>
      </c>
      <c r="J853" s="1949">
        <v>1.4472075486028639</v>
      </c>
      <c r="K853" s="1949">
        <v>1.4472075486028639</v>
      </c>
      <c r="L853" s="1949">
        <v>1.4472075486028639</v>
      </c>
      <c r="M853" s="3"/>
    </row>
    <row r="854" spans="2:13" ht="15" customHeight="1">
      <c r="B854" s="186"/>
      <c r="C854" s="3"/>
      <c r="D854" s="1948" t="s">
        <v>1878</v>
      </c>
      <c r="E854" s="2103" cm="1">
        <f t="array" ref="E854:L854">((F879:M879+F899:M899+F919:M919+F939:M939+F959:M959+F979:M979+F999:M999+F1020:M1020)*UNIDAD_PJ_A_TWH)</f>
        <v>0</v>
      </c>
      <c r="F854" s="1949">
        <v>0</v>
      </c>
      <c r="G854" s="1949">
        <v>0</v>
      </c>
      <c r="H854" s="1949">
        <v>0</v>
      </c>
      <c r="I854" s="1949">
        <v>0</v>
      </c>
      <c r="J854" s="1949">
        <v>0</v>
      </c>
      <c r="K854" s="1949">
        <v>0</v>
      </c>
      <c r="L854" s="1949">
        <v>0</v>
      </c>
      <c r="M854" s="3"/>
    </row>
    <row r="855" spans="2:13" ht="15" customHeight="1">
      <c r="B855" s="186"/>
      <c r="C855" s="3"/>
      <c r="D855" s="1948" t="s">
        <v>549</v>
      </c>
      <c r="E855" s="1949" cm="1">
        <f t="array" ref="E855:L855">(F880:M880+F900:M900+F920:M920+F940:M940+F960:M960+F980:M980+F1000:M1000+F1021:M1021)*UNIDAD_PJ_A_TWH</f>
        <v>0</v>
      </c>
      <c r="F855" s="1949">
        <v>0</v>
      </c>
      <c r="G855" s="1949">
        <v>0</v>
      </c>
      <c r="H855" s="1949">
        <v>0</v>
      </c>
      <c r="I855" s="1949">
        <v>0</v>
      </c>
      <c r="J855" s="1949">
        <v>0</v>
      </c>
      <c r="K855" s="1949">
        <v>0</v>
      </c>
      <c r="L855" s="1949">
        <v>0</v>
      </c>
      <c r="M855" s="3"/>
    </row>
    <row r="856" spans="2:13" ht="15" customHeight="1">
      <c r="B856" s="186"/>
      <c r="C856" s="3"/>
      <c r="D856" s="1948" t="s">
        <v>572</v>
      </c>
      <c r="E856" s="1949" cm="1">
        <f t="array" ref="E856:L856">(F881:M881+F901:M901+F921:M921+F941:M941+F961:M961+F981:M981+F1001:M1001+F1022:M1022)*UNIDAD_PJ_A_TWH</f>
        <v>0</v>
      </c>
      <c r="F856" s="1949">
        <v>0</v>
      </c>
      <c r="G856" s="1949">
        <v>0</v>
      </c>
      <c r="H856" s="1949">
        <v>0</v>
      </c>
      <c r="I856" s="1949">
        <v>0</v>
      </c>
      <c r="J856" s="1949">
        <v>0</v>
      </c>
      <c r="K856" s="1949">
        <v>0</v>
      </c>
      <c r="L856" s="1949">
        <v>0</v>
      </c>
      <c r="M856" s="3"/>
    </row>
    <row r="857" spans="2:13" ht="15" customHeight="1">
      <c r="B857" s="186"/>
      <c r="C857" s="3"/>
      <c r="D857" s="1366" t="s">
        <v>1714</v>
      </c>
      <c r="E857" s="2097">
        <f>SUM(E840:E856)</f>
        <v>6.9934809170298635</v>
      </c>
      <c r="F857" s="2097">
        <f t="shared" ref="F857:L857" si="54">SUM(F840:F856)</f>
        <v>6.9934809170298635</v>
      </c>
      <c r="G857" s="2097">
        <f>SUM(G840:G856)</f>
        <v>8.1841726687693015</v>
      </c>
      <c r="H857" s="2097">
        <f t="shared" si="54"/>
        <v>9.3352083392892631</v>
      </c>
      <c r="I857" s="2097">
        <f t="shared" si="54"/>
        <v>9.3352083392892631</v>
      </c>
      <c r="J857" s="2097">
        <f t="shared" si="54"/>
        <v>9.3352083392892631</v>
      </c>
      <c r="K857" s="2097">
        <f t="shared" si="54"/>
        <v>9.3352083392892631</v>
      </c>
      <c r="L857" s="2097">
        <f t="shared" si="54"/>
        <v>9.3352083392892631</v>
      </c>
      <c r="M857" s="3"/>
    </row>
    <row r="858" spans="2:13" ht="15" customHeight="1">
      <c r="B858" s="186"/>
      <c r="C858" s="71"/>
      <c r="D858" s="3"/>
      <c r="E858" s="3"/>
      <c r="F858" s="3"/>
      <c r="G858" s="3"/>
      <c r="H858" s="3"/>
      <c r="I858" s="3"/>
      <c r="J858" s="3"/>
      <c r="K858" s="3"/>
      <c r="L858" s="3"/>
      <c r="M858" s="3"/>
    </row>
    <row r="859" spans="2:13" ht="15" customHeight="1">
      <c r="B859" s="186"/>
      <c r="C859" s="1745"/>
    </row>
    <row r="860" spans="2:13" ht="15" customHeight="1">
      <c r="B860" s="186"/>
      <c r="C860" s="1745" t="s">
        <v>1897</v>
      </c>
    </row>
    <row r="861" spans="2:13" ht="15" customHeight="1">
      <c r="B861" s="186"/>
      <c r="C861" s="1745"/>
    </row>
    <row r="862" spans="2:13" ht="15" customHeight="1">
      <c r="B862" s="186"/>
      <c r="C862" s="1745" t="s">
        <v>1898</v>
      </c>
    </row>
    <row r="863" spans="2:13" ht="15" customHeight="1">
      <c r="B863" s="186"/>
      <c r="C863" s="1745"/>
      <c r="M863" s="624" t="s">
        <v>12</v>
      </c>
    </row>
    <row r="864" spans="2:13" ht="15" customHeight="1">
      <c r="B864" s="186"/>
      <c r="C864" s="1950" t="s">
        <v>917</v>
      </c>
      <c r="D864" s="1951"/>
      <c r="E864" s="1950"/>
      <c r="F864" s="1952">
        <v>2018</v>
      </c>
      <c r="G864" s="1952">
        <v>2020</v>
      </c>
      <c r="H864" s="1952">
        <v>2025</v>
      </c>
      <c r="I864" s="1952">
        <v>2030</v>
      </c>
      <c r="J864" s="1952">
        <v>2035</v>
      </c>
      <c r="K864" s="1952">
        <v>2040</v>
      </c>
      <c r="L864" s="1952">
        <v>2045</v>
      </c>
      <c r="M864" s="1952">
        <v>2050</v>
      </c>
    </row>
    <row r="865" spans="2:13" ht="15" customHeight="1">
      <c r="B865" s="186"/>
      <c r="C865" s="1287"/>
      <c r="D865" s="1554" t="s">
        <v>504</v>
      </c>
      <c r="E865" s="1554"/>
      <c r="F865" s="1953" cm="1">
        <f t="array" ref="F865:M880">(E262:L277)-((E262:L277)*(CHOOSE(TRAYECTORIA_EFICIENCIA_OPTIMIZACION_INDUSTRIA,(E33:L33),(E44:L44),(E55:L55),(E66:L66))))</f>
        <v>0</v>
      </c>
      <c r="G865" s="1953">
        <v>0</v>
      </c>
      <c r="H865" s="1953">
        <v>0</v>
      </c>
      <c r="I865" s="1953">
        <v>0</v>
      </c>
      <c r="J865" s="1953">
        <v>0</v>
      </c>
      <c r="K865" s="1953">
        <v>0</v>
      </c>
      <c r="L865" s="1953">
        <v>0</v>
      </c>
      <c r="M865" s="1953">
        <v>0</v>
      </c>
    </row>
    <row r="866" spans="2:13" ht="15" customHeight="1">
      <c r="B866" s="186"/>
      <c r="C866" s="1287"/>
      <c r="D866" s="1287" t="s">
        <v>569</v>
      </c>
      <c r="E866" s="1287"/>
      <c r="F866" s="1954">
        <v>3.692189829750145</v>
      </c>
      <c r="G866" s="1954">
        <v>3.692189829750145</v>
      </c>
      <c r="H866" s="1954">
        <v>4.2850623840295619</v>
      </c>
      <c r="I866" s="1954">
        <v>4.8939640388004353</v>
      </c>
      <c r="J866" s="1954">
        <v>4.8939640388004353</v>
      </c>
      <c r="K866" s="1954">
        <v>4.8939640388004353</v>
      </c>
      <c r="L866" s="1954">
        <v>4.8939640388004353</v>
      </c>
      <c r="M866" s="1954">
        <v>4.8939640388004353</v>
      </c>
    </row>
    <row r="867" spans="2:13" ht="15" customHeight="1">
      <c r="B867" s="186"/>
      <c r="C867" s="1287"/>
      <c r="D867" s="1287" t="s">
        <v>513</v>
      </c>
      <c r="E867" s="1287"/>
      <c r="F867" s="1954">
        <v>1.0591945843406678</v>
      </c>
      <c r="G867" s="1954">
        <v>1.0591945843406678</v>
      </c>
      <c r="H867" s="1954">
        <v>1.2292745172945678</v>
      </c>
      <c r="I867" s="1954">
        <v>1.4039527881496243</v>
      </c>
      <c r="J867" s="1954">
        <v>1.4039527881496243</v>
      </c>
      <c r="K867" s="1954">
        <v>1.4039527881496243</v>
      </c>
      <c r="L867" s="1954">
        <v>1.4039527881496243</v>
      </c>
      <c r="M867" s="1954">
        <v>1.4039527881496243</v>
      </c>
    </row>
    <row r="868" spans="2:13" ht="15" customHeight="1">
      <c r="B868" s="186"/>
      <c r="C868" s="1287"/>
      <c r="D868" s="1287" t="s">
        <v>503</v>
      </c>
      <c r="E868" s="1287"/>
      <c r="F868" s="1954">
        <v>1.7797549174727256E-2</v>
      </c>
      <c r="G868" s="1954">
        <v>1.7797549174727256E-2</v>
      </c>
      <c r="H868" s="1954">
        <v>2.0655386644001711E-2</v>
      </c>
      <c r="I868" s="1954">
        <v>2.3590489562068846E-2</v>
      </c>
      <c r="J868" s="1954">
        <v>2.3590489562068846E-2</v>
      </c>
      <c r="K868" s="1954">
        <v>2.3590489562068846E-2</v>
      </c>
      <c r="L868" s="1954">
        <v>2.3590489562068846E-2</v>
      </c>
      <c r="M868" s="1954">
        <v>2.3590489562068846E-2</v>
      </c>
    </row>
    <row r="869" spans="2:13" ht="15" customHeight="1">
      <c r="B869" s="186"/>
      <c r="C869" s="1287"/>
      <c r="D869" s="1287" t="s">
        <v>525</v>
      </c>
      <c r="E869" s="1287"/>
      <c r="F869" s="1954">
        <v>3.1640318521880136E-3</v>
      </c>
      <c r="G869" s="1954">
        <v>3.1640318521880136E-3</v>
      </c>
      <c r="H869" s="1954">
        <v>3.6720955576110582E-3</v>
      </c>
      <c r="I869" s="1954">
        <v>4.1938954431482035E-3</v>
      </c>
      <c r="J869" s="1954">
        <v>4.1938954431482035E-3</v>
      </c>
      <c r="K869" s="1954">
        <v>4.1938954431482035E-3</v>
      </c>
      <c r="L869" s="1954">
        <v>4.1938954431482035E-3</v>
      </c>
      <c r="M869" s="1954">
        <v>4.1938954431482035E-3</v>
      </c>
    </row>
    <row r="870" spans="2:13" ht="15" customHeight="1">
      <c r="B870" s="186"/>
      <c r="C870" s="1287"/>
      <c r="D870" s="1287" t="s">
        <v>487</v>
      </c>
      <c r="E870" s="1287"/>
      <c r="F870" s="1954">
        <v>5.8464570212658174E-3</v>
      </c>
      <c r="G870" s="1954">
        <v>5.8464570212658174E-3</v>
      </c>
      <c r="H870" s="1954">
        <v>6.7852505469273234E-3</v>
      </c>
      <c r="I870" s="1954">
        <v>7.7494256080553291E-3</v>
      </c>
      <c r="J870" s="1954">
        <v>7.7494256080553291E-3</v>
      </c>
      <c r="K870" s="1954">
        <v>7.7494256080553291E-3</v>
      </c>
      <c r="L870" s="1954">
        <v>7.7494256080553291E-3</v>
      </c>
      <c r="M870" s="1954">
        <v>7.7494256080553291E-3</v>
      </c>
    </row>
    <row r="871" spans="2:13" ht="15" customHeight="1">
      <c r="B871" s="186"/>
      <c r="C871" s="1287"/>
      <c r="D871" s="1287" t="s">
        <v>494</v>
      </c>
      <c r="E871" s="1287"/>
      <c r="F871" s="1954">
        <v>2.7927075517519568E-3</v>
      </c>
      <c r="G871" s="1954">
        <v>2.7927075517519568E-3</v>
      </c>
      <c r="H871" s="1954">
        <v>3.2411459408676758E-3</v>
      </c>
      <c r="I871" s="1954">
        <v>3.7017084601214481E-3</v>
      </c>
      <c r="J871" s="1954">
        <v>3.7017084601214481E-3</v>
      </c>
      <c r="K871" s="1954">
        <v>3.7017084601214481E-3</v>
      </c>
      <c r="L871" s="1954">
        <v>3.7017084601214481E-3</v>
      </c>
      <c r="M871" s="1954">
        <v>3.7017084601214481E-3</v>
      </c>
    </row>
    <row r="872" spans="2:13" ht="15" customHeight="1">
      <c r="B872" s="186"/>
      <c r="C872" s="1287"/>
      <c r="D872" s="1287" t="s">
        <v>1854</v>
      </c>
      <c r="E872" s="1287"/>
      <c r="F872" s="1954">
        <v>9.3603602647336581E-2</v>
      </c>
      <c r="G872" s="1954">
        <v>9.3603602647336581E-2</v>
      </c>
      <c r="H872" s="1954">
        <v>0.10863398016046606</v>
      </c>
      <c r="I872" s="1954">
        <v>0.12407072398258304</v>
      </c>
      <c r="J872" s="1954">
        <v>0.12407072398258304</v>
      </c>
      <c r="K872" s="1954">
        <v>0.12407072398258304</v>
      </c>
      <c r="L872" s="1954">
        <v>0.12407072398258304</v>
      </c>
      <c r="M872" s="1954">
        <v>0.12407072398258304</v>
      </c>
    </row>
    <row r="873" spans="2:13" ht="15" customHeight="1">
      <c r="B873" s="186"/>
      <c r="C873" s="1287"/>
      <c r="D873" s="1287" t="s">
        <v>506</v>
      </c>
      <c r="E873" s="1287"/>
      <c r="F873" s="1954">
        <v>9.5189247366907486E-4</v>
      </c>
      <c r="G873" s="1954">
        <v>9.5189247366907486E-4</v>
      </c>
      <c r="H873" s="1954">
        <v>1.104742394254476E-3</v>
      </c>
      <c r="I873" s="1954">
        <v>1.2617248163690681E-3</v>
      </c>
      <c r="J873" s="1954">
        <v>1.2617248163690681E-3</v>
      </c>
      <c r="K873" s="1954">
        <v>1.2617248163690681E-3</v>
      </c>
      <c r="L873" s="1954">
        <v>1.2617248163690681E-3</v>
      </c>
      <c r="M873" s="1954">
        <v>1.2617248163690681E-3</v>
      </c>
    </row>
    <row r="874" spans="2:13" ht="15" customHeight="1">
      <c r="B874" s="186"/>
      <c r="C874" s="1287"/>
      <c r="D874" s="1287" t="s">
        <v>507</v>
      </c>
      <c r="E874" s="1287"/>
      <c r="F874" s="1954">
        <v>1.6727384556109681E-2</v>
      </c>
      <c r="G874" s="1954">
        <v>1.6727384556109681E-2</v>
      </c>
      <c r="H874" s="1954">
        <v>1.9413380581635244E-2</v>
      </c>
      <c r="I874" s="1954">
        <v>2.2171996093257845E-2</v>
      </c>
      <c r="J874" s="1954">
        <v>2.2171996093257845E-2</v>
      </c>
      <c r="K874" s="1954">
        <v>2.2171996093257845E-2</v>
      </c>
      <c r="L874" s="1954">
        <v>2.2171996093257845E-2</v>
      </c>
      <c r="M874" s="1954">
        <v>2.2171996093257845E-2</v>
      </c>
    </row>
    <row r="875" spans="2:13" ht="15" customHeight="1">
      <c r="B875" s="186"/>
      <c r="C875" s="1287"/>
      <c r="D875" s="1287" t="s">
        <v>570</v>
      </c>
      <c r="E875" s="1287"/>
      <c r="F875" s="1954">
        <v>1.4163906842320207E-2</v>
      </c>
      <c r="G875" s="1954">
        <v>1.4163906842320207E-2</v>
      </c>
      <c r="H875" s="1954">
        <v>1.643827300857725E-2</v>
      </c>
      <c r="I875" s="1954">
        <v>1.8774129698506142E-2</v>
      </c>
      <c r="J875" s="1954">
        <v>1.8774129698506142E-2</v>
      </c>
      <c r="K875" s="1954">
        <v>1.8774129698506142E-2</v>
      </c>
      <c r="L875" s="1954">
        <v>1.8774129698506142E-2</v>
      </c>
      <c r="M875" s="1954">
        <v>1.8774129698506142E-2</v>
      </c>
    </row>
    <row r="876" spans="2:13" ht="15" customHeight="1">
      <c r="B876" s="186"/>
      <c r="C876" s="1287"/>
      <c r="D876" s="1287" t="s">
        <v>498</v>
      </c>
      <c r="E876" s="1287"/>
      <c r="F876" s="1954">
        <v>1.3707276064479038E-2</v>
      </c>
      <c r="G876" s="1954">
        <v>1.3707276064479038E-2</v>
      </c>
      <c r="H876" s="1954">
        <v>1.5908318845941533E-2</v>
      </c>
      <c r="I876" s="1954">
        <v>1.8168869755542869E-2</v>
      </c>
      <c r="J876" s="1954">
        <v>1.8168869755542869E-2</v>
      </c>
      <c r="K876" s="1954">
        <v>1.8168869755542869E-2</v>
      </c>
      <c r="L876" s="1954">
        <v>1.8168869755542869E-2</v>
      </c>
      <c r="M876" s="1954">
        <v>1.8168869755542869E-2</v>
      </c>
    </row>
    <row r="877" spans="2:13" ht="15" customHeight="1">
      <c r="B877" s="186"/>
      <c r="C877" s="1287"/>
      <c r="D877" s="1287" t="s">
        <v>502</v>
      </c>
      <c r="E877" s="1287"/>
      <c r="F877" s="1954">
        <v>1.3898000089675389E-4</v>
      </c>
      <c r="G877" s="1954">
        <v>1.3898000089675389E-4</v>
      </c>
      <c r="H877" s="1954">
        <v>1.6129668338731528E-4</v>
      </c>
      <c r="I877" s="1954">
        <v>1.842167271630216E-4</v>
      </c>
      <c r="J877" s="1954">
        <v>1.842167271630216E-4</v>
      </c>
      <c r="K877" s="1954">
        <v>1.842167271630216E-4</v>
      </c>
      <c r="L877" s="1954">
        <v>1.842167271630216E-4</v>
      </c>
      <c r="M877" s="1954">
        <v>1.842167271630216E-4</v>
      </c>
    </row>
    <row r="878" spans="2:13" ht="15" customHeight="1">
      <c r="B878" s="186"/>
      <c r="C878" s="1287"/>
      <c r="D878" t="s">
        <v>571</v>
      </c>
      <c r="E878" s="1287"/>
      <c r="F878" s="1954">
        <v>0.55840508306747416</v>
      </c>
      <c r="G878" s="1954">
        <v>0.55840508306747416</v>
      </c>
      <c r="H878" s="1954">
        <v>0.64807085411024479</v>
      </c>
      <c r="I878" s="1954">
        <v>0.74016085890159156</v>
      </c>
      <c r="J878" s="1954">
        <v>0.74016085890159156</v>
      </c>
      <c r="K878" s="1954">
        <v>0.74016085890159156</v>
      </c>
      <c r="L878" s="1954">
        <v>0.74016085890159156</v>
      </c>
      <c r="M878" s="1954">
        <v>0.74016085890159156</v>
      </c>
    </row>
    <row r="879" spans="2:13" ht="15" customHeight="1">
      <c r="B879" s="186"/>
      <c r="C879" s="1287"/>
      <c r="D879" s="1948" t="s">
        <v>1878</v>
      </c>
      <c r="E879" s="1287"/>
      <c r="F879" s="1954">
        <v>0</v>
      </c>
      <c r="G879" s="1954">
        <v>0</v>
      </c>
      <c r="H879" s="1954">
        <v>0</v>
      </c>
      <c r="I879" s="1954">
        <v>0</v>
      </c>
      <c r="J879" s="1954">
        <v>0</v>
      </c>
      <c r="K879" s="1954">
        <v>0</v>
      </c>
      <c r="L879" s="1954">
        <v>0</v>
      </c>
      <c r="M879" s="1954">
        <v>0</v>
      </c>
    </row>
    <row r="880" spans="2:13" ht="15" customHeight="1">
      <c r="B880" s="186"/>
      <c r="C880" s="1287"/>
      <c r="D880" s="1948" t="s">
        <v>549</v>
      </c>
      <c r="E880" s="1287"/>
      <c r="F880" s="1954">
        <v>0</v>
      </c>
      <c r="G880" s="1954">
        <v>0</v>
      </c>
      <c r="H880" s="1954">
        <v>0</v>
      </c>
      <c r="I880" s="1954">
        <v>0</v>
      </c>
      <c r="J880" s="1954">
        <v>0</v>
      </c>
      <c r="K880" s="1954">
        <v>0</v>
      </c>
      <c r="L880" s="1954">
        <v>0</v>
      </c>
      <c r="M880" s="1954">
        <v>0</v>
      </c>
    </row>
    <row r="881" spans="2:14" ht="15" customHeight="1">
      <c r="B881" s="186"/>
      <c r="C881" s="1287"/>
      <c r="D881" s="1948" t="s">
        <v>572</v>
      </c>
      <c r="E881" s="1287"/>
      <c r="F881" s="1287"/>
      <c r="G881" s="1287"/>
      <c r="H881" s="1287"/>
      <c r="I881" s="1287"/>
      <c r="J881" s="1287"/>
      <c r="K881" s="1287"/>
      <c r="L881" s="1287"/>
      <c r="M881" s="1287"/>
    </row>
    <row r="882" spans="2:14" ht="15" customHeight="1">
      <c r="B882" s="186"/>
      <c r="C882" s="887"/>
      <c r="D882" s="649"/>
      <c r="E882" s="1760" t="s">
        <v>1714</v>
      </c>
      <c r="F882" s="1976">
        <f>SUM(F865:F881)</f>
        <v>5.4786832853430321</v>
      </c>
      <c r="G882" s="1976">
        <f t="shared" ref="G882:M882" si="55">SUM(G865:G881)</f>
        <v>5.4786832853430321</v>
      </c>
      <c r="H882" s="1976">
        <f t="shared" si="55"/>
        <v>6.3584216257980444</v>
      </c>
      <c r="I882" s="1976">
        <f t="shared" si="55"/>
        <v>7.2619448659984656</v>
      </c>
      <c r="J882" s="1976">
        <f t="shared" si="55"/>
        <v>7.2619448659984656</v>
      </c>
      <c r="K882" s="1976">
        <f t="shared" si="55"/>
        <v>7.2619448659984656</v>
      </c>
      <c r="L882" s="1976">
        <f t="shared" si="55"/>
        <v>7.2619448659984656</v>
      </c>
      <c r="M882" s="1976">
        <f t="shared" si="55"/>
        <v>7.2619448659984656</v>
      </c>
      <c r="N882" s="887"/>
    </row>
    <row r="883" spans="2:14" ht="15" customHeight="1">
      <c r="B883" s="186"/>
      <c r="C883" s="887"/>
      <c r="D883" s="609"/>
      <c r="E883" s="887"/>
      <c r="F883" s="1955"/>
      <c r="G883" s="1955"/>
      <c r="H883" s="1955"/>
      <c r="I883" s="1955"/>
      <c r="J883" s="1955"/>
      <c r="K883" s="1955"/>
      <c r="L883" s="1955"/>
      <c r="M883" s="624" t="s">
        <v>12</v>
      </c>
      <c r="N883" s="887"/>
    </row>
    <row r="884" spans="2:14" ht="15" customHeight="1">
      <c r="B884" s="186"/>
      <c r="C884" s="1950" t="s">
        <v>558</v>
      </c>
      <c r="D884" s="1951"/>
      <c r="E884" s="1950"/>
      <c r="F884" s="1952">
        <v>2018</v>
      </c>
      <c r="G884" s="1952">
        <v>2020</v>
      </c>
      <c r="H884" s="1952">
        <v>2025</v>
      </c>
      <c r="I884" s="1952">
        <v>2030</v>
      </c>
      <c r="J884" s="1952">
        <v>2035</v>
      </c>
      <c r="K884" s="1952">
        <v>2040</v>
      </c>
      <c r="L884" s="1952">
        <v>2045</v>
      </c>
      <c r="M884" s="1952">
        <v>2050</v>
      </c>
      <c r="N884" s="887"/>
    </row>
    <row r="885" spans="2:14" ht="15" customHeight="1">
      <c r="B885" s="186"/>
      <c r="C885" s="1287"/>
      <c r="D885" s="1554" t="s">
        <v>504</v>
      </c>
      <c r="E885" s="1554"/>
      <c r="F885" s="1953" cm="1">
        <f t="array" ref="F885:M900">(E282:L297)-((E282:L297)*(CHOOSE(TRAYECTORIA_EFICIENCIA_OPTIMIZACION_INDUSTRIA,(E34:L34),(E45:L45),(E56:L56),(E67:L67))))</f>
        <v>0</v>
      </c>
      <c r="G885" s="1953">
        <v>0</v>
      </c>
      <c r="H885" s="1953">
        <v>0</v>
      </c>
      <c r="I885" s="1953">
        <v>0</v>
      </c>
      <c r="J885" s="1953">
        <v>0</v>
      </c>
      <c r="K885" s="1953">
        <v>0</v>
      </c>
      <c r="L885" s="1953">
        <v>0</v>
      </c>
      <c r="M885" s="1953">
        <v>0</v>
      </c>
      <c r="N885" s="887"/>
    </row>
    <row r="886" spans="2:14" ht="15" customHeight="1">
      <c r="B886" s="186"/>
      <c r="C886" s="1287"/>
      <c r="D886" s="1287" t="s">
        <v>569</v>
      </c>
      <c r="E886" s="1287"/>
      <c r="F886" s="1954">
        <v>2.4604596887198857E-3</v>
      </c>
      <c r="G886" s="1954">
        <v>2.4604596887198857E-3</v>
      </c>
      <c r="H886" s="1954">
        <v>2.8223311200272858E-3</v>
      </c>
      <c r="I886" s="1954">
        <v>3.1858868119955374E-3</v>
      </c>
      <c r="J886" s="1954">
        <v>3.1858868119955374E-3</v>
      </c>
      <c r="K886" s="1954">
        <v>3.1858868119955374E-3</v>
      </c>
      <c r="L886" s="1954">
        <v>3.1858868119955374E-3</v>
      </c>
      <c r="M886" s="1954">
        <v>3.1858868119955374E-3</v>
      </c>
      <c r="N886" s="887"/>
    </row>
    <row r="887" spans="2:14" ht="15" customHeight="1">
      <c r="B887" s="186"/>
      <c r="C887" s="1287"/>
      <c r="D887" s="1287" t="s">
        <v>513</v>
      </c>
      <c r="E887" s="1287"/>
      <c r="F887" s="1954">
        <v>0.96610709143409135</v>
      </c>
      <c r="G887" s="1954">
        <v>0.96610709143409135</v>
      </c>
      <c r="H887" s="1954">
        <v>1.1081970259192102</v>
      </c>
      <c r="I887" s="1954">
        <v>1.2509482905515903</v>
      </c>
      <c r="J887" s="1954">
        <v>1.2509482905515903</v>
      </c>
      <c r="K887" s="1954">
        <v>1.2509482905515903</v>
      </c>
      <c r="L887" s="1954">
        <v>1.2509482905515903</v>
      </c>
      <c r="M887" s="1954">
        <v>1.2509482905515903</v>
      </c>
      <c r="N887" s="887"/>
    </row>
    <row r="888" spans="2:14" ht="15" customHeight="1">
      <c r="B888" s="186"/>
      <c r="C888" s="1287"/>
      <c r="D888" s="1287" t="s">
        <v>503</v>
      </c>
      <c r="E888" s="1287"/>
      <c r="F888" s="1954">
        <v>0</v>
      </c>
      <c r="G888" s="1954">
        <v>0</v>
      </c>
      <c r="H888" s="1954">
        <v>0</v>
      </c>
      <c r="I888" s="1954">
        <v>0</v>
      </c>
      <c r="J888" s="1954">
        <v>0</v>
      </c>
      <c r="K888" s="1954">
        <v>0</v>
      </c>
      <c r="L888" s="1954">
        <v>0</v>
      </c>
      <c r="M888" s="1954">
        <v>0</v>
      </c>
      <c r="N888" s="887"/>
    </row>
    <row r="889" spans="2:14" ht="15" customHeight="1">
      <c r="B889" s="186"/>
      <c r="C889" s="1287"/>
      <c r="D889" s="1287" t="s">
        <v>525</v>
      </c>
      <c r="E889" s="1287"/>
      <c r="F889" s="1954">
        <v>3.5248669284326179E-3</v>
      </c>
      <c r="G889" s="1954">
        <v>3.5248669284326179E-3</v>
      </c>
      <c r="H889" s="1954">
        <v>4.0432857614693283E-3</v>
      </c>
      <c r="I889" s="1954">
        <v>4.5641174748021528E-3</v>
      </c>
      <c r="J889" s="1954">
        <v>4.5641174748021528E-3</v>
      </c>
      <c r="K889" s="1954">
        <v>4.5641174748021528E-3</v>
      </c>
      <c r="L889" s="1954">
        <v>4.5641174748021528E-3</v>
      </c>
      <c r="M889" s="1954">
        <v>4.5641174748021528E-3</v>
      </c>
      <c r="N889" s="887"/>
    </row>
    <row r="890" spans="2:14" ht="15" customHeight="1">
      <c r="B890" s="186"/>
      <c r="C890" s="1287"/>
      <c r="D890" s="1287" t="s">
        <v>487</v>
      </c>
      <c r="E890" s="1287"/>
      <c r="F890" s="1954">
        <v>0</v>
      </c>
      <c r="G890" s="1954">
        <v>0</v>
      </c>
      <c r="H890" s="1954">
        <v>0</v>
      </c>
      <c r="I890" s="1954">
        <v>0</v>
      </c>
      <c r="J890" s="1954">
        <v>0</v>
      </c>
      <c r="K890" s="1954">
        <v>0</v>
      </c>
      <c r="L890" s="1954">
        <v>0</v>
      </c>
      <c r="M890" s="1954">
        <v>0</v>
      </c>
    </row>
    <row r="891" spans="2:14" ht="15" customHeight="1">
      <c r="B891" s="186"/>
      <c r="C891" s="1287"/>
      <c r="D891" s="1287" t="s">
        <v>494</v>
      </c>
      <c r="E891" s="1287"/>
      <c r="F891" s="1954">
        <v>4.068598816207707E-3</v>
      </c>
      <c r="G891" s="1954">
        <v>4.068598816207707E-3</v>
      </c>
      <c r="H891" s="1954">
        <v>4.6669868669392683E-3</v>
      </c>
      <c r="I891" s="1954">
        <v>5.2681599992400749E-3</v>
      </c>
      <c r="J891" s="1954">
        <v>5.2681599992400749E-3</v>
      </c>
      <c r="K891" s="1954">
        <v>5.2681599992400749E-3</v>
      </c>
      <c r="L891" s="1954">
        <v>5.2681599992400749E-3</v>
      </c>
      <c r="M891" s="1954">
        <v>5.2681599992400749E-3</v>
      </c>
    </row>
    <row r="892" spans="2:14" ht="15" customHeight="1">
      <c r="B892" s="186"/>
      <c r="C892" s="1287"/>
      <c r="D892" s="1287" t="s">
        <v>1854</v>
      </c>
      <c r="E892" s="1287"/>
      <c r="F892" s="1954">
        <v>4.4076866052160414E-2</v>
      </c>
      <c r="G892" s="1954">
        <v>4.4076866052160414E-2</v>
      </c>
      <c r="H892" s="1954">
        <v>5.0559458991587237E-2</v>
      </c>
      <c r="I892" s="1954">
        <v>5.7072223907366937E-2</v>
      </c>
      <c r="J892" s="1954">
        <v>5.7072223907366937E-2</v>
      </c>
      <c r="K892" s="1954">
        <v>5.7072223907366937E-2</v>
      </c>
      <c r="L892" s="1954">
        <v>5.7072223907366937E-2</v>
      </c>
      <c r="M892" s="1954">
        <v>5.7072223907366937E-2</v>
      </c>
    </row>
    <row r="893" spans="2:14" ht="15" customHeight="1">
      <c r="B893" s="186"/>
      <c r="C893" s="1287"/>
      <c r="D893" s="1287" t="s">
        <v>506</v>
      </c>
      <c r="E893" s="1287"/>
      <c r="F893" s="1954">
        <v>1.1523764458753802E-4</v>
      </c>
      <c r="G893" s="1954">
        <v>1.1523764458753802E-4</v>
      </c>
      <c r="H893" s="1954">
        <v>1.3218618943814761E-4</v>
      </c>
      <c r="I893" s="1954">
        <v>1.492136180161833E-4</v>
      </c>
      <c r="J893" s="1954">
        <v>1.492136180161833E-4</v>
      </c>
      <c r="K893" s="1954">
        <v>1.492136180161833E-4</v>
      </c>
      <c r="L893" s="1954">
        <v>1.492136180161833E-4</v>
      </c>
      <c r="M893" s="1954">
        <v>1.492136180161833E-4</v>
      </c>
    </row>
    <row r="894" spans="2:14" ht="15" customHeight="1">
      <c r="B894" s="186"/>
      <c r="C894" s="1287"/>
      <c r="D894" s="1287" t="s">
        <v>507</v>
      </c>
      <c r="E894" s="1287"/>
      <c r="F894" s="1954">
        <v>3.3219524380950086E-3</v>
      </c>
      <c r="G894" s="1954">
        <v>3.3219524380950086E-3</v>
      </c>
      <c r="H894" s="1954">
        <v>3.8105276783315092E-3</v>
      </c>
      <c r="I894" s="1954">
        <v>4.3013768976274342E-3</v>
      </c>
      <c r="J894" s="1954">
        <v>4.3013768976274342E-3</v>
      </c>
      <c r="K894" s="1954">
        <v>4.3013768976274342E-3</v>
      </c>
      <c r="L894" s="1954">
        <v>4.3013768976274342E-3</v>
      </c>
      <c r="M894" s="1954">
        <v>4.3013768976274342E-3</v>
      </c>
    </row>
    <row r="895" spans="2:14" ht="15" customHeight="1">
      <c r="B895" s="186"/>
      <c r="C895" s="1287"/>
      <c r="D895" s="1287" t="s">
        <v>570</v>
      </c>
      <c r="E895" s="1287"/>
      <c r="F895" s="1954">
        <v>8.548808198381142E-4</v>
      </c>
      <c r="G895" s="1954">
        <v>8.548808198381142E-4</v>
      </c>
      <c r="H895" s="1954">
        <v>9.8061218105095034E-4</v>
      </c>
      <c r="I895" s="1954">
        <v>1.1069287345923462E-3</v>
      </c>
      <c r="J895" s="1954">
        <v>1.1069287345923462E-3</v>
      </c>
      <c r="K895" s="1954">
        <v>1.1069287345923462E-3</v>
      </c>
      <c r="L895" s="1954">
        <v>1.1069287345923462E-3</v>
      </c>
      <c r="M895" s="1954">
        <v>1.1069287345923462E-3</v>
      </c>
    </row>
    <row r="896" spans="2:14" ht="15" customHeight="1">
      <c r="B896" s="186"/>
      <c r="C896" s="1287"/>
      <c r="D896" s="1287" t="s">
        <v>498</v>
      </c>
      <c r="E896" s="1287"/>
      <c r="F896" s="1954">
        <v>4.2244078399685317E-3</v>
      </c>
      <c r="G896" s="1954">
        <v>4.2244078399685317E-3</v>
      </c>
      <c r="H896" s="1954">
        <v>4.8457114599725461E-3</v>
      </c>
      <c r="I896" s="1954">
        <v>5.4699068176355305E-3</v>
      </c>
      <c r="J896" s="1954">
        <v>5.4699068176355305E-3</v>
      </c>
      <c r="K896" s="1954">
        <v>5.4699068176355305E-3</v>
      </c>
      <c r="L896" s="1954">
        <v>5.4699068176355305E-3</v>
      </c>
      <c r="M896" s="1954">
        <v>5.4699068176355305E-3</v>
      </c>
    </row>
    <row r="897" spans="2:13" ht="15" customHeight="1">
      <c r="B897" s="186"/>
      <c r="C897" s="1287"/>
      <c r="D897" s="1287" t="s">
        <v>502</v>
      </c>
      <c r="E897" s="1287"/>
      <c r="F897" s="1954">
        <v>1.0070800106108963E-5</v>
      </c>
      <c r="G897" s="1954">
        <v>1.0070800106108963E-5</v>
      </c>
      <c r="H897" s="1954">
        <v>1.1551960259033241E-5</v>
      </c>
      <c r="I897" s="1954">
        <v>1.3040014185718486E-5</v>
      </c>
      <c r="J897" s="1954">
        <v>1.3040014185718486E-5</v>
      </c>
      <c r="K897" s="1954">
        <v>1.3040014185718486E-5</v>
      </c>
      <c r="L897" s="1954">
        <v>1.3040014185718486E-5</v>
      </c>
      <c r="M897" s="1954">
        <v>1.3040014185718486E-5</v>
      </c>
    </row>
    <row r="898" spans="2:13" ht="15" customHeight="1">
      <c r="B898" s="186"/>
      <c r="C898" s="1287"/>
      <c r="D898" t="s">
        <v>571</v>
      </c>
      <c r="E898" s="1287"/>
      <c r="F898" s="1954">
        <v>1.0318359620703796</v>
      </c>
      <c r="G898" s="1954">
        <v>1.0318359620703796</v>
      </c>
      <c r="H898" s="1954">
        <v>1.1835929521079296</v>
      </c>
      <c r="I898" s="1954">
        <v>1.3360562657350645</v>
      </c>
      <c r="J898" s="1954">
        <v>1.3360562657350645</v>
      </c>
      <c r="K898" s="1954">
        <v>1.3360562657350645</v>
      </c>
      <c r="L898" s="1954">
        <v>1.3360562657350645</v>
      </c>
      <c r="M898" s="1954">
        <v>1.3360562657350645</v>
      </c>
    </row>
    <row r="899" spans="2:13" ht="15" customHeight="1">
      <c r="B899" s="186"/>
      <c r="C899" s="1287"/>
      <c r="D899" s="1948" t="s">
        <v>1878</v>
      </c>
      <c r="E899" s="1287"/>
      <c r="F899" s="1954">
        <v>0</v>
      </c>
      <c r="G899" s="1954">
        <v>0</v>
      </c>
      <c r="H899" s="1954">
        <v>0</v>
      </c>
      <c r="I899" s="1954">
        <v>0</v>
      </c>
      <c r="J899" s="1954">
        <v>0</v>
      </c>
      <c r="K899" s="1954">
        <v>0</v>
      </c>
      <c r="L899" s="1954">
        <v>0</v>
      </c>
      <c r="M899" s="1954">
        <v>0</v>
      </c>
    </row>
    <row r="900" spans="2:13" ht="15" customHeight="1">
      <c r="B900" s="186"/>
      <c r="C900" s="1287"/>
      <c r="D900" s="1948" t="s">
        <v>549</v>
      </c>
      <c r="E900" s="1287"/>
      <c r="F900" s="1954">
        <v>0</v>
      </c>
      <c r="G900" s="1954">
        <v>0</v>
      </c>
      <c r="H900" s="1954">
        <v>0</v>
      </c>
      <c r="I900" s="1954">
        <v>0</v>
      </c>
      <c r="J900" s="1954">
        <v>0</v>
      </c>
      <c r="K900" s="1954">
        <v>0</v>
      </c>
      <c r="L900" s="1954">
        <v>0</v>
      </c>
      <c r="M900" s="1954">
        <v>0</v>
      </c>
    </row>
    <row r="901" spans="2:13" ht="15" customHeight="1">
      <c r="B901" s="186"/>
      <c r="C901" s="1287"/>
      <c r="D901" s="1974" t="s">
        <v>572</v>
      </c>
      <c r="E901" s="1478"/>
      <c r="F901" s="1478"/>
      <c r="G901" s="1478"/>
      <c r="H901" s="1478"/>
      <c r="I901" s="1478"/>
      <c r="J901" s="1478"/>
      <c r="K901" s="1478"/>
      <c r="L901" s="1478"/>
      <c r="M901" s="1478"/>
    </row>
    <row r="902" spans="2:13" ht="15" customHeight="1">
      <c r="B902" s="186"/>
      <c r="C902" s="887"/>
      <c r="D902" s="609"/>
      <c r="E902" s="1419" t="s">
        <v>1714</v>
      </c>
      <c r="F902" s="1955">
        <f>SUM(F885:F901)</f>
        <v>2.0606003945325866</v>
      </c>
      <c r="G902" s="1955">
        <f t="shared" ref="G902:M902" si="56">SUM(G885:G901)</f>
        <v>2.0606003945325866</v>
      </c>
      <c r="H902" s="1955">
        <f t="shared" si="56"/>
        <v>2.3636626302362149</v>
      </c>
      <c r="I902" s="1955">
        <f t="shared" si="56"/>
        <v>2.6681354105621171</v>
      </c>
      <c r="J902" s="1955">
        <f t="shared" si="56"/>
        <v>2.6681354105621171</v>
      </c>
      <c r="K902" s="1955">
        <f t="shared" si="56"/>
        <v>2.6681354105621171</v>
      </c>
      <c r="L902" s="1955">
        <f t="shared" si="56"/>
        <v>2.6681354105621171</v>
      </c>
      <c r="M902" s="1955">
        <f t="shared" si="56"/>
        <v>2.6681354105621171</v>
      </c>
    </row>
    <row r="903" spans="2:13" ht="15" customHeight="1">
      <c r="B903" s="186"/>
      <c r="C903" s="887"/>
      <c r="D903" s="609"/>
      <c r="E903" s="887"/>
      <c r="F903" s="1955"/>
      <c r="G903" s="1955"/>
      <c r="H903" s="1955"/>
      <c r="I903" s="1955"/>
      <c r="J903" s="1955"/>
      <c r="K903" s="1955"/>
      <c r="L903" s="1955"/>
      <c r="M903" s="624" t="s">
        <v>12</v>
      </c>
    </row>
    <row r="904" spans="2:13" ht="15" customHeight="1">
      <c r="B904" s="186"/>
      <c r="C904" s="1950" t="s">
        <v>559</v>
      </c>
      <c r="D904" s="1951"/>
      <c r="E904" s="1950"/>
      <c r="F904" s="1952">
        <v>2018</v>
      </c>
      <c r="G904" s="1952">
        <v>2020</v>
      </c>
      <c r="H904" s="1952">
        <v>2025</v>
      </c>
      <c r="I904" s="1952">
        <v>2030</v>
      </c>
      <c r="J904" s="1952">
        <v>2035</v>
      </c>
      <c r="K904" s="1952">
        <v>2040</v>
      </c>
      <c r="L904" s="1952">
        <v>2045</v>
      </c>
      <c r="M904" s="1952">
        <v>2050</v>
      </c>
    </row>
    <row r="905" spans="2:13" ht="15" customHeight="1">
      <c r="B905" s="186"/>
      <c r="C905" s="1287"/>
      <c r="D905" s="1554" t="s">
        <v>504</v>
      </c>
      <c r="E905" s="1554"/>
      <c r="F905" s="1953" cm="1">
        <f t="array" ref="F905:M920">(E302:L317)-((E302:L317)*(CHOOSE(TRAYECTORIA_EFICIENCIA_OPTIMIZACION_INDUSTRIA,(E35:L35),(E46:L46),(E57:L57),(E68:L68))))</f>
        <v>0</v>
      </c>
      <c r="G905" s="1953">
        <v>0</v>
      </c>
      <c r="H905" s="1953">
        <v>0</v>
      </c>
      <c r="I905" s="1953">
        <v>0</v>
      </c>
      <c r="J905" s="1953">
        <v>0</v>
      </c>
      <c r="K905" s="1953">
        <v>0</v>
      </c>
      <c r="L905" s="1953">
        <v>0</v>
      </c>
      <c r="M905" s="1953">
        <v>0</v>
      </c>
    </row>
    <row r="906" spans="2:13" ht="15" customHeight="1">
      <c r="B906" s="186"/>
      <c r="C906" s="1287"/>
      <c r="D906" s="1287" t="s">
        <v>569</v>
      </c>
      <c r="E906" s="1287"/>
      <c r="F906" s="1954">
        <v>1.1891657317183872</v>
      </c>
      <c r="G906" s="1954">
        <v>1.1891657317183872</v>
      </c>
      <c r="H906" s="1954">
        <v>1.3791001034144388</v>
      </c>
      <c r="I906" s="1954">
        <v>1.5739219500243631</v>
      </c>
      <c r="J906" s="1954">
        <v>1.5739219500243631</v>
      </c>
      <c r="K906" s="1954">
        <v>1.5739219500243631</v>
      </c>
      <c r="L906" s="1954">
        <v>1.5739219500243631</v>
      </c>
      <c r="M906" s="1954">
        <v>1.5739219500243631</v>
      </c>
    </row>
    <row r="907" spans="2:13" ht="15" customHeight="1">
      <c r="B907" s="186"/>
      <c r="C907" s="1287"/>
      <c r="D907" s="1287" t="s">
        <v>513</v>
      </c>
      <c r="E907" s="1287"/>
      <c r="F907" s="1954">
        <v>0.65062396927930943</v>
      </c>
      <c r="G907" s="1954">
        <v>0.65062396927930943</v>
      </c>
      <c r="H907" s="1954">
        <v>0.75454207885759783</v>
      </c>
      <c r="I907" s="1954">
        <v>0.86113425500491003</v>
      </c>
      <c r="J907" s="1954">
        <v>0.86113425500491003</v>
      </c>
      <c r="K907" s="1954">
        <v>0.86113425500491003</v>
      </c>
      <c r="L907" s="1954">
        <v>0.86113425500491003</v>
      </c>
      <c r="M907" s="1954">
        <v>0.86113425500491003</v>
      </c>
    </row>
    <row r="908" spans="2:13" ht="15" customHeight="1">
      <c r="B908" s="186"/>
      <c r="C908" s="1287"/>
      <c r="D908" s="1287" t="s">
        <v>503</v>
      </c>
      <c r="E908" s="1287"/>
      <c r="F908" s="1954">
        <v>0</v>
      </c>
      <c r="G908" s="1954">
        <v>0</v>
      </c>
      <c r="H908" s="1954">
        <v>0</v>
      </c>
      <c r="I908" s="1954">
        <v>0</v>
      </c>
      <c r="J908" s="1954">
        <v>0</v>
      </c>
      <c r="K908" s="1954">
        <v>0</v>
      </c>
      <c r="L908" s="1954">
        <v>0</v>
      </c>
      <c r="M908" s="1954">
        <v>0</v>
      </c>
    </row>
    <row r="909" spans="2:13" ht="15" customHeight="1">
      <c r="B909" s="186"/>
      <c r="C909" s="1287"/>
      <c r="D909" s="1287" t="s">
        <v>525</v>
      </c>
      <c r="E909" s="1287"/>
      <c r="F909" s="1954">
        <v>0</v>
      </c>
      <c r="G909" s="1954">
        <v>0</v>
      </c>
      <c r="H909" s="1954">
        <v>0</v>
      </c>
      <c r="I909" s="1954">
        <v>0</v>
      </c>
      <c r="J909" s="1954">
        <v>0</v>
      </c>
      <c r="K909" s="1954">
        <v>0</v>
      </c>
      <c r="L909" s="1954">
        <v>0</v>
      </c>
      <c r="M909" s="1954">
        <v>0</v>
      </c>
    </row>
    <row r="910" spans="2:13" ht="15" customHeight="1">
      <c r="B910" s="186"/>
      <c r="C910" s="1287"/>
      <c r="D910" s="1287" t="s">
        <v>487</v>
      </c>
      <c r="E910" s="1287"/>
      <c r="F910" s="1954">
        <v>0</v>
      </c>
      <c r="G910" s="1954">
        <v>0</v>
      </c>
      <c r="H910" s="1954">
        <v>0</v>
      </c>
      <c r="I910" s="1954">
        <v>0</v>
      </c>
      <c r="J910" s="1954">
        <v>0</v>
      </c>
      <c r="K910" s="1954">
        <v>0</v>
      </c>
      <c r="L910" s="1954">
        <v>0</v>
      </c>
      <c r="M910" s="1954">
        <v>0</v>
      </c>
    </row>
    <row r="911" spans="2:13" ht="15" customHeight="1">
      <c r="B911" s="186"/>
      <c r="C911" s="1287"/>
      <c r="D911" s="1287" t="s">
        <v>494</v>
      </c>
      <c r="E911" s="1287"/>
      <c r="F911" s="1954">
        <v>4.1358429391967103E-4</v>
      </c>
      <c r="G911" s="1954">
        <v>4.1358429391967103E-4</v>
      </c>
      <c r="H911" s="1954">
        <v>4.7964226289214958E-4</v>
      </c>
      <c r="I911" s="1954">
        <v>5.4740006461912816E-4</v>
      </c>
      <c r="J911" s="1954">
        <v>5.4740006461912816E-4</v>
      </c>
      <c r="K911" s="1954">
        <v>5.4740006461912816E-4</v>
      </c>
      <c r="L911" s="1954">
        <v>5.4740006461912816E-4</v>
      </c>
      <c r="M911" s="1954">
        <v>5.4740006461912816E-4</v>
      </c>
    </row>
    <row r="912" spans="2:13" ht="15" customHeight="1">
      <c r="B912" s="186"/>
      <c r="C912" s="1287"/>
      <c r="D912" s="1287" t="s">
        <v>1854</v>
      </c>
      <c r="E912" s="1287"/>
      <c r="F912" s="1954">
        <v>3.4237686715510485E-3</v>
      </c>
      <c r="G912" s="1954">
        <v>3.4237686715510485E-3</v>
      </c>
      <c r="H912" s="1954">
        <v>3.9706153676158425E-3</v>
      </c>
      <c r="I912" s="1954">
        <v>4.5315337637362113E-3</v>
      </c>
      <c r="J912" s="1954">
        <v>4.5315337637362113E-3</v>
      </c>
      <c r="K912" s="1954">
        <v>4.5315337637362113E-3</v>
      </c>
      <c r="L912" s="1954">
        <v>4.5315337637362113E-3</v>
      </c>
      <c r="M912" s="1954">
        <v>4.5315337637362113E-3</v>
      </c>
    </row>
    <row r="913" spans="2:13" ht="15" customHeight="1">
      <c r="B913" s="186"/>
      <c r="C913" s="1287"/>
      <c r="D913" s="1287" t="s">
        <v>506</v>
      </c>
      <c r="E913" s="1287"/>
      <c r="F913" s="1954">
        <v>0</v>
      </c>
      <c r="G913" s="1954">
        <v>0</v>
      </c>
      <c r="H913" s="1954">
        <v>0</v>
      </c>
      <c r="I913" s="1954">
        <v>0</v>
      </c>
      <c r="J913" s="1954">
        <v>0</v>
      </c>
      <c r="K913" s="1954">
        <v>0</v>
      </c>
      <c r="L913" s="1954">
        <v>0</v>
      </c>
      <c r="M913" s="1954">
        <v>0</v>
      </c>
    </row>
    <row r="914" spans="2:13" ht="15" customHeight="1">
      <c r="B914" s="186"/>
      <c r="C914" s="1287"/>
      <c r="D914" s="1287" t="s">
        <v>507</v>
      </c>
      <c r="E914" s="1287"/>
      <c r="F914" s="1954">
        <v>0</v>
      </c>
      <c r="G914" s="1954">
        <v>0</v>
      </c>
      <c r="H914" s="1954">
        <v>0</v>
      </c>
      <c r="I914" s="1954">
        <v>0</v>
      </c>
      <c r="J914" s="1954">
        <v>0</v>
      </c>
      <c r="K914" s="1954">
        <v>0</v>
      </c>
      <c r="L914" s="1954">
        <v>0</v>
      </c>
      <c r="M914" s="1954">
        <v>0</v>
      </c>
    </row>
    <row r="915" spans="2:13" ht="15" customHeight="1">
      <c r="B915" s="186"/>
      <c r="C915" s="1287"/>
      <c r="D915" s="1287" t="s">
        <v>570</v>
      </c>
      <c r="E915" s="1287"/>
      <c r="F915" s="1954">
        <v>0</v>
      </c>
      <c r="G915" s="1954">
        <v>0</v>
      </c>
      <c r="H915" s="1954">
        <v>0</v>
      </c>
      <c r="I915" s="1954">
        <v>0</v>
      </c>
      <c r="J915" s="1954">
        <v>0</v>
      </c>
      <c r="K915" s="1954">
        <v>0</v>
      </c>
      <c r="L915" s="1954">
        <v>0</v>
      </c>
      <c r="M915" s="1954">
        <v>0</v>
      </c>
    </row>
    <row r="916" spans="2:13" ht="15" customHeight="1">
      <c r="B916" s="186"/>
      <c r="C916" s="1287"/>
      <c r="D916" t="s">
        <v>498</v>
      </c>
      <c r="E916" s="1287"/>
      <c r="F916" s="1954">
        <v>3.2992893740443365E-4</v>
      </c>
      <c r="G916" s="1954">
        <v>3.2992893740443365E-4</v>
      </c>
      <c r="H916" s="1954">
        <v>3.826254150768134E-4</v>
      </c>
      <c r="I916" s="1954">
        <v>4.3667790172415293E-4</v>
      </c>
      <c r="J916" s="1954">
        <v>4.3667790172415293E-4</v>
      </c>
      <c r="K916" s="1954">
        <v>4.3667790172415293E-4</v>
      </c>
      <c r="L916" s="1954">
        <v>4.3667790172415293E-4</v>
      </c>
      <c r="M916" s="1954">
        <v>4.3667790172415293E-4</v>
      </c>
    </row>
    <row r="917" spans="2:13" ht="15" customHeight="1">
      <c r="B917" s="186"/>
      <c r="C917" s="1287"/>
      <c r="D917" t="s">
        <v>502</v>
      </c>
      <c r="E917" s="1287"/>
      <c r="F917" s="1954">
        <v>0</v>
      </c>
      <c r="G917" s="1954">
        <v>0</v>
      </c>
      <c r="H917" s="1954">
        <v>0</v>
      </c>
      <c r="I917" s="1954">
        <v>0</v>
      </c>
      <c r="J917" s="1954">
        <v>0</v>
      </c>
      <c r="K917" s="1954">
        <v>0</v>
      </c>
      <c r="L917" s="1954">
        <v>0</v>
      </c>
      <c r="M917" s="1954">
        <v>0</v>
      </c>
    </row>
    <row r="918" spans="2:13" ht="15" customHeight="1">
      <c r="B918" s="186"/>
      <c r="C918" s="1287"/>
      <c r="D918" t="s">
        <v>571</v>
      </c>
      <c r="E918" s="1287"/>
      <c r="F918" s="1954">
        <v>0.35258236874524113</v>
      </c>
      <c r="G918" s="1954">
        <v>0.35258236874524113</v>
      </c>
      <c r="H918" s="1954">
        <v>0.40889706811179832</v>
      </c>
      <c r="I918" s="1954">
        <v>0.46666088212768714</v>
      </c>
      <c r="J918" s="1954">
        <v>0.46666088212768714</v>
      </c>
      <c r="K918" s="1954">
        <v>0.46666088212768714</v>
      </c>
      <c r="L918" s="1954">
        <v>0.46666088212768714</v>
      </c>
      <c r="M918" s="1954">
        <v>0.46666088212768714</v>
      </c>
    </row>
    <row r="919" spans="2:13" ht="15" customHeight="1">
      <c r="B919" s="186"/>
      <c r="C919" s="1287"/>
      <c r="D919" s="1948" t="s">
        <v>1878</v>
      </c>
      <c r="E919" s="1287"/>
      <c r="F919" s="1954">
        <v>0</v>
      </c>
      <c r="G919" s="1954">
        <v>0</v>
      </c>
      <c r="H919" s="1954">
        <v>0</v>
      </c>
      <c r="I919" s="1954">
        <v>0</v>
      </c>
      <c r="J919" s="1954">
        <v>0</v>
      </c>
      <c r="K919" s="1954">
        <v>0</v>
      </c>
      <c r="L919" s="1954">
        <v>0</v>
      </c>
      <c r="M919" s="1954">
        <v>0</v>
      </c>
    </row>
    <row r="920" spans="2:13" ht="15" customHeight="1">
      <c r="B920" s="186"/>
      <c r="C920" s="1287"/>
      <c r="D920" s="1948" t="s">
        <v>549</v>
      </c>
      <c r="E920" s="1287"/>
      <c r="F920" s="1954">
        <v>0</v>
      </c>
      <c r="G920" s="1954">
        <v>0</v>
      </c>
      <c r="H920" s="1954">
        <v>0</v>
      </c>
      <c r="I920" s="1954">
        <v>0</v>
      </c>
      <c r="J920" s="1954">
        <v>0</v>
      </c>
      <c r="K920" s="1954">
        <v>0</v>
      </c>
      <c r="L920" s="1954">
        <v>0</v>
      </c>
      <c r="M920" s="1954">
        <v>0</v>
      </c>
    </row>
    <row r="921" spans="2:13" ht="15" customHeight="1">
      <c r="B921" s="186"/>
      <c r="C921" s="1287"/>
      <c r="D921" s="1974" t="s">
        <v>572</v>
      </c>
      <c r="E921" s="1478"/>
      <c r="F921" s="1478"/>
      <c r="G921" s="1478"/>
      <c r="H921" s="1478"/>
      <c r="I921" s="1478"/>
      <c r="J921" s="1478"/>
      <c r="K921" s="1478"/>
      <c r="L921" s="1478"/>
      <c r="M921" s="1478"/>
    </row>
    <row r="922" spans="2:13" ht="15" customHeight="1">
      <c r="B922" s="186"/>
      <c r="C922" s="887"/>
      <c r="D922" s="609"/>
      <c r="E922" s="1419" t="s">
        <v>1714</v>
      </c>
      <c r="F922" s="1955">
        <f>SUM(F905:F921)</f>
        <v>2.1965393516458129</v>
      </c>
      <c r="G922" s="1955">
        <f t="shared" ref="G922:M922" si="57">SUM(G905:G921)</f>
        <v>2.1965393516458129</v>
      </c>
      <c r="H922" s="1955">
        <f t="shared" si="57"/>
        <v>2.5473721334294197</v>
      </c>
      <c r="I922" s="1955">
        <f t="shared" si="57"/>
        <v>2.9072326988870398</v>
      </c>
      <c r="J922" s="1955">
        <f t="shared" si="57"/>
        <v>2.9072326988870398</v>
      </c>
      <c r="K922" s="1955">
        <f t="shared" si="57"/>
        <v>2.9072326988870398</v>
      </c>
      <c r="L922" s="1955">
        <f t="shared" si="57"/>
        <v>2.9072326988870398</v>
      </c>
      <c r="M922" s="1955">
        <f t="shared" si="57"/>
        <v>2.9072326988870398</v>
      </c>
    </row>
    <row r="923" spans="2:13" ht="15" customHeight="1">
      <c r="B923" s="186"/>
      <c r="C923" s="887"/>
      <c r="D923" s="609"/>
      <c r="E923" s="887"/>
      <c r="F923" s="1955"/>
      <c r="G923" s="1955"/>
      <c r="H923" s="1955"/>
      <c r="I923" s="1955"/>
      <c r="J923" s="1955"/>
      <c r="K923" s="1955"/>
      <c r="L923" s="1955"/>
      <c r="M923" s="624" t="s">
        <v>12</v>
      </c>
    </row>
    <row r="924" spans="2:13" ht="15" customHeight="1">
      <c r="B924" s="186"/>
      <c r="C924" s="1950" t="s">
        <v>1899</v>
      </c>
      <c r="D924" s="1951"/>
      <c r="E924" s="1950"/>
      <c r="F924" s="1952">
        <v>2018</v>
      </c>
      <c r="G924" s="1952">
        <v>2020</v>
      </c>
      <c r="H924" s="1952">
        <v>2025</v>
      </c>
      <c r="I924" s="1952">
        <v>2030</v>
      </c>
      <c r="J924" s="1952">
        <v>2035</v>
      </c>
      <c r="K924" s="1952">
        <v>2040</v>
      </c>
      <c r="L924" s="1952">
        <v>2045</v>
      </c>
      <c r="M924" s="1952">
        <v>2050</v>
      </c>
    </row>
    <row r="925" spans="2:13" ht="15" customHeight="1">
      <c r="B925" s="186"/>
      <c r="C925" s="1287"/>
      <c r="D925" s="1554" t="s">
        <v>504</v>
      </c>
      <c r="E925" s="1554"/>
      <c r="F925" s="1953" cm="1">
        <f t="array" ref="F925:M940">(E322:L337)-((E322:L337)*(CHOOSE(TRAYECTORIA_EFICIENCIA_OPTIMIZACION_INDUSTRIA,(E36:L36),(E47:L47),(E58:L58),(E69:L69))))</f>
        <v>0</v>
      </c>
      <c r="G925" s="1953">
        <v>0</v>
      </c>
      <c r="H925" s="1953">
        <v>0</v>
      </c>
      <c r="I925" s="1953">
        <v>0</v>
      </c>
      <c r="J925" s="1953">
        <v>0</v>
      </c>
      <c r="K925" s="1953">
        <v>0</v>
      </c>
      <c r="L925" s="1953">
        <v>0</v>
      </c>
      <c r="M925" s="1953">
        <v>0</v>
      </c>
    </row>
    <row r="926" spans="2:13" ht="15" customHeight="1">
      <c r="B926" s="186"/>
      <c r="C926" s="1287"/>
      <c r="D926" s="1287" t="s">
        <v>569</v>
      </c>
      <c r="E926" s="1287"/>
      <c r="F926" s="1954">
        <v>0.42276310009315343</v>
      </c>
      <c r="G926" s="1954">
        <v>0.42276310009315343</v>
      </c>
      <c r="H926" s="1954">
        <v>0.4870895048307391</v>
      </c>
      <c r="I926" s="1954">
        <v>0.55228731570933509</v>
      </c>
      <c r="J926" s="1954">
        <v>0.55228731570933509</v>
      </c>
      <c r="K926" s="1954">
        <v>0.55228731570933509</v>
      </c>
      <c r="L926" s="1954">
        <v>0.55228731570933509</v>
      </c>
      <c r="M926" s="1954">
        <v>0.55228731570933509</v>
      </c>
    </row>
    <row r="927" spans="2:13" ht="15" customHeight="1">
      <c r="B927" s="186"/>
      <c r="C927" s="1287"/>
      <c r="D927" s="1287" t="s">
        <v>513</v>
      </c>
      <c r="E927" s="1287"/>
      <c r="F927" s="1954">
        <v>0.62883384398865816</v>
      </c>
      <c r="G927" s="1954">
        <v>0.62883384398865816</v>
      </c>
      <c r="H927" s="1954">
        <v>0.72451537426458146</v>
      </c>
      <c r="I927" s="1954">
        <v>0.82149306703246794</v>
      </c>
      <c r="J927" s="1954">
        <v>0.82149306703246794</v>
      </c>
      <c r="K927" s="1954">
        <v>0.82149306703246794</v>
      </c>
      <c r="L927" s="1954">
        <v>0.82149306703246794</v>
      </c>
      <c r="M927" s="1954">
        <v>0.82149306703246794</v>
      </c>
    </row>
    <row r="928" spans="2:13" ht="15" customHeight="1">
      <c r="B928" s="186"/>
      <c r="C928" s="1287"/>
      <c r="D928" s="1287" t="s">
        <v>503</v>
      </c>
      <c r="E928" s="1287"/>
      <c r="F928" s="1954">
        <v>8.4910900379429175E-5</v>
      </c>
      <c r="G928" s="1954">
        <v>8.4910900379429175E-5</v>
      </c>
      <c r="H928" s="1954">
        <v>9.783069622546319E-5</v>
      </c>
      <c r="I928" s="1954">
        <v>1.1092551179297487E-4</v>
      </c>
      <c r="J928" s="1954">
        <v>1.1092551179297487E-4</v>
      </c>
      <c r="K928" s="1954">
        <v>1.1092551179297487E-4</v>
      </c>
      <c r="L928" s="1954">
        <v>1.1092551179297487E-4</v>
      </c>
      <c r="M928" s="1954">
        <v>1.1092551179297487E-4</v>
      </c>
    </row>
    <row r="929" spans="2:13" ht="15" customHeight="1">
      <c r="B929" s="186"/>
      <c r="C929" s="1287"/>
      <c r="D929" s="1287" t="s">
        <v>525</v>
      </c>
      <c r="E929" s="1287"/>
      <c r="F929" s="1954">
        <v>1.0359836231932423E-4</v>
      </c>
      <c r="G929" s="1954">
        <v>1.0359836231932423E-4</v>
      </c>
      <c r="H929" s="1954">
        <v>1.193615880673507E-4</v>
      </c>
      <c r="I929" s="1954">
        <v>1.3533835243571509E-4</v>
      </c>
      <c r="J929" s="1954">
        <v>1.3533835243571509E-4</v>
      </c>
      <c r="K929" s="1954">
        <v>1.3533835243571509E-4</v>
      </c>
      <c r="L929" s="1954">
        <v>1.3533835243571509E-4</v>
      </c>
      <c r="M929" s="1954">
        <v>1.3533835243571509E-4</v>
      </c>
    </row>
    <row r="930" spans="2:13" ht="15" customHeight="1">
      <c r="B930" s="186"/>
      <c r="C930" s="1287"/>
      <c r="D930" s="1287" t="s">
        <v>487</v>
      </c>
      <c r="E930" s="1287"/>
      <c r="F930" s="1954">
        <v>0</v>
      </c>
      <c r="G930" s="1954">
        <v>0</v>
      </c>
      <c r="H930" s="1954">
        <v>0</v>
      </c>
      <c r="I930" s="1954">
        <v>0</v>
      </c>
      <c r="J930" s="1954">
        <v>0</v>
      </c>
      <c r="K930" s="1954">
        <v>0</v>
      </c>
      <c r="L930" s="1954">
        <v>0</v>
      </c>
      <c r="M930" s="1954">
        <v>0</v>
      </c>
    </row>
    <row r="931" spans="2:13" ht="15" customHeight="1">
      <c r="B931" s="186"/>
      <c r="C931" s="1287"/>
      <c r="D931" s="1287" t="s">
        <v>494</v>
      </c>
      <c r="E931" s="1287"/>
      <c r="F931" s="1954">
        <v>3.8067225404824876E-3</v>
      </c>
      <c r="G931" s="1954">
        <v>3.8067225404824876E-3</v>
      </c>
      <c r="H931" s="1954">
        <v>4.3859423796993226E-3</v>
      </c>
      <c r="I931" s="1954">
        <v>4.9730086969984868E-3</v>
      </c>
      <c r="J931" s="1954">
        <v>4.9730086969984868E-3</v>
      </c>
      <c r="K931" s="1954">
        <v>4.9730086969984868E-3</v>
      </c>
      <c r="L931" s="1954">
        <v>4.9730086969984868E-3</v>
      </c>
      <c r="M931" s="1954">
        <v>4.9730086969984868E-3</v>
      </c>
    </row>
    <row r="932" spans="2:13" ht="15" customHeight="1">
      <c r="B932" s="186"/>
      <c r="C932" s="1287"/>
      <c r="D932" s="1287" t="s">
        <v>1854</v>
      </c>
      <c r="E932" s="1287"/>
      <c r="F932" s="1954">
        <v>9.5754013926097874E-3</v>
      </c>
      <c r="G932" s="1954">
        <v>9.5754013926097874E-3</v>
      </c>
      <c r="H932" s="1954">
        <v>1.1032366641871461E-2</v>
      </c>
      <c r="I932" s="1954">
        <v>1.2509068863386201E-2</v>
      </c>
      <c r="J932" s="1954">
        <v>1.2509068863386201E-2</v>
      </c>
      <c r="K932" s="1954">
        <v>1.2509068863386201E-2</v>
      </c>
      <c r="L932" s="1954">
        <v>1.2509068863386201E-2</v>
      </c>
      <c r="M932" s="1954">
        <v>1.2509068863386201E-2</v>
      </c>
    </row>
    <row r="933" spans="2:13" ht="15" customHeight="1">
      <c r="B933" s="186"/>
      <c r="C933" s="1287"/>
      <c r="D933" s="1287" t="s">
        <v>506</v>
      </c>
      <c r="E933" s="1287"/>
      <c r="F933" s="1954">
        <v>0</v>
      </c>
      <c r="G933" s="1954">
        <v>0</v>
      </c>
      <c r="H933" s="1954">
        <v>0</v>
      </c>
      <c r="I933" s="1954">
        <v>0</v>
      </c>
      <c r="J933" s="1954">
        <v>0</v>
      </c>
      <c r="K933" s="1954">
        <v>0</v>
      </c>
      <c r="L933" s="1954">
        <v>0</v>
      </c>
      <c r="M933" s="1954">
        <v>0</v>
      </c>
    </row>
    <row r="934" spans="2:13" ht="15" customHeight="1">
      <c r="B934" s="186"/>
      <c r="C934" s="1287"/>
      <c r="D934" s="1287" t="s">
        <v>507</v>
      </c>
      <c r="E934" s="1287"/>
      <c r="F934" s="1954">
        <v>8.1474697043805715E-4</v>
      </c>
      <c r="G934" s="1954">
        <v>8.1474697043805715E-4</v>
      </c>
      <c r="H934" s="1954">
        <v>9.3871650176085262E-4</v>
      </c>
      <c r="I934" s="1954">
        <v>1.0643654027193915E-3</v>
      </c>
      <c r="J934" s="1954">
        <v>1.0643654027193915E-3</v>
      </c>
      <c r="K934" s="1954">
        <v>1.0643654027193915E-3</v>
      </c>
      <c r="L934" s="1954">
        <v>1.0643654027193915E-3</v>
      </c>
      <c r="M934" s="1954">
        <v>1.0643654027193915E-3</v>
      </c>
    </row>
    <row r="935" spans="2:13" ht="15" customHeight="1">
      <c r="B935" s="186"/>
      <c r="C935" s="1287"/>
      <c r="D935" s="1287" t="s">
        <v>570</v>
      </c>
      <c r="E935" s="1287"/>
      <c r="F935" s="1954">
        <v>1.6419327062202795E-3</v>
      </c>
      <c r="G935" s="1954">
        <v>1.6419327062202795E-3</v>
      </c>
      <c r="H935" s="1954">
        <v>1.8917644152529091E-3</v>
      </c>
      <c r="I935" s="1954">
        <v>2.1449805025413765E-3</v>
      </c>
      <c r="J935" s="1954">
        <v>2.1449805025413765E-3</v>
      </c>
      <c r="K935" s="1954">
        <v>2.1449805025413765E-3</v>
      </c>
      <c r="L935" s="1954">
        <v>2.1449805025413765E-3</v>
      </c>
      <c r="M935" s="1954">
        <v>2.1449805025413765E-3</v>
      </c>
    </row>
    <row r="936" spans="2:13" ht="15" customHeight="1">
      <c r="B936" s="186"/>
      <c r="C936" s="1287"/>
      <c r="D936" t="s">
        <v>498</v>
      </c>
      <c r="E936" s="1287"/>
      <c r="F936" s="1954">
        <v>1.33288947343845E-2</v>
      </c>
      <c r="G936" s="1954">
        <v>1.33288947343845E-2</v>
      </c>
      <c r="H936" s="1954">
        <v>1.5356980622674583E-2</v>
      </c>
      <c r="I936" s="1954">
        <v>1.741254024441459E-2</v>
      </c>
      <c r="J936" s="1954">
        <v>1.741254024441459E-2</v>
      </c>
      <c r="K936" s="1954">
        <v>1.741254024441459E-2</v>
      </c>
      <c r="L936" s="1954">
        <v>1.741254024441459E-2</v>
      </c>
      <c r="M936" s="1954">
        <v>1.741254024441459E-2</v>
      </c>
    </row>
    <row r="937" spans="2:13" ht="15" customHeight="1">
      <c r="B937" s="186"/>
      <c r="C937" s="1287"/>
      <c r="D937" t="s">
        <v>502</v>
      </c>
      <c r="E937" s="1287"/>
      <c r="F937" s="1954">
        <v>1.4669657417708243E-4</v>
      </c>
      <c r="G937" s="1954">
        <v>1.4669657417708243E-4</v>
      </c>
      <c r="H937" s="1954">
        <v>1.6901749859563503E-4</v>
      </c>
      <c r="I937" s="1954">
        <v>1.9164079636601258E-4</v>
      </c>
      <c r="J937" s="1954">
        <v>1.9164079636601258E-4</v>
      </c>
      <c r="K937" s="1954">
        <v>1.9164079636601258E-4</v>
      </c>
      <c r="L937" s="1954">
        <v>1.9164079636601258E-4</v>
      </c>
      <c r="M937" s="1954">
        <v>1.9164079636601258E-4</v>
      </c>
    </row>
    <row r="938" spans="2:13" ht="15" customHeight="1">
      <c r="B938" s="186"/>
      <c r="C938" s="1287"/>
      <c r="D938" t="s">
        <v>571</v>
      </c>
      <c r="E938" s="1287"/>
      <c r="F938" s="1954">
        <v>0.94458081747887357</v>
      </c>
      <c r="G938" s="1954">
        <v>0.94458081747887357</v>
      </c>
      <c r="H938" s="1954">
        <v>1.0883054896631705</v>
      </c>
      <c r="I938" s="1954">
        <v>1.2339771471090721</v>
      </c>
      <c r="J938" s="1954">
        <v>1.2339771471090721</v>
      </c>
      <c r="K938" s="1954">
        <v>1.2339771471090721</v>
      </c>
      <c r="L938" s="1954">
        <v>1.2339771471090721</v>
      </c>
      <c r="M938" s="1954">
        <v>1.2339771471090721</v>
      </c>
    </row>
    <row r="939" spans="2:13" ht="15" customHeight="1">
      <c r="B939" s="186"/>
      <c r="C939" s="1287"/>
      <c r="D939" s="1948" t="s">
        <v>1878</v>
      </c>
      <c r="E939" s="1287"/>
      <c r="F939" s="1954">
        <v>0</v>
      </c>
      <c r="G939" s="1954">
        <v>0</v>
      </c>
      <c r="H939" s="1954">
        <v>0</v>
      </c>
      <c r="I939" s="1954">
        <v>0</v>
      </c>
      <c r="J939" s="1954">
        <v>0</v>
      </c>
      <c r="K939" s="1954">
        <v>0</v>
      </c>
      <c r="L939" s="1954">
        <v>0</v>
      </c>
      <c r="M939" s="1954">
        <v>0</v>
      </c>
    </row>
    <row r="940" spans="2:13" ht="15" customHeight="1">
      <c r="B940" s="186"/>
      <c r="C940" s="1287"/>
      <c r="D940" s="1948" t="s">
        <v>549</v>
      </c>
      <c r="E940" s="1287"/>
      <c r="F940" s="1954">
        <v>0</v>
      </c>
      <c r="G940" s="1954">
        <v>0</v>
      </c>
      <c r="H940" s="1954">
        <v>0</v>
      </c>
      <c r="I940" s="1954">
        <v>0</v>
      </c>
      <c r="J940" s="1954">
        <v>0</v>
      </c>
      <c r="K940" s="1954">
        <v>0</v>
      </c>
      <c r="L940" s="1954">
        <v>0</v>
      </c>
      <c r="M940" s="1954">
        <v>0</v>
      </c>
    </row>
    <row r="941" spans="2:13" ht="15" customHeight="1">
      <c r="B941" s="186"/>
      <c r="C941" s="1287"/>
      <c r="D941" s="1974" t="s">
        <v>572</v>
      </c>
      <c r="E941" s="1478"/>
      <c r="F941" s="1478"/>
      <c r="G941" s="1478"/>
      <c r="H941" s="1478"/>
      <c r="I941" s="1478"/>
      <c r="J941" s="1478"/>
      <c r="K941" s="1478"/>
      <c r="L941" s="1478"/>
      <c r="M941" s="1478"/>
    </row>
    <row r="942" spans="2:13" ht="15" customHeight="1">
      <c r="B942" s="186"/>
      <c r="C942" s="887"/>
      <c r="D942" s="609"/>
      <c r="E942" s="1419" t="s">
        <v>1714</v>
      </c>
      <c r="F942" s="1955">
        <f>SUM(F925:F941)</f>
        <v>2.0256806657416959</v>
      </c>
      <c r="G942" s="1955">
        <f t="shared" ref="G942:M942" si="58">SUM(G925:G941)</f>
        <v>2.0256806657416959</v>
      </c>
      <c r="H942" s="1955">
        <f t="shared" si="58"/>
        <v>2.3339023491026385</v>
      </c>
      <c r="I942" s="1955">
        <f t="shared" si="58"/>
        <v>2.6462993982215299</v>
      </c>
      <c r="J942" s="1955">
        <f t="shared" si="58"/>
        <v>2.6462993982215299</v>
      </c>
      <c r="K942" s="1955">
        <f t="shared" si="58"/>
        <v>2.6462993982215299</v>
      </c>
      <c r="L942" s="1955">
        <f t="shared" si="58"/>
        <v>2.6462993982215299</v>
      </c>
      <c r="M942" s="1955">
        <f t="shared" si="58"/>
        <v>2.6462993982215299</v>
      </c>
    </row>
    <row r="943" spans="2:13" ht="15" customHeight="1">
      <c r="B943" s="186"/>
      <c r="C943" s="887"/>
      <c r="D943" s="609"/>
      <c r="E943" s="887"/>
      <c r="F943" s="1955"/>
      <c r="G943" s="1955"/>
      <c r="H943" s="1955"/>
      <c r="I943" s="1955"/>
      <c r="J943" s="1955"/>
      <c r="K943" s="1955"/>
      <c r="L943" s="1955"/>
      <c r="M943" s="624" t="s">
        <v>12</v>
      </c>
    </row>
    <row r="944" spans="2:13" ht="15" customHeight="1">
      <c r="B944" s="186"/>
      <c r="C944" s="1950" t="s">
        <v>1900</v>
      </c>
      <c r="D944" s="1951"/>
      <c r="E944" s="1950"/>
      <c r="F944" s="1952">
        <v>2018</v>
      </c>
      <c r="G944" s="1952">
        <v>2020</v>
      </c>
      <c r="H944" s="1952">
        <v>2025</v>
      </c>
      <c r="I944" s="1952">
        <v>2030</v>
      </c>
      <c r="J944" s="1952">
        <v>2035</v>
      </c>
      <c r="K944" s="1952">
        <v>2040</v>
      </c>
      <c r="L944" s="1952">
        <v>2045</v>
      </c>
      <c r="M944" s="1952">
        <v>2050</v>
      </c>
    </row>
    <row r="945" spans="2:13" ht="15" customHeight="1">
      <c r="B945" s="186"/>
      <c r="C945" s="1287"/>
      <c r="D945" s="1554" t="s">
        <v>504</v>
      </c>
      <c r="E945" s="1554"/>
      <c r="F945" s="1953" cm="1">
        <f t="array" ref="F945:M960">(E342:L357)-((E342:L357)*(CHOOSE(TRAYECTORIA_EFICIENCIA_OPTIMIZACION_INDUSTRIA,(E37:L37),(E48:L48),(E59:L59),(E70:L70))))</f>
        <v>4.5091386450945024</v>
      </c>
      <c r="G945" s="1953">
        <v>4.5091386450945024</v>
      </c>
      <c r="H945" s="1953">
        <v>5.1847385415998737</v>
      </c>
      <c r="I945" s="1953">
        <v>5.8667892306528904</v>
      </c>
      <c r="J945" s="1953">
        <v>5.8667892306528904</v>
      </c>
      <c r="K945" s="1953">
        <v>5.8667892306528904</v>
      </c>
      <c r="L945" s="1953">
        <v>5.8667892306528904</v>
      </c>
      <c r="M945" s="1953">
        <v>5.8667892306528904</v>
      </c>
    </row>
    <row r="946" spans="2:13" ht="15" customHeight="1">
      <c r="B946" s="186"/>
      <c r="C946" s="1287"/>
      <c r="D946" s="1287" t="s">
        <v>569</v>
      </c>
      <c r="E946" s="1287"/>
      <c r="F946" s="1954">
        <v>2.2964386423130154</v>
      </c>
      <c r="G946" s="1954">
        <v>2.2964386423130154</v>
      </c>
      <c r="H946" s="1954">
        <v>2.6405118303853006</v>
      </c>
      <c r="I946" s="1954">
        <v>2.9878703131548501</v>
      </c>
      <c r="J946" s="1954">
        <v>2.9878703131548501</v>
      </c>
      <c r="K946" s="1954">
        <v>2.9878703131548501</v>
      </c>
      <c r="L946" s="1954">
        <v>2.9878703131548501</v>
      </c>
      <c r="M946" s="1954">
        <v>2.9878703131548501</v>
      </c>
    </row>
    <row r="947" spans="2:13" ht="15" customHeight="1">
      <c r="B947" s="186"/>
      <c r="C947" s="1287"/>
      <c r="D947" s="1287" t="s">
        <v>513</v>
      </c>
      <c r="E947" s="1287"/>
      <c r="F947" s="1954">
        <v>1.1570677503289639</v>
      </c>
      <c r="G947" s="1954">
        <v>1.1570677503289639</v>
      </c>
      <c r="H947" s="1954">
        <v>1.3304300959783664</v>
      </c>
      <c r="I947" s="1954">
        <v>1.5054477475760706</v>
      </c>
      <c r="J947" s="1954">
        <v>1.5054477475760706</v>
      </c>
      <c r="K947" s="1954">
        <v>1.5054477475760706</v>
      </c>
      <c r="L947" s="1954">
        <v>1.5054477475760706</v>
      </c>
      <c r="M947" s="1954">
        <v>1.5054477475760706</v>
      </c>
    </row>
    <row r="948" spans="2:13" ht="15" customHeight="1">
      <c r="B948" s="186"/>
      <c r="C948" s="1287"/>
      <c r="D948" s="1287" t="s">
        <v>503</v>
      </c>
      <c r="E948" s="1287"/>
      <c r="F948" s="1954">
        <v>8.8936002483492419E-5</v>
      </c>
      <c r="G948" s="1954">
        <v>8.8936002483492419E-5</v>
      </c>
      <c r="H948" s="1954">
        <v>1.0226119800366468E-4</v>
      </c>
      <c r="I948" s="1954">
        <v>1.1571362573983063E-4</v>
      </c>
      <c r="J948" s="1954">
        <v>1.1571362573983063E-4</v>
      </c>
      <c r="K948" s="1954">
        <v>1.1571362573983063E-4</v>
      </c>
      <c r="L948" s="1954">
        <v>1.1571362573983063E-4</v>
      </c>
      <c r="M948" s="1954">
        <v>1.1571362573983063E-4</v>
      </c>
    </row>
    <row r="949" spans="2:13" ht="15" customHeight="1">
      <c r="B949" s="186"/>
      <c r="C949" s="1287"/>
      <c r="D949" s="1287" t="s">
        <v>525</v>
      </c>
      <c r="E949" s="1287"/>
      <c r="F949" s="1954">
        <v>2.425626993790795E-5</v>
      </c>
      <c r="G949" s="1954">
        <v>2.425626993790795E-5</v>
      </c>
      <c r="H949" s="1954">
        <v>2.7890563480308778E-5</v>
      </c>
      <c r="I949" s="1954">
        <v>3.1559558143625312E-5</v>
      </c>
      <c r="J949" s="1954">
        <v>3.1559558143625312E-5</v>
      </c>
      <c r="K949" s="1954">
        <v>3.1559558143625312E-5</v>
      </c>
      <c r="L949" s="1954">
        <v>3.1559558143625312E-5</v>
      </c>
      <c r="M949" s="1954">
        <v>3.1559558143625312E-5</v>
      </c>
    </row>
    <row r="950" spans="2:13" ht="15" customHeight="1">
      <c r="B950" s="186"/>
      <c r="C950" s="1287"/>
      <c r="D950" s="1287" t="s">
        <v>487</v>
      </c>
      <c r="E950" s="1287"/>
      <c r="F950" s="1954">
        <v>3.1633835567326053E-2</v>
      </c>
      <c r="G950" s="1954">
        <v>3.1633835567326053E-2</v>
      </c>
      <c r="H950" s="1954">
        <v>3.6373502656206515E-2</v>
      </c>
      <c r="I950" s="1954">
        <v>4.1158425242154711E-2</v>
      </c>
      <c r="J950" s="1954">
        <v>4.1158425242154711E-2</v>
      </c>
      <c r="K950" s="1954">
        <v>4.1158425242154711E-2</v>
      </c>
      <c r="L950" s="1954">
        <v>4.1158425242154711E-2</v>
      </c>
      <c r="M950" s="1954">
        <v>4.1158425242154711E-2</v>
      </c>
    </row>
    <row r="951" spans="2:13" ht="15" customHeight="1">
      <c r="B951" s="186"/>
      <c r="C951" s="1287"/>
      <c r="D951" s="1287" t="s">
        <v>494</v>
      </c>
      <c r="E951" s="1287"/>
      <c r="F951" s="1954">
        <v>4.7662040871854385E-4</v>
      </c>
      <c r="G951" s="1954">
        <v>4.7662040871854385E-4</v>
      </c>
      <c r="H951" s="1954">
        <v>5.4803198510750798E-4</v>
      </c>
      <c r="I951" s="1954">
        <v>6.2012541664057199E-4</v>
      </c>
      <c r="J951" s="1954">
        <v>6.2012541664057199E-4</v>
      </c>
      <c r="K951" s="1954">
        <v>6.2012541664057199E-4</v>
      </c>
      <c r="L951" s="1954">
        <v>6.2012541664057199E-4</v>
      </c>
      <c r="M951" s="1954">
        <v>6.2012541664057199E-4</v>
      </c>
    </row>
    <row r="952" spans="2:13" ht="15" customHeight="1">
      <c r="B952" s="186"/>
      <c r="C952" s="1287"/>
      <c r="D952" s="1287" t="s">
        <v>1854</v>
      </c>
      <c r="E952" s="1287"/>
      <c r="F952" s="1954">
        <v>5.8827481630265015E-2</v>
      </c>
      <c r="G952" s="1954">
        <v>5.8827481630265015E-2</v>
      </c>
      <c r="H952" s="1954">
        <v>6.7641546494807622E-2</v>
      </c>
      <c r="I952" s="1954">
        <v>7.6539770199866256E-2</v>
      </c>
      <c r="J952" s="1954">
        <v>7.6539770199866256E-2</v>
      </c>
      <c r="K952" s="1954">
        <v>7.6539770199866256E-2</v>
      </c>
      <c r="L952" s="1954">
        <v>7.6539770199866256E-2</v>
      </c>
      <c r="M952" s="1954">
        <v>7.6539770199866256E-2</v>
      </c>
    </row>
    <row r="953" spans="2:13" ht="15" customHeight="1">
      <c r="B953" s="186"/>
      <c r="C953" s="1287"/>
      <c r="D953" s="1287" t="s">
        <v>506</v>
      </c>
      <c r="E953" s="1287"/>
      <c r="F953" s="1954">
        <v>1.1171968140930877E-4</v>
      </c>
      <c r="G953" s="1954">
        <v>1.1171968140930877E-4</v>
      </c>
      <c r="H953" s="1954">
        <v>1.2845853358007855E-4</v>
      </c>
      <c r="I953" s="1954">
        <v>1.453572123929155E-4</v>
      </c>
      <c r="J953" s="1954">
        <v>1.453572123929155E-4</v>
      </c>
      <c r="K953" s="1954">
        <v>1.453572123929155E-4</v>
      </c>
      <c r="L953" s="1954">
        <v>1.453572123929155E-4</v>
      </c>
      <c r="M953" s="1954">
        <v>1.453572123929155E-4</v>
      </c>
    </row>
    <row r="954" spans="2:13" ht="15" customHeight="1">
      <c r="B954" s="186"/>
      <c r="C954" s="1287"/>
      <c r="D954" s="1287" t="s">
        <v>507</v>
      </c>
      <c r="E954" s="1287"/>
      <c r="F954" s="1954">
        <v>1.5484482709858056E-3</v>
      </c>
      <c r="G954" s="1954">
        <v>1.5484482709858056E-3</v>
      </c>
      <c r="H954" s="1954">
        <v>1.7804507827648612E-3</v>
      </c>
      <c r="I954" s="1954">
        <v>2.0146685110970283E-3</v>
      </c>
      <c r="J954" s="1954">
        <v>2.0146685110970283E-3</v>
      </c>
      <c r="K954" s="1954">
        <v>2.0146685110970283E-3</v>
      </c>
      <c r="L954" s="1954">
        <v>2.0146685110970283E-3</v>
      </c>
      <c r="M954" s="1954">
        <v>2.0146685110970283E-3</v>
      </c>
    </row>
    <row r="955" spans="2:13" ht="15" customHeight="1">
      <c r="B955" s="186"/>
      <c r="C955" s="1287"/>
      <c r="D955" t="s">
        <v>570</v>
      </c>
      <c r="E955" s="1287"/>
      <c r="F955" s="1954">
        <v>1.3289176043077363E-2</v>
      </c>
      <c r="G955" s="1954">
        <v>1.3289176043077363E-2</v>
      </c>
      <c r="H955" s="1954">
        <v>1.5280280479201122E-2</v>
      </c>
      <c r="I955" s="1954">
        <v>1.7290396465984625E-2</v>
      </c>
      <c r="J955" s="1954">
        <v>1.7290396465984625E-2</v>
      </c>
      <c r="K955" s="1954">
        <v>1.7290396465984625E-2</v>
      </c>
      <c r="L955" s="1954">
        <v>1.7290396465984625E-2</v>
      </c>
      <c r="M955" s="1954">
        <v>1.7290396465984625E-2</v>
      </c>
    </row>
    <row r="956" spans="2:13" ht="15" customHeight="1">
      <c r="B956" s="186"/>
      <c r="C956" s="1287"/>
      <c r="D956" t="s">
        <v>498</v>
      </c>
      <c r="E956" s="1287"/>
      <c r="F956" s="1954">
        <v>2.9413096743436222E-2</v>
      </c>
      <c r="G956" s="1954">
        <v>2.9413096743436222E-2</v>
      </c>
      <c r="H956" s="1954">
        <v>3.3820032675066128E-2</v>
      </c>
      <c r="I956" s="1954">
        <v>3.8269047105542423E-2</v>
      </c>
      <c r="J956" s="1954">
        <v>3.8269047105542423E-2</v>
      </c>
      <c r="K956" s="1954">
        <v>3.8269047105542423E-2</v>
      </c>
      <c r="L956" s="1954">
        <v>3.8269047105542423E-2</v>
      </c>
      <c r="M956" s="1954">
        <v>3.8269047105542423E-2</v>
      </c>
    </row>
    <row r="957" spans="2:13" ht="15" customHeight="1">
      <c r="B957" s="186"/>
      <c r="C957" s="1287"/>
      <c r="D957" t="s">
        <v>502</v>
      </c>
      <c r="E957" s="1287"/>
      <c r="F957" s="1954">
        <v>0</v>
      </c>
      <c r="G957" s="1954">
        <v>0</v>
      </c>
      <c r="H957" s="1954">
        <v>0</v>
      </c>
      <c r="I957" s="1954">
        <v>0</v>
      </c>
      <c r="J957" s="1954">
        <v>0</v>
      </c>
      <c r="K957" s="1954">
        <v>0</v>
      </c>
      <c r="L957" s="1954">
        <v>0</v>
      </c>
      <c r="M957" s="1954">
        <v>0</v>
      </c>
    </row>
    <row r="958" spans="2:13" ht="15" customHeight="1">
      <c r="B958" s="186"/>
      <c r="C958" s="1287"/>
      <c r="D958" t="s">
        <v>571</v>
      </c>
      <c r="E958" s="1287"/>
      <c r="F958" s="1954">
        <v>0.80464941018368086</v>
      </c>
      <c r="G958" s="1954">
        <v>0.80464941018368086</v>
      </c>
      <c r="H958" s="1954">
        <v>0.92520925565097634</v>
      </c>
      <c r="I958" s="1954">
        <v>1.0469202359196661</v>
      </c>
      <c r="J958" s="1954">
        <v>1.0469202359196661</v>
      </c>
      <c r="K958" s="1954">
        <v>1.0469202359196661</v>
      </c>
      <c r="L958" s="1954">
        <v>1.0469202359196661</v>
      </c>
      <c r="M958" s="1954">
        <v>1.0469202359196661</v>
      </c>
    </row>
    <row r="959" spans="2:13" ht="15" customHeight="1">
      <c r="B959" s="186"/>
      <c r="C959" s="1287"/>
      <c r="D959" s="1948" t="s">
        <v>1878</v>
      </c>
      <c r="E959" s="1287"/>
      <c r="F959" s="1954">
        <v>0</v>
      </c>
      <c r="G959" s="1954">
        <v>0</v>
      </c>
      <c r="H959" s="1954">
        <v>0</v>
      </c>
      <c r="I959" s="1954">
        <v>0</v>
      </c>
      <c r="J959" s="1954">
        <v>0</v>
      </c>
      <c r="K959" s="1954">
        <v>0</v>
      </c>
      <c r="L959" s="1954">
        <v>0</v>
      </c>
      <c r="M959" s="1954">
        <v>0</v>
      </c>
    </row>
    <row r="960" spans="2:13" ht="15" customHeight="1">
      <c r="B960" s="186"/>
      <c r="C960" s="1287"/>
      <c r="D960" s="1948" t="s">
        <v>549</v>
      </c>
      <c r="E960" s="1287"/>
      <c r="F960" s="1954">
        <v>0</v>
      </c>
      <c r="G960" s="1954">
        <v>0</v>
      </c>
      <c r="H960" s="1954">
        <v>0</v>
      </c>
      <c r="I960" s="1954">
        <v>0</v>
      </c>
      <c r="J960" s="1954">
        <v>0</v>
      </c>
      <c r="K960" s="1954">
        <v>0</v>
      </c>
      <c r="L960" s="1954">
        <v>0</v>
      </c>
      <c r="M960" s="1954">
        <v>0</v>
      </c>
    </row>
    <row r="961" spans="2:14" ht="15" customHeight="1">
      <c r="B961" s="186"/>
      <c r="C961" s="1287"/>
      <c r="D961" s="1974" t="s">
        <v>572</v>
      </c>
      <c r="E961" s="1478"/>
      <c r="F961" s="1478"/>
      <c r="G961" s="1478"/>
      <c r="H961" s="1478"/>
      <c r="I961" s="1478"/>
      <c r="J961" s="1478"/>
      <c r="K961" s="1478"/>
      <c r="L961" s="1478"/>
      <c r="M961" s="1478"/>
    </row>
    <row r="962" spans="2:14" ht="15" customHeight="1">
      <c r="B962" s="186"/>
      <c r="C962" s="887"/>
      <c r="D962" s="609"/>
      <c r="E962" s="1419" t="s">
        <v>1714</v>
      </c>
      <c r="F962" s="1955">
        <f>SUM(F945:F961)</f>
        <v>8.9027080185378029</v>
      </c>
      <c r="G962" s="1955">
        <f t="shared" ref="G962:M962" si="59">SUM(G945:G961)</f>
        <v>8.9027080185378029</v>
      </c>
      <c r="H962" s="1955">
        <f t="shared" si="59"/>
        <v>10.236592178982733</v>
      </c>
      <c r="I962" s="1955">
        <f t="shared" si="59"/>
        <v>11.583212590641038</v>
      </c>
      <c r="J962" s="1955">
        <f t="shared" si="59"/>
        <v>11.583212590641038</v>
      </c>
      <c r="K962" s="1955">
        <f t="shared" si="59"/>
        <v>11.583212590641038</v>
      </c>
      <c r="L962" s="1955">
        <f t="shared" si="59"/>
        <v>11.583212590641038</v>
      </c>
      <c r="M962" s="1955">
        <f t="shared" si="59"/>
        <v>11.583212590641038</v>
      </c>
    </row>
    <row r="963" spans="2:14" ht="15" customHeight="1">
      <c r="B963" s="186"/>
      <c r="C963" s="887"/>
      <c r="D963" s="609"/>
      <c r="E963" s="887"/>
      <c r="F963" s="1955"/>
      <c r="G963" s="1955"/>
      <c r="H963" s="1955"/>
      <c r="I963" s="1955"/>
      <c r="J963" s="1955"/>
      <c r="K963" s="1955"/>
      <c r="L963" s="1955"/>
      <c r="M963" s="624" t="s">
        <v>12</v>
      </c>
    </row>
    <row r="964" spans="2:14" ht="15" customHeight="1">
      <c r="B964" s="186"/>
      <c r="C964" s="1950" t="s">
        <v>562</v>
      </c>
      <c r="D964" s="1951"/>
      <c r="E964" s="1950"/>
      <c r="F964" s="1952">
        <v>2018</v>
      </c>
      <c r="G964" s="1952">
        <v>2020</v>
      </c>
      <c r="H964" s="1952">
        <v>2025</v>
      </c>
      <c r="I964" s="1952">
        <v>2030</v>
      </c>
      <c r="J964" s="1952">
        <v>2035</v>
      </c>
      <c r="K964" s="1952">
        <v>2040</v>
      </c>
      <c r="L964" s="1952">
        <v>2045</v>
      </c>
      <c r="M964" s="1952">
        <v>2050</v>
      </c>
    </row>
    <row r="965" spans="2:14" ht="15" customHeight="1">
      <c r="B965" s="186"/>
      <c r="C965" s="1287"/>
      <c r="D965" s="1554" t="s">
        <v>504</v>
      </c>
      <c r="E965" s="1554"/>
      <c r="F965" s="1953" cm="1">
        <f t="array" ref="F965:M980">(E362:L377)-((E362:L377)*(CHOOSE(TRAYECTORIA_EFICIENCIA_OPTIMIZACION_INDUSTRIA,(E38:L38),(E49:L49),(E60:L60),(E71:L71))))</f>
        <v>0</v>
      </c>
      <c r="G965" s="1953">
        <v>0</v>
      </c>
      <c r="H965" s="1953">
        <v>0</v>
      </c>
      <c r="I965" s="1953">
        <v>0</v>
      </c>
      <c r="J965" s="1953">
        <v>0</v>
      </c>
      <c r="K965" s="1953">
        <v>0</v>
      </c>
      <c r="L965" s="1953">
        <v>0</v>
      </c>
      <c r="M965" s="1953">
        <v>0</v>
      </c>
    </row>
    <row r="966" spans="2:14" ht="15" customHeight="1">
      <c r="B966" s="186"/>
      <c r="C966" s="1287"/>
      <c r="D966" s="1287" t="s">
        <v>569</v>
      </c>
      <c r="E966" s="1287"/>
      <c r="F966" s="1954">
        <v>0.43540125214377834</v>
      </c>
      <c r="G966" s="1954">
        <v>0.43540125214377834</v>
      </c>
      <c r="H966" s="1954">
        <v>0.49305142049131723</v>
      </c>
      <c r="I966" s="1954">
        <v>0.54926973350455366</v>
      </c>
      <c r="J966" s="1954">
        <v>0.54926973350455366</v>
      </c>
      <c r="K966" s="1954">
        <v>0.54926973350455366</v>
      </c>
      <c r="L966" s="1954">
        <v>0.54926973350455366</v>
      </c>
      <c r="M966" s="1954">
        <v>0.54926973350455366</v>
      </c>
    </row>
    <row r="967" spans="2:14" ht="15" customHeight="1">
      <c r="B967" s="186"/>
      <c r="C967" s="1287"/>
      <c r="D967" s="1287" t="s">
        <v>513</v>
      </c>
      <c r="E967" s="1287"/>
      <c r="F967" s="1954">
        <v>0.27726156537643593</v>
      </c>
      <c r="G967" s="1954">
        <v>0.27726156537643593</v>
      </c>
      <c r="H967" s="1954">
        <v>0.31397293412320154</v>
      </c>
      <c r="I967" s="1954">
        <v>0.34977250381237007</v>
      </c>
      <c r="J967" s="1954">
        <v>0.34977250381237007</v>
      </c>
      <c r="K967" s="1954">
        <v>0.34977250381237007</v>
      </c>
      <c r="L967" s="1954">
        <v>0.34977250381237007</v>
      </c>
      <c r="M967" s="1954">
        <v>0.34977250381237007</v>
      </c>
    </row>
    <row r="968" spans="2:14" ht="15" customHeight="1">
      <c r="B968" s="186"/>
      <c r="C968" s="1287"/>
      <c r="D968" s="1287" t="s">
        <v>503</v>
      </c>
      <c r="E968" s="1287"/>
      <c r="F968" s="1954">
        <v>0</v>
      </c>
      <c r="G968" s="1954">
        <v>0</v>
      </c>
      <c r="H968" s="1954">
        <v>0</v>
      </c>
      <c r="I968" s="1954">
        <v>0</v>
      </c>
      <c r="J968" s="1954">
        <v>0</v>
      </c>
      <c r="K968" s="1954">
        <v>0</v>
      </c>
      <c r="L968" s="1954">
        <v>0</v>
      </c>
      <c r="M968" s="1954">
        <v>0</v>
      </c>
    </row>
    <row r="969" spans="2:14" ht="15" customHeight="1">
      <c r="B969" s="186"/>
      <c r="C969" s="1287"/>
      <c r="D969" s="1287" t="s">
        <v>525</v>
      </c>
      <c r="E969" s="1287"/>
      <c r="F969" s="1954">
        <v>0</v>
      </c>
      <c r="G969" s="1954">
        <v>0</v>
      </c>
      <c r="H969" s="1954">
        <v>0</v>
      </c>
      <c r="I969" s="1954">
        <v>0</v>
      </c>
      <c r="J969" s="1954">
        <v>0</v>
      </c>
      <c r="K969" s="1954">
        <v>0</v>
      </c>
      <c r="L969" s="1954">
        <v>0</v>
      </c>
      <c r="M969" s="1954">
        <v>0</v>
      </c>
    </row>
    <row r="970" spans="2:14" ht="15" customHeight="1">
      <c r="B970" s="186"/>
      <c r="C970" s="1287"/>
      <c r="D970" s="1287" t="s">
        <v>487</v>
      </c>
      <c r="E970" s="1287"/>
      <c r="F970" s="1954">
        <v>2.2872138901170969E-6</v>
      </c>
      <c r="G970" s="1954">
        <v>2.2872138901170969E-6</v>
      </c>
      <c r="H970" s="1954">
        <v>2.5900569921129025E-6</v>
      </c>
      <c r="I970" s="1954">
        <v>2.8853783899493162E-6</v>
      </c>
      <c r="J970" s="1954">
        <v>2.8853783899493162E-6</v>
      </c>
      <c r="K970" s="1954">
        <v>2.8853783899493162E-6</v>
      </c>
      <c r="L970" s="1954">
        <v>2.8853783899493162E-6</v>
      </c>
      <c r="M970" s="1954">
        <v>2.8853783899493162E-6</v>
      </c>
    </row>
    <row r="971" spans="2:14" ht="15" customHeight="1">
      <c r="B971" s="186"/>
      <c r="C971" s="1287"/>
      <c r="D971" s="1287" t="s">
        <v>494</v>
      </c>
      <c r="E971" s="1287"/>
      <c r="F971" s="1954">
        <v>2.1088288978483163E-4</v>
      </c>
      <c r="G971" s="1954">
        <v>2.1088288978483163E-4</v>
      </c>
      <c r="H971" s="1954">
        <v>2.3880525803217047E-4</v>
      </c>
      <c r="I971" s="1954">
        <v>2.6603411933811969E-4</v>
      </c>
      <c r="J971" s="1954">
        <v>2.6603411933811969E-4</v>
      </c>
      <c r="K971" s="1954">
        <v>2.6603411933811969E-4</v>
      </c>
      <c r="L971" s="1954">
        <v>2.6603411933811969E-4</v>
      </c>
      <c r="M971" s="1954">
        <v>2.6603411933811969E-4</v>
      </c>
    </row>
    <row r="972" spans="2:14" ht="15" customHeight="1">
      <c r="B972" s="186"/>
      <c r="C972" s="1287"/>
      <c r="D972" s="1287" t="s">
        <v>1854</v>
      </c>
      <c r="E972" s="1287"/>
      <c r="F972" s="1954">
        <v>2.6770220019238668E-4</v>
      </c>
      <c r="G972" s="1954">
        <v>2.6770220019238668E-4</v>
      </c>
      <c r="H972" s="1954">
        <v>3.0314784218838471E-4</v>
      </c>
      <c r="I972" s="1954">
        <v>3.3771312194044663E-4</v>
      </c>
      <c r="J972" s="1954">
        <v>3.3771312194044663E-4</v>
      </c>
      <c r="K972" s="1954">
        <v>3.3771312194044663E-4</v>
      </c>
      <c r="L972" s="1954">
        <v>3.3771312194044663E-4</v>
      </c>
      <c r="M972" s="1954">
        <v>3.3771312194044663E-4</v>
      </c>
    </row>
    <row r="973" spans="2:14" ht="15" customHeight="1">
      <c r="B973" s="186"/>
      <c r="C973" s="1287"/>
      <c r="D973" s="1287" t="s">
        <v>506</v>
      </c>
      <c r="E973" s="1287"/>
      <c r="F973" s="1954">
        <v>0</v>
      </c>
      <c r="G973" s="1954">
        <v>0</v>
      </c>
      <c r="H973" s="1954">
        <v>0</v>
      </c>
      <c r="I973" s="1954">
        <v>0</v>
      </c>
      <c r="J973" s="1954">
        <v>0</v>
      </c>
      <c r="K973" s="1954">
        <v>0</v>
      </c>
      <c r="L973" s="1954">
        <v>0</v>
      </c>
      <c r="M973" s="1954">
        <v>0</v>
      </c>
      <c r="N973" s="2861"/>
    </row>
    <row r="974" spans="2:14" ht="15" customHeight="1">
      <c r="B974" s="186"/>
      <c r="C974" s="1287"/>
      <c r="D974" s="1287" t="s">
        <v>507</v>
      </c>
      <c r="E974" s="1287"/>
      <c r="F974" s="1954">
        <v>0</v>
      </c>
      <c r="G974" s="1954">
        <v>0</v>
      </c>
      <c r="H974" s="1954">
        <v>0</v>
      </c>
      <c r="I974" s="1954">
        <v>0</v>
      </c>
      <c r="J974" s="1954">
        <v>0</v>
      </c>
      <c r="K974" s="1954">
        <v>0</v>
      </c>
      <c r="L974" s="1954">
        <v>0</v>
      </c>
      <c r="M974" s="1954">
        <v>0</v>
      </c>
      <c r="N974" s="2861"/>
    </row>
    <row r="975" spans="2:14" ht="15" customHeight="1">
      <c r="B975" s="186"/>
      <c r="C975" s="1287"/>
      <c r="D975" t="s">
        <v>570</v>
      </c>
      <c r="E975" s="1287"/>
      <c r="F975" s="1954">
        <v>3.1416544963127034E-3</v>
      </c>
      <c r="G975" s="1954">
        <v>3.1416544963127034E-3</v>
      </c>
      <c r="H975" s="1954">
        <v>3.5576315053600311E-3</v>
      </c>
      <c r="I975" s="2860">
        <v>3.9632769071211325E-3</v>
      </c>
      <c r="J975" s="2860">
        <v>3.9632769071211325E-3</v>
      </c>
      <c r="K975" s="2860">
        <v>3.9632769071211325E-3</v>
      </c>
      <c r="L975" s="2860">
        <v>3.9632769071211325E-3</v>
      </c>
      <c r="M975" s="2860">
        <v>3.9632769071211325E-3</v>
      </c>
      <c r="N975" s="2861"/>
    </row>
    <row r="976" spans="2:14" ht="15" customHeight="1">
      <c r="B976" s="186"/>
      <c r="C976" s="1287"/>
      <c r="D976" t="s">
        <v>498</v>
      </c>
      <c r="E976" s="1287"/>
      <c r="F976" s="1954">
        <v>7.5482451379248205E-4</v>
      </c>
      <c r="G976" s="1954">
        <v>7.5482451379248205E-4</v>
      </c>
      <c r="H976" s="1954">
        <v>8.5476855409720746E-4</v>
      </c>
      <c r="I976" s="2860">
        <v>9.5223028756148578E-4</v>
      </c>
      <c r="J976" s="2860">
        <v>9.5223028756148578E-4</v>
      </c>
      <c r="K976" s="2860">
        <v>9.5223028756148578E-4</v>
      </c>
      <c r="L976" s="2860">
        <v>9.5223028756148578E-4</v>
      </c>
      <c r="M976" s="2860">
        <v>9.5223028756148578E-4</v>
      </c>
      <c r="N976" s="2861"/>
    </row>
    <row r="977" spans="2:14" ht="15" customHeight="1">
      <c r="B977" s="186"/>
      <c r="C977" s="1287"/>
      <c r="D977" t="s">
        <v>502</v>
      </c>
      <c r="E977" s="1287"/>
      <c r="F977" s="1954">
        <v>1.4207537364674149E-6</v>
      </c>
      <c r="G977" s="1954">
        <v>1.4207537364674149E-6</v>
      </c>
      <c r="H977" s="1954">
        <v>1.6088714593367427E-6</v>
      </c>
      <c r="I977" s="2860">
        <v>1.7923169085130696E-6</v>
      </c>
      <c r="J977" s="2860">
        <v>1.7923169085130696E-6</v>
      </c>
      <c r="K977" s="2860">
        <v>1.7923169085130696E-6</v>
      </c>
      <c r="L977" s="2860">
        <v>1.7923169085130696E-6</v>
      </c>
      <c r="M977" s="2860">
        <v>1.7923169085130696E-6</v>
      </c>
      <c r="N977" s="2861"/>
    </row>
    <row r="978" spans="2:14" ht="15" customHeight="1">
      <c r="B978" s="186"/>
      <c r="C978" s="1287"/>
      <c r="D978" t="s">
        <v>571</v>
      </c>
      <c r="E978" s="1287"/>
      <c r="F978" s="1954">
        <v>0.29378522985873629</v>
      </c>
      <c r="G978" s="1954">
        <v>0.29378522985873629</v>
      </c>
      <c r="H978" s="1954">
        <v>0.33268444724955737</v>
      </c>
      <c r="I978" s="2860">
        <v>0.37061752605799902</v>
      </c>
      <c r="J978" s="2860">
        <v>0.37061752605799902</v>
      </c>
      <c r="K978" s="2860">
        <v>0.37061752605799902</v>
      </c>
      <c r="L978" s="2860">
        <v>0.37061752605799902</v>
      </c>
      <c r="M978" s="2860">
        <v>0.37061752605799902</v>
      </c>
      <c r="N978" s="2861"/>
    </row>
    <row r="979" spans="2:14" ht="15" customHeight="1">
      <c r="B979" s="186"/>
      <c r="C979" s="1287"/>
      <c r="D979" s="1948" t="s">
        <v>1878</v>
      </c>
      <c r="E979" s="1287"/>
      <c r="F979" s="1954">
        <v>0</v>
      </c>
      <c r="G979" s="1954">
        <v>0</v>
      </c>
      <c r="H979" s="1954">
        <v>0</v>
      </c>
      <c r="I979" s="2860">
        <v>0</v>
      </c>
      <c r="J979" s="2860">
        <v>0</v>
      </c>
      <c r="K979" s="2860">
        <v>0</v>
      </c>
      <c r="L979" s="2860">
        <v>0</v>
      </c>
      <c r="M979" s="2860">
        <v>0</v>
      </c>
      <c r="N979" s="2861"/>
    </row>
    <row r="980" spans="2:14" ht="15" customHeight="1">
      <c r="B980" s="186"/>
      <c r="C980" s="1287"/>
      <c r="D980" s="1948" t="s">
        <v>549</v>
      </c>
      <c r="E980" s="1287"/>
      <c r="F980" s="1954">
        <v>0</v>
      </c>
      <c r="G980" s="1954">
        <v>0</v>
      </c>
      <c r="H980" s="1954">
        <v>0</v>
      </c>
      <c r="I980" s="2860">
        <v>0</v>
      </c>
      <c r="J980" s="2860">
        <v>0</v>
      </c>
      <c r="K980" s="2860">
        <v>0</v>
      </c>
      <c r="L980" s="2860">
        <v>0</v>
      </c>
      <c r="M980" s="2860">
        <v>0</v>
      </c>
      <c r="N980" s="2861"/>
    </row>
    <row r="981" spans="2:14" ht="15" customHeight="1">
      <c r="B981" s="186"/>
      <c r="C981" s="1287"/>
      <c r="D981" s="1974" t="s">
        <v>572</v>
      </c>
      <c r="E981" s="1478"/>
      <c r="F981" s="1478"/>
      <c r="G981" s="1478"/>
      <c r="H981" s="1478"/>
      <c r="I981" s="2862"/>
      <c r="J981" s="2862"/>
      <c r="K981" s="2862"/>
      <c r="L981" s="2862"/>
      <c r="M981" s="2862"/>
      <c r="N981" s="2861"/>
    </row>
    <row r="982" spans="2:14" ht="15" customHeight="1">
      <c r="B982" s="186"/>
      <c r="C982" s="887"/>
      <c r="D982" s="609"/>
      <c r="E982" s="1419" t="s">
        <v>1714</v>
      </c>
      <c r="F982" s="1955">
        <f>SUM(F965:F981)</f>
        <v>1.0108268194466594</v>
      </c>
      <c r="G982" s="1955">
        <f t="shared" ref="G982:M982" si="60">SUM(G965:G981)</f>
        <v>1.0108268194466594</v>
      </c>
      <c r="H982" s="1955">
        <f t="shared" si="60"/>
        <v>1.1446673539522054</v>
      </c>
      <c r="I982" s="1955">
        <f t="shared" si="60"/>
        <v>1.2751836955061826</v>
      </c>
      <c r="J982" s="1955">
        <f t="shared" si="60"/>
        <v>1.2751836955061826</v>
      </c>
      <c r="K982" s="1955">
        <f t="shared" si="60"/>
        <v>1.2751836955061826</v>
      </c>
      <c r="L982" s="1955">
        <f t="shared" si="60"/>
        <v>1.2751836955061826</v>
      </c>
      <c r="M982" s="1955">
        <f t="shared" si="60"/>
        <v>1.2751836955061826</v>
      </c>
      <c r="N982" s="2861"/>
    </row>
    <row r="983" spans="2:14" ht="15" customHeight="1">
      <c r="B983" s="186"/>
      <c r="C983" s="887"/>
      <c r="D983" s="609"/>
      <c r="E983" s="887"/>
      <c r="F983" s="1955"/>
      <c r="G983" s="1955"/>
      <c r="H983" s="1955"/>
      <c r="I983" s="1955"/>
      <c r="J983" s="1955"/>
      <c r="K983" s="1955"/>
      <c r="L983" s="1955"/>
      <c r="M983" s="624" t="s">
        <v>12</v>
      </c>
      <c r="N983" s="2861"/>
    </row>
    <row r="984" spans="2:14" ht="15" customHeight="1">
      <c r="B984" s="186"/>
      <c r="C984" s="1950" t="s">
        <v>563</v>
      </c>
      <c r="D984" s="1951"/>
      <c r="E984" s="1950"/>
      <c r="F984" s="1952">
        <v>2018</v>
      </c>
      <c r="G984" s="1952">
        <v>2020</v>
      </c>
      <c r="H984" s="1952">
        <v>2025</v>
      </c>
      <c r="I984" s="2863">
        <v>2030</v>
      </c>
      <c r="J984" s="2863">
        <v>2035</v>
      </c>
      <c r="K984" s="2863">
        <v>2040</v>
      </c>
      <c r="L984" s="2863">
        <v>2045</v>
      </c>
      <c r="M984" s="2863">
        <v>2050</v>
      </c>
      <c r="N984" s="2861"/>
    </row>
    <row r="985" spans="2:14" ht="15" customHeight="1">
      <c r="B985" s="186"/>
      <c r="C985" s="1287"/>
      <c r="D985" s="1554" t="s">
        <v>504</v>
      </c>
      <c r="E985" s="1554"/>
      <c r="F985" s="1953" cm="1">
        <f t="array" ref="F985:M1000">(E382:L397)-((E382:L397)*(CHOOSE(L14,(E79:L79),(E80:L80),(E81:L81),(E82:L82))))</f>
        <v>0.20299641791550596</v>
      </c>
      <c r="G985" s="1953">
        <v>0.20299641791550596</v>
      </c>
      <c r="H985" s="1953">
        <v>0.26034468192170679</v>
      </c>
      <c r="I985" s="2864">
        <v>0.30636025350593016</v>
      </c>
      <c r="J985" s="2864">
        <v>0.30636025350593016</v>
      </c>
      <c r="K985" s="2864">
        <v>0.30636025350593016</v>
      </c>
      <c r="L985" s="2864">
        <v>0.30636025350593016</v>
      </c>
      <c r="M985" s="2864">
        <v>0.30636025350593016</v>
      </c>
    </row>
    <row r="986" spans="2:14" ht="15" customHeight="1">
      <c r="B986" s="186"/>
      <c r="C986" s="1287"/>
      <c r="D986" s="1287" t="s">
        <v>569</v>
      </c>
      <c r="E986" s="1287"/>
      <c r="F986" s="1954">
        <v>2.7394730000616119</v>
      </c>
      <c r="G986" s="1954">
        <v>2.7394730000616119</v>
      </c>
      <c r="H986" s="1954">
        <v>3.5133980892756709</v>
      </c>
      <c r="I986" s="2860">
        <v>4.1343864654836295</v>
      </c>
      <c r="J986" s="2860">
        <v>4.1343864654836295</v>
      </c>
      <c r="K986" s="2860">
        <v>4.1343864654836295</v>
      </c>
      <c r="L986" s="2860">
        <v>4.1343864654836295</v>
      </c>
      <c r="M986" s="2860">
        <v>4.1343864654836295</v>
      </c>
    </row>
    <row r="987" spans="2:14" ht="15" customHeight="1">
      <c r="B987" s="186"/>
      <c r="C987" s="1287"/>
      <c r="D987" s="1287" t="s">
        <v>513</v>
      </c>
      <c r="E987" s="1287"/>
      <c r="F987" s="1954">
        <v>0.2664583871485306</v>
      </c>
      <c r="G987" s="1954">
        <v>0.2664583871485306</v>
      </c>
      <c r="H987" s="1954">
        <v>0.34173521266976137</v>
      </c>
      <c r="I987" s="1954">
        <v>0.40213645084901561</v>
      </c>
      <c r="J987" s="1954">
        <v>0.40213645084901561</v>
      </c>
      <c r="K987" s="1954">
        <v>0.40213645084901561</v>
      </c>
      <c r="L987" s="1954">
        <v>0.40213645084901561</v>
      </c>
      <c r="M987" s="1954">
        <v>0.40213645084901561</v>
      </c>
    </row>
    <row r="988" spans="2:14" ht="15" customHeight="1">
      <c r="B988" s="186"/>
      <c r="C988" s="1287"/>
      <c r="D988" s="1287" t="s">
        <v>503</v>
      </c>
      <c r="E988" s="1287"/>
      <c r="F988" s="1954">
        <v>2.7019445659830742E-3</v>
      </c>
      <c r="G988" s="1954">
        <v>2.7019445659830742E-3</v>
      </c>
      <c r="H988" s="1954">
        <v>3.465267544246726E-3</v>
      </c>
      <c r="I988" s="1954">
        <v>4.0777489115009424E-3</v>
      </c>
      <c r="J988" s="1954">
        <v>4.0777489115009424E-3</v>
      </c>
      <c r="K988" s="1954">
        <v>4.0777489115009424E-3</v>
      </c>
      <c r="L988" s="1954">
        <v>4.0777489115009424E-3</v>
      </c>
      <c r="M988" s="1954">
        <v>4.0777489115009424E-3</v>
      </c>
    </row>
    <row r="989" spans="2:14" ht="15" customHeight="1">
      <c r="B989" s="186"/>
      <c r="C989" s="1287"/>
      <c r="D989" s="1287" t="s">
        <v>525</v>
      </c>
      <c r="E989" s="1287"/>
      <c r="F989" s="1954">
        <v>0</v>
      </c>
      <c r="G989" s="1954">
        <v>0</v>
      </c>
      <c r="H989" s="1954">
        <v>0</v>
      </c>
      <c r="I989" s="1954">
        <v>0</v>
      </c>
      <c r="J989" s="1954">
        <v>0</v>
      </c>
      <c r="K989" s="1954">
        <v>0</v>
      </c>
      <c r="L989" s="1954">
        <v>0</v>
      </c>
      <c r="M989" s="1954">
        <v>0</v>
      </c>
    </row>
    <row r="990" spans="2:14" ht="15" customHeight="1">
      <c r="B990" s="186"/>
      <c r="C990" s="1287"/>
      <c r="D990" s="1287" t="s">
        <v>487</v>
      </c>
      <c r="E990" s="1287"/>
      <c r="F990" s="1954">
        <v>0.20150183235579783</v>
      </c>
      <c r="G990" s="1954">
        <v>0.20150183235579783</v>
      </c>
      <c r="H990" s="1954">
        <v>0.25842786286577174</v>
      </c>
      <c r="I990" s="1954">
        <v>0.30410463926573661</v>
      </c>
      <c r="J990" s="1954">
        <v>0.30410463926573661</v>
      </c>
      <c r="K990" s="1954">
        <v>0.30410463926573661</v>
      </c>
      <c r="L990" s="1954">
        <v>0.30410463926573661</v>
      </c>
      <c r="M990" s="1954">
        <v>0.30410463926573661</v>
      </c>
    </row>
    <row r="991" spans="2:14" ht="15" customHeight="1">
      <c r="B991" s="186"/>
      <c r="C991" s="1287"/>
      <c r="D991" t="s">
        <v>494</v>
      </c>
      <c r="E991" s="1287"/>
      <c r="F991" s="1954">
        <v>0</v>
      </c>
      <c r="G991" s="1954">
        <v>0</v>
      </c>
      <c r="H991" s="1954">
        <v>0</v>
      </c>
      <c r="I991" s="1954">
        <v>0</v>
      </c>
      <c r="J991" s="1954">
        <v>0</v>
      </c>
      <c r="K991" s="1954">
        <v>0</v>
      </c>
      <c r="L991" s="1954">
        <v>0</v>
      </c>
      <c r="M991" s="1954">
        <v>0</v>
      </c>
    </row>
    <row r="992" spans="2:14" ht="15" customHeight="1">
      <c r="B992" s="186"/>
      <c r="C992" s="1287"/>
      <c r="D992" t="s">
        <v>1854</v>
      </c>
      <c r="E992" s="1287"/>
      <c r="F992" s="1954">
        <v>0</v>
      </c>
      <c r="G992" s="1954">
        <v>0</v>
      </c>
      <c r="H992" s="1954">
        <v>0</v>
      </c>
      <c r="I992" s="1954">
        <v>0</v>
      </c>
      <c r="J992" s="1954">
        <v>0</v>
      </c>
      <c r="K992" s="1954">
        <v>0</v>
      </c>
      <c r="L992" s="1954">
        <v>0</v>
      </c>
      <c r="M992" s="1954">
        <v>0</v>
      </c>
    </row>
    <row r="993" spans="2:13" ht="15" customHeight="1">
      <c r="B993" s="186"/>
      <c r="C993" s="1287"/>
      <c r="D993" t="s">
        <v>506</v>
      </c>
      <c r="E993" s="1287"/>
      <c r="F993" s="1954">
        <v>0</v>
      </c>
      <c r="G993" s="1954">
        <v>0</v>
      </c>
      <c r="H993" s="1954">
        <v>0</v>
      </c>
      <c r="I993" s="1954">
        <v>0</v>
      </c>
      <c r="J993" s="1954">
        <v>0</v>
      </c>
      <c r="K993" s="1954">
        <v>0</v>
      </c>
      <c r="L993" s="1954">
        <v>0</v>
      </c>
      <c r="M993" s="1954">
        <v>0</v>
      </c>
    </row>
    <row r="994" spans="2:13" ht="15" customHeight="1">
      <c r="B994" s="186"/>
      <c r="C994" s="1287"/>
      <c r="D994" t="s">
        <v>507</v>
      </c>
      <c r="E994" s="1287"/>
      <c r="F994" s="1954">
        <v>0</v>
      </c>
      <c r="G994" s="1954">
        <v>0</v>
      </c>
      <c r="H994" s="1954">
        <v>0</v>
      </c>
      <c r="I994" s="1954">
        <v>0</v>
      </c>
      <c r="J994" s="1954">
        <v>0</v>
      </c>
      <c r="K994" s="1954">
        <v>0</v>
      </c>
      <c r="L994" s="1954">
        <v>0</v>
      </c>
      <c r="M994" s="1954">
        <v>0</v>
      </c>
    </row>
    <row r="995" spans="2:13" ht="15" customHeight="1">
      <c r="B995" s="186"/>
      <c r="C995" s="1287"/>
      <c r="D995" t="s">
        <v>570</v>
      </c>
      <c r="E995" s="1287"/>
      <c r="F995" s="1954">
        <v>0</v>
      </c>
      <c r="G995" s="1954">
        <v>0</v>
      </c>
      <c r="H995" s="1954">
        <v>0</v>
      </c>
      <c r="I995" s="1954">
        <v>0</v>
      </c>
      <c r="J995" s="1954">
        <v>0</v>
      </c>
      <c r="K995" s="1954">
        <v>0</v>
      </c>
      <c r="L995" s="1954">
        <v>0</v>
      </c>
      <c r="M995" s="1954">
        <v>0</v>
      </c>
    </row>
    <row r="996" spans="2:13" ht="15" customHeight="1">
      <c r="B996" s="186"/>
      <c r="C996" s="1287"/>
      <c r="D996" t="s">
        <v>498</v>
      </c>
      <c r="E996" s="1287"/>
      <c r="F996" s="1954">
        <v>0</v>
      </c>
      <c r="G996" s="1954">
        <v>0</v>
      </c>
      <c r="H996" s="1954">
        <v>0</v>
      </c>
      <c r="I996" s="1954">
        <v>0</v>
      </c>
      <c r="J996" s="1954">
        <v>0</v>
      </c>
      <c r="K996" s="1954">
        <v>0</v>
      </c>
      <c r="L996" s="1954">
        <v>0</v>
      </c>
      <c r="M996" s="1954">
        <v>0</v>
      </c>
    </row>
    <row r="997" spans="2:13" ht="15" customHeight="1">
      <c r="B997" s="186"/>
      <c r="C997" s="1287"/>
      <c r="D997" t="s">
        <v>502</v>
      </c>
      <c r="E997" s="1287"/>
      <c r="F997" s="1954">
        <v>0</v>
      </c>
      <c r="G997" s="1954">
        <v>0</v>
      </c>
      <c r="H997" s="1954">
        <v>0</v>
      </c>
      <c r="I997" s="1954">
        <v>0</v>
      </c>
      <c r="J997" s="1954">
        <v>0</v>
      </c>
      <c r="K997" s="1954">
        <v>0</v>
      </c>
      <c r="L997" s="1954">
        <v>0</v>
      </c>
      <c r="M997" s="1954">
        <v>0</v>
      </c>
    </row>
    <row r="998" spans="2:13" ht="15" customHeight="1">
      <c r="B998" s="186"/>
      <c r="C998" s="1287"/>
      <c r="D998" t="s">
        <v>571</v>
      </c>
      <c r="E998" s="1287"/>
      <c r="F998" s="1954">
        <v>0</v>
      </c>
      <c r="G998" s="1954">
        <v>0</v>
      </c>
      <c r="H998" s="1954">
        <v>0</v>
      </c>
      <c r="I998" s="1954">
        <v>0</v>
      </c>
      <c r="J998" s="1954">
        <v>0</v>
      </c>
      <c r="K998" s="1954">
        <v>0</v>
      </c>
      <c r="L998" s="1954">
        <v>0</v>
      </c>
      <c r="M998" s="1954">
        <v>0</v>
      </c>
    </row>
    <row r="999" spans="2:13" ht="15" customHeight="1">
      <c r="B999" s="186"/>
      <c r="C999" s="1287"/>
      <c r="D999" s="1948" t="s">
        <v>1878</v>
      </c>
      <c r="E999" s="1287"/>
      <c r="F999" s="1954">
        <v>0</v>
      </c>
      <c r="G999" s="1954">
        <v>0</v>
      </c>
      <c r="H999" s="1954">
        <v>0</v>
      </c>
      <c r="I999" s="1954">
        <v>0</v>
      </c>
      <c r="J999" s="1954">
        <v>0</v>
      </c>
      <c r="K999" s="1954">
        <v>0</v>
      </c>
      <c r="L999" s="1954">
        <v>0</v>
      </c>
      <c r="M999" s="1954">
        <v>0</v>
      </c>
    </row>
    <row r="1000" spans="2:13" ht="15" customHeight="1">
      <c r="B1000" s="186"/>
      <c r="C1000" s="1287"/>
      <c r="D1000" s="1948" t="s">
        <v>549</v>
      </c>
      <c r="E1000" s="1287"/>
      <c r="F1000" s="1954">
        <v>0</v>
      </c>
      <c r="G1000" s="1954">
        <v>0</v>
      </c>
      <c r="H1000" s="1954">
        <v>0</v>
      </c>
      <c r="I1000" s="1954">
        <v>0</v>
      </c>
      <c r="J1000" s="1954">
        <v>0</v>
      </c>
      <c r="K1000" s="1954">
        <v>0</v>
      </c>
      <c r="L1000" s="1954">
        <v>0</v>
      </c>
      <c r="M1000" s="1954">
        <v>0</v>
      </c>
    </row>
    <row r="1001" spans="2:13" ht="15" customHeight="1">
      <c r="B1001" s="186"/>
      <c r="C1001" s="1287"/>
      <c r="D1001" s="1974" t="s">
        <v>572</v>
      </c>
      <c r="E1001" s="1478"/>
      <c r="F1001" s="1478"/>
      <c r="G1001" s="1478"/>
      <c r="H1001" s="1478"/>
      <c r="I1001" s="1478"/>
      <c r="J1001" s="1478"/>
      <c r="K1001" s="1478"/>
      <c r="L1001" s="1478"/>
      <c r="M1001" s="1478"/>
    </row>
    <row r="1002" spans="2:13" ht="15" customHeight="1">
      <c r="B1002" s="186"/>
      <c r="C1002" s="887"/>
      <c r="D1002" s="649"/>
      <c r="E1002" s="1760" t="s">
        <v>1714</v>
      </c>
      <c r="F1002" s="1976">
        <f>SUM(F985:F1001)</f>
        <v>3.4131315820474297</v>
      </c>
      <c r="G1002" s="1976">
        <f t="shared" ref="G1002:M1002" si="61">SUM(G985:G1001)</f>
        <v>3.4131315820474297</v>
      </c>
      <c r="H1002" s="1976">
        <f t="shared" si="61"/>
        <v>4.3773711142771576</v>
      </c>
      <c r="I1002" s="1976">
        <f t="shared" si="61"/>
        <v>5.1510655580158131</v>
      </c>
      <c r="J1002" s="1976">
        <f t="shared" si="61"/>
        <v>5.1510655580158131</v>
      </c>
      <c r="K1002" s="1976">
        <f t="shared" si="61"/>
        <v>5.1510655580158131</v>
      </c>
      <c r="L1002" s="1976">
        <f t="shared" si="61"/>
        <v>5.1510655580158131</v>
      </c>
      <c r="M1002" s="1976">
        <f t="shared" si="61"/>
        <v>5.1510655580158131</v>
      </c>
    </row>
    <row r="1003" spans="2:13" ht="15" customHeight="1">
      <c r="B1003" s="186"/>
      <c r="C1003" s="1098"/>
      <c r="D1003" s="887"/>
      <c r="E1003" s="887"/>
      <c r="F1003" s="1957"/>
      <c r="G1003" s="1957"/>
      <c r="H1003" s="1957"/>
      <c r="I1003" s="1957"/>
      <c r="J1003" s="1957"/>
      <c r="K1003" s="1957"/>
      <c r="L1003" s="1957"/>
      <c r="M1003" s="1957"/>
    </row>
    <row r="1004" spans="2:13" ht="15" customHeight="1">
      <c r="B1004" s="186"/>
      <c r="C1004" s="1098"/>
      <c r="D1004" s="887"/>
      <c r="E1004" s="887"/>
      <c r="F1004" s="1957"/>
      <c r="G1004" s="1957"/>
      <c r="H1004" s="1957"/>
      <c r="I1004" s="1957"/>
      <c r="J1004" s="1957"/>
      <c r="K1004" s="1957"/>
      <c r="L1004" s="1957"/>
      <c r="M1004" s="624" t="s">
        <v>12</v>
      </c>
    </row>
    <row r="1005" spans="2:13" ht="15" customHeight="1">
      <c r="B1005" s="186"/>
      <c r="C1005" s="1950" t="s">
        <v>564</v>
      </c>
      <c r="D1005" s="1951"/>
      <c r="E1005" s="1950"/>
      <c r="F1005" s="1952">
        <v>2018</v>
      </c>
      <c r="G1005" s="1952">
        <v>2020</v>
      </c>
      <c r="H1005" s="1952">
        <v>2025</v>
      </c>
      <c r="I1005" s="1952">
        <v>2030</v>
      </c>
      <c r="J1005" s="1952">
        <v>2035</v>
      </c>
      <c r="K1005" s="1952">
        <v>2040</v>
      </c>
      <c r="L1005" s="1952">
        <v>2045</v>
      </c>
      <c r="M1005" s="1952">
        <v>2050</v>
      </c>
    </row>
    <row r="1006" spans="2:13" ht="15" customHeight="1">
      <c r="B1006" s="186"/>
      <c r="C1006" s="1287"/>
      <c r="D1006" s="1554" t="s">
        <v>504</v>
      </c>
      <c r="E1006" s="1554"/>
      <c r="F1006" s="1953" cm="1">
        <f t="array" ref="F1006:M1021">(E402:L417)-((E402:L417)*(CHOOSE(TRAYECTORIA_EFICIENCIA_OPTIMIZACION_INDUSTRIA,(E39:L39),(E50:L50),(E61:L61),(E72:L72))))</f>
        <v>0</v>
      </c>
      <c r="G1006" s="1953">
        <v>0</v>
      </c>
      <c r="H1006" s="1953">
        <v>0</v>
      </c>
      <c r="I1006" s="1953">
        <v>0</v>
      </c>
      <c r="J1006" s="1953">
        <v>0</v>
      </c>
      <c r="K1006" s="1953">
        <v>0</v>
      </c>
      <c r="L1006" s="1953">
        <v>0</v>
      </c>
      <c r="M1006" s="1953">
        <v>0</v>
      </c>
    </row>
    <row r="1007" spans="2:13" ht="15" customHeight="1">
      <c r="B1007" s="186"/>
      <c r="C1007" s="1287"/>
      <c r="D1007" s="1287" t="s">
        <v>569</v>
      </c>
      <c r="E1007" s="1287"/>
      <c r="F1007" s="1954">
        <v>6.1953724213428936E-2</v>
      </c>
      <c r="G1007" s="1954">
        <v>6.1953724213428936E-2</v>
      </c>
      <c r="H1007" s="1954">
        <v>7.0837919109690034E-2</v>
      </c>
      <c r="I1007" s="1954">
        <v>7.9702863482968664E-2</v>
      </c>
      <c r="J1007" s="1954">
        <v>7.9702863482968664E-2</v>
      </c>
      <c r="K1007" s="1954">
        <v>7.9702863482968664E-2</v>
      </c>
      <c r="L1007" s="1954">
        <v>7.9702863482968664E-2</v>
      </c>
      <c r="M1007" s="1954">
        <v>7.9702863482968664E-2</v>
      </c>
    </row>
    <row r="1008" spans="2:13" ht="15" customHeight="1">
      <c r="B1008" s="186"/>
      <c r="C1008" s="1287"/>
      <c r="D1008" s="1287" t="s">
        <v>513</v>
      </c>
      <c r="E1008" s="1287"/>
      <c r="F1008" s="1954">
        <v>1.2734682306717348E-2</v>
      </c>
      <c r="G1008" s="1954">
        <v>1.2734682306717348E-2</v>
      </c>
      <c r="H1008" s="1954">
        <v>1.456084208954315E-2</v>
      </c>
      <c r="I1008" s="1954">
        <v>1.638304489807027E-2</v>
      </c>
      <c r="J1008" s="1954">
        <v>1.638304489807027E-2</v>
      </c>
      <c r="K1008" s="1954">
        <v>1.638304489807027E-2</v>
      </c>
      <c r="L1008" s="1954">
        <v>1.638304489807027E-2</v>
      </c>
      <c r="M1008" s="1954">
        <v>1.638304489807027E-2</v>
      </c>
    </row>
    <row r="1009" spans="2:13" ht="15" customHeight="1">
      <c r="B1009" s="186"/>
      <c r="C1009" s="1287"/>
      <c r="D1009" s="1287" t="s">
        <v>503</v>
      </c>
      <c r="E1009" s="1287"/>
      <c r="F1009" s="1954">
        <v>0</v>
      </c>
      <c r="G1009" s="1954">
        <v>0</v>
      </c>
      <c r="H1009" s="1954">
        <v>0</v>
      </c>
      <c r="I1009" s="1954">
        <v>0</v>
      </c>
      <c r="J1009" s="1954">
        <v>0</v>
      </c>
      <c r="K1009" s="1954">
        <v>0</v>
      </c>
      <c r="L1009" s="1954">
        <v>0</v>
      </c>
      <c r="M1009" s="1954">
        <v>0</v>
      </c>
    </row>
    <row r="1010" spans="2:13" ht="15" customHeight="1">
      <c r="B1010" s="186"/>
      <c r="C1010" s="1287"/>
      <c r="D1010" s="1287" t="s">
        <v>525</v>
      </c>
      <c r="E1010" s="1287"/>
      <c r="F1010" s="1954">
        <v>0</v>
      </c>
      <c r="G1010" s="1954">
        <v>0</v>
      </c>
      <c r="H1010" s="1954">
        <v>0</v>
      </c>
      <c r="I1010" s="1954">
        <v>0</v>
      </c>
      <c r="J1010" s="1954">
        <v>0</v>
      </c>
      <c r="K1010" s="1954">
        <v>0</v>
      </c>
      <c r="L1010" s="1954">
        <v>0</v>
      </c>
      <c r="M1010" s="1954">
        <v>0</v>
      </c>
    </row>
    <row r="1011" spans="2:13" ht="15" customHeight="1">
      <c r="B1011" s="186"/>
      <c r="C1011" s="1287"/>
      <c r="D1011" s="1287" t="s">
        <v>487</v>
      </c>
      <c r="E1011" s="1287"/>
      <c r="F1011" s="1954">
        <v>0</v>
      </c>
      <c r="G1011" s="1954">
        <v>0</v>
      </c>
      <c r="H1011" s="1954">
        <v>0</v>
      </c>
      <c r="I1011" s="1954">
        <v>0</v>
      </c>
      <c r="J1011" s="1954">
        <v>0</v>
      </c>
      <c r="K1011" s="1954">
        <v>0</v>
      </c>
      <c r="L1011" s="1954">
        <v>0</v>
      </c>
      <c r="M1011" s="1954">
        <v>0</v>
      </c>
    </row>
    <row r="1012" spans="2:13" ht="15" customHeight="1">
      <c r="B1012" s="186"/>
      <c r="C1012" s="1287"/>
      <c r="D1012" s="1287" t="s">
        <v>494</v>
      </c>
      <c r="E1012" s="1287"/>
      <c r="F1012" s="1954">
        <v>4.7550652655669988E-4</v>
      </c>
      <c r="G1012" s="1954">
        <v>4.7550652655669988E-4</v>
      </c>
      <c r="H1012" s="1954">
        <v>5.4369439919887746E-4</v>
      </c>
      <c r="I1012" s="1954">
        <v>6.1173452044379815E-4</v>
      </c>
      <c r="J1012" s="1954">
        <v>6.1173452044379815E-4</v>
      </c>
      <c r="K1012" s="1954">
        <v>6.1173452044379815E-4</v>
      </c>
      <c r="L1012" s="1954">
        <v>6.1173452044379815E-4</v>
      </c>
      <c r="M1012" s="1954">
        <v>6.1173452044379815E-4</v>
      </c>
    </row>
    <row r="1013" spans="2:13" ht="15" customHeight="1">
      <c r="B1013" s="186"/>
      <c r="C1013" s="1287"/>
      <c r="D1013" s="1287" t="s">
        <v>1854</v>
      </c>
      <c r="E1013" s="1287"/>
      <c r="F1013" s="1954">
        <v>4.6820386041676056E-4</v>
      </c>
      <c r="G1013" s="1954">
        <v>4.6820386041676056E-4</v>
      </c>
      <c r="H1013" s="1954">
        <v>5.3534452709879201E-4</v>
      </c>
      <c r="I1013" s="1954">
        <v>6.0233971149884803E-4</v>
      </c>
      <c r="J1013" s="1954">
        <v>6.0233971149884803E-4</v>
      </c>
      <c r="K1013" s="1954">
        <v>6.0233971149884803E-4</v>
      </c>
      <c r="L1013" s="1954">
        <v>6.0233971149884803E-4</v>
      </c>
      <c r="M1013" s="1954">
        <v>6.0233971149884803E-4</v>
      </c>
    </row>
    <row r="1014" spans="2:13" ht="15" customHeight="1">
      <c r="B1014" s="186"/>
      <c r="C1014" s="1287"/>
      <c r="D1014" s="1287" t="s">
        <v>506</v>
      </c>
      <c r="E1014" s="1287"/>
      <c r="F1014" s="1954">
        <v>0</v>
      </c>
      <c r="G1014" s="1954">
        <v>0</v>
      </c>
      <c r="H1014" s="1954">
        <v>0</v>
      </c>
      <c r="I1014" s="1954">
        <v>0</v>
      </c>
      <c r="J1014" s="1954">
        <v>0</v>
      </c>
      <c r="K1014" s="1954">
        <v>0</v>
      </c>
      <c r="L1014" s="1954">
        <v>0</v>
      </c>
      <c r="M1014" s="1954">
        <v>0</v>
      </c>
    </row>
    <row r="1015" spans="2:13" ht="15" customHeight="1">
      <c r="B1015" s="186"/>
      <c r="C1015" s="1287"/>
      <c r="D1015" s="1287" t="s">
        <v>507</v>
      </c>
      <c r="E1015" s="1287"/>
      <c r="F1015" s="1954">
        <v>0</v>
      </c>
      <c r="G1015" s="1954">
        <v>0</v>
      </c>
      <c r="H1015" s="1954">
        <v>0</v>
      </c>
      <c r="I1015" s="1954">
        <v>0</v>
      </c>
      <c r="J1015" s="1954">
        <v>0</v>
      </c>
      <c r="K1015" s="1954">
        <v>0</v>
      </c>
      <c r="L1015" s="1954">
        <v>0</v>
      </c>
      <c r="M1015" s="1954">
        <v>0</v>
      </c>
    </row>
    <row r="1016" spans="2:13" ht="15" customHeight="1">
      <c r="B1016" s="186"/>
      <c r="C1016" s="1287"/>
      <c r="D1016" s="1287" t="s">
        <v>570</v>
      </c>
      <c r="E1016" s="1287"/>
      <c r="F1016" s="1954">
        <v>3.5304901235349355E-5</v>
      </c>
      <c r="G1016" s="1954">
        <v>3.5304901235349355E-5</v>
      </c>
      <c r="H1016" s="1954">
        <v>4.036764164926794E-5</v>
      </c>
      <c r="I1016" s="1954">
        <v>4.5419411975088456E-5</v>
      </c>
      <c r="J1016" s="1954">
        <v>4.5419411975088456E-5</v>
      </c>
      <c r="K1016" s="1954">
        <v>4.5419411975088456E-5</v>
      </c>
      <c r="L1016" s="1954">
        <v>4.5419411975088456E-5</v>
      </c>
      <c r="M1016" s="1954">
        <v>4.5419411975088456E-5</v>
      </c>
    </row>
    <row r="1017" spans="2:13" ht="15" customHeight="1">
      <c r="B1017" s="186"/>
      <c r="C1017" s="1287"/>
      <c r="D1017" s="1287" t="s">
        <v>498</v>
      </c>
      <c r="E1017" s="1287"/>
      <c r="F1017" s="1954">
        <v>6.0330224172276594E-4</v>
      </c>
      <c r="G1017" s="1954">
        <v>6.0330224172276594E-4</v>
      </c>
      <c r="H1017" s="1954">
        <v>6.8981608354366634E-4</v>
      </c>
      <c r="I1017" s="1954">
        <v>7.7614246474267345E-4</v>
      </c>
      <c r="J1017" s="1954">
        <v>7.7614246474267345E-4</v>
      </c>
      <c r="K1017" s="1954">
        <v>7.7614246474267345E-4</v>
      </c>
      <c r="L1017" s="1954">
        <v>7.7614246474267345E-4</v>
      </c>
      <c r="M1017" s="1954">
        <v>7.7614246474267345E-4</v>
      </c>
    </row>
    <row r="1018" spans="2:13" ht="15" customHeight="1">
      <c r="B1018" s="186"/>
      <c r="C1018" s="1287"/>
      <c r="D1018" s="1287" t="s">
        <v>502</v>
      </c>
      <c r="E1018" s="1287"/>
      <c r="F1018" s="1954">
        <v>0</v>
      </c>
      <c r="G1018" s="1954">
        <v>0</v>
      </c>
      <c r="H1018" s="1954">
        <v>0</v>
      </c>
      <c r="I1018" s="1954">
        <v>0</v>
      </c>
      <c r="J1018" s="1954">
        <v>0</v>
      </c>
      <c r="K1018" s="1954">
        <v>0</v>
      </c>
      <c r="L1018" s="1954">
        <v>0</v>
      </c>
      <c r="M1018" s="1954">
        <v>0</v>
      </c>
    </row>
    <row r="1019" spans="2:13" ht="15" customHeight="1">
      <c r="B1019" s="186"/>
      <c r="C1019" s="1287"/>
      <c r="D1019" s="1287" t="s">
        <v>571</v>
      </c>
      <c r="E1019" s="1287"/>
      <c r="F1019" s="1954">
        <v>1.2090459962210314E-2</v>
      </c>
      <c r="G1019" s="1954">
        <v>1.2090459962210314E-2</v>
      </c>
      <c r="H1019" s="1954">
        <v>1.3824237940103611E-2</v>
      </c>
      <c r="I1019" s="1954">
        <v>1.5554259119187381E-2</v>
      </c>
      <c r="J1019" s="1954">
        <v>1.5554259119187381E-2</v>
      </c>
      <c r="K1019" s="1954">
        <v>1.5554259119187381E-2</v>
      </c>
      <c r="L1019" s="1954">
        <v>1.5554259119187381E-2</v>
      </c>
      <c r="M1019" s="1954">
        <v>1.5554259119187381E-2</v>
      </c>
    </row>
    <row r="1020" spans="2:13" ht="15" customHeight="1">
      <c r="B1020" s="186"/>
      <c r="C1020" s="1287"/>
      <c r="D1020" s="454" t="s">
        <v>1878</v>
      </c>
      <c r="E1020" s="1287"/>
      <c r="F1020" s="1954">
        <v>0</v>
      </c>
      <c r="G1020" s="1954">
        <v>0</v>
      </c>
      <c r="H1020" s="1954">
        <v>0</v>
      </c>
      <c r="I1020" s="1954">
        <v>0</v>
      </c>
      <c r="J1020" s="1954">
        <v>0</v>
      </c>
      <c r="K1020" s="1954">
        <v>0</v>
      </c>
      <c r="L1020" s="1954">
        <v>0</v>
      </c>
      <c r="M1020" s="1954">
        <v>0</v>
      </c>
    </row>
    <row r="1021" spans="2:13" ht="15" customHeight="1">
      <c r="B1021" s="186"/>
      <c r="C1021" s="1287"/>
      <c r="D1021" s="454" t="s">
        <v>549</v>
      </c>
      <c r="E1021" s="1287"/>
      <c r="F1021" s="1954">
        <v>0</v>
      </c>
      <c r="G1021" s="1954">
        <v>0</v>
      </c>
      <c r="H1021" s="1954">
        <v>0</v>
      </c>
      <c r="I1021" s="1954">
        <v>0</v>
      </c>
      <c r="J1021" s="1954">
        <v>0</v>
      </c>
      <c r="K1021" s="1954">
        <v>0</v>
      </c>
      <c r="L1021" s="1954">
        <v>0</v>
      </c>
      <c r="M1021" s="1954">
        <v>0</v>
      </c>
    </row>
    <row r="1022" spans="2:13" ht="15" customHeight="1">
      <c r="B1022" s="186"/>
      <c r="C1022" s="1287"/>
      <c r="D1022" s="2866" t="s">
        <v>572</v>
      </c>
      <c r="E1022" s="1478"/>
      <c r="F1022" s="1478"/>
      <c r="G1022" s="1478"/>
      <c r="H1022" s="1478"/>
      <c r="I1022" s="1478"/>
      <c r="J1022" s="1478"/>
      <c r="K1022" s="1478"/>
      <c r="L1022" s="1478"/>
      <c r="M1022" s="1478"/>
    </row>
    <row r="1023" spans="2:13" ht="15" customHeight="1">
      <c r="B1023" s="186"/>
      <c r="C1023" s="1287"/>
      <c r="D1023" s="649" t="s">
        <v>338</v>
      </c>
      <c r="E1023" s="1290"/>
      <c r="F1023" s="1978">
        <f>SUM(F1006:F1022)</f>
        <v>8.836118401228818E-2</v>
      </c>
      <c r="G1023" s="1978">
        <f t="shared" ref="G1023:M1023" si="62">SUM(G1006:G1022)</f>
        <v>8.836118401228818E-2</v>
      </c>
      <c r="H1023" s="1978">
        <f t="shared" si="62"/>
        <v>0.10103222179082741</v>
      </c>
      <c r="I1023" s="1978">
        <f t="shared" si="62"/>
        <v>0.11367580360888672</v>
      </c>
      <c r="J1023" s="1978">
        <f t="shared" si="62"/>
        <v>0.11367580360888672</v>
      </c>
      <c r="K1023" s="1978">
        <f t="shared" si="62"/>
        <v>0.11367580360888672</v>
      </c>
      <c r="L1023" s="1978">
        <f t="shared" si="62"/>
        <v>0.11367580360888672</v>
      </c>
      <c r="M1023" s="1978">
        <f t="shared" si="62"/>
        <v>0.11367580360888672</v>
      </c>
    </row>
    <row r="1024" spans="2:13" ht="15" customHeight="1">
      <c r="B1024" s="186"/>
      <c r="C1024" s="1287"/>
      <c r="D1024" s="609"/>
      <c r="E1024" s="1287"/>
      <c r="F1024" s="2867"/>
      <c r="G1024" s="2867"/>
      <c r="H1024" s="2867"/>
      <c r="I1024" s="2867"/>
      <c r="J1024" s="2867"/>
      <c r="K1024" s="2867"/>
      <c r="L1024" s="2867"/>
      <c r="M1024" s="2867"/>
    </row>
    <row r="1025" spans="2:13" ht="15" customHeight="1">
      <c r="B1025" s="186"/>
      <c r="C1025" s="1287"/>
      <c r="D1025" s="609"/>
      <c r="E1025" s="1287"/>
      <c r="F1025" s="2867"/>
      <c r="G1025" s="2867"/>
      <c r="H1025" s="2867"/>
      <c r="I1025" s="2867"/>
      <c r="J1025" s="2867"/>
      <c r="K1025" s="2867"/>
      <c r="L1025" s="2867"/>
      <c r="M1025" s="2867"/>
    </row>
    <row r="1026" spans="2:13" ht="15" customHeight="1">
      <c r="B1026" s="186"/>
      <c r="C1026" s="1972" t="s">
        <v>1901</v>
      </c>
      <c r="D1026" s="609"/>
      <c r="E1026" s="1287"/>
      <c r="F1026" s="2867"/>
      <c r="G1026" s="2867"/>
      <c r="H1026" s="2867"/>
      <c r="I1026" s="2867"/>
      <c r="J1026" s="2867"/>
      <c r="K1026" s="2867"/>
      <c r="L1026" s="2867"/>
      <c r="M1026" s="2867"/>
    </row>
    <row r="1027" spans="2:13" ht="15" customHeight="1">
      <c r="B1027" s="186"/>
      <c r="C1027" s="1287"/>
      <c r="D1027" s="609"/>
      <c r="E1027" s="1287"/>
      <c r="F1027" s="2867"/>
      <c r="G1027" s="2867"/>
      <c r="H1027" s="2867"/>
      <c r="I1027" s="2867"/>
      <c r="J1027" s="2867"/>
      <c r="K1027" s="2867"/>
      <c r="L1027" s="2867"/>
      <c r="M1027" s="2867"/>
    </row>
    <row r="1028" spans="2:13" ht="15" customHeight="1">
      <c r="B1028" s="186"/>
      <c r="C1028" s="1287"/>
      <c r="D1028" s="609"/>
      <c r="E1028" s="1287"/>
      <c r="F1028" s="2867"/>
      <c r="G1028" s="2867"/>
      <c r="H1028" s="2867"/>
      <c r="I1028" s="2867"/>
      <c r="J1028" s="2867"/>
      <c r="K1028" s="2867"/>
      <c r="L1028" s="2867"/>
      <c r="M1028" s="2868" t="s">
        <v>750</v>
      </c>
    </row>
    <row r="1029" spans="2:13" ht="15" customHeight="1">
      <c r="B1029" s="186"/>
      <c r="C1029" s="1950" t="s">
        <v>917</v>
      </c>
      <c r="D1029" s="1951"/>
      <c r="E1029" s="1950"/>
      <c r="F1029" s="1952">
        <v>2018</v>
      </c>
      <c r="G1029" s="1952">
        <v>2020</v>
      </c>
      <c r="H1029" s="1952">
        <v>2025</v>
      </c>
      <c r="I1029" s="1952">
        <v>2030</v>
      </c>
      <c r="J1029" s="1952">
        <v>2035</v>
      </c>
      <c r="K1029" s="1952">
        <v>2040</v>
      </c>
      <c r="L1029" s="1952">
        <v>2045</v>
      </c>
      <c r="M1029" s="1952">
        <v>2050</v>
      </c>
    </row>
    <row r="1030" spans="2:13" ht="15" customHeight="1">
      <c r="B1030" s="186"/>
      <c r="C1030" s="1287"/>
      <c r="D1030" s="1554" t="s">
        <v>504</v>
      </c>
      <c r="E1030" s="1554"/>
      <c r="F1030" s="1958" cm="1">
        <f t="array" ref="F1030:M1030">E431*1+(CHOOSE(L8,E89:L89,E100:L100,E111:L111,E122:L122))</f>
        <v>7.4689999999999999E-4</v>
      </c>
      <c r="G1030" s="1958">
        <v>7.4689999999999999E-4</v>
      </c>
      <c r="H1030" s="1958">
        <v>7.4689999999999999E-4</v>
      </c>
      <c r="I1030" s="1958">
        <v>7.4689999999999999E-4</v>
      </c>
      <c r="J1030" s="1958">
        <v>7.4689999999999999E-4</v>
      </c>
      <c r="K1030" s="1958">
        <v>7.4689999999999999E-4</v>
      </c>
      <c r="L1030" s="1958">
        <v>7.4689999999999999E-4</v>
      </c>
      <c r="M1030" s="1958">
        <v>7.4689999999999999E-4</v>
      </c>
    </row>
    <row r="1031" spans="2:13" ht="15" customHeight="1">
      <c r="B1031" s="186"/>
      <c r="C1031" s="1287"/>
      <c r="D1031" s="1287" t="s">
        <v>569</v>
      </c>
      <c r="E1031" s="1287"/>
      <c r="F1031" s="1959" cm="1">
        <f t="array" ref="F1031:M1031">F431*1+(CHOOSE(L8,E89:L89,E100:L100,E111:L111,E122:L122))</f>
        <v>2.9876E-3</v>
      </c>
      <c r="G1031" s="1959">
        <v>2.9876E-3</v>
      </c>
      <c r="H1031" s="1959">
        <v>2.9876E-3</v>
      </c>
      <c r="I1031" s="1959">
        <v>2.9876E-3</v>
      </c>
      <c r="J1031" s="1959">
        <v>2.9876E-3</v>
      </c>
      <c r="K1031" s="1959">
        <v>2.9876E-3</v>
      </c>
      <c r="L1031" s="1959">
        <v>2.9876E-3</v>
      </c>
      <c r="M1031" s="1959">
        <v>2.9876E-3</v>
      </c>
    </row>
    <row r="1032" spans="2:13" ht="15" customHeight="1">
      <c r="B1032" s="186"/>
      <c r="C1032" s="1287"/>
      <c r="D1032" s="1287" t="s">
        <v>513</v>
      </c>
      <c r="E1032" s="1287"/>
      <c r="F1032" s="1959" cm="1">
        <f t="array" ref="F1032:M1032">G431*1+(CHOOSE(L8,E89:L89,E100:L100,E111:L111,E122:L122))</f>
        <v>9.4109399999999996E-3</v>
      </c>
      <c r="G1032" s="1959">
        <v>9.4109399999999996E-3</v>
      </c>
      <c r="H1032" s="1959">
        <v>9.4109399999999996E-3</v>
      </c>
      <c r="I1032" s="1959">
        <v>9.4109399999999996E-3</v>
      </c>
      <c r="J1032" s="1959">
        <v>9.4109399999999996E-3</v>
      </c>
      <c r="K1032" s="1959">
        <v>9.4109399999999996E-3</v>
      </c>
      <c r="L1032" s="1959">
        <v>9.4109399999999996E-3</v>
      </c>
      <c r="M1032" s="1959">
        <v>9.4109399999999996E-3</v>
      </c>
    </row>
    <row r="1033" spans="2:13" ht="15" customHeight="1">
      <c r="B1033" s="186"/>
      <c r="C1033" s="1287"/>
      <c r="D1033" s="1287" t="s">
        <v>1854</v>
      </c>
      <c r="E1033" s="1287"/>
      <c r="F1033" s="1959" cm="1">
        <f t="array" ref="F1033:M1033">H431*1+(CHOOSE(L8,E89:L89,E100:L100,E111:L111,E122:L122))</f>
        <v>8.8303448275862029E-4</v>
      </c>
      <c r="G1033" s="1959">
        <v>8.8303448275862029E-4</v>
      </c>
      <c r="H1033" s="1959">
        <v>8.8303448275862029E-4</v>
      </c>
      <c r="I1033" s="1959">
        <v>8.8303448275862029E-4</v>
      </c>
      <c r="J1033" s="1959">
        <v>8.8303448275862029E-4</v>
      </c>
      <c r="K1033" s="1959">
        <v>8.8303448275862029E-4</v>
      </c>
      <c r="L1033" s="1959">
        <v>8.8303448275862029E-4</v>
      </c>
      <c r="M1033" s="1959">
        <v>8.8303448275862029E-4</v>
      </c>
    </row>
    <row r="1034" spans="2:13" ht="15" customHeight="1">
      <c r="C1034" s="1287"/>
      <c r="D1034" s="1287" t="s">
        <v>1860</v>
      </c>
      <c r="E1034" s="1287"/>
      <c r="F1034" s="1959" cm="1">
        <f t="array" ref="F1034:M1034">I431*1+(CHOOSE(L8,E89:L89,E100:L100,E111:L111,E122:L122))</f>
        <v>6.9906896551724077E-4</v>
      </c>
      <c r="G1034" s="1959">
        <v>6.9906896551724077E-4</v>
      </c>
      <c r="H1034" s="1959">
        <v>6.9906896551724077E-4</v>
      </c>
      <c r="I1034" s="1959">
        <v>6.9906896551724077E-4</v>
      </c>
      <c r="J1034" s="1959">
        <v>6.9906896551724077E-4</v>
      </c>
      <c r="K1034" s="1959">
        <v>6.9906896551724077E-4</v>
      </c>
      <c r="L1034" s="1959">
        <v>6.9906896551724077E-4</v>
      </c>
      <c r="M1034" s="1959">
        <v>6.9906896551724077E-4</v>
      </c>
    </row>
    <row r="1035" spans="2:13" ht="15" customHeight="1">
      <c r="C1035" s="1287"/>
      <c r="D1035" s="1478" t="s">
        <v>570</v>
      </c>
      <c r="E1035" s="1478"/>
      <c r="F1035" s="1960" cm="1">
        <f t="array" ref="F1035:M1035">J431*1+(CHOOSE(L8,E89:L89,E100:L100,E111:L111,E122:L122))</f>
        <v>1.1037931034482754E-4</v>
      </c>
      <c r="G1035" s="1960">
        <v>1.1037931034482754E-4</v>
      </c>
      <c r="H1035" s="1960">
        <v>1.1037931034482754E-4</v>
      </c>
      <c r="I1035" s="1960">
        <v>1.1037931034482754E-4</v>
      </c>
      <c r="J1035" s="1960">
        <v>1.1037931034482754E-4</v>
      </c>
      <c r="K1035" s="1960">
        <v>1.1037931034482754E-4</v>
      </c>
      <c r="L1035" s="1960">
        <v>1.1037931034482754E-4</v>
      </c>
      <c r="M1035" s="1960">
        <v>1.1037931034482754E-4</v>
      </c>
    </row>
    <row r="1036" spans="2:13" ht="15" customHeight="1">
      <c r="C1036" s="1287"/>
      <c r="D1036" s="649" t="s">
        <v>338</v>
      </c>
      <c r="E1036" s="1290"/>
      <c r="F1036" s="1977">
        <f>SUM(F1030:F1035)</f>
        <v>1.4837922758620689E-2</v>
      </c>
      <c r="G1036" s="1977">
        <f>SUM(G1030:G1035)</f>
        <v>1.4837922758620689E-2</v>
      </c>
      <c r="H1036" s="1977">
        <f t="shared" ref="H1036:M1036" si="63">SUM(H1030:H1035)</f>
        <v>1.4837922758620689E-2</v>
      </c>
      <c r="I1036" s="1977">
        <f t="shared" si="63"/>
        <v>1.4837922758620689E-2</v>
      </c>
      <c r="J1036" s="1977">
        <f t="shared" si="63"/>
        <v>1.4837922758620689E-2</v>
      </c>
      <c r="K1036" s="1977">
        <f t="shared" si="63"/>
        <v>1.4837922758620689E-2</v>
      </c>
      <c r="L1036" s="1977">
        <f t="shared" si="63"/>
        <v>1.4837922758620689E-2</v>
      </c>
      <c r="M1036" s="1977">
        <f t="shared" si="63"/>
        <v>1.4837922758620689E-2</v>
      </c>
    </row>
    <row r="1037" spans="2:13" ht="15" customHeight="1">
      <c r="C1037" s="1287"/>
      <c r="D1037" s="1287"/>
      <c r="E1037" s="1287"/>
      <c r="F1037" s="1959"/>
      <c r="G1037" s="1959"/>
      <c r="H1037" s="1959"/>
      <c r="I1037" s="1959"/>
      <c r="J1037" s="1959"/>
      <c r="K1037" s="1959"/>
      <c r="L1037" s="1959"/>
      <c r="M1037" s="2868" t="s">
        <v>750</v>
      </c>
    </row>
    <row r="1038" spans="2:13" ht="15" customHeight="1">
      <c r="C1038" s="1950" t="s">
        <v>558</v>
      </c>
      <c r="D1038" s="1951"/>
      <c r="E1038" s="1950"/>
      <c r="F1038" s="1952">
        <v>2018</v>
      </c>
      <c r="G1038" s="1952">
        <v>2020</v>
      </c>
      <c r="H1038" s="1952">
        <v>2025</v>
      </c>
      <c r="I1038" s="1952">
        <v>2030</v>
      </c>
      <c r="J1038" s="1952">
        <v>2035</v>
      </c>
      <c r="K1038" s="1952">
        <v>2040</v>
      </c>
      <c r="L1038" s="1952">
        <v>2045</v>
      </c>
      <c r="M1038" s="1952">
        <v>2050</v>
      </c>
    </row>
    <row r="1039" spans="2:13" ht="15" customHeight="1">
      <c r="C1039" s="1287"/>
      <c r="D1039" s="1554" t="s">
        <v>504</v>
      </c>
      <c r="E1039" s="1554"/>
      <c r="F1039" s="1958" cm="1">
        <f t="array" ref="F1039:M1039">E432*1+(CHOOSE(L8,E90:L90,E101:L101,E112:L112,E123:L123))</f>
        <v>6.7900000000000002E-4</v>
      </c>
      <c r="G1039" s="1958">
        <v>6.7900000000000002E-4</v>
      </c>
      <c r="H1039" s="1958">
        <v>6.7900000000000002E-4</v>
      </c>
      <c r="I1039" s="1958">
        <v>6.7900000000000002E-4</v>
      </c>
      <c r="J1039" s="1958">
        <v>6.7900000000000002E-4</v>
      </c>
      <c r="K1039" s="1958">
        <v>6.7900000000000002E-4</v>
      </c>
      <c r="L1039" s="1958">
        <v>6.7900000000000002E-4</v>
      </c>
      <c r="M1039" s="1958">
        <v>6.7900000000000002E-4</v>
      </c>
    </row>
    <row r="1040" spans="2:13" ht="15" customHeight="1">
      <c r="B1040" s="186"/>
      <c r="C1040" s="1287"/>
      <c r="D1040" s="1287" t="s">
        <v>569</v>
      </c>
      <c r="E1040" s="1287"/>
      <c r="F1040" s="1959" cm="1">
        <f t="array" ref="F1040:M1040">F432*1+(CHOOSE(L8,E90:L90,E101:L101,E112:L112,E123:L123))</f>
        <v>2.7160000000000001E-3</v>
      </c>
      <c r="G1040" s="1959">
        <v>2.7160000000000001E-3</v>
      </c>
      <c r="H1040" s="1959">
        <v>2.7160000000000001E-3</v>
      </c>
      <c r="I1040" s="1959">
        <v>2.7160000000000001E-3</v>
      </c>
      <c r="J1040" s="1959">
        <v>2.7160000000000001E-3</v>
      </c>
      <c r="K1040" s="1959">
        <v>2.7160000000000001E-3</v>
      </c>
      <c r="L1040" s="1959">
        <v>2.7160000000000001E-3</v>
      </c>
      <c r="M1040" s="1959">
        <v>2.7160000000000001E-3</v>
      </c>
    </row>
    <row r="1041" spans="2:13" ht="15" customHeight="1">
      <c r="B1041" s="186"/>
      <c r="C1041" s="1287"/>
      <c r="D1041" s="1287" t="s">
        <v>513</v>
      </c>
      <c r="E1041" s="1287"/>
      <c r="F1041" s="1959" cm="1">
        <f t="array" ref="F1041:M1041">G432*1+(CHOOSE(L8,E90:L90,E101:L101,E112:L112,E123:L123))</f>
        <v>8.5553999999999995E-3</v>
      </c>
      <c r="G1041" s="1959">
        <v>8.5553999999999995E-3</v>
      </c>
      <c r="H1041" s="1959">
        <v>8.5553999999999995E-3</v>
      </c>
      <c r="I1041" s="1959">
        <v>8.5553999999999995E-3</v>
      </c>
      <c r="J1041" s="1959">
        <v>8.5553999999999995E-3</v>
      </c>
      <c r="K1041" s="1959">
        <v>8.5553999999999995E-3</v>
      </c>
      <c r="L1041" s="1959">
        <v>8.5553999999999995E-3</v>
      </c>
      <c r="M1041" s="1959">
        <v>8.5553999999999995E-3</v>
      </c>
    </row>
    <row r="1042" spans="2:13" ht="15" customHeight="1">
      <c r="C1042" s="1287"/>
      <c r="D1042" s="1287" t="s">
        <v>1854</v>
      </c>
      <c r="E1042" s="1287"/>
      <c r="F1042" s="1959" cm="1">
        <f t="array" ref="F1042:M1042">H432*1+(CHOOSE(L8,E90:L90,E101:L101,E112:L112,E123:L123))</f>
        <v>8.0275862068965472E-4</v>
      </c>
      <c r="G1042" s="1959">
        <v>8.0275862068965472E-4</v>
      </c>
      <c r="H1042" s="1959">
        <v>8.0275862068965472E-4</v>
      </c>
      <c r="I1042" s="1959">
        <v>8.0275862068965472E-4</v>
      </c>
      <c r="J1042" s="1959">
        <v>8.0275862068965472E-4</v>
      </c>
      <c r="K1042" s="1959">
        <v>8.0275862068965472E-4</v>
      </c>
      <c r="L1042" s="1959">
        <v>8.0275862068965472E-4</v>
      </c>
      <c r="M1042" s="1959">
        <v>8.0275862068965472E-4</v>
      </c>
    </row>
    <row r="1043" spans="2:13" ht="15" customHeight="1">
      <c r="C1043" s="1287"/>
      <c r="D1043" s="1287" t="s">
        <v>1860</v>
      </c>
      <c r="E1043" s="1287"/>
      <c r="F1043" s="1959" cm="1">
        <f t="array" ref="F1043:M1043">I432*1+(CHOOSE(L8,E90:L90,E101:L101,E112:L112,E123:L123))</f>
        <v>6.3551724137930982E-4</v>
      </c>
      <c r="G1043" s="1959">
        <v>6.3551724137930982E-4</v>
      </c>
      <c r="H1043" s="1959">
        <v>6.3551724137930982E-4</v>
      </c>
      <c r="I1043" s="1959">
        <v>6.3551724137930982E-4</v>
      </c>
      <c r="J1043" s="1959">
        <v>6.3551724137930982E-4</v>
      </c>
      <c r="K1043" s="1959">
        <v>6.3551724137930982E-4</v>
      </c>
      <c r="L1043" s="1959">
        <v>6.3551724137930982E-4</v>
      </c>
      <c r="M1043" s="1959">
        <v>6.3551724137930982E-4</v>
      </c>
    </row>
    <row r="1044" spans="2:13" ht="15" customHeight="1">
      <c r="C1044" s="1287"/>
      <c r="D1044" s="1478" t="s">
        <v>570</v>
      </c>
      <c r="E1044" s="1478"/>
      <c r="F1044" s="1960" cm="1">
        <f t="array" ref="F1044:M1044">J432*1+(CHOOSE(L8,E90:L90,E101:L101,E112:L112,E123:L123))</f>
        <v>1.0034482758620684E-4</v>
      </c>
      <c r="G1044" s="1960">
        <v>1.0034482758620684E-4</v>
      </c>
      <c r="H1044" s="1960">
        <v>1.0034482758620684E-4</v>
      </c>
      <c r="I1044" s="1960">
        <v>1.0034482758620684E-4</v>
      </c>
      <c r="J1044" s="1960">
        <v>1.0034482758620684E-4</v>
      </c>
      <c r="K1044" s="1960">
        <v>1.0034482758620684E-4</v>
      </c>
      <c r="L1044" s="1960">
        <v>1.0034482758620684E-4</v>
      </c>
      <c r="M1044" s="1960">
        <v>1.0034482758620684E-4</v>
      </c>
    </row>
    <row r="1045" spans="2:13" ht="15" customHeight="1">
      <c r="C1045" s="1287"/>
      <c r="D1045" s="649" t="s">
        <v>338</v>
      </c>
      <c r="E1045" s="1290"/>
      <c r="F1045" s="1977">
        <f>SUM(F1039:F1044)</f>
        <v>1.3489020689655171E-2</v>
      </c>
      <c r="G1045" s="1977">
        <f t="shared" ref="G1045:M1045" si="64">SUM(G1039:G1044)</f>
        <v>1.3489020689655171E-2</v>
      </c>
      <c r="H1045" s="1977">
        <f t="shared" si="64"/>
        <v>1.3489020689655171E-2</v>
      </c>
      <c r="I1045" s="1977">
        <f t="shared" si="64"/>
        <v>1.3489020689655171E-2</v>
      </c>
      <c r="J1045" s="1977">
        <f t="shared" si="64"/>
        <v>1.3489020689655171E-2</v>
      </c>
      <c r="K1045" s="1977">
        <f t="shared" si="64"/>
        <v>1.3489020689655171E-2</v>
      </c>
      <c r="L1045" s="1977">
        <f t="shared" si="64"/>
        <v>1.3489020689655171E-2</v>
      </c>
      <c r="M1045" s="1977">
        <f t="shared" si="64"/>
        <v>1.3489020689655171E-2</v>
      </c>
    </row>
    <row r="1046" spans="2:13" ht="15" customHeight="1">
      <c r="C1046" s="1287"/>
      <c r="D1046" s="1287"/>
      <c r="E1046" s="1287"/>
      <c r="F1046" s="2870"/>
      <c r="G1046" s="2870"/>
      <c r="H1046" s="2870"/>
      <c r="I1046" s="2870"/>
      <c r="J1046" s="2870"/>
      <c r="K1046" s="2870"/>
      <c r="L1046" s="2870"/>
      <c r="M1046" s="2868" t="s">
        <v>750</v>
      </c>
    </row>
    <row r="1047" spans="2:13" ht="15" customHeight="1">
      <c r="C1047" s="1950" t="s">
        <v>559</v>
      </c>
      <c r="D1047" s="1951"/>
      <c r="E1047" s="1950"/>
      <c r="F1047" s="1952">
        <v>2018</v>
      </c>
      <c r="G1047" s="1952">
        <v>2020</v>
      </c>
      <c r="H1047" s="1952">
        <v>2025</v>
      </c>
      <c r="I1047" s="1952">
        <v>2030</v>
      </c>
      <c r="J1047" s="1952">
        <v>2035</v>
      </c>
      <c r="K1047" s="1952">
        <v>2040</v>
      </c>
      <c r="L1047" s="1952">
        <v>2045</v>
      </c>
      <c r="M1047" s="1952">
        <v>2050</v>
      </c>
    </row>
    <row r="1048" spans="2:13" ht="15" customHeight="1">
      <c r="C1048" s="1287"/>
      <c r="D1048" s="1554" t="s">
        <v>504</v>
      </c>
      <c r="E1048" s="1554"/>
      <c r="F1048" s="1958" cm="1">
        <f t="array" ref="F1048:M1048">E433*1+(CHOOSE(L8,E91:L91,E102:L102,E113:L113,E124:L124))</f>
        <v>9.4090000000000002E-5</v>
      </c>
      <c r="G1048" s="1958">
        <v>9.4090000000000002E-5</v>
      </c>
      <c r="H1048" s="1958">
        <v>9.4090000000000002E-5</v>
      </c>
      <c r="I1048" s="1958">
        <v>9.4090000000000002E-5</v>
      </c>
      <c r="J1048" s="1958">
        <v>9.4090000000000002E-5</v>
      </c>
      <c r="K1048" s="1958">
        <v>9.4090000000000002E-5</v>
      </c>
      <c r="L1048" s="1958">
        <v>9.4090000000000002E-5</v>
      </c>
      <c r="M1048" s="1958">
        <v>9.4090000000000002E-5</v>
      </c>
    </row>
    <row r="1049" spans="2:13" ht="15" customHeight="1">
      <c r="C1049" s="1287"/>
      <c r="D1049" s="1287" t="s">
        <v>569</v>
      </c>
      <c r="E1049" s="1287"/>
      <c r="F1049" s="1959" cm="1">
        <f t="array" ref="F1049:M1049">F433*1+(CHOOSE(L8,E91:L91,E102:L102,E113:L113,E124:L124))</f>
        <v>3.7636000000000001E-4</v>
      </c>
      <c r="G1049" s="1959">
        <v>3.7636000000000001E-4</v>
      </c>
      <c r="H1049" s="1959">
        <v>3.7636000000000001E-4</v>
      </c>
      <c r="I1049" s="1959">
        <v>3.7636000000000001E-4</v>
      </c>
      <c r="J1049" s="1959">
        <v>3.7636000000000001E-4</v>
      </c>
      <c r="K1049" s="1959">
        <v>3.7636000000000001E-4</v>
      </c>
      <c r="L1049" s="1959">
        <v>3.7636000000000001E-4</v>
      </c>
      <c r="M1049" s="1959">
        <v>3.7636000000000001E-4</v>
      </c>
    </row>
    <row r="1050" spans="2:13" ht="15" customHeight="1">
      <c r="C1050" s="1287"/>
      <c r="D1050" s="1287" t="s">
        <v>513</v>
      </c>
      <c r="E1050" s="1287"/>
      <c r="F1050" s="1959" cm="1">
        <f t="array" ref="F1050:M1050">G433*1+(CHOOSE(L8,E91:L91,E102:L102,E113:L113,E124:L124))</f>
        <v>1.185534E-3</v>
      </c>
      <c r="G1050" s="1959">
        <v>1.185534E-3</v>
      </c>
      <c r="H1050" s="1959">
        <v>1.185534E-3</v>
      </c>
      <c r="I1050" s="1959">
        <v>1.185534E-3</v>
      </c>
      <c r="J1050" s="1959">
        <v>1.185534E-3</v>
      </c>
      <c r="K1050" s="1959">
        <v>1.185534E-3</v>
      </c>
      <c r="L1050" s="1959">
        <v>1.185534E-3</v>
      </c>
      <c r="M1050" s="1959">
        <v>1.185534E-3</v>
      </c>
    </row>
    <row r="1051" spans="2:13" ht="15" customHeight="1">
      <c r="C1051" s="1287"/>
      <c r="D1051" s="1287" t="s">
        <v>1854</v>
      </c>
      <c r="E1051" s="1287"/>
      <c r="F1051" s="1959" cm="1">
        <f t="array" ref="F1051:M1051">H433*1+(CHOOSE(L8,E91:L91,E102:L102,E113:L113,E124:L124))</f>
        <v>1.1123940886699499E-4</v>
      </c>
      <c r="G1051" s="1959">
        <v>1.1123940886699499E-4</v>
      </c>
      <c r="H1051" s="1959">
        <v>1.1123940886699499E-4</v>
      </c>
      <c r="I1051" s="1959">
        <v>1.1123940886699499E-4</v>
      </c>
      <c r="J1051" s="1959">
        <v>1.1123940886699499E-4</v>
      </c>
      <c r="K1051" s="1959">
        <v>1.1123940886699499E-4</v>
      </c>
      <c r="L1051" s="1959">
        <v>1.1123940886699499E-4</v>
      </c>
      <c r="M1051" s="1959">
        <v>1.1123940886699499E-4</v>
      </c>
    </row>
    <row r="1052" spans="2:13" ht="15" customHeight="1">
      <c r="C1052" s="1287"/>
      <c r="D1052" s="1287" t="s">
        <v>1860</v>
      </c>
      <c r="E1052" s="1287"/>
      <c r="F1052" s="1959" cm="1">
        <f t="array" ref="F1052:M1052">I433*1+(CHOOSE(L8,E91:L91,E102:L102,E113:L113,E124:L124))</f>
        <v>8.8064532019704349E-5</v>
      </c>
      <c r="G1052" s="1959">
        <v>8.8064532019704349E-5</v>
      </c>
      <c r="H1052" s="1959">
        <v>8.8064532019704349E-5</v>
      </c>
      <c r="I1052" s="1959">
        <v>8.8064532019704349E-5</v>
      </c>
      <c r="J1052" s="1959">
        <v>8.8064532019704349E-5</v>
      </c>
      <c r="K1052" s="1959">
        <v>8.8064532019704349E-5</v>
      </c>
      <c r="L1052" s="1959">
        <v>8.8064532019704349E-5</v>
      </c>
      <c r="M1052" s="1959">
        <v>8.8064532019704349E-5</v>
      </c>
    </row>
    <row r="1053" spans="2:13" ht="15" customHeight="1">
      <c r="C1053" s="1287"/>
      <c r="D1053" s="1478" t="s">
        <v>570</v>
      </c>
      <c r="E1053" s="1478"/>
      <c r="F1053" s="1960" cm="1">
        <f t="array" ref="F1053:M1053">J433*1+(CHOOSE(L8,E91:L91,E102:L102,E113:L113,E124:L124))</f>
        <v>1.3904926108374373E-5</v>
      </c>
      <c r="G1053" s="1960">
        <v>1.3904926108374373E-5</v>
      </c>
      <c r="H1053" s="1960">
        <v>1.3904926108374373E-5</v>
      </c>
      <c r="I1053" s="1960">
        <v>1.3904926108374373E-5</v>
      </c>
      <c r="J1053" s="1960">
        <v>1.3904926108374373E-5</v>
      </c>
      <c r="K1053" s="1960">
        <v>1.3904926108374373E-5</v>
      </c>
      <c r="L1053" s="1960">
        <v>1.3904926108374373E-5</v>
      </c>
      <c r="M1053" s="1960">
        <v>1.3904926108374373E-5</v>
      </c>
    </row>
    <row r="1054" spans="2:13" ht="15" customHeight="1">
      <c r="C1054" s="1287"/>
      <c r="D1054" s="649" t="s">
        <v>338</v>
      </c>
      <c r="E1054" s="1290"/>
      <c r="F1054" s="1977">
        <f>SUM(F1048:F1053)</f>
        <v>1.8691928669950738E-3</v>
      </c>
      <c r="G1054" s="1977">
        <f t="shared" ref="G1054:M1054" si="65">SUM(G1048:G1053)</f>
        <v>1.8691928669950738E-3</v>
      </c>
      <c r="H1054" s="1977">
        <f t="shared" si="65"/>
        <v>1.8691928669950738E-3</v>
      </c>
      <c r="I1054" s="1977">
        <f t="shared" si="65"/>
        <v>1.8691928669950738E-3</v>
      </c>
      <c r="J1054" s="1977">
        <f t="shared" si="65"/>
        <v>1.8691928669950738E-3</v>
      </c>
      <c r="K1054" s="1977">
        <f t="shared" si="65"/>
        <v>1.8691928669950738E-3</v>
      </c>
      <c r="L1054" s="1977">
        <f t="shared" si="65"/>
        <v>1.8691928669950738E-3</v>
      </c>
      <c r="M1054" s="1977">
        <f t="shared" si="65"/>
        <v>1.8691928669950738E-3</v>
      </c>
    </row>
    <row r="1055" spans="2:13" ht="15" customHeight="1">
      <c r="C1055" s="1287"/>
      <c r="D1055" s="609"/>
      <c r="E1055" s="1287"/>
      <c r="F1055" s="2871"/>
      <c r="G1055" s="2871"/>
      <c r="H1055" s="2871"/>
      <c r="I1055" s="2871"/>
      <c r="J1055" s="2871"/>
      <c r="K1055" s="2871"/>
      <c r="L1055" s="2871"/>
      <c r="M1055" s="1287"/>
    </row>
    <row r="1056" spans="2:13" ht="15" customHeight="1">
      <c r="C1056" s="1287"/>
      <c r="D1056" s="609"/>
      <c r="E1056" s="1287"/>
      <c r="F1056" s="2871"/>
      <c r="G1056" s="2871"/>
      <c r="H1056" s="2871"/>
      <c r="I1056" s="2871"/>
      <c r="J1056" s="2871"/>
      <c r="K1056" s="2871"/>
      <c r="L1056" s="2871"/>
      <c r="M1056" s="2868" t="s">
        <v>750</v>
      </c>
    </row>
    <row r="1057" spans="3:13" ht="15" customHeight="1">
      <c r="C1057" s="1950" t="s">
        <v>1899</v>
      </c>
      <c r="D1057" s="1951"/>
      <c r="E1057" s="1950"/>
      <c r="F1057" s="1952">
        <v>2018</v>
      </c>
      <c r="G1057" s="1952">
        <v>2020</v>
      </c>
      <c r="H1057" s="1952">
        <v>2025</v>
      </c>
      <c r="I1057" s="1952">
        <v>2030</v>
      </c>
      <c r="J1057" s="1952">
        <v>2035</v>
      </c>
      <c r="K1057" s="1952">
        <v>2040</v>
      </c>
      <c r="L1057" s="1952">
        <v>2045</v>
      </c>
      <c r="M1057" s="1952">
        <v>2050</v>
      </c>
    </row>
    <row r="1058" spans="3:13" ht="15" customHeight="1">
      <c r="C1058" s="1287"/>
      <c r="D1058" s="1554" t="s">
        <v>504</v>
      </c>
      <c r="E1058" s="1554"/>
      <c r="F1058" s="1958" cm="1">
        <f t="array" ref="F1058:M1058">E434*1+(CHOOSE(L8,E92:L92,E103:L103,E114:L114,E125:L125))</f>
        <v>4.1709999999999999E-5</v>
      </c>
      <c r="G1058" s="1958">
        <v>4.1709999999999999E-5</v>
      </c>
      <c r="H1058" s="1958">
        <v>4.1709999999999999E-5</v>
      </c>
      <c r="I1058" s="1958">
        <v>4.1709999999999999E-5</v>
      </c>
      <c r="J1058" s="1958">
        <v>4.1709999999999999E-5</v>
      </c>
      <c r="K1058" s="1958">
        <v>4.1709999999999999E-5</v>
      </c>
      <c r="L1058" s="1958">
        <v>4.1709999999999999E-5</v>
      </c>
      <c r="M1058" s="1958">
        <v>4.1709999999999999E-5</v>
      </c>
    </row>
    <row r="1059" spans="3:13" ht="15" customHeight="1">
      <c r="C1059" s="1287"/>
      <c r="D1059" s="1287" t="s">
        <v>569</v>
      </c>
      <c r="E1059" s="1287"/>
      <c r="F1059" s="1959" cm="1">
        <f t="array" ref="F1059:M1059">F434*1+(CHOOSE(L8,E92:L92,E103:L103,E114:L114,E125:L125))</f>
        <v>1.6684E-4</v>
      </c>
      <c r="G1059" s="1959">
        <v>1.6684E-4</v>
      </c>
      <c r="H1059" s="1959">
        <v>1.6684E-4</v>
      </c>
      <c r="I1059" s="1959">
        <v>1.6684E-4</v>
      </c>
      <c r="J1059" s="1959">
        <v>1.6684E-4</v>
      </c>
      <c r="K1059" s="1959">
        <v>1.6684E-4</v>
      </c>
      <c r="L1059" s="1959">
        <v>1.6684E-4</v>
      </c>
      <c r="M1059" s="1959">
        <v>1.6684E-4</v>
      </c>
    </row>
    <row r="1060" spans="3:13" ht="15" customHeight="1">
      <c r="C1060" s="1287"/>
      <c r="D1060" s="1287" t="s">
        <v>513</v>
      </c>
      <c r="E1060" s="1287"/>
      <c r="F1060" s="1959" cm="1">
        <f t="array" ref="F1060:M1060">G434*1+(CHOOSE(L8,E92:L92,E103:L103,E114:L114,E125:L125))</f>
        <v>5.25546E-4</v>
      </c>
      <c r="G1060" s="1959">
        <v>5.25546E-4</v>
      </c>
      <c r="H1060" s="1959">
        <v>5.25546E-4</v>
      </c>
      <c r="I1060" s="1959">
        <v>5.25546E-4</v>
      </c>
      <c r="J1060" s="1959">
        <v>5.25546E-4</v>
      </c>
      <c r="K1060" s="1959">
        <v>5.25546E-4</v>
      </c>
      <c r="L1060" s="1959">
        <v>5.25546E-4</v>
      </c>
      <c r="M1060" s="1959">
        <v>5.25546E-4</v>
      </c>
    </row>
    <row r="1061" spans="3:13" ht="15" customHeight="1">
      <c r="C1061" s="1287"/>
      <c r="D1061" s="1287" t="s">
        <v>1854</v>
      </c>
      <c r="E1061" s="1287"/>
      <c r="F1061" s="1959" cm="1">
        <f t="array" ref="F1061:M1061">H434*1+(CHOOSE(L8,E92:L92,E103:L103,E114:L114,E125:L125))</f>
        <v>4.9312315270935929E-5</v>
      </c>
      <c r="G1061" s="1959">
        <v>4.9312315270935929E-5</v>
      </c>
      <c r="H1061" s="1959">
        <v>4.9312315270935929E-5</v>
      </c>
      <c r="I1061" s="1959">
        <v>4.9312315270935929E-5</v>
      </c>
      <c r="J1061" s="1959">
        <v>4.9312315270935929E-5</v>
      </c>
      <c r="K1061" s="1959">
        <v>4.9312315270935929E-5</v>
      </c>
      <c r="L1061" s="1959">
        <v>4.9312315270935929E-5</v>
      </c>
      <c r="M1061" s="1959">
        <v>4.9312315270935929E-5</v>
      </c>
    </row>
    <row r="1062" spans="3:13" ht="15" customHeight="1">
      <c r="C1062" s="1287"/>
      <c r="D1062" s="1287" t="s">
        <v>1860</v>
      </c>
      <c r="E1062" s="1287"/>
      <c r="F1062" s="1959" cm="1">
        <f t="array" ref="F1062:M1062">I434*1+(CHOOSE(L8,E92:L92,E103:L103,E114:L114,E125:L125))</f>
        <v>3.9038916256157604E-5</v>
      </c>
      <c r="G1062" s="1959">
        <v>3.9038916256157604E-5</v>
      </c>
      <c r="H1062" s="1959">
        <v>3.9038916256157604E-5</v>
      </c>
      <c r="I1062" s="1959">
        <v>3.9038916256157604E-5</v>
      </c>
      <c r="J1062" s="1959">
        <v>3.9038916256157604E-5</v>
      </c>
      <c r="K1062" s="1959">
        <v>3.9038916256157604E-5</v>
      </c>
      <c r="L1062" s="1959">
        <v>3.9038916256157604E-5</v>
      </c>
      <c r="M1062" s="1959">
        <v>3.9038916256157604E-5</v>
      </c>
    </row>
    <row r="1063" spans="3:13" ht="15" customHeight="1">
      <c r="C1063" s="1287"/>
      <c r="D1063" s="1478" t="s">
        <v>570</v>
      </c>
      <c r="E1063" s="1478"/>
      <c r="F1063" s="1960" cm="1">
        <f t="array" ref="F1063:M1063">J434*1+(CHOOSE(L8,E92:L92,E103:L103,E114:L114,E125:L125))</f>
        <v>6.1640394088669912E-6</v>
      </c>
      <c r="G1063" s="1960">
        <v>6.1640394088669912E-6</v>
      </c>
      <c r="H1063" s="1960">
        <v>6.1640394088669912E-6</v>
      </c>
      <c r="I1063" s="1960">
        <v>6.1640394088669912E-6</v>
      </c>
      <c r="J1063" s="1960">
        <v>6.1640394088669912E-6</v>
      </c>
      <c r="K1063" s="1960">
        <v>6.1640394088669912E-6</v>
      </c>
      <c r="L1063" s="1960">
        <v>6.1640394088669912E-6</v>
      </c>
      <c r="M1063" s="1960">
        <v>6.1640394088669912E-6</v>
      </c>
    </row>
    <row r="1064" spans="3:13" ht="15" customHeight="1">
      <c r="C1064" s="1287"/>
      <c r="D1064" s="649" t="s">
        <v>338</v>
      </c>
      <c r="E1064" s="1290"/>
      <c r="F1064" s="1977">
        <f>SUM(F1058:F1063)</f>
        <v>8.2861127093596056E-4</v>
      </c>
      <c r="G1064" s="1977">
        <f t="shared" ref="G1064:M1064" si="66">SUM(G1058:G1063)</f>
        <v>8.2861127093596056E-4</v>
      </c>
      <c r="H1064" s="1977">
        <f t="shared" si="66"/>
        <v>8.2861127093596056E-4</v>
      </c>
      <c r="I1064" s="1977">
        <f t="shared" si="66"/>
        <v>8.2861127093596056E-4</v>
      </c>
      <c r="J1064" s="1977">
        <f t="shared" si="66"/>
        <v>8.2861127093596056E-4</v>
      </c>
      <c r="K1064" s="1977">
        <f t="shared" si="66"/>
        <v>8.2861127093596056E-4</v>
      </c>
      <c r="L1064" s="1977">
        <f t="shared" si="66"/>
        <v>8.2861127093596056E-4</v>
      </c>
      <c r="M1064" s="1977">
        <f t="shared" si="66"/>
        <v>8.2861127093596056E-4</v>
      </c>
    </row>
    <row r="1065" spans="3:13" ht="15" customHeight="1">
      <c r="C1065" s="1287"/>
      <c r="D1065" s="609"/>
      <c r="E1065" s="1287"/>
      <c r="F1065" s="2871"/>
      <c r="G1065" s="2871"/>
      <c r="H1065" s="2871"/>
      <c r="I1065" s="2871"/>
      <c r="J1065" s="2871"/>
      <c r="K1065" s="2871"/>
      <c r="L1065" s="2871"/>
      <c r="M1065" s="2868" t="s">
        <v>750</v>
      </c>
    </row>
    <row r="1066" spans="3:13" ht="15" customHeight="1">
      <c r="C1066" s="1950" t="s">
        <v>1900</v>
      </c>
      <c r="D1066" s="1951"/>
      <c r="E1066" s="1950"/>
      <c r="F1066" s="1952">
        <v>2018</v>
      </c>
      <c r="G1066" s="1952">
        <v>2020</v>
      </c>
      <c r="H1066" s="1952">
        <v>2025</v>
      </c>
      <c r="I1066" s="1952">
        <v>2030</v>
      </c>
      <c r="J1066" s="1952">
        <v>2035</v>
      </c>
      <c r="K1066" s="1952">
        <v>2040</v>
      </c>
      <c r="L1066" s="1952">
        <v>2045</v>
      </c>
      <c r="M1066" s="1952">
        <v>2050</v>
      </c>
    </row>
    <row r="1067" spans="3:13" ht="15" customHeight="1">
      <c r="C1067" s="1287"/>
      <c r="D1067" s="1554" t="s">
        <v>504</v>
      </c>
      <c r="E1067" s="1554"/>
      <c r="F1067" s="2209" cm="1">
        <f t="array" ref="F1067:M1067">E435*1+(CHOOSE(L8,E93:L93,E104:L104,E115:L115,E126:L126))</f>
        <v>2.6723500000000005E-4</v>
      </c>
      <c r="G1067" s="2209">
        <v>2.6723500000000005E-4</v>
      </c>
      <c r="H1067" s="2209">
        <v>2.6723500000000005E-4</v>
      </c>
      <c r="I1067" s="2209">
        <v>2.6723500000000005E-4</v>
      </c>
      <c r="J1067" s="2209">
        <v>2.6723500000000005E-4</v>
      </c>
      <c r="K1067" s="2209">
        <v>2.6723500000000005E-4</v>
      </c>
      <c r="L1067" s="2209">
        <v>2.6723500000000005E-4</v>
      </c>
      <c r="M1067" s="2209">
        <v>2.6723500000000005E-4</v>
      </c>
    </row>
    <row r="1068" spans="3:13" ht="15" customHeight="1">
      <c r="C1068" s="1287"/>
      <c r="D1068" s="1287" t="s">
        <v>569</v>
      </c>
      <c r="E1068" s="1287"/>
      <c r="F1068" s="1959" cm="1">
        <f t="array" ref="F1068:M1068">F435*1+(CHOOSE(L8,E93:L93,E104:L104,E115:L115,E126:L126))</f>
        <v>1.0689400000000002E-3</v>
      </c>
      <c r="G1068" s="1959">
        <v>1.0689400000000002E-3</v>
      </c>
      <c r="H1068" s="1959">
        <v>1.0689400000000002E-3</v>
      </c>
      <c r="I1068" s="1959">
        <v>1.0689400000000002E-3</v>
      </c>
      <c r="J1068" s="1959">
        <v>1.0689400000000002E-3</v>
      </c>
      <c r="K1068" s="1959">
        <v>1.0689400000000002E-3</v>
      </c>
      <c r="L1068" s="1959">
        <v>1.0689400000000002E-3</v>
      </c>
      <c r="M1068" s="1959">
        <v>1.0689400000000002E-3</v>
      </c>
    </row>
    <row r="1069" spans="3:13" ht="15" customHeight="1">
      <c r="C1069" s="1287"/>
      <c r="D1069" s="1287" t="s">
        <v>513</v>
      </c>
      <c r="E1069" s="1287"/>
      <c r="F1069" s="1959" cm="1">
        <f t="array" ref="F1069:M1069">G435*1+(CHOOSE(L8,E93:L93,E104:L104,E115:L115,E126:L126))</f>
        <v>3.367161E-3</v>
      </c>
      <c r="G1069" s="1959">
        <v>3.367161E-3</v>
      </c>
      <c r="H1069" s="1959">
        <v>3.367161E-3</v>
      </c>
      <c r="I1069" s="1959">
        <v>3.367161E-3</v>
      </c>
      <c r="J1069" s="1959">
        <v>3.367161E-3</v>
      </c>
      <c r="K1069" s="1959">
        <v>3.367161E-3</v>
      </c>
      <c r="L1069" s="1959">
        <v>3.367161E-3</v>
      </c>
      <c r="M1069" s="1959">
        <v>3.367161E-3</v>
      </c>
    </row>
    <row r="1070" spans="3:13" ht="15" customHeight="1">
      <c r="C1070" s="1287"/>
      <c r="D1070" s="1287" t="s">
        <v>1854</v>
      </c>
      <c r="E1070" s="1287"/>
      <c r="F1070" s="1959" cm="1">
        <f t="array" ref="F1070:M1070">H435*1+(CHOOSE(L8,E93:L93,E104:L104,E115:L115,E126:L126))</f>
        <v>3.1594285714285701E-4</v>
      </c>
      <c r="G1070" s="1959">
        <v>3.1594285714285701E-4</v>
      </c>
      <c r="H1070" s="1959">
        <v>3.1594285714285701E-4</v>
      </c>
      <c r="I1070" s="1959">
        <v>3.1594285714285701E-4</v>
      </c>
      <c r="J1070" s="1959">
        <v>3.1594285714285701E-4</v>
      </c>
      <c r="K1070" s="1959">
        <v>3.1594285714285701E-4</v>
      </c>
      <c r="L1070" s="1959">
        <v>3.1594285714285701E-4</v>
      </c>
      <c r="M1070" s="1959">
        <v>3.1594285714285701E-4</v>
      </c>
    </row>
    <row r="1071" spans="3:13" ht="15" customHeight="1">
      <c r="C1071" s="1287"/>
      <c r="D1071" s="1287" t="s">
        <v>1860</v>
      </c>
      <c r="E1071" s="1287"/>
      <c r="F1071" s="1959" cm="1">
        <f t="array" ref="F1071:M1071">I435*1+(CHOOSE(L8,E93:L93,E104:L104,E115:L115,E126:L126))</f>
        <v>2.5012142857142836E-4</v>
      </c>
      <c r="G1071" s="1959">
        <v>2.5012142857142836E-4</v>
      </c>
      <c r="H1071" s="1959">
        <v>2.5012142857142836E-4</v>
      </c>
      <c r="I1071" s="1959">
        <v>2.5012142857142836E-4</v>
      </c>
      <c r="J1071" s="1959">
        <v>2.5012142857142836E-4</v>
      </c>
      <c r="K1071" s="1959">
        <v>2.5012142857142836E-4</v>
      </c>
      <c r="L1071" s="1959">
        <v>2.5012142857142836E-4</v>
      </c>
      <c r="M1071" s="1959">
        <v>2.5012142857142836E-4</v>
      </c>
    </row>
    <row r="1072" spans="3:13" ht="15" customHeight="1">
      <c r="C1072" s="1287"/>
      <c r="D1072" s="1478" t="s">
        <v>570</v>
      </c>
      <c r="E1072" s="1478"/>
      <c r="F1072" s="1960" cm="1">
        <f t="array" ref="F1072:M1072">J435*1+(CHOOSE(L8,E93:L93,E104:L104,E115:L115,E126:L126))</f>
        <v>3.9492857142857126E-5</v>
      </c>
      <c r="G1072" s="1960">
        <v>3.9492857142857126E-5</v>
      </c>
      <c r="H1072" s="1960">
        <v>3.9492857142857126E-5</v>
      </c>
      <c r="I1072" s="1960">
        <v>3.9492857142857126E-5</v>
      </c>
      <c r="J1072" s="1960">
        <v>3.9492857142857126E-5</v>
      </c>
      <c r="K1072" s="1960">
        <v>3.9492857142857126E-5</v>
      </c>
      <c r="L1072" s="1960">
        <v>3.9492857142857126E-5</v>
      </c>
      <c r="M1072" s="1960">
        <v>3.9492857142857126E-5</v>
      </c>
    </row>
    <row r="1073" spans="3:15" ht="15" customHeight="1">
      <c r="C1073" s="1287"/>
      <c r="D1073" s="649" t="s">
        <v>338</v>
      </c>
      <c r="E1073" s="1290"/>
      <c r="F1073" s="1977">
        <f>SUM(F1067:F1072)</f>
        <v>5.3088931428571431E-3</v>
      </c>
      <c r="G1073" s="1977">
        <f t="shared" ref="G1073:M1073" si="67">SUM(G1067:G1072)</f>
        <v>5.3088931428571431E-3</v>
      </c>
      <c r="H1073" s="1977">
        <f t="shared" si="67"/>
        <v>5.3088931428571431E-3</v>
      </c>
      <c r="I1073" s="1977">
        <f t="shared" si="67"/>
        <v>5.3088931428571431E-3</v>
      </c>
      <c r="J1073" s="1977">
        <f t="shared" si="67"/>
        <v>5.3088931428571431E-3</v>
      </c>
      <c r="K1073" s="1977">
        <f t="shared" si="67"/>
        <v>5.3088931428571431E-3</v>
      </c>
      <c r="L1073" s="1977">
        <f t="shared" si="67"/>
        <v>5.3088931428571431E-3</v>
      </c>
      <c r="M1073" s="1977">
        <f t="shared" si="67"/>
        <v>5.3088931428571431E-3</v>
      </c>
    </row>
    <row r="1074" spans="3:15" ht="15" customHeight="1">
      <c r="C1074" s="1287"/>
      <c r="D1074" s="609"/>
      <c r="E1074" s="1287"/>
      <c r="F1074" s="2871"/>
      <c r="G1074" s="2871"/>
      <c r="H1074" s="2871"/>
      <c r="I1074" s="2871"/>
      <c r="J1074" s="2871"/>
      <c r="K1074" s="2871"/>
      <c r="L1074" s="2871"/>
      <c r="M1074" s="2868" t="s">
        <v>750</v>
      </c>
    </row>
    <row r="1075" spans="3:15" ht="15" customHeight="1">
      <c r="C1075" s="1950" t="s">
        <v>562</v>
      </c>
      <c r="D1075" s="1951"/>
      <c r="E1075" s="1950"/>
      <c r="F1075" s="1952">
        <v>2018</v>
      </c>
      <c r="G1075" s="1952">
        <v>2020</v>
      </c>
      <c r="H1075" s="1952">
        <v>2025</v>
      </c>
      <c r="I1075" s="1952">
        <v>2030</v>
      </c>
      <c r="J1075" s="1952">
        <v>2035</v>
      </c>
      <c r="K1075" s="1952">
        <v>2040</v>
      </c>
      <c r="L1075" s="1952">
        <v>2045</v>
      </c>
      <c r="M1075" s="1952">
        <v>2050</v>
      </c>
    </row>
    <row r="1076" spans="3:15" ht="15" customHeight="1">
      <c r="C1076" s="1287"/>
      <c r="D1076" s="1554" t="s">
        <v>504</v>
      </c>
      <c r="E1076" s="1554"/>
      <c r="F1076" s="1958" cm="1">
        <f t="array" ref="F1076:M1076">E436*1+(CHOOSE(L8,E94:L94,E105:L105,E116:L116,E127:L127))</f>
        <v>6.7900000000000011E-5</v>
      </c>
      <c r="G1076" s="1958">
        <v>6.7900000000000011E-5</v>
      </c>
      <c r="H1076" s="1958">
        <v>6.7900000000000011E-5</v>
      </c>
      <c r="I1076" s="1958">
        <v>6.7900000000000011E-5</v>
      </c>
      <c r="J1076" s="1958">
        <v>6.7900000000000011E-5</v>
      </c>
      <c r="K1076" s="1958">
        <v>6.7900000000000011E-5</v>
      </c>
      <c r="L1076" s="1958">
        <v>6.7900000000000011E-5</v>
      </c>
      <c r="M1076" s="1958">
        <v>6.7900000000000011E-5</v>
      </c>
    </row>
    <row r="1077" spans="3:15" ht="15" customHeight="1">
      <c r="C1077" s="1287"/>
      <c r="D1077" s="1287" t="s">
        <v>569</v>
      </c>
      <c r="E1077" s="1287"/>
      <c r="F1077" s="1959" cm="1">
        <f t="array" ref="F1077:M1077">F436*1+(CHOOSE(L8,E94:L94,E105:L105,E116:L116,E127:L127))</f>
        <v>2.7160000000000004E-4</v>
      </c>
      <c r="G1077" s="1959">
        <v>2.7160000000000004E-4</v>
      </c>
      <c r="H1077" s="1959">
        <v>2.7160000000000004E-4</v>
      </c>
      <c r="I1077" s="1959">
        <v>2.7160000000000004E-4</v>
      </c>
      <c r="J1077" s="1959">
        <v>2.7160000000000004E-4</v>
      </c>
      <c r="K1077" s="1959">
        <v>2.7160000000000004E-4</v>
      </c>
      <c r="L1077" s="1959">
        <v>2.7160000000000004E-4</v>
      </c>
      <c r="M1077" s="1959">
        <v>2.7160000000000004E-4</v>
      </c>
    </row>
    <row r="1078" spans="3:15" ht="15" customHeight="1">
      <c r="C1078" s="1287"/>
      <c r="D1078" s="1287" t="s">
        <v>513</v>
      </c>
      <c r="E1078" s="1287"/>
      <c r="F1078" s="1959" cm="1">
        <f t="array" ref="F1078:M1078">G436*1+(CHOOSE(L8,E94:L94,E105:L105,E116:L116,E127:L127))</f>
        <v>8.5554000000000001E-4</v>
      </c>
      <c r="G1078" s="1959">
        <v>8.5554000000000001E-4</v>
      </c>
      <c r="H1078" s="1959">
        <v>8.5554000000000001E-4</v>
      </c>
      <c r="I1078" s="1959">
        <v>8.5554000000000001E-4</v>
      </c>
      <c r="J1078" s="1959">
        <v>8.5554000000000001E-4</v>
      </c>
      <c r="K1078" s="1959">
        <v>8.5554000000000001E-4</v>
      </c>
      <c r="L1078" s="1959">
        <v>8.5554000000000001E-4</v>
      </c>
      <c r="M1078" s="1959">
        <v>8.5554000000000001E-4</v>
      </c>
    </row>
    <row r="1079" spans="3:15" ht="15" customHeight="1">
      <c r="C1079" s="1287"/>
      <c r="D1079" s="1287" t="s">
        <v>1854</v>
      </c>
      <c r="E1079" s="1287"/>
      <c r="F1079" s="1959" cm="1">
        <f t="array" ref="F1079:M1079">H436*1+(CHOOSE(L8,E94:L94,E105:L105,E116:L116,E127:L127))</f>
        <v>8.0275862068965461E-5</v>
      </c>
      <c r="G1079" s="1959">
        <v>8.0275862068965461E-5</v>
      </c>
      <c r="H1079" s="1959">
        <v>8.0275862068965461E-5</v>
      </c>
      <c r="I1079" s="1959">
        <v>8.0275862068965461E-5</v>
      </c>
      <c r="J1079" s="1959">
        <v>8.0275862068965461E-5</v>
      </c>
      <c r="K1079" s="1959">
        <v>8.0275862068965461E-5</v>
      </c>
      <c r="L1079" s="1959">
        <v>8.0275862068965461E-5</v>
      </c>
      <c r="M1079" s="1959">
        <v>8.0275862068965461E-5</v>
      </c>
    </row>
    <row r="1080" spans="3:15" ht="15" customHeight="1">
      <c r="C1080" s="1287"/>
      <c r="D1080" s="1287" t="s">
        <v>1860</v>
      </c>
      <c r="E1080" s="1287"/>
      <c r="F1080" s="1959" cm="1">
        <f t="array" ref="F1080:M1080">I436*1+(CHOOSE(L8,E94:L94,E105:L105,E116:L116,E127:L127))</f>
        <v>6.3551724137930976E-5</v>
      </c>
      <c r="G1080" s="1959">
        <v>6.3551724137930976E-5</v>
      </c>
      <c r="H1080" s="1959">
        <v>6.3551724137930976E-5</v>
      </c>
      <c r="I1080" s="1959">
        <v>6.3551724137930976E-5</v>
      </c>
      <c r="J1080" s="1959">
        <v>6.3551724137930976E-5</v>
      </c>
      <c r="K1080" s="1959">
        <v>6.3551724137930976E-5</v>
      </c>
      <c r="L1080" s="1959">
        <v>6.3551724137930976E-5</v>
      </c>
      <c r="M1080" s="1959">
        <v>6.3551724137930976E-5</v>
      </c>
    </row>
    <row r="1081" spans="3:15" ht="15" customHeight="1">
      <c r="C1081" s="1287"/>
      <c r="D1081" s="1478" t="s">
        <v>570</v>
      </c>
      <c r="E1081" s="1478"/>
      <c r="F1081" s="1960" cm="1">
        <f t="array" ref="F1081:M1081">J436*1+(CHOOSE(L8,E94:L94,E105:L105,E116:L116,E127:L127))</f>
        <v>1.0034482758620683E-5</v>
      </c>
      <c r="G1081" s="1960">
        <v>1.0034482758620683E-5</v>
      </c>
      <c r="H1081" s="1960">
        <v>1.0034482758620683E-5</v>
      </c>
      <c r="I1081" s="1960">
        <v>1.0034482758620683E-5</v>
      </c>
      <c r="J1081" s="1960">
        <v>1.0034482758620683E-5</v>
      </c>
      <c r="K1081" s="1960">
        <v>1.0034482758620683E-5</v>
      </c>
      <c r="L1081" s="1960">
        <v>1.0034482758620683E-5</v>
      </c>
      <c r="M1081" s="1960">
        <v>1.0034482758620683E-5</v>
      </c>
    </row>
    <row r="1082" spans="3:15" ht="15" customHeight="1">
      <c r="C1082" s="1287"/>
      <c r="D1082" s="649" t="s">
        <v>338</v>
      </c>
      <c r="E1082" s="1290"/>
      <c r="F1082" s="1977">
        <f>SUM(F1076:F1081)</f>
        <v>1.3489020689655175E-3</v>
      </c>
      <c r="G1082" s="1977">
        <f t="shared" ref="G1082:M1082" si="68">SUM(G1076:G1081)</f>
        <v>1.3489020689655175E-3</v>
      </c>
      <c r="H1082" s="1977">
        <f t="shared" si="68"/>
        <v>1.3489020689655175E-3</v>
      </c>
      <c r="I1082" s="1977">
        <f t="shared" si="68"/>
        <v>1.3489020689655175E-3</v>
      </c>
      <c r="J1082" s="1977">
        <f t="shared" si="68"/>
        <v>1.3489020689655175E-3</v>
      </c>
      <c r="K1082" s="1977">
        <f t="shared" si="68"/>
        <v>1.3489020689655175E-3</v>
      </c>
      <c r="L1082" s="1977">
        <f t="shared" si="68"/>
        <v>1.3489020689655175E-3</v>
      </c>
      <c r="M1082" s="1977">
        <f t="shared" si="68"/>
        <v>1.3489020689655175E-3</v>
      </c>
    </row>
    <row r="1083" spans="3:15" ht="15" customHeight="1">
      <c r="C1083" s="1287"/>
      <c r="D1083" s="609"/>
      <c r="E1083" s="1287"/>
      <c r="F1083" s="2871"/>
      <c r="G1083" s="2871"/>
      <c r="H1083" s="2871"/>
      <c r="I1083" s="2871"/>
      <c r="J1083" s="2871"/>
      <c r="K1083" s="2871"/>
      <c r="L1083" s="2871"/>
      <c r="M1083" s="2868" t="s">
        <v>750</v>
      </c>
    </row>
    <row r="1084" spans="3:15" ht="15" customHeight="1">
      <c r="C1084" s="1950" t="s">
        <v>563</v>
      </c>
      <c r="D1084" s="1951"/>
      <c r="E1084" s="1950"/>
      <c r="F1084" s="1952">
        <v>2018</v>
      </c>
      <c r="G1084" s="1952">
        <v>2020</v>
      </c>
      <c r="H1084" s="1952">
        <v>2025</v>
      </c>
      <c r="I1084" s="1952">
        <v>2030</v>
      </c>
      <c r="J1084" s="1952">
        <v>2035</v>
      </c>
      <c r="K1084" s="1952">
        <v>2040</v>
      </c>
      <c r="L1084" s="1952">
        <v>2045</v>
      </c>
      <c r="M1084" s="1952">
        <v>2050</v>
      </c>
    </row>
    <row r="1085" spans="3:15" ht="15" customHeight="1">
      <c r="C1085" s="1287"/>
      <c r="D1085" s="1554" t="s">
        <v>504</v>
      </c>
      <c r="E1085" s="1554"/>
      <c r="F1085" s="1958" cm="1">
        <f t="array" ref="F1085:M1085">E437*(1+(CHOOSE(L14,E134:L134,E135:L135,E136:L136,E137:L137)))</f>
        <v>8.2450000000000015E-6</v>
      </c>
      <c r="G1085" s="1958">
        <v>8.2450000000000015E-6</v>
      </c>
      <c r="H1085" s="1958">
        <v>8.2450000000000015E-6</v>
      </c>
      <c r="I1085" s="1958">
        <v>8.2450000000000015E-6</v>
      </c>
      <c r="J1085" s="1958">
        <v>8.2450000000000015E-6</v>
      </c>
      <c r="K1085" s="1958">
        <v>8.2450000000000015E-6</v>
      </c>
      <c r="L1085" s="1958">
        <v>8.2450000000000015E-6</v>
      </c>
      <c r="M1085" s="1958">
        <v>8.2450000000000015E-6</v>
      </c>
    </row>
    <row r="1086" spans="3:15" ht="15" customHeight="1">
      <c r="C1086" s="1287"/>
      <c r="D1086" s="1287" t="s">
        <v>569</v>
      </c>
      <c r="E1086" s="1287"/>
      <c r="F1086" s="1959" cm="1">
        <f t="array" ref="F1086:M1086">F437*(1+(CHOOSE(L14,E134:L134,E135:L135,E136:L136,E137:L137)))</f>
        <v>3.2980000000000006E-5</v>
      </c>
      <c r="G1086" s="1959">
        <v>3.2980000000000006E-5</v>
      </c>
      <c r="H1086" s="1959">
        <v>3.2980000000000006E-5</v>
      </c>
      <c r="I1086" s="1959">
        <v>3.2980000000000006E-5</v>
      </c>
      <c r="J1086" s="1959">
        <v>3.2980000000000006E-5</v>
      </c>
      <c r="K1086" s="1959">
        <v>3.2980000000000006E-5</v>
      </c>
      <c r="L1086" s="1959">
        <v>3.2980000000000006E-5</v>
      </c>
      <c r="M1086" s="1959">
        <v>3.2980000000000006E-5</v>
      </c>
      <c r="N1086" s="1966"/>
    </row>
    <row r="1087" spans="3:15" ht="15" customHeight="1">
      <c r="C1087" s="1287"/>
      <c r="D1087" s="1287" t="s">
        <v>513</v>
      </c>
      <c r="E1087" s="1287"/>
      <c r="F1087" s="1959" cm="1">
        <f t="array" ref="F1087:M1087">G437*(1+(CHOOSE(L14,E134:L134,E135:L135,E136:L136,E137:L137)))</f>
        <v>1.0388699999999999E-4</v>
      </c>
      <c r="G1087" s="1959">
        <v>1.0388699999999999E-4</v>
      </c>
      <c r="H1087" s="1959">
        <v>1.0388699999999999E-4</v>
      </c>
      <c r="I1087" s="1959">
        <v>1.0388699999999999E-4</v>
      </c>
      <c r="J1087" s="1959">
        <v>1.0388699999999999E-4</v>
      </c>
      <c r="K1087" s="1959">
        <v>1.0388699999999999E-4</v>
      </c>
      <c r="L1087" s="1959">
        <v>1.0388699999999999E-4</v>
      </c>
      <c r="M1087" s="1959">
        <v>1.0388699999999999E-4</v>
      </c>
      <c r="N1087" s="1966"/>
    </row>
    <row r="1088" spans="3:15" ht="15" customHeight="1">
      <c r="C1088" s="1287"/>
      <c r="D1088" s="1287" t="s">
        <v>1854</v>
      </c>
      <c r="E1088" s="1287"/>
      <c r="F1088" s="1959" cm="1">
        <f t="array" ref="F1088:M1088">H437*(1+(CHOOSE(L14,E134:L134,E135:L135,E136:L136,E137:L137)))</f>
        <v>9.7477832512315208E-6</v>
      </c>
      <c r="G1088" s="1959">
        <v>9.7477832512315208E-6</v>
      </c>
      <c r="H1088" s="1959">
        <v>9.7477832512315208E-6</v>
      </c>
      <c r="I1088" s="1959">
        <v>9.7477832512315208E-6</v>
      </c>
      <c r="J1088" s="1959">
        <v>9.7477832512315208E-6</v>
      </c>
      <c r="K1088" s="1959">
        <v>9.7477832512315208E-6</v>
      </c>
      <c r="L1088" s="1959">
        <v>9.7477832512315208E-6</v>
      </c>
      <c r="M1088" s="1959">
        <v>9.7477832512315208E-6</v>
      </c>
      <c r="N1088" s="1966"/>
      <c r="O1088" s="887"/>
    </row>
    <row r="1089" spans="2:15" ht="15" customHeight="1">
      <c r="C1089" s="1287"/>
      <c r="D1089" s="1287" t="s">
        <v>1860</v>
      </c>
      <c r="E1089" s="1287"/>
      <c r="F1089" s="1959" cm="1">
        <f t="array" ref="F1089:M1089">I437*(1+(CHOOSE(L14,E134:L134,E135:L135,E136:L136,E137:L137)))</f>
        <v>7.7169950738916193E-6</v>
      </c>
      <c r="G1089" s="1959">
        <v>7.7169950738916193E-6</v>
      </c>
      <c r="H1089" s="1959">
        <v>7.7169950738916193E-6</v>
      </c>
      <c r="I1089" s="1959">
        <v>7.7169950738916193E-6</v>
      </c>
      <c r="J1089" s="1959">
        <v>7.7169950738916193E-6</v>
      </c>
      <c r="K1089" s="1959">
        <v>7.7169950738916193E-6</v>
      </c>
      <c r="L1089" s="1959">
        <v>7.7169950738916193E-6</v>
      </c>
      <c r="M1089" s="1959">
        <v>7.7169950738916193E-6</v>
      </c>
      <c r="N1089" s="1966"/>
      <c r="O1089" s="887"/>
    </row>
    <row r="1090" spans="2:15" ht="15" customHeight="1">
      <c r="C1090" s="1287"/>
      <c r="D1090" s="1478" t="s">
        <v>570</v>
      </c>
      <c r="E1090" s="1478"/>
      <c r="F1090" s="1960" cm="1">
        <f t="array" ref="F1090:M1090">J437*(1+(CHOOSE(L14,E134:L134,E135:L135,E136:L136,E137:L137)))</f>
        <v>1.2184729064039401E-6</v>
      </c>
      <c r="G1090" s="1960">
        <v>1.2184729064039401E-6</v>
      </c>
      <c r="H1090" s="1960">
        <v>1.2184729064039401E-6</v>
      </c>
      <c r="I1090" s="1960">
        <v>1.2184729064039401E-6</v>
      </c>
      <c r="J1090" s="1960">
        <v>1.2184729064039401E-6</v>
      </c>
      <c r="K1090" s="1960">
        <v>1.2184729064039401E-6</v>
      </c>
      <c r="L1090" s="1960">
        <v>1.2184729064039401E-6</v>
      </c>
      <c r="M1090" s="1960">
        <v>1.2184729064039401E-6</v>
      </c>
      <c r="N1090" s="1966"/>
      <c r="O1090" s="887"/>
    </row>
    <row r="1091" spans="2:15" ht="15" customHeight="1">
      <c r="C1091" s="1287"/>
      <c r="D1091" s="649" t="s">
        <v>338</v>
      </c>
      <c r="E1091" s="1290"/>
      <c r="F1091" s="1977">
        <f>SUM(F1085:F1090)</f>
        <v>1.6379525123152709E-4</v>
      </c>
      <c r="G1091" s="1977">
        <f t="shared" ref="G1091:M1091" si="69">SUM(G1085:G1090)</f>
        <v>1.6379525123152709E-4</v>
      </c>
      <c r="H1091" s="1977">
        <f t="shared" si="69"/>
        <v>1.6379525123152709E-4</v>
      </c>
      <c r="I1091" s="1977">
        <f t="shared" si="69"/>
        <v>1.6379525123152709E-4</v>
      </c>
      <c r="J1091" s="1977">
        <f t="shared" si="69"/>
        <v>1.6379525123152709E-4</v>
      </c>
      <c r="K1091" s="1977">
        <f t="shared" si="69"/>
        <v>1.6379525123152709E-4</v>
      </c>
      <c r="L1091" s="1977">
        <f t="shared" si="69"/>
        <v>1.6379525123152709E-4</v>
      </c>
      <c r="M1091" s="1977">
        <f t="shared" si="69"/>
        <v>1.6379525123152709E-4</v>
      </c>
      <c r="N1091" s="1966"/>
      <c r="O1091" s="887"/>
    </row>
    <row r="1092" spans="2:15" ht="15" customHeight="1">
      <c r="C1092" s="1287"/>
      <c r="D1092" s="609"/>
      <c r="E1092" s="1287"/>
      <c r="F1092" s="2871"/>
      <c r="G1092" s="2871"/>
      <c r="H1092" s="2871"/>
      <c r="I1092" s="2871"/>
      <c r="J1092" s="2871"/>
      <c r="K1092" s="2871"/>
      <c r="L1092" s="2871"/>
      <c r="M1092" s="2868" t="s">
        <v>750</v>
      </c>
      <c r="N1092" s="1966"/>
      <c r="O1092" s="887"/>
    </row>
    <row r="1093" spans="2:15" ht="15" customHeight="1">
      <c r="C1093" s="1950" t="s">
        <v>564</v>
      </c>
      <c r="D1093" s="1951"/>
      <c r="E1093" s="1950"/>
      <c r="F1093" s="1952">
        <v>2018</v>
      </c>
      <c r="G1093" s="1952">
        <v>2020</v>
      </c>
      <c r="H1093" s="1952">
        <v>2025</v>
      </c>
      <c r="I1093" s="1952">
        <v>2030</v>
      </c>
      <c r="J1093" s="1952">
        <v>2035</v>
      </c>
      <c r="K1093" s="1952">
        <v>2040</v>
      </c>
      <c r="L1093" s="1952">
        <v>2045</v>
      </c>
      <c r="M1093" s="1952">
        <v>2050</v>
      </c>
      <c r="N1093" s="1966"/>
      <c r="O1093" s="887"/>
    </row>
    <row r="1094" spans="2:15" ht="15" customHeight="1">
      <c r="C1094" s="1287"/>
      <c r="D1094" s="1554" t="s">
        <v>504</v>
      </c>
      <c r="E1094" s="1554"/>
      <c r="F1094" s="1958" cm="1">
        <f t="array" ref="F1094:M1094">E438*1+(CHOOSE(L8,E95:L95,E106:L106,E117:L117,E128:L128))</f>
        <v>5.7715000000000006E-5</v>
      </c>
      <c r="G1094" s="1958">
        <v>5.7715000000000006E-5</v>
      </c>
      <c r="H1094" s="1958">
        <v>5.7715000000000006E-5</v>
      </c>
      <c r="I1094" s="1958">
        <v>5.7715000000000006E-5</v>
      </c>
      <c r="J1094" s="1958">
        <v>5.7715000000000006E-5</v>
      </c>
      <c r="K1094" s="1958">
        <v>5.7715000000000006E-5</v>
      </c>
      <c r="L1094" s="1958">
        <v>5.7715000000000006E-5</v>
      </c>
      <c r="M1094" s="1958">
        <v>5.7715000000000006E-5</v>
      </c>
      <c r="N1094" s="1966"/>
      <c r="O1094" s="887"/>
    </row>
    <row r="1095" spans="2:15" ht="15" customHeight="1">
      <c r="C1095" s="1287"/>
      <c r="D1095" s="1287" t="s">
        <v>569</v>
      </c>
      <c r="E1095" s="1287"/>
      <c r="F1095" s="1959" cm="1">
        <f t="array" ref="F1095:M1095">F437*1+(CHOOSE(L8,E95:L95,E106:L106,E117:L117,E128:L128))</f>
        <v>3.2980000000000006E-5</v>
      </c>
      <c r="G1095" s="1959">
        <v>3.2980000000000006E-5</v>
      </c>
      <c r="H1095" s="1959">
        <v>3.2980000000000006E-5</v>
      </c>
      <c r="I1095" s="1959">
        <v>3.2980000000000006E-5</v>
      </c>
      <c r="J1095" s="1959">
        <v>3.2980000000000006E-5</v>
      </c>
      <c r="K1095" s="1959">
        <v>3.2980000000000006E-5</v>
      </c>
      <c r="L1095" s="1959">
        <v>3.2980000000000006E-5</v>
      </c>
      <c r="M1095" s="1959">
        <v>3.2980000000000006E-5</v>
      </c>
      <c r="N1095" s="1966"/>
      <c r="O1095" s="887"/>
    </row>
    <row r="1096" spans="2:15" ht="15" customHeight="1">
      <c r="C1096" s="1287"/>
      <c r="D1096" s="1287" t="s">
        <v>513</v>
      </c>
      <c r="E1096" s="1287"/>
      <c r="F1096" s="1959" cm="1">
        <f t="array" ref="F1096:M1096">G437*1+(CHOOSE(L8,E95:L95,E106:L106,E117:L117,E128:L128))</f>
        <v>1.0388699999999999E-4</v>
      </c>
      <c r="G1096" s="1959">
        <v>1.0388699999999999E-4</v>
      </c>
      <c r="H1096" s="1959">
        <v>1.0388699999999999E-4</v>
      </c>
      <c r="I1096" s="1959">
        <v>1.0388699999999999E-4</v>
      </c>
      <c r="J1096" s="1959">
        <v>1.0388699999999999E-4</v>
      </c>
      <c r="K1096" s="1959">
        <v>1.0388699999999999E-4</v>
      </c>
      <c r="L1096" s="1959">
        <v>1.0388699999999999E-4</v>
      </c>
      <c r="M1096" s="1959">
        <v>1.0388699999999999E-4</v>
      </c>
      <c r="N1096" s="1966"/>
      <c r="O1096" s="887"/>
    </row>
    <row r="1097" spans="2:15" ht="15" customHeight="1">
      <c r="C1097" s="1287"/>
      <c r="D1097" s="1287" t="s">
        <v>1854</v>
      </c>
      <c r="E1097" s="1287"/>
      <c r="F1097" s="1959" cm="1">
        <f t="array" ref="F1097:M1097">H437*1+(CHOOSE(L8,E95:L95,E106:L106,E117:L117,E128:L128))</f>
        <v>9.7477832512315208E-6</v>
      </c>
      <c r="G1097" s="1959">
        <v>9.7477832512315208E-6</v>
      </c>
      <c r="H1097" s="1959">
        <v>9.7477832512315208E-6</v>
      </c>
      <c r="I1097" s="1959">
        <v>9.7477832512315208E-6</v>
      </c>
      <c r="J1097" s="1959">
        <v>9.7477832512315208E-6</v>
      </c>
      <c r="K1097" s="1959">
        <v>9.7477832512315208E-6</v>
      </c>
      <c r="L1097" s="1959">
        <v>9.7477832512315208E-6</v>
      </c>
      <c r="M1097" s="1959">
        <v>9.7477832512315208E-6</v>
      </c>
      <c r="N1097" s="1966"/>
      <c r="O1097" s="887"/>
    </row>
    <row r="1098" spans="2:15" ht="15" customHeight="1">
      <c r="C1098" s="1287"/>
      <c r="D1098" s="1287" t="s">
        <v>1860</v>
      </c>
      <c r="E1098" s="1287"/>
      <c r="F1098" s="1959" cm="1">
        <f t="array" ref="F1098:M1098">I437*1+(CHOOSE(L8,E95:L95,E106:L106,E117:L117,E128:L128))</f>
        <v>7.7169950738916193E-6</v>
      </c>
      <c r="G1098" s="1959">
        <v>7.7169950738916193E-6</v>
      </c>
      <c r="H1098" s="1959">
        <v>7.7169950738916193E-6</v>
      </c>
      <c r="I1098" s="1959">
        <v>7.7169950738916193E-6</v>
      </c>
      <c r="J1098" s="1959">
        <v>7.7169950738916193E-6</v>
      </c>
      <c r="K1098" s="1959">
        <v>7.7169950738916193E-6</v>
      </c>
      <c r="L1098" s="1959">
        <v>7.7169950738916193E-6</v>
      </c>
      <c r="M1098" s="1959">
        <v>7.7169950738916193E-6</v>
      </c>
      <c r="N1098" s="1966"/>
      <c r="O1098" s="887"/>
    </row>
    <row r="1099" spans="2:15" ht="15" customHeight="1">
      <c r="C1099" s="1287"/>
      <c r="D1099" s="1478" t="s">
        <v>570</v>
      </c>
      <c r="E1099" s="1478"/>
      <c r="F1099" s="1960" cm="1">
        <f t="array" ref="F1099:M1099">J437*1+(CHOOSE(L8,E95:L95,E106:L106,E117:L117,E128:L128))</f>
        <v>1.2184729064039401E-6</v>
      </c>
      <c r="G1099" s="1960">
        <v>1.2184729064039401E-6</v>
      </c>
      <c r="H1099" s="1960">
        <v>1.2184729064039401E-6</v>
      </c>
      <c r="I1099" s="1960">
        <v>1.2184729064039401E-6</v>
      </c>
      <c r="J1099" s="1960">
        <v>1.2184729064039401E-6</v>
      </c>
      <c r="K1099" s="1960">
        <v>1.2184729064039401E-6</v>
      </c>
      <c r="L1099" s="1960">
        <v>1.2184729064039401E-6</v>
      </c>
      <c r="M1099" s="1960">
        <v>1.2184729064039401E-6</v>
      </c>
      <c r="N1099" s="1966"/>
      <c r="O1099" s="887"/>
    </row>
    <row r="1100" spans="2:15" ht="15" customHeight="1">
      <c r="B1100" s="1287"/>
      <c r="C1100" s="1477"/>
      <c r="D1100" s="649" t="s">
        <v>338</v>
      </c>
      <c r="E1100" s="1291"/>
      <c r="F1100" s="2872">
        <f>SUM(F1094:F1099)</f>
        <v>2.1326525123152709E-4</v>
      </c>
      <c r="G1100" s="2872">
        <f t="shared" ref="G1100:M1100" si="70">SUM(G1094:G1099)</f>
        <v>2.1326525123152709E-4</v>
      </c>
      <c r="H1100" s="2872">
        <f t="shared" si="70"/>
        <v>2.1326525123152709E-4</v>
      </c>
      <c r="I1100" s="2872">
        <f t="shared" si="70"/>
        <v>2.1326525123152709E-4</v>
      </c>
      <c r="J1100" s="2872">
        <f t="shared" si="70"/>
        <v>2.1326525123152709E-4</v>
      </c>
      <c r="K1100" s="2872">
        <f t="shared" si="70"/>
        <v>2.1326525123152709E-4</v>
      </c>
      <c r="L1100" s="2872">
        <f t="shared" si="70"/>
        <v>2.1326525123152709E-4</v>
      </c>
      <c r="M1100" s="2872">
        <f t="shared" si="70"/>
        <v>2.1326525123152709E-4</v>
      </c>
      <c r="N1100" s="1966"/>
      <c r="O1100" s="887"/>
    </row>
    <row r="1101" spans="2:15" ht="15" customHeight="1">
      <c r="B1101" s="1287"/>
      <c r="C1101" s="1477"/>
      <c r="D1101" s="1477"/>
      <c r="E1101" s="1477"/>
      <c r="F1101" s="1477"/>
      <c r="G1101" s="1477"/>
      <c r="H1101" s="1477"/>
      <c r="I1101" s="1477"/>
      <c r="J1101" s="1477"/>
      <c r="K1101" s="1477"/>
      <c r="L1101" s="1477"/>
      <c r="M1101" s="1477"/>
      <c r="N1101" s="1966"/>
      <c r="O1101" s="887"/>
    </row>
    <row r="1102" spans="2:15" ht="15" customHeight="1">
      <c r="B1102" s="1287"/>
      <c r="C1102" s="1972" t="s">
        <v>1902</v>
      </c>
      <c r="D1102" s="1477"/>
      <c r="E1102" s="1477"/>
      <c r="F1102" s="1477"/>
      <c r="G1102" s="1477"/>
      <c r="H1102" s="1477"/>
      <c r="I1102" s="1477"/>
      <c r="J1102" s="1477"/>
      <c r="K1102" s="1477"/>
      <c r="L1102" s="1477"/>
      <c r="M1102" s="1477"/>
      <c r="N1102" s="1966"/>
      <c r="O1102" s="887"/>
    </row>
    <row r="1103" spans="2:15" ht="15" customHeight="1">
      <c r="B1103" s="1287"/>
      <c r="C1103" s="1477"/>
      <c r="D1103" s="1477"/>
      <c r="E1103" s="1477"/>
      <c r="F1103" s="1477"/>
      <c r="G1103" s="1477"/>
      <c r="H1103" s="1477"/>
      <c r="I1103" s="1477"/>
      <c r="J1103" s="1477"/>
      <c r="K1103" s="1477"/>
      <c r="L1103" s="1477"/>
      <c r="M1103" s="2868" t="s">
        <v>750</v>
      </c>
      <c r="N1103" s="1966"/>
      <c r="O1103" s="887"/>
    </row>
    <row r="1104" spans="2:15" ht="15" customHeight="1">
      <c r="B1104" s="1287"/>
      <c r="C1104" s="1950" t="s">
        <v>917</v>
      </c>
      <c r="D1104" s="1951"/>
      <c r="E1104" s="1950"/>
      <c r="F1104" s="1952">
        <v>2018</v>
      </c>
      <c r="G1104" s="1952">
        <v>2020</v>
      </c>
      <c r="H1104" s="1952">
        <v>2025</v>
      </c>
      <c r="I1104" s="1952">
        <v>2030</v>
      </c>
      <c r="J1104" s="1952">
        <v>2035</v>
      </c>
      <c r="K1104" s="1952">
        <v>2040</v>
      </c>
      <c r="L1104" s="1952">
        <v>2045</v>
      </c>
      <c r="M1104" s="1952">
        <v>2050</v>
      </c>
      <c r="N1104" s="1966"/>
      <c r="O1104" s="887"/>
    </row>
    <row r="1105" spans="2:15" ht="15" customHeight="1">
      <c r="B1105" s="1287"/>
      <c r="C1105" s="1287"/>
      <c r="D1105" s="1554" t="s">
        <v>504</v>
      </c>
      <c r="E1105" s="1554"/>
      <c r="F1105" s="1953" cm="1">
        <f t="array" ref="F1105:M1105">E458*(1+(CHOOSE(L8,E89:L89,E100:L100,E111:L111,E122:L122)))</f>
        <v>0</v>
      </c>
      <c r="G1105" s="1953">
        <v>0</v>
      </c>
      <c r="H1105" s="1953">
        <v>0</v>
      </c>
      <c r="I1105" s="1953">
        <v>0</v>
      </c>
      <c r="J1105" s="1953">
        <v>0</v>
      </c>
      <c r="K1105" s="1953">
        <v>0</v>
      </c>
      <c r="L1105" s="1953">
        <v>0</v>
      </c>
      <c r="M1105" s="1953">
        <v>0</v>
      </c>
      <c r="N1105" s="1966"/>
      <c r="O1105" s="887"/>
    </row>
    <row r="1106" spans="2:15" ht="15" customHeight="1">
      <c r="B1106" s="1287"/>
      <c r="C1106" s="1287"/>
      <c r="D1106" s="1287" t="s">
        <v>569</v>
      </c>
      <c r="E1106" s="1287"/>
      <c r="F1106" s="1954" cm="1">
        <f t="array" ref="F1106:M1106">E458*(1+(CHOOSE(L8,E89:L89,E100:L100,E111:L111,E122:L122)))</f>
        <v>0</v>
      </c>
      <c r="G1106" s="1954">
        <v>0</v>
      </c>
      <c r="H1106" s="1954">
        <v>0</v>
      </c>
      <c r="I1106" s="1954">
        <v>0</v>
      </c>
      <c r="J1106" s="1954">
        <v>0</v>
      </c>
      <c r="K1106" s="1954">
        <v>0</v>
      </c>
      <c r="L1106" s="1954">
        <v>0</v>
      </c>
      <c r="M1106" s="1954">
        <v>0</v>
      </c>
      <c r="N1106" s="1966"/>
      <c r="O1106" s="887"/>
    </row>
    <row r="1107" spans="2:15" ht="15" customHeight="1">
      <c r="B1107" s="1287"/>
      <c r="C1107" s="1287"/>
      <c r="D1107" s="1478" t="s">
        <v>513</v>
      </c>
      <c r="E1107" s="1478"/>
      <c r="F1107" s="1961" cm="1">
        <f t="array" ref="F1107:M1107">G458*(1+(CHOOSE(L8,E89:L89,E100:L100,E111:L111,E122:L122)))</f>
        <v>0</v>
      </c>
      <c r="G1107" s="1961">
        <v>0</v>
      </c>
      <c r="H1107" s="1961">
        <v>0</v>
      </c>
      <c r="I1107" s="1961">
        <v>0</v>
      </c>
      <c r="J1107" s="1961">
        <v>0</v>
      </c>
      <c r="K1107" s="1961">
        <v>0</v>
      </c>
      <c r="L1107" s="1961">
        <v>0</v>
      </c>
      <c r="M1107" s="1961">
        <v>0</v>
      </c>
      <c r="N1107" s="1966"/>
      <c r="O1107" s="887"/>
    </row>
    <row r="1108" spans="2:15" ht="15" customHeight="1">
      <c r="B1108" s="1287"/>
      <c r="C1108" s="1287"/>
      <c r="D1108" s="649" t="s">
        <v>338</v>
      </c>
      <c r="E1108" s="1290"/>
      <c r="F1108" s="1978">
        <f>SUM(F1105:F1107)</f>
        <v>0</v>
      </c>
      <c r="G1108" s="1978">
        <f t="shared" ref="G1108:M1108" si="71">SUM(G1105:G1107)</f>
        <v>0</v>
      </c>
      <c r="H1108" s="1978">
        <f t="shared" si="71"/>
        <v>0</v>
      </c>
      <c r="I1108" s="1978">
        <f t="shared" si="71"/>
        <v>0</v>
      </c>
      <c r="J1108" s="1978">
        <f t="shared" si="71"/>
        <v>0</v>
      </c>
      <c r="K1108" s="1978">
        <f t="shared" si="71"/>
        <v>0</v>
      </c>
      <c r="L1108" s="1978">
        <f t="shared" si="71"/>
        <v>0</v>
      </c>
      <c r="M1108" s="1978">
        <f t="shared" si="71"/>
        <v>0</v>
      </c>
      <c r="N1108" s="1966"/>
      <c r="O1108" s="887"/>
    </row>
    <row r="1109" spans="2:15" ht="15" customHeight="1">
      <c r="B1109" s="1287"/>
      <c r="C1109" s="1287"/>
      <c r="D1109" s="609"/>
      <c r="E1109" s="1287"/>
      <c r="F1109" s="1954"/>
      <c r="G1109" s="1954"/>
      <c r="H1109" s="1954"/>
      <c r="I1109" s="1954"/>
      <c r="J1109" s="1954"/>
      <c r="K1109" s="1954"/>
      <c r="L1109" s="1954"/>
      <c r="M1109" s="1954"/>
      <c r="N1109" s="1966"/>
      <c r="O1109" s="887"/>
    </row>
    <row r="1110" spans="2:15" ht="15" customHeight="1">
      <c r="B1110" s="1287"/>
      <c r="C1110" s="1287"/>
      <c r="D1110" s="1287"/>
      <c r="E1110" s="1287"/>
      <c r="F1110" s="1954"/>
      <c r="G1110" s="1954"/>
      <c r="H1110" s="1954"/>
      <c r="I1110" s="1954"/>
      <c r="J1110" s="1954"/>
      <c r="K1110" s="1954"/>
      <c r="L1110" s="1954"/>
      <c r="M1110" s="2868" t="s">
        <v>750</v>
      </c>
      <c r="N1110" s="1966"/>
      <c r="O1110" s="887"/>
    </row>
    <row r="1111" spans="2:15" ht="15" customHeight="1">
      <c r="B1111" s="1287"/>
      <c r="C1111" s="1950" t="s">
        <v>558</v>
      </c>
      <c r="D1111" s="1951"/>
      <c r="E1111" s="1950"/>
      <c r="F1111" s="1952">
        <v>2018</v>
      </c>
      <c r="G1111" s="1952">
        <v>2020</v>
      </c>
      <c r="H1111" s="1952">
        <v>2025</v>
      </c>
      <c r="I1111" s="1952">
        <v>2030</v>
      </c>
      <c r="J1111" s="1952">
        <v>2035</v>
      </c>
      <c r="K1111" s="1952">
        <v>2040</v>
      </c>
      <c r="L1111" s="1952">
        <v>2045</v>
      </c>
      <c r="M1111" s="1952">
        <v>2050</v>
      </c>
      <c r="N1111" s="1966"/>
      <c r="O1111" s="887"/>
    </row>
    <row r="1112" spans="2:15" ht="15" customHeight="1">
      <c r="B1112" s="1287"/>
      <c r="C1112" s="1287"/>
      <c r="D1112" s="1554" t="s">
        <v>504</v>
      </c>
      <c r="E1112" s="1554"/>
      <c r="F1112" s="1953" cm="1">
        <f t="array" ref="F1112:M1112">E459*(1+(CHOOSE(L8,E90:L90,E101:L101,E112:L112,E123:L123)))</f>
        <v>0</v>
      </c>
      <c r="G1112" s="1953">
        <v>0</v>
      </c>
      <c r="H1112" s="1953">
        <v>0</v>
      </c>
      <c r="I1112" s="1953">
        <v>0</v>
      </c>
      <c r="J1112" s="1953">
        <v>0</v>
      </c>
      <c r="K1112" s="1953">
        <v>0</v>
      </c>
      <c r="L1112" s="1953">
        <v>0</v>
      </c>
      <c r="M1112" s="1953">
        <v>0</v>
      </c>
      <c r="N1112" s="1966"/>
      <c r="O1112" s="887"/>
    </row>
    <row r="1113" spans="2:15" ht="15" customHeight="1">
      <c r="B1113" s="1287"/>
      <c r="C1113" s="1287"/>
      <c r="D1113" s="1287" t="s">
        <v>569</v>
      </c>
      <c r="E1113" s="1287"/>
      <c r="F1113" s="1954" cm="1">
        <f t="array" ref="F1113:M1113">F459*(1+(CHOOSE(L8,E90:L90,E101:L101,E112:L112,E123:L123)))</f>
        <v>0</v>
      </c>
      <c r="G1113" s="1954">
        <v>0</v>
      </c>
      <c r="H1113" s="1954">
        <v>0</v>
      </c>
      <c r="I1113" s="1954">
        <v>0</v>
      </c>
      <c r="J1113" s="1954">
        <v>0</v>
      </c>
      <c r="K1113" s="1954">
        <v>0</v>
      </c>
      <c r="L1113" s="1954">
        <v>0</v>
      </c>
      <c r="M1113" s="1954">
        <v>0</v>
      </c>
      <c r="N1113" s="1966"/>
      <c r="O1113" s="887"/>
    </row>
    <row r="1114" spans="2:15" ht="15" customHeight="1">
      <c r="B1114" s="1287"/>
      <c r="C1114" s="1287"/>
      <c r="D1114" s="1478" t="s">
        <v>513</v>
      </c>
      <c r="E1114" s="1478"/>
      <c r="F1114" s="1961" cm="1">
        <f t="array" ref="F1114:M1114">G459*(1+(CHOOSE(L8,E90:L90,E101:L101,E112:L112,E123:L123)))</f>
        <v>0</v>
      </c>
      <c r="G1114" s="1961">
        <v>0</v>
      </c>
      <c r="H1114" s="1961">
        <v>0</v>
      </c>
      <c r="I1114" s="1961">
        <v>0</v>
      </c>
      <c r="J1114" s="1961">
        <v>0</v>
      </c>
      <c r="K1114" s="1961">
        <v>0</v>
      </c>
      <c r="L1114" s="1961">
        <v>0</v>
      </c>
      <c r="M1114" s="1961">
        <v>0</v>
      </c>
      <c r="N1114" s="1966"/>
      <c r="O1114" s="887"/>
    </row>
    <row r="1115" spans="2:15" ht="15" customHeight="1">
      <c r="B1115" s="1287"/>
      <c r="C1115" s="1287"/>
      <c r="D1115" s="649" t="s">
        <v>338</v>
      </c>
      <c r="E1115" s="1290"/>
      <c r="F1115" s="1979">
        <f>SUM(F1112:F1114)</f>
        <v>0</v>
      </c>
      <c r="G1115" s="1979">
        <f t="shared" ref="G1115:M1115" si="72">SUM(G1112:G1114)</f>
        <v>0</v>
      </c>
      <c r="H1115" s="1979">
        <f t="shared" si="72"/>
        <v>0</v>
      </c>
      <c r="I1115" s="1979">
        <f t="shared" si="72"/>
        <v>0</v>
      </c>
      <c r="J1115" s="1979">
        <f t="shared" si="72"/>
        <v>0</v>
      </c>
      <c r="K1115" s="1979">
        <f t="shared" si="72"/>
        <v>0</v>
      </c>
      <c r="L1115" s="1979">
        <f t="shared" si="72"/>
        <v>0</v>
      </c>
      <c r="M1115" s="1979">
        <f t="shared" si="72"/>
        <v>0</v>
      </c>
      <c r="N1115" s="1966"/>
      <c r="O1115" s="887"/>
    </row>
    <row r="1116" spans="2:15" ht="15" customHeight="1">
      <c r="B1116" s="1287"/>
      <c r="C1116" s="1287"/>
      <c r="D1116" s="1287"/>
      <c r="E1116" s="1287"/>
      <c r="F1116" s="1287"/>
      <c r="G1116" s="1287"/>
      <c r="H1116" s="1287"/>
      <c r="I1116" s="1287"/>
      <c r="J1116" s="1287"/>
      <c r="K1116" s="1287"/>
      <c r="L1116" s="1287"/>
      <c r="M1116" s="1287"/>
      <c r="N1116" s="1966"/>
      <c r="O1116" s="887"/>
    </row>
    <row r="1117" spans="2:15" ht="15" customHeight="1">
      <c r="B1117" s="1287"/>
      <c r="C1117" s="1287"/>
      <c r="D1117" s="1287"/>
      <c r="E1117" s="1287"/>
      <c r="F1117" s="1287"/>
      <c r="G1117" s="1287"/>
      <c r="H1117" s="1287"/>
      <c r="I1117" s="1287"/>
      <c r="J1117" s="1287"/>
      <c r="K1117" s="1287"/>
      <c r="L1117" s="1287"/>
      <c r="M1117" s="2868" t="s">
        <v>750</v>
      </c>
      <c r="N1117" s="1966"/>
      <c r="O1117" s="887"/>
    </row>
    <row r="1118" spans="2:15" ht="15" customHeight="1">
      <c r="B1118" s="1287"/>
      <c r="C1118" s="1950" t="s">
        <v>559</v>
      </c>
      <c r="D1118" s="1951"/>
      <c r="E1118" s="1950"/>
      <c r="F1118" s="1952">
        <v>2018</v>
      </c>
      <c r="G1118" s="1952">
        <v>2020</v>
      </c>
      <c r="H1118" s="1952">
        <v>2025</v>
      </c>
      <c r="I1118" s="1952">
        <v>2030</v>
      </c>
      <c r="J1118" s="1952">
        <v>2035</v>
      </c>
      <c r="K1118" s="1952">
        <v>2040</v>
      </c>
      <c r="L1118" s="1952">
        <v>2045</v>
      </c>
      <c r="M1118" s="1952">
        <v>2050</v>
      </c>
      <c r="N1118" s="1966"/>
      <c r="O1118" s="887"/>
    </row>
    <row r="1119" spans="2:15" ht="15" customHeight="1">
      <c r="B1119" s="1287"/>
      <c r="C1119" s="1287"/>
      <c r="D1119" s="1554" t="s">
        <v>504</v>
      </c>
      <c r="E1119" s="1554"/>
      <c r="F1119" s="1962" cm="1">
        <f t="array" ref="F1119:M1119">E460*(1+(CHOOSE(L8,E91:L91,E102:L102,E113:L113,E124:L124)))</f>
        <v>4.0288950000000002E-3</v>
      </c>
      <c r="G1119" s="1962">
        <v>4.0288950000000002E-3</v>
      </c>
      <c r="H1119" s="1962">
        <v>4.0288950000000002E-3</v>
      </c>
      <c r="I1119" s="1962">
        <v>4.0288950000000002E-3</v>
      </c>
      <c r="J1119" s="1962">
        <v>4.0288950000000002E-3</v>
      </c>
      <c r="K1119" s="1962">
        <v>4.0288950000000002E-3</v>
      </c>
      <c r="L1119" s="1962">
        <v>4.0288950000000002E-3</v>
      </c>
      <c r="M1119" s="1962">
        <v>4.0288950000000002E-3</v>
      </c>
      <c r="N1119" s="1966"/>
      <c r="O1119" s="887"/>
    </row>
    <row r="1120" spans="2:15" ht="15" customHeight="1">
      <c r="B1120" s="1287"/>
      <c r="C1120" s="1287"/>
      <c r="D1120" s="1287" t="s">
        <v>569</v>
      </c>
      <c r="E1120" s="1287"/>
      <c r="F1120" s="1963" cm="1">
        <f t="array" ref="F1120:M1120">F460*(1+(CHOOSE(L8,E91:L91,E102:L102,E113:L113,E124:L124)))</f>
        <v>1.177677E-3</v>
      </c>
      <c r="G1120" s="1963">
        <v>1.177677E-3</v>
      </c>
      <c r="H1120" s="1963">
        <v>1.177677E-3</v>
      </c>
      <c r="I1120" s="1963">
        <v>1.177677E-3</v>
      </c>
      <c r="J1120" s="1963">
        <v>1.177677E-3</v>
      </c>
      <c r="K1120" s="1963">
        <v>1.177677E-3</v>
      </c>
      <c r="L1120" s="1963">
        <v>1.177677E-3</v>
      </c>
      <c r="M1120" s="1963">
        <v>1.177677E-3</v>
      </c>
      <c r="N1120" s="1966"/>
      <c r="O1120" s="887"/>
    </row>
    <row r="1121" spans="2:15" ht="15" customHeight="1">
      <c r="B1121" s="1287"/>
      <c r="C1121" s="1287"/>
      <c r="D1121" s="1478" t="s">
        <v>513</v>
      </c>
      <c r="E1121" s="1478"/>
      <c r="F1121" s="1964" cm="1">
        <f t="array" ref="F1121:M1121">G460*(1+(CHOOSE(L8,E91:L91,E102:L102,E113:L113,E124:L124)))</f>
        <v>9.917280000000001E-4</v>
      </c>
      <c r="G1121" s="1964">
        <v>9.917280000000001E-4</v>
      </c>
      <c r="H1121" s="1964">
        <v>9.917280000000001E-4</v>
      </c>
      <c r="I1121" s="1964">
        <v>9.917280000000001E-4</v>
      </c>
      <c r="J1121" s="1964">
        <v>9.917280000000001E-4</v>
      </c>
      <c r="K1121" s="1964">
        <v>9.917280000000001E-4</v>
      </c>
      <c r="L1121" s="1964">
        <v>9.917280000000001E-4</v>
      </c>
      <c r="M1121" s="1964">
        <v>9.917280000000001E-4</v>
      </c>
      <c r="N1121" s="1966"/>
      <c r="O1121" s="887"/>
    </row>
    <row r="1122" spans="2:15" ht="15" customHeight="1">
      <c r="B1122" s="1287"/>
      <c r="C1122" s="1287"/>
      <c r="D1122" s="649" t="s">
        <v>338</v>
      </c>
      <c r="E1122" s="1290"/>
      <c r="F1122" s="1978">
        <f>SUM(F1119:F1121)</f>
        <v>6.1983000000000003E-3</v>
      </c>
      <c r="G1122" s="1978">
        <f t="shared" ref="G1122:M1122" si="73">SUM(G1119:G1121)</f>
        <v>6.1983000000000003E-3</v>
      </c>
      <c r="H1122" s="1978">
        <f t="shared" si="73"/>
        <v>6.1983000000000003E-3</v>
      </c>
      <c r="I1122" s="1978">
        <f t="shared" si="73"/>
        <v>6.1983000000000003E-3</v>
      </c>
      <c r="J1122" s="1978">
        <f t="shared" si="73"/>
        <v>6.1983000000000003E-3</v>
      </c>
      <c r="K1122" s="1978">
        <f t="shared" si="73"/>
        <v>6.1983000000000003E-3</v>
      </c>
      <c r="L1122" s="1978">
        <f t="shared" si="73"/>
        <v>6.1983000000000003E-3</v>
      </c>
      <c r="M1122" s="1978">
        <f t="shared" si="73"/>
        <v>6.1983000000000003E-3</v>
      </c>
      <c r="N1122" s="1966"/>
      <c r="O1122" s="887"/>
    </row>
    <row r="1123" spans="2:15" ht="15" customHeight="1">
      <c r="B1123" s="1287"/>
      <c r="C1123" s="1287"/>
      <c r="D1123" s="609"/>
      <c r="E1123" s="1287"/>
      <c r="F1123" s="2867"/>
      <c r="G1123" s="2867"/>
      <c r="H1123" s="2867"/>
      <c r="I1123" s="2867"/>
      <c r="J1123" s="2867"/>
      <c r="K1123" s="2867"/>
      <c r="L1123" s="2867"/>
      <c r="M1123" s="1287"/>
      <c r="N1123" s="1966"/>
      <c r="O1123" s="887"/>
    </row>
    <row r="1124" spans="2:15" ht="15" customHeight="1">
      <c r="B1124" s="1287"/>
      <c r="C1124" s="1287"/>
      <c r="D1124" s="609"/>
      <c r="E1124" s="1287"/>
      <c r="F1124" s="2867"/>
      <c r="G1124" s="2867"/>
      <c r="H1124" s="2867"/>
      <c r="I1124" s="2867"/>
      <c r="J1124" s="2867"/>
      <c r="K1124" s="2867"/>
      <c r="L1124" s="2867"/>
      <c r="M1124" s="2868" t="s">
        <v>750</v>
      </c>
      <c r="N1124" s="1966"/>
      <c r="O1124" s="887"/>
    </row>
    <row r="1125" spans="2:15" ht="15" customHeight="1">
      <c r="B1125" s="1287"/>
      <c r="C1125" s="1950" t="s">
        <v>1899</v>
      </c>
      <c r="D1125" s="1951"/>
      <c r="E1125" s="1950"/>
      <c r="F1125" s="1952">
        <v>2018</v>
      </c>
      <c r="G1125" s="1952">
        <v>2020</v>
      </c>
      <c r="H1125" s="1952">
        <v>2025</v>
      </c>
      <c r="I1125" s="1952">
        <v>2030</v>
      </c>
      <c r="J1125" s="1952">
        <v>2035</v>
      </c>
      <c r="K1125" s="1952">
        <v>2040</v>
      </c>
      <c r="L1125" s="1952">
        <v>2045</v>
      </c>
      <c r="M1125" s="1952">
        <v>2050</v>
      </c>
      <c r="N1125" s="1966"/>
      <c r="O1125" s="887"/>
    </row>
    <row r="1126" spans="2:15" ht="15" customHeight="1">
      <c r="B1126" s="1287"/>
      <c r="C1126" s="1287"/>
      <c r="D1126" s="1554" t="s">
        <v>504</v>
      </c>
      <c r="E1126" s="1554"/>
      <c r="F1126" s="1953" cm="1">
        <f t="array" ref="F1126:M1126">E461*(1+(CHOOSE(L8,E92:L92,E103:L103,E114:L114,E125:L125)))</f>
        <v>0</v>
      </c>
      <c r="G1126" s="1953">
        <v>0</v>
      </c>
      <c r="H1126" s="1953">
        <v>0</v>
      </c>
      <c r="I1126" s="1953">
        <v>0</v>
      </c>
      <c r="J1126" s="1953">
        <v>0</v>
      </c>
      <c r="K1126" s="1953">
        <v>0</v>
      </c>
      <c r="L1126" s="1953">
        <v>0</v>
      </c>
      <c r="M1126" s="1953">
        <v>0</v>
      </c>
      <c r="N1126" s="1966"/>
      <c r="O1126" s="887"/>
    </row>
    <row r="1127" spans="2:15" ht="15" customHeight="1">
      <c r="B1127" s="1287"/>
      <c r="C1127" s="1287"/>
      <c r="D1127" s="1287" t="s">
        <v>569</v>
      </c>
      <c r="E1127" s="1287"/>
      <c r="F1127" s="1954" cm="1">
        <f t="array" ref="F1127:M1127">F461*(1+(CHOOSE(L8,E92:L92,E103:L103,E114:L114,E125:L125)))</f>
        <v>0</v>
      </c>
      <c r="G1127" s="1954">
        <v>0</v>
      </c>
      <c r="H1127" s="1954">
        <v>0</v>
      </c>
      <c r="I1127" s="1954">
        <v>0</v>
      </c>
      <c r="J1127" s="1954">
        <v>0</v>
      </c>
      <c r="K1127" s="1954">
        <v>0</v>
      </c>
      <c r="L1127" s="1954">
        <v>0</v>
      </c>
      <c r="M1127" s="1954">
        <v>0</v>
      </c>
      <c r="N1127" s="1966"/>
      <c r="O1127" s="887"/>
    </row>
    <row r="1128" spans="2:15" ht="15" customHeight="1">
      <c r="B1128" s="1287"/>
      <c r="C1128" s="1287"/>
      <c r="D1128" s="1478" t="s">
        <v>513</v>
      </c>
      <c r="E1128" s="1478"/>
      <c r="F1128" s="1961" cm="1">
        <f t="array" ref="F1128:M1128">G461*(1+(CHOOSE(L8,E92:L92,E103:L103,E114:L114,E125:L125)))</f>
        <v>0</v>
      </c>
      <c r="G1128" s="1961">
        <v>0</v>
      </c>
      <c r="H1128" s="1961">
        <v>0</v>
      </c>
      <c r="I1128" s="1961">
        <v>0</v>
      </c>
      <c r="J1128" s="1961">
        <v>0</v>
      </c>
      <c r="K1128" s="1961">
        <v>0</v>
      </c>
      <c r="L1128" s="1961">
        <v>0</v>
      </c>
      <c r="M1128" s="1961">
        <v>0</v>
      </c>
      <c r="N1128" s="1966"/>
      <c r="O1128" s="887"/>
    </row>
    <row r="1129" spans="2:15" ht="15" customHeight="1">
      <c r="B1129" s="1287"/>
      <c r="C1129" s="1287"/>
      <c r="D1129" s="649" t="s">
        <v>338</v>
      </c>
      <c r="E1129" s="1290"/>
      <c r="F1129" s="1978">
        <f>SUM(F1126:F1128)</f>
        <v>0</v>
      </c>
      <c r="G1129" s="1978">
        <f t="shared" ref="G1129:M1129" si="74">SUM(G1126:G1128)</f>
        <v>0</v>
      </c>
      <c r="H1129" s="1978">
        <f t="shared" si="74"/>
        <v>0</v>
      </c>
      <c r="I1129" s="1978">
        <f t="shared" si="74"/>
        <v>0</v>
      </c>
      <c r="J1129" s="1978">
        <f t="shared" si="74"/>
        <v>0</v>
      </c>
      <c r="K1129" s="1978">
        <f t="shared" si="74"/>
        <v>0</v>
      </c>
      <c r="L1129" s="1978">
        <f t="shared" si="74"/>
        <v>0</v>
      </c>
      <c r="M1129" s="1978">
        <f t="shared" si="74"/>
        <v>0</v>
      </c>
      <c r="N1129" s="1966"/>
      <c r="O1129" s="887"/>
    </row>
    <row r="1130" spans="2:15" ht="15" customHeight="1">
      <c r="B1130" s="1287"/>
      <c r="C1130" s="1287"/>
      <c r="D1130" s="609"/>
      <c r="E1130" s="1287"/>
      <c r="F1130" s="2867"/>
      <c r="G1130" s="2867"/>
      <c r="H1130" s="2867"/>
      <c r="I1130" s="2867"/>
      <c r="J1130" s="2867"/>
      <c r="K1130" s="2867"/>
      <c r="L1130" s="2867"/>
      <c r="M1130" s="1287"/>
      <c r="N1130" s="1966"/>
      <c r="O1130" s="887"/>
    </row>
    <row r="1131" spans="2:15" ht="15" customHeight="1">
      <c r="B1131" s="1287"/>
      <c r="C1131" s="1287"/>
      <c r="D1131" s="609"/>
      <c r="E1131" s="1287"/>
      <c r="F1131" s="2867"/>
      <c r="G1131" s="2867"/>
      <c r="H1131" s="2867"/>
      <c r="I1131" s="2867"/>
      <c r="J1131" s="2867"/>
      <c r="K1131" s="2867"/>
      <c r="L1131" s="2867"/>
      <c r="M1131" s="2868" t="s">
        <v>750</v>
      </c>
      <c r="N1131" s="1966"/>
      <c r="O1131" s="887"/>
    </row>
    <row r="1132" spans="2:15" ht="15" customHeight="1">
      <c r="B1132" s="1287"/>
      <c r="C1132" s="1950" t="s">
        <v>1900</v>
      </c>
      <c r="D1132" s="1951"/>
      <c r="E1132" s="1950"/>
      <c r="F1132" s="1952">
        <v>2018</v>
      </c>
      <c r="G1132" s="1952">
        <v>2020</v>
      </c>
      <c r="H1132" s="1952">
        <v>2025</v>
      </c>
      <c r="I1132" s="1952">
        <v>2030</v>
      </c>
      <c r="J1132" s="1952">
        <v>2035</v>
      </c>
      <c r="K1132" s="1952">
        <v>2040</v>
      </c>
      <c r="L1132" s="1952">
        <v>2045</v>
      </c>
      <c r="M1132" s="1952">
        <v>2050</v>
      </c>
      <c r="N1132" s="1966"/>
      <c r="O1132" s="887"/>
    </row>
    <row r="1133" spans="2:15" ht="15" customHeight="1">
      <c r="B1133" s="1287"/>
      <c r="C1133" s="1287"/>
      <c r="D1133" s="1554" t="s">
        <v>504</v>
      </c>
      <c r="E1133" s="1554"/>
      <c r="F1133" s="1962" cm="1">
        <f t="array" ref="F1133:M1133">E462*(1+(CHOOSE(L8,E93:L93,E104:L104,E115:L115,E126:L126)))</f>
        <v>1.2944165000000004E-2</v>
      </c>
      <c r="G1133" s="1962">
        <v>1.2944165000000004E-2</v>
      </c>
      <c r="H1133" s="1962">
        <v>1.2944165000000004E-2</v>
      </c>
      <c r="I1133" s="1962">
        <v>1.2944165000000004E-2</v>
      </c>
      <c r="J1133" s="1962">
        <v>1.2944165000000004E-2</v>
      </c>
      <c r="K1133" s="1962">
        <v>1.2944165000000004E-2</v>
      </c>
      <c r="L1133" s="1962">
        <v>1.2944165000000004E-2</v>
      </c>
      <c r="M1133" s="1962">
        <v>1.2944165000000004E-2</v>
      </c>
      <c r="N1133" s="1966"/>
      <c r="O1133" s="887"/>
    </row>
    <row r="1134" spans="2:15" ht="15" customHeight="1">
      <c r="B1134" s="1287"/>
      <c r="C1134" s="1287"/>
      <c r="D1134" s="1287" t="s">
        <v>569</v>
      </c>
      <c r="E1134" s="1287"/>
      <c r="F1134" s="1963" cm="1">
        <f t="array" ref="F1134:M1134">F462*(1+(CHOOSE(L8,E93:L93,E104:L104,E115:L115,E126:L126)))</f>
        <v>3.7836790000000007E-3</v>
      </c>
      <c r="G1134" s="1963">
        <v>3.7836790000000007E-3</v>
      </c>
      <c r="H1134" s="1963">
        <v>3.7836790000000007E-3</v>
      </c>
      <c r="I1134" s="1963">
        <v>3.7836790000000007E-3</v>
      </c>
      <c r="J1134" s="1963">
        <v>3.7836790000000007E-3</v>
      </c>
      <c r="K1134" s="1963">
        <v>3.7836790000000007E-3</v>
      </c>
      <c r="L1134" s="1963">
        <v>3.7836790000000007E-3</v>
      </c>
      <c r="M1134" s="1963">
        <v>3.7836790000000007E-3</v>
      </c>
      <c r="N1134" s="1966"/>
      <c r="O1134" s="887"/>
    </row>
    <row r="1135" spans="2:15" ht="15" customHeight="1">
      <c r="B1135" s="1287"/>
      <c r="C1135" s="1287"/>
      <c r="D1135" s="1478" t="s">
        <v>513</v>
      </c>
      <c r="E1135" s="1478"/>
      <c r="F1135" s="1964" cm="1">
        <f t="array" ref="F1135:M1135">G462*(1+(CHOOSE(L8,E93:L93,E104:L104,E115:L115,E126:L126)))</f>
        <v>3.1862560000000002E-3</v>
      </c>
      <c r="G1135" s="1964">
        <v>3.1862560000000002E-3</v>
      </c>
      <c r="H1135" s="1964">
        <v>3.1862560000000002E-3</v>
      </c>
      <c r="I1135" s="1964">
        <v>3.1862560000000002E-3</v>
      </c>
      <c r="J1135" s="1964">
        <v>3.1862560000000002E-3</v>
      </c>
      <c r="K1135" s="1964">
        <v>3.1862560000000002E-3</v>
      </c>
      <c r="L1135" s="1964">
        <v>3.1862560000000002E-3</v>
      </c>
      <c r="M1135" s="1964">
        <v>3.1862560000000002E-3</v>
      </c>
      <c r="N1135" s="1966"/>
      <c r="O1135" s="887"/>
    </row>
    <row r="1136" spans="2:15" ht="15" customHeight="1">
      <c r="B1136" s="1287"/>
      <c r="C1136" s="1287"/>
      <c r="D1136" s="649" t="s">
        <v>338</v>
      </c>
      <c r="E1136" s="1290"/>
      <c r="F1136" s="1978">
        <f>SUM(F1133:F1135)</f>
        <v>1.9914100000000004E-2</v>
      </c>
      <c r="G1136" s="1978">
        <f t="shared" ref="G1136:M1136" si="75">SUM(G1133:G1135)</f>
        <v>1.9914100000000004E-2</v>
      </c>
      <c r="H1136" s="1978">
        <f t="shared" si="75"/>
        <v>1.9914100000000004E-2</v>
      </c>
      <c r="I1136" s="1978">
        <f t="shared" si="75"/>
        <v>1.9914100000000004E-2</v>
      </c>
      <c r="J1136" s="1978">
        <f t="shared" si="75"/>
        <v>1.9914100000000004E-2</v>
      </c>
      <c r="K1136" s="1978">
        <f t="shared" si="75"/>
        <v>1.9914100000000004E-2</v>
      </c>
      <c r="L1136" s="1978">
        <f t="shared" si="75"/>
        <v>1.9914100000000004E-2</v>
      </c>
      <c r="M1136" s="1978">
        <f t="shared" si="75"/>
        <v>1.9914100000000004E-2</v>
      </c>
      <c r="N1136" s="1966"/>
      <c r="O1136" s="887"/>
    </row>
    <row r="1137" spans="2:15" ht="15" customHeight="1">
      <c r="B1137" s="1287"/>
      <c r="C1137" s="1287"/>
      <c r="D1137" s="609"/>
      <c r="E1137" s="1287"/>
      <c r="F1137" s="2867"/>
      <c r="G1137" s="2867"/>
      <c r="H1137" s="2867"/>
      <c r="I1137" s="2867"/>
      <c r="J1137" s="2867"/>
      <c r="K1137" s="2867"/>
      <c r="L1137" s="2867"/>
      <c r="M1137" s="1287"/>
      <c r="N1137" s="1966"/>
      <c r="O1137" s="887"/>
    </row>
    <row r="1138" spans="2:15" ht="15" customHeight="1">
      <c r="B1138" s="1287"/>
      <c r="C1138" s="1287"/>
      <c r="D1138" s="609"/>
      <c r="E1138" s="1287"/>
      <c r="F1138" s="2867"/>
      <c r="G1138" s="2867"/>
      <c r="H1138" s="2867"/>
      <c r="I1138" s="2867"/>
      <c r="J1138" s="2867"/>
      <c r="K1138" s="2867"/>
      <c r="L1138" s="2867"/>
      <c r="M1138" s="2868" t="s">
        <v>750</v>
      </c>
      <c r="N1138" s="1966"/>
      <c r="O1138" s="887"/>
    </row>
    <row r="1139" spans="2:15" ht="15" customHeight="1">
      <c r="B1139" s="1287"/>
      <c r="C1139" s="1950" t="s">
        <v>562</v>
      </c>
      <c r="D1139" s="1951"/>
      <c r="E1139" s="1950"/>
      <c r="F1139" s="1952">
        <v>2018</v>
      </c>
      <c r="G1139" s="1952">
        <v>2020</v>
      </c>
      <c r="H1139" s="1952">
        <v>2025</v>
      </c>
      <c r="I1139" s="1952">
        <v>2030</v>
      </c>
      <c r="J1139" s="1952">
        <v>2035</v>
      </c>
      <c r="K1139" s="1952">
        <v>2040</v>
      </c>
      <c r="L1139" s="1952">
        <v>2045</v>
      </c>
      <c r="M1139" s="1952">
        <v>2050</v>
      </c>
      <c r="N1139" s="1649"/>
      <c r="O1139" s="887"/>
    </row>
    <row r="1140" spans="2:15" ht="15" customHeight="1">
      <c r="B1140" s="1287"/>
      <c r="C1140" s="1287"/>
      <c r="D1140" s="1554" t="s">
        <v>504</v>
      </c>
      <c r="E1140" s="1554"/>
      <c r="F1140" s="1962" cm="1">
        <f t="array" ref="F1140:M1140">E463*(1+(CHOOSE(L8,E94:L94,E105:L105,E116:L116,E127:L127)))</f>
        <v>2.3958999999999999E-3</v>
      </c>
      <c r="G1140" s="1962">
        <v>2.3958999999999999E-3</v>
      </c>
      <c r="H1140" s="1962">
        <v>2.3958999999999999E-3</v>
      </c>
      <c r="I1140" s="1962">
        <v>2.3958999999999999E-3</v>
      </c>
      <c r="J1140" s="1962">
        <v>2.3958999999999999E-3</v>
      </c>
      <c r="K1140" s="1962">
        <v>2.3958999999999999E-3</v>
      </c>
      <c r="L1140" s="1962">
        <v>2.3958999999999999E-3</v>
      </c>
      <c r="M1140" s="1962">
        <v>2.3958999999999999E-3</v>
      </c>
      <c r="N1140" s="1649"/>
      <c r="O1140" s="887"/>
    </row>
    <row r="1141" spans="2:15" ht="15" customHeight="1">
      <c r="B1141" s="1287"/>
      <c r="C1141" s="1287"/>
      <c r="D1141" s="1287" t="s">
        <v>569</v>
      </c>
      <c r="E1141" s="1287"/>
      <c r="F1141" s="1963" cm="1">
        <f t="array" ref="F1141:M1141">F463*(1+(CHOOSE(L8,E94:L94,E105:L105,E116:L116,E127:L127)))</f>
        <v>7.0034000000000003E-4</v>
      </c>
      <c r="G1141" s="1963">
        <v>7.0034000000000003E-4</v>
      </c>
      <c r="H1141" s="1963">
        <v>7.0034000000000003E-4</v>
      </c>
      <c r="I1141" s="1963">
        <v>7.0034000000000003E-4</v>
      </c>
      <c r="J1141" s="1963">
        <v>7.0034000000000003E-4</v>
      </c>
      <c r="K1141" s="1963">
        <v>7.0034000000000003E-4</v>
      </c>
      <c r="L1141" s="1963">
        <v>7.0034000000000003E-4</v>
      </c>
      <c r="M1141" s="1963">
        <v>7.0034000000000003E-4</v>
      </c>
      <c r="N1141" s="1649"/>
      <c r="O1141" s="887"/>
    </row>
    <row r="1142" spans="2:15" ht="15" customHeight="1">
      <c r="B1142" s="1287"/>
      <c r="C1142" s="1287"/>
      <c r="D1142" s="1478" t="s">
        <v>513</v>
      </c>
      <c r="E1142" s="1478"/>
      <c r="F1142" s="1964" cm="1">
        <f t="array" ref="F1142:M1142">G463*(1+(CHOOSE(L8,E94:L94,E105:L105,E116:L116,E127:L127)))</f>
        <v>5.8976000000000005E-4</v>
      </c>
      <c r="G1142" s="1964">
        <v>5.8976000000000005E-4</v>
      </c>
      <c r="H1142" s="1964">
        <v>5.8976000000000005E-4</v>
      </c>
      <c r="I1142" s="1964">
        <v>5.8976000000000005E-4</v>
      </c>
      <c r="J1142" s="1964">
        <v>5.8976000000000005E-4</v>
      </c>
      <c r="K1142" s="1964">
        <v>5.8976000000000005E-4</v>
      </c>
      <c r="L1142" s="1964">
        <v>5.8976000000000005E-4</v>
      </c>
      <c r="M1142" s="1964">
        <v>5.8976000000000005E-4</v>
      </c>
      <c r="N1142" s="1649"/>
      <c r="O1142" s="887"/>
    </row>
    <row r="1143" spans="2:15" ht="15" customHeight="1">
      <c r="B1143" s="1287"/>
      <c r="C1143" s="1287"/>
      <c r="D1143" s="649" t="s">
        <v>338</v>
      </c>
      <c r="E1143" s="1290"/>
      <c r="F1143" s="1978">
        <f>SUM(F1140:F1142)</f>
        <v>3.686E-3</v>
      </c>
      <c r="G1143" s="1978">
        <f t="shared" ref="G1143:M1143" si="76">SUM(G1140:G1142)</f>
        <v>3.686E-3</v>
      </c>
      <c r="H1143" s="1978">
        <f t="shared" si="76"/>
        <v>3.686E-3</v>
      </c>
      <c r="I1143" s="1978">
        <f t="shared" si="76"/>
        <v>3.686E-3</v>
      </c>
      <c r="J1143" s="1978">
        <f t="shared" si="76"/>
        <v>3.686E-3</v>
      </c>
      <c r="K1143" s="1978">
        <f t="shared" si="76"/>
        <v>3.686E-3</v>
      </c>
      <c r="L1143" s="1978">
        <f t="shared" si="76"/>
        <v>3.686E-3</v>
      </c>
      <c r="M1143" s="1978">
        <f t="shared" si="76"/>
        <v>3.686E-3</v>
      </c>
      <c r="N1143" s="1649"/>
      <c r="O1143" s="887"/>
    </row>
    <row r="1144" spans="2:15" ht="15" customHeight="1">
      <c r="B1144" s="1287"/>
      <c r="C1144" s="1287"/>
      <c r="D1144" s="609"/>
      <c r="E1144" s="1287"/>
      <c r="F1144" s="2867"/>
      <c r="G1144" s="2867"/>
      <c r="H1144" s="2867"/>
      <c r="I1144" s="2867"/>
      <c r="J1144" s="2867"/>
      <c r="K1144" s="2867"/>
      <c r="L1144" s="2867"/>
      <c r="M1144" s="1287"/>
      <c r="N1144" s="1649"/>
      <c r="O1144" s="887"/>
    </row>
    <row r="1145" spans="2:15" ht="15" customHeight="1">
      <c r="B1145" s="1287"/>
      <c r="C1145" s="1287"/>
      <c r="D1145" s="609"/>
      <c r="E1145" s="1287"/>
      <c r="F1145" s="2867"/>
      <c r="G1145" s="2867"/>
      <c r="H1145" s="2867"/>
      <c r="I1145" s="2867"/>
      <c r="J1145" s="2867"/>
      <c r="K1145" s="2867"/>
      <c r="L1145" s="2867"/>
      <c r="M1145" s="2868" t="s">
        <v>750</v>
      </c>
      <c r="N1145" s="1649"/>
      <c r="O1145" s="887"/>
    </row>
    <row r="1146" spans="2:15" ht="15" customHeight="1">
      <c r="B1146" s="1287"/>
      <c r="C1146" s="1950" t="s">
        <v>563</v>
      </c>
      <c r="D1146" s="1951"/>
      <c r="E1146" s="1950"/>
      <c r="F1146" s="1952">
        <v>2018</v>
      </c>
      <c r="G1146" s="1952">
        <v>2020</v>
      </c>
      <c r="H1146" s="1952">
        <v>2025</v>
      </c>
      <c r="I1146" s="1952">
        <v>2030</v>
      </c>
      <c r="J1146" s="1952">
        <v>2035</v>
      </c>
      <c r="K1146" s="1952">
        <v>2040</v>
      </c>
      <c r="L1146" s="1952">
        <v>2045</v>
      </c>
      <c r="M1146" s="1952">
        <v>2050</v>
      </c>
      <c r="N1146" s="1649"/>
      <c r="O1146" s="887"/>
    </row>
    <row r="1147" spans="2:15" ht="15" customHeight="1">
      <c r="B1147" s="1287"/>
      <c r="C1147" s="1287"/>
      <c r="D1147" s="1554" t="s">
        <v>504</v>
      </c>
      <c r="E1147" s="1554"/>
      <c r="F1147" s="1953" cm="1">
        <f t="array" ref="F1147:M1147">G464*(1+(CHOOSE(L14,E134:L134,E135:L135,E136:L136,E137:L137)))</f>
        <v>0</v>
      </c>
      <c r="G1147" s="1953">
        <v>0</v>
      </c>
      <c r="H1147" s="1953">
        <v>0</v>
      </c>
      <c r="I1147" s="1953">
        <v>0</v>
      </c>
      <c r="J1147" s="1953">
        <v>0</v>
      </c>
      <c r="K1147" s="1953">
        <v>0</v>
      </c>
      <c r="L1147" s="1953">
        <v>0</v>
      </c>
      <c r="M1147" s="1953">
        <v>0</v>
      </c>
      <c r="N1147" s="1649"/>
      <c r="O1147" s="887"/>
    </row>
    <row r="1148" spans="2:15" ht="15" customHeight="1">
      <c r="B1148" s="1287"/>
      <c r="C1148" s="1287"/>
      <c r="D1148" s="1287" t="s">
        <v>569</v>
      </c>
      <c r="E1148" s="1287"/>
      <c r="F1148" s="1954" cm="1">
        <f t="array" ref="F1148:M1148">F464*(1+(CHOOSE(L14,E134:L134,E135:L135,E136:L136,E137:L137)))</f>
        <v>0</v>
      </c>
      <c r="G1148" s="1954">
        <v>0</v>
      </c>
      <c r="H1148" s="1954">
        <v>0</v>
      </c>
      <c r="I1148" s="1954">
        <v>0</v>
      </c>
      <c r="J1148" s="1954">
        <v>0</v>
      </c>
      <c r="K1148" s="1954">
        <v>0</v>
      </c>
      <c r="L1148" s="1954">
        <v>0</v>
      </c>
      <c r="M1148" s="1954">
        <v>0</v>
      </c>
      <c r="N1148" s="1649"/>
      <c r="O1148" s="887"/>
    </row>
    <row r="1149" spans="2:15" ht="15" customHeight="1">
      <c r="B1149" s="1287"/>
      <c r="C1149" s="1287"/>
      <c r="D1149" s="1478" t="s">
        <v>513</v>
      </c>
      <c r="E1149" s="1478"/>
      <c r="F1149" s="1961" cm="1">
        <f t="array" ref="F1149:M1149">E464*(1+(CHOOSE(L14,E134:L134,E135:L135,E136:L136,E137:L137)))</f>
        <v>0</v>
      </c>
      <c r="G1149" s="1961">
        <v>0</v>
      </c>
      <c r="H1149" s="1961">
        <v>0</v>
      </c>
      <c r="I1149" s="1961">
        <v>0</v>
      </c>
      <c r="J1149" s="1961">
        <v>0</v>
      </c>
      <c r="K1149" s="1961">
        <v>0</v>
      </c>
      <c r="L1149" s="1961">
        <v>0</v>
      </c>
      <c r="M1149" s="1961">
        <v>0</v>
      </c>
      <c r="N1149" s="1649"/>
      <c r="O1149" s="887"/>
    </row>
    <row r="1150" spans="2:15" ht="15" customHeight="1">
      <c r="B1150" s="1287"/>
      <c r="C1150" s="1287"/>
      <c r="D1150" s="1980" t="s">
        <v>338</v>
      </c>
      <c r="E1150" s="1478"/>
      <c r="F1150" s="1961">
        <f>SUM(F1147:F1149)</f>
        <v>0</v>
      </c>
      <c r="G1150" s="1961">
        <f>SUM(G1147:G1149)</f>
        <v>0</v>
      </c>
      <c r="H1150" s="1961">
        <f>SUM(H1147:H1149)</f>
        <v>0</v>
      </c>
      <c r="I1150" s="1961">
        <f t="shared" ref="I1150:M1150" si="77">SUM(I1147:I1149)</f>
        <v>0</v>
      </c>
      <c r="J1150" s="1961">
        <f>SUM(J1147:J1149)</f>
        <v>0</v>
      </c>
      <c r="K1150" s="1961">
        <f>SUM(K1147:K1149)</f>
        <v>0</v>
      </c>
      <c r="L1150" s="1961">
        <f>SUM(L1147:L1149)</f>
        <v>0</v>
      </c>
      <c r="M1150" s="1961">
        <f t="shared" si="77"/>
        <v>0</v>
      </c>
      <c r="N1150" s="1649"/>
      <c r="O1150" s="887"/>
    </row>
    <row r="1151" spans="2:15" ht="15" customHeight="1">
      <c r="B1151" s="1287"/>
      <c r="C1151" s="1287"/>
      <c r="D1151" s="609"/>
      <c r="E1151" s="1287"/>
      <c r="F1151" s="2867"/>
      <c r="G1151" s="2867"/>
      <c r="H1151" s="2867"/>
      <c r="I1151" s="2867"/>
      <c r="J1151" s="2867"/>
      <c r="K1151" s="2867"/>
      <c r="L1151" s="2867"/>
      <c r="M1151" s="1287"/>
      <c r="N1151" s="1649"/>
      <c r="O1151" s="887"/>
    </row>
    <row r="1152" spans="2:15" ht="15" customHeight="1">
      <c r="B1152" s="1287"/>
      <c r="C1152" s="1287"/>
      <c r="D1152" s="609"/>
      <c r="E1152" s="1287"/>
      <c r="F1152" s="2867"/>
      <c r="G1152" s="2867"/>
      <c r="H1152" s="2867"/>
      <c r="I1152" s="2867"/>
      <c r="J1152" s="2867"/>
      <c r="K1152" s="2867"/>
      <c r="L1152" s="2867"/>
      <c r="M1152" s="2868" t="s">
        <v>750</v>
      </c>
      <c r="N1152" s="1649"/>
      <c r="O1152" s="887"/>
    </row>
    <row r="1153" spans="2:15" ht="15" customHeight="1">
      <c r="B1153" s="1287"/>
      <c r="C1153" s="1950" t="s">
        <v>564</v>
      </c>
      <c r="D1153" s="1951"/>
      <c r="E1153" s="1950"/>
      <c r="F1153" s="1952">
        <v>2018</v>
      </c>
      <c r="G1153" s="1952">
        <v>2020</v>
      </c>
      <c r="H1153" s="1952">
        <v>2025</v>
      </c>
      <c r="I1153" s="1952">
        <v>2030</v>
      </c>
      <c r="J1153" s="1952">
        <v>2035</v>
      </c>
      <c r="K1153" s="1952">
        <v>2040</v>
      </c>
      <c r="L1153" s="1952">
        <v>2045</v>
      </c>
      <c r="M1153" s="1952">
        <v>2050</v>
      </c>
      <c r="N1153" s="1649"/>
      <c r="O1153" s="887"/>
    </row>
    <row r="1154" spans="2:15" ht="15" customHeight="1">
      <c r="B1154" s="1287"/>
      <c r="C1154" s="1287"/>
      <c r="D1154" s="1554" t="s">
        <v>504</v>
      </c>
      <c r="E1154" s="1554"/>
      <c r="F1154" s="1962" cm="1">
        <f t="array" ref="F1154:M1154">E465*(1+(CHOOSE(L8,E95:L95,E106:L106,E117:L117,E128:L128)))</f>
        <v>2.3832900000000001E-3</v>
      </c>
      <c r="G1154" s="1962">
        <v>2.3832900000000001E-3</v>
      </c>
      <c r="H1154" s="1962">
        <v>2.3832900000000001E-3</v>
      </c>
      <c r="I1154" s="1962">
        <v>2.3832900000000001E-3</v>
      </c>
      <c r="J1154" s="1962">
        <v>2.3832900000000001E-3</v>
      </c>
      <c r="K1154" s="1962">
        <v>2.3832900000000001E-3</v>
      </c>
      <c r="L1154" s="1962">
        <v>2.3832900000000001E-3</v>
      </c>
      <c r="M1154" s="1962">
        <v>2.3832900000000001E-3</v>
      </c>
      <c r="N1154" s="1649"/>
      <c r="O1154" s="887"/>
    </row>
    <row r="1155" spans="2:15" ht="15" customHeight="1">
      <c r="B1155" s="1287"/>
      <c r="C1155" s="1287"/>
      <c r="D1155" s="1287" t="s">
        <v>569</v>
      </c>
      <c r="E1155" s="1287"/>
      <c r="F1155" s="1963" cm="1">
        <f t="array" ref="F1155:M1155">F465*(1+(CHOOSE(L8,E95:L95,E106:L106,E117:L117,E128:L128)))</f>
        <v>6.96654E-4</v>
      </c>
      <c r="G1155" s="1963">
        <v>6.96654E-4</v>
      </c>
      <c r="H1155" s="1963">
        <v>6.96654E-4</v>
      </c>
      <c r="I1155" s="1963">
        <v>6.96654E-4</v>
      </c>
      <c r="J1155" s="1963">
        <v>6.96654E-4</v>
      </c>
      <c r="K1155" s="1963">
        <v>6.96654E-4</v>
      </c>
      <c r="L1155" s="1963">
        <v>6.96654E-4</v>
      </c>
      <c r="M1155" s="1963">
        <v>6.96654E-4</v>
      </c>
      <c r="N1155" s="1649"/>
      <c r="O1155" s="887"/>
    </row>
    <row r="1156" spans="2:15" ht="15" customHeight="1">
      <c r="B1156" s="1287"/>
      <c r="C1156" s="1287"/>
      <c r="D1156" s="1478" t="s">
        <v>513</v>
      </c>
      <c r="E1156" s="1478"/>
      <c r="F1156" s="1964" cm="1">
        <f t="array" ref="F1156:M1156">G465*(1+(CHOOSE(L8,E95:L95,E106:L106,E117:L117,E128:L128)))</f>
        <v>5.8665600000000007E-4</v>
      </c>
      <c r="G1156" s="1964">
        <v>5.8665600000000007E-4</v>
      </c>
      <c r="H1156" s="1964">
        <v>5.8665600000000007E-4</v>
      </c>
      <c r="I1156" s="1964">
        <v>5.8665600000000007E-4</v>
      </c>
      <c r="J1156" s="1964">
        <v>5.8665600000000007E-4</v>
      </c>
      <c r="K1156" s="1964">
        <v>5.8665600000000007E-4</v>
      </c>
      <c r="L1156" s="1964">
        <v>5.8665600000000007E-4</v>
      </c>
      <c r="M1156" s="1964">
        <v>5.8665600000000007E-4</v>
      </c>
      <c r="N1156" s="1649"/>
      <c r="O1156" s="887"/>
    </row>
    <row r="1157" spans="2:15" ht="15" customHeight="1">
      <c r="B1157" s="1287"/>
      <c r="C1157" s="1287"/>
      <c r="D1157" s="1980" t="s">
        <v>338</v>
      </c>
      <c r="E1157" s="1478"/>
      <c r="F1157" s="1961">
        <f>SUM(F1154:F1156)</f>
        <v>3.6666000000000003E-3</v>
      </c>
      <c r="G1157" s="1961">
        <f t="shared" ref="G1157:M1157" si="78">SUM(G1154:G1156)</f>
        <v>3.6666000000000003E-3</v>
      </c>
      <c r="H1157" s="1961">
        <f t="shared" si="78"/>
        <v>3.6666000000000003E-3</v>
      </c>
      <c r="I1157" s="1961">
        <f t="shared" si="78"/>
        <v>3.6666000000000003E-3</v>
      </c>
      <c r="J1157" s="1961">
        <f t="shared" si="78"/>
        <v>3.6666000000000003E-3</v>
      </c>
      <c r="K1157" s="1961">
        <f t="shared" si="78"/>
        <v>3.6666000000000003E-3</v>
      </c>
      <c r="L1157" s="1961">
        <f t="shared" si="78"/>
        <v>3.6666000000000003E-3</v>
      </c>
      <c r="M1157" s="1961">
        <f t="shared" si="78"/>
        <v>3.6666000000000003E-3</v>
      </c>
      <c r="N1157" s="1649"/>
      <c r="O1157" s="887"/>
    </row>
    <row r="1158" spans="2:15" ht="15" customHeight="1">
      <c r="C1158" s="1287"/>
      <c r="D1158" s="609"/>
      <c r="E1158" s="1287"/>
      <c r="F1158" s="2867"/>
      <c r="G1158" s="2867"/>
      <c r="H1158" s="2867"/>
      <c r="I1158" s="2867"/>
      <c r="J1158" s="2867"/>
      <c r="K1158" s="2867"/>
      <c r="L1158" s="2867"/>
      <c r="M1158" s="2867"/>
      <c r="N1158" s="1966"/>
      <c r="O1158" s="887"/>
    </row>
    <row r="1159" spans="2:15" ht="15" customHeight="1">
      <c r="C1159" s="1287"/>
      <c r="D1159" s="609"/>
      <c r="E1159" s="1287"/>
      <c r="F1159" s="2867"/>
      <c r="G1159" s="2867"/>
      <c r="H1159" s="2867"/>
      <c r="I1159" s="2867"/>
      <c r="J1159" s="2867"/>
      <c r="K1159" s="2867"/>
      <c r="L1159" s="2867"/>
      <c r="M1159" s="2867"/>
      <c r="N1159" s="1966"/>
      <c r="O1159" s="887"/>
    </row>
    <row r="1160" spans="2:15" ht="15" customHeight="1">
      <c r="C1160" s="1419" t="s">
        <v>1903</v>
      </c>
      <c r="D1160" s="609"/>
      <c r="E1160" s="1287"/>
      <c r="F1160" s="2867"/>
      <c r="G1160" s="2867"/>
      <c r="H1160" s="2867"/>
      <c r="I1160" s="2867"/>
      <c r="J1160" s="2867"/>
      <c r="K1160" s="2867"/>
      <c r="L1160" s="2867"/>
      <c r="M1160" s="2867"/>
      <c r="N1160" s="1966"/>
      <c r="O1160" s="887"/>
    </row>
    <row r="1161" spans="2:15" ht="15" customHeight="1">
      <c r="C1161" s="1972"/>
      <c r="D1161" s="609"/>
      <c r="E1161" s="1287"/>
      <c r="F1161" s="2867"/>
      <c r="G1161" s="2867"/>
      <c r="H1161" s="2867"/>
      <c r="I1161" s="2867"/>
      <c r="J1161" s="2867"/>
      <c r="K1161" s="2867"/>
      <c r="L1161" s="2867"/>
      <c r="M1161" s="2867"/>
      <c r="N1161" s="1649"/>
      <c r="O1161" s="887"/>
    </row>
    <row r="1162" spans="2:15" ht="15" customHeight="1">
      <c r="C1162" s="1972"/>
      <c r="D1162" s="609"/>
      <c r="E1162" s="1287"/>
      <c r="F1162" s="2867"/>
      <c r="G1162" s="2867"/>
      <c r="H1162" s="2867"/>
      <c r="I1162" s="2867"/>
      <c r="J1162" s="2867"/>
      <c r="K1162" s="2867"/>
      <c r="L1162" s="2867"/>
      <c r="M1162" s="2867"/>
      <c r="N1162" s="1649"/>
      <c r="O1162" s="887"/>
    </row>
    <row r="1163" spans="2:15" ht="15" customHeight="1">
      <c r="C1163" s="1950" t="s">
        <v>917</v>
      </c>
      <c r="D1163" s="1951"/>
      <c r="E1163" s="1950"/>
      <c r="F1163" s="1952">
        <v>2018</v>
      </c>
      <c r="G1163" s="1952">
        <v>2020</v>
      </c>
      <c r="H1163" s="1952">
        <v>2025</v>
      </c>
      <c r="I1163" s="1952">
        <v>2030</v>
      </c>
      <c r="J1163" s="1952">
        <v>2035</v>
      </c>
      <c r="K1163" s="1952">
        <v>2040</v>
      </c>
      <c r="L1163" s="1952">
        <v>2045</v>
      </c>
      <c r="M1163" s="1952">
        <v>2050</v>
      </c>
      <c r="N1163" s="1649"/>
      <c r="O1163" s="887"/>
    </row>
    <row r="1164" spans="2:15" ht="15" customHeight="1">
      <c r="C1164" s="1287"/>
      <c r="D1164" s="1554" t="s">
        <v>504</v>
      </c>
      <c r="E1164" s="1554"/>
      <c r="F1164" s="1958" cm="1">
        <f t="array" ref="F1164:M1164">E445*(1+(CHOOSE(L8,E89:L89,E100:L100,E111:L111,E122:L122)))+E472*(1+(CHOOSE(L8,E89:L89,E100:L100,E111:L111,E122:L122)))</f>
        <v>1.37399724E-3</v>
      </c>
      <c r="G1164" s="1958">
        <v>1.37399724E-3</v>
      </c>
      <c r="H1164" s="1958">
        <v>1.37399724E-3</v>
      </c>
      <c r="I1164" s="1958">
        <v>1.37399724E-3</v>
      </c>
      <c r="J1164" s="1958">
        <v>1.37399724E-3</v>
      </c>
      <c r="K1164" s="1958">
        <v>1.37399724E-3</v>
      </c>
      <c r="L1164" s="1958">
        <v>1.37399724E-3</v>
      </c>
      <c r="M1164" s="1958">
        <v>1.37399724E-3</v>
      </c>
      <c r="N1164" s="1649"/>
      <c r="O1164" s="887"/>
    </row>
    <row r="1165" spans="2:15" ht="15" customHeight="1">
      <c r="C1165" s="1287"/>
      <c r="D1165" s="1287" t="s">
        <v>569</v>
      </c>
      <c r="E1165" s="1287"/>
      <c r="F1165" s="1959" cm="1">
        <f t="array" ref="F1165:M1165">F445*(1+(CHOOSE(L8,E89:L89,E100:L100,E111:L111,E122:L122)))+F472*(1+(CHOOSE(L8,E89:L89,E100:L100,E111:L111,E122:L122)))</f>
        <v>5.4959889599999999E-3</v>
      </c>
      <c r="G1165" s="1959">
        <v>5.4959889599999999E-3</v>
      </c>
      <c r="H1165" s="1959">
        <v>5.4959889599999999E-3</v>
      </c>
      <c r="I1165" s="1959">
        <v>5.4959889599999999E-3</v>
      </c>
      <c r="J1165" s="1959">
        <v>5.4959889599999999E-3</v>
      </c>
      <c r="K1165" s="1959">
        <v>5.4959889599999999E-3</v>
      </c>
      <c r="L1165" s="1959">
        <v>5.4959889599999999E-3</v>
      </c>
      <c r="M1165" s="1959">
        <v>5.4959889599999999E-3</v>
      </c>
      <c r="N1165" s="1649"/>
      <c r="O1165" s="887"/>
    </row>
    <row r="1166" spans="2:15" ht="15" customHeight="1">
      <c r="C1166" s="1287"/>
      <c r="D1166" s="1287" t="s">
        <v>513</v>
      </c>
      <c r="E1166" s="1287"/>
      <c r="F1166" s="1959" cm="1">
        <f t="array" ref="F1166:M1166">G445*(1+(CHOOSE(L8,E89:L89,E100:L100,E111:L111,E122:L122)))+G472*(1+(CHOOSE(L8,E89:L89,E100:L100,E111:L111,E122:L122)))</f>
        <v>1.7312365223999999E-2</v>
      </c>
      <c r="G1166" s="1959">
        <v>1.7312365223999999E-2</v>
      </c>
      <c r="H1166" s="1959">
        <v>1.7312365223999999E-2</v>
      </c>
      <c r="I1166" s="1959">
        <v>1.7312365223999999E-2</v>
      </c>
      <c r="J1166" s="1959">
        <v>1.7312365223999999E-2</v>
      </c>
      <c r="K1166" s="1959">
        <v>1.7312365223999999E-2</v>
      </c>
      <c r="L1166" s="1959">
        <v>1.7312365223999999E-2</v>
      </c>
      <c r="M1166" s="1959">
        <v>1.7312365223999999E-2</v>
      </c>
      <c r="N1166" s="1649"/>
      <c r="O1166" s="887"/>
    </row>
    <row r="1167" spans="2:15" ht="15" customHeight="1">
      <c r="C1167" s="1287"/>
      <c r="D1167" s="1287" t="s">
        <v>1854</v>
      </c>
      <c r="E1167" s="1287"/>
      <c r="F1167" s="1959" cm="1">
        <f t="array" ref="F1167:M1167">H445*(1+(CHOOSE(L8,E89:L89,E100:L100,E111:L111,E122:L122)))</f>
        <v>1.6244302344827577E-3</v>
      </c>
      <c r="G1167" s="1959">
        <v>1.6244302344827577E-3</v>
      </c>
      <c r="H1167" s="1959">
        <v>1.6244302344827577E-3</v>
      </c>
      <c r="I1167" s="1959">
        <v>1.6244302344827577E-3</v>
      </c>
      <c r="J1167" s="1959">
        <v>1.6244302344827577E-3</v>
      </c>
      <c r="K1167" s="1959">
        <v>1.6244302344827577E-3</v>
      </c>
      <c r="L1167" s="1959">
        <v>1.6244302344827577E-3</v>
      </c>
      <c r="M1167" s="1959">
        <v>1.6244302344827577E-3</v>
      </c>
      <c r="N1167" s="1649"/>
      <c r="O1167" s="887"/>
    </row>
    <row r="1168" spans="2:15" ht="15" customHeight="1">
      <c r="C1168" s="1287"/>
      <c r="D1168" s="1287" t="s">
        <v>1860</v>
      </c>
      <c r="E1168" s="1287"/>
      <c r="F1168" s="1959" cm="1">
        <f t="array" ref="F1168:M1168">I445*(1+(CHOOSE(L8,E89:L89,E100:L100,E111:L111,E122:L122)))</f>
        <v>1.2860072689655161E-3</v>
      </c>
      <c r="G1168" s="1959">
        <v>1.2860072689655161E-3</v>
      </c>
      <c r="H1168" s="1959">
        <v>1.2860072689655161E-3</v>
      </c>
      <c r="I1168" s="1959">
        <v>1.2860072689655161E-3</v>
      </c>
      <c r="J1168" s="1959">
        <v>1.2860072689655161E-3</v>
      </c>
      <c r="K1168" s="1959">
        <v>1.2860072689655161E-3</v>
      </c>
      <c r="L1168" s="1959">
        <v>1.2860072689655161E-3</v>
      </c>
      <c r="M1168" s="1959">
        <v>1.2860072689655161E-3</v>
      </c>
      <c r="N1168" s="1649"/>
      <c r="O1168" s="887"/>
    </row>
    <row r="1169" spans="3:15" ht="15" customHeight="1">
      <c r="C1169" s="1287"/>
      <c r="D1169" s="1478" t="s">
        <v>570</v>
      </c>
      <c r="E1169" s="1478"/>
      <c r="F1169" s="1960" cm="1">
        <f t="array" ref="F1169:M1169">J445*(1+(CHOOSE(L8,E89:L89,E100:L100,E111:L111,E122:L122)))</f>
        <v>2.0305377931034471E-4</v>
      </c>
      <c r="G1169" s="1960">
        <v>2.0305377931034471E-4</v>
      </c>
      <c r="H1169" s="1960">
        <v>2.0305377931034471E-4</v>
      </c>
      <c r="I1169" s="1960">
        <v>2.0305377931034471E-4</v>
      </c>
      <c r="J1169" s="1960">
        <v>2.0305377931034471E-4</v>
      </c>
      <c r="K1169" s="1960">
        <v>2.0305377931034471E-4</v>
      </c>
      <c r="L1169" s="1960">
        <v>2.0305377931034471E-4</v>
      </c>
      <c r="M1169" s="1960">
        <v>2.0305377931034471E-4</v>
      </c>
      <c r="N1169" s="1649"/>
      <c r="O1169" s="887"/>
    </row>
    <row r="1170" spans="3:15" ht="15" customHeight="1">
      <c r="C1170" s="1287"/>
      <c r="D1170" s="649" t="s">
        <v>338</v>
      </c>
      <c r="E1170" s="1290"/>
      <c r="F1170" s="1977">
        <f>SUM(F1164:F1169)</f>
        <v>2.7295842706758618E-2</v>
      </c>
      <c r="G1170" s="1977">
        <f t="shared" ref="G1170:M1170" si="79">SUM(G1164:G1169)</f>
        <v>2.7295842706758618E-2</v>
      </c>
      <c r="H1170" s="1977">
        <f t="shared" si="79"/>
        <v>2.7295842706758618E-2</v>
      </c>
      <c r="I1170" s="1977">
        <f t="shared" si="79"/>
        <v>2.7295842706758618E-2</v>
      </c>
      <c r="J1170" s="1977">
        <f t="shared" si="79"/>
        <v>2.7295842706758618E-2</v>
      </c>
      <c r="K1170" s="1977">
        <f t="shared" si="79"/>
        <v>2.7295842706758618E-2</v>
      </c>
      <c r="L1170" s="1977">
        <f t="shared" si="79"/>
        <v>2.7295842706758618E-2</v>
      </c>
      <c r="M1170" s="1977">
        <f t="shared" si="79"/>
        <v>2.7295842706758618E-2</v>
      </c>
      <c r="N1170" s="1649"/>
      <c r="O1170" s="887"/>
    </row>
    <row r="1171" spans="3:15" ht="15" customHeight="1">
      <c r="C1171" s="1287"/>
      <c r="D1171" s="1287"/>
      <c r="E1171" s="1287"/>
      <c r="F1171" s="1959"/>
      <c r="G1171" s="1959"/>
      <c r="H1171" s="1959"/>
      <c r="I1171" s="1959"/>
      <c r="J1171" s="1959"/>
      <c r="K1171" s="1959"/>
      <c r="L1171" s="1959"/>
      <c r="M1171" s="2869" t="s">
        <v>9</v>
      </c>
      <c r="N1171" s="1649"/>
      <c r="O1171" s="887"/>
    </row>
    <row r="1172" spans="3:15" ht="15" customHeight="1">
      <c r="C1172" s="1950" t="s">
        <v>558</v>
      </c>
      <c r="D1172" s="1951"/>
      <c r="E1172" s="1950"/>
      <c r="F1172" s="1952">
        <v>2018</v>
      </c>
      <c r="G1172" s="1952">
        <v>2020</v>
      </c>
      <c r="H1172" s="1952">
        <v>2025</v>
      </c>
      <c r="I1172" s="1952">
        <v>2030</v>
      </c>
      <c r="J1172" s="1952">
        <v>2035</v>
      </c>
      <c r="K1172" s="1952">
        <v>2040</v>
      </c>
      <c r="L1172" s="1952">
        <v>2045</v>
      </c>
      <c r="M1172" s="1952">
        <v>2050</v>
      </c>
      <c r="N1172" s="1649"/>
      <c r="O1172" s="887"/>
    </row>
    <row r="1173" spans="3:15" ht="15" customHeight="1">
      <c r="C1173" s="1287"/>
      <c r="D1173" s="1554" t="s">
        <v>504</v>
      </c>
      <c r="E1173" s="1554"/>
      <c r="F1173" s="1959" cm="1">
        <f t="array" ref="F1173:M1173">E446*(1+(CHOOSE(L8,E90:L90,E101:L101,E112:L112,E123:L123)))+E473*(1+(CHOOSE(L8,E90:L90,E101:L101,E112:L112,E123:L123)))</f>
        <v>1.2490884000000001E-3</v>
      </c>
      <c r="G1173" s="1958">
        <v>1.2490884000000001E-3</v>
      </c>
      <c r="H1173" s="1958">
        <v>1.2490884000000001E-3</v>
      </c>
      <c r="I1173" s="1958">
        <v>1.2490884000000001E-3</v>
      </c>
      <c r="J1173" s="1958">
        <v>1.2490884000000001E-3</v>
      </c>
      <c r="K1173" s="1958">
        <v>1.2490884000000001E-3</v>
      </c>
      <c r="L1173" s="1958">
        <v>1.2490884000000001E-3</v>
      </c>
      <c r="M1173" s="1958">
        <v>1.2490884000000001E-3</v>
      </c>
      <c r="N1173" s="1649"/>
      <c r="O1173" s="887"/>
    </row>
    <row r="1174" spans="3:15" ht="15" customHeight="1">
      <c r="C1174" s="1287"/>
      <c r="D1174" s="1287" t="s">
        <v>569</v>
      </c>
      <c r="E1174" s="1287"/>
      <c r="F1174" s="1959" cm="1">
        <f t="array" ref="F1174:M1174">F446*(1+(CHOOSE(L8,E90:L90,E101:L101,E112:L112,E123:L123)))+F473*(1+(CHOOSE(L8,E90:L90,E101:L101,E112:L112,E123:L123)))</f>
        <v>4.9963536000000005E-3</v>
      </c>
      <c r="G1174" s="1959">
        <v>4.9963536000000005E-3</v>
      </c>
      <c r="H1174" s="1959">
        <v>4.9963536000000005E-3</v>
      </c>
      <c r="I1174" s="1959">
        <v>4.9963536000000005E-3</v>
      </c>
      <c r="J1174" s="1959">
        <v>4.9963536000000005E-3</v>
      </c>
      <c r="K1174" s="1959">
        <v>4.9963536000000005E-3</v>
      </c>
      <c r="L1174" s="1959">
        <v>4.9963536000000005E-3</v>
      </c>
      <c r="M1174" s="1959">
        <v>4.9963536000000005E-3</v>
      </c>
      <c r="N1174" s="1649"/>
      <c r="O1174" s="887"/>
    </row>
    <row r="1175" spans="3:15" ht="15" customHeight="1">
      <c r="C1175" s="1287"/>
      <c r="D1175" s="1287" t="s">
        <v>513</v>
      </c>
      <c r="E1175" s="1287"/>
      <c r="F1175" s="1959" cm="1">
        <f t="array" ref="F1175:M1175">G446*(1+(CHOOSE(L8,E90:L90,E101:L101,E112:L112,E123:L123)))+G473*(1+(CHOOSE(L8,E90:L90,E101:L101,E112:L112,E123:L123)))</f>
        <v>1.5738513839999999E-2</v>
      </c>
      <c r="G1175" s="1959">
        <v>1.5738513839999999E-2</v>
      </c>
      <c r="H1175" s="1959">
        <v>1.5738513839999999E-2</v>
      </c>
      <c r="I1175" s="1959">
        <v>1.5738513839999999E-2</v>
      </c>
      <c r="J1175" s="1959">
        <v>1.5738513839999999E-2</v>
      </c>
      <c r="K1175" s="1959">
        <v>1.5738513839999999E-2</v>
      </c>
      <c r="L1175" s="1959">
        <v>1.5738513839999999E-2</v>
      </c>
      <c r="M1175" s="1959">
        <v>1.5738513839999999E-2</v>
      </c>
      <c r="N1175" s="1649"/>
      <c r="O1175" s="887"/>
    </row>
    <row r="1176" spans="3:15" ht="15" customHeight="1">
      <c r="C1176" s="1287"/>
      <c r="D1176" s="1287" t="s">
        <v>1854</v>
      </c>
      <c r="E1176" s="1287"/>
      <c r="F1176" s="1959" cm="1">
        <f t="array" ref="F1176:M1176">H446*(1+(CHOOSE(L8,E90:L90,E101:L101,E112:L112,E123:L123)))</f>
        <v>1.4767547586206887E-3</v>
      </c>
      <c r="G1176" s="1959">
        <v>1.4767547586206887E-3</v>
      </c>
      <c r="H1176" s="1959">
        <v>1.4767547586206887E-3</v>
      </c>
      <c r="I1176" s="1959">
        <v>1.4767547586206887E-3</v>
      </c>
      <c r="J1176" s="1959">
        <v>1.4767547586206887E-3</v>
      </c>
      <c r="K1176" s="1959">
        <v>1.4767547586206887E-3</v>
      </c>
      <c r="L1176" s="1959">
        <v>1.4767547586206887E-3</v>
      </c>
      <c r="M1176" s="1959">
        <v>1.4767547586206887E-3</v>
      </c>
      <c r="N1176" s="1649"/>
      <c r="O1176" s="887"/>
    </row>
    <row r="1177" spans="3:15" ht="15" customHeight="1">
      <c r="C1177" s="1287"/>
      <c r="D1177" s="1287" t="s">
        <v>1860</v>
      </c>
      <c r="E1177" s="1287"/>
      <c r="F1177" s="1959" cm="1">
        <f t="array" ref="F1177:M1177">I446*(1+(CHOOSE(L8,E90:L90,E101:L101,E112:L112,E123:L123)))</f>
        <v>1.1690975172413784E-3</v>
      </c>
      <c r="G1177" s="1959">
        <v>1.1690975172413784E-3</v>
      </c>
      <c r="H1177" s="1959">
        <v>1.1690975172413784E-3</v>
      </c>
      <c r="I1177" s="1959">
        <v>1.1690975172413784E-3</v>
      </c>
      <c r="J1177" s="1959">
        <v>1.1690975172413784E-3</v>
      </c>
      <c r="K1177" s="1959">
        <v>1.1690975172413784E-3</v>
      </c>
      <c r="L1177" s="1959">
        <v>1.1690975172413784E-3</v>
      </c>
      <c r="M1177" s="1959">
        <v>1.1690975172413784E-3</v>
      </c>
      <c r="N1177" s="1649"/>
      <c r="O1177" s="887"/>
    </row>
    <row r="1178" spans="3:15" ht="15" customHeight="1">
      <c r="C1178" s="1287"/>
      <c r="D1178" s="1478" t="s">
        <v>570</v>
      </c>
      <c r="E1178" s="1478"/>
      <c r="F1178" s="1960" cm="1">
        <f t="array" ref="F1178:M1178">J446*(1+(CHOOSE(L8,E90:L90,E101:L101,E112:L112,E123:L123)))</f>
        <v>1.8459434482758608E-4</v>
      </c>
      <c r="G1178" s="1960">
        <v>1.8459434482758608E-4</v>
      </c>
      <c r="H1178" s="1960">
        <v>1.8459434482758608E-4</v>
      </c>
      <c r="I1178" s="1960">
        <v>1.8459434482758608E-4</v>
      </c>
      <c r="J1178" s="1960">
        <v>1.8459434482758608E-4</v>
      </c>
      <c r="K1178" s="1960">
        <v>1.8459434482758608E-4</v>
      </c>
      <c r="L1178" s="1960">
        <v>1.8459434482758608E-4</v>
      </c>
      <c r="M1178" s="1960">
        <v>1.8459434482758608E-4</v>
      </c>
      <c r="N1178" s="1649"/>
      <c r="O1178" s="887"/>
    </row>
    <row r="1179" spans="3:15" ht="15" customHeight="1">
      <c r="C1179" s="1287"/>
      <c r="D1179" s="649" t="s">
        <v>338</v>
      </c>
      <c r="E1179" s="1290"/>
      <c r="F1179" s="1977">
        <f>SUM(F1173:F1178)</f>
        <v>2.4814402460689652E-2</v>
      </c>
      <c r="G1179" s="1977">
        <f t="shared" ref="G1179:M1179" si="80">SUM(G1173:G1178)</f>
        <v>2.4814402460689652E-2</v>
      </c>
      <c r="H1179" s="1977">
        <f t="shared" si="80"/>
        <v>2.4814402460689652E-2</v>
      </c>
      <c r="I1179" s="1977">
        <f t="shared" si="80"/>
        <v>2.4814402460689652E-2</v>
      </c>
      <c r="J1179" s="1977">
        <f t="shared" si="80"/>
        <v>2.4814402460689652E-2</v>
      </c>
      <c r="K1179" s="1977">
        <f t="shared" si="80"/>
        <v>2.4814402460689652E-2</v>
      </c>
      <c r="L1179" s="1977">
        <f t="shared" si="80"/>
        <v>2.4814402460689652E-2</v>
      </c>
      <c r="M1179" s="1977">
        <f t="shared" si="80"/>
        <v>2.4814402460689652E-2</v>
      </c>
      <c r="N1179" s="1966"/>
      <c r="O1179" s="887"/>
    </row>
    <row r="1180" spans="3:15" ht="15" customHeight="1">
      <c r="C1180" s="1287"/>
      <c r="D1180" s="1287"/>
      <c r="E1180" s="1287"/>
      <c r="F1180" s="2870"/>
      <c r="G1180" s="2870"/>
      <c r="H1180" s="2870"/>
      <c r="I1180" s="2870"/>
      <c r="J1180" s="2870"/>
      <c r="K1180" s="2870"/>
      <c r="L1180" s="2870"/>
      <c r="M1180" s="2869" t="s">
        <v>9</v>
      </c>
      <c r="N1180" s="1966"/>
      <c r="O1180" s="887"/>
    </row>
    <row r="1181" spans="3:15" ht="15" customHeight="1">
      <c r="C1181" s="1950" t="s">
        <v>559</v>
      </c>
      <c r="D1181" s="1951"/>
      <c r="E1181" s="1950"/>
      <c r="F1181" s="1965">
        <v>2018</v>
      </c>
      <c r="G1181" s="1965">
        <v>2020</v>
      </c>
      <c r="H1181" s="1965">
        <v>2025</v>
      </c>
      <c r="I1181" s="1965">
        <v>2030</v>
      </c>
      <c r="J1181" s="1965">
        <v>2035</v>
      </c>
      <c r="K1181" s="1965">
        <v>2040</v>
      </c>
      <c r="L1181" s="1965">
        <v>2045</v>
      </c>
      <c r="M1181" s="1965">
        <v>2050</v>
      </c>
      <c r="N1181" s="1966"/>
      <c r="O1181" s="887"/>
    </row>
    <row r="1182" spans="3:15" ht="15" customHeight="1">
      <c r="C1182" s="1287"/>
      <c r="D1182" s="1554" t="s">
        <v>504</v>
      </c>
      <c r="E1182" s="1554"/>
      <c r="F1182" s="1958" cm="1">
        <f t="array" ref="F1182:M1182">E447*(1+(CHOOSE(L8,E91:L91,E102:L102,E113:L113,E124:L124)))+E474*(1+(CHOOSE(L8,E91:L91,E102:L102,E113:L113,E124:L124)))</f>
        <v>2.064309768E-2</v>
      </c>
      <c r="G1182" s="1958">
        <v>2.064309768E-2</v>
      </c>
      <c r="H1182" s="1958">
        <v>2.064309768E-2</v>
      </c>
      <c r="I1182" s="1958">
        <v>2.064309768E-2</v>
      </c>
      <c r="J1182" s="1958">
        <v>2.064309768E-2</v>
      </c>
      <c r="K1182" s="1958">
        <v>2.064309768E-2</v>
      </c>
      <c r="L1182" s="1958">
        <v>2.064309768E-2</v>
      </c>
      <c r="M1182" s="1958">
        <v>2.064309768E-2</v>
      </c>
      <c r="N1182" s="1650"/>
      <c r="O1182" s="887"/>
    </row>
    <row r="1183" spans="3:15" ht="15" customHeight="1">
      <c r="C1183" s="1287"/>
      <c r="D1183" s="1287" t="s">
        <v>569</v>
      </c>
      <c r="E1183" s="1287"/>
      <c r="F1183" s="1959" cm="1">
        <f t="array" ref="F1183:M1183">F447*(1+(CHOOSE(L8,E91:L91,E102:L102,E113:L113,E124:L124)))+F474*(1+(CHOOSE(L8,E91:L91,E102:L102,E113:L113,E124:L124)))</f>
        <v>6.6758931575999995E-3</v>
      </c>
      <c r="G1183" s="1959">
        <v>6.6758931575999995E-3</v>
      </c>
      <c r="H1183" s="1959">
        <v>6.6758931575999995E-3</v>
      </c>
      <c r="I1183" s="1959">
        <v>6.6758931575999995E-3</v>
      </c>
      <c r="J1183" s="1959">
        <v>6.6758931575999995E-3</v>
      </c>
      <c r="K1183" s="1959">
        <v>6.6758931575999995E-3</v>
      </c>
      <c r="L1183" s="1959">
        <v>6.6758931575999995E-3</v>
      </c>
      <c r="M1183" s="1959">
        <v>6.6758931575999995E-3</v>
      </c>
      <c r="N1183" s="1650"/>
      <c r="O1183" s="887"/>
    </row>
    <row r="1184" spans="3:15" ht="15" customHeight="1">
      <c r="C1184" s="1287"/>
      <c r="D1184" s="1287" t="s">
        <v>513</v>
      </c>
      <c r="E1184" s="1287"/>
      <c r="F1184" s="1959" cm="1">
        <f t="array" ref="F1184:M1184">G447*(1+(CHOOSE(L8,E91:L91,E102:L102,E113:L113,E124:L124)))+G474*(1+(CHOOSE(L8,E91:L91,E102:L102,E113:L113,E124:L124)))</f>
        <v>7.2196799688000008E-3</v>
      </c>
      <c r="G1184" s="1959">
        <v>7.2196799688000008E-3</v>
      </c>
      <c r="H1184" s="1959">
        <v>7.2196799688000008E-3</v>
      </c>
      <c r="I1184" s="1959">
        <v>7.2196799688000008E-3</v>
      </c>
      <c r="J1184" s="1959">
        <v>7.2196799688000008E-3</v>
      </c>
      <c r="K1184" s="1959">
        <v>7.2196799688000008E-3</v>
      </c>
      <c r="L1184" s="1959">
        <v>7.2196799688000008E-3</v>
      </c>
      <c r="M1184" s="1959">
        <v>7.2196799688000008E-3</v>
      </c>
      <c r="N1184" s="1650"/>
      <c r="O1184" s="887"/>
    </row>
    <row r="1185" spans="3:15" ht="15" customHeight="1">
      <c r="C1185" s="1287"/>
      <c r="D1185" s="1287" t="s">
        <v>1854</v>
      </c>
      <c r="E1185" s="1287"/>
      <c r="F1185" s="1959" cm="1">
        <f t="array" ref="F1185:M1185">H447*(1+(CHOOSE(L8,E91:L91,E102:L102,E113:L113,E124:L124)))</f>
        <v>2.0463601655172398E-4</v>
      </c>
      <c r="G1185" s="1959">
        <v>2.0463601655172398E-4</v>
      </c>
      <c r="H1185" s="1959">
        <v>2.0463601655172398E-4</v>
      </c>
      <c r="I1185" s="1959">
        <v>2.0463601655172398E-4</v>
      </c>
      <c r="J1185" s="1959">
        <v>2.0463601655172398E-4</v>
      </c>
      <c r="K1185" s="1959">
        <v>2.0463601655172398E-4</v>
      </c>
      <c r="L1185" s="1959">
        <v>2.0463601655172398E-4</v>
      </c>
      <c r="M1185" s="1959">
        <v>2.0463601655172398E-4</v>
      </c>
      <c r="N1185" s="1650"/>
      <c r="O1185" s="887"/>
    </row>
    <row r="1186" spans="3:15" ht="15" customHeight="1">
      <c r="C1186" s="1287"/>
      <c r="D1186" s="1287" t="s">
        <v>1860</v>
      </c>
      <c r="E1186" s="1287"/>
      <c r="F1186" s="1959" cm="1">
        <f t="array" ref="F1186:M1186">I447*(1+(CHOOSE(L8,E91:L91,E102:L102,E113:L113,E124:L124)))</f>
        <v>1.6200351310344813E-4</v>
      </c>
      <c r="G1186" s="1959">
        <v>1.6200351310344813E-4</v>
      </c>
      <c r="H1186" s="1959">
        <v>1.6200351310344813E-4</v>
      </c>
      <c r="I1186" s="1959">
        <v>1.6200351310344813E-4</v>
      </c>
      <c r="J1186" s="1959">
        <v>1.6200351310344813E-4</v>
      </c>
      <c r="K1186" s="1959">
        <v>1.6200351310344813E-4</v>
      </c>
      <c r="L1186" s="1959">
        <v>1.6200351310344813E-4</v>
      </c>
      <c r="M1186" s="1959">
        <v>1.6200351310344813E-4</v>
      </c>
      <c r="N1186" s="1650"/>
      <c r="O1186" s="887"/>
    </row>
    <row r="1187" spans="3:15" ht="15" customHeight="1">
      <c r="C1187" s="1287"/>
      <c r="D1187" s="1478" t="s">
        <v>570</v>
      </c>
      <c r="E1187" s="1478"/>
      <c r="F1187" s="1960" cm="1">
        <f t="array" ref="F1187:M1187">J447*(1+(CHOOSE(L8,E91:L91,E102:L102,E113:L113,E124:L124)))</f>
        <v>2.5579502068965497E-5</v>
      </c>
      <c r="G1187" s="1960">
        <v>2.5579502068965497E-5</v>
      </c>
      <c r="H1187" s="1960">
        <v>2.5579502068965497E-5</v>
      </c>
      <c r="I1187" s="1960">
        <v>2.5579502068965497E-5</v>
      </c>
      <c r="J1187" s="1960">
        <v>2.5579502068965497E-5</v>
      </c>
      <c r="K1187" s="1960">
        <v>2.5579502068965497E-5</v>
      </c>
      <c r="L1187" s="1960">
        <v>2.5579502068965497E-5</v>
      </c>
      <c r="M1187" s="1960">
        <v>2.5579502068965497E-5</v>
      </c>
      <c r="N1187" s="1650"/>
      <c r="O1187" s="887"/>
    </row>
    <row r="1188" spans="3:15" ht="15" customHeight="1">
      <c r="C1188" s="1287"/>
      <c r="D1188" s="649" t="s">
        <v>338</v>
      </c>
      <c r="E1188" s="1290"/>
      <c r="F1188" s="1977">
        <f t="shared" ref="F1188:M1188" si="81">SUM(F1182:F1187)</f>
        <v>3.4930889838124139E-2</v>
      </c>
      <c r="G1188" s="1977">
        <f t="shared" si="81"/>
        <v>3.4930889838124139E-2</v>
      </c>
      <c r="H1188" s="1977">
        <f t="shared" si="81"/>
        <v>3.4930889838124139E-2</v>
      </c>
      <c r="I1188" s="1977">
        <f t="shared" si="81"/>
        <v>3.4930889838124139E-2</v>
      </c>
      <c r="J1188" s="1977">
        <f t="shared" si="81"/>
        <v>3.4930889838124139E-2</v>
      </c>
      <c r="K1188" s="1977">
        <f t="shared" si="81"/>
        <v>3.4930889838124139E-2</v>
      </c>
      <c r="L1188" s="1977">
        <f t="shared" si="81"/>
        <v>3.4930889838124139E-2</v>
      </c>
      <c r="M1188" s="1977">
        <f t="shared" si="81"/>
        <v>3.4930889838124139E-2</v>
      </c>
      <c r="N1188" s="1650"/>
      <c r="O1188" s="887"/>
    </row>
    <row r="1189" spans="3:15" ht="15" customHeight="1">
      <c r="C1189" s="1287"/>
      <c r="D1189" s="609"/>
      <c r="E1189" s="1287"/>
      <c r="F1189" s="2871"/>
      <c r="G1189" s="2871"/>
      <c r="H1189" s="2871"/>
      <c r="I1189" s="2871"/>
      <c r="J1189" s="2871"/>
      <c r="K1189" s="2871"/>
      <c r="L1189" s="2871"/>
      <c r="M1189" s="1287"/>
      <c r="N1189" s="1650"/>
      <c r="O1189" s="887"/>
    </row>
    <row r="1190" spans="3:15" ht="15" customHeight="1">
      <c r="C1190" s="1287"/>
      <c r="D1190" s="609"/>
      <c r="E1190" s="1287"/>
      <c r="F1190" s="2871"/>
      <c r="G1190" s="2871"/>
      <c r="H1190" s="2871"/>
      <c r="I1190" s="2871"/>
      <c r="J1190" s="2871"/>
      <c r="K1190" s="2871"/>
      <c r="L1190" s="2871"/>
      <c r="M1190" s="2869" t="s">
        <v>9</v>
      </c>
      <c r="N1190" s="1650"/>
      <c r="O1190" s="887"/>
    </row>
    <row r="1191" spans="3:15" ht="15" customHeight="1">
      <c r="C1191" s="1950" t="s">
        <v>1899</v>
      </c>
      <c r="D1191" s="1951"/>
      <c r="E1191" s="1950"/>
      <c r="F1191" s="1952">
        <v>2018</v>
      </c>
      <c r="G1191" s="1952">
        <v>2020</v>
      </c>
      <c r="H1191" s="1952">
        <v>2025</v>
      </c>
      <c r="I1191" s="1952">
        <v>2030</v>
      </c>
      <c r="J1191" s="1952">
        <v>2035</v>
      </c>
      <c r="K1191" s="1952">
        <v>2040</v>
      </c>
      <c r="L1191" s="1952">
        <v>2045</v>
      </c>
      <c r="M1191" s="1952">
        <v>2050</v>
      </c>
      <c r="N1191" s="1650"/>
      <c r="O1191" s="887"/>
    </row>
    <row r="1192" spans="3:15" ht="15" customHeight="1">
      <c r="C1192" s="1287"/>
      <c r="D1192" s="1554" t="s">
        <v>504</v>
      </c>
      <c r="E1192" s="1554"/>
      <c r="F1192" s="1958" cm="1">
        <f t="array" ref="F1192:M1192">E448*(1+(CHOOSE(L8,E92:L92,E103:L103,E114:L114,E125:L125)))+E475*(1+(CHOOSE(L8,E92:L92,E103:L103,E114:L114,E125:L125)))</f>
        <v>7.6729715999999989E-5</v>
      </c>
      <c r="G1192" s="1959">
        <v>7.6729715999999989E-5</v>
      </c>
      <c r="H1192" s="1959">
        <v>7.6729715999999989E-5</v>
      </c>
      <c r="I1192" s="1959">
        <v>7.6729715999999989E-5</v>
      </c>
      <c r="J1192" s="1959">
        <v>7.6729715999999989E-5</v>
      </c>
      <c r="K1192" s="1959">
        <v>7.6729715999999989E-5</v>
      </c>
      <c r="L1192" s="1959">
        <v>7.6729715999999989E-5</v>
      </c>
      <c r="M1192" s="1959">
        <v>7.6729715999999989E-5</v>
      </c>
      <c r="N1192" s="1650"/>
      <c r="O1192" s="887"/>
    </row>
    <row r="1193" spans="3:15" ht="15" customHeight="1">
      <c r="C1193" s="1287"/>
      <c r="D1193" s="1287" t="s">
        <v>569</v>
      </c>
      <c r="E1193" s="1287"/>
      <c r="F1193" s="1959" cm="1">
        <f t="array" ref="F1193:M1193">F448*(1+(CHOOSE(L8,E92:L92,E103:L103,E114:L114,E125:L125)))+F475*(1+(CHOOSE(L8,E92:L92,E103:L103,E114:L114,E125:L125)))</f>
        <v>3.0691886399999995E-4</v>
      </c>
      <c r="G1193" s="1959">
        <v>3.0691886399999995E-4</v>
      </c>
      <c r="H1193" s="1959">
        <v>3.0691886399999995E-4</v>
      </c>
      <c r="I1193" s="1959">
        <v>3.0691886399999995E-4</v>
      </c>
      <c r="J1193" s="1959">
        <v>3.0691886399999995E-4</v>
      </c>
      <c r="K1193" s="1959">
        <v>3.0691886399999995E-4</v>
      </c>
      <c r="L1193" s="1959">
        <v>3.0691886399999995E-4</v>
      </c>
      <c r="M1193" s="1959">
        <v>3.0691886399999995E-4</v>
      </c>
      <c r="N1193" s="1650"/>
      <c r="O1193" s="887"/>
    </row>
    <row r="1194" spans="3:15" ht="15" customHeight="1">
      <c r="C1194" s="1287"/>
      <c r="D1194" s="1287" t="s">
        <v>513</v>
      </c>
      <c r="E1194" s="1287"/>
      <c r="F1194" s="1959" cm="1">
        <f t="array" ref="F1194:M1194">G448*(1+(CHOOSE(L8,E92:L92,E103:L103,E114:L114,E125:L125)))+G475*(1+(CHOOSE(L8,E92:L92,E103:L103,E114:L114,E125:L125)))</f>
        <v>9.6679442160000002E-4</v>
      </c>
      <c r="G1194" s="1959">
        <v>9.6679442160000002E-4</v>
      </c>
      <c r="H1194" s="1959">
        <v>9.6679442160000002E-4</v>
      </c>
      <c r="I1194" s="1959">
        <v>9.6679442160000002E-4</v>
      </c>
      <c r="J1194" s="1959">
        <v>9.6679442160000002E-4</v>
      </c>
      <c r="K1194" s="1959">
        <v>9.6679442160000002E-4</v>
      </c>
      <c r="L1194" s="1959">
        <v>9.6679442160000002E-4</v>
      </c>
      <c r="M1194" s="1959">
        <v>9.6679442160000002E-4</v>
      </c>
      <c r="N1194" s="1650"/>
      <c r="O1194" s="887"/>
    </row>
    <row r="1195" spans="3:15" ht="15" customHeight="1">
      <c r="C1195" s="1287"/>
      <c r="D1195" s="1287" t="s">
        <v>1854</v>
      </c>
      <c r="E1195" s="1287"/>
      <c r="F1195" s="1959" cm="1">
        <f t="array" ref="F1195:M1195">H448*(1+(CHOOSE(L8,E92:L92,E103:L103,E114:L114,E125:L125)))</f>
        <v>9.0714935172413736E-5</v>
      </c>
      <c r="G1195" s="1959">
        <v>9.0714935172413736E-5</v>
      </c>
      <c r="H1195" s="1959">
        <v>9.0714935172413736E-5</v>
      </c>
      <c r="I1195" s="1959">
        <v>9.0714935172413736E-5</v>
      </c>
      <c r="J1195" s="1959">
        <v>9.0714935172413736E-5</v>
      </c>
      <c r="K1195" s="1959">
        <v>9.0714935172413736E-5</v>
      </c>
      <c r="L1195" s="1959">
        <v>9.0714935172413736E-5</v>
      </c>
      <c r="M1195" s="1959">
        <v>9.0714935172413736E-5</v>
      </c>
      <c r="N1195" s="1650"/>
      <c r="O1195" s="887"/>
    </row>
    <row r="1196" spans="3:15" ht="15" customHeight="1">
      <c r="C1196" s="1287"/>
      <c r="D1196" s="1287" t="s">
        <v>1860</v>
      </c>
      <c r="E1196" s="1287"/>
      <c r="F1196" s="1959" cm="1">
        <f t="array" ref="F1196:M1196">I448*(1+(CHOOSE(L8,E92:L92,E103:L103,E114:L114,E125:L125)))</f>
        <v>7.1815990344827524E-5</v>
      </c>
      <c r="G1196" s="1959">
        <v>7.1815990344827524E-5</v>
      </c>
      <c r="H1196" s="1959">
        <v>7.1815990344827524E-5</v>
      </c>
      <c r="I1196" s="1959">
        <v>7.1815990344827524E-5</v>
      </c>
      <c r="J1196" s="1959">
        <v>7.1815990344827524E-5</v>
      </c>
      <c r="K1196" s="1959">
        <v>7.1815990344827524E-5</v>
      </c>
      <c r="L1196" s="1959">
        <v>7.1815990344827524E-5</v>
      </c>
      <c r="M1196" s="1959">
        <v>7.1815990344827524E-5</v>
      </c>
      <c r="N1196" s="1650"/>
      <c r="O1196" s="887"/>
    </row>
    <row r="1197" spans="3:15" ht="15" customHeight="1">
      <c r="C1197" s="1287"/>
      <c r="D1197" s="1478" t="s">
        <v>570</v>
      </c>
      <c r="E1197" s="1478"/>
      <c r="F1197" s="1960" cm="1">
        <f t="array" ref="F1197:M1197">J448*(1+(CHOOSE(L8,E92:L92,E103:L103,E114:L114,E125:L125)))</f>
        <v>1.1339366896551717E-5</v>
      </c>
      <c r="G1197" s="1960">
        <v>1.1339366896551717E-5</v>
      </c>
      <c r="H1197" s="1960">
        <v>1.1339366896551717E-5</v>
      </c>
      <c r="I1197" s="1960">
        <v>1.1339366896551717E-5</v>
      </c>
      <c r="J1197" s="1960">
        <v>1.1339366896551717E-5</v>
      </c>
      <c r="K1197" s="1960">
        <v>1.1339366896551717E-5</v>
      </c>
      <c r="L1197" s="1960">
        <v>1.1339366896551717E-5</v>
      </c>
      <c r="M1197" s="1960">
        <v>1.1339366896551717E-5</v>
      </c>
      <c r="N1197" s="1650"/>
      <c r="O1197" s="887"/>
    </row>
    <row r="1198" spans="3:15" ht="15" customHeight="1">
      <c r="C1198" s="1287"/>
      <c r="D1198" s="649" t="s">
        <v>338</v>
      </c>
      <c r="E1198" s="1290"/>
      <c r="F1198" s="1977">
        <f t="shared" ref="F1198:M1198" si="82">SUM(F1192:F1197)</f>
        <v>1.5243132940137927E-3</v>
      </c>
      <c r="G1198" s="1977">
        <f t="shared" si="82"/>
        <v>1.5243132940137927E-3</v>
      </c>
      <c r="H1198" s="1977">
        <f t="shared" si="82"/>
        <v>1.5243132940137927E-3</v>
      </c>
      <c r="I1198" s="1977">
        <f t="shared" si="82"/>
        <v>1.5243132940137927E-3</v>
      </c>
      <c r="J1198" s="1977">
        <f t="shared" si="82"/>
        <v>1.5243132940137927E-3</v>
      </c>
      <c r="K1198" s="1977">
        <f t="shared" si="82"/>
        <v>1.5243132940137927E-3</v>
      </c>
      <c r="L1198" s="1977">
        <f t="shared" si="82"/>
        <v>1.5243132940137927E-3</v>
      </c>
      <c r="M1198" s="1977">
        <f t="shared" si="82"/>
        <v>1.5243132940137927E-3</v>
      </c>
      <c r="N1198" s="1650"/>
      <c r="O1198" s="887"/>
    </row>
    <row r="1199" spans="3:15" ht="15" customHeight="1">
      <c r="C1199" s="1287"/>
      <c r="D1199" s="609"/>
      <c r="E1199" s="1287"/>
      <c r="F1199" s="2871"/>
      <c r="G1199" s="2871"/>
      <c r="H1199" s="2871"/>
      <c r="I1199" s="2871"/>
      <c r="J1199" s="2871"/>
      <c r="K1199" s="2871"/>
      <c r="L1199" s="2871"/>
      <c r="M1199" s="2869" t="s">
        <v>9</v>
      </c>
      <c r="N1199" s="1650"/>
      <c r="O1199" s="887"/>
    </row>
    <row r="1200" spans="3:15" ht="15" customHeight="1">
      <c r="C1200" s="1950" t="s">
        <v>1900</v>
      </c>
      <c r="D1200" s="1951"/>
      <c r="E1200" s="1950"/>
      <c r="F1200" s="1952">
        <v>2018</v>
      </c>
      <c r="G1200" s="1952">
        <v>2020</v>
      </c>
      <c r="H1200" s="1952">
        <v>2025</v>
      </c>
      <c r="I1200" s="1952">
        <v>2030</v>
      </c>
      <c r="J1200" s="1952">
        <v>2035</v>
      </c>
      <c r="K1200" s="1952">
        <v>2040</v>
      </c>
      <c r="L1200" s="1952">
        <v>2045</v>
      </c>
      <c r="M1200" s="1952">
        <v>2050</v>
      </c>
      <c r="N1200" s="1650"/>
      <c r="O1200" s="887"/>
    </row>
    <row r="1201" spans="3:15" ht="15" customHeight="1">
      <c r="C1201" s="1287"/>
      <c r="D1201" s="1554" t="s">
        <v>504</v>
      </c>
      <c r="E1201" s="1554"/>
      <c r="F1201" s="1958" cm="1">
        <f t="array" ref="F1201:M1201">E449*(1+(CHOOSE(L8,E93:L93,E104:L104,E115:L115,E126:L126)))+E476*(1+(CHOOSE(L8,E93:L93,E104:L104,E115:L115,E126:L126)))</f>
        <v>6.6258319038000016E-2</v>
      </c>
      <c r="G1201" s="1959">
        <v>6.6258319038000016E-2</v>
      </c>
      <c r="H1201" s="1959">
        <v>6.6258319038000016E-2</v>
      </c>
      <c r="I1201" s="1959">
        <v>6.6258319038000016E-2</v>
      </c>
      <c r="J1201" s="1959">
        <v>6.6258319038000016E-2</v>
      </c>
      <c r="K1201" s="1959">
        <v>6.6258319038000016E-2</v>
      </c>
      <c r="L1201" s="1959">
        <v>6.6258319038000016E-2</v>
      </c>
      <c r="M1201" s="1959">
        <v>6.6258319038000016E-2</v>
      </c>
      <c r="N1201" s="1650"/>
      <c r="O1201" s="887"/>
    </row>
    <row r="1202" spans="3:15" ht="15" customHeight="1">
      <c r="C1202" s="1287"/>
      <c r="D1202" s="1287" t="s">
        <v>569</v>
      </c>
      <c r="E1202" s="1287"/>
      <c r="F1202" s="1959" cm="1">
        <f t="array" ref="F1202:M1202">F449*(1+(CHOOSE(L8,E93:L93,E104:L104,E115:L115,E126:L126)))+F476*(1+(CHOOSE(L8,E93:L93,E104:L104,E115:L115,E126:L126)))</f>
        <v>2.1190538287200002E-2</v>
      </c>
      <c r="G1202" s="1959">
        <v>2.1190538287200002E-2</v>
      </c>
      <c r="H1202" s="1959">
        <v>2.1190538287200002E-2</v>
      </c>
      <c r="I1202" s="1959">
        <v>2.1190538287200002E-2</v>
      </c>
      <c r="J1202" s="1959">
        <v>2.1190538287200002E-2</v>
      </c>
      <c r="K1202" s="1959">
        <v>2.1190538287200002E-2</v>
      </c>
      <c r="L1202" s="1959">
        <v>2.1190538287200002E-2</v>
      </c>
      <c r="M1202" s="1959">
        <v>2.1190538287200002E-2</v>
      </c>
      <c r="N1202" s="1650"/>
      <c r="O1202" s="887"/>
    </row>
    <row r="1203" spans="3:15" ht="15" customHeight="1">
      <c r="C1203" s="1287"/>
      <c r="D1203" s="1287" t="s">
        <v>513</v>
      </c>
      <c r="E1203" s="1287"/>
      <c r="F1203" s="1959" cm="1">
        <f t="array" ref="F1203:M1203">G449*(1+(CHOOSE(L8,E93:L93,E104:L104,E115:L115,E126:L126)))+G476*(1+(CHOOSE(L8,E93:L93,E104:L104,E115:L115,E126:L126)))</f>
        <v>2.2382958860400003E-2</v>
      </c>
      <c r="G1203" s="1959">
        <v>2.2382958860400003E-2</v>
      </c>
      <c r="H1203" s="1959">
        <v>2.2382958860400003E-2</v>
      </c>
      <c r="I1203" s="1959">
        <v>2.2382958860400003E-2</v>
      </c>
      <c r="J1203" s="1959">
        <v>2.2382958860400003E-2</v>
      </c>
      <c r="K1203" s="1959">
        <v>2.2382958860400003E-2</v>
      </c>
      <c r="L1203" s="1959">
        <v>2.2382958860400003E-2</v>
      </c>
      <c r="M1203" s="1959">
        <v>2.2382958860400003E-2</v>
      </c>
      <c r="N1203" s="1650"/>
      <c r="O1203" s="887"/>
    </row>
    <row r="1204" spans="3:15" ht="15" customHeight="1">
      <c r="C1204" s="1287"/>
      <c r="D1204" s="1287" t="s">
        <v>1854</v>
      </c>
      <c r="E1204" s="1287"/>
      <c r="F1204" s="1959" cm="1">
        <f t="array" ref="F1204:M1204">H449*(1+(CHOOSE(L8,E93:L93,E104:L104,E115:L115,E126:L126)))+H476*(1+(CHOOSE(L8,E93:L93,E104:L104,E115:L115,E126:L126)))</f>
        <v>5.8120847999999976E-4</v>
      </c>
      <c r="G1204" s="1959">
        <v>5.8120847999999976E-4</v>
      </c>
      <c r="H1204" s="1959">
        <v>5.8120847999999976E-4</v>
      </c>
      <c r="I1204" s="1959">
        <v>5.8120847999999976E-4</v>
      </c>
      <c r="J1204" s="1959">
        <v>5.8120847999999976E-4</v>
      </c>
      <c r="K1204" s="1959">
        <v>5.8120847999999976E-4</v>
      </c>
      <c r="L1204" s="1959">
        <v>5.8120847999999976E-4</v>
      </c>
      <c r="M1204" s="1959">
        <v>5.8120847999999976E-4</v>
      </c>
      <c r="N1204" s="1650"/>
      <c r="O1204" s="887"/>
    </row>
    <row r="1205" spans="3:15" ht="15" customHeight="1">
      <c r="C1205" s="1287"/>
      <c r="D1205" s="1287" t="s">
        <v>1860</v>
      </c>
      <c r="E1205" s="1287"/>
      <c r="F1205" s="1959" cm="1">
        <f t="array" ref="F1205:M1205">I449*(1+(CHOOSE(L8,E93:L93,E104:L104,E115:L115,E126:L126)))+I476*(1+(CHOOSE(L8,E93:L93,E104:L104,E115:L115,E126:L126)))</f>
        <v>4.6012337999999967E-4</v>
      </c>
      <c r="G1205" s="1959">
        <v>4.6012337999999967E-4</v>
      </c>
      <c r="H1205" s="1959">
        <v>4.6012337999999967E-4</v>
      </c>
      <c r="I1205" s="1959">
        <v>4.6012337999999967E-4</v>
      </c>
      <c r="J1205" s="1959">
        <v>4.6012337999999967E-4</v>
      </c>
      <c r="K1205" s="1959">
        <v>4.6012337999999967E-4</v>
      </c>
      <c r="L1205" s="1959">
        <v>4.6012337999999967E-4</v>
      </c>
      <c r="M1205" s="1959">
        <v>4.6012337999999967E-4</v>
      </c>
      <c r="N1205" s="1650"/>
      <c r="O1205" s="887"/>
    </row>
    <row r="1206" spans="3:15" ht="15" customHeight="1">
      <c r="C1206" s="1287"/>
      <c r="D1206" s="1478" t="s">
        <v>570</v>
      </c>
      <c r="E1206" s="1478"/>
      <c r="F1206" s="1960" cm="1">
        <f t="array" ref="F1206:M1206">J449*(1+(CHOOSE(L8,E93:L93,E104:L104,E115:L115,E126:L126)))+J476*(1+(CHOOSE(L8,E93:L93,E104:L104,E115:L115,E126:L126)))</f>
        <v>7.265105999999997E-5</v>
      </c>
      <c r="G1206" s="1960">
        <v>7.265105999999997E-5</v>
      </c>
      <c r="H1206" s="1960">
        <v>7.265105999999997E-5</v>
      </c>
      <c r="I1206" s="1960">
        <v>7.265105999999997E-5</v>
      </c>
      <c r="J1206" s="1960">
        <v>7.265105999999997E-5</v>
      </c>
      <c r="K1206" s="1960">
        <v>7.265105999999997E-5</v>
      </c>
      <c r="L1206" s="1960">
        <v>7.265105999999997E-5</v>
      </c>
      <c r="M1206" s="1960">
        <v>7.265105999999997E-5</v>
      </c>
      <c r="N1206" s="1650"/>
      <c r="O1206" s="887"/>
    </row>
    <row r="1207" spans="3:15" ht="15" customHeight="1">
      <c r="C1207" s="1287"/>
      <c r="D1207" s="649" t="s">
        <v>338</v>
      </c>
      <c r="E1207" s="1290"/>
      <c r="F1207" s="1977">
        <f t="shared" ref="F1207:M1207" si="83">SUM(F1201:F1206)</f>
        <v>0.11094579910560003</v>
      </c>
      <c r="G1207" s="1977">
        <f t="shared" si="83"/>
        <v>0.11094579910560003</v>
      </c>
      <c r="H1207" s="1977">
        <f t="shared" si="83"/>
        <v>0.11094579910560003</v>
      </c>
      <c r="I1207" s="1977">
        <f t="shared" si="83"/>
        <v>0.11094579910560003</v>
      </c>
      <c r="J1207" s="1977">
        <f t="shared" si="83"/>
        <v>0.11094579910560003</v>
      </c>
      <c r="K1207" s="1977">
        <f t="shared" si="83"/>
        <v>0.11094579910560003</v>
      </c>
      <c r="L1207" s="1977">
        <f t="shared" si="83"/>
        <v>0.11094579910560003</v>
      </c>
      <c r="M1207" s="1977">
        <f t="shared" si="83"/>
        <v>0.11094579910560003</v>
      </c>
      <c r="N1207" s="1650"/>
      <c r="O1207" s="887"/>
    </row>
    <row r="1208" spans="3:15" ht="15" customHeight="1">
      <c r="C1208" s="1287"/>
      <c r="D1208" s="609"/>
      <c r="E1208" s="1287"/>
      <c r="F1208" s="2871"/>
      <c r="G1208" s="2871"/>
      <c r="H1208" s="2871"/>
      <c r="I1208" s="2871"/>
      <c r="J1208" s="2871"/>
      <c r="K1208" s="2871"/>
      <c r="L1208" s="2871"/>
      <c r="M1208" s="2869" t="s">
        <v>9</v>
      </c>
      <c r="N1208" s="1650"/>
      <c r="O1208" s="887"/>
    </row>
    <row r="1209" spans="3:15" ht="15" customHeight="1">
      <c r="C1209" s="1950" t="s">
        <v>562</v>
      </c>
      <c r="D1209" s="1951"/>
      <c r="E1209" s="1950"/>
      <c r="F1209" s="1952">
        <v>2018</v>
      </c>
      <c r="G1209" s="1952">
        <v>2020</v>
      </c>
      <c r="H1209" s="1952">
        <v>2025</v>
      </c>
      <c r="I1209" s="1952">
        <v>2030</v>
      </c>
      <c r="J1209" s="1952">
        <v>2035</v>
      </c>
      <c r="K1209" s="1952">
        <v>2040</v>
      </c>
      <c r="L1209" s="1952">
        <v>2045</v>
      </c>
      <c r="M1209" s="1952">
        <v>2050</v>
      </c>
      <c r="N1209" s="1650"/>
      <c r="O1209" s="887"/>
    </row>
    <row r="1210" spans="3:15" ht="15" customHeight="1">
      <c r="C1210" s="1287"/>
      <c r="D1210" s="1554" t="s">
        <v>504</v>
      </c>
      <c r="E1210" s="1554"/>
      <c r="F1210" s="1958" cm="1">
        <f t="array" ref="F1210:M1210">E450*(1+(CHOOSE(L8,E94:L94,E105:L105,E116:L116,E127:L127)))+E477*(1+(CHOOSE(L8,E94:L94,E105:L105,E116:L116,E127:L127)))</f>
        <v>1.2297997559999999E-2</v>
      </c>
      <c r="G1210" s="1959">
        <v>1.2297997559999999E-2</v>
      </c>
      <c r="H1210" s="1959">
        <v>1.2297997559999999E-2</v>
      </c>
      <c r="I1210" s="1959">
        <v>1.2297997559999999E-2</v>
      </c>
      <c r="J1210" s="1959">
        <v>1.2297997559999999E-2</v>
      </c>
      <c r="K1210" s="1959">
        <v>1.2297997559999999E-2</v>
      </c>
      <c r="L1210" s="1959">
        <v>1.2297997559999999E-2</v>
      </c>
      <c r="M1210" s="1959">
        <v>1.2297997559999999E-2</v>
      </c>
      <c r="N1210" s="1650"/>
      <c r="O1210" s="887"/>
    </row>
    <row r="1211" spans="3:15" ht="15" customHeight="1">
      <c r="C1211" s="1287"/>
      <c r="D1211" s="1287" t="s">
        <v>569</v>
      </c>
      <c r="E1211" s="1287"/>
      <c r="F1211" s="1959" cm="1">
        <f t="array" ref="F1211:M1211">F450*(1+(CHOOSE(L8,E94:L94,E105:L105,E116:L116,E127:L127)))+F477*(1+(CHOOSE(L8,E94:L94,E105:L105,E116:L116,E127:L127)))</f>
        <v>4.0579228320000004E-3</v>
      </c>
      <c r="G1211" s="1959">
        <v>4.0579228320000004E-3</v>
      </c>
      <c r="H1211" s="1959">
        <v>4.0579228320000004E-3</v>
      </c>
      <c r="I1211" s="1959">
        <v>4.0579228320000004E-3</v>
      </c>
      <c r="J1211" s="1959">
        <v>4.0579228320000004E-3</v>
      </c>
      <c r="K1211" s="1959">
        <v>4.0579228320000004E-3</v>
      </c>
      <c r="L1211" s="1959">
        <v>4.0579228320000004E-3</v>
      </c>
      <c r="M1211" s="1959">
        <v>4.0579228320000004E-3</v>
      </c>
      <c r="N1211" s="1650"/>
      <c r="O1211" s="887"/>
    </row>
    <row r="1212" spans="3:15" ht="15" customHeight="1">
      <c r="C1212" s="1287"/>
      <c r="D1212" s="1287" t="s">
        <v>513</v>
      </c>
      <c r="E1212" s="1287"/>
      <c r="F1212" s="1959" cm="1">
        <f t="array" ref="F1212:M1212">G450*(1+(CHOOSE(L8,E94:L94,E105:L105,E116:L116,E127:L127)))+G477*(1+(CHOOSE(L8,E94:L94,E105:L105,E116:L116,E127:L127)))</f>
        <v>4.5703039919999999E-3</v>
      </c>
      <c r="G1212" s="1959">
        <v>4.5703039919999999E-3</v>
      </c>
      <c r="H1212" s="1959">
        <v>4.5703039919999999E-3</v>
      </c>
      <c r="I1212" s="1959">
        <v>4.5703039919999999E-3</v>
      </c>
      <c r="J1212" s="1959">
        <v>4.5703039919999999E-3</v>
      </c>
      <c r="K1212" s="1959">
        <v>4.5703039919999999E-3</v>
      </c>
      <c r="L1212" s="1959">
        <v>4.5703039919999999E-3</v>
      </c>
      <c r="M1212" s="1959">
        <v>4.5703039919999999E-3</v>
      </c>
      <c r="N1212" s="1650"/>
      <c r="O1212" s="887"/>
    </row>
    <row r="1213" spans="3:15" ht="15" customHeight="1">
      <c r="C1213" s="1287"/>
      <c r="D1213" s="1287" t="s">
        <v>1854</v>
      </c>
      <c r="E1213" s="1287"/>
      <c r="F1213" s="1959" cm="1">
        <f t="array" ref="F1213:M1213">E450*(1+(CHOOSE(L8,E94:L94,E105:L105,E116:L116,E127:L127)))</f>
        <v>1.2490884000000002E-4</v>
      </c>
      <c r="G1213" s="1959">
        <v>1.2490884000000002E-4</v>
      </c>
      <c r="H1213" s="1959">
        <v>1.2490884000000002E-4</v>
      </c>
      <c r="I1213" s="1959">
        <v>1.2490884000000002E-4</v>
      </c>
      <c r="J1213" s="1959">
        <v>1.2490884000000002E-4</v>
      </c>
      <c r="K1213" s="1959">
        <v>1.2490884000000002E-4</v>
      </c>
      <c r="L1213" s="1959">
        <v>1.2490884000000002E-4</v>
      </c>
      <c r="M1213" s="1959">
        <v>1.2490884000000002E-4</v>
      </c>
      <c r="N1213" s="1650"/>
      <c r="O1213" s="887"/>
    </row>
    <row r="1214" spans="3:15" ht="15" customHeight="1">
      <c r="C1214" s="1287"/>
      <c r="D1214" s="1287" t="s">
        <v>1860</v>
      </c>
      <c r="E1214" s="1287"/>
      <c r="F1214" s="1959" cm="1">
        <f t="array" ref="F1214:M1214">E450*(1+(CHOOSE(L8,E94:L94,E105:L105,E116:L116,E127:L127)))</f>
        <v>1.2490884000000002E-4</v>
      </c>
      <c r="G1214" s="1959">
        <v>1.2490884000000002E-4</v>
      </c>
      <c r="H1214" s="1959">
        <v>1.2490884000000002E-4</v>
      </c>
      <c r="I1214" s="1959">
        <v>1.2490884000000002E-4</v>
      </c>
      <c r="J1214" s="1959">
        <v>1.2490884000000002E-4</v>
      </c>
      <c r="K1214" s="1959">
        <v>1.2490884000000002E-4</v>
      </c>
      <c r="L1214" s="1959">
        <v>1.2490884000000002E-4</v>
      </c>
      <c r="M1214" s="1959">
        <v>1.2490884000000002E-4</v>
      </c>
      <c r="N1214" s="1650"/>
      <c r="O1214" s="887"/>
    </row>
    <row r="1215" spans="3:15" ht="15" customHeight="1">
      <c r="C1215" s="1287"/>
      <c r="D1215" s="1478" t="s">
        <v>570</v>
      </c>
      <c r="E1215" s="1478"/>
      <c r="F1215" s="1960" cm="1">
        <f t="array" ref="F1215:M1215">E450*(1+(CHOOSE(L8,E94:L94,E105:L105,E116:L116,E127:L127)))</f>
        <v>1.2490884000000002E-4</v>
      </c>
      <c r="G1215" s="1960">
        <v>1.2490884000000002E-4</v>
      </c>
      <c r="H1215" s="1960">
        <v>1.2490884000000002E-4</v>
      </c>
      <c r="I1215" s="1960">
        <v>1.2490884000000002E-4</v>
      </c>
      <c r="J1215" s="1960">
        <v>1.2490884000000002E-4</v>
      </c>
      <c r="K1215" s="1960">
        <v>1.2490884000000002E-4</v>
      </c>
      <c r="L1215" s="1960">
        <v>1.2490884000000002E-4</v>
      </c>
      <c r="M1215" s="1960">
        <v>1.2490884000000002E-4</v>
      </c>
      <c r="N1215" s="1650"/>
      <c r="O1215" s="887"/>
    </row>
    <row r="1216" spans="3:15" ht="15" customHeight="1">
      <c r="C1216" s="1287"/>
      <c r="D1216" s="649" t="s">
        <v>338</v>
      </c>
      <c r="E1216" s="1290"/>
      <c r="F1216" s="1977">
        <f t="shared" ref="F1216:M1216" si="84">SUM(F1210:F1215)</f>
        <v>2.1300950903999999E-2</v>
      </c>
      <c r="G1216" s="1977">
        <f t="shared" si="84"/>
        <v>2.1300950903999999E-2</v>
      </c>
      <c r="H1216" s="1977">
        <f t="shared" si="84"/>
        <v>2.1300950903999999E-2</v>
      </c>
      <c r="I1216" s="1977">
        <f t="shared" si="84"/>
        <v>2.1300950903999999E-2</v>
      </c>
      <c r="J1216" s="1977">
        <f t="shared" si="84"/>
        <v>2.1300950903999999E-2</v>
      </c>
      <c r="K1216" s="1977">
        <f t="shared" si="84"/>
        <v>2.1300950903999999E-2</v>
      </c>
      <c r="L1216" s="1977">
        <f t="shared" si="84"/>
        <v>2.1300950903999999E-2</v>
      </c>
      <c r="M1216" s="1977">
        <f t="shared" si="84"/>
        <v>2.1300950903999999E-2</v>
      </c>
      <c r="N1216" s="1650"/>
      <c r="O1216" s="887"/>
    </row>
    <row r="1217" spans="3:15" ht="15" customHeight="1">
      <c r="C1217" s="1287"/>
      <c r="D1217" s="609"/>
      <c r="E1217" s="1287"/>
      <c r="F1217" s="2871"/>
      <c r="G1217" s="2871"/>
      <c r="H1217" s="2871"/>
      <c r="I1217" s="2871"/>
      <c r="J1217" s="2871"/>
      <c r="K1217" s="2871"/>
      <c r="L1217" s="2871"/>
      <c r="M1217" s="2869" t="s">
        <v>9</v>
      </c>
      <c r="N1217" s="1650"/>
      <c r="O1217" s="887"/>
    </row>
    <row r="1218" spans="3:15" ht="15" customHeight="1">
      <c r="C1218" s="1950" t="s">
        <v>563</v>
      </c>
      <c r="D1218" s="1951"/>
      <c r="E1218" s="1950"/>
      <c r="F1218" s="1965">
        <v>2018</v>
      </c>
      <c r="G1218" s="1952">
        <v>2020</v>
      </c>
      <c r="H1218" s="1952">
        <v>2025</v>
      </c>
      <c r="I1218" s="1952">
        <v>2030</v>
      </c>
      <c r="J1218" s="1952">
        <v>2035</v>
      </c>
      <c r="K1218" s="1952">
        <v>2040</v>
      </c>
      <c r="L1218" s="1952">
        <v>2045</v>
      </c>
      <c r="M1218" s="1952">
        <v>2050</v>
      </c>
      <c r="N1218" s="1650"/>
      <c r="O1218" s="887"/>
    </row>
    <row r="1219" spans="3:15" ht="15" customHeight="1">
      <c r="C1219" s="1287"/>
      <c r="D1219" s="1554" t="s">
        <v>504</v>
      </c>
      <c r="E1219" s="1554"/>
      <c r="F1219" s="1958" cm="1">
        <f t="array" ref="F1219:M1219">E451*(1+(CHOOSE(L8,E134:L134,E135:L135,E136:L136,E137:L137)))+E478*(1+(CHOOSE(L8,E134:L134,E135:L135,E136:L136,E137:L137)))</f>
        <v>1.5167502000000002E-5</v>
      </c>
      <c r="G1219" s="1958">
        <v>1.5167502000000002E-5</v>
      </c>
      <c r="H1219" s="1958">
        <v>1.5167502000000002E-5</v>
      </c>
      <c r="I1219" s="1958">
        <v>1.5167502000000002E-5</v>
      </c>
      <c r="J1219" s="1958">
        <v>1.5167502000000002E-5</v>
      </c>
      <c r="K1219" s="1958">
        <v>1.5167502000000002E-5</v>
      </c>
      <c r="L1219" s="1958">
        <v>1.5167502000000002E-5</v>
      </c>
      <c r="M1219" s="1958">
        <v>1.5167502000000002E-5</v>
      </c>
      <c r="N1219" s="1650"/>
      <c r="O1219" s="887"/>
    </row>
    <row r="1220" spans="3:15" ht="15" customHeight="1">
      <c r="C1220" s="1287"/>
      <c r="D1220" s="1287" t="s">
        <v>569</v>
      </c>
      <c r="E1220" s="1287"/>
      <c r="F1220" s="1959" cm="1">
        <f t="array" ref="F1220:M1220">F451*(1+(CHOOSE(L8,E134:L134,E135:L135,E136:L136,E137:L137)))+F478*(1+(CHOOSE(L8,E134:L134,E135:L135,E136:L136,E137:L137)))</f>
        <v>6.0670008000000009E-5</v>
      </c>
      <c r="G1220" s="1959">
        <v>6.0670008000000009E-5</v>
      </c>
      <c r="H1220" s="1959">
        <v>6.0670008000000009E-5</v>
      </c>
      <c r="I1220" s="1959">
        <v>6.0670008000000009E-5</v>
      </c>
      <c r="J1220" s="1959">
        <v>6.0670008000000009E-5</v>
      </c>
      <c r="K1220" s="1959">
        <v>6.0670008000000009E-5</v>
      </c>
      <c r="L1220" s="1959">
        <v>6.0670008000000009E-5</v>
      </c>
      <c r="M1220" s="1959">
        <v>6.0670008000000009E-5</v>
      </c>
      <c r="N1220" s="1650"/>
      <c r="O1220" s="887"/>
    </row>
    <row r="1221" spans="3:15" ht="15" customHeight="1">
      <c r="C1221" s="1287"/>
      <c r="D1221" s="1287" t="s">
        <v>513</v>
      </c>
      <c r="E1221" s="1287"/>
      <c r="F1221" s="1959" cm="1">
        <f t="array" ref="F1221:M1221">G451*(1+(CHOOSE(L8,E134:L134,E135:L135,E136:L136,E137:L137)))+G478*(1+(CHOOSE(L8,E134:L134,E135:L135,E136:L136,E137:L137)))</f>
        <v>1.911105252E-4</v>
      </c>
      <c r="G1221" s="1959">
        <v>1.911105252E-4</v>
      </c>
      <c r="H1221" s="1959">
        <v>1.911105252E-4</v>
      </c>
      <c r="I1221" s="1959">
        <v>1.911105252E-4</v>
      </c>
      <c r="J1221" s="1959">
        <v>1.911105252E-4</v>
      </c>
      <c r="K1221" s="1959">
        <v>1.911105252E-4</v>
      </c>
      <c r="L1221" s="1959">
        <v>1.911105252E-4</v>
      </c>
      <c r="M1221" s="1959">
        <v>1.911105252E-4</v>
      </c>
      <c r="N1221" s="1650"/>
      <c r="O1221" s="887"/>
    </row>
    <row r="1222" spans="3:15" ht="15" customHeight="1">
      <c r="C1222" s="1287"/>
      <c r="D1222" s="1287" t="s">
        <v>1854</v>
      </c>
      <c r="E1222" s="1287"/>
      <c r="F1222" s="1959" cm="1">
        <f t="array" ref="F1222:M1222">H451*(1+(CHOOSE(L8,E134:L134,E135:L135,E136:L136,E137:L137)))</f>
        <v>1.7932022068965504E-5</v>
      </c>
      <c r="G1222" s="1959">
        <v>1.7932022068965504E-5</v>
      </c>
      <c r="H1222" s="1959">
        <v>1.7932022068965504E-5</v>
      </c>
      <c r="I1222" s="1959">
        <v>1.7932022068965504E-5</v>
      </c>
      <c r="J1222" s="1959">
        <v>1.7932022068965504E-5</v>
      </c>
      <c r="K1222" s="1959">
        <v>1.7932022068965504E-5</v>
      </c>
      <c r="L1222" s="1959">
        <v>1.7932022068965504E-5</v>
      </c>
      <c r="M1222" s="1959">
        <v>1.7932022068965504E-5</v>
      </c>
      <c r="N1222" s="1650"/>
      <c r="O1222" s="887"/>
    </row>
    <row r="1223" spans="3:15" ht="15" customHeight="1">
      <c r="C1223" s="1287"/>
      <c r="D1223" s="1287" t="s">
        <v>1860</v>
      </c>
      <c r="E1223" s="1287"/>
      <c r="F1223" s="1959" cm="1">
        <f t="array" ref="F1223:M1223">I451*(1+(CHOOSE(L8,E134:L134,E135:L135,E136:L136,E137:L137)))</f>
        <v>1.4196184137931024E-5</v>
      </c>
      <c r="G1223" s="1959">
        <v>1.4196184137931024E-5</v>
      </c>
      <c r="H1223" s="1959">
        <v>1.4196184137931024E-5</v>
      </c>
      <c r="I1223" s="1959">
        <v>1.4196184137931024E-5</v>
      </c>
      <c r="J1223" s="1959">
        <v>1.4196184137931024E-5</v>
      </c>
      <c r="K1223" s="1959">
        <v>1.4196184137931024E-5</v>
      </c>
      <c r="L1223" s="1959">
        <v>1.4196184137931024E-5</v>
      </c>
      <c r="M1223" s="1959">
        <v>1.4196184137931024E-5</v>
      </c>
      <c r="N1223" s="1650"/>
      <c r="O1223" s="887"/>
    </row>
    <row r="1224" spans="3:15" ht="15" customHeight="1">
      <c r="C1224" s="1287"/>
      <c r="D1224" s="1478" t="s">
        <v>570</v>
      </c>
      <c r="E1224" s="1478"/>
      <c r="F1224" s="1960" cm="1">
        <f t="array" ref="F1224:M1224">J451*(1+(CHOOSE(L8,E134:L134,E135:L135,E136:L136,E137:L137)))</f>
        <v>2.2415027586206881E-6</v>
      </c>
      <c r="G1224" s="1960">
        <v>2.2415027586206881E-6</v>
      </c>
      <c r="H1224" s="1960">
        <v>2.2415027586206881E-6</v>
      </c>
      <c r="I1224" s="1960">
        <v>2.2415027586206881E-6</v>
      </c>
      <c r="J1224" s="1960">
        <v>2.2415027586206881E-6</v>
      </c>
      <c r="K1224" s="1960">
        <v>2.2415027586206881E-6</v>
      </c>
      <c r="L1224" s="1960">
        <v>2.2415027586206881E-6</v>
      </c>
      <c r="M1224" s="1960">
        <v>2.2415027586206881E-6</v>
      </c>
      <c r="N1224" s="1650"/>
      <c r="O1224" s="887"/>
    </row>
    <row r="1225" spans="3:15" ht="15" customHeight="1">
      <c r="C1225" s="1287"/>
      <c r="D1225" s="649" t="s">
        <v>338</v>
      </c>
      <c r="E1225" s="1290"/>
      <c r="F1225" s="1977">
        <f>SUM(F1219:F1224)</f>
        <v>3.0131774416551724E-4</v>
      </c>
      <c r="G1225" s="1977">
        <f>SUM(G1219:G1224)</f>
        <v>3.0131774416551724E-4</v>
      </c>
      <c r="H1225" s="1977">
        <f>SUM(H1219:H1224)</f>
        <v>3.0131774416551724E-4</v>
      </c>
      <c r="I1225" s="1977">
        <f t="shared" ref="I1225:M1225" si="85">SUM(I1219:I1224)</f>
        <v>3.0131774416551724E-4</v>
      </c>
      <c r="J1225" s="1977">
        <f>SUM(J1219:J1224)</f>
        <v>3.0131774416551724E-4</v>
      </c>
      <c r="K1225" s="1977">
        <f>SUM(K1219:K1224)</f>
        <v>3.0131774416551724E-4</v>
      </c>
      <c r="L1225" s="1977">
        <f>SUM(L1219:L1224)</f>
        <v>3.0131774416551724E-4</v>
      </c>
      <c r="M1225" s="1977">
        <f t="shared" si="85"/>
        <v>3.0131774416551724E-4</v>
      </c>
      <c r="N1225" s="1650"/>
      <c r="O1225" s="887"/>
    </row>
    <row r="1226" spans="3:15" ht="15" customHeight="1">
      <c r="C1226" s="1287"/>
      <c r="D1226" s="609"/>
      <c r="E1226" s="1287"/>
      <c r="F1226" s="2871"/>
      <c r="G1226" s="2871"/>
      <c r="H1226" s="2871"/>
      <c r="I1226" s="2871"/>
      <c r="J1226" s="2871"/>
      <c r="K1226" s="2871"/>
      <c r="L1226" s="2871"/>
      <c r="M1226" s="2869" t="s">
        <v>9</v>
      </c>
      <c r="N1226" s="1650"/>
      <c r="O1226" s="887"/>
    </row>
    <row r="1227" spans="3:15" ht="15" customHeight="1">
      <c r="C1227" s="1950" t="s">
        <v>564</v>
      </c>
      <c r="D1227" s="1951"/>
      <c r="E1227" s="1950"/>
      <c r="F1227" s="1952">
        <v>2018</v>
      </c>
      <c r="G1227" s="1952">
        <v>2020</v>
      </c>
      <c r="H1227" s="1952">
        <v>2025</v>
      </c>
      <c r="I1227" s="1952">
        <v>2030</v>
      </c>
      <c r="J1227" s="1952">
        <v>2035</v>
      </c>
      <c r="K1227" s="1952">
        <v>2040</v>
      </c>
      <c r="L1227" s="1952">
        <v>2045</v>
      </c>
      <c r="M1227" s="1952">
        <v>2050</v>
      </c>
      <c r="N1227" s="1650"/>
      <c r="O1227" s="887"/>
    </row>
    <row r="1228" spans="3:15" ht="15" customHeight="1">
      <c r="C1228" s="1287"/>
      <c r="D1228" s="1554" t="s">
        <v>504</v>
      </c>
      <c r="E1228" s="1554"/>
      <c r="F1228" s="1958" cm="1">
        <f t="array" ref="F1228:M1228">E452*(1+(CHOOSE(L8,E95:L95,E106:L106,E117:L117,E128:L128)))+E478*(1+(CHOOSE(L8,E95:L95,E106:L106,E117:L117,E128:L128)))</f>
        <v>1.0617251400000001E-4</v>
      </c>
      <c r="G1228" s="1959">
        <v>1.0617251400000001E-4</v>
      </c>
      <c r="H1228" s="1959">
        <v>1.0617251400000001E-4</v>
      </c>
      <c r="I1228" s="1959">
        <v>1.0617251400000001E-4</v>
      </c>
      <c r="J1228" s="1959">
        <v>1.0617251400000001E-4</v>
      </c>
      <c r="K1228" s="1959">
        <v>1.0617251400000001E-4</v>
      </c>
      <c r="L1228" s="1959">
        <v>1.0617251400000001E-4</v>
      </c>
      <c r="M1228" s="1959">
        <v>1.0617251400000001E-4</v>
      </c>
      <c r="N1228" s="1650"/>
      <c r="O1228" s="887"/>
    </row>
    <row r="1229" spans="3:15" ht="15" customHeight="1">
      <c r="C1229" s="1287"/>
      <c r="D1229" s="1287" t="s">
        <v>569</v>
      </c>
      <c r="E1229" s="1287"/>
      <c r="F1229" s="1959" cm="1">
        <f t="array" ref="F1229:M1229">F452*(1+(CHOOSE(L8,E95:L95,E106:L106,E117:L117,E128:L128)))+F478*(1+(CHOOSE(L8,E95:L95,E106:L106,E117:L117,E128:L128)))</f>
        <v>4.2469005600000002E-4</v>
      </c>
      <c r="G1229" s="1959">
        <v>4.2469005600000002E-4</v>
      </c>
      <c r="H1229" s="1959">
        <v>4.2469005600000002E-4</v>
      </c>
      <c r="I1229" s="1959">
        <v>4.2469005600000002E-4</v>
      </c>
      <c r="J1229" s="1959">
        <v>4.2469005600000002E-4</v>
      </c>
      <c r="K1229" s="1959">
        <v>4.2469005600000002E-4</v>
      </c>
      <c r="L1229" s="1959">
        <v>4.2469005600000002E-4</v>
      </c>
      <c r="M1229" s="1959">
        <v>4.2469005600000002E-4</v>
      </c>
      <c r="N1229" s="1650"/>
      <c r="O1229" s="887"/>
    </row>
    <row r="1230" spans="3:15" ht="15" customHeight="1">
      <c r="C1230" s="1287"/>
      <c r="D1230" s="1287" t="s">
        <v>513</v>
      </c>
      <c r="E1230" s="1287"/>
      <c r="F1230" s="1959" cm="1">
        <f t="array" ref="F1230:M1230">G452*(1+(CHOOSE(L8,E95:L95,E106:L106,E117:L117,E128:L128)))+G478*(1+(CHOOSE(L8,E95:L95,E106:L106,E117:L117,E128:L128)))</f>
        <v>1.3377736764000002E-3</v>
      </c>
      <c r="G1230" s="1959">
        <v>1.3377736764000002E-3</v>
      </c>
      <c r="H1230" s="1959">
        <v>1.3377736764000002E-3</v>
      </c>
      <c r="I1230" s="1959">
        <v>1.3377736764000002E-3</v>
      </c>
      <c r="J1230" s="1959">
        <v>1.3377736764000002E-3</v>
      </c>
      <c r="K1230" s="1959">
        <v>1.3377736764000002E-3</v>
      </c>
      <c r="L1230" s="1959">
        <v>1.3377736764000002E-3</v>
      </c>
      <c r="M1230" s="1959">
        <v>1.3377736764000002E-3</v>
      </c>
      <c r="N1230" s="1650"/>
      <c r="O1230" s="887"/>
    </row>
    <row r="1231" spans="3:15" ht="15" customHeight="1">
      <c r="C1231" s="1287"/>
      <c r="D1231" s="1287" t="s">
        <v>1854</v>
      </c>
      <c r="E1231" s="1287"/>
      <c r="F1231" s="1959" cm="1">
        <f t="array" ref="F1231:M1231">H452*(1+(CHOOSE(L8,E95:L95,E106:L106,E117:L117,E128:L128)))</f>
        <v>1.2552415448275855E-4</v>
      </c>
      <c r="G1231" s="1959">
        <v>1.2552415448275855E-4</v>
      </c>
      <c r="H1231" s="1959">
        <v>1.2552415448275855E-4</v>
      </c>
      <c r="I1231" s="1959">
        <v>1.2552415448275855E-4</v>
      </c>
      <c r="J1231" s="1959">
        <v>1.2552415448275855E-4</v>
      </c>
      <c r="K1231" s="1959">
        <v>1.2552415448275855E-4</v>
      </c>
      <c r="L1231" s="1959">
        <v>1.2552415448275855E-4</v>
      </c>
      <c r="M1231" s="1959">
        <v>1.2552415448275855E-4</v>
      </c>
      <c r="N1231" s="1650"/>
      <c r="O1231" s="887"/>
    </row>
    <row r="1232" spans="3:15" ht="15" customHeight="1">
      <c r="C1232" s="1287"/>
      <c r="D1232" s="1287" t="s">
        <v>1860</v>
      </c>
      <c r="E1232" s="1287"/>
      <c r="F1232" s="1959" cm="1">
        <f t="array" ref="F1232:M1232">I452*(1+(CHOOSE(L8,E95:L95,E106:L106,E117:L117,E128:L128)))</f>
        <v>9.9373288965517176E-5</v>
      </c>
      <c r="G1232" s="1959">
        <v>9.9373288965517176E-5</v>
      </c>
      <c r="H1232" s="1959">
        <v>9.9373288965517176E-5</v>
      </c>
      <c r="I1232" s="1959">
        <v>9.9373288965517176E-5</v>
      </c>
      <c r="J1232" s="1959">
        <v>9.9373288965517176E-5</v>
      </c>
      <c r="K1232" s="1959">
        <v>9.9373288965517176E-5</v>
      </c>
      <c r="L1232" s="1959">
        <v>9.9373288965517176E-5</v>
      </c>
      <c r="M1232" s="1959">
        <v>9.9373288965517176E-5</v>
      </c>
      <c r="N1232" s="1650"/>
      <c r="O1232" s="887"/>
    </row>
    <row r="1233" spans="3:15" ht="15" customHeight="1">
      <c r="C1233" s="1287"/>
      <c r="D1233" s="1478" t="s">
        <v>570</v>
      </c>
      <c r="E1233" s="1478"/>
      <c r="F1233" s="1960" cm="1">
        <f t="array" ref="F1233:M1233">J452*(1+(CHOOSE(L8,E95:L95,E106:L106,E117:L117,E128:L128)))</f>
        <v>1.5690519310344819E-5</v>
      </c>
      <c r="G1233" s="1960">
        <v>1.5690519310344819E-5</v>
      </c>
      <c r="H1233" s="1960">
        <v>1.5690519310344819E-5</v>
      </c>
      <c r="I1233" s="1960">
        <v>1.5690519310344819E-5</v>
      </c>
      <c r="J1233" s="1960">
        <v>1.5690519310344819E-5</v>
      </c>
      <c r="K1233" s="1960">
        <v>1.5690519310344819E-5</v>
      </c>
      <c r="L1233" s="1960">
        <v>1.5690519310344819E-5</v>
      </c>
      <c r="M1233" s="1960">
        <v>1.5690519310344819E-5</v>
      </c>
      <c r="N1233" s="1650"/>
      <c r="O1233" s="887"/>
    </row>
    <row r="1234" spans="3:15" ht="15" customHeight="1">
      <c r="C1234" s="1477"/>
      <c r="D1234" s="649" t="s">
        <v>338</v>
      </c>
      <c r="E1234" s="1290"/>
      <c r="F1234" s="1977">
        <f t="shared" ref="F1234:M1234" si="86">SUM(F1228:F1233)</f>
        <v>2.1092242091586208E-3</v>
      </c>
      <c r="G1234" s="1977">
        <f t="shared" si="86"/>
        <v>2.1092242091586208E-3</v>
      </c>
      <c r="H1234" s="1977">
        <f t="shared" si="86"/>
        <v>2.1092242091586208E-3</v>
      </c>
      <c r="I1234" s="1977">
        <f t="shared" si="86"/>
        <v>2.1092242091586208E-3</v>
      </c>
      <c r="J1234" s="1977">
        <f t="shared" si="86"/>
        <v>2.1092242091586208E-3</v>
      </c>
      <c r="K1234" s="1977">
        <f t="shared" si="86"/>
        <v>2.1092242091586208E-3</v>
      </c>
      <c r="L1234" s="1977">
        <f t="shared" si="86"/>
        <v>2.1092242091586208E-3</v>
      </c>
      <c r="M1234" s="1977">
        <f t="shared" si="86"/>
        <v>2.1092242091586208E-3</v>
      </c>
      <c r="N1234" s="1650"/>
      <c r="O1234" s="887"/>
    </row>
    <row r="1235" spans="3:15" ht="15" customHeight="1">
      <c r="C1235" s="1287"/>
      <c r="D1235" s="609"/>
      <c r="E1235" s="1287"/>
      <c r="F1235" s="2867"/>
      <c r="G1235" s="2867"/>
      <c r="H1235" s="2867"/>
      <c r="I1235" s="2867"/>
      <c r="J1235" s="2867"/>
      <c r="K1235" s="2867"/>
      <c r="L1235" s="2867"/>
      <c r="M1235" s="2867"/>
      <c r="N1235" s="1650"/>
      <c r="O1235" s="887"/>
    </row>
    <row r="1236" spans="3:15" ht="15" customHeight="1">
      <c r="C1236" s="1287"/>
      <c r="D1236" s="609"/>
      <c r="E1236" s="1287"/>
      <c r="F1236" s="2867"/>
      <c r="G1236" s="2867"/>
      <c r="H1236" s="2867"/>
      <c r="I1236" s="2867"/>
      <c r="J1236" s="2867"/>
      <c r="K1236" s="2867"/>
      <c r="L1236" s="2867"/>
      <c r="M1236" s="2867"/>
      <c r="N1236" s="1650"/>
      <c r="O1236" s="887"/>
    </row>
    <row r="1237" spans="3:15" ht="15" customHeight="1">
      <c r="C1237" s="1287"/>
      <c r="D1237" s="609"/>
      <c r="E1237" s="1287"/>
      <c r="F1237" s="2867"/>
      <c r="G1237" s="2867"/>
      <c r="H1237" s="2867"/>
      <c r="I1237" s="2867"/>
      <c r="J1237" s="2867"/>
      <c r="K1237" s="2867"/>
      <c r="L1237" s="2867"/>
      <c r="M1237" s="2867"/>
      <c r="N1237" s="1650"/>
      <c r="O1237" s="887"/>
    </row>
    <row r="1238" spans="3:15" ht="15" customHeight="1">
      <c r="C1238" s="1419" t="s">
        <v>1904</v>
      </c>
      <c r="D1238" s="1287"/>
      <c r="E1238" s="1287"/>
      <c r="F1238" s="1287"/>
      <c r="G1238" s="1287"/>
      <c r="H1238" s="1287"/>
      <c r="I1238" s="1287"/>
      <c r="J1238" s="1287"/>
      <c r="K1238" s="1287"/>
      <c r="L1238" s="1287"/>
      <c r="M1238" s="1287"/>
      <c r="N1238" s="1650"/>
      <c r="O1238" s="887"/>
    </row>
    <row r="1239" spans="3:15" ht="15" customHeight="1">
      <c r="C1239" s="1419"/>
      <c r="D1239" s="1287"/>
      <c r="E1239" s="1287"/>
      <c r="F1239" s="1287"/>
      <c r="G1239" s="1287"/>
      <c r="H1239" s="1287"/>
      <c r="I1239" s="1287"/>
      <c r="J1239" s="1287"/>
      <c r="K1239" s="1287"/>
      <c r="L1239" s="1287"/>
      <c r="M1239" s="1277" t="s">
        <v>1716</v>
      </c>
      <c r="N1239" s="1650"/>
      <c r="O1239" s="887"/>
    </row>
    <row r="1240" spans="3:15" ht="15" customHeight="1">
      <c r="C1240" s="1950" t="s">
        <v>917</v>
      </c>
      <c r="D1240" s="1951"/>
      <c r="E1240" s="1950"/>
      <c r="F1240" s="1952">
        <v>2018</v>
      </c>
      <c r="G1240" s="1952">
        <v>2020</v>
      </c>
      <c r="H1240" s="1952">
        <v>2025</v>
      </c>
      <c r="I1240" s="1952">
        <v>2030</v>
      </c>
      <c r="J1240" s="1952">
        <v>2035</v>
      </c>
      <c r="K1240" s="1952">
        <v>2040</v>
      </c>
      <c r="L1240" s="1952">
        <v>2045</v>
      </c>
      <c r="M1240" s="1952">
        <v>2050</v>
      </c>
      <c r="N1240" s="1650"/>
      <c r="O1240" s="887"/>
    </row>
    <row r="1241" spans="3:15" ht="15" customHeight="1">
      <c r="C1241" s="1287"/>
      <c r="D1241" s="1554" t="s">
        <v>504</v>
      </c>
      <c r="E1241" s="1554"/>
      <c r="F1241" s="1967" cm="1">
        <f t="array" ref="F1241:M1241">F865:M865*FE_INDUSTRIA_CO2_BAGAZO*UNIDAD_T_A_MT+((_xlfn.ANCHORARRAY(F1030)+_xlfn.ANCHORARRAY(F1105)))</f>
        <v>7.4689999999999999E-4</v>
      </c>
      <c r="G1241" s="1967">
        <v>7.4689999999999999E-4</v>
      </c>
      <c r="H1241" s="1967">
        <v>7.4689999999999999E-4</v>
      </c>
      <c r="I1241" s="1967">
        <v>7.4689999999999999E-4</v>
      </c>
      <c r="J1241" s="1967">
        <v>7.4689999999999999E-4</v>
      </c>
      <c r="K1241" s="1967">
        <v>7.4689999999999999E-4</v>
      </c>
      <c r="L1241" s="1967">
        <v>7.4689999999999999E-4</v>
      </c>
      <c r="M1241" s="1967">
        <v>7.4689999999999999E-4</v>
      </c>
      <c r="N1241" s="1650"/>
      <c r="O1241" s="887"/>
    </row>
    <row r="1242" spans="3:15" ht="15" customHeight="1">
      <c r="C1242" s="1287"/>
      <c r="D1242" s="1287" t="s">
        <v>569</v>
      </c>
      <c r="E1242" s="1287"/>
      <c r="F1242" s="1968" cm="1">
        <f t="array" ref="F1242:M1242">F866:M866*FE_INDUSTRIA_CO2_CARBON_MINERAL*UNIDAD_T_A_MT</f>
        <v>0.32541484283485878</v>
      </c>
      <c r="G1242" s="1968">
        <v>0.32541484283485878</v>
      </c>
      <c r="H1242" s="1968">
        <v>0.37766825827882944</v>
      </c>
      <c r="I1242" s="1968">
        <v>0.43133441452371513</v>
      </c>
      <c r="J1242" s="1968">
        <v>0.43133441452371513</v>
      </c>
      <c r="K1242" s="1968">
        <v>0.43133441452371513</v>
      </c>
      <c r="L1242" s="1968">
        <v>0.43133441452371513</v>
      </c>
      <c r="M1242" s="1968">
        <v>0.43133441452371513</v>
      </c>
      <c r="N1242" s="1649"/>
      <c r="O1242" s="887"/>
    </row>
    <row r="1243" spans="3:15" ht="15" customHeight="1">
      <c r="C1243" s="1287"/>
      <c r="D1243" s="1287" t="s">
        <v>513</v>
      </c>
      <c r="E1243" s="1287"/>
      <c r="F1243" s="1968" cm="1">
        <f t="array" ref="F1243:M1243">F867:M867*FE_INDUSTRIA_CO2_GAS_NATURAL*UNIDAD_T_A_MT</f>
        <v>5.8826724531100626E-2</v>
      </c>
      <c r="G1243" s="1968">
        <v>5.8826724531100626E-2</v>
      </c>
      <c r="H1243" s="1968">
        <v>6.8272812636219912E-2</v>
      </c>
      <c r="I1243" s="1968">
        <v>7.7974288335848685E-2</v>
      </c>
      <c r="J1243" s="1968">
        <v>7.7974288335848685E-2</v>
      </c>
      <c r="K1243" s="1968">
        <v>7.7974288335848685E-2</v>
      </c>
      <c r="L1243" s="1968">
        <v>7.7974288335848685E-2</v>
      </c>
      <c r="M1243" s="1968">
        <v>7.7974288335848685E-2</v>
      </c>
      <c r="N1243" s="1649"/>
      <c r="O1243" s="887"/>
    </row>
    <row r="1244" spans="3:15" ht="15" customHeight="1">
      <c r="C1244" s="1287"/>
      <c r="D1244" s="1287" t="s">
        <v>503</v>
      </c>
      <c r="E1244" s="1287"/>
      <c r="F1244" s="1968" cm="1">
        <f t="array" ref="F1244:M1244">F868:M868*FE_INDUSTRIA_CO2_LEÑA*UNIDAD_T_A_MT</f>
        <v>1.5933255898674576E-3</v>
      </c>
      <c r="G1244" s="1968">
        <v>1.5933255898674576E-3</v>
      </c>
      <c r="H1244" s="1968">
        <v>1.8491734893042529E-3</v>
      </c>
      <c r="I1244" s="1968">
        <v>2.1119385780442135E-3</v>
      </c>
      <c r="J1244" s="1968">
        <v>2.1119385780442135E-3</v>
      </c>
      <c r="K1244" s="1968">
        <v>2.1119385780442135E-3</v>
      </c>
      <c r="L1244" s="1968">
        <v>2.1119385780442135E-3</v>
      </c>
      <c r="M1244" s="1968">
        <v>2.1119385780442135E-3</v>
      </c>
      <c r="N1244" s="1966"/>
      <c r="O1244" s="887"/>
    </row>
    <row r="1245" spans="3:15" ht="15" customHeight="1">
      <c r="C1245" s="1287"/>
      <c r="D1245" s="1287" t="s">
        <v>525</v>
      </c>
      <c r="E1245" s="1287"/>
      <c r="F1245" s="1968" cm="1">
        <f t="array" ref="F1245:M1245">F869:M869*FE_INDUSTRIA_CO2_PETROLEO*UNIDAD_T_A_MT</f>
        <v>2.4629386502294815E-4</v>
      </c>
      <c r="G1245" s="1968">
        <v>2.4629386502294815E-4</v>
      </c>
      <c r="H1245" s="1968">
        <v>2.8584244719034619E-4</v>
      </c>
      <c r="I1245" s="1968">
        <v>3.2646027804075404E-4</v>
      </c>
      <c r="J1245" s="1968">
        <v>3.2646027804075404E-4</v>
      </c>
      <c r="K1245" s="1968">
        <v>3.2646027804075404E-4</v>
      </c>
      <c r="L1245" s="1968">
        <v>3.2646027804075404E-4</v>
      </c>
      <c r="M1245" s="1968">
        <v>3.2646027804075404E-4</v>
      </c>
      <c r="N1245" s="1966"/>
      <c r="O1245" s="887"/>
    </row>
    <row r="1246" spans="3:15" ht="15" customHeight="1">
      <c r="C1246" s="1287"/>
      <c r="D1246" s="1287" t="s">
        <v>487</v>
      </c>
      <c r="E1246" s="1287"/>
      <c r="F1246" s="1968" cm="1">
        <f t="array" ref="F1246:M1246">F870:M870*FE_INDUSTRIA_CO2_RESIDUOS*UNIDAD_T_A_MT</f>
        <v>5.8464570212658177E-4</v>
      </c>
      <c r="G1246" s="1968">
        <v>5.8464570212658177E-4</v>
      </c>
      <c r="H1246" s="1968">
        <v>6.7852505469273225E-4</v>
      </c>
      <c r="I1246" s="1968">
        <v>7.7494256080553291E-4</v>
      </c>
      <c r="J1246" s="1968">
        <v>7.7494256080553291E-4</v>
      </c>
      <c r="K1246" s="1968">
        <v>7.7494256080553291E-4</v>
      </c>
      <c r="L1246" s="1968">
        <v>7.7494256080553291E-4</v>
      </c>
      <c r="M1246" s="1968">
        <v>7.7494256080553291E-4</v>
      </c>
      <c r="N1246" s="1966"/>
      <c r="O1246" s="887"/>
    </row>
    <row r="1247" spans="3:15" ht="15" customHeight="1">
      <c r="C1247" s="1287"/>
      <c r="D1247" s="1287" t="s">
        <v>494</v>
      </c>
      <c r="E1247" s="1287"/>
      <c r="F1247" s="1968" cm="1">
        <f t="array" ref="F1247:M1247">F871:M871*FE_INDUSTRIA_CO2_GASOLINA*UNIDAD_T_A_MT</f>
        <v>1.9360082050538709E-4</v>
      </c>
      <c r="G1247" s="1968">
        <v>1.9360082050538709E-4</v>
      </c>
      <c r="H1247" s="1968">
        <v>2.2468822886092849E-4</v>
      </c>
      <c r="I1247" s="1968">
        <v>2.5661612677692119E-4</v>
      </c>
      <c r="J1247" s="1968">
        <v>2.5661612677692119E-4</v>
      </c>
      <c r="K1247" s="1968">
        <v>2.5661612677692119E-4</v>
      </c>
      <c r="L1247" s="1968">
        <v>2.5661612677692119E-4</v>
      </c>
      <c r="M1247" s="1968">
        <v>2.5661612677692119E-4</v>
      </c>
      <c r="N1247" s="1966"/>
      <c r="O1247" s="887"/>
    </row>
    <row r="1248" spans="3:15" ht="15" customHeight="1">
      <c r="C1248" s="1287"/>
      <c r="D1248" s="1287" t="s">
        <v>1854</v>
      </c>
      <c r="E1248" s="1287"/>
      <c r="F1248" s="1968" cm="1">
        <f t="array" ref="F1248:M1248">(F872:M872*FE_INDUSTRIA_CO2_DIESEL_OIL*UNIDAD_T_A_MT)</f>
        <v>6.948513676760794E-3</v>
      </c>
      <c r="G1248" s="1968">
        <v>6.948513676760794E-3</v>
      </c>
      <c r="H1248" s="1968">
        <v>8.0642697028439399E-3</v>
      </c>
      <c r="I1248" s="1968">
        <v>9.210191681688679E-3</v>
      </c>
      <c r="J1248" s="1968">
        <v>9.210191681688679E-3</v>
      </c>
      <c r="K1248" s="1968">
        <v>9.210191681688679E-3</v>
      </c>
      <c r="L1248" s="1968">
        <v>9.210191681688679E-3</v>
      </c>
      <c r="M1248" s="1968">
        <v>9.210191681688679E-3</v>
      </c>
      <c r="N1248" s="1966"/>
      <c r="O1248" s="887"/>
    </row>
    <row r="1249" spans="3:15" ht="15" customHeight="1">
      <c r="C1249" s="1287"/>
      <c r="D1249" s="1287" t="s">
        <v>506</v>
      </c>
      <c r="E1249" s="1287"/>
      <c r="F1249" s="1968" cm="1">
        <f t="array" ref="F1249:M1249">F873:M873*FE_INDUSTRIA_CO2_CARBON_VEGETAL*UNIDAD_T_A_MT</f>
        <v>1.0661195705093637E-4</v>
      </c>
      <c r="G1249" s="1968">
        <v>1.0661195705093637E-4</v>
      </c>
      <c r="H1249" s="1968">
        <v>1.2373114815650131E-4</v>
      </c>
      <c r="I1249" s="1968">
        <v>1.413131794333356E-4</v>
      </c>
      <c r="J1249" s="1968">
        <v>1.413131794333356E-4</v>
      </c>
      <c r="K1249" s="1968">
        <v>1.413131794333356E-4</v>
      </c>
      <c r="L1249" s="1968">
        <v>1.413131794333356E-4</v>
      </c>
      <c r="M1249" s="1968">
        <v>1.413131794333356E-4</v>
      </c>
      <c r="N1249" s="1966"/>
      <c r="O1249" s="887"/>
    </row>
    <row r="1250" spans="3:15" ht="15" customHeight="1">
      <c r="C1250" s="1287"/>
      <c r="D1250" s="1287" t="s">
        <v>507</v>
      </c>
      <c r="E1250" s="1287"/>
      <c r="F1250" s="1968" cm="1">
        <f t="array" ref="F1250:M1250">F874:M874*FE_INDUSTRIA_CO2_COQUE*UNIDAD_T_A_MT</f>
        <v>1.7898301475037356E-3</v>
      </c>
      <c r="G1250" s="1968">
        <v>1.7898301475037356E-3</v>
      </c>
      <c r="H1250" s="1968">
        <v>2.0772317222349712E-3</v>
      </c>
      <c r="I1250" s="1968">
        <v>2.3724035819785894E-3</v>
      </c>
      <c r="J1250" s="1968">
        <v>2.3724035819785894E-3</v>
      </c>
      <c r="K1250" s="1968">
        <v>2.3724035819785894E-3</v>
      </c>
      <c r="L1250" s="1968">
        <v>2.3724035819785894E-3</v>
      </c>
      <c r="M1250" s="1968">
        <v>2.3724035819785894E-3</v>
      </c>
      <c r="N1250" s="1966"/>
      <c r="O1250" s="887"/>
    </row>
    <row r="1251" spans="3:15" ht="15" customHeight="1">
      <c r="C1251" s="1287"/>
      <c r="D1251" s="1287" t="s">
        <v>570</v>
      </c>
      <c r="E1251" s="1287"/>
      <c r="F1251" s="1968" cm="1">
        <f t="array" ref="F1251:M1251">F875:M875*FE_INDUSTRIA_CO2_FUEL_OIL*UNIDAD_T_A_MT</f>
        <v>1.108767666796757E-3</v>
      </c>
      <c r="G1251" s="1968">
        <v>1.108767666796757E-3</v>
      </c>
      <c r="H1251" s="1968">
        <v>1.2868077863538562E-3</v>
      </c>
      <c r="I1251" s="1968">
        <v>1.4696614580770879E-3</v>
      </c>
      <c r="J1251" s="1968">
        <v>1.4696614580770879E-3</v>
      </c>
      <c r="K1251" s="1968">
        <v>1.4696614580770879E-3</v>
      </c>
      <c r="L1251" s="1968">
        <v>1.4696614580770879E-3</v>
      </c>
      <c r="M1251" s="1968">
        <v>1.4696614580770879E-3</v>
      </c>
      <c r="N1251" s="1966"/>
      <c r="O1251" s="887"/>
    </row>
    <row r="1252" spans="3:15" ht="15" customHeight="1">
      <c r="C1252" s="1287"/>
      <c r="D1252" s="1287" t="s">
        <v>498</v>
      </c>
      <c r="E1252" s="1287"/>
      <c r="F1252" s="1968" cm="1">
        <f t="array" ref="F1252:M1252">F876:M876*FE_INDUSTRIA_CO2_GLP*UNIDAD_T_A_MT</f>
        <v>9.209249187287716E-4</v>
      </c>
      <c r="G1252" s="1968">
        <v>9.209249187287716E-4</v>
      </c>
      <c r="H1252" s="1968">
        <v>1.0688022311212491E-3</v>
      </c>
      <c r="I1252" s="1968">
        <v>1.2206776039461696E-3</v>
      </c>
      <c r="J1252" s="1968">
        <v>1.2206776039461696E-3</v>
      </c>
      <c r="K1252" s="1968">
        <v>1.2206776039461696E-3</v>
      </c>
      <c r="L1252" s="1968">
        <v>1.2206776039461696E-3</v>
      </c>
      <c r="M1252" s="1968">
        <v>1.2206776039461696E-3</v>
      </c>
      <c r="N1252" s="1966"/>
      <c r="O1252" s="887"/>
    </row>
    <row r="1253" spans="3:15" ht="15" customHeight="1">
      <c r="C1253" s="1287"/>
      <c r="D1253" s="1287" t="s">
        <v>502</v>
      </c>
      <c r="E1253" s="1287"/>
      <c r="F1253" s="1968" cm="1">
        <f t="array" ref="F1253:M1253">F877:M877*FE_INDUSTRIA_CO2_QUEROSENO*UNIDAD_T_A_MT</f>
        <v>1.0276131094525658E-5</v>
      </c>
      <c r="G1253" s="1968">
        <v>1.0276131094525658E-5</v>
      </c>
      <c r="H1253" s="1968">
        <v>1.1926218541555387E-5</v>
      </c>
      <c r="I1253" s="1968">
        <v>1.362091830419531E-5</v>
      </c>
      <c r="J1253" s="1968">
        <v>1.362091830419531E-5</v>
      </c>
      <c r="K1253" s="1968">
        <v>1.362091830419531E-5</v>
      </c>
      <c r="L1253" s="1968">
        <v>1.362091830419531E-5</v>
      </c>
      <c r="M1253" s="1968">
        <v>1.362091830419531E-5</v>
      </c>
      <c r="N1253" s="1966"/>
      <c r="O1253" s="887"/>
    </row>
    <row r="1254" spans="3:15" ht="15" customHeight="1">
      <c r="C1254" s="1287"/>
      <c r="D1254" s="1287" t="s">
        <v>571</v>
      </c>
      <c r="E1254" s="1287"/>
      <c r="F1254" s="1968"/>
      <c r="G1254" s="1968"/>
      <c r="H1254" s="1968"/>
      <c r="I1254" s="1968"/>
      <c r="J1254" s="1968"/>
      <c r="K1254" s="1968"/>
      <c r="L1254" s="1968"/>
      <c r="M1254" s="1968"/>
      <c r="N1254" s="1966"/>
      <c r="O1254" s="887"/>
    </row>
    <row r="1255" spans="3:15" ht="15" customHeight="1">
      <c r="C1255" s="1287"/>
      <c r="D1255" s="454" t="s">
        <v>1878</v>
      </c>
      <c r="E1255" s="1287"/>
      <c r="F1255" s="1968"/>
      <c r="G1255" s="1968"/>
      <c r="H1255" s="1968"/>
      <c r="I1255" s="1968"/>
      <c r="J1255" s="1968"/>
      <c r="K1255" s="1968"/>
      <c r="L1255" s="1968"/>
      <c r="M1255" s="1968"/>
      <c r="N1255" s="1966"/>
      <c r="O1255" s="887"/>
    </row>
    <row r="1256" spans="3:15" ht="15" customHeight="1">
      <c r="C1256" s="1287"/>
      <c r="D1256" s="454" t="s">
        <v>549</v>
      </c>
      <c r="E1256" s="1287"/>
      <c r="F1256" s="1968"/>
      <c r="G1256" s="1968"/>
      <c r="H1256" s="1968"/>
      <c r="I1256" s="1968"/>
      <c r="J1256" s="1968"/>
      <c r="K1256" s="1968"/>
      <c r="L1256" s="1968"/>
      <c r="M1256" s="1968"/>
      <c r="N1256" s="1966"/>
      <c r="O1256" s="887"/>
    </row>
    <row r="1257" spans="3:15" ht="15" customHeight="1">
      <c r="C1257" s="1287"/>
      <c r="D1257" s="2866" t="s">
        <v>572</v>
      </c>
      <c r="E1257" s="1478"/>
      <c r="F1257" s="1647"/>
      <c r="G1257" s="1647"/>
      <c r="H1257" s="1647"/>
      <c r="I1257" s="1647"/>
      <c r="J1257" s="1647"/>
      <c r="K1257" s="1647"/>
      <c r="L1257" s="1647"/>
      <c r="M1257" s="1647"/>
      <c r="N1257" s="1966"/>
      <c r="O1257" s="887"/>
    </row>
    <row r="1258" spans="3:15" ht="15" customHeight="1">
      <c r="C1258" s="1287"/>
      <c r="D1258" s="649" t="s">
        <v>338</v>
      </c>
      <c r="E1258" s="1290"/>
      <c r="F1258" s="2873">
        <f t="shared" ref="F1258:M1258" si="87">SUM(F1241:F1257)</f>
        <v>0.3984912578414172</v>
      </c>
      <c r="G1258" s="2873">
        <f t="shared" si="87"/>
        <v>0.3984912578414172</v>
      </c>
      <c r="H1258" s="2873">
        <f t="shared" si="87"/>
        <v>0.46235896894434969</v>
      </c>
      <c r="I1258" s="2873">
        <f t="shared" si="87"/>
        <v>0.5279534288266593</v>
      </c>
      <c r="J1258" s="2873">
        <f t="shared" si="87"/>
        <v>0.5279534288266593</v>
      </c>
      <c r="K1258" s="2873">
        <f t="shared" si="87"/>
        <v>0.5279534288266593</v>
      </c>
      <c r="L1258" s="2873">
        <f t="shared" si="87"/>
        <v>0.5279534288266593</v>
      </c>
      <c r="M1258" s="2873">
        <f t="shared" si="87"/>
        <v>0.5279534288266593</v>
      </c>
      <c r="N1258" s="1966"/>
      <c r="O1258" s="887"/>
    </row>
    <row r="1259" spans="3:15" ht="15" customHeight="1">
      <c r="C1259" s="2874"/>
      <c r="D1259" s="415"/>
      <c r="E1259" s="1287"/>
      <c r="F1259" s="1970"/>
      <c r="G1259" s="1970"/>
      <c r="H1259" s="1970"/>
      <c r="I1259" s="1970"/>
      <c r="J1259" s="1970"/>
      <c r="K1259" s="1970"/>
      <c r="L1259" s="1970"/>
      <c r="M1259" s="1970"/>
      <c r="N1259" s="1966"/>
      <c r="O1259" s="887"/>
    </row>
    <row r="1260" spans="3:15" ht="15" customHeight="1">
      <c r="C1260" s="1477"/>
      <c r="D1260" s="1287"/>
      <c r="E1260" s="1287"/>
      <c r="F1260" s="1970"/>
      <c r="G1260" s="1970"/>
      <c r="H1260" s="1970"/>
      <c r="I1260" s="1970"/>
      <c r="J1260" s="1970"/>
      <c r="K1260" s="1970"/>
      <c r="L1260" s="1970"/>
      <c r="M1260" s="1651" t="s">
        <v>1716</v>
      </c>
      <c r="N1260" s="1966"/>
      <c r="O1260" s="887"/>
    </row>
    <row r="1261" spans="3:15" ht="15" customHeight="1">
      <c r="C1261" s="1950" t="s">
        <v>558</v>
      </c>
      <c r="D1261" s="1951"/>
      <c r="E1261" s="1950"/>
      <c r="F1261" s="1952">
        <v>2018</v>
      </c>
      <c r="G1261" s="1952">
        <v>2020</v>
      </c>
      <c r="H1261" s="1952">
        <v>2025</v>
      </c>
      <c r="I1261" s="1952">
        <v>2030</v>
      </c>
      <c r="J1261" s="1952">
        <v>2035</v>
      </c>
      <c r="K1261" s="1952">
        <v>2040</v>
      </c>
      <c r="L1261" s="1952">
        <v>2045</v>
      </c>
      <c r="M1261" s="1952">
        <v>2050</v>
      </c>
      <c r="N1261" s="1966"/>
      <c r="O1261" s="887"/>
    </row>
    <row r="1262" spans="3:15" ht="15" customHeight="1">
      <c r="C1262" s="1287"/>
      <c r="D1262" s="1554" t="s">
        <v>504</v>
      </c>
      <c r="E1262" s="1554"/>
      <c r="F1262" s="1967" cm="1">
        <f t="array" ref="F1262:M1262">F885:M885*FE_INDUSTRIA_CO2_BAGAZO*UNIDAD_T_A_MT</f>
        <v>0</v>
      </c>
      <c r="G1262" s="1967">
        <v>0</v>
      </c>
      <c r="H1262" s="1967">
        <v>0</v>
      </c>
      <c r="I1262" s="1967">
        <v>0</v>
      </c>
      <c r="J1262" s="1967">
        <v>0</v>
      </c>
      <c r="K1262" s="1967">
        <v>0</v>
      </c>
      <c r="L1262" s="1967">
        <v>0</v>
      </c>
      <c r="M1262" s="1967">
        <v>0</v>
      </c>
      <c r="N1262" s="1966"/>
      <c r="O1262" s="887"/>
    </row>
    <row r="1263" spans="3:15" ht="15" customHeight="1">
      <c r="C1263" s="1287"/>
      <c r="D1263" s="1287" t="s">
        <v>569</v>
      </c>
      <c r="E1263" s="1287"/>
      <c r="F1263" s="1968" cm="1">
        <f t="array" ref="F1263:M1263">(F886:M886*FE_INDUSTRIA_CO2_CARBON_MINERAL*UNIDAD_T_A_MT)</f>
        <v>2.1685507512501584E-4</v>
      </c>
      <c r="G1263" s="1968">
        <v>2.1685507512501584E-4</v>
      </c>
      <c r="H1263" s="1968">
        <v>2.4874897559472488E-4</v>
      </c>
      <c r="I1263" s="1968">
        <v>2.8079132006203863E-4</v>
      </c>
      <c r="J1263" s="1968">
        <v>2.8079132006203863E-4</v>
      </c>
      <c r="K1263" s="1968">
        <v>2.8079132006203863E-4</v>
      </c>
      <c r="L1263" s="1968">
        <v>2.8079132006203863E-4</v>
      </c>
      <c r="M1263" s="1968">
        <v>2.8079132006203863E-4</v>
      </c>
      <c r="N1263" s="1966"/>
      <c r="O1263" s="887"/>
    </row>
    <row r="1264" spans="3:15" ht="15" customHeight="1">
      <c r="C1264" s="1287"/>
      <c r="D1264" s="1287" t="s">
        <v>513</v>
      </c>
      <c r="E1264" s="1287"/>
      <c r="F1264" s="1968" cm="1">
        <f t="array" ref="F1264:M1264">F887:M887*FE_INDUSTRIA_CO2_GAS_NATURAL*UNIDAD_T_A_MT</f>
        <v>5.3656728022938055E-2</v>
      </c>
      <c r="G1264" s="1968">
        <v>5.3656728022938055E-2</v>
      </c>
      <c r="H1264" s="1968">
        <v>6.1548276524199863E-2</v>
      </c>
      <c r="I1264" s="1968">
        <v>6.9476554713256727E-2</v>
      </c>
      <c r="J1264" s="1968">
        <v>6.9476554713256727E-2</v>
      </c>
      <c r="K1264" s="1968">
        <v>6.9476554713256727E-2</v>
      </c>
      <c r="L1264" s="1968">
        <v>6.9476554713256727E-2</v>
      </c>
      <c r="M1264" s="1968">
        <v>6.9476554713256727E-2</v>
      </c>
      <c r="N1264" s="1966"/>
      <c r="O1264" s="887"/>
    </row>
    <row r="1265" spans="3:15" ht="15" customHeight="1">
      <c r="C1265" s="1287"/>
      <c r="D1265" s="1287" t="s">
        <v>503</v>
      </c>
      <c r="E1265" s="1287"/>
      <c r="F1265" s="1968" cm="1">
        <f t="array" ref="F1265:M1265">F888:M888*FE_INDUSTRIA_CO2_LEÑA*UNIDAD_T_A_MT</f>
        <v>0</v>
      </c>
      <c r="G1265" s="1968">
        <v>0</v>
      </c>
      <c r="H1265" s="1968">
        <v>0</v>
      </c>
      <c r="I1265" s="1968">
        <v>0</v>
      </c>
      <c r="J1265" s="1968">
        <v>0</v>
      </c>
      <c r="K1265" s="1968">
        <v>0</v>
      </c>
      <c r="L1265" s="1968">
        <v>0</v>
      </c>
      <c r="M1265" s="1968">
        <v>0</v>
      </c>
      <c r="N1265" s="1966"/>
      <c r="O1265" s="887"/>
    </row>
    <row r="1266" spans="3:15" ht="15" customHeight="1">
      <c r="C1266" s="1287"/>
      <c r="D1266" s="1287" t="s">
        <v>525</v>
      </c>
      <c r="E1266" s="1287"/>
      <c r="F1266" s="1968" cm="1">
        <f t="array" ref="F1266:M1266">F909:M909*FE_INDUSTRIA_CO2_PETROLEO*UNIDAD_T_A_MT</f>
        <v>0</v>
      </c>
      <c r="G1266" s="1968">
        <v>0</v>
      </c>
      <c r="H1266" s="1968">
        <v>0</v>
      </c>
      <c r="I1266" s="1968">
        <v>0</v>
      </c>
      <c r="J1266" s="1968">
        <v>0</v>
      </c>
      <c r="K1266" s="1968">
        <v>0</v>
      </c>
      <c r="L1266" s="1968">
        <v>0</v>
      </c>
      <c r="M1266" s="1968">
        <v>0</v>
      </c>
      <c r="N1266" s="1966"/>
      <c r="O1266" s="887"/>
    </row>
    <row r="1267" spans="3:15" ht="15" customHeight="1">
      <c r="C1267" s="1287"/>
      <c r="D1267" s="1287" t="s">
        <v>487</v>
      </c>
      <c r="E1267" s="1287"/>
      <c r="F1267" s="1968" cm="1">
        <f t="array" ref="F1267:M1267">F890:M890*FE_INDUSTRIA_CO2_RESIDUOS*UNIDAD_T_A_MT</f>
        <v>0</v>
      </c>
      <c r="G1267" s="1968">
        <v>0</v>
      </c>
      <c r="H1267" s="1968">
        <v>0</v>
      </c>
      <c r="I1267" s="1968">
        <v>0</v>
      </c>
      <c r="J1267" s="1968">
        <v>0</v>
      </c>
      <c r="K1267" s="1968">
        <v>0</v>
      </c>
      <c r="L1267" s="1968">
        <v>0</v>
      </c>
      <c r="M1267" s="1968">
        <v>0</v>
      </c>
      <c r="N1267" s="1966"/>
      <c r="O1267" s="887"/>
    </row>
    <row r="1268" spans="3:15" ht="15" customHeight="1">
      <c r="C1268" s="1287"/>
      <c r="D1268" s="1287" t="s">
        <v>494</v>
      </c>
      <c r="E1268" s="1287"/>
      <c r="F1268" s="1968" cm="1">
        <f t="array" ref="F1268:M1268">F891:M891*FE_INDUSTRIA_CO2_GASOLINA*UNIDAD_T_A_MT</f>
        <v>2.820503237551382E-4</v>
      </c>
      <c r="G1268" s="1968">
        <v>2.820503237551382E-4</v>
      </c>
      <c r="H1268" s="1968">
        <v>3.2353279746763773E-4</v>
      </c>
      <c r="I1268" s="1968">
        <v>3.6520834333931916E-4</v>
      </c>
      <c r="J1268" s="1968">
        <v>3.6520834333931916E-4</v>
      </c>
      <c r="K1268" s="1968">
        <v>3.6520834333931916E-4</v>
      </c>
      <c r="L1268" s="1968">
        <v>3.6520834333931916E-4</v>
      </c>
      <c r="M1268" s="1968">
        <v>3.6520834333931916E-4</v>
      </c>
      <c r="N1268" s="1966"/>
      <c r="O1268" s="887"/>
    </row>
    <row r="1269" spans="3:15" ht="15" customHeight="1">
      <c r="C1269" s="1287"/>
      <c r="D1269" s="1287" t="s">
        <v>1854</v>
      </c>
      <c r="E1269" s="1287"/>
      <c r="F1269" s="1968" cm="1">
        <f t="array" ref="F1269:M1269">F892:M892*FE_INDUSTRIA_CO2_DIESEL_OIL*UNIDAD_T_A_MT</f>
        <v>3.2719756283964446E-3</v>
      </c>
      <c r="G1269" s="1968">
        <v>3.2719756283964446E-3</v>
      </c>
      <c r="H1269" s="1968">
        <v>3.7532005431060913E-3</v>
      </c>
      <c r="I1269" s="1968">
        <v>4.2366652262051316E-3</v>
      </c>
      <c r="J1269" s="1968">
        <v>4.2366652262051316E-3</v>
      </c>
      <c r="K1269" s="1968">
        <v>4.2366652262051316E-3</v>
      </c>
      <c r="L1269" s="1968">
        <v>4.2366652262051316E-3</v>
      </c>
      <c r="M1269" s="1968">
        <v>4.2366652262051316E-3</v>
      </c>
      <c r="N1269" s="1966"/>
      <c r="O1269" s="887"/>
    </row>
    <row r="1270" spans="3:15" ht="15" customHeight="1">
      <c r="C1270" s="1287"/>
      <c r="D1270" s="1287" t="s">
        <v>506</v>
      </c>
      <c r="E1270" s="1287"/>
      <c r="F1270" s="1968" cm="1">
        <f t="array" ref="F1270:M1270">F893:M893*FE_INDUSTRIA_CO2_CARBON_VEGETAL*UNIDAD_T_A_MT</f>
        <v>1.2906616193804257E-5</v>
      </c>
      <c r="G1270" s="1968">
        <v>1.2906616193804257E-5</v>
      </c>
      <c r="H1270" s="1968">
        <v>1.4804853217072531E-5</v>
      </c>
      <c r="I1270" s="1968">
        <v>1.6711925217812527E-5</v>
      </c>
      <c r="J1270" s="1968">
        <v>1.6711925217812527E-5</v>
      </c>
      <c r="K1270" s="1968">
        <v>1.6711925217812527E-5</v>
      </c>
      <c r="L1270" s="1968">
        <v>1.6711925217812527E-5</v>
      </c>
      <c r="M1270" s="1968">
        <v>1.6711925217812527E-5</v>
      </c>
      <c r="N1270" s="1966"/>
      <c r="O1270" s="887"/>
    </row>
    <row r="1271" spans="3:15" ht="15" customHeight="1">
      <c r="C1271" s="1287"/>
      <c r="D1271" s="1287" t="s">
        <v>507</v>
      </c>
      <c r="E1271" s="1287"/>
      <c r="F1271" s="1968" cm="1">
        <f t="array" ref="F1271:M1271">F894:M894*FE_INDUSTRIA_CO2_COQUE*UNIDAD_T_A_MT</f>
        <v>3.5544891087616591E-4</v>
      </c>
      <c r="G1271" s="1968">
        <v>3.5544891087616591E-4</v>
      </c>
      <c r="H1271" s="1968">
        <v>4.0772646158147147E-4</v>
      </c>
      <c r="I1271" s="1968">
        <v>4.6024732804613545E-4</v>
      </c>
      <c r="J1271" s="1968">
        <v>4.6024732804613545E-4</v>
      </c>
      <c r="K1271" s="1968">
        <v>4.6024732804613545E-4</v>
      </c>
      <c r="L1271" s="1968">
        <v>4.6024732804613545E-4</v>
      </c>
      <c r="M1271" s="1968">
        <v>4.6024732804613545E-4</v>
      </c>
      <c r="N1271" s="1966"/>
      <c r="O1271" s="887"/>
    </row>
    <row r="1272" spans="3:15" ht="15" customHeight="1">
      <c r="C1272" s="1287"/>
      <c r="D1272" s="1287" t="s">
        <v>570</v>
      </c>
      <c r="E1272" s="1287"/>
      <c r="F1272" s="1968" cm="1">
        <f t="array" ref="F1272:M1272">F895:M895*FE_INDUSTRIA_CO2_FUEL_OIL*UNIDAD_T_A_MT+(_xlfn.ANCHORARRAY(F1044))</f>
        <v>1.6726592658476068E-4</v>
      </c>
      <c r="G1272" s="1968">
        <v>1.6726592658476068E-4</v>
      </c>
      <c r="H1272" s="1968">
        <v>1.7710832879532903E-4</v>
      </c>
      <c r="I1272" s="1968">
        <v>1.869965405653634E-4</v>
      </c>
      <c r="J1272" s="1968">
        <v>1.869965405653634E-4</v>
      </c>
      <c r="K1272" s="1968">
        <v>1.869965405653634E-4</v>
      </c>
      <c r="L1272" s="1968">
        <v>1.869965405653634E-4</v>
      </c>
      <c r="M1272" s="1968">
        <v>1.869965405653634E-4</v>
      </c>
      <c r="N1272" s="1966"/>
      <c r="O1272" s="887"/>
    </row>
    <row r="1273" spans="3:15" ht="15" customHeight="1">
      <c r="C1273" s="1287"/>
      <c r="D1273" s="1287" t="s">
        <v>498</v>
      </c>
      <c r="E1273" s="1287"/>
      <c r="F1273" s="1968" cm="1">
        <f t="array" ref="F1273:M1273">F896:M896*FE_INDUSTRIA_CO2_GLP*UNIDAD_T_A_MT</f>
        <v>2.8381732653518741E-4</v>
      </c>
      <c r="G1273" s="1968">
        <v>2.8381732653518741E-4</v>
      </c>
      <c r="H1273" s="1968">
        <v>3.2555968169507344E-4</v>
      </c>
      <c r="I1273" s="1968">
        <v>3.6749631858212718E-4</v>
      </c>
      <c r="J1273" s="1968">
        <v>3.6749631858212718E-4</v>
      </c>
      <c r="K1273" s="1968">
        <v>3.6749631858212718E-4</v>
      </c>
      <c r="L1273" s="1968">
        <v>3.6749631858212718E-4</v>
      </c>
      <c r="M1273" s="1968">
        <v>3.6749631858212718E-4</v>
      </c>
      <c r="N1273" s="1966"/>
      <c r="O1273" s="887"/>
    </row>
    <row r="1274" spans="3:15" ht="15" customHeight="1">
      <c r="C1274" s="1287"/>
      <c r="D1274" s="1287" t="s">
        <v>502</v>
      </c>
      <c r="E1274" s="1287"/>
      <c r="F1274" s="1968" cm="1">
        <f t="array" ref="F1274:M1274">F897:M897*FE_INDUSTRIA_CO2_QUEROSENO*UNIDAD_T_A_MT</f>
        <v>7.4463132428685825E-7</v>
      </c>
      <c r="G1274" s="1968">
        <v>7.4463132428685825E-7</v>
      </c>
      <c r="H1274" s="1968">
        <v>8.5414777129526411E-7</v>
      </c>
      <c r="I1274" s="1968">
        <v>9.6417394144690373E-7</v>
      </c>
      <c r="J1274" s="1968">
        <v>9.6417394144690373E-7</v>
      </c>
      <c r="K1274" s="1968">
        <v>9.6417394144690373E-7</v>
      </c>
      <c r="L1274" s="1968">
        <v>9.6417394144690373E-7</v>
      </c>
      <c r="M1274" s="1968">
        <v>9.6417394144690373E-7</v>
      </c>
      <c r="N1274" s="1966"/>
      <c r="O1274" s="887"/>
    </row>
    <row r="1275" spans="3:15" ht="15" customHeight="1">
      <c r="C1275" s="1287"/>
      <c r="D1275" s="1287" t="s">
        <v>571</v>
      </c>
      <c r="E1275" s="1287"/>
      <c r="F1275" s="1968"/>
      <c r="G1275" s="1968"/>
      <c r="H1275" s="1968"/>
      <c r="I1275" s="1968"/>
      <c r="J1275" s="1968"/>
      <c r="K1275" s="1968"/>
      <c r="L1275" s="1968"/>
      <c r="M1275" s="1968"/>
      <c r="N1275" s="1966"/>
      <c r="O1275" s="887"/>
    </row>
    <row r="1276" spans="3:15" ht="15" customHeight="1">
      <c r="C1276" s="1287"/>
      <c r="D1276" s="454" t="s">
        <v>1878</v>
      </c>
      <c r="E1276" s="1287"/>
      <c r="F1276" s="1968"/>
      <c r="G1276" s="1968"/>
      <c r="H1276" s="1968"/>
      <c r="I1276" s="1968"/>
      <c r="J1276" s="1968"/>
      <c r="K1276" s="1968"/>
      <c r="L1276" s="1968"/>
      <c r="M1276" s="1968"/>
      <c r="N1276" s="1966"/>
      <c r="O1276" s="887"/>
    </row>
    <row r="1277" spans="3:15" ht="15" customHeight="1">
      <c r="C1277" s="1287"/>
      <c r="D1277" s="454" t="s">
        <v>549</v>
      </c>
      <c r="E1277" s="1287"/>
      <c r="F1277" s="1968"/>
      <c r="G1277" s="1968"/>
      <c r="H1277" s="1968"/>
      <c r="I1277" s="1968"/>
      <c r="J1277" s="1968"/>
      <c r="K1277" s="1968"/>
      <c r="L1277" s="1968"/>
      <c r="M1277" s="1968"/>
      <c r="N1277" s="1966"/>
      <c r="O1277" s="887"/>
    </row>
    <row r="1278" spans="3:15" ht="15" customHeight="1">
      <c r="C1278" s="1287"/>
      <c r="D1278" s="2866" t="s">
        <v>572</v>
      </c>
      <c r="E1278" s="1478"/>
      <c r="F1278" s="1647"/>
      <c r="G1278" s="1647"/>
      <c r="H1278" s="1647"/>
      <c r="I1278" s="1647"/>
      <c r="J1278" s="1647"/>
      <c r="K1278" s="1647"/>
      <c r="L1278" s="1647"/>
      <c r="M1278" s="1647"/>
      <c r="N1278" s="1966"/>
      <c r="O1278" s="887"/>
    </row>
    <row r="1279" spans="3:15" ht="15" customHeight="1">
      <c r="C1279" s="1287"/>
      <c r="D1279" s="649" t="s">
        <v>338</v>
      </c>
      <c r="E1279" s="1290"/>
      <c r="F1279" s="2873">
        <f t="shared" ref="F1279:M1279" si="88">SUM(F1262:F1278)</f>
        <v>5.8247792461728863E-2</v>
      </c>
      <c r="G1279" s="2873">
        <f t="shared" si="88"/>
        <v>5.8247792461728863E-2</v>
      </c>
      <c r="H1279" s="2873">
        <f t="shared" si="88"/>
        <v>6.6799812313428547E-2</v>
      </c>
      <c r="I1279" s="2873">
        <f t="shared" si="88"/>
        <v>7.5391635889216088E-2</v>
      </c>
      <c r="J1279" s="2873">
        <f t="shared" si="88"/>
        <v>7.5391635889216088E-2</v>
      </c>
      <c r="K1279" s="2873">
        <f t="shared" si="88"/>
        <v>7.5391635889216088E-2</v>
      </c>
      <c r="L1279" s="2873">
        <f t="shared" si="88"/>
        <v>7.5391635889216088E-2</v>
      </c>
      <c r="M1279" s="2873">
        <f t="shared" si="88"/>
        <v>7.5391635889216088E-2</v>
      </c>
      <c r="O1279" s="887"/>
    </row>
    <row r="1280" spans="3:15" ht="15" customHeight="1">
      <c r="C1280" s="2874"/>
      <c r="D1280" s="415"/>
      <c r="E1280" s="1287"/>
      <c r="F1280" s="1970"/>
      <c r="G1280" s="1970"/>
      <c r="H1280" s="1970"/>
      <c r="I1280" s="1970"/>
      <c r="J1280" s="1970"/>
      <c r="K1280" s="1970"/>
      <c r="L1280" s="1970"/>
      <c r="M1280" s="1970"/>
      <c r="O1280" s="887"/>
    </row>
    <row r="1281" spans="3:15" ht="15" customHeight="1">
      <c r="C1281" s="1972"/>
      <c r="D1281" s="1287"/>
      <c r="E1281" s="1972"/>
      <c r="F1281" s="2875"/>
      <c r="G1281" s="2875"/>
      <c r="H1281" s="2875"/>
      <c r="I1281" s="2875"/>
      <c r="J1281" s="2875"/>
      <c r="K1281" s="2875"/>
      <c r="L1281" s="2875"/>
      <c r="M1281" s="1651" t="s">
        <v>1716</v>
      </c>
      <c r="O1281" s="887"/>
    </row>
    <row r="1282" spans="3:15" ht="15" customHeight="1">
      <c r="C1282" s="1950" t="s">
        <v>559</v>
      </c>
      <c r="D1282" s="1951"/>
      <c r="E1282" s="1950"/>
      <c r="F1282" s="1952">
        <v>2018</v>
      </c>
      <c r="G1282" s="1952">
        <v>2020</v>
      </c>
      <c r="H1282" s="1952">
        <v>2025</v>
      </c>
      <c r="I1282" s="1952">
        <v>2030</v>
      </c>
      <c r="J1282" s="1952">
        <v>2035</v>
      </c>
      <c r="K1282" s="1952">
        <v>2040</v>
      </c>
      <c r="L1282" s="1952">
        <v>2045</v>
      </c>
      <c r="M1282" s="1952">
        <v>2050</v>
      </c>
      <c r="N1282" s="1966"/>
      <c r="O1282" s="887"/>
    </row>
    <row r="1283" spans="3:15" ht="15" customHeight="1">
      <c r="C1283" s="1287"/>
      <c r="D1283" s="1554" t="s">
        <v>504</v>
      </c>
      <c r="E1283" s="1554"/>
      <c r="F1283" s="1967" cm="1">
        <f t="array" ref="F1283:M1283">F905:M905*FE_INDUSTRIA_CO2_BAGAZO*UNIDAD_T_A_MT</f>
        <v>0</v>
      </c>
      <c r="G1283" s="1967">
        <v>0</v>
      </c>
      <c r="H1283" s="1967">
        <v>0</v>
      </c>
      <c r="I1283" s="1967">
        <v>0</v>
      </c>
      <c r="J1283" s="1967">
        <v>0</v>
      </c>
      <c r="K1283" s="1967">
        <v>0</v>
      </c>
      <c r="L1283" s="1967">
        <v>0</v>
      </c>
      <c r="M1283" s="1967">
        <v>0</v>
      </c>
      <c r="N1283" s="1966"/>
      <c r="O1283" s="887"/>
    </row>
    <row r="1284" spans="3:15" ht="15" customHeight="1">
      <c r="C1284" s="1287"/>
      <c r="D1284" s="1287" t="s">
        <v>569</v>
      </c>
      <c r="E1284" s="1287"/>
      <c r="F1284" s="1968" cm="1">
        <f t="array" ref="F1284:M1284">F906:M906*FE_INDUSTRIA_CO2_CARBON_MINERAL*UNIDAD_T_A_MT</f>
        <v>0.10480831093073177</v>
      </c>
      <c r="G1284" s="1968">
        <v>0.10480831093073177</v>
      </c>
      <c r="H1284" s="1968">
        <v>0.12154836671453496</v>
      </c>
      <c r="I1284" s="1968">
        <v>0.13871918498734725</v>
      </c>
      <c r="J1284" s="1968">
        <v>0.13871918498734725</v>
      </c>
      <c r="K1284" s="1968">
        <v>0.13871918498734725</v>
      </c>
      <c r="L1284" s="1968">
        <v>0.13871918498734725</v>
      </c>
      <c r="M1284" s="1968">
        <v>0.13871918498734725</v>
      </c>
      <c r="N1284" s="1966"/>
      <c r="O1284" s="887"/>
    </row>
    <row r="1285" spans="3:15" ht="15" customHeight="1">
      <c r="C1285" s="1287"/>
      <c r="D1285" s="1287" t="s">
        <v>513</v>
      </c>
      <c r="E1285" s="1287"/>
      <c r="F1285" s="1968" cm="1">
        <f t="array" ref="F1285:M1285">F907:M907*FE_INDUSTRIA_CO2_GAS_NATURAL*UNIDAD_T_A_MT</f>
        <v>3.613507619844019E-2</v>
      </c>
      <c r="G1285" s="1968">
        <v>3.613507619844019E-2</v>
      </c>
      <c r="H1285" s="1968">
        <v>4.1906595517300804E-2</v>
      </c>
      <c r="I1285" s="1968">
        <v>4.782663011348575E-2</v>
      </c>
      <c r="J1285" s="1968">
        <v>4.782663011348575E-2</v>
      </c>
      <c r="K1285" s="1968">
        <v>4.782663011348575E-2</v>
      </c>
      <c r="L1285" s="1968">
        <v>4.782663011348575E-2</v>
      </c>
      <c r="M1285" s="1968">
        <v>4.782663011348575E-2</v>
      </c>
      <c r="N1285" s="1966"/>
      <c r="O1285" s="887"/>
    </row>
    <row r="1286" spans="3:15" ht="15" customHeight="1">
      <c r="C1286" s="1287"/>
      <c r="D1286" s="1287" t="s">
        <v>503</v>
      </c>
      <c r="E1286" s="1287"/>
      <c r="F1286" s="1968" cm="1">
        <f t="array" ref="F1286:M1286">F908:M908*FE_INDUSTRIA_CO2_LEÑA*UNIDAD_T_A_MT</f>
        <v>0</v>
      </c>
      <c r="G1286" s="1968">
        <v>0</v>
      </c>
      <c r="H1286" s="1968">
        <v>0</v>
      </c>
      <c r="I1286" s="1968">
        <v>0</v>
      </c>
      <c r="J1286" s="1968">
        <v>0</v>
      </c>
      <c r="K1286" s="1968">
        <v>0</v>
      </c>
      <c r="L1286" s="1968">
        <v>0</v>
      </c>
      <c r="M1286" s="1968">
        <v>0</v>
      </c>
      <c r="N1286" s="1966"/>
      <c r="O1286" s="887"/>
    </row>
    <row r="1287" spans="3:15" ht="15" customHeight="1">
      <c r="C1287" s="1287"/>
      <c r="D1287" s="1287" t="s">
        <v>525</v>
      </c>
      <c r="E1287" s="1287"/>
      <c r="F1287" s="1968" cm="1">
        <f t="array" ref="F1287:M1287">F909:M909*FE_INDUSTRIA_CO2_PETROLEO*UNIDAD_T_A_MT</f>
        <v>0</v>
      </c>
      <c r="G1287" s="1968">
        <v>0</v>
      </c>
      <c r="H1287" s="1968">
        <v>0</v>
      </c>
      <c r="I1287" s="1968">
        <v>0</v>
      </c>
      <c r="J1287" s="1968">
        <v>0</v>
      </c>
      <c r="K1287" s="1968">
        <v>0</v>
      </c>
      <c r="L1287" s="1968">
        <v>0</v>
      </c>
      <c r="M1287" s="1968">
        <v>0</v>
      </c>
      <c r="N1287" s="1966"/>
      <c r="O1287" s="887"/>
    </row>
    <row r="1288" spans="3:15" ht="15" customHeight="1">
      <c r="C1288" s="1287"/>
      <c r="D1288" s="1287" t="s">
        <v>487</v>
      </c>
      <c r="E1288" s="1287"/>
      <c r="F1288" s="1968" cm="1">
        <f t="array" ref="F1288:M1288">F910:M910*FE_INDUSTRIA_CO2_RESIDUOS*UNIDAD_T_A_MT</f>
        <v>0</v>
      </c>
      <c r="G1288" s="1968">
        <v>0</v>
      </c>
      <c r="H1288" s="1968">
        <v>0</v>
      </c>
      <c r="I1288" s="1968">
        <v>0</v>
      </c>
      <c r="J1288" s="1968">
        <v>0</v>
      </c>
      <c r="K1288" s="1968">
        <v>0</v>
      </c>
      <c r="L1288" s="1968">
        <v>0</v>
      </c>
      <c r="M1288" s="1968">
        <v>0</v>
      </c>
      <c r="N1288" s="1966"/>
      <c r="O1288" s="887"/>
    </row>
    <row r="1289" spans="3:15" ht="15" customHeight="1">
      <c r="C1289" s="1287"/>
      <c r="D1289" s="1287" t="s">
        <v>494</v>
      </c>
      <c r="E1289" s="1287"/>
      <c r="F1289" s="1968" cm="1">
        <f t="array" ref="F1289:M1289">F911:M911*FE_INDUSTRIA_CO2_GASOLINA*UNIDAD_T_A_MT</f>
        <v>2.8671193516399096E-5</v>
      </c>
      <c r="G1289" s="1968">
        <v>2.8671193516399096E-5</v>
      </c>
      <c r="H1289" s="1968">
        <v>3.3250576340056512E-5</v>
      </c>
      <c r="I1289" s="1968">
        <v>3.7947797859637056E-5</v>
      </c>
      <c r="J1289" s="1968">
        <v>3.7947797859637056E-5</v>
      </c>
      <c r="K1289" s="1968">
        <v>3.7947797859637056E-5</v>
      </c>
      <c r="L1289" s="1968">
        <v>3.7947797859637056E-5</v>
      </c>
      <c r="M1289" s="1968">
        <v>3.7947797859637056E-5</v>
      </c>
      <c r="N1289" s="1966"/>
      <c r="O1289" s="887"/>
    </row>
    <row r="1290" spans="3:15" ht="15" customHeight="1">
      <c r="C1290" s="1287"/>
      <c r="D1290" s="1287" t="s">
        <v>1854</v>
      </c>
      <c r="E1290" s="1287"/>
      <c r="F1290" s="1968" cm="1">
        <f t="array" ref="F1290:M1290">F912:M912*FE_INDUSTRIA_CO2_DIESEL_OIL*UNIDAD_T_A_MT</f>
        <v>2.5415798930271757E-4</v>
      </c>
      <c r="G1290" s="1968">
        <v>2.5415798930271757E-4</v>
      </c>
      <c r="H1290" s="1968">
        <v>2.9475227883037384E-4</v>
      </c>
      <c r="I1290" s="1968">
        <v>3.3639115849693564E-4</v>
      </c>
      <c r="J1290" s="1968">
        <v>3.3639115849693564E-4</v>
      </c>
      <c r="K1290" s="1968">
        <v>3.3639115849693564E-4</v>
      </c>
      <c r="L1290" s="1968">
        <v>3.3639115849693564E-4</v>
      </c>
      <c r="M1290" s="1968">
        <v>3.3639115849693564E-4</v>
      </c>
      <c r="N1290" s="1966"/>
      <c r="O1290" s="887"/>
    </row>
    <row r="1291" spans="3:15" ht="15" customHeight="1">
      <c r="C1291" s="1287"/>
      <c r="D1291" s="1287" t="s">
        <v>506</v>
      </c>
      <c r="E1291" s="1287"/>
      <c r="F1291" s="1968" cm="1">
        <f t="array" ref="F1291:M1291">F913:M913*FE_INDUSTRIA_CO2_CARBON_VEGETAL*UNIDAD_T_A_MT</f>
        <v>0</v>
      </c>
      <c r="G1291" s="1968">
        <v>0</v>
      </c>
      <c r="H1291" s="1968">
        <v>0</v>
      </c>
      <c r="I1291" s="1968">
        <v>0</v>
      </c>
      <c r="J1291" s="1968">
        <v>0</v>
      </c>
      <c r="K1291" s="1968">
        <v>0</v>
      </c>
      <c r="L1291" s="1968">
        <v>0</v>
      </c>
      <c r="M1291" s="1968">
        <v>0</v>
      </c>
      <c r="N1291" s="1966"/>
      <c r="O1291" s="887"/>
    </row>
    <row r="1292" spans="3:15" ht="15" customHeight="1">
      <c r="C1292" s="1287"/>
      <c r="D1292" s="1287" t="s">
        <v>507</v>
      </c>
      <c r="E1292" s="1287"/>
      <c r="F1292" s="1968" cm="1">
        <f t="array" ref="F1292:M1292">F914:M914*FE_INDUSTRIA_CO2_COQUE*UNIDAD_T_A_MT</f>
        <v>0</v>
      </c>
      <c r="G1292" s="1968">
        <v>0</v>
      </c>
      <c r="H1292" s="1968">
        <v>0</v>
      </c>
      <c r="I1292" s="1968">
        <v>0</v>
      </c>
      <c r="J1292" s="1968">
        <v>0</v>
      </c>
      <c r="K1292" s="1968">
        <v>0</v>
      </c>
      <c r="L1292" s="1968">
        <v>0</v>
      </c>
      <c r="M1292" s="1968">
        <v>0</v>
      </c>
      <c r="N1292" s="1966"/>
      <c r="O1292" s="887"/>
    </row>
    <row r="1293" spans="3:15" ht="15" customHeight="1">
      <c r="C1293" s="1287"/>
      <c r="D1293" s="1287" t="s">
        <v>570</v>
      </c>
      <c r="E1293" s="1287"/>
      <c r="F1293" s="1968" cm="1">
        <f t="array" ref="F1293:M1293">F915:M915*FE_INDUSTRIA_CO2_FUEL_OIL*UNIDAD_T_A_MT</f>
        <v>0</v>
      </c>
      <c r="G1293" s="1968">
        <v>0</v>
      </c>
      <c r="H1293" s="1968">
        <v>0</v>
      </c>
      <c r="I1293" s="1968">
        <v>0</v>
      </c>
      <c r="J1293" s="1968">
        <v>0</v>
      </c>
      <c r="K1293" s="1968">
        <v>0</v>
      </c>
      <c r="L1293" s="1968">
        <v>0</v>
      </c>
      <c r="M1293" s="1968">
        <v>0</v>
      </c>
      <c r="N1293" s="1966"/>
      <c r="O1293" s="887"/>
    </row>
    <row r="1294" spans="3:15" ht="15" customHeight="1">
      <c r="C1294" s="1287"/>
      <c r="D1294" s="1287" t="s">
        <v>498</v>
      </c>
      <c r="E1294" s="1287"/>
      <c r="F1294" s="1968" cm="1">
        <f t="array" ref="F1294:M1294">F916:M916*FE_INDUSTRIA_CO2_QUEROSENO*UNIDAD_T_A_MT</f>
        <v>2.4394826527337417E-5</v>
      </c>
      <c r="G1294" s="1968">
        <v>2.4394826527337417E-5</v>
      </c>
      <c r="H1294" s="1968">
        <v>2.829118506300474E-5</v>
      </c>
      <c r="I1294" s="1968">
        <v>3.228780641276134E-5</v>
      </c>
      <c r="J1294" s="1968">
        <v>3.228780641276134E-5</v>
      </c>
      <c r="K1294" s="1968">
        <v>3.228780641276134E-5</v>
      </c>
      <c r="L1294" s="1968">
        <v>3.228780641276134E-5</v>
      </c>
      <c r="M1294" s="1968">
        <v>3.228780641276134E-5</v>
      </c>
      <c r="N1294" s="1966"/>
      <c r="O1294" s="887"/>
    </row>
    <row r="1295" spans="3:15" ht="15" customHeight="1">
      <c r="C1295" s="1287"/>
      <c r="D1295" s="1287" t="s">
        <v>502</v>
      </c>
      <c r="E1295" s="1287"/>
      <c r="F1295" s="1968"/>
      <c r="G1295" s="1968"/>
      <c r="H1295" s="1968"/>
      <c r="I1295" s="1968"/>
      <c r="J1295" s="1968"/>
      <c r="K1295" s="1968"/>
      <c r="L1295" s="1968"/>
      <c r="M1295" s="1968"/>
      <c r="N1295" s="1966"/>
      <c r="O1295" s="887"/>
    </row>
    <row r="1296" spans="3:15" ht="15" customHeight="1">
      <c r="C1296" s="1287"/>
      <c r="D1296" s="1287" t="s">
        <v>571</v>
      </c>
      <c r="E1296" s="1287"/>
      <c r="F1296" s="1968"/>
      <c r="G1296" s="1968"/>
      <c r="H1296" s="1968"/>
      <c r="I1296" s="1968"/>
      <c r="J1296" s="1968"/>
      <c r="K1296" s="1968"/>
      <c r="L1296" s="1968"/>
      <c r="M1296" s="1968"/>
      <c r="N1296" s="1966"/>
      <c r="O1296" s="887"/>
    </row>
    <row r="1297" spans="3:15" ht="15" customHeight="1">
      <c r="C1297" s="1287"/>
      <c r="D1297" s="454" t="s">
        <v>1878</v>
      </c>
      <c r="E1297" s="1287"/>
      <c r="F1297" s="1968"/>
      <c r="G1297" s="1968"/>
      <c r="H1297" s="1968"/>
      <c r="I1297" s="1968"/>
      <c r="J1297" s="1968"/>
      <c r="K1297" s="1968"/>
      <c r="L1297" s="1968"/>
      <c r="M1297" s="1968"/>
      <c r="N1297" s="1966"/>
      <c r="O1297" s="887"/>
    </row>
    <row r="1298" spans="3:15" ht="15" customHeight="1">
      <c r="C1298" s="1287"/>
      <c r="D1298" s="454" t="s">
        <v>549</v>
      </c>
      <c r="E1298" s="1287"/>
      <c r="F1298" s="1968"/>
      <c r="G1298" s="1968"/>
      <c r="H1298" s="1968"/>
      <c r="I1298" s="1968"/>
      <c r="J1298" s="1968"/>
      <c r="K1298" s="1968"/>
      <c r="L1298" s="1968"/>
      <c r="M1298" s="1968"/>
      <c r="N1298" s="1966"/>
      <c r="O1298" s="887"/>
    </row>
    <row r="1299" spans="3:15" ht="15" customHeight="1">
      <c r="C1299" s="1287"/>
      <c r="D1299" s="2866" t="s">
        <v>572</v>
      </c>
      <c r="E1299" s="1478"/>
      <c r="F1299" s="1647"/>
      <c r="G1299" s="1647"/>
      <c r="H1299" s="1647"/>
      <c r="I1299" s="1647"/>
      <c r="J1299" s="1647"/>
      <c r="K1299" s="1647"/>
      <c r="L1299" s="1647"/>
      <c r="M1299" s="1647"/>
      <c r="N1299" s="1966"/>
      <c r="O1299" s="887"/>
    </row>
    <row r="1300" spans="3:15" ht="15" customHeight="1">
      <c r="C1300" s="1287"/>
      <c r="D1300" s="649" t="s">
        <v>338</v>
      </c>
      <c r="E1300" s="1290"/>
      <c r="F1300" s="2873">
        <f t="shared" ref="F1300:M1300" si="89">SUM(F1283:F1299)</f>
        <v>0.14125061113851842</v>
      </c>
      <c r="G1300" s="2873">
        <f t="shared" si="89"/>
        <v>0.14125061113851842</v>
      </c>
      <c r="H1300" s="2873">
        <f t="shared" si="89"/>
        <v>0.16381125627206919</v>
      </c>
      <c r="I1300" s="2873">
        <f t="shared" si="89"/>
        <v>0.18695244186360235</v>
      </c>
      <c r="J1300" s="2873">
        <f t="shared" si="89"/>
        <v>0.18695244186360235</v>
      </c>
      <c r="K1300" s="2873">
        <f t="shared" si="89"/>
        <v>0.18695244186360235</v>
      </c>
      <c r="L1300" s="2873">
        <f t="shared" si="89"/>
        <v>0.18695244186360235</v>
      </c>
      <c r="M1300" s="2873">
        <f t="shared" si="89"/>
        <v>0.18695244186360235</v>
      </c>
      <c r="N1300" s="1966"/>
      <c r="O1300" s="887"/>
    </row>
    <row r="1301" spans="3:15" ht="15" customHeight="1">
      <c r="C1301" s="1287"/>
      <c r="D1301" s="609"/>
      <c r="E1301" s="1287"/>
      <c r="F1301" s="1970"/>
      <c r="G1301" s="1970"/>
      <c r="H1301" s="1970"/>
      <c r="I1301" s="1970"/>
      <c r="J1301" s="1970"/>
      <c r="K1301" s="1970"/>
      <c r="L1301" s="1970"/>
      <c r="M1301" s="1970"/>
      <c r="N1301" s="1966"/>
      <c r="O1301" s="887"/>
    </row>
    <row r="1302" spans="3:15" ht="15" customHeight="1">
      <c r="C1302" s="1287"/>
      <c r="D1302" s="609"/>
      <c r="E1302" s="1287"/>
      <c r="F1302" s="1970"/>
      <c r="G1302" s="1970"/>
      <c r="H1302" s="1970"/>
      <c r="I1302" s="1970"/>
      <c r="J1302" s="1970"/>
      <c r="K1302" s="1970"/>
      <c r="L1302" s="1970"/>
      <c r="M1302" s="1651" t="s">
        <v>1716</v>
      </c>
      <c r="N1302" s="1966"/>
      <c r="O1302" s="887"/>
    </row>
    <row r="1303" spans="3:15" ht="15" customHeight="1">
      <c r="C1303" s="1950" t="s">
        <v>1899</v>
      </c>
      <c r="D1303" s="1951"/>
      <c r="E1303" s="1950"/>
      <c r="F1303" s="1952">
        <v>2018</v>
      </c>
      <c r="G1303" s="1952">
        <v>2020</v>
      </c>
      <c r="H1303" s="1952">
        <v>2025</v>
      </c>
      <c r="I1303" s="1952">
        <v>2030</v>
      </c>
      <c r="J1303" s="1952">
        <v>2035</v>
      </c>
      <c r="K1303" s="1952">
        <v>2040</v>
      </c>
      <c r="L1303" s="1952">
        <v>2045</v>
      </c>
      <c r="M1303" s="1952">
        <v>2050</v>
      </c>
      <c r="N1303" s="1966"/>
      <c r="O1303" s="887"/>
    </row>
    <row r="1304" spans="3:15" ht="15" customHeight="1">
      <c r="C1304" s="1287"/>
      <c r="D1304" s="1554" t="s">
        <v>504</v>
      </c>
      <c r="E1304" s="1554"/>
      <c r="F1304" s="1967" cm="1">
        <f t="array" ref="F1304:M1304">F925:M925*FE_INDUSTRIA_CO2_BAGAZO*UNIDAD_T_A_MT</f>
        <v>0</v>
      </c>
      <c r="G1304" s="1967">
        <v>0</v>
      </c>
      <c r="H1304" s="1967">
        <v>0</v>
      </c>
      <c r="I1304" s="1967">
        <v>0</v>
      </c>
      <c r="J1304" s="1967">
        <v>0</v>
      </c>
      <c r="K1304" s="1967">
        <v>0</v>
      </c>
      <c r="L1304" s="1967">
        <v>0</v>
      </c>
      <c r="M1304" s="1967">
        <v>0</v>
      </c>
      <c r="N1304" s="1966"/>
      <c r="O1304" s="887"/>
    </row>
    <row r="1305" spans="3:15" ht="15" customHeight="1">
      <c r="C1305" s="1287"/>
      <c r="D1305" s="1287" t="s">
        <v>569</v>
      </c>
      <c r="E1305" s="1287"/>
      <c r="F1305" s="1968" cm="1">
        <f t="array" ref="F1305:M1305">F926:M926*FE_INDUSTRIA_CO2_CARBON_MINERAL*UNIDAD_T_A_MT</f>
        <v>3.7260648589810166E-2</v>
      </c>
      <c r="G1305" s="1968">
        <v>3.7260648589810166E-2</v>
      </c>
      <c r="H1305" s="1968">
        <v>4.2930120597762016E-2</v>
      </c>
      <c r="I1305" s="1968">
        <v>4.8676394857357953E-2</v>
      </c>
      <c r="J1305" s="1968">
        <v>4.8676394857357953E-2</v>
      </c>
      <c r="K1305" s="1968">
        <v>4.8676394857357953E-2</v>
      </c>
      <c r="L1305" s="1968">
        <v>4.8676394857357953E-2</v>
      </c>
      <c r="M1305" s="1968">
        <v>4.8676394857357953E-2</v>
      </c>
      <c r="N1305" s="1966"/>
      <c r="O1305" s="887"/>
    </row>
    <row r="1306" spans="3:15" ht="15" customHeight="1">
      <c r="C1306" s="1287"/>
      <c r="D1306" s="1287" t="s">
        <v>513</v>
      </c>
      <c r="E1306" s="1287"/>
      <c r="F1306" s="1968" cm="1">
        <f t="array" ref="F1306:M1306">F927:M927*FE_INDUSTRIA_CO2_GAS_NATURAL*UNIDAD_T_A_MT</f>
        <v>3.4924872033008925E-2</v>
      </c>
      <c r="G1306" s="1968">
        <v>3.4924872033008925E-2</v>
      </c>
      <c r="H1306" s="1968">
        <v>4.0238939067971762E-2</v>
      </c>
      <c r="I1306" s="1968">
        <v>4.5624993814153608E-2</v>
      </c>
      <c r="J1306" s="1968">
        <v>4.5624993814153608E-2</v>
      </c>
      <c r="K1306" s="1968">
        <v>4.5624993814153608E-2</v>
      </c>
      <c r="L1306" s="1968">
        <v>4.5624993814153608E-2</v>
      </c>
      <c r="M1306" s="1968">
        <v>4.5624993814153608E-2</v>
      </c>
      <c r="N1306" s="1966"/>
      <c r="O1306" s="887"/>
    </row>
    <row r="1307" spans="3:15" ht="15" customHeight="1">
      <c r="C1307" s="1287"/>
      <c r="D1307" s="1287" t="s">
        <v>503</v>
      </c>
      <c r="E1307" s="1287"/>
      <c r="F1307" s="1968" cm="1">
        <f t="array" ref="F1307:M1307">F928:M928*FE_INDUSTRIA_CO2_LEÑA*UNIDAD_T_A_MT</f>
        <v>7.6016483564683964E-6</v>
      </c>
      <c r="G1307" s="1968">
        <v>7.6016483564683964E-6</v>
      </c>
      <c r="H1307" s="1968">
        <v>8.7582930795845913E-6</v>
      </c>
      <c r="I1307" s="1968">
        <v>9.9306064432660742E-6</v>
      </c>
      <c r="J1307" s="1968">
        <v>9.9306064432660742E-6</v>
      </c>
      <c r="K1307" s="1968">
        <v>9.9306064432660742E-6</v>
      </c>
      <c r="L1307" s="1968">
        <v>9.9306064432660742E-6</v>
      </c>
      <c r="M1307" s="1968">
        <v>9.9306064432660742E-6</v>
      </c>
      <c r="N1307" s="1966"/>
      <c r="O1307" s="887"/>
    </row>
    <row r="1308" spans="3:15" ht="15" customHeight="1">
      <c r="C1308" s="1287"/>
      <c r="D1308" s="1287" t="s">
        <v>525</v>
      </c>
      <c r="E1308" s="1287"/>
      <c r="F1308" s="1968" cm="1">
        <f t="array" ref="F1308:M1308">F929:M929*FE_INDUSTRIA_CO2_PETROLEO*UNIDAD_T_A_MT</f>
        <v>8.0642807208244032E-6</v>
      </c>
      <c r="G1308" s="1968">
        <v>8.0642807208244032E-6</v>
      </c>
      <c r="H1308" s="1968">
        <v>9.2913182400661621E-6</v>
      </c>
      <c r="I1308" s="1968">
        <v>1.0534977985186695E-5</v>
      </c>
      <c r="J1308" s="1968">
        <v>1.0534977985186695E-5</v>
      </c>
      <c r="K1308" s="1968">
        <v>1.0534977985186695E-5</v>
      </c>
      <c r="L1308" s="1968">
        <v>1.0534977985186695E-5</v>
      </c>
      <c r="M1308" s="1968">
        <v>1.0534977985186695E-5</v>
      </c>
      <c r="N1308" s="1966"/>
      <c r="O1308" s="887"/>
    </row>
    <row r="1309" spans="3:15" ht="15" customHeight="1">
      <c r="C1309" s="1287"/>
      <c r="D1309" s="1287" t="s">
        <v>487</v>
      </c>
      <c r="E1309" s="1287"/>
      <c r="F1309" s="1968" cm="1">
        <f t="array" ref="F1309:M1309">F930:M930*FE_INDUSTRIA_CO2_RESIDUOS*UNIDAD_T_A_MT</f>
        <v>0</v>
      </c>
      <c r="G1309" s="1968">
        <v>0</v>
      </c>
      <c r="H1309" s="1968">
        <v>0</v>
      </c>
      <c r="I1309" s="1968">
        <v>0</v>
      </c>
      <c r="J1309" s="1968">
        <v>0</v>
      </c>
      <c r="K1309" s="1968">
        <v>0</v>
      </c>
      <c r="L1309" s="1968">
        <v>0</v>
      </c>
      <c r="M1309" s="1968">
        <v>0</v>
      </c>
      <c r="N1309" s="1966"/>
      <c r="O1309" s="887"/>
    </row>
    <row r="1310" spans="3:15" ht="15" customHeight="1">
      <c r="C1310" s="1287"/>
      <c r="D1310" s="1287" t="s">
        <v>494</v>
      </c>
      <c r="E1310" s="1287"/>
      <c r="F1310" s="1968" cm="1">
        <f t="array" ref="F1310:M1310">F931:M931*FE_INDUSTRIA_CO2_GASOLINA*UNIDAD_T_A_MT</f>
        <v>2.6389609137964583E-4</v>
      </c>
      <c r="G1310" s="1968">
        <v>2.6389609137964583E-4</v>
      </c>
      <c r="H1310" s="1968">
        <v>3.040497537475619E-4</v>
      </c>
      <c r="I1310" s="1968">
        <v>3.4474736300811398E-4</v>
      </c>
      <c r="J1310" s="1968">
        <v>3.4474736300811398E-4</v>
      </c>
      <c r="K1310" s="1968">
        <v>3.4474736300811398E-4</v>
      </c>
      <c r="L1310" s="1968">
        <v>3.4474736300811398E-4</v>
      </c>
      <c r="M1310" s="1968">
        <v>3.4474736300811398E-4</v>
      </c>
      <c r="N1310" s="1966"/>
      <c r="O1310" s="887"/>
    </row>
    <row r="1311" spans="3:15" ht="15" customHeight="1">
      <c r="C1311" s="1287"/>
      <c r="D1311" s="1287" t="s">
        <v>1854</v>
      </c>
      <c r="E1311" s="1287"/>
      <c r="F1311" s="1968" cm="1">
        <f t="array" ref="F1311:M1311">F932:M932*FE_INDUSTRIA_CO2_DIESEL_OIL*UNIDAD_T_A_MT</f>
        <v>7.1081460173815934E-4</v>
      </c>
      <c r="G1311" s="1968">
        <v>7.1081460173815934E-4</v>
      </c>
      <c r="H1311" s="1968">
        <v>8.189700858727008E-4</v>
      </c>
      <c r="I1311" s="1968">
        <v>9.2859071256329306E-4</v>
      </c>
      <c r="J1311" s="1968">
        <v>9.2859071256329306E-4</v>
      </c>
      <c r="K1311" s="1968">
        <v>9.2859071256329306E-4</v>
      </c>
      <c r="L1311" s="1968">
        <v>9.2859071256329306E-4</v>
      </c>
      <c r="M1311" s="1968">
        <v>9.2859071256329306E-4</v>
      </c>
      <c r="N1311" s="1966"/>
      <c r="O1311" s="887"/>
    </row>
    <row r="1312" spans="3:15" ht="15" customHeight="1">
      <c r="C1312" s="1287"/>
      <c r="D1312" s="1287" t="s">
        <v>506</v>
      </c>
      <c r="E1312" s="1287"/>
      <c r="F1312" s="1968" cm="1">
        <f t="array" ref="F1312:M1312">F933:M933*FE_INDUSTRIA_CO2_CARBON_VEGETAL*UNIDAD_T_A_MT</f>
        <v>0</v>
      </c>
      <c r="G1312" s="1968">
        <v>0</v>
      </c>
      <c r="H1312" s="1968">
        <v>0</v>
      </c>
      <c r="I1312" s="1968">
        <v>0</v>
      </c>
      <c r="J1312" s="1968">
        <v>0</v>
      </c>
      <c r="K1312" s="1968">
        <v>0</v>
      </c>
      <c r="L1312" s="1968">
        <v>0</v>
      </c>
      <c r="M1312" s="1968">
        <v>0</v>
      </c>
      <c r="N1312" s="1966"/>
      <c r="O1312" s="887"/>
    </row>
    <row r="1313" spans="3:15" ht="15" customHeight="1">
      <c r="C1313" s="1287"/>
      <c r="D1313" s="1287" t="s">
        <v>507</v>
      </c>
      <c r="E1313" s="1287"/>
      <c r="F1313" s="1968" cm="1">
        <f t="array" ref="F1313:M1313">F934:M934*FE_INDUSTRIA_CO2_COQUE*UNIDAD_T_A_MT</f>
        <v>8.7177925836872116E-5</v>
      </c>
      <c r="G1313" s="1968">
        <v>8.7177925836872116E-5</v>
      </c>
      <c r="H1313" s="1968">
        <v>1.0044266568841123E-4</v>
      </c>
      <c r="I1313" s="1968">
        <v>1.1388709809097488E-4</v>
      </c>
      <c r="J1313" s="1968">
        <v>1.1388709809097488E-4</v>
      </c>
      <c r="K1313" s="1968">
        <v>1.1388709809097488E-4</v>
      </c>
      <c r="L1313" s="1968">
        <v>1.1388709809097488E-4</v>
      </c>
      <c r="M1313" s="1968">
        <v>1.1388709809097488E-4</v>
      </c>
      <c r="N1313" s="1966"/>
      <c r="O1313" s="887"/>
    </row>
    <row r="1314" spans="3:15" ht="15" customHeight="1">
      <c r="C1314" s="1287"/>
      <c r="D1314" s="1287" t="s">
        <v>570</v>
      </c>
      <c r="E1314" s="1287"/>
      <c r="F1314" s="1968" cm="1">
        <f t="array" ref="F1314:M1314">F935:M935*FE_INDUSTRIA_CO2_FUEL_OIL*UNIDAD_T_A_MT</f>
        <v>1.2853246748796904E-4</v>
      </c>
      <c r="G1314" s="1968">
        <v>1.2853246748796904E-4</v>
      </c>
      <c r="H1314" s="1968">
        <v>1.4808959421858928E-4</v>
      </c>
      <c r="I1314" s="1968">
        <v>1.6791165415048348E-4</v>
      </c>
      <c r="J1314" s="1968">
        <v>1.6791165415048348E-4</v>
      </c>
      <c r="K1314" s="1968">
        <v>1.6791165415048348E-4</v>
      </c>
      <c r="L1314" s="1968">
        <v>1.6791165415048348E-4</v>
      </c>
      <c r="M1314" s="1968">
        <v>1.6791165415048348E-4</v>
      </c>
      <c r="N1314" s="1966"/>
      <c r="O1314" s="887"/>
    </row>
    <row r="1315" spans="3:15" ht="15" customHeight="1">
      <c r="C1315" s="1287"/>
      <c r="D1315" s="1287" t="s">
        <v>498</v>
      </c>
      <c r="E1315" s="1287"/>
      <c r="F1315" s="1968" cm="1">
        <f t="array" ref="F1315:M1315">F936:M936*FE_INDUSTRIA_CO2_GLP*UNIDAD_T_A_MT</f>
        <v>8.9550332555251709E-4</v>
      </c>
      <c r="G1315" s="1968">
        <v>8.9550332555251709E-4</v>
      </c>
      <c r="H1315" s="1968">
        <v>1.0317605091871634E-3</v>
      </c>
      <c r="I1315" s="1968">
        <v>1.1698635187631222E-3</v>
      </c>
      <c r="J1315" s="1968">
        <v>1.1698635187631222E-3</v>
      </c>
      <c r="K1315" s="1968">
        <v>1.1698635187631222E-3</v>
      </c>
      <c r="L1315" s="1968">
        <v>1.1698635187631222E-3</v>
      </c>
      <c r="M1315" s="1968">
        <v>1.1698635187631222E-3</v>
      </c>
      <c r="N1315" s="1966"/>
      <c r="O1315" s="887"/>
    </row>
    <row r="1316" spans="3:15" ht="15" customHeight="1">
      <c r="C1316" s="1287"/>
      <c r="D1316" s="1287" t="s">
        <v>502</v>
      </c>
      <c r="E1316" s="1287"/>
      <c r="F1316" s="1968" cm="1">
        <f t="array" ref="F1316:M1316">F937:M937*FE_INDUSTRIA_CO2_QUEROSENO*UNIDAD_T_A_MT</f>
        <v>1.0846691737190197E-5</v>
      </c>
      <c r="G1316" s="1968">
        <v>1.0846691737190197E-5</v>
      </c>
      <c r="H1316" s="1968">
        <v>1.2497092830844261E-5</v>
      </c>
      <c r="I1316" s="1968">
        <v>1.4169851300975479E-5</v>
      </c>
      <c r="J1316" s="1968">
        <v>1.4169851300975479E-5</v>
      </c>
      <c r="K1316" s="1968">
        <v>1.4169851300975479E-5</v>
      </c>
      <c r="L1316" s="1968">
        <v>1.4169851300975479E-5</v>
      </c>
      <c r="M1316" s="1968">
        <v>1.4169851300975479E-5</v>
      </c>
      <c r="N1316" s="1966"/>
      <c r="O1316" s="887"/>
    </row>
    <row r="1317" spans="3:15" ht="15" customHeight="1">
      <c r="C1317" s="1287"/>
      <c r="D1317" s="1287" t="s">
        <v>571</v>
      </c>
      <c r="E1317" s="1287"/>
      <c r="F1317" s="1968"/>
      <c r="G1317" s="1968"/>
      <c r="H1317" s="1968"/>
      <c r="I1317" s="1968"/>
      <c r="J1317" s="1968"/>
      <c r="K1317" s="1968"/>
      <c r="L1317" s="1968"/>
      <c r="M1317" s="1968"/>
      <c r="N1317" s="1966"/>
      <c r="O1317" s="887"/>
    </row>
    <row r="1318" spans="3:15" ht="15" customHeight="1">
      <c r="C1318" s="1287"/>
      <c r="D1318" s="454" t="s">
        <v>1878</v>
      </c>
      <c r="E1318" s="1287"/>
      <c r="F1318" s="1968"/>
      <c r="G1318" s="1968"/>
      <c r="H1318" s="1968"/>
      <c r="I1318" s="1968"/>
      <c r="J1318" s="1968"/>
      <c r="K1318" s="1968"/>
      <c r="L1318" s="1968"/>
      <c r="M1318" s="1968"/>
      <c r="N1318" s="1966"/>
      <c r="O1318" s="887"/>
    </row>
    <row r="1319" spans="3:15" ht="15" customHeight="1">
      <c r="C1319" s="1287"/>
      <c r="D1319" s="454" t="s">
        <v>549</v>
      </c>
      <c r="E1319" s="1287"/>
      <c r="F1319" s="1968"/>
      <c r="G1319" s="1968"/>
      <c r="H1319" s="1968"/>
      <c r="I1319" s="1968"/>
      <c r="J1319" s="1968"/>
      <c r="K1319" s="1968"/>
      <c r="L1319" s="1968"/>
      <c r="M1319" s="1968"/>
      <c r="N1319" s="1966"/>
      <c r="O1319" s="887"/>
    </row>
    <row r="1320" spans="3:15" ht="15" customHeight="1">
      <c r="C1320" s="1287"/>
      <c r="D1320" s="2866" t="s">
        <v>572</v>
      </c>
      <c r="E1320" s="1478"/>
      <c r="F1320" s="1647" cm="1">
        <f t="array" ref="F1320:M1320">F941:M941</f>
        <v>0</v>
      </c>
      <c r="G1320" s="1647">
        <v>0</v>
      </c>
      <c r="H1320" s="1647">
        <v>0</v>
      </c>
      <c r="I1320" s="1647">
        <v>0</v>
      </c>
      <c r="J1320" s="1647">
        <v>0</v>
      </c>
      <c r="K1320" s="1647">
        <v>0</v>
      </c>
      <c r="L1320" s="1647">
        <v>0</v>
      </c>
      <c r="M1320" s="1647">
        <v>0</v>
      </c>
      <c r="N1320" s="1966"/>
      <c r="O1320" s="887"/>
    </row>
    <row r="1321" spans="3:15" ht="15" customHeight="1">
      <c r="C1321" s="1287"/>
      <c r="D1321" s="649" t="s">
        <v>338</v>
      </c>
      <c r="E1321" s="1290"/>
      <c r="F1321" s="2873">
        <f t="shared" ref="F1321:M1321" si="90">SUM(F1304:F1320)</f>
        <v>7.429795765562873E-2</v>
      </c>
      <c r="G1321" s="2873">
        <f t="shared" si="90"/>
        <v>7.429795765562873E-2</v>
      </c>
      <c r="H1321" s="2873">
        <f t="shared" si="90"/>
        <v>8.5602918978598702E-2</v>
      </c>
      <c r="I1321" s="2873">
        <f t="shared" si="90"/>
        <v>9.7061024453816952E-2</v>
      </c>
      <c r="J1321" s="2873">
        <f t="shared" si="90"/>
        <v>9.7061024453816952E-2</v>
      </c>
      <c r="K1321" s="2873">
        <f t="shared" si="90"/>
        <v>9.7061024453816952E-2</v>
      </c>
      <c r="L1321" s="2873">
        <f t="shared" si="90"/>
        <v>9.7061024453816952E-2</v>
      </c>
      <c r="M1321" s="2873">
        <f t="shared" si="90"/>
        <v>9.7061024453816952E-2</v>
      </c>
      <c r="N1321" s="1966"/>
      <c r="O1321" s="887"/>
    </row>
    <row r="1322" spans="3:15" ht="15" customHeight="1">
      <c r="C1322" s="1287"/>
      <c r="D1322" s="609"/>
      <c r="E1322" s="1287"/>
      <c r="F1322" s="1970"/>
      <c r="G1322" s="1970"/>
      <c r="H1322" s="1970"/>
      <c r="I1322" s="1970"/>
      <c r="J1322" s="1970"/>
      <c r="K1322" s="1970"/>
      <c r="L1322" s="1970"/>
      <c r="M1322" s="1970"/>
      <c r="N1322" s="1966"/>
      <c r="O1322" s="887"/>
    </row>
    <row r="1323" spans="3:15" ht="15" customHeight="1">
      <c r="C1323" s="1287"/>
      <c r="D1323" s="609"/>
      <c r="E1323" s="1287"/>
      <c r="F1323" s="1970"/>
      <c r="G1323" s="1970"/>
      <c r="H1323" s="1970"/>
      <c r="I1323" s="1970"/>
      <c r="J1323" s="1970"/>
      <c r="K1323" s="1970"/>
      <c r="L1323" s="1970"/>
      <c r="M1323" s="1651" t="s">
        <v>1716</v>
      </c>
      <c r="N1323" s="1966"/>
      <c r="O1323" s="887"/>
    </row>
    <row r="1324" spans="3:15" ht="15" customHeight="1">
      <c r="C1324" s="1950" t="s">
        <v>1900</v>
      </c>
      <c r="D1324" s="1951"/>
      <c r="E1324" s="1950"/>
      <c r="F1324" s="1952">
        <v>2018</v>
      </c>
      <c r="G1324" s="1952">
        <v>2020</v>
      </c>
      <c r="H1324" s="1952">
        <v>2025</v>
      </c>
      <c r="I1324" s="1952">
        <v>2030</v>
      </c>
      <c r="J1324" s="1952">
        <v>2035</v>
      </c>
      <c r="K1324" s="1952">
        <v>2040</v>
      </c>
      <c r="L1324" s="1952">
        <v>2045</v>
      </c>
      <c r="M1324" s="1952">
        <v>2050</v>
      </c>
      <c r="N1324" s="1966"/>
      <c r="O1324" s="887"/>
    </row>
    <row r="1325" spans="3:15" ht="15" customHeight="1">
      <c r="C1325" s="1287"/>
      <c r="D1325" s="1554" t="s">
        <v>504</v>
      </c>
      <c r="E1325" s="1554"/>
      <c r="F1325" s="1967" cm="1">
        <f t="array" ref="F1325:M1325">F945:M945*FE_INDUSTRIA_CO2_BAGAZO*UNIDAD_T_A_MT</f>
        <v>0.50921575561342425</v>
      </c>
      <c r="G1325" s="1967">
        <v>0.50921575561342425</v>
      </c>
      <c r="H1325" s="1967">
        <v>0.58551106140660492</v>
      </c>
      <c r="I1325" s="1967">
        <v>0.66253485338306783</v>
      </c>
      <c r="J1325" s="1967">
        <v>0.66253485338306783</v>
      </c>
      <c r="K1325" s="1967">
        <v>0.66253485338306783</v>
      </c>
      <c r="L1325" s="1967">
        <v>0.66253485338306783</v>
      </c>
      <c r="M1325" s="1967">
        <v>0.66253485338306783</v>
      </c>
      <c r="N1325" s="1966"/>
      <c r="O1325" s="887"/>
    </row>
    <row r="1326" spans="3:15" ht="15" customHeight="1">
      <c r="C1326" s="1287"/>
      <c r="D1326" s="1287" t="s">
        <v>569</v>
      </c>
      <c r="E1326" s="1287"/>
      <c r="F1326" s="1970" cm="1">
        <f t="array" ref="F1326:M1326">F946:M946*FE_INDUSTRIA_CO2_CARBON_MINERAL*UNIDAD_T_A_MT</f>
        <v>0.20239891617889993</v>
      </c>
      <c r="G1326" s="1968">
        <v>0.20239891617889993</v>
      </c>
      <c r="H1326" s="1968">
        <v>0.23272415068283883</v>
      </c>
      <c r="I1326" s="1968">
        <v>0.2633389379202159</v>
      </c>
      <c r="J1326" s="1968">
        <v>0.2633389379202159</v>
      </c>
      <c r="K1326" s="1968">
        <v>0.2633389379202159</v>
      </c>
      <c r="L1326" s="1968">
        <v>0.2633389379202159</v>
      </c>
      <c r="M1326" s="1968">
        <v>0.2633389379202159</v>
      </c>
      <c r="N1326" s="1966"/>
      <c r="O1326" s="887"/>
    </row>
    <row r="1327" spans="3:15" ht="15" customHeight="1">
      <c r="C1327" s="1287"/>
      <c r="D1327" s="1287" t="s">
        <v>513</v>
      </c>
      <c r="E1327" s="1287"/>
      <c r="F1327" s="1968" cm="1">
        <f t="array" ref="F1327:M1327">F947:M947*FE_INDUSTRIA_CO2_GAS_NATURAL*UNIDAD_T_A_MT</f>
        <v>6.426251306297287E-2</v>
      </c>
      <c r="G1327" s="1968">
        <v>6.426251306297287E-2</v>
      </c>
      <c r="H1327" s="1968">
        <v>7.3890903447853054E-2</v>
      </c>
      <c r="I1327" s="1968">
        <v>8.3611228051879607E-2</v>
      </c>
      <c r="J1327" s="1968">
        <v>8.3611228051879607E-2</v>
      </c>
      <c r="K1327" s="1968">
        <v>8.3611228051879607E-2</v>
      </c>
      <c r="L1327" s="1968">
        <v>8.3611228051879607E-2</v>
      </c>
      <c r="M1327" s="1968">
        <v>8.3611228051879607E-2</v>
      </c>
      <c r="N1327" s="1966"/>
      <c r="O1327" s="887"/>
    </row>
    <row r="1328" spans="3:15" ht="15" customHeight="1">
      <c r="C1328" s="1287"/>
      <c r="D1328" s="1287" t="s">
        <v>503</v>
      </c>
      <c r="E1328" s="1287"/>
      <c r="F1328" s="1968" cm="1">
        <f t="array" ref="F1328:M1328">F948:M948*FE_INDUSTRIA_CO2_LEÑA*UNIDAD_T_A_MT</f>
        <v>7.9619956223346582E-6</v>
      </c>
      <c r="G1328" s="1968">
        <v>7.9619956223346582E-6</v>
      </c>
      <c r="H1328" s="1968">
        <v>9.1549337512780813E-6</v>
      </c>
      <c r="I1328" s="1968">
        <v>1.0359262344358336E-5</v>
      </c>
      <c r="J1328" s="1968">
        <v>1.0359262344358336E-5</v>
      </c>
      <c r="K1328" s="1968">
        <v>1.0359262344358336E-5</v>
      </c>
      <c r="L1328" s="1968">
        <v>1.0359262344358336E-5</v>
      </c>
      <c r="M1328" s="1968">
        <v>1.0359262344358336E-5</v>
      </c>
      <c r="N1328" s="1966"/>
      <c r="O1328" s="887"/>
    </row>
    <row r="1329" spans="3:15" ht="15" customHeight="1">
      <c r="C1329" s="1287"/>
      <c r="D1329" s="1287" t="s">
        <v>525</v>
      </c>
      <c r="E1329" s="1287"/>
      <c r="F1329" s="1968" cm="1">
        <f t="array" ref="F1329:M1329">F949:M949*FE_INDUSTRIA_CO2_PETROLEO*UNIDAD_T_A_MT</f>
        <v>1.8881511796147045E-6</v>
      </c>
      <c r="G1329" s="1968">
        <v>1.8881511796147045E-6</v>
      </c>
      <c r="H1329" s="1968">
        <v>2.1710510507291035E-6</v>
      </c>
      <c r="I1329" s="1968">
        <v>2.4566521187941737E-6</v>
      </c>
      <c r="J1329" s="1968">
        <v>2.4566521187941737E-6</v>
      </c>
      <c r="K1329" s="1968">
        <v>2.4566521187941737E-6</v>
      </c>
      <c r="L1329" s="1968">
        <v>2.4566521187941737E-6</v>
      </c>
      <c r="M1329" s="1968">
        <v>2.4566521187941737E-6</v>
      </c>
      <c r="N1329" s="1966"/>
      <c r="O1329" s="887"/>
    </row>
    <row r="1330" spans="3:15" ht="15" customHeight="1">
      <c r="C1330" s="1287"/>
      <c r="D1330" s="1287" t="s">
        <v>487</v>
      </c>
      <c r="E1330" s="1287"/>
      <c r="F1330" s="1968" cm="1">
        <f t="array" ref="F1330:M1330">F950:M950*FE_INDUSTRIA_CO2_GASOLINA*UNIDAD_T_A_MT</f>
        <v>2.1929745267186408E-3</v>
      </c>
      <c r="G1330" s="1968">
        <v>2.1929745267186408E-3</v>
      </c>
      <c r="H1330" s="1968">
        <v>2.5215457860880632E-3</v>
      </c>
      <c r="I1330" s="1968">
        <v>2.8532543239595601E-3</v>
      </c>
      <c r="J1330" s="1968">
        <v>2.8532543239595601E-3</v>
      </c>
      <c r="K1330" s="1968">
        <v>2.8532543239595601E-3</v>
      </c>
      <c r="L1330" s="1968">
        <v>2.8532543239595601E-3</v>
      </c>
      <c r="M1330" s="1968">
        <v>2.8532543239595601E-3</v>
      </c>
      <c r="N1330" s="1966"/>
      <c r="O1330" s="887"/>
    </row>
    <row r="1331" spans="3:15" ht="15" customHeight="1">
      <c r="C1331" s="1287"/>
      <c r="D1331" s="1287" t="s">
        <v>494</v>
      </c>
      <c r="E1331" s="1287"/>
      <c r="F1331" s="1968" cm="1">
        <f t="array" ref="F1331:M1331">F951:M951*FE_INDUSTRIA_CO2_DIESEL_OIL*UNIDAD_T_A_MT</f>
        <v>3.5381153448567145E-5</v>
      </c>
      <c r="G1331" s="1968">
        <v>3.5381153448567145E-5</v>
      </c>
      <c r="H1331" s="1968">
        <v>4.0682277563279673E-5</v>
      </c>
      <c r="I1331" s="1968">
        <v>4.6034018103646234E-5</v>
      </c>
      <c r="J1331" s="1968">
        <v>4.6034018103646234E-5</v>
      </c>
      <c r="K1331" s="1968">
        <v>4.6034018103646234E-5</v>
      </c>
      <c r="L1331" s="1968">
        <v>4.6034018103646234E-5</v>
      </c>
      <c r="M1331" s="1968">
        <v>4.6034018103646234E-5</v>
      </c>
      <c r="N1331" s="1966"/>
      <c r="O1331" s="887"/>
    </row>
    <row r="1332" spans="3:15" ht="15" customHeight="1">
      <c r="C1332" s="1287"/>
      <c r="D1332" s="1287" t="s">
        <v>1854</v>
      </c>
      <c r="E1332" s="1287"/>
      <c r="F1332" s="1968" cm="1">
        <f t="array" ref="F1332:M1332">F952:M952*FE_INDUSTRIA_CO2_CARBON_VEGETAL*UNIDAD_T_A_MT</f>
        <v>6.5886779425896819E-3</v>
      </c>
      <c r="G1332" s="1968">
        <v>6.5886779425896819E-3</v>
      </c>
      <c r="H1332" s="1968">
        <v>7.5758532074184535E-3</v>
      </c>
      <c r="I1332" s="1968">
        <v>8.5724542623850201E-3</v>
      </c>
      <c r="J1332" s="1968">
        <v>8.5724542623850201E-3</v>
      </c>
      <c r="K1332" s="1968">
        <v>8.5724542623850201E-3</v>
      </c>
      <c r="L1332" s="1968">
        <v>8.5724542623850201E-3</v>
      </c>
      <c r="M1332" s="1968">
        <v>8.5724542623850201E-3</v>
      </c>
      <c r="N1332" s="1966"/>
      <c r="O1332" s="887"/>
    </row>
    <row r="1333" spans="3:15" ht="15" customHeight="1">
      <c r="C1333" s="1287"/>
      <c r="D1333" s="1287" t="s">
        <v>506</v>
      </c>
      <c r="E1333" s="1287"/>
      <c r="F1333" s="1968" cm="1">
        <f t="array" ref="F1333:M1333">F953:M953*FE_INDUSTRIA_CO2_COQUE*UNIDAD_T_A_MT</f>
        <v>1.1954005910796037E-5</v>
      </c>
      <c r="G1333" s="1968">
        <v>1.1954005910796037E-5</v>
      </c>
      <c r="H1333" s="1968">
        <v>1.3745063093068404E-5</v>
      </c>
      <c r="I1333" s="1968">
        <v>1.5553221726041958E-5</v>
      </c>
      <c r="J1333" s="1968">
        <v>1.5553221726041958E-5</v>
      </c>
      <c r="K1333" s="1968">
        <v>1.5553221726041958E-5</v>
      </c>
      <c r="L1333" s="1968">
        <v>1.5553221726041958E-5</v>
      </c>
      <c r="M1333" s="1968">
        <v>1.5553221726041958E-5</v>
      </c>
      <c r="N1333" s="1966"/>
      <c r="O1333" s="887"/>
    </row>
    <row r="1334" spans="3:15" ht="15" customHeight="1">
      <c r="C1334" s="1287"/>
      <c r="D1334" s="1287" t="s">
        <v>507</v>
      </c>
      <c r="E1334" s="1287"/>
      <c r="F1334" s="1968" cm="1">
        <f t="array" ref="F1334:M1334">F954:M954*FE_INDUSTRIA_CO2_FUEL_OIL*UNIDAD_T_A_MT</f>
        <v>1.2121439343603884E-4</v>
      </c>
      <c r="G1334" s="1968">
        <v>1.2121439343603884E-4</v>
      </c>
      <c r="H1334" s="1968">
        <v>1.39375829157125E-4</v>
      </c>
      <c r="I1334" s="1968">
        <v>1.577106746948942E-4</v>
      </c>
      <c r="J1334" s="1968">
        <v>1.577106746948942E-4</v>
      </c>
      <c r="K1334" s="1968">
        <v>1.577106746948942E-4</v>
      </c>
      <c r="L1334" s="1968">
        <v>1.577106746948942E-4</v>
      </c>
      <c r="M1334" s="1968">
        <v>1.577106746948942E-4</v>
      </c>
      <c r="N1334" s="1966"/>
      <c r="O1334" s="887"/>
    </row>
    <row r="1335" spans="3:15" ht="15" customHeight="1">
      <c r="C1335" s="1287"/>
      <c r="D1335" s="1287" t="s">
        <v>570</v>
      </c>
      <c r="E1335" s="1287"/>
      <c r="F1335" s="1968" cm="1">
        <f t="array" ref="F1335:M1335">F955:M955*FE_INDUSTRIA_CO2_GLP*UNIDAD_T_A_MT</f>
        <v>8.9283482070939759E-4</v>
      </c>
      <c r="G1335" s="1968">
        <v>8.9283482070939759E-4</v>
      </c>
      <c r="H1335" s="1968">
        <v>1.0266074012273824E-3</v>
      </c>
      <c r="I1335" s="1968">
        <v>1.1616572749627706E-3</v>
      </c>
      <c r="J1335" s="1968">
        <v>1.1616572749627706E-3</v>
      </c>
      <c r="K1335" s="1968">
        <v>1.1616572749627706E-3</v>
      </c>
      <c r="L1335" s="1968">
        <v>1.1616572749627706E-3</v>
      </c>
      <c r="M1335" s="1968">
        <v>1.1616572749627706E-3</v>
      </c>
      <c r="N1335" s="1966"/>
      <c r="O1335" s="887"/>
    </row>
    <row r="1336" spans="3:15" ht="15" customHeight="1">
      <c r="C1336" s="1287"/>
      <c r="D1336" s="1287" t="s">
        <v>498</v>
      </c>
      <c r="E1336" s="1287"/>
      <c r="F1336" s="1968" cm="1">
        <f t="array" ref="F1336:M1336">F956:M956*FE_INDUSTRIA_CO2_QUEROSENO*UNIDAD_T_A_MT</f>
        <v>2.1747937550817497E-3</v>
      </c>
      <c r="G1336" s="1968">
        <v>2.1747937550817497E-3</v>
      </c>
      <c r="H1336" s="1968">
        <v>2.5006410069625933E-3</v>
      </c>
      <c r="I1336" s="1968">
        <v>2.8295995278578017E-3</v>
      </c>
      <c r="J1336" s="1968">
        <v>2.8295995278578017E-3</v>
      </c>
      <c r="K1336" s="1968">
        <v>2.8295995278578017E-3</v>
      </c>
      <c r="L1336" s="1968">
        <v>2.8295995278578017E-3</v>
      </c>
      <c r="M1336" s="1968">
        <v>2.8295995278578017E-3</v>
      </c>
      <c r="N1336" s="1966"/>
      <c r="O1336" s="887"/>
    </row>
    <row r="1337" spans="3:15" ht="15" customHeight="1">
      <c r="C1337" s="1287"/>
      <c r="D1337" s="1287" t="s">
        <v>502</v>
      </c>
      <c r="E1337" s="1287"/>
      <c r="F1337" s="1968"/>
      <c r="G1337" s="1968"/>
      <c r="H1337" s="1968"/>
      <c r="I1337" s="1968"/>
      <c r="J1337" s="1968"/>
      <c r="K1337" s="1968"/>
      <c r="L1337" s="1968"/>
      <c r="M1337" s="1968"/>
      <c r="N1337" s="1966"/>
      <c r="O1337" s="887"/>
    </row>
    <row r="1338" spans="3:15" ht="15" customHeight="1">
      <c r="C1338" s="1287"/>
      <c r="D1338" s="1287" t="s">
        <v>571</v>
      </c>
      <c r="E1338" s="1287"/>
      <c r="F1338" s="1968"/>
      <c r="G1338" s="1968"/>
      <c r="H1338" s="1968"/>
      <c r="I1338" s="1968"/>
      <c r="J1338" s="1968"/>
      <c r="K1338" s="1968"/>
      <c r="L1338" s="1968"/>
      <c r="M1338" s="1968"/>
      <c r="N1338" s="1966"/>
      <c r="O1338" s="887"/>
    </row>
    <row r="1339" spans="3:15" ht="15" customHeight="1">
      <c r="C1339" s="1287"/>
      <c r="D1339" s="454" t="s">
        <v>1878</v>
      </c>
      <c r="E1339" s="1287"/>
      <c r="F1339" s="1968"/>
      <c r="G1339" s="1968"/>
      <c r="H1339" s="1968"/>
      <c r="I1339" s="1968"/>
      <c r="J1339" s="1968"/>
      <c r="K1339" s="1968"/>
      <c r="L1339" s="1968"/>
      <c r="M1339" s="1968"/>
      <c r="N1339" s="1966"/>
      <c r="O1339" s="887"/>
    </row>
    <row r="1340" spans="3:15" ht="15" customHeight="1">
      <c r="C1340" s="1287"/>
      <c r="D1340" s="454" t="s">
        <v>549</v>
      </c>
      <c r="E1340" s="1287"/>
      <c r="F1340" s="1968"/>
      <c r="G1340" s="1968"/>
      <c r="H1340" s="1968"/>
      <c r="I1340" s="1968"/>
      <c r="J1340" s="1968"/>
      <c r="K1340" s="1968"/>
      <c r="L1340" s="1968"/>
      <c r="M1340" s="1968"/>
      <c r="N1340" s="1966"/>
      <c r="O1340" s="887"/>
    </row>
    <row r="1341" spans="3:15" ht="15" customHeight="1">
      <c r="C1341" s="1287"/>
      <c r="D1341" s="2866" t="s">
        <v>572</v>
      </c>
      <c r="E1341" s="1478"/>
      <c r="F1341" s="1647" cm="1">
        <f t="array" ref="F1341:M1341">F961:M961*UNIDAD_T_A_MT</f>
        <v>0</v>
      </c>
      <c r="G1341" s="1647">
        <v>0</v>
      </c>
      <c r="H1341" s="1647">
        <v>0</v>
      </c>
      <c r="I1341" s="1647">
        <v>0</v>
      </c>
      <c r="J1341" s="1647">
        <v>0</v>
      </c>
      <c r="K1341" s="1647">
        <v>0</v>
      </c>
      <c r="L1341" s="1647">
        <v>0</v>
      </c>
      <c r="M1341" s="1647">
        <v>0</v>
      </c>
      <c r="N1341" s="1966"/>
      <c r="O1341" s="887"/>
    </row>
    <row r="1342" spans="3:15" ht="15" customHeight="1">
      <c r="C1342" s="1287"/>
      <c r="D1342" s="649" t="s">
        <v>338</v>
      </c>
      <c r="E1342" s="1290"/>
      <c r="F1342" s="2873">
        <f t="shared" ref="F1342:M1342" si="91">SUM(F1325:F1341)</f>
        <v>0.78790486559999384</v>
      </c>
      <c r="G1342" s="2873">
        <f t="shared" si="91"/>
        <v>0.78790486559999384</v>
      </c>
      <c r="H1342" s="2873">
        <f t="shared" si="91"/>
        <v>0.90595589209360883</v>
      </c>
      <c r="I1342" s="2873">
        <f t="shared" si="91"/>
        <v>1.0251340985733166</v>
      </c>
      <c r="J1342" s="2873">
        <f t="shared" si="91"/>
        <v>1.0251340985733166</v>
      </c>
      <c r="K1342" s="2873">
        <f t="shared" si="91"/>
        <v>1.0251340985733166</v>
      </c>
      <c r="L1342" s="2873">
        <f t="shared" si="91"/>
        <v>1.0251340985733166</v>
      </c>
      <c r="M1342" s="2873">
        <f t="shared" si="91"/>
        <v>1.0251340985733166</v>
      </c>
      <c r="N1342" s="1966"/>
      <c r="O1342" s="887"/>
    </row>
    <row r="1343" spans="3:15" ht="15" customHeight="1">
      <c r="C1343" s="1287"/>
      <c r="D1343" s="609"/>
      <c r="E1343" s="1287"/>
      <c r="F1343" s="1970"/>
      <c r="G1343" s="1970"/>
      <c r="H1343" s="1970"/>
      <c r="I1343" s="1970"/>
      <c r="J1343" s="1970"/>
      <c r="K1343" s="1970"/>
      <c r="L1343" s="1970"/>
      <c r="M1343" s="1970"/>
      <c r="N1343" s="1966"/>
      <c r="O1343" s="887"/>
    </row>
    <row r="1344" spans="3:15" ht="15" customHeight="1">
      <c r="C1344" s="1287"/>
      <c r="D1344" s="609"/>
      <c r="E1344" s="1287"/>
      <c r="F1344" s="1970"/>
      <c r="G1344" s="1970"/>
      <c r="H1344" s="1970"/>
      <c r="I1344" s="1970"/>
      <c r="J1344" s="1970"/>
      <c r="K1344" s="1970"/>
      <c r="L1344" s="1970"/>
      <c r="M1344" s="1651" t="s">
        <v>1716</v>
      </c>
      <c r="N1344" s="1966"/>
      <c r="O1344" s="887"/>
    </row>
    <row r="1345" spans="3:15" ht="15" customHeight="1">
      <c r="C1345" s="1950" t="s">
        <v>562</v>
      </c>
      <c r="D1345" s="1951"/>
      <c r="E1345" s="1950"/>
      <c r="F1345" s="1952">
        <v>2018</v>
      </c>
      <c r="G1345" s="1952">
        <v>2020</v>
      </c>
      <c r="H1345" s="1952">
        <v>2025</v>
      </c>
      <c r="I1345" s="1952">
        <v>2030</v>
      </c>
      <c r="J1345" s="1952">
        <v>2035</v>
      </c>
      <c r="K1345" s="1952">
        <v>2040</v>
      </c>
      <c r="L1345" s="1952">
        <v>2045</v>
      </c>
      <c r="M1345" s="1952">
        <v>2050</v>
      </c>
      <c r="N1345" s="1966"/>
      <c r="O1345" s="887"/>
    </row>
    <row r="1346" spans="3:15" ht="15" customHeight="1">
      <c r="C1346" s="1287"/>
      <c r="D1346" s="1554" t="s">
        <v>504</v>
      </c>
      <c r="E1346" s="1554"/>
      <c r="F1346" s="1967" cm="1">
        <f t="array" ref="F1346:M1346">F965:M965*FE_INDUSTRIA_CO2_BAGAZO*UNIDAD_T_A_MT</f>
        <v>0</v>
      </c>
      <c r="G1346" s="1967">
        <v>0</v>
      </c>
      <c r="H1346" s="1967">
        <v>0</v>
      </c>
      <c r="I1346" s="1967">
        <v>0</v>
      </c>
      <c r="J1346" s="1967">
        <v>0</v>
      </c>
      <c r="K1346" s="1967">
        <v>0</v>
      </c>
      <c r="L1346" s="1967">
        <v>0</v>
      </c>
      <c r="M1346" s="1967">
        <v>0</v>
      </c>
      <c r="N1346" s="1966"/>
      <c r="O1346" s="887"/>
    </row>
    <row r="1347" spans="3:15" ht="15" customHeight="1">
      <c r="C1347" s="1287"/>
      <c r="D1347" s="1287" t="s">
        <v>569</v>
      </c>
      <c r="E1347" s="1287"/>
      <c r="F1347" s="1968" cm="1">
        <f t="array" ref="F1347:M1347">F966:M966*FE_INDUSTRIA_CO2_CARBON_MINERAL*UNIDAD_T_A_MT</f>
        <v>3.8374524758944047E-2</v>
      </c>
      <c r="G1347" s="1968">
        <v>3.8374524758944047E-2</v>
      </c>
      <c r="H1347" s="1968">
        <v>4.345557999642273E-2</v>
      </c>
      <c r="I1347" s="1968">
        <v>4.8410437232157336E-2</v>
      </c>
      <c r="J1347" s="1968">
        <v>4.8410437232157336E-2</v>
      </c>
      <c r="K1347" s="1968">
        <v>4.8410437232157336E-2</v>
      </c>
      <c r="L1347" s="1968">
        <v>4.8410437232157336E-2</v>
      </c>
      <c r="M1347" s="1968">
        <v>4.8410437232157336E-2</v>
      </c>
      <c r="N1347" s="1966"/>
      <c r="O1347" s="887"/>
    </row>
    <row r="1348" spans="3:15" ht="15" customHeight="1">
      <c r="C1348" s="1287"/>
      <c r="D1348" s="1287" t="s">
        <v>513</v>
      </c>
      <c r="E1348" s="1287"/>
      <c r="F1348" s="1968" cm="1">
        <f t="array" ref="F1348:M1348">F967:M967*FE_INDUSTRIA_CO2_GAS_NATURAL*UNIDAD_T_A_MT</f>
        <v>1.5398860578214065E-2</v>
      </c>
      <c r="G1348" s="1968">
        <v>1.5398860578214065E-2</v>
      </c>
      <c r="H1348" s="1968">
        <v>1.7437777325291243E-2</v>
      </c>
      <c r="I1348" s="1968">
        <v>1.9426053564210639E-2</v>
      </c>
      <c r="J1348" s="1968">
        <v>1.9426053564210639E-2</v>
      </c>
      <c r="K1348" s="1968">
        <v>1.9426053564210639E-2</v>
      </c>
      <c r="L1348" s="1968">
        <v>1.9426053564210639E-2</v>
      </c>
      <c r="M1348" s="1968">
        <v>1.9426053564210639E-2</v>
      </c>
      <c r="N1348" s="1966"/>
      <c r="O1348" s="887"/>
    </row>
    <row r="1349" spans="3:15" ht="15" customHeight="1">
      <c r="C1349" s="1287"/>
      <c r="D1349" s="1287" t="s">
        <v>503</v>
      </c>
      <c r="E1349" s="1287"/>
      <c r="F1349" s="1968" cm="1">
        <f t="array" ref="F1349:M1349">F968:M968*FE_INDUSTRIA_CO2_LEÑA*UNIDAD_T_A_MT</f>
        <v>0</v>
      </c>
      <c r="G1349" s="1968">
        <v>0</v>
      </c>
      <c r="H1349" s="1968">
        <v>0</v>
      </c>
      <c r="I1349" s="1968">
        <v>0</v>
      </c>
      <c r="J1349" s="1968">
        <v>0</v>
      </c>
      <c r="K1349" s="1968">
        <v>0</v>
      </c>
      <c r="L1349" s="1968">
        <v>0</v>
      </c>
      <c r="M1349" s="1968">
        <v>0</v>
      </c>
      <c r="N1349" s="1966"/>
      <c r="O1349" s="887"/>
    </row>
    <row r="1350" spans="3:15" ht="15" customHeight="1">
      <c r="C1350" s="1287"/>
      <c r="D1350" s="1287" t="s">
        <v>525</v>
      </c>
      <c r="E1350" s="1287"/>
      <c r="F1350" s="1968" cm="1">
        <f t="array" ref="F1350:M1350">F969:M969*FE_INDUSTRIA_CO2_PETROLEO*UNIDAD_T_A_MT</f>
        <v>0</v>
      </c>
      <c r="G1350" s="1968">
        <v>0</v>
      </c>
      <c r="H1350" s="1968">
        <v>0</v>
      </c>
      <c r="I1350" s="1968">
        <v>0</v>
      </c>
      <c r="J1350" s="1968">
        <v>0</v>
      </c>
      <c r="K1350" s="1968">
        <v>0</v>
      </c>
      <c r="L1350" s="1968">
        <v>0</v>
      </c>
      <c r="M1350" s="1968">
        <v>0</v>
      </c>
      <c r="N1350" s="1966"/>
      <c r="O1350" s="887"/>
    </row>
    <row r="1351" spans="3:15" ht="15" customHeight="1">
      <c r="C1351" s="1287"/>
      <c r="D1351" s="1287" t="s">
        <v>487</v>
      </c>
      <c r="E1351" s="1287"/>
      <c r="F1351" s="1968" cm="1">
        <f t="array" ref="F1351:M1351">F970:M970*FE_INDUSTRIA_CO2_RESIDUOS*UNIDAD_T_A_MT</f>
        <v>2.2872138901170968E-7</v>
      </c>
      <c r="G1351" s="1968">
        <v>2.2872138901170968E-7</v>
      </c>
      <c r="H1351" s="1968">
        <v>2.5900569921129025E-7</v>
      </c>
      <c r="I1351" s="1968">
        <v>2.8853783899493163E-7</v>
      </c>
      <c r="J1351" s="1968">
        <v>2.8853783899493163E-7</v>
      </c>
      <c r="K1351" s="1968">
        <v>2.8853783899493163E-7</v>
      </c>
      <c r="L1351" s="1968">
        <v>2.8853783899493163E-7</v>
      </c>
      <c r="M1351" s="1968">
        <v>2.8853783899493163E-7</v>
      </c>
      <c r="N1351" s="1966"/>
      <c r="O1351" s="887"/>
    </row>
    <row r="1352" spans="3:15" ht="15" customHeight="1">
      <c r="C1352" s="1287"/>
      <c r="D1352" s="1287" t="s">
        <v>494</v>
      </c>
      <c r="E1352" s="1287"/>
      <c r="F1352" s="1968" cm="1">
        <f t="array" ref="F1352:M1352">F971:M971*FE_INDUSTRIA_CO2_GASOLINA*UNIDAD_T_A_MT</f>
        <v>1.4619182186576733E-5</v>
      </c>
      <c r="G1352" s="1968">
        <v>1.4619182186576733E-5</v>
      </c>
      <c r="H1352" s="1968">
        <v>1.6554864066244774E-5</v>
      </c>
      <c r="I1352" s="1968">
        <v>1.8442469478760007E-5</v>
      </c>
      <c r="J1352" s="1968">
        <v>1.8442469478760007E-5</v>
      </c>
      <c r="K1352" s="1968">
        <v>1.8442469478760007E-5</v>
      </c>
      <c r="L1352" s="1968">
        <v>1.8442469478760007E-5</v>
      </c>
      <c r="M1352" s="1968">
        <v>1.8442469478760007E-5</v>
      </c>
      <c r="N1352" s="1966"/>
      <c r="O1352" s="887"/>
    </row>
    <row r="1353" spans="3:15" ht="15" customHeight="1">
      <c r="C1353" s="1287"/>
      <c r="D1353" s="1287" t="s">
        <v>1854</v>
      </c>
      <c r="E1353" s="1287"/>
      <c r="F1353" s="1968" cm="1">
        <f t="array" ref="F1353:M1353">F972:M972*FE_INDUSTRIA_CO2_DIESEL_OIL*UNIDAD_T_A_MT</f>
        <v>1.9872444507761513E-5</v>
      </c>
      <c r="G1353" s="1968">
        <v>1.9872444507761513E-5</v>
      </c>
      <c r="H1353" s="1968">
        <v>2.2503695028307234E-5</v>
      </c>
      <c r="I1353" s="1968">
        <v>2.506959326625395E-5</v>
      </c>
      <c r="J1353" s="1968">
        <v>2.506959326625395E-5</v>
      </c>
      <c r="K1353" s="1968">
        <v>2.506959326625395E-5</v>
      </c>
      <c r="L1353" s="1968">
        <v>2.506959326625395E-5</v>
      </c>
      <c r="M1353" s="1968">
        <v>2.506959326625395E-5</v>
      </c>
      <c r="N1353" s="1966"/>
      <c r="O1353" s="887"/>
    </row>
    <row r="1354" spans="3:15" ht="15" customHeight="1">
      <c r="C1354" s="1287"/>
      <c r="D1354" s="1287" t="s">
        <v>506</v>
      </c>
      <c r="E1354" s="1287"/>
      <c r="F1354" s="1968" cm="1">
        <f t="array" ref="F1354:M1354">F973:M973*FE_INDUSTRIA_CO2_CARBON_VEGETAL*UNIDAD_T_A_MT</f>
        <v>0</v>
      </c>
      <c r="G1354" s="1968">
        <v>0</v>
      </c>
      <c r="H1354" s="1968">
        <v>0</v>
      </c>
      <c r="I1354" s="1968">
        <v>0</v>
      </c>
      <c r="J1354" s="1968">
        <v>0</v>
      </c>
      <c r="K1354" s="1968">
        <v>0</v>
      </c>
      <c r="L1354" s="1968">
        <v>0</v>
      </c>
      <c r="M1354" s="1968">
        <v>0</v>
      </c>
      <c r="N1354" s="1966"/>
      <c r="O1354" s="887"/>
    </row>
    <row r="1355" spans="3:15" ht="15" customHeight="1">
      <c r="C1355" s="1287"/>
      <c r="D1355" s="1287" t="s">
        <v>507</v>
      </c>
      <c r="E1355" s="1287"/>
      <c r="F1355" s="1968" cm="1">
        <f t="array" ref="F1355:M1355">F974:M974*FE_INDUSTRIA_CO2_COQUE*UNIDAD_T_A_MT</f>
        <v>0</v>
      </c>
      <c r="G1355" s="1968">
        <v>0</v>
      </c>
      <c r="H1355" s="1968">
        <v>0</v>
      </c>
      <c r="I1355" s="1968">
        <v>0</v>
      </c>
      <c r="J1355" s="1968">
        <v>0</v>
      </c>
      <c r="K1355" s="1968">
        <v>0</v>
      </c>
      <c r="L1355" s="1968">
        <v>0</v>
      </c>
      <c r="M1355" s="1968">
        <v>0</v>
      </c>
      <c r="N1355" s="1966"/>
      <c r="O1355" s="887"/>
    </row>
    <row r="1356" spans="3:15" ht="15" customHeight="1">
      <c r="C1356" s="1287"/>
      <c r="D1356" s="1287" t="s">
        <v>570</v>
      </c>
      <c r="E1356" s="1287"/>
      <c r="F1356" s="1968" cm="1">
        <f t="array" ref="F1356:M1356">F975:M975*FE_INDUSTRIA_CO2_FUEL_OIL*UNIDAD_T_A_MT</f>
        <v>2.4593249338171746E-4</v>
      </c>
      <c r="G1356" s="1968">
        <v>2.4593249338171746E-4</v>
      </c>
      <c r="H1356" s="1968">
        <v>2.7849567407028415E-4</v>
      </c>
      <c r="I1356" s="1968">
        <v>3.1025008411156144E-4</v>
      </c>
      <c r="J1356" s="1968">
        <v>3.1025008411156144E-4</v>
      </c>
      <c r="K1356" s="1968">
        <v>3.1025008411156144E-4</v>
      </c>
      <c r="L1356" s="1968">
        <v>3.1025008411156144E-4</v>
      </c>
      <c r="M1356" s="1968">
        <v>3.1025008411156144E-4</v>
      </c>
      <c r="N1356" s="1966"/>
      <c r="O1356" s="887"/>
    </row>
    <row r="1357" spans="3:15" ht="15" customHeight="1">
      <c r="C1357" s="1287"/>
      <c r="D1357" s="1287" t="s">
        <v>498</v>
      </c>
      <c r="E1357" s="1287"/>
      <c r="F1357" s="1968" cm="1">
        <f t="array" ref="F1357:M1357">F976:M976*FE_INDUSTRIA_CO2_GLP*UNIDAD_T_A_MT</f>
        <v>5.0712971763966995E-5</v>
      </c>
      <c r="G1357" s="1968">
        <v>5.0712971763966995E-5</v>
      </c>
      <c r="H1357" s="1968">
        <v>5.7427723605404604E-5</v>
      </c>
      <c r="I1357" s="1968">
        <v>6.3975701376301489E-5</v>
      </c>
      <c r="J1357" s="1968">
        <v>6.3975701376301489E-5</v>
      </c>
      <c r="K1357" s="1968">
        <v>6.3975701376301489E-5</v>
      </c>
      <c r="L1357" s="1968">
        <v>6.3975701376301489E-5</v>
      </c>
      <c r="M1357" s="1968">
        <v>6.3975701376301489E-5</v>
      </c>
      <c r="N1357" s="1966"/>
      <c r="O1357" s="887"/>
    </row>
    <row r="1358" spans="3:15" ht="15" customHeight="1">
      <c r="C1358" s="1287"/>
      <c r="D1358" s="1287" t="s">
        <v>502</v>
      </c>
      <c r="E1358" s="1287"/>
      <c r="F1358" s="1968" cm="1">
        <f t="array" ref="F1358:M1358">F977:M977*FE_INDUSTRIA_CO2_QUEROSENO*UNIDAD_T_A_MT</f>
        <v>1.0505001838230177E-7</v>
      </c>
      <c r="G1358" s="1968">
        <v>1.0505001838230177E-7</v>
      </c>
      <c r="H1358" s="1968">
        <v>1.1895937490076192E-7</v>
      </c>
      <c r="I1358" s="1968">
        <v>1.3252326518905239E-7</v>
      </c>
      <c r="J1358" s="1968">
        <v>1.3252326518905239E-7</v>
      </c>
      <c r="K1358" s="1968">
        <v>1.3252326518905239E-7</v>
      </c>
      <c r="L1358" s="1968">
        <v>1.3252326518905239E-7</v>
      </c>
      <c r="M1358" s="1968">
        <v>1.3252326518905239E-7</v>
      </c>
      <c r="N1358" s="1966"/>
      <c r="O1358" s="887"/>
    </row>
    <row r="1359" spans="3:15" ht="15" customHeight="1">
      <c r="C1359" s="1287"/>
      <c r="D1359" s="1287" t="s">
        <v>571</v>
      </c>
      <c r="E1359" s="1287"/>
      <c r="F1359" s="1968"/>
      <c r="G1359" s="1968"/>
      <c r="H1359" s="1968"/>
      <c r="I1359" s="1968"/>
      <c r="J1359" s="1968"/>
      <c r="K1359" s="1968"/>
      <c r="L1359" s="1968"/>
      <c r="M1359" s="1968"/>
      <c r="N1359" s="1966"/>
      <c r="O1359" s="887"/>
    </row>
    <row r="1360" spans="3:15" ht="15" customHeight="1">
      <c r="C1360" s="1287"/>
      <c r="D1360" s="454" t="s">
        <v>1878</v>
      </c>
      <c r="E1360" s="1287"/>
      <c r="F1360" s="1968"/>
      <c r="G1360" s="1968"/>
      <c r="H1360" s="1968"/>
      <c r="I1360" s="1968"/>
      <c r="J1360" s="1968"/>
      <c r="K1360" s="1968"/>
      <c r="L1360" s="1968"/>
      <c r="M1360" s="1968"/>
      <c r="N1360" s="1966"/>
      <c r="O1360" s="887"/>
    </row>
    <row r="1361" spans="3:15" ht="15" customHeight="1">
      <c r="C1361" s="1287"/>
      <c r="D1361" s="454" t="s">
        <v>549</v>
      </c>
      <c r="E1361" s="1287"/>
      <c r="F1361" s="1968"/>
      <c r="G1361" s="1968"/>
      <c r="H1361" s="1968"/>
      <c r="I1361" s="1968"/>
      <c r="J1361" s="1968"/>
      <c r="K1361" s="1968"/>
      <c r="L1361" s="1968"/>
      <c r="M1361" s="1968"/>
      <c r="N1361" s="1966"/>
      <c r="O1361" s="1971"/>
    </row>
    <row r="1362" spans="3:15" ht="15" customHeight="1">
      <c r="C1362" s="1287"/>
      <c r="D1362" s="2866" t="s">
        <v>572</v>
      </c>
      <c r="E1362" s="1478"/>
      <c r="F1362" s="1647"/>
      <c r="G1362" s="1647"/>
      <c r="H1362" s="1647"/>
      <c r="I1362" s="1647"/>
      <c r="J1362" s="1647"/>
      <c r="K1362" s="1647"/>
      <c r="L1362" s="1647"/>
      <c r="M1362" s="1647"/>
      <c r="N1362" s="1966"/>
      <c r="O1362" s="1971"/>
    </row>
    <row r="1363" spans="3:15" ht="15" customHeight="1">
      <c r="C1363" s="1287"/>
      <c r="D1363" s="649" t="s">
        <v>338</v>
      </c>
      <c r="E1363" s="1290"/>
      <c r="F1363" s="2873">
        <f t="shared" ref="F1363:M1363" si="92">SUM(F1346:F1362)</f>
        <v>5.4104856200405532E-2</v>
      </c>
      <c r="G1363" s="2873">
        <f t="shared" si="92"/>
        <v>5.4104856200405532E-2</v>
      </c>
      <c r="H1363" s="2873">
        <f t="shared" si="92"/>
        <v>6.126871724355832E-2</v>
      </c>
      <c r="I1363" s="2873">
        <f t="shared" si="92"/>
        <v>6.8254649705705037E-2</v>
      </c>
      <c r="J1363" s="2873">
        <f t="shared" si="92"/>
        <v>6.8254649705705037E-2</v>
      </c>
      <c r="K1363" s="2873">
        <f t="shared" si="92"/>
        <v>6.8254649705705037E-2</v>
      </c>
      <c r="L1363" s="2873">
        <f t="shared" si="92"/>
        <v>6.8254649705705037E-2</v>
      </c>
      <c r="M1363" s="2873">
        <f t="shared" si="92"/>
        <v>6.8254649705705037E-2</v>
      </c>
      <c r="N1363" s="1966"/>
      <c r="O1363" s="1971"/>
    </row>
    <row r="1364" spans="3:15" ht="15" customHeight="1">
      <c r="C1364" s="1287"/>
      <c r="D1364" s="609"/>
      <c r="E1364" s="1287"/>
      <c r="F1364" s="1970"/>
      <c r="G1364" s="1970"/>
      <c r="H1364" s="1970"/>
      <c r="I1364" s="1970"/>
      <c r="J1364" s="1970"/>
      <c r="K1364" s="1970"/>
      <c r="L1364" s="1970"/>
      <c r="M1364" s="1970"/>
      <c r="N1364" s="1966"/>
      <c r="O1364" s="1971"/>
    </row>
    <row r="1365" spans="3:15" ht="15" customHeight="1">
      <c r="C1365" s="1287"/>
      <c r="D1365" s="609"/>
      <c r="E1365" s="1287"/>
      <c r="F1365" s="1970"/>
      <c r="G1365" s="1970"/>
      <c r="H1365" s="1970"/>
      <c r="I1365" s="1970"/>
      <c r="J1365" s="1970"/>
      <c r="K1365" s="1970"/>
      <c r="L1365" s="1970"/>
      <c r="M1365" s="1651" t="s">
        <v>1716</v>
      </c>
      <c r="N1365" s="1966"/>
      <c r="O1365" s="1971"/>
    </row>
    <row r="1366" spans="3:15" ht="15" customHeight="1">
      <c r="C1366" s="1950" t="s">
        <v>563</v>
      </c>
      <c r="D1366" s="1951"/>
      <c r="E1366" s="1950"/>
      <c r="F1366" s="1952">
        <v>2018</v>
      </c>
      <c r="G1366" s="1952">
        <v>2020</v>
      </c>
      <c r="H1366" s="1952">
        <v>2025</v>
      </c>
      <c r="I1366" s="1952">
        <v>2030</v>
      </c>
      <c r="J1366" s="1952">
        <v>2035</v>
      </c>
      <c r="K1366" s="1952">
        <v>2040</v>
      </c>
      <c r="L1366" s="1952">
        <v>2045</v>
      </c>
      <c r="M1366" s="1952">
        <v>2050</v>
      </c>
      <c r="N1366" s="1966"/>
      <c r="O1366" s="1971"/>
    </row>
    <row r="1367" spans="3:15" ht="15" customHeight="1">
      <c r="C1367" s="1287"/>
      <c r="D1367" s="1554" t="s">
        <v>504</v>
      </c>
      <c r="E1367" s="1554"/>
      <c r="F1367" s="1967" cm="1">
        <f t="array" ref="F1367:M1367">F985:M985*FE_INDUSTRIA_CO2_BAGAZO*UNIDAD_T_A_MT</f>
        <v>2.2924328230208232E-2</v>
      </c>
      <c r="G1367" s="1967">
        <v>2.2924328230208232E-2</v>
      </c>
      <c r="H1367" s="1967">
        <v>2.9400651512218042E-2</v>
      </c>
      <c r="I1367" s="1967">
        <v>3.4597177034833199E-2</v>
      </c>
      <c r="J1367" s="1967">
        <v>3.4597177034833199E-2</v>
      </c>
      <c r="K1367" s="1967">
        <v>3.4597177034833199E-2</v>
      </c>
      <c r="L1367" s="1967">
        <v>3.4597177034833199E-2</v>
      </c>
      <c r="M1367" s="1967">
        <v>3.4597177034833199E-2</v>
      </c>
      <c r="N1367" s="1966"/>
      <c r="O1367" s="1971"/>
    </row>
    <row r="1368" spans="3:15" ht="15" customHeight="1">
      <c r="C1368" s="1287"/>
      <c r="D1368" s="1287" t="s">
        <v>569</v>
      </c>
      <c r="E1368" s="1287"/>
      <c r="F1368" s="1968" cm="1">
        <f t="array" ref="F1368:M1368">F986:M986*FE_INDUSTRIA_CO2_CARBON_MINERAL*UNIDAD_T_A_MT</f>
        <v>0.2414461923334302</v>
      </c>
      <c r="G1368" s="1968">
        <v>0.2414461923334302</v>
      </c>
      <c r="H1368" s="1968">
        <v>0.30965685399640053</v>
      </c>
      <c r="I1368" s="1968">
        <v>0.36438828552186514</v>
      </c>
      <c r="J1368" s="1968">
        <v>0.36438828552186514</v>
      </c>
      <c r="K1368" s="1968">
        <v>0.36438828552186514</v>
      </c>
      <c r="L1368" s="1968">
        <v>0.36438828552186514</v>
      </c>
      <c r="M1368" s="1968">
        <v>0.36438828552186514</v>
      </c>
      <c r="N1368" s="1966"/>
      <c r="O1368" s="1971"/>
    </row>
    <row r="1369" spans="3:15" ht="15" customHeight="1">
      <c r="C1369" s="1287"/>
      <c r="D1369" s="1287" t="s">
        <v>513</v>
      </c>
      <c r="E1369" s="1287"/>
      <c r="F1369" s="1968" cm="1">
        <f t="array" ref="F1369:M1369">F987:M987*FE_INDUSTRIA_CO2_GAS_NATURAL*UNIDAD_T_A_MT</f>
        <v>1.4798861674264826E-2</v>
      </c>
      <c r="G1369" s="1968">
        <v>1.4798861674264826E-2</v>
      </c>
      <c r="H1369" s="1968">
        <v>1.897966956733927E-2</v>
      </c>
      <c r="I1369" s="1968">
        <v>2.2334300578713072E-2</v>
      </c>
      <c r="J1369" s="1968">
        <v>2.2334300578713072E-2</v>
      </c>
      <c r="K1369" s="1968">
        <v>2.2334300578713072E-2</v>
      </c>
      <c r="L1369" s="1968">
        <v>2.2334300578713072E-2</v>
      </c>
      <c r="M1369" s="1968">
        <v>2.2334300578713072E-2</v>
      </c>
      <c r="N1369" s="1966"/>
      <c r="O1369" s="1971"/>
    </row>
    <row r="1370" spans="3:15" ht="15" customHeight="1">
      <c r="C1370" s="1287"/>
      <c r="D1370" s="1287" t="s">
        <v>503</v>
      </c>
      <c r="E1370" s="1287"/>
      <c r="F1370" s="1968" cm="1">
        <f t="array" ref="F1370:M1370">F988:M988*FE_INDUSTRIA_CO2_LEÑA*UNIDAD_T_A_MT</f>
        <v>2.4189158726963472E-4</v>
      </c>
      <c r="G1370" s="1968">
        <v>2.4189158726963472E-4</v>
      </c>
      <c r="H1370" s="1968">
        <v>3.1022807689868811E-4</v>
      </c>
      <c r="I1370" s="1968">
        <v>3.6506047130212185E-4</v>
      </c>
      <c r="J1370" s="1968">
        <v>3.6506047130212185E-4</v>
      </c>
      <c r="K1370" s="1968">
        <v>3.6506047130212185E-4</v>
      </c>
      <c r="L1370" s="1968">
        <v>3.6506047130212185E-4</v>
      </c>
      <c r="M1370" s="1968">
        <v>3.6506047130212185E-4</v>
      </c>
      <c r="N1370" s="1966"/>
      <c r="O1370" s="1971"/>
    </row>
    <row r="1371" spans="3:15" ht="15" customHeight="1">
      <c r="C1371" s="1287"/>
      <c r="D1371" s="1287" t="s">
        <v>525</v>
      </c>
      <c r="E1371" s="1287"/>
      <c r="F1371" s="1968" cm="1">
        <f t="array" ref="F1371:M1371">F989:M989*FE_INDUSTRIA_CO2_PETROLEO*UNIDAD_T_A_MT</f>
        <v>0</v>
      </c>
      <c r="G1371" s="1968">
        <v>0</v>
      </c>
      <c r="H1371" s="1968">
        <v>0</v>
      </c>
      <c r="I1371" s="1968">
        <v>0</v>
      </c>
      <c r="J1371" s="1968">
        <v>0</v>
      </c>
      <c r="K1371" s="1968">
        <v>0</v>
      </c>
      <c r="L1371" s="1968">
        <v>0</v>
      </c>
      <c r="M1371" s="1968">
        <v>0</v>
      </c>
      <c r="N1371" s="1966"/>
      <c r="O1371" s="1971"/>
    </row>
    <row r="1372" spans="3:15" ht="15" customHeight="1">
      <c r="C1372" s="1287"/>
      <c r="D1372" s="1287" t="s">
        <v>487</v>
      </c>
      <c r="E1372" s="1287"/>
      <c r="F1372" s="1968" cm="1">
        <f t="array" ref="F1372:M1372">F990:M990*FE_INDUSTRIA_CO2_RESIDUOS*UNIDAD_T_A_MT</f>
        <v>2.015018323557978E-2</v>
      </c>
      <c r="G1372" s="1968">
        <v>2.015018323557978E-2</v>
      </c>
      <c r="H1372" s="1968">
        <v>2.5842786286577175E-2</v>
      </c>
      <c r="I1372" s="1968">
        <v>3.041046392657366E-2</v>
      </c>
      <c r="J1372" s="1968">
        <v>3.041046392657366E-2</v>
      </c>
      <c r="K1372" s="1968">
        <v>3.041046392657366E-2</v>
      </c>
      <c r="L1372" s="1968">
        <v>3.041046392657366E-2</v>
      </c>
      <c r="M1372" s="1968">
        <v>3.041046392657366E-2</v>
      </c>
      <c r="N1372" s="1966"/>
      <c r="O1372" s="1971"/>
    </row>
    <row r="1373" spans="3:15" ht="15" customHeight="1">
      <c r="C1373" s="1287"/>
      <c r="D1373" s="1287" t="s">
        <v>494</v>
      </c>
      <c r="E1373" s="1287"/>
      <c r="F1373" s="1968" cm="1">
        <f t="array" ref="F1373:M1373">F991:M991*FE_INDUSTRIA_CO2_GASOLINA*UNIDAD_T_A_MT</f>
        <v>0</v>
      </c>
      <c r="G1373" s="1968">
        <v>0</v>
      </c>
      <c r="H1373" s="1968">
        <v>0</v>
      </c>
      <c r="I1373" s="1968">
        <v>0</v>
      </c>
      <c r="J1373" s="1968">
        <v>0</v>
      </c>
      <c r="K1373" s="1968">
        <v>0</v>
      </c>
      <c r="L1373" s="1968">
        <v>0</v>
      </c>
      <c r="M1373" s="1968">
        <v>0</v>
      </c>
      <c r="N1373" s="1966"/>
      <c r="O1373" s="1971"/>
    </row>
    <row r="1374" spans="3:15" ht="15" customHeight="1">
      <c r="C1374" s="1287"/>
      <c r="D1374" s="1287" t="s">
        <v>1854</v>
      </c>
      <c r="E1374" s="1287"/>
      <c r="F1374" s="1968" cm="1">
        <f t="array" ref="F1374:M1374">F992:M992*FE_INDUSTRIA_CO2_DIESEL_OIL*UNIDAD_T_A_MT</f>
        <v>0</v>
      </c>
      <c r="G1374" s="1968">
        <v>0</v>
      </c>
      <c r="H1374" s="1968">
        <v>0</v>
      </c>
      <c r="I1374" s="1968">
        <v>0</v>
      </c>
      <c r="J1374" s="1968">
        <v>0</v>
      </c>
      <c r="K1374" s="1968">
        <v>0</v>
      </c>
      <c r="L1374" s="1968">
        <v>0</v>
      </c>
      <c r="M1374" s="1968">
        <v>0</v>
      </c>
      <c r="N1374" s="1966"/>
      <c r="O1374" s="1971"/>
    </row>
    <row r="1375" spans="3:15" ht="15" customHeight="1">
      <c r="C1375" s="1287"/>
      <c r="D1375" s="1287" t="s">
        <v>506</v>
      </c>
      <c r="E1375" s="1287"/>
      <c r="F1375" s="1968" cm="1">
        <f t="array" ref="F1375:M1375">F993:M993*FE_INDUSTRIA_CO2_CARBON_VEGETAL*UNIDAD_T_A_MT</f>
        <v>0</v>
      </c>
      <c r="G1375" s="1968">
        <v>0</v>
      </c>
      <c r="H1375" s="1968">
        <v>0</v>
      </c>
      <c r="I1375" s="1968">
        <v>0</v>
      </c>
      <c r="J1375" s="1968">
        <v>0</v>
      </c>
      <c r="K1375" s="1968">
        <v>0</v>
      </c>
      <c r="L1375" s="1968">
        <v>0</v>
      </c>
      <c r="M1375" s="1968">
        <v>0</v>
      </c>
      <c r="N1375" s="1966"/>
      <c r="O1375" s="1971"/>
    </row>
    <row r="1376" spans="3:15" ht="15" customHeight="1">
      <c r="C1376" s="1287"/>
      <c r="D1376" s="1287" t="s">
        <v>507</v>
      </c>
      <c r="E1376" s="1287"/>
      <c r="F1376" s="1968" cm="1">
        <f t="array" ref="F1376:M1376">F994:M994*FE_INDUSTRIA_CO2_COQUE*UNIDAD_T_A_MT</f>
        <v>0</v>
      </c>
      <c r="G1376" s="1968">
        <v>0</v>
      </c>
      <c r="H1376" s="1968">
        <v>0</v>
      </c>
      <c r="I1376" s="1968">
        <v>0</v>
      </c>
      <c r="J1376" s="1968">
        <v>0</v>
      </c>
      <c r="K1376" s="1968">
        <v>0</v>
      </c>
      <c r="L1376" s="1968">
        <v>0</v>
      </c>
      <c r="M1376" s="1968">
        <v>0</v>
      </c>
      <c r="N1376" s="1966"/>
      <c r="O1376" s="1971"/>
    </row>
    <row r="1377" spans="3:15" ht="15" customHeight="1">
      <c r="C1377" s="1287"/>
      <c r="D1377" s="1287" t="s">
        <v>570</v>
      </c>
      <c r="E1377" s="1287"/>
      <c r="F1377" s="1968" cm="1">
        <f t="array" ref="F1377:M1377">F995:M995*FE_INDUSTRIA_CO2_FUEL_OIL*UNIDAD_T_A_MT</f>
        <v>0</v>
      </c>
      <c r="G1377" s="1968">
        <v>0</v>
      </c>
      <c r="H1377" s="1968">
        <v>0</v>
      </c>
      <c r="I1377" s="1968">
        <v>0</v>
      </c>
      <c r="J1377" s="1968">
        <v>0</v>
      </c>
      <c r="K1377" s="1968">
        <v>0</v>
      </c>
      <c r="L1377" s="1968">
        <v>0</v>
      </c>
      <c r="M1377" s="1968">
        <v>0</v>
      </c>
      <c r="N1377" s="1966"/>
      <c r="O1377" s="1971"/>
    </row>
    <row r="1378" spans="3:15" ht="15" customHeight="1">
      <c r="C1378" s="1287"/>
      <c r="D1378" s="1287" t="s">
        <v>498</v>
      </c>
      <c r="E1378" s="1287"/>
      <c r="F1378" s="1968" cm="1">
        <f t="array" ref="F1378:M1378">F996:M996*FE_INDUSTRIA_CO2_QUEROSENO*UNIDAD_T_A_MT</f>
        <v>0</v>
      </c>
      <c r="G1378" s="1968">
        <v>0</v>
      </c>
      <c r="H1378" s="1968">
        <v>0</v>
      </c>
      <c r="I1378" s="1968">
        <v>0</v>
      </c>
      <c r="J1378" s="1968">
        <v>0</v>
      </c>
      <c r="K1378" s="1968">
        <v>0</v>
      </c>
      <c r="L1378" s="1968">
        <v>0</v>
      </c>
      <c r="M1378" s="1968">
        <v>0</v>
      </c>
      <c r="N1378" s="1966"/>
      <c r="O1378" s="1971"/>
    </row>
    <row r="1379" spans="3:15" ht="15" customHeight="1">
      <c r="C1379" s="1287"/>
      <c r="D1379" s="1287" t="s">
        <v>502</v>
      </c>
      <c r="E1379" s="1287"/>
      <c r="F1379" s="1968" cm="1">
        <f t="array" ref="F1379:M1379">F997:M997*UNIDAD_T_A_MT</f>
        <v>0</v>
      </c>
      <c r="G1379" s="1968">
        <v>0</v>
      </c>
      <c r="H1379" s="1968">
        <v>0</v>
      </c>
      <c r="I1379" s="1968">
        <v>0</v>
      </c>
      <c r="J1379" s="1968">
        <v>0</v>
      </c>
      <c r="K1379" s="1968">
        <v>0</v>
      </c>
      <c r="L1379" s="1968">
        <v>0</v>
      </c>
      <c r="M1379" s="1968">
        <v>0</v>
      </c>
      <c r="N1379" s="1966"/>
      <c r="O1379" s="1971"/>
    </row>
    <row r="1380" spans="3:15" ht="15" customHeight="1">
      <c r="C1380" s="1287"/>
      <c r="D1380" s="1287" t="s">
        <v>571</v>
      </c>
      <c r="E1380" s="1287"/>
      <c r="F1380" s="1968" cm="1">
        <f t="array" ref="F1380:M1380">F998:M998*UNIDAD_T_A_MT</f>
        <v>0</v>
      </c>
      <c r="G1380" s="1968">
        <v>0</v>
      </c>
      <c r="H1380" s="1968">
        <v>0</v>
      </c>
      <c r="I1380" s="1968">
        <v>0</v>
      </c>
      <c r="J1380" s="1968">
        <v>0</v>
      </c>
      <c r="K1380" s="1968">
        <v>0</v>
      </c>
      <c r="L1380" s="1968">
        <v>0</v>
      </c>
      <c r="M1380" s="1968">
        <v>0</v>
      </c>
      <c r="N1380" s="1966"/>
      <c r="O1380" s="1971"/>
    </row>
    <row r="1381" spans="3:15" ht="15" customHeight="1">
      <c r="C1381" s="1287"/>
      <c r="D1381" s="454" t="s">
        <v>1878</v>
      </c>
      <c r="E1381" s="1287"/>
      <c r="F1381" s="1968"/>
      <c r="G1381" s="1968"/>
      <c r="H1381" s="1968"/>
      <c r="I1381" s="1968"/>
      <c r="J1381" s="1968"/>
      <c r="K1381" s="1968"/>
      <c r="L1381" s="1968"/>
      <c r="M1381" s="1968"/>
      <c r="N1381" s="1966"/>
      <c r="O1381" s="1971"/>
    </row>
    <row r="1382" spans="3:15" ht="15" customHeight="1">
      <c r="C1382" s="1287"/>
      <c r="D1382" s="454" t="s">
        <v>549</v>
      </c>
      <c r="E1382" s="1287"/>
      <c r="F1382" s="1968"/>
      <c r="G1382" s="1968"/>
      <c r="H1382" s="1968"/>
      <c r="I1382" s="1968"/>
      <c r="J1382" s="1968"/>
      <c r="K1382" s="1968"/>
      <c r="L1382" s="1968"/>
      <c r="M1382" s="1968"/>
      <c r="N1382" s="1966"/>
      <c r="O1382" s="1971"/>
    </row>
    <row r="1383" spans="3:15" ht="15" customHeight="1">
      <c r="C1383" s="1287"/>
      <c r="D1383" s="2866" t="s">
        <v>572</v>
      </c>
      <c r="E1383" s="1478"/>
      <c r="F1383" s="1647" cm="1">
        <f t="array" ref="F1383:M1383">F1001:M1001*UNIDAD_T_A_MT</f>
        <v>0</v>
      </c>
      <c r="G1383" s="1647">
        <v>0</v>
      </c>
      <c r="H1383" s="1647">
        <v>0</v>
      </c>
      <c r="I1383" s="1647">
        <v>0</v>
      </c>
      <c r="J1383" s="1647">
        <v>0</v>
      </c>
      <c r="K1383" s="1647">
        <v>0</v>
      </c>
      <c r="L1383" s="1647">
        <v>0</v>
      </c>
      <c r="M1383" s="1647">
        <v>0</v>
      </c>
      <c r="N1383" s="1966"/>
      <c r="O1383" s="1971"/>
    </row>
    <row r="1384" spans="3:15" ht="15" customHeight="1">
      <c r="C1384" s="1287"/>
      <c r="D1384" s="649" t="s">
        <v>338</v>
      </c>
      <c r="E1384" s="1290"/>
      <c r="F1384" s="2873">
        <f t="shared" ref="F1384:M1384" si="93">SUM(F1367:F1383)</f>
        <v>0.2995614570607526</v>
      </c>
      <c r="G1384" s="2873">
        <f t="shared" si="93"/>
        <v>0.2995614570607526</v>
      </c>
      <c r="H1384" s="2873">
        <f t="shared" si="93"/>
        <v>0.38419018943943367</v>
      </c>
      <c r="I1384" s="2873">
        <f t="shared" si="93"/>
        <v>0.45209528753328715</v>
      </c>
      <c r="J1384" s="2873">
        <f t="shared" si="93"/>
        <v>0.45209528753328715</v>
      </c>
      <c r="K1384" s="2873">
        <f t="shared" si="93"/>
        <v>0.45209528753328715</v>
      </c>
      <c r="L1384" s="2873">
        <f t="shared" si="93"/>
        <v>0.45209528753328715</v>
      </c>
      <c r="M1384" s="2873">
        <f t="shared" si="93"/>
        <v>0.45209528753328715</v>
      </c>
      <c r="N1384" s="1966"/>
      <c r="O1384" s="1971"/>
    </row>
    <row r="1385" spans="3:15" ht="15" customHeight="1">
      <c r="C1385" s="1477"/>
      <c r="D1385" s="1287"/>
      <c r="E1385" s="1287"/>
      <c r="F1385" s="1970"/>
      <c r="G1385" s="1970"/>
      <c r="H1385" s="1970"/>
      <c r="I1385" s="1970"/>
      <c r="J1385" s="1970"/>
      <c r="K1385" s="1970"/>
      <c r="L1385" s="1970"/>
      <c r="M1385" s="1970"/>
      <c r="N1385" s="1966"/>
      <c r="O1385" s="1971"/>
    </row>
    <row r="1386" spans="3:15" ht="15" customHeight="1">
      <c r="C1386" s="1477"/>
      <c r="D1386" s="1287"/>
      <c r="E1386" s="1287"/>
      <c r="F1386" s="1970"/>
      <c r="G1386" s="1970"/>
      <c r="H1386" s="1970"/>
      <c r="I1386" s="1970"/>
      <c r="J1386" s="1970"/>
      <c r="K1386" s="1970"/>
      <c r="L1386" s="1970"/>
      <c r="M1386" s="1651" t="s">
        <v>1716</v>
      </c>
      <c r="N1386" s="1966"/>
      <c r="O1386" s="1971"/>
    </row>
    <row r="1387" spans="3:15" ht="15" customHeight="1">
      <c r="C1387" s="1950" t="s">
        <v>564</v>
      </c>
      <c r="D1387" s="1951"/>
      <c r="E1387" s="1950"/>
      <c r="F1387" s="1952">
        <v>2018</v>
      </c>
      <c r="G1387" s="1952">
        <v>2020</v>
      </c>
      <c r="H1387" s="1952">
        <v>2025</v>
      </c>
      <c r="I1387" s="1952">
        <v>2030</v>
      </c>
      <c r="J1387" s="1952">
        <v>2035</v>
      </c>
      <c r="K1387" s="1952">
        <v>2040</v>
      </c>
      <c r="L1387" s="1952">
        <v>2045</v>
      </c>
      <c r="M1387" s="1952">
        <v>2050</v>
      </c>
      <c r="N1387" s="1966"/>
      <c r="O1387" s="1971"/>
    </row>
    <row r="1388" spans="3:15" ht="15" customHeight="1">
      <c r="C1388" s="1287"/>
      <c r="D1388" s="1554" t="s">
        <v>504</v>
      </c>
      <c r="E1388" s="1554"/>
      <c r="F1388" s="1967" cm="1">
        <f t="array" ref="F1388:M1388">F1006:M1006*FE_INDUSTRIA_CO2_BAGAZO*UNIDAD_T_A_MT</f>
        <v>0</v>
      </c>
      <c r="G1388" s="1967">
        <v>0</v>
      </c>
      <c r="H1388" s="1967">
        <v>0</v>
      </c>
      <c r="I1388" s="1967">
        <v>0</v>
      </c>
      <c r="J1388" s="1967">
        <v>0</v>
      </c>
      <c r="K1388" s="1967">
        <v>0</v>
      </c>
      <c r="L1388" s="1967">
        <v>0</v>
      </c>
      <c r="M1388" s="1967">
        <v>0</v>
      </c>
      <c r="N1388" s="1966"/>
      <c r="O1388" s="1971"/>
    </row>
    <row r="1389" spans="3:15" ht="15" customHeight="1">
      <c r="C1389" s="1287"/>
      <c r="D1389" s="1287" t="s">
        <v>569</v>
      </c>
      <c r="E1389" s="1287"/>
      <c r="F1389" s="1968" cm="1">
        <f t="array" ref="F1389:M1389">F1007:M1007*FE_INDUSTRIA_CO2_CARBON_MINERAL*UNIDAD_T_A_MT</f>
        <v>5.4603534372747722E-3</v>
      </c>
      <c r="G1389" s="1968">
        <v>5.4603534372747722E-3</v>
      </c>
      <c r="H1389" s="1968">
        <v>6.243370838651641E-3</v>
      </c>
      <c r="I1389" s="1968">
        <v>7.0246915759349252E-3</v>
      </c>
      <c r="J1389" s="1968">
        <v>7.0246915759349252E-3</v>
      </c>
      <c r="K1389" s="1968">
        <v>7.0246915759349252E-3</v>
      </c>
      <c r="L1389" s="1968">
        <v>7.0246915759349252E-3</v>
      </c>
      <c r="M1389" s="1968">
        <v>7.0246915759349252E-3</v>
      </c>
      <c r="N1389" s="1966"/>
      <c r="O1389" s="1971"/>
    </row>
    <row r="1390" spans="3:15" ht="15" customHeight="1">
      <c r="C1390" s="1287"/>
      <c r="D1390" s="1287" t="s">
        <v>513</v>
      </c>
      <c r="E1390" s="1287"/>
      <c r="F1390" s="1968" cm="1">
        <f t="array" ref="F1390:M1390">F1008:M1008*FE_INDUSTRIA_CO2_GAS_NATURAL*UNIDAD_T_A_MT</f>
        <v>7.0727292144782852E-4</v>
      </c>
      <c r="G1390" s="1968">
        <v>7.0727292144782852E-4</v>
      </c>
      <c r="H1390" s="1968">
        <v>8.0869621050376689E-4</v>
      </c>
      <c r="I1390" s="1968">
        <v>9.0989973272886352E-4</v>
      </c>
      <c r="J1390" s="1968">
        <v>9.0989973272886352E-4</v>
      </c>
      <c r="K1390" s="1968">
        <v>9.0989973272886352E-4</v>
      </c>
      <c r="L1390" s="1968">
        <v>9.0989973272886352E-4</v>
      </c>
      <c r="M1390" s="1968">
        <v>9.0989973272886352E-4</v>
      </c>
      <c r="N1390" s="1966"/>
      <c r="O1390" s="1971"/>
    </row>
    <row r="1391" spans="3:15" ht="15" customHeight="1">
      <c r="C1391" s="1287"/>
      <c r="D1391" s="1287" t="s">
        <v>503</v>
      </c>
      <c r="E1391" s="1287"/>
      <c r="F1391" s="1968" cm="1">
        <f t="array" ref="F1391:M1391">F1009:M1009*FE_INDUSTRIA_CO2_LEÑA*UNIDAD_T_A_MT</f>
        <v>0</v>
      </c>
      <c r="G1391" s="1968">
        <v>0</v>
      </c>
      <c r="H1391" s="1968">
        <v>0</v>
      </c>
      <c r="I1391" s="1968">
        <v>0</v>
      </c>
      <c r="J1391" s="1968">
        <v>0</v>
      </c>
      <c r="K1391" s="1968">
        <v>0</v>
      </c>
      <c r="L1391" s="1968">
        <v>0</v>
      </c>
      <c r="M1391" s="1968">
        <v>0</v>
      </c>
      <c r="N1391" s="1966"/>
      <c r="O1391" s="1971"/>
    </row>
    <row r="1392" spans="3:15" ht="15" customHeight="1">
      <c r="C1392" s="1287"/>
      <c r="D1392" s="1287" t="s">
        <v>525</v>
      </c>
      <c r="E1392" s="1287"/>
      <c r="F1392" s="1968" cm="1">
        <f t="array" ref="F1392:M1392">F1010:M1010*FE_INDUSTRIA_CO2_PETROLEO*UNIDAD_T_A_MT</f>
        <v>0</v>
      </c>
      <c r="G1392" s="1968">
        <v>0</v>
      </c>
      <c r="H1392" s="1968">
        <v>0</v>
      </c>
      <c r="I1392" s="1968">
        <v>0</v>
      </c>
      <c r="J1392" s="1968">
        <v>0</v>
      </c>
      <c r="K1392" s="1968">
        <v>0</v>
      </c>
      <c r="L1392" s="1968">
        <v>0</v>
      </c>
      <c r="M1392" s="1968">
        <v>0</v>
      </c>
      <c r="N1392" s="1966"/>
      <c r="O1392" s="1971"/>
    </row>
    <row r="1393" spans="3:15" ht="15" customHeight="1">
      <c r="C1393" s="1287"/>
      <c r="D1393" s="1287" t="s">
        <v>487</v>
      </c>
      <c r="E1393" s="1287"/>
      <c r="F1393" s="1968" cm="1">
        <f t="array" ref="F1393:M1393">F1011:M1011*FE_INDUSTRIA_CO2_RESIDUOS*UNIDAD_T_A_MT</f>
        <v>0</v>
      </c>
      <c r="G1393" s="1968">
        <v>0</v>
      </c>
      <c r="H1393" s="1968">
        <v>0</v>
      </c>
      <c r="I1393" s="1968">
        <v>0</v>
      </c>
      <c r="J1393" s="1968">
        <v>0</v>
      </c>
      <c r="K1393" s="1968">
        <v>0</v>
      </c>
      <c r="L1393" s="1968">
        <v>0</v>
      </c>
      <c r="M1393" s="1968">
        <v>0</v>
      </c>
      <c r="N1393" s="1966"/>
      <c r="O1393" s="887"/>
    </row>
    <row r="1394" spans="3:15" ht="15" customHeight="1">
      <c r="C1394" s="1287"/>
      <c r="D1394" s="1287" t="s">
        <v>494</v>
      </c>
      <c r="E1394" s="1287"/>
      <c r="F1394" s="1968" cm="1">
        <f t="array" ref="F1394:M1394">F1012:M1012*FE_INDUSTRIA_CO2_GASOLINA*UNIDAD_T_A_MT</f>
        <v>3.2963871795058692E-5</v>
      </c>
      <c r="G1394" s="1968">
        <v>3.2963871795058692E-5</v>
      </c>
      <c r="H1394" s="1968">
        <v>3.7690907421743215E-5</v>
      </c>
      <c r="I1394" s="1968">
        <v>4.2407700374889726E-5</v>
      </c>
      <c r="J1394" s="1968">
        <v>4.2407700374889726E-5</v>
      </c>
      <c r="K1394" s="1968">
        <v>4.2407700374889726E-5</v>
      </c>
      <c r="L1394" s="1968">
        <v>4.2407700374889726E-5</v>
      </c>
      <c r="M1394" s="1968">
        <v>4.2407700374889726E-5</v>
      </c>
      <c r="N1394" s="1966"/>
      <c r="O1394" s="887"/>
    </row>
    <row r="1395" spans="3:15" ht="15" customHeight="1">
      <c r="C1395" s="1287"/>
      <c r="D1395" s="1287" t="s">
        <v>1854</v>
      </c>
      <c r="E1395" s="1287"/>
      <c r="F1395" s="1968" cm="1">
        <f t="array" ref="F1395:M1395">F1013:M1013*FE_INDUSTRIA_CO2_DIESEL_OIL*UNIDAD_T_A_MT</f>
        <v>3.475636445186155E-5</v>
      </c>
      <c r="G1395" s="1968">
        <v>3.475636445186155E-5</v>
      </c>
      <c r="H1395" s="1968">
        <v>3.9740444417935465E-5</v>
      </c>
      <c r="I1395" s="1968">
        <v>4.4713724739578575E-5</v>
      </c>
      <c r="J1395" s="1968">
        <v>4.4713724739578575E-5</v>
      </c>
      <c r="K1395" s="1968">
        <v>4.4713724739578575E-5</v>
      </c>
      <c r="L1395" s="1968">
        <v>4.4713724739578575E-5</v>
      </c>
      <c r="M1395" s="1968">
        <v>4.4713724739578575E-5</v>
      </c>
      <c r="N1395" s="1966"/>
      <c r="O1395" s="887"/>
    </row>
    <row r="1396" spans="3:15" ht="15" customHeight="1">
      <c r="C1396" s="1287"/>
      <c r="D1396" s="1287" t="s">
        <v>506</v>
      </c>
      <c r="E1396" s="1287"/>
      <c r="F1396" s="1968" cm="1">
        <f t="array" ref="F1396:M1396">F1014:M1014*FE_INDUSTRIA_CO2_CARBON_VEGETAL*UNIDAD_T_A_MT</f>
        <v>0</v>
      </c>
      <c r="G1396" s="1968">
        <v>0</v>
      </c>
      <c r="H1396" s="1968">
        <v>0</v>
      </c>
      <c r="I1396" s="1968">
        <v>0</v>
      </c>
      <c r="J1396" s="1968">
        <v>0</v>
      </c>
      <c r="K1396" s="1968">
        <v>0</v>
      </c>
      <c r="L1396" s="1968">
        <v>0</v>
      </c>
      <c r="M1396" s="1968">
        <v>0</v>
      </c>
      <c r="N1396" s="1966"/>
      <c r="O1396" s="887"/>
    </row>
    <row r="1397" spans="3:15" ht="15" customHeight="1">
      <c r="C1397" s="1287"/>
      <c r="D1397" s="1287" t="s">
        <v>507</v>
      </c>
      <c r="E1397" s="1287"/>
      <c r="F1397" s="1968" cm="1">
        <f t="array" ref="F1397:M1397">F1015:M1015*FE_INDUSTRIA_CO2_COQUE*UNIDAD_T_A_MT</f>
        <v>0</v>
      </c>
      <c r="G1397" s="1968">
        <v>0</v>
      </c>
      <c r="H1397" s="1968">
        <v>0</v>
      </c>
      <c r="I1397" s="1968">
        <v>0</v>
      </c>
      <c r="J1397" s="1968">
        <v>0</v>
      </c>
      <c r="K1397" s="1968">
        <v>0</v>
      </c>
      <c r="L1397" s="1968">
        <v>0</v>
      </c>
      <c r="M1397" s="1968">
        <v>0</v>
      </c>
      <c r="N1397" s="1966"/>
      <c r="O1397" s="887"/>
    </row>
    <row r="1398" spans="3:15" ht="15" customHeight="1">
      <c r="C1398" s="1287"/>
      <c r="D1398" s="1287" t="s">
        <v>570</v>
      </c>
      <c r="E1398" s="1287"/>
      <c r="F1398" s="1968" cm="1">
        <f t="array" ref="F1398:M1398">F1016:M1016*FE_INDUSTRIA_CO2_FUEL_OIL*UNIDAD_T_A_MT</f>
        <v>2.7637101404993334E-6</v>
      </c>
      <c r="G1398" s="1968">
        <v>2.7637101404993334E-6</v>
      </c>
      <c r="H1398" s="1968">
        <v>3.1600275505775981E-6</v>
      </c>
      <c r="I1398" s="1968">
        <v>3.5554862089625297E-6</v>
      </c>
      <c r="J1398" s="1968">
        <v>3.5554862089625297E-6</v>
      </c>
      <c r="K1398" s="1968">
        <v>3.5554862089625297E-6</v>
      </c>
      <c r="L1398" s="1968">
        <v>3.5554862089625297E-6</v>
      </c>
      <c r="M1398" s="1968">
        <v>3.5554862089625297E-6</v>
      </c>
      <c r="N1398" s="1966"/>
      <c r="O1398" s="887"/>
    </row>
    <row r="1399" spans="3:15" ht="15" customHeight="1">
      <c r="C1399" s="1287"/>
      <c r="D1399" s="1287" t="s">
        <v>498</v>
      </c>
      <c r="E1399" s="1287"/>
      <c r="F1399" s="1968" cm="1">
        <f t="array" ref="F1399:M1399">F1017:M1017*FE_INDUSTRIA_CO2_GLP*UNIDAD_T_A_MT</f>
        <v>4.0532930489901829E-5</v>
      </c>
      <c r="G1399" s="1968">
        <v>4.0532930489901829E-5</v>
      </c>
      <c r="H1399" s="1968">
        <v>4.6345372901730834E-5</v>
      </c>
      <c r="I1399" s="1968">
        <v>5.2145220750119969E-5</v>
      </c>
      <c r="J1399" s="1968">
        <v>5.2145220750119969E-5</v>
      </c>
      <c r="K1399" s="1968">
        <v>5.2145220750119969E-5</v>
      </c>
      <c r="L1399" s="1968">
        <v>5.2145220750119969E-5</v>
      </c>
      <c r="M1399" s="1968">
        <v>5.2145220750119969E-5</v>
      </c>
      <c r="N1399" s="1966"/>
      <c r="O1399" s="887"/>
    </row>
    <row r="1400" spans="3:15" ht="15" customHeight="1">
      <c r="C1400" s="1287"/>
      <c r="D1400" s="1287" t="s">
        <v>502</v>
      </c>
      <c r="E1400" s="1287"/>
      <c r="F1400" s="1968" cm="1">
        <f t="array" ref="F1400:M1400">F1018:M1018*FE_INDUSTRIA_CO2_QUEROSENO*UNIDAD_T_A_MT</f>
        <v>0</v>
      </c>
      <c r="G1400" s="1968">
        <v>0</v>
      </c>
      <c r="H1400" s="1968">
        <v>0</v>
      </c>
      <c r="I1400" s="1968">
        <v>0</v>
      </c>
      <c r="J1400" s="1968">
        <v>0</v>
      </c>
      <c r="K1400" s="1968">
        <v>0</v>
      </c>
      <c r="L1400" s="1968">
        <v>0</v>
      </c>
      <c r="M1400" s="1968">
        <v>0</v>
      </c>
      <c r="N1400" s="1966"/>
      <c r="O1400" s="887"/>
    </row>
    <row r="1401" spans="3:15" ht="15" customHeight="1">
      <c r="C1401" s="1287"/>
      <c r="D1401" s="1287" t="s">
        <v>571</v>
      </c>
      <c r="E1401" s="1287"/>
      <c r="F1401" s="1968"/>
      <c r="G1401" s="1968"/>
      <c r="H1401" s="1968"/>
      <c r="I1401" s="1968"/>
      <c r="J1401" s="1968"/>
      <c r="K1401" s="1968"/>
      <c r="L1401" s="1968"/>
      <c r="M1401" s="1968"/>
      <c r="N1401" s="1966"/>
      <c r="O1401" s="887"/>
    </row>
    <row r="1402" spans="3:15" ht="15" customHeight="1">
      <c r="C1402" s="1287"/>
      <c r="D1402" s="454" t="s">
        <v>1878</v>
      </c>
      <c r="E1402" s="1287"/>
      <c r="F1402" s="1968"/>
      <c r="G1402" s="1968"/>
      <c r="H1402" s="1968"/>
      <c r="I1402" s="1968"/>
      <c r="J1402" s="1968"/>
      <c r="K1402" s="1968"/>
      <c r="L1402" s="1968"/>
      <c r="M1402" s="1968"/>
      <c r="N1402" s="1966"/>
      <c r="O1402" s="887"/>
    </row>
    <row r="1403" spans="3:15" ht="15" customHeight="1">
      <c r="C1403" s="1287"/>
      <c r="D1403" s="454" t="s">
        <v>549</v>
      </c>
      <c r="E1403" s="1287"/>
      <c r="F1403" s="1968"/>
      <c r="G1403" s="1968"/>
      <c r="H1403" s="1968"/>
      <c r="I1403" s="1968"/>
      <c r="J1403" s="1968"/>
      <c r="K1403" s="1968"/>
      <c r="L1403" s="1968"/>
      <c r="M1403" s="1968"/>
      <c r="N1403" s="1966"/>
      <c r="O1403" s="887"/>
    </row>
    <row r="1404" spans="3:15" ht="15" customHeight="1">
      <c r="C1404" s="1287"/>
      <c r="D1404" s="2866" t="s">
        <v>572</v>
      </c>
      <c r="E1404" s="1478"/>
      <c r="F1404" s="1647"/>
      <c r="G1404" s="1647"/>
      <c r="H1404" s="1647"/>
      <c r="I1404" s="1647"/>
      <c r="J1404" s="1647"/>
      <c r="K1404" s="1647"/>
      <c r="L1404" s="1647"/>
      <c r="M1404" s="1647"/>
      <c r="N1404" s="1966"/>
      <c r="O1404" s="887"/>
    </row>
    <row r="1405" spans="3:15" ht="15" customHeight="1">
      <c r="C1405" s="1287"/>
      <c r="D1405" s="649" t="s">
        <v>338</v>
      </c>
      <c r="E1405" s="1290"/>
      <c r="F1405" s="2873">
        <f t="shared" ref="F1405:M1405" si="94">SUM(F1388:F1404)</f>
        <v>6.2786432355999219E-3</v>
      </c>
      <c r="G1405" s="2873">
        <f t="shared" si="94"/>
        <v>6.2786432355999219E-3</v>
      </c>
      <c r="H1405" s="2873">
        <f t="shared" si="94"/>
        <v>7.1790038014473952E-3</v>
      </c>
      <c r="I1405" s="2873">
        <f t="shared" si="94"/>
        <v>8.0774134407373393E-3</v>
      </c>
      <c r="J1405" s="2873">
        <f t="shared" si="94"/>
        <v>8.0774134407373393E-3</v>
      </c>
      <c r="K1405" s="2873">
        <f t="shared" si="94"/>
        <v>8.0774134407373393E-3</v>
      </c>
      <c r="L1405" s="2873">
        <f t="shared" si="94"/>
        <v>8.0774134407373393E-3</v>
      </c>
      <c r="M1405" s="2873">
        <f t="shared" si="94"/>
        <v>8.0774134407373393E-3</v>
      </c>
      <c r="N1405" s="1966"/>
      <c r="O1405" s="887"/>
    </row>
    <row r="1406" spans="3:15" ht="15" customHeight="1">
      <c r="C1406" s="1287"/>
      <c r="D1406" s="609"/>
      <c r="E1406" s="1287"/>
      <c r="F1406" s="1970"/>
      <c r="G1406" s="1970"/>
      <c r="H1406" s="1970"/>
      <c r="I1406" s="1970"/>
      <c r="J1406" s="1970"/>
      <c r="K1406" s="1970"/>
      <c r="L1406" s="1970"/>
      <c r="M1406" s="1970"/>
      <c r="N1406" s="1966"/>
      <c r="O1406" s="887"/>
    </row>
    <row r="1407" spans="3:15" ht="15" customHeight="1">
      <c r="C1407" s="1419" t="s">
        <v>1905</v>
      </c>
      <c r="D1407" s="1287"/>
      <c r="E1407" s="1287"/>
      <c r="F1407" s="1287"/>
      <c r="G1407" s="1287"/>
      <c r="H1407" s="1287"/>
      <c r="I1407" s="1287"/>
      <c r="J1407" s="1287"/>
      <c r="K1407" s="1287"/>
      <c r="L1407" s="1287"/>
      <c r="M1407" s="1287"/>
      <c r="N1407" s="1966"/>
      <c r="O1407" s="887"/>
    </row>
    <row r="1408" spans="3:15" ht="15" customHeight="1">
      <c r="C1408" s="1287"/>
      <c r="D1408" s="1287"/>
      <c r="E1408" s="1287"/>
      <c r="F1408" s="1287"/>
      <c r="G1408" s="1287"/>
      <c r="H1408" s="1287"/>
      <c r="I1408" s="1287"/>
      <c r="J1408" s="1287"/>
      <c r="K1408" s="1287"/>
      <c r="L1408" s="1287"/>
      <c r="M1408" s="1287"/>
      <c r="N1408" s="1966"/>
      <c r="O1408" s="887"/>
    </row>
    <row r="1409" spans="3:15" ht="15" customHeight="1">
      <c r="C1409" s="1287"/>
      <c r="D1409" s="1287"/>
      <c r="E1409" s="1287"/>
      <c r="F1409" s="1287"/>
      <c r="G1409" s="1287"/>
      <c r="H1409" s="1287"/>
      <c r="I1409" s="1287"/>
      <c r="J1409" s="1287"/>
      <c r="K1409" s="1287"/>
      <c r="L1409" s="1287"/>
      <c r="M1409" s="1277" t="s">
        <v>1716</v>
      </c>
      <c r="N1409" s="1966"/>
      <c r="O1409" s="887"/>
    </row>
    <row r="1410" spans="3:15" ht="15" customHeight="1">
      <c r="C1410" s="1950" t="s">
        <v>917</v>
      </c>
      <c r="D1410" s="1951"/>
      <c r="E1410" s="1950"/>
      <c r="F1410" s="1952">
        <v>2018</v>
      </c>
      <c r="G1410" s="1952">
        <v>2020</v>
      </c>
      <c r="H1410" s="1952">
        <v>2025</v>
      </c>
      <c r="I1410" s="1952">
        <v>2030</v>
      </c>
      <c r="J1410" s="1952">
        <v>2035</v>
      </c>
      <c r="K1410" s="1952">
        <v>2040</v>
      </c>
      <c r="L1410" s="1952">
        <v>2045</v>
      </c>
      <c r="M1410" s="1952">
        <v>2050</v>
      </c>
      <c r="N1410" s="1966"/>
      <c r="O1410" s="887"/>
    </row>
    <row r="1411" spans="3:15" ht="15" customHeight="1">
      <c r="C1411" s="1287"/>
      <c r="D1411" s="1554" t="s">
        <v>504</v>
      </c>
      <c r="E1411" s="1554"/>
      <c r="F1411" s="2876" cm="1">
        <f t="array" ref="F1411">F1164*(1/UNIDAD_TJ_A_TWH)*FE_INDUSTRIA_CO2_BAGAZO*UNIDAD_KG_A_MT</f>
        <v>5.58594435045522E-4</v>
      </c>
      <c r="G1411" s="2876" cm="1">
        <f t="array" ref="G1411">G1164*(1/UNIDAD_TJ_A_TWH)*FE_INDUSTRIA_CO2_BAGAZO*UNIDAD_KG_A_MT</f>
        <v>5.58594435045522E-4</v>
      </c>
      <c r="H1411" s="2876" cm="1">
        <f t="array" ref="H1411">H1164*(1/UNIDAD_TJ_A_TWH)*FE_INDUSTRIA_CO2_BAGAZO*UNIDAD_KG_A_MT</f>
        <v>5.58594435045522E-4</v>
      </c>
      <c r="I1411" s="2876" cm="1">
        <f t="array" ref="I1411">I1164*(1/UNIDAD_TJ_A_TWH)*FE_INDUSTRIA_CO2_BAGAZO*UNIDAD_KG_A_MT</f>
        <v>5.58594435045522E-4</v>
      </c>
      <c r="J1411" s="2876" cm="1">
        <f t="array" ref="J1411">J1164*(1/UNIDAD_TJ_A_TWH)*FE_INDUSTRIA_CO2_BAGAZO*UNIDAD_KG_A_MT</f>
        <v>5.58594435045522E-4</v>
      </c>
      <c r="K1411" s="2876" cm="1">
        <f t="array" ref="K1411">K1164*(1/UNIDAD_TJ_A_TWH)*FE_INDUSTRIA_CO2_BAGAZO*UNIDAD_KG_A_MT</f>
        <v>5.58594435045522E-4</v>
      </c>
      <c r="L1411" s="2876" cm="1">
        <f t="array" ref="L1411">L1164*(1/UNIDAD_TJ_A_TWH)*FE_INDUSTRIA_CO2_BAGAZO*UNIDAD_KG_A_MT</f>
        <v>5.58594435045522E-4</v>
      </c>
      <c r="M1411" s="2876" cm="1">
        <f t="array" ref="M1411">M1164*(1/UNIDAD_TJ_A_TWH)*FE_INDUSTRIA_CO2_BAGAZO*UNIDAD_KG_A_MT</f>
        <v>5.58594435045522E-4</v>
      </c>
      <c r="N1411" s="1966"/>
      <c r="O1411" s="887"/>
    </row>
    <row r="1412" spans="3:15" ht="15" customHeight="1">
      <c r="C1412" s="1287"/>
      <c r="D1412" s="1287" t="s">
        <v>569</v>
      </c>
      <c r="E1412" s="1287"/>
      <c r="F1412" s="2877" cm="1">
        <f t="array" ref="F1412">F1165*(1/UNIDAD_TJ_A_TWH)*FE_INDUSTRIA_CO2_CARBON_MINERAL*UNIDAD_KG_A_MT</f>
        <v>1.7438201387228161E-3</v>
      </c>
      <c r="G1412" s="2877" cm="1">
        <f t="array" ref="G1412">G1165*(1/UNIDAD_TJ_A_TWH)*FE_INDUSTRIA_CO2_CARBON_MINERAL*UNIDAD_KG_A_MT</f>
        <v>1.7438201387228161E-3</v>
      </c>
      <c r="H1412" s="2877" cm="1">
        <f t="array" ref="H1412">H1165*(1/UNIDAD_TJ_A_TWH)*FE_INDUSTRIA_CO2_CARBON_MINERAL*UNIDAD_KG_A_MT</f>
        <v>1.7438201387228161E-3</v>
      </c>
      <c r="I1412" s="2877" cm="1">
        <f t="array" ref="I1412">I1165*(1/UNIDAD_TJ_A_TWH)*FE_INDUSTRIA_CO2_CARBON_MINERAL*UNIDAD_KG_A_MT</f>
        <v>1.7438201387228161E-3</v>
      </c>
      <c r="J1412" s="2877" cm="1">
        <f t="array" ref="J1412">J1165*(1/UNIDAD_TJ_A_TWH)*FE_INDUSTRIA_CO2_CARBON_MINERAL*UNIDAD_KG_A_MT</f>
        <v>1.7438201387228161E-3</v>
      </c>
      <c r="K1412" s="2877" cm="1">
        <f t="array" ref="K1412">K1165*(1/UNIDAD_TJ_A_TWH)*FE_INDUSTRIA_CO2_CARBON_MINERAL*UNIDAD_KG_A_MT</f>
        <v>1.7438201387228161E-3</v>
      </c>
      <c r="L1412" s="2877" cm="1">
        <f t="array" ref="L1412">L1165*(1/UNIDAD_TJ_A_TWH)*FE_INDUSTRIA_CO2_CARBON_MINERAL*UNIDAD_KG_A_MT</f>
        <v>1.7438201387228161E-3</v>
      </c>
      <c r="M1412" s="2877" cm="1">
        <f t="array" ref="M1412">M1165*(1/UNIDAD_TJ_A_TWH)*FE_INDUSTRIA_CO2_CARBON_MINERAL*UNIDAD_KG_A_MT</f>
        <v>1.7438201387228161E-3</v>
      </c>
      <c r="N1412" s="1966"/>
      <c r="O1412" s="887"/>
    </row>
    <row r="1413" spans="3:15" ht="15" customHeight="1">
      <c r="C1413" s="1287"/>
      <c r="D1413" s="1287" t="s">
        <v>513</v>
      </c>
      <c r="E1413" s="1287"/>
      <c r="F1413" s="2877" cm="1">
        <f t="array" ref="F1413">F1166*(1/UNIDAD_TJ_A_TWH)*FE_INDUSTRIA_CO2_GAS_NATURAL*UNIDAD_KG_A_MT</f>
        <v>3.4614480835292783E-3</v>
      </c>
      <c r="G1413" s="2877" cm="1">
        <f t="array" ref="G1413">G1166*(1/UNIDAD_TJ_A_TWH)*FE_INDUSTRIA_CO2_GAS_NATURAL*UNIDAD_KG_A_MT</f>
        <v>3.4614480835292783E-3</v>
      </c>
      <c r="H1413" s="2877" cm="1">
        <f t="array" ref="H1413">H1166*(1/UNIDAD_TJ_A_TWH)*FE_INDUSTRIA_CO2_GAS_NATURAL*UNIDAD_KG_A_MT</f>
        <v>3.4614480835292783E-3</v>
      </c>
      <c r="I1413" s="2877" cm="1">
        <f t="array" ref="I1413">I1166*(1/UNIDAD_TJ_A_TWH)*FE_INDUSTRIA_CO2_GAS_NATURAL*UNIDAD_KG_A_MT</f>
        <v>3.4614480835292783E-3</v>
      </c>
      <c r="J1413" s="2877" cm="1">
        <f t="array" ref="J1413">J1166*(1/UNIDAD_TJ_A_TWH)*FE_INDUSTRIA_CO2_GAS_NATURAL*UNIDAD_KG_A_MT</f>
        <v>3.4614480835292783E-3</v>
      </c>
      <c r="K1413" s="2877" cm="1">
        <f t="array" ref="K1413">K1166*(1/UNIDAD_TJ_A_TWH)*FE_INDUSTRIA_CO2_GAS_NATURAL*UNIDAD_KG_A_MT</f>
        <v>3.4614480835292783E-3</v>
      </c>
      <c r="L1413" s="2877" cm="1">
        <f t="array" ref="L1413">L1166*(1/UNIDAD_TJ_A_TWH)*FE_INDUSTRIA_CO2_GAS_NATURAL*UNIDAD_KG_A_MT</f>
        <v>3.4614480835292783E-3</v>
      </c>
      <c r="M1413" s="2877" cm="1">
        <f t="array" ref="M1413">M1166*(1/UNIDAD_TJ_A_TWH)*FE_INDUSTRIA_CO2_GAS_NATURAL*UNIDAD_KG_A_MT</f>
        <v>3.4614480835292783E-3</v>
      </c>
      <c r="N1413" s="1966"/>
      <c r="O1413" s="887"/>
    </row>
    <row r="1414" spans="3:15" ht="15" customHeight="1">
      <c r="C1414" s="1287"/>
      <c r="D1414" s="1287" t="s">
        <v>1854</v>
      </c>
      <c r="E1414" s="1287"/>
      <c r="F1414" s="2877" cm="1">
        <f t="array" ref="F1414">F1167*(1/UNIDAD_TJ_A_TWH)*FE_INDUSTRIA_CO2_DIESEL_OIL*UNIDAD_KG_A_MT</f>
        <v>4.3411312572642848E-4</v>
      </c>
      <c r="G1414" s="2877" cm="1">
        <f t="array" ref="G1414">G1167*(1/UNIDAD_TJ_A_TWH)*FE_INDUSTRIA_CO2_DIESEL_OIL*UNIDAD_KG_A_MT</f>
        <v>4.3411312572642848E-4</v>
      </c>
      <c r="H1414" s="2877" cm="1">
        <f t="array" ref="H1414">H1167*(1/UNIDAD_TJ_A_TWH)*FE_INDUSTRIA_CO2_DIESEL_OIL*UNIDAD_KG_A_MT</f>
        <v>4.3411312572642848E-4</v>
      </c>
      <c r="I1414" s="2877" cm="1">
        <f t="array" ref="I1414">I1167*(1/UNIDAD_TJ_A_TWH)*FE_INDUSTRIA_CO2_DIESEL_OIL*UNIDAD_KG_A_MT</f>
        <v>4.3411312572642848E-4</v>
      </c>
      <c r="J1414" s="2877" cm="1">
        <f t="array" ref="J1414">J1167*(1/UNIDAD_TJ_A_TWH)*FE_INDUSTRIA_CO2_DIESEL_OIL*UNIDAD_KG_A_MT</f>
        <v>4.3411312572642848E-4</v>
      </c>
      <c r="K1414" s="2877" cm="1">
        <f t="array" ref="K1414">K1167*(1/UNIDAD_TJ_A_TWH)*FE_INDUSTRIA_CO2_DIESEL_OIL*UNIDAD_KG_A_MT</f>
        <v>4.3411312572642848E-4</v>
      </c>
      <c r="L1414" s="2877" cm="1">
        <f t="array" ref="L1414">L1167*(1/UNIDAD_TJ_A_TWH)*FE_INDUSTRIA_CO2_DIESEL_OIL*UNIDAD_KG_A_MT</f>
        <v>4.3411312572642848E-4</v>
      </c>
      <c r="M1414" s="2877" cm="1">
        <f t="array" ref="M1414">M1167*(1/UNIDAD_TJ_A_TWH)*FE_INDUSTRIA_CO2_DIESEL_OIL*UNIDAD_KG_A_MT</f>
        <v>4.3411312572642848E-4</v>
      </c>
      <c r="N1414" s="1966"/>
      <c r="O1414" s="887"/>
    </row>
    <row r="1415" spans="3:15" ht="15" customHeight="1">
      <c r="C1415" s="1287"/>
      <c r="D1415" s="1287" t="s">
        <v>1860</v>
      </c>
      <c r="E1415" s="1287"/>
      <c r="F1415" s="2877">
        <f>F1168</f>
        <v>1.2860072689655161E-3</v>
      </c>
      <c r="G1415" s="2877"/>
      <c r="H1415" s="2877"/>
      <c r="I1415" s="2877"/>
      <c r="J1415" s="2877"/>
      <c r="K1415" s="2877"/>
      <c r="L1415" s="2877"/>
      <c r="M1415" s="2877"/>
      <c r="N1415" s="1650"/>
      <c r="O1415" s="887"/>
    </row>
    <row r="1416" spans="3:15" ht="15" customHeight="1">
      <c r="C1416" s="1287"/>
      <c r="D1416" s="1478" t="s">
        <v>570</v>
      </c>
      <c r="E1416" s="1478"/>
      <c r="F1416" s="2877" cm="1">
        <f t="array" ref="F1416">F1169*(1/UNIDAD_TJ_A_TWH)*FE_INDUSTRIA_CO2_FUEL_OIL*UNIDAD_KG_A_MT</f>
        <v>5.7223058825197064E-5</v>
      </c>
      <c r="G1416" s="2877" cm="1">
        <f t="array" ref="G1416">G1169*(1/UNIDAD_TJ_A_TWH)*FE_INDUSTRIA_CO2_FUEL_OIL*UNIDAD_KG_A_MT</f>
        <v>5.7223058825197064E-5</v>
      </c>
      <c r="H1416" s="2877" cm="1">
        <f t="array" ref="H1416">H1169*(1/UNIDAD_TJ_A_TWH)*FE_INDUSTRIA_CO2_FUEL_OIL*UNIDAD_KG_A_MT</f>
        <v>5.7223058825197064E-5</v>
      </c>
      <c r="I1416" s="2877" cm="1">
        <f t="array" ref="I1416">I1169*(1/UNIDAD_TJ_A_TWH)*FE_INDUSTRIA_CO2_FUEL_OIL*UNIDAD_KG_A_MT</f>
        <v>5.7223058825197064E-5</v>
      </c>
      <c r="J1416" s="2877" cm="1">
        <f t="array" ref="J1416">J1169*(1/UNIDAD_TJ_A_TWH)*FE_INDUSTRIA_CO2_FUEL_OIL*UNIDAD_KG_A_MT</f>
        <v>5.7223058825197064E-5</v>
      </c>
      <c r="K1416" s="2877" cm="1">
        <f t="array" ref="K1416">K1169*(1/UNIDAD_TJ_A_TWH)*FE_INDUSTRIA_CO2_FUEL_OIL*UNIDAD_KG_A_MT</f>
        <v>5.7223058825197064E-5</v>
      </c>
      <c r="L1416" s="2877" cm="1">
        <f t="array" ref="L1416">L1169*(1/UNIDAD_TJ_A_TWH)*FE_INDUSTRIA_CO2_FUEL_OIL*UNIDAD_KG_A_MT</f>
        <v>5.7223058825197064E-5</v>
      </c>
      <c r="M1416" s="2877" cm="1">
        <f t="array" ref="M1416">M1169*(1/UNIDAD_TJ_A_TWH)*FE_INDUSTRIA_CO2_FUEL_OIL*UNIDAD_KG_A_MT</f>
        <v>5.7223058825197064E-5</v>
      </c>
      <c r="N1416" s="1650"/>
      <c r="O1416" s="887"/>
    </row>
    <row r="1417" spans="3:15" ht="15" customHeight="1">
      <c r="C1417" s="1287"/>
      <c r="D1417" s="649" t="s">
        <v>338</v>
      </c>
      <c r="E1417" s="1290"/>
      <c r="F1417" s="2878">
        <f t="shared" ref="F1417:M1417" si="95">SUM(F1411:F1416)</f>
        <v>7.5412061108147575E-3</v>
      </c>
      <c r="G1417" s="2878">
        <f t="shared" si="95"/>
        <v>6.2551988418492414E-3</v>
      </c>
      <c r="H1417" s="2878">
        <f t="shared" si="95"/>
        <v>6.2551988418492414E-3</v>
      </c>
      <c r="I1417" s="2878">
        <f t="shared" si="95"/>
        <v>6.2551988418492414E-3</v>
      </c>
      <c r="J1417" s="2878">
        <f t="shared" si="95"/>
        <v>6.2551988418492414E-3</v>
      </c>
      <c r="K1417" s="2878">
        <f t="shared" si="95"/>
        <v>6.2551988418492414E-3</v>
      </c>
      <c r="L1417" s="2878">
        <f t="shared" si="95"/>
        <v>6.2551988418492414E-3</v>
      </c>
      <c r="M1417" s="2878">
        <f t="shared" si="95"/>
        <v>6.2551988418492414E-3</v>
      </c>
      <c r="N1417" s="1650"/>
      <c r="O1417" s="887"/>
    </row>
    <row r="1418" spans="3:15" ht="15" customHeight="1">
      <c r="C1418" s="1287"/>
      <c r="D1418" s="1287"/>
      <c r="E1418" s="1287"/>
      <c r="F1418" s="2871"/>
      <c r="G1418" s="2871"/>
      <c r="H1418" s="2871"/>
      <c r="I1418" s="2871"/>
      <c r="J1418" s="2871"/>
      <c r="K1418" s="2871"/>
      <c r="L1418" s="2871"/>
      <c r="M1418" s="1651" t="s">
        <v>1716</v>
      </c>
      <c r="N1418" s="1650"/>
      <c r="O1418" s="887"/>
    </row>
    <row r="1419" spans="3:15" ht="15" customHeight="1">
      <c r="C1419" s="1950" t="s">
        <v>558</v>
      </c>
      <c r="D1419" s="1951"/>
      <c r="E1419" s="1950"/>
      <c r="F1419" s="1952">
        <v>2018</v>
      </c>
      <c r="G1419" s="1952">
        <v>2020</v>
      </c>
      <c r="H1419" s="1952">
        <v>2025</v>
      </c>
      <c r="I1419" s="1952">
        <v>2030</v>
      </c>
      <c r="J1419" s="1952">
        <v>2035</v>
      </c>
      <c r="K1419" s="1952">
        <v>2040</v>
      </c>
      <c r="L1419" s="1952">
        <v>2045</v>
      </c>
      <c r="M1419" s="1952">
        <v>2050</v>
      </c>
      <c r="N1419" s="1650"/>
      <c r="O1419" s="887"/>
    </row>
    <row r="1420" spans="3:15" ht="15" customHeight="1">
      <c r="C1420" s="1287"/>
      <c r="D1420" s="1554" t="s">
        <v>504</v>
      </c>
      <c r="E1420" s="1554"/>
      <c r="F1420" s="2879" cm="1">
        <f t="array" ref="F1420">F1173*(1/UNIDAD_TJ_A_TWH)*FE_INDUSTRIA_CO2_BAGAZO*UNIDAD_KG_A_MT</f>
        <v>5.0781312276865643E-4</v>
      </c>
      <c r="G1420" s="2879" cm="1">
        <f t="array" ref="G1420">G1173*(1/UNIDAD_TJ_A_TWH)*FE_INDUSTRIA_CO2_BAGAZO*UNIDAD_KG_A_MT</f>
        <v>5.0781312276865643E-4</v>
      </c>
      <c r="H1420" s="2879" cm="1">
        <f t="array" ref="H1420">H1173*(1/UNIDAD_TJ_A_TWH)*FE_INDUSTRIA_CO2_BAGAZO*UNIDAD_KG_A_MT</f>
        <v>5.0781312276865643E-4</v>
      </c>
      <c r="I1420" s="2879" cm="1">
        <f t="array" ref="I1420">I1173*(1/UNIDAD_TJ_A_TWH)*FE_INDUSTRIA_CO2_BAGAZO*UNIDAD_KG_A_MT</f>
        <v>5.0781312276865643E-4</v>
      </c>
      <c r="J1420" s="2879" cm="1">
        <f t="array" ref="J1420">J1173*(1/UNIDAD_TJ_A_TWH)*FE_INDUSTRIA_CO2_BAGAZO*UNIDAD_KG_A_MT</f>
        <v>5.0781312276865643E-4</v>
      </c>
      <c r="K1420" s="2879" cm="1">
        <f t="array" ref="K1420">K1173*(1/UNIDAD_TJ_A_TWH)*FE_INDUSTRIA_CO2_BAGAZO*UNIDAD_KG_A_MT</f>
        <v>5.0781312276865643E-4</v>
      </c>
      <c r="L1420" s="2879" cm="1">
        <f t="array" ref="L1420">L1173*(1/UNIDAD_TJ_A_TWH)*FE_INDUSTRIA_CO2_BAGAZO*UNIDAD_KG_A_MT</f>
        <v>5.0781312276865643E-4</v>
      </c>
      <c r="M1420" s="2879" cm="1">
        <f t="array" ref="M1420">M1173*(1/UNIDAD_TJ_A_TWH)*FE_INDUSTRIA_CO2_BAGAZO*UNIDAD_KG_A_MT</f>
        <v>5.0781312276865643E-4</v>
      </c>
      <c r="N1420" s="1650"/>
      <c r="O1420" s="887"/>
    </row>
    <row r="1421" spans="3:15" ht="15" customHeight="1">
      <c r="C1421" s="1287"/>
      <c r="D1421" s="1287" t="s">
        <v>569</v>
      </c>
      <c r="E1421" s="1287"/>
      <c r="F1421" s="2879" cm="1">
        <f t="array" ref="F1421">F1174*(1/UNIDAD_TJ_A_TWH)*FE_INDUSTRIA_CO2_CARBON_MINERAL*UNIDAD_KG_A_MT</f>
        <v>1.5852910352025604E-3</v>
      </c>
      <c r="G1421" s="2879" cm="1">
        <f t="array" ref="G1421">G1174*(1/UNIDAD_TJ_A_TWH)*FE_INDUSTRIA_CO2_CARBON_MINERAL*UNIDAD_KG_A_MT</f>
        <v>1.5852910352025604E-3</v>
      </c>
      <c r="H1421" s="2879" cm="1">
        <f t="array" ref="H1421">H1174*(1/UNIDAD_TJ_A_TWH)*FE_INDUSTRIA_CO2_CARBON_MINERAL*UNIDAD_KG_A_MT</f>
        <v>1.5852910352025604E-3</v>
      </c>
      <c r="I1421" s="2879" cm="1">
        <f t="array" ref="I1421">I1174*(1/UNIDAD_TJ_A_TWH)*FE_INDUSTRIA_CO2_CARBON_MINERAL*UNIDAD_KG_A_MT</f>
        <v>1.5852910352025604E-3</v>
      </c>
      <c r="J1421" s="2879" cm="1">
        <f t="array" ref="J1421">J1174*(1/UNIDAD_TJ_A_TWH)*FE_INDUSTRIA_CO2_CARBON_MINERAL*UNIDAD_KG_A_MT</f>
        <v>1.5852910352025604E-3</v>
      </c>
      <c r="K1421" s="2879" cm="1">
        <f t="array" ref="K1421">K1174*(1/UNIDAD_TJ_A_TWH)*FE_INDUSTRIA_CO2_CARBON_MINERAL*UNIDAD_KG_A_MT</f>
        <v>1.5852910352025604E-3</v>
      </c>
      <c r="L1421" s="2879" cm="1">
        <f t="array" ref="L1421">L1174*(1/UNIDAD_TJ_A_TWH)*FE_INDUSTRIA_CO2_CARBON_MINERAL*UNIDAD_KG_A_MT</f>
        <v>1.5852910352025604E-3</v>
      </c>
      <c r="M1421" s="2879" cm="1">
        <f t="array" ref="M1421">M1174*(1/UNIDAD_TJ_A_TWH)*FE_INDUSTRIA_CO2_CARBON_MINERAL*UNIDAD_KG_A_MT</f>
        <v>1.5852910352025604E-3</v>
      </c>
      <c r="N1421" s="1650"/>
      <c r="O1421" s="887"/>
    </row>
    <row r="1422" spans="3:15" ht="15" customHeight="1">
      <c r="C1422" s="1287"/>
      <c r="D1422" s="1287" t="s">
        <v>513</v>
      </c>
      <c r="E1422" s="1287"/>
      <c r="F1422" s="2879" cm="1">
        <f t="array" ref="F1422">F1175*(1/UNIDAD_TJ_A_TWH)*FE_INDUSTRIA_CO2_GAS_NATURAL*UNIDAD_KG_A_MT</f>
        <v>3.1467709850266164E-3</v>
      </c>
      <c r="G1422" s="2879" cm="1">
        <f t="array" ref="G1422">G1175*(1/UNIDAD_TJ_A_TWH)*FE_INDUSTRIA_CO2_GAS_NATURAL*UNIDAD_KG_A_MT</f>
        <v>3.1467709850266164E-3</v>
      </c>
      <c r="H1422" s="2879" cm="1">
        <f t="array" ref="H1422">H1175*(1/UNIDAD_TJ_A_TWH)*FE_INDUSTRIA_CO2_GAS_NATURAL*UNIDAD_KG_A_MT</f>
        <v>3.1467709850266164E-3</v>
      </c>
      <c r="I1422" s="2879" cm="1">
        <f t="array" ref="I1422">I1175*(1/UNIDAD_TJ_A_TWH)*FE_INDUSTRIA_CO2_GAS_NATURAL*UNIDAD_KG_A_MT</f>
        <v>3.1467709850266164E-3</v>
      </c>
      <c r="J1422" s="2879" cm="1">
        <f t="array" ref="J1422">J1175*(1/UNIDAD_TJ_A_TWH)*FE_INDUSTRIA_CO2_GAS_NATURAL*UNIDAD_KG_A_MT</f>
        <v>3.1467709850266164E-3</v>
      </c>
      <c r="K1422" s="2879" cm="1">
        <f t="array" ref="K1422">K1175*(1/UNIDAD_TJ_A_TWH)*FE_INDUSTRIA_CO2_GAS_NATURAL*UNIDAD_KG_A_MT</f>
        <v>3.1467709850266164E-3</v>
      </c>
      <c r="L1422" s="2879" cm="1">
        <f t="array" ref="L1422">L1175*(1/UNIDAD_TJ_A_TWH)*FE_INDUSTRIA_CO2_GAS_NATURAL*UNIDAD_KG_A_MT</f>
        <v>3.1467709850266164E-3</v>
      </c>
      <c r="M1422" s="2879" cm="1">
        <f t="array" ref="M1422">M1175*(1/UNIDAD_TJ_A_TWH)*FE_INDUSTRIA_CO2_GAS_NATURAL*UNIDAD_KG_A_MT</f>
        <v>3.1467709850266164E-3</v>
      </c>
      <c r="N1422" s="1650"/>
      <c r="O1422" s="887"/>
    </row>
    <row r="1423" spans="3:15" ht="15" customHeight="1">
      <c r="C1423" s="1287"/>
      <c r="D1423" s="1287" t="s">
        <v>1854</v>
      </c>
      <c r="E1423" s="1287"/>
      <c r="F1423" s="2879" cm="1">
        <f t="array" ref="F1423">F1176*(1/UNIDAD_TJ_A_TWH)*FE_INDUSTRIA_CO2_DIESEL_OIL*UNIDAD_KG_A_MT</f>
        <v>3.9464829611493487E-4</v>
      </c>
      <c r="G1423" s="2879" cm="1">
        <f t="array" ref="G1423">G1176*(1/UNIDAD_TJ_A_TWH)*FE_INDUSTRIA_CO2_DIESEL_OIL*UNIDAD_KG_A_MT</f>
        <v>3.9464829611493487E-4</v>
      </c>
      <c r="H1423" s="2879" cm="1">
        <f t="array" ref="H1423">H1176*(1/UNIDAD_TJ_A_TWH)*FE_INDUSTRIA_CO2_DIESEL_OIL*UNIDAD_KG_A_MT</f>
        <v>3.9464829611493487E-4</v>
      </c>
      <c r="I1423" s="2879" cm="1">
        <f t="array" ref="I1423">I1176*(1/UNIDAD_TJ_A_TWH)*FE_INDUSTRIA_CO2_DIESEL_OIL*UNIDAD_KG_A_MT</f>
        <v>3.9464829611493487E-4</v>
      </c>
      <c r="J1423" s="2879" cm="1">
        <f t="array" ref="J1423">J1176*(1/UNIDAD_TJ_A_TWH)*FE_INDUSTRIA_CO2_DIESEL_OIL*UNIDAD_KG_A_MT</f>
        <v>3.9464829611493487E-4</v>
      </c>
      <c r="K1423" s="2879" cm="1">
        <f t="array" ref="K1423">K1176*(1/UNIDAD_TJ_A_TWH)*FE_INDUSTRIA_CO2_DIESEL_OIL*UNIDAD_KG_A_MT</f>
        <v>3.9464829611493487E-4</v>
      </c>
      <c r="L1423" s="2879" cm="1">
        <f t="array" ref="L1423">L1176*(1/UNIDAD_TJ_A_TWH)*FE_INDUSTRIA_CO2_DIESEL_OIL*UNIDAD_KG_A_MT</f>
        <v>3.9464829611493487E-4</v>
      </c>
      <c r="M1423" s="2879" cm="1">
        <f t="array" ref="M1423">M1176*(1/UNIDAD_TJ_A_TWH)*FE_INDUSTRIA_CO2_DIESEL_OIL*UNIDAD_KG_A_MT</f>
        <v>3.9464829611493487E-4</v>
      </c>
      <c r="N1423" s="1650"/>
      <c r="O1423" s="887"/>
    </row>
    <row r="1424" spans="3:15" ht="15" customHeight="1">
      <c r="C1424" s="1287"/>
      <c r="D1424" s="1287" t="s">
        <v>1860</v>
      </c>
      <c r="E1424" s="1287"/>
      <c r="F1424" s="2879">
        <f t="shared" ref="F1424:M1424" si="96">F1177</f>
        <v>1.1690975172413784E-3</v>
      </c>
      <c r="G1424" s="2879">
        <f t="shared" si="96"/>
        <v>1.1690975172413784E-3</v>
      </c>
      <c r="H1424" s="2879">
        <f t="shared" si="96"/>
        <v>1.1690975172413784E-3</v>
      </c>
      <c r="I1424" s="2879">
        <f t="shared" si="96"/>
        <v>1.1690975172413784E-3</v>
      </c>
      <c r="J1424" s="2879">
        <f t="shared" si="96"/>
        <v>1.1690975172413784E-3</v>
      </c>
      <c r="K1424" s="2879">
        <f t="shared" si="96"/>
        <v>1.1690975172413784E-3</v>
      </c>
      <c r="L1424" s="2879">
        <f t="shared" si="96"/>
        <v>1.1690975172413784E-3</v>
      </c>
      <c r="M1424" s="2879">
        <f t="shared" si="96"/>
        <v>1.1690975172413784E-3</v>
      </c>
      <c r="N1424" s="1650"/>
      <c r="O1424" s="887"/>
    </row>
    <row r="1425" spans="3:15" ht="15" customHeight="1">
      <c r="C1425" s="1287"/>
      <c r="D1425" s="1478" t="s">
        <v>570</v>
      </c>
      <c r="E1425" s="1478"/>
      <c r="F1425" s="2879" cm="1">
        <f t="array" ref="F1425">F1178*(1/UNIDAD_TJ_A_TWH)*FE_INDUSTRIA_CO2_FUEL_OIL*UNIDAD_KG_A_MT</f>
        <v>5.2020962568360956E-5</v>
      </c>
      <c r="G1425" s="2879" cm="1">
        <f t="array" ref="G1425">G1178*(1/UNIDAD_TJ_A_TWH)*FE_INDUSTRIA_CO2_FUEL_OIL*UNIDAD_KG_A_MT</f>
        <v>5.2020962568360956E-5</v>
      </c>
      <c r="H1425" s="2879" cm="1">
        <f t="array" ref="H1425">H1178*(1/UNIDAD_TJ_A_TWH)*FE_INDUSTRIA_CO2_FUEL_OIL*UNIDAD_KG_A_MT</f>
        <v>5.2020962568360956E-5</v>
      </c>
      <c r="I1425" s="2879" cm="1">
        <f t="array" ref="I1425">I1178*(1/UNIDAD_TJ_A_TWH)*FE_INDUSTRIA_CO2_FUEL_OIL*UNIDAD_KG_A_MT</f>
        <v>5.2020962568360956E-5</v>
      </c>
      <c r="J1425" s="2879" cm="1">
        <f t="array" ref="J1425">J1178*(1/UNIDAD_TJ_A_TWH)*FE_INDUSTRIA_CO2_FUEL_OIL*UNIDAD_KG_A_MT</f>
        <v>5.2020962568360956E-5</v>
      </c>
      <c r="K1425" s="2879" cm="1">
        <f t="array" ref="K1425">K1178*(1/UNIDAD_TJ_A_TWH)*FE_INDUSTRIA_CO2_FUEL_OIL*UNIDAD_KG_A_MT</f>
        <v>5.2020962568360956E-5</v>
      </c>
      <c r="L1425" s="2879" cm="1">
        <f t="array" ref="L1425">L1178*(1/UNIDAD_TJ_A_TWH)*FE_INDUSTRIA_CO2_FUEL_OIL*UNIDAD_KG_A_MT</f>
        <v>5.2020962568360956E-5</v>
      </c>
      <c r="M1425" s="2879" cm="1">
        <f t="array" ref="M1425">M1178*(1/UNIDAD_TJ_A_TWH)*FE_INDUSTRIA_CO2_FUEL_OIL*UNIDAD_KG_A_MT</f>
        <v>5.2020962568360956E-5</v>
      </c>
      <c r="N1425" s="1650"/>
      <c r="O1425" s="887"/>
    </row>
    <row r="1426" spans="3:15" ht="15" customHeight="1">
      <c r="C1426" s="1287"/>
      <c r="D1426" s="649" t="s">
        <v>338</v>
      </c>
      <c r="E1426" s="1290"/>
      <c r="F1426" s="1977">
        <f t="shared" ref="F1426:M1426" si="97">SUM(F1420:F1425)</f>
        <v>6.8556419189225075E-3</v>
      </c>
      <c r="G1426" s="1977">
        <f t="shared" si="97"/>
        <v>6.8556419189225075E-3</v>
      </c>
      <c r="H1426" s="1977">
        <f t="shared" si="97"/>
        <v>6.8556419189225075E-3</v>
      </c>
      <c r="I1426" s="1977">
        <f t="shared" si="97"/>
        <v>6.8556419189225075E-3</v>
      </c>
      <c r="J1426" s="1977">
        <f t="shared" si="97"/>
        <v>6.8556419189225075E-3</v>
      </c>
      <c r="K1426" s="1977">
        <f t="shared" si="97"/>
        <v>6.8556419189225075E-3</v>
      </c>
      <c r="L1426" s="1977">
        <f t="shared" si="97"/>
        <v>6.8556419189225075E-3</v>
      </c>
      <c r="M1426" s="1977">
        <f t="shared" si="97"/>
        <v>6.8556419189225075E-3</v>
      </c>
      <c r="N1426" s="1650"/>
      <c r="O1426" s="887"/>
    </row>
    <row r="1427" spans="3:15" ht="15" customHeight="1">
      <c r="C1427" s="1287"/>
      <c r="D1427" s="1287"/>
      <c r="E1427" s="1287"/>
      <c r="F1427" s="2870"/>
      <c r="G1427" s="2870"/>
      <c r="H1427" s="2870"/>
      <c r="I1427" s="2870"/>
      <c r="J1427" s="2870"/>
      <c r="K1427" s="2870"/>
      <c r="L1427" s="2870"/>
      <c r="M1427" s="1651" t="s">
        <v>1716</v>
      </c>
      <c r="N1427" s="1650"/>
      <c r="O1427" s="887"/>
    </row>
    <row r="1428" spans="3:15" ht="15" customHeight="1">
      <c r="C1428" s="1950" t="s">
        <v>559</v>
      </c>
      <c r="D1428" s="1951"/>
      <c r="E1428" s="1950"/>
      <c r="F1428" s="1952">
        <v>2018</v>
      </c>
      <c r="G1428" s="1952">
        <v>2020</v>
      </c>
      <c r="H1428" s="1952">
        <v>2025</v>
      </c>
      <c r="I1428" s="1952">
        <v>2030</v>
      </c>
      <c r="J1428" s="1952">
        <v>2035</v>
      </c>
      <c r="K1428" s="1952">
        <v>2040</v>
      </c>
      <c r="L1428" s="1952">
        <v>2045</v>
      </c>
      <c r="M1428" s="1952">
        <v>2050</v>
      </c>
      <c r="N1428" s="1650"/>
      <c r="O1428" s="887"/>
    </row>
    <row r="1429" spans="3:15" ht="15" customHeight="1">
      <c r="C1429" s="1287"/>
      <c r="D1429" s="1554" t="s">
        <v>504</v>
      </c>
      <c r="E1429" s="1554"/>
      <c r="F1429" s="1970" cm="1">
        <f t="array" ref="F1429">F1182*(1/UNIDAD_TJ_A_TWH)*FE_INDUSTRIA_CO2_BAGAZO*UNIDAD_KG_A_MT</f>
        <v>8.3923891187358754E-3</v>
      </c>
      <c r="G1429" s="1970" cm="1">
        <f t="array" ref="G1429">G1182*(1/UNIDAD_TJ_A_TWH)*FE_INDUSTRIA_CO2_BAGAZO*UNIDAD_KG_A_MT</f>
        <v>8.3923891187358754E-3</v>
      </c>
      <c r="H1429" s="1970" cm="1">
        <f t="array" ref="H1429">H1182*(1/UNIDAD_TJ_A_TWH)*FE_INDUSTRIA_CO2_BAGAZO*UNIDAD_KG_A_MT</f>
        <v>8.3923891187358754E-3</v>
      </c>
      <c r="I1429" s="1970" cm="1">
        <f t="array" ref="I1429">I1182*(1/UNIDAD_TJ_A_TWH)*FE_INDUSTRIA_CO2_BAGAZO*UNIDAD_KG_A_MT</f>
        <v>8.3923891187358754E-3</v>
      </c>
      <c r="J1429" s="1970" cm="1">
        <f t="array" ref="J1429">J1182*(1/UNIDAD_TJ_A_TWH)*FE_INDUSTRIA_CO2_BAGAZO*UNIDAD_KG_A_MT</f>
        <v>8.3923891187358754E-3</v>
      </c>
      <c r="K1429" s="1970" cm="1">
        <f t="array" ref="K1429">K1182*(1/UNIDAD_TJ_A_TWH)*FE_INDUSTRIA_CO2_BAGAZO*UNIDAD_KG_A_MT</f>
        <v>8.3923891187358754E-3</v>
      </c>
      <c r="L1429" s="1970" cm="1">
        <f t="array" ref="L1429">L1182*(1/UNIDAD_TJ_A_TWH)*FE_INDUSTRIA_CO2_BAGAZO*UNIDAD_KG_A_MT</f>
        <v>8.3923891187358754E-3</v>
      </c>
      <c r="M1429" s="1970" cm="1">
        <f t="array" ref="M1429">M1182*(1/UNIDAD_TJ_A_TWH)*FE_INDUSTRIA_CO2_BAGAZO*UNIDAD_KG_A_MT</f>
        <v>8.3923891187358754E-3</v>
      </c>
      <c r="N1429" s="1650"/>
      <c r="O1429" s="887"/>
    </row>
    <row r="1430" spans="3:15" ht="15" customHeight="1">
      <c r="C1430" s="1287"/>
      <c r="D1430" s="1287" t="s">
        <v>569</v>
      </c>
      <c r="E1430" s="1287"/>
      <c r="F1430" s="1970" cm="1">
        <f t="array" ref="F1430">F1183*(1/UNIDAD_TJ_A_TWH)*FE_INDUSTRIA_CO2_CARBON_MINERAL*UNIDAD_KG_A_MT</f>
        <v>2.1181914696176405E-3</v>
      </c>
      <c r="G1430" s="1970" cm="1">
        <f t="array" ref="G1430">G1183*(1/UNIDAD_TJ_A_TWH)*FE_INDUSTRIA_CO2_CARBON_MINERAL*UNIDAD_KG_A_MT</f>
        <v>2.1181914696176405E-3</v>
      </c>
      <c r="H1430" s="1970" cm="1">
        <f t="array" ref="H1430">H1183*(1/UNIDAD_TJ_A_TWH)*FE_INDUSTRIA_CO2_CARBON_MINERAL*UNIDAD_KG_A_MT</f>
        <v>2.1181914696176405E-3</v>
      </c>
      <c r="I1430" s="1970" cm="1">
        <f t="array" ref="I1430">I1183*(1/UNIDAD_TJ_A_TWH)*FE_INDUSTRIA_CO2_CARBON_MINERAL*UNIDAD_KG_A_MT</f>
        <v>2.1181914696176405E-3</v>
      </c>
      <c r="J1430" s="1970" cm="1">
        <f t="array" ref="J1430">J1183*(1/UNIDAD_TJ_A_TWH)*FE_INDUSTRIA_CO2_CARBON_MINERAL*UNIDAD_KG_A_MT</f>
        <v>2.1181914696176405E-3</v>
      </c>
      <c r="K1430" s="1970" cm="1">
        <f t="array" ref="K1430">K1183*(1/UNIDAD_TJ_A_TWH)*FE_INDUSTRIA_CO2_CARBON_MINERAL*UNIDAD_KG_A_MT</f>
        <v>2.1181914696176405E-3</v>
      </c>
      <c r="L1430" s="1970" cm="1">
        <f t="array" ref="L1430">L1183*(1/UNIDAD_TJ_A_TWH)*FE_INDUSTRIA_CO2_CARBON_MINERAL*UNIDAD_KG_A_MT</f>
        <v>2.1181914696176405E-3</v>
      </c>
      <c r="M1430" s="1970" cm="1">
        <f t="array" ref="M1430">M1183*(1/UNIDAD_TJ_A_TWH)*FE_INDUSTRIA_CO2_CARBON_MINERAL*UNIDAD_KG_A_MT</f>
        <v>2.1181914696176405E-3</v>
      </c>
      <c r="N1430" s="1650"/>
      <c r="O1430" s="887"/>
    </row>
    <row r="1431" spans="3:15" ht="15" customHeight="1">
      <c r="C1431" s="1287"/>
      <c r="D1431" s="1287" t="s">
        <v>513</v>
      </c>
      <c r="E1431" s="1287"/>
      <c r="F1431" s="1970" cm="1">
        <f t="array" ref="F1431">F1184*(1/UNIDAD_TJ_A_TWH)*FE_INDUSTRIA_CO2_GAS_NATURAL*UNIDAD_KG_A_MT</f>
        <v>1.4435085598271276E-3</v>
      </c>
      <c r="G1431" s="1970" cm="1">
        <f t="array" ref="G1431">G1184*(1/UNIDAD_TJ_A_TWH)*FE_INDUSTRIA_CO2_GAS_NATURAL*UNIDAD_KG_A_MT</f>
        <v>1.4435085598271276E-3</v>
      </c>
      <c r="H1431" s="1970" cm="1">
        <f t="array" ref="H1431">H1184*(1/UNIDAD_TJ_A_TWH)*FE_INDUSTRIA_CO2_GAS_NATURAL*UNIDAD_KG_A_MT</f>
        <v>1.4435085598271276E-3</v>
      </c>
      <c r="I1431" s="1970" cm="1">
        <f t="array" ref="I1431">I1184*(1/UNIDAD_TJ_A_TWH)*FE_INDUSTRIA_CO2_GAS_NATURAL*UNIDAD_KG_A_MT</f>
        <v>1.4435085598271276E-3</v>
      </c>
      <c r="J1431" s="1970" cm="1">
        <f t="array" ref="J1431">J1184*(1/UNIDAD_TJ_A_TWH)*FE_INDUSTRIA_CO2_GAS_NATURAL*UNIDAD_KG_A_MT</f>
        <v>1.4435085598271276E-3</v>
      </c>
      <c r="K1431" s="1970" cm="1">
        <f t="array" ref="K1431">K1184*(1/UNIDAD_TJ_A_TWH)*FE_INDUSTRIA_CO2_GAS_NATURAL*UNIDAD_KG_A_MT</f>
        <v>1.4435085598271276E-3</v>
      </c>
      <c r="L1431" s="1970" cm="1">
        <f t="array" ref="L1431">L1184*(1/UNIDAD_TJ_A_TWH)*FE_INDUSTRIA_CO2_GAS_NATURAL*UNIDAD_KG_A_MT</f>
        <v>1.4435085598271276E-3</v>
      </c>
      <c r="M1431" s="1970" cm="1">
        <f t="array" ref="M1431">M1184*(1/UNIDAD_TJ_A_TWH)*FE_INDUSTRIA_CO2_GAS_NATURAL*UNIDAD_KG_A_MT</f>
        <v>1.4435085598271276E-3</v>
      </c>
      <c r="N1431" s="1650"/>
      <c r="O1431" s="887"/>
    </row>
    <row r="1432" spans="3:15" ht="15" customHeight="1">
      <c r="C1432" s="1287"/>
      <c r="D1432" s="1287" t="s">
        <v>1854</v>
      </c>
      <c r="E1432" s="1287"/>
      <c r="F1432" s="1970" cm="1">
        <f t="array" ref="F1432">F1185*(1/UNIDAD_TJ_A_TWH)*FE_INDUSTRIA_CO2_DIESEL_OIL*UNIDAD_KG_A_MT</f>
        <v>5.468697817592669E-5</v>
      </c>
      <c r="G1432" s="1970" cm="1">
        <f t="array" ref="G1432">G1185*(1/UNIDAD_TJ_A_TWH)*FE_INDUSTRIA_CO2_DIESEL_OIL*UNIDAD_KG_A_MT</f>
        <v>5.468697817592669E-5</v>
      </c>
      <c r="H1432" s="1970" cm="1">
        <f t="array" ref="H1432">H1185*(1/UNIDAD_TJ_A_TWH)*FE_INDUSTRIA_CO2_DIESEL_OIL*UNIDAD_KG_A_MT</f>
        <v>5.468697817592669E-5</v>
      </c>
      <c r="I1432" s="1970" cm="1">
        <f t="array" ref="I1432">I1185*(1/UNIDAD_TJ_A_TWH)*FE_INDUSTRIA_CO2_DIESEL_OIL*UNIDAD_KG_A_MT</f>
        <v>5.468697817592669E-5</v>
      </c>
      <c r="J1432" s="1970" cm="1">
        <f t="array" ref="J1432">J1185*(1/UNIDAD_TJ_A_TWH)*FE_INDUSTRIA_CO2_DIESEL_OIL*UNIDAD_KG_A_MT</f>
        <v>5.468697817592669E-5</v>
      </c>
      <c r="K1432" s="1970" cm="1">
        <f t="array" ref="K1432">K1185*(1/UNIDAD_TJ_A_TWH)*FE_INDUSTRIA_CO2_DIESEL_OIL*UNIDAD_KG_A_MT</f>
        <v>5.468697817592669E-5</v>
      </c>
      <c r="L1432" s="1970" cm="1">
        <f t="array" ref="L1432">L1185*(1/UNIDAD_TJ_A_TWH)*FE_INDUSTRIA_CO2_DIESEL_OIL*UNIDAD_KG_A_MT</f>
        <v>5.468697817592669E-5</v>
      </c>
      <c r="M1432" s="1970" cm="1">
        <f t="array" ref="M1432">M1185*(1/UNIDAD_TJ_A_TWH)*FE_INDUSTRIA_CO2_DIESEL_OIL*UNIDAD_KG_A_MT</f>
        <v>5.468697817592669E-5</v>
      </c>
      <c r="N1432" s="1650"/>
      <c r="O1432" s="887"/>
    </row>
    <row r="1433" spans="3:15" ht="15" customHeight="1">
      <c r="C1433" s="1287"/>
      <c r="D1433" s="1287" t="s">
        <v>1860</v>
      </c>
      <c r="E1433" s="1287"/>
      <c r="F1433" s="1970">
        <f t="shared" ref="F1433:M1433" si="98">F1186</f>
        <v>1.6200351310344813E-4</v>
      </c>
      <c r="G1433" s="1970">
        <f t="shared" si="98"/>
        <v>1.6200351310344813E-4</v>
      </c>
      <c r="H1433" s="1970">
        <f t="shared" si="98"/>
        <v>1.6200351310344813E-4</v>
      </c>
      <c r="I1433" s="1970">
        <f t="shared" si="98"/>
        <v>1.6200351310344813E-4</v>
      </c>
      <c r="J1433" s="1970">
        <f t="shared" si="98"/>
        <v>1.6200351310344813E-4</v>
      </c>
      <c r="K1433" s="1970">
        <f t="shared" si="98"/>
        <v>1.6200351310344813E-4</v>
      </c>
      <c r="L1433" s="1970">
        <f t="shared" si="98"/>
        <v>1.6200351310344813E-4</v>
      </c>
      <c r="M1433" s="1970">
        <f t="shared" si="98"/>
        <v>1.6200351310344813E-4</v>
      </c>
      <c r="N1433" s="1650"/>
      <c r="O1433" s="887"/>
    </row>
    <row r="1434" spans="3:15" ht="15" customHeight="1">
      <c r="C1434" s="1287"/>
      <c r="D1434" s="1478" t="s">
        <v>570</v>
      </c>
      <c r="E1434" s="1478"/>
      <c r="F1434" s="1970" cm="1">
        <f t="array" ref="F1434">F1187*(1/UNIDAD_TJ_A_TWH)*FE_INDUSTRIA_CO2_FUEL_OIL*UNIDAD_KG_A_MT</f>
        <v>7.2086190987585895E-6</v>
      </c>
      <c r="G1434" s="1970" cm="1">
        <f t="array" ref="G1434">G1187*(1/UNIDAD_TJ_A_TWH)*FE_INDUSTRIA_CO2_FUEL_OIL*UNIDAD_KG_A_MT</f>
        <v>7.2086190987585895E-6</v>
      </c>
      <c r="H1434" s="1970" cm="1">
        <f t="array" ref="H1434">H1187*(1/UNIDAD_TJ_A_TWH)*FE_INDUSTRIA_CO2_FUEL_OIL*UNIDAD_KG_A_MT</f>
        <v>7.2086190987585895E-6</v>
      </c>
      <c r="I1434" s="1970" cm="1">
        <f t="array" ref="I1434">I1187*(1/UNIDAD_TJ_A_TWH)*FE_INDUSTRIA_CO2_FUEL_OIL*UNIDAD_KG_A_MT</f>
        <v>7.2086190987585895E-6</v>
      </c>
      <c r="J1434" s="1970" cm="1">
        <f t="array" ref="J1434">J1187*(1/UNIDAD_TJ_A_TWH)*FE_INDUSTRIA_CO2_FUEL_OIL*UNIDAD_KG_A_MT</f>
        <v>7.2086190987585895E-6</v>
      </c>
      <c r="K1434" s="1970" cm="1">
        <f t="array" ref="K1434">K1187*(1/UNIDAD_TJ_A_TWH)*FE_INDUSTRIA_CO2_FUEL_OIL*UNIDAD_KG_A_MT</f>
        <v>7.2086190987585895E-6</v>
      </c>
      <c r="L1434" s="1970" cm="1">
        <f t="array" ref="L1434">L1187*(1/UNIDAD_TJ_A_TWH)*FE_INDUSTRIA_CO2_FUEL_OIL*UNIDAD_KG_A_MT</f>
        <v>7.2086190987585895E-6</v>
      </c>
      <c r="M1434" s="1970" cm="1">
        <f t="array" ref="M1434">M1187*(1/UNIDAD_TJ_A_TWH)*FE_INDUSTRIA_CO2_FUEL_OIL*UNIDAD_KG_A_MT</f>
        <v>7.2086190987585895E-6</v>
      </c>
      <c r="N1434" s="1650"/>
      <c r="O1434" s="887"/>
    </row>
    <row r="1435" spans="3:15" ht="15" customHeight="1">
      <c r="C1435" s="1287"/>
      <c r="D1435" s="649" t="s">
        <v>338</v>
      </c>
      <c r="E1435" s="1290"/>
      <c r="F1435" s="1977">
        <f t="shared" ref="F1435:M1435" si="99">SUM(F1429:F1434)</f>
        <v>1.2177988258558776E-2</v>
      </c>
      <c r="G1435" s="1977">
        <f t="shared" si="99"/>
        <v>1.2177988258558776E-2</v>
      </c>
      <c r="H1435" s="1977">
        <f t="shared" si="99"/>
        <v>1.2177988258558776E-2</v>
      </c>
      <c r="I1435" s="1977">
        <f t="shared" si="99"/>
        <v>1.2177988258558776E-2</v>
      </c>
      <c r="J1435" s="1977">
        <f t="shared" si="99"/>
        <v>1.2177988258558776E-2</v>
      </c>
      <c r="K1435" s="1977">
        <f t="shared" si="99"/>
        <v>1.2177988258558776E-2</v>
      </c>
      <c r="L1435" s="1977">
        <f t="shared" si="99"/>
        <v>1.2177988258558776E-2</v>
      </c>
      <c r="M1435" s="1977">
        <f t="shared" si="99"/>
        <v>1.2177988258558776E-2</v>
      </c>
      <c r="N1435" s="1650"/>
      <c r="O1435" s="887"/>
    </row>
    <row r="1436" spans="3:15" ht="15" customHeight="1">
      <c r="C1436" s="1287"/>
      <c r="D1436" s="609"/>
      <c r="E1436" s="1287"/>
      <c r="F1436" s="2871"/>
      <c r="G1436" s="2871"/>
      <c r="H1436" s="2871"/>
      <c r="I1436" s="2871"/>
      <c r="J1436" s="2871"/>
      <c r="K1436" s="2871"/>
      <c r="L1436" s="2871"/>
      <c r="M1436" s="1287"/>
      <c r="N1436" s="1650"/>
      <c r="O1436" s="887"/>
    </row>
    <row r="1437" spans="3:15" ht="15" customHeight="1">
      <c r="C1437" s="1287"/>
      <c r="D1437" s="609"/>
      <c r="E1437" s="1287"/>
      <c r="F1437" s="2871"/>
      <c r="G1437" s="2871"/>
      <c r="H1437" s="2871"/>
      <c r="I1437" s="2871"/>
      <c r="J1437" s="2871"/>
      <c r="K1437" s="2871"/>
      <c r="L1437" s="2871"/>
      <c r="M1437" s="1651" t="s">
        <v>1716</v>
      </c>
      <c r="N1437" s="1650"/>
      <c r="O1437" s="887"/>
    </row>
    <row r="1438" spans="3:15" ht="15" customHeight="1">
      <c r="C1438" s="1950" t="s">
        <v>1899</v>
      </c>
      <c r="D1438" s="1951"/>
      <c r="E1438" s="1950"/>
      <c r="F1438" s="1952">
        <v>2018</v>
      </c>
      <c r="G1438" s="1952">
        <v>2020</v>
      </c>
      <c r="H1438" s="1952">
        <v>2025</v>
      </c>
      <c r="I1438" s="1952">
        <v>2030</v>
      </c>
      <c r="J1438" s="1952">
        <v>2035</v>
      </c>
      <c r="K1438" s="1952">
        <v>2040</v>
      </c>
      <c r="L1438" s="1952">
        <v>2045</v>
      </c>
      <c r="M1438" s="1952">
        <v>2050</v>
      </c>
      <c r="N1438" s="1650"/>
      <c r="O1438" s="887"/>
    </row>
    <row r="1439" spans="3:15" ht="15" customHeight="1">
      <c r="C1439" s="1287"/>
      <c r="D1439" s="1554" t="s">
        <v>504</v>
      </c>
      <c r="E1439" s="1554"/>
      <c r="F1439" s="1970" cm="1">
        <f t="array" ref="F1439">F1192*(1/UNIDAD_TJ_A_TWH)*FE_INDUSTRIA_CO2_BAGAZO*UNIDAD_KG_A_MT</f>
        <v>3.1194234684360317E-5</v>
      </c>
      <c r="G1439" s="1970" cm="1">
        <f t="array" ref="G1439">G1192*(1/UNIDAD_TJ_A_TWH)*FE_INDUSTRIA_CO2_BAGAZO*UNIDAD_KG_A_MT</f>
        <v>3.1194234684360317E-5</v>
      </c>
      <c r="H1439" s="1970" cm="1">
        <f t="array" ref="H1439">H1192*(1/UNIDAD_TJ_A_TWH)*FE_INDUSTRIA_CO2_BAGAZO*UNIDAD_KG_A_MT</f>
        <v>3.1194234684360317E-5</v>
      </c>
      <c r="I1439" s="1970" cm="1">
        <f t="array" ref="I1439">I1192*(1/UNIDAD_TJ_A_TWH)*FE_INDUSTRIA_CO2_BAGAZO*UNIDAD_KG_A_MT</f>
        <v>3.1194234684360317E-5</v>
      </c>
      <c r="J1439" s="1970" cm="1">
        <f t="array" ref="J1439">J1192*(1/UNIDAD_TJ_A_TWH)*FE_INDUSTRIA_CO2_BAGAZO*UNIDAD_KG_A_MT</f>
        <v>3.1194234684360317E-5</v>
      </c>
      <c r="K1439" s="1970" cm="1">
        <f t="array" ref="K1439">K1192*(1/UNIDAD_TJ_A_TWH)*FE_INDUSTRIA_CO2_BAGAZO*UNIDAD_KG_A_MT</f>
        <v>3.1194234684360317E-5</v>
      </c>
      <c r="L1439" s="1970" cm="1">
        <f t="array" ref="L1439">L1192*(1/UNIDAD_TJ_A_TWH)*FE_INDUSTRIA_CO2_BAGAZO*UNIDAD_KG_A_MT</f>
        <v>3.1194234684360317E-5</v>
      </c>
      <c r="M1439" s="1970" cm="1">
        <f t="array" ref="M1439">M1192*(1/UNIDAD_TJ_A_TWH)*FE_INDUSTRIA_CO2_BAGAZO*UNIDAD_KG_A_MT</f>
        <v>3.1194234684360317E-5</v>
      </c>
      <c r="N1439" s="1650"/>
      <c r="O1439" s="887"/>
    </row>
    <row r="1440" spans="3:15" ht="15" customHeight="1">
      <c r="C1440" s="1287"/>
      <c r="D1440" s="1287" t="s">
        <v>569</v>
      </c>
      <c r="E1440" s="1287"/>
      <c r="F1440" s="1970" cm="1">
        <f t="array" ref="F1440">F1193*(1/UNIDAD_TJ_A_TWH)*FE_INDUSTRIA_CO2_CARBON_MINERAL*UNIDAD_KG_A_MT</f>
        <v>9.7382163591014403E-5</v>
      </c>
      <c r="G1440" s="1970" cm="1">
        <f t="array" ref="G1440">G1193*(1/UNIDAD_TJ_A_TWH)*FE_INDUSTRIA_CO2_CARBON_MINERAL*UNIDAD_KG_A_MT</f>
        <v>9.7382163591014403E-5</v>
      </c>
      <c r="H1440" s="1970" cm="1">
        <f t="array" ref="H1440">H1193*(1/UNIDAD_TJ_A_TWH)*FE_INDUSTRIA_CO2_CARBON_MINERAL*UNIDAD_KG_A_MT</f>
        <v>9.7382163591014403E-5</v>
      </c>
      <c r="I1440" s="1970" cm="1">
        <f t="array" ref="I1440">I1193*(1/UNIDAD_TJ_A_TWH)*FE_INDUSTRIA_CO2_CARBON_MINERAL*UNIDAD_KG_A_MT</f>
        <v>9.7382163591014403E-5</v>
      </c>
      <c r="J1440" s="1970" cm="1">
        <f t="array" ref="J1440">J1193*(1/UNIDAD_TJ_A_TWH)*FE_INDUSTRIA_CO2_CARBON_MINERAL*UNIDAD_KG_A_MT</f>
        <v>9.7382163591014403E-5</v>
      </c>
      <c r="K1440" s="1970" cm="1">
        <f t="array" ref="K1440">K1193*(1/UNIDAD_TJ_A_TWH)*FE_INDUSTRIA_CO2_CARBON_MINERAL*UNIDAD_KG_A_MT</f>
        <v>9.7382163591014403E-5</v>
      </c>
      <c r="L1440" s="1970" cm="1">
        <f t="array" ref="L1440">L1193*(1/UNIDAD_TJ_A_TWH)*FE_INDUSTRIA_CO2_CARBON_MINERAL*UNIDAD_KG_A_MT</f>
        <v>9.7382163591014403E-5</v>
      </c>
      <c r="M1440" s="1970" cm="1">
        <f t="array" ref="M1440">M1193*(1/UNIDAD_TJ_A_TWH)*FE_INDUSTRIA_CO2_CARBON_MINERAL*UNIDAD_KG_A_MT</f>
        <v>9.7382163591014403E-5</v>
      </c>
      <c r="N1440" s="1650"/>
      <c r="O1440" s="887"/>
    </row>
    <row r="1441" spans="3:15" ht="15" customHeight="1">
      <c r="C1441" s="1287"/>
      <c r="D1441" s="1287" t="s">
        <v>513</v>
      </c>
      <c r="E1441" s="1287"/>
      <c r="F1441" s="1970" cm="1">
        <f t="array" ref="F1441">F1194*(1/UNIDAD_TJ_A_TWH)*FE_INDUSTRIA_CO2_GAS_NATURAL*UNIDAD_KG_A_MT</f>
        <v>1.9330164622306361E-4</v>
      </c>
      <c r="G1441" s="1970" cm="1">
        <f t="array" ref="G1441">G1194*(1/UNIDAD_TJ_A_TWH)*FE_INDUSTRIA_CO2_GAS_NATURAL*UNIDAD_KG_A_MT</f>
        <v>1.9330164622306361E-4</v>
      </c>
      <c r="H1441" s="1970" cm="1">
        <f t="array" ref="H1441">H1194*(1/UNIDAD_TJ_A_TWH)*FE_INDUSTRIA_CO2_GAS_NATURAL*UNIDAD_KG_A_MT</f>
        <v>1.9330164622306361E-4</v>
      </c>
      <c r="I1441" s="1970" cm="1">
        <f t="array" ref="I1441">I1194*(1/UNIDAD_TJ_A_TWH)*FE_INDUSTRIA_CO2_GAS_NATURAL*UNIDAD_KG_A_MT</f>
        <v>1.9330164622306361E-4</v>
      </c>
      <c r="J1441" s="1970" cm="1">
        <f t="array" ref="J1441">J1194*(1/UNIDAD_TJ_A_TWH)*FE_INDUSTRIA_CO2_GAS_NATURAL*UNIDAD_KG_A_MT</f>
        <v>1.9330164622306361E-4</v>
      </c>
      <c r="K1441" s="1970" cm="1">
        <f t="array" ref="K1441">K1194*(1/UNIDAD_TJ_A_TWH)*FE_INDUSTRIA_CO2_GAS_NATURAL*UNIDAD_KG_A_MT</f>
        <v>1.9330164622306361E-4</v>
      </c>
      <c r="L1441" s="1970" cm="1">
        <f t="array" ref="L1441">L1194*(1/UNIDAD_TJ_A_TWH)*FE_INDUSTRIA_CO2_GAS_NATURAL*UNIDAD_KG_A_MT</f>
        <v>1.9330164622306361E-4</v>
      </c>
      <c r="M1441" s="1970" cm="1">
        <f t="array" ref="M1441">M1194*(1/UNIDAD_TJ_A_TWH)*FE_INDUSTRIA_CO2_GAS_NATURAL*UNIDAD_KG_A_MT</f>
        <v>1.9330164622306361E-4</v>
      </c>
      <c r="N1441" s="1650"/>
      <c r="O1441" s="887"/>
    </row>
    <row r="1442" spans="3:15" ht="15" customHeight="1">
      <c r="C1442" s="1287"/>
      <c r="D1442" s="1287" t="s">
        <v>1854</v>
      </c>
      <c r="E1442" s="1287"/>
      <c r="F1442" s="1970" cm="1">
        <f t="array" ref="F1442">F1195*(1/UNIDAD_TJ_A_TWH)*FE_INDUSTRIA_CO2_DIESEL_OIL*UNIDAD_KG_A_MT</f>
        <v>2.4242681047060285E-5</v>
      </c>
      <c r="G1442" s="1970" cm="1">
        <f t="array" ref="G1442">G1195*(1/UNIDAD_TJ_A_TWH)*FE_INDUSTRIA_CO2_DIESEL_OIL*UNIDAD_KG_A_MT</f>
        <v>2.4242681047060285E-5</v>
      </c>
      <c r="H1442" s="1970" cm="1">
        <f t="array" ref="H1442">H1195*(1/UNIDAD_TJ_A_TWH)*FE_INDUSTRIA_CO2_DIESEL_OIL*UNIDAD_KG_A_MT</f>
        <v>2.4242681047060285E-5</v>
      </c>
      <c r="I1442" s="1970" cm="1">
        <f t="array" ref="I1442">I1195*(1/UNIDAD_TJ_A_TWH)*FE_INDUSTRIA_CO2_DIESEL_OIL*UNIDAD_KG_A_MT</f>
        <v>2.4242681047060285E-5</v>
      </c>
      <c r="J1442" s="1970" cm="1">
        <f t="array" ref="J1442">J1195*(1/UNIDAD_TJ_A_TWH)*FE_INDUSTRIA_CO2_DIESEL_OIL*UNIDAD_KG_A_MT</f>
        <v>2.4242681047060285E-5</v>
      </c>
      <c r="K1442" s="1970" cm="1">
        <f t="array" ref="K1442">K1195*(1/UNIDAD_TJ_A_TWH)*FE_INDUSTRIA_CO2_DIESEL_OIL*UNIDAD_KG_A_MT</f>
        <v>2.4242681047060285E-5</v>
      </c>
      <c r="L1442" s="1970" cm="1">
        <f t="array" ref="L1442">L1195*(1/UNIDAD_TJ_A_TWH)*FE_INDUSTRIA_CO2_DIESEL_OIL*UNIDAD_KG_A_MT</f>
        <v>2.4242681047060285E-5</v>
      </c>
      <c r="M1442" s="1970" cm="1">
        <f t="array" ref="M1442">M1195*(1/UNIDAD_TJ_A_TWH)*FE_INDUSTRIA_CO2_DIESEL_OIL*UNIDAD_KG_A_MT</f>
        <v>2.4242681047060285E-5</v>
      </c>
      <c r="N1442" s="1650"/>
      <c r="O1442" s="887"/>
    </row>
    <row r="1443" spans="3:15" ht="15" customHeight="1">
      <c r="C1443" s="1287"/>
      <c r="D1443" s="1287" t="s">
        <v>1860</v>
      </c>
      <c r="E1443" s="1287"/>
      <c r="F1443" s="1970">
        <f t="shared" ref="F1443:M1443" si="100">F1196</f>
        <v>7.1815990344827524E-5</v>
      </c>
      <c r="G1443" s="1970">
        <f t="shared" si="100"/>
        <v>7.1815990344827524E-5</v>
      </c>
      <c r="H1443" s="1970">
        <f t="shared" si="100"/>
        <v>7.1815990344827524E-5</v>
      </c>
      <c r="I1443" s="1970">
        <f t="shared" si="100"/>
        <v>7.1815990344827524E-5</v>
      </c>
      <c r="J1443" s="1970">
        <f t="shared" si="100"/>
        <v>7.1815990344827524E-5</v>
      </c>
      <c r="K1443" s="1970">
        <f t="shared" si="100"/>
        <v>7.1815990344827524E-5</v>
      </c>
      <c r="L1443" s="1970">
        <f t="shared" si="100"/>
        <v>7.1815990344827524E-5</v>
      </c>
      <c r="M1443" s="1970">
        <f t="shared" si="100"/>
        <v>7.1815990344827524E-5</v>
      </c>
      <c r="N1443" s="1650"/>
      <c r="O1443" s="887"/>
    </row>
    <row r="1444" spans="3:15" ht="15" customHeight="1">
      <c r="C1444" s="1287"/>
      <c r="D1444" s="1478" t="s">
        <v>570</v>
      </c>
      <c r="E1444" s="1478"/>
      <c r="F1444" s="1970" cm="1">
        <f t="array" ref="F1444">F1197*(1/UNIDAD_TJ_A_TWH)*FE_INDUSTRIA_CO2_FUEL_OIL*UNIDAD_KG_A_MT</f>
        <v>3.1955734149136015E-6</v>
      </c>
      <c r="G1444" s="1970" cm="1">
        <f t="array" ref="G1444">G1197*(1/UNIDAD_TJ_A_TWH)*FE_INDUSTRIA_CO2_FUEL_OIL*UNIDAD_KG_A_MT</f>
        <v>3.1955734149136015E-6</v>
      </c>
      <c r="H1444" s="1970" cm="1">
        <f t="array" ref="H1444">H1197*(1/UNIDAD_TJ_A_TWH)*FE_INDUSTRIA_CO2_FUEL_OIL*UNIDAD_KG_A_MT</f>
        <v>3.1955734149136015E-6</v>
      </c>
      <c r="I1444" s="1970" cm="1">
        <f t="array" ref="I1444">I1197*(1/UNIDAD_TJ_A_TWH)*FE_INDUSTRIA_CO2_FUEL_OIL*UNIDAD_KG_A_MT</f>
        <v>3.1955734149136015E-6</v>
      </c>
      <c r="J1444" s="1970" cm="1">
        <f t="array" ref="J1444">J1197*(1/UNIDAD_TJ_A_TWH)*FE_INDUSTRIA_CO2_FUEL_OIL*UNIDAD_KG_A_MT</f>
        <v>3.1955734149136015E-6</v>
      </c>
      <c r="K1444" s="1970" cm="1">
        <f t="array" ref="K1444">K1197*(1/UNIDAD_TJ_A_TWH)*FE_INDUSTRIA_CO2_FUEL_OIL*UNIDAD_KG_A_MT</f>
        <v>3.1955734149136015E-6</v>
      </c>
      <c r="L1444" s="1970" cm="1">
        <f t="array" ref="L1444">L1197*(1/UNIDAD_TJ_A_TWH)*FE_INDUSTRIA_CO2_FUEL_OIL*UNIDAD_KG_A_MT</f>
        <v>3.1955734149136015E-6</v>
      </c>
      <c r="M1444" s="1970" cm="1">
        <f t="array" ref="M1444">M1197*(1/UNIDAD_TJ_A_TWH)*FE_INDUSTRIA_CO2_FUEL_OIL*UNIDAD_KG_A_MT</f>
        <v>3.1955734149136015E-6</v>
      </c>
      <c r="N1444" s="1650"/>
      <c r="O1444" s="887"/>
    </row>
    <row r="1445" spans="3:15" ht="15" customHeight="1">
      <c r="C1445" s="1287"/>
      <c r="D1445" s="649" t="s">
        <v>338</v>
      </c>
      <c r="E1445" s="1290"/>
      <c r="F1445" s="1977">
        <f t="shared" ref="F1445:M1445" si="101">SUM(F1439:F1444)</f>
        <v>4.2113228930523971E-4</v>
      </c>
      <c r="G1445" s="1977">
        <f t="shared" si="101"/>
        <v>4.2113228930523971E-4</v>
      </c>
      <c r="H1445" s="1977">
        <f t="shared" si="101"/>
        <v>4.2113228930523971E-4</v>
      </c>
      <c r="I1445" s="1977">
        <f t="shared" si="101"/>
        <v>4.2113228930523971E-4</v>
      </c>
      <c r="J1445" s="1977">
        <f t="shared" si="101"/>
        <v>4.2113228930523971E-4</v>
      </c>
      <c r="K1445" s="1977">
        <f t="shared" si="101"/>
        <v>4.2113228930523971E-4</v>
      </c>
      <c r="L1445" s="1977">
        <f t="shared" si="101"/>
        <v>4.2113228930523971E-4</v>
      </c>
      <c r="M1445" s="1977">
        <f t="shared" si="101"/>
        <v>4.2113228930523971E-4</v>
      </c>
      <c r="N1445" s="1650"/>
      <c r="O1445" s="887"/>
    </row>
    <row r="1446" spans="3:15" ht="15" customHeight="1">
      <c r="C1446" s="1287"/>
      <c r="D1446" s="609"/>
      <c r="E1446" s="1287"/>
      <c r="F1446" s="2871"/>
      <c r="G1446" s="2871"/>
      <c r="H1446" s="2871"/>
      <c r="I1446" s="2871"/>
      <c r="J1446" s="2871"/>
      <c r="K1446" s="2871"/>
      <c r="L1446" s="2871"/>
      <c r="M1446" s="1651" t="s">
        <v>1716</v>
      </c>
      <c r="N1446" s="1650"/>
      <c r="O1446" s="887"/>
    </row>
    <row r="1447" spans="3:15" ht="15" customHeight="1">
      <c r="C1447" s="1950" t="s">
        <v>1900</v>
      </c>
      <c r="D1447" s="1951"/>
      <c r="E1447" s="1950"/>
      <c r="F1447" s="1952">
        <v>2018</v>
      </c>
      <c r="G1447" s="1952">
        <v>2020</v>
      </c>
      <c r="H1447" s="1952">
        <v>2025</v>
      </c>
      <c r="I1447" s="1952">
        <v>2030</v>
      </c>
      <c r="J1447" s="1952">
        <v>2035</v>
      </c>
      <c r="K1447" s="1952">
        <v>2040</v>
      </c>
      <c r="L1447" s="1952">
        <v>2045</v>
      </c>
      <c r="M1447" s="1952">
        <v>2050</v>
      </c>
      <c r="N1447" s="1650"/>
      <c r="O1447" s="887"/>
    </row>
    <row r="1448" spans="3:15" ht="15" customHeight="1">
      <c r="C1448" s="1287"/>
      <c r="D1448" s="1554" t="s">
        <v>504</v>
      </c>
      <c r="E1448" s="1554"/>
      <c r="F1448" s="1970" cm="1">
        <f t="array" ref="F1448">F1201*(1/UNIDAD_TJ_A_TWH)*FE_INDUSTRIA_CO2_BAGAZO*UNIDAD_KG_A_MT</f>
        <v>2.6937119822815343E-2</v>
      </c>
      <c r="G1448" s="1970" cm="1">
        <f t="array" ref="G1448">G1201*(1/UNIDAD_TJ_A_TWH)*FE_INDUSTRIA_CO2_BAGAZO*UNIDAD_KG_A_MT</f>
        <v>2.6937119822815343E-2</v>
      </c>
      <c r="H1448" s="1970" cm="1">
        <f t="array" ref="H1448">H1201*(1/UNIDAD_TJ_A_TWH)*FE_INDUSTRIA_CO2_BAGAZO*UNIDAD_KG_A_MT</f>
        <v>2.6937119822815343E-2</v>
      </c>
      <c r="I1448" s="1970" cm="1">
        <f t="array" ref="I1448">I1201*(1/UNIDAD_TJ_A_TWH)*FE_INDUSTRIA_CO2_BAGAZO*UNIDAD_KG_A_MT</f>
        <v>2.6937119822815343E-2</v>
      </c>
      <c r="J1448" s="1970" cm="1">
        <f t="array" ref="J1448">J1201*(1/UNIDAD_TJ_A_TWH)*FE_INDUSTRIA_CO2_BAGAZO*UNIDAD_KG_A_MT</f>
        <v>2.6937119822815343E-2</v>
      </c>
      <c r="K1448" s="1970" cm="1">
        <f t="array" ref="K1448">K1201*(1/UNIDAD_TJ_A_TWH)*FE_INDUSTRIA_CO2_BAGAZO*UNIDAD_KG_A_MT</f>
        <v>2.6937119822815343E-2</v>
      </c>
      <c r="L1448" s="1970" cm="1">
        <f t="array" ref="L1448">L1201*(1/UNIDAD_TJ_A_TWH)*FE_INDUSTRIA_CO2_BAGAZO*UNIDAD_KG_A_MT</f>
        <v>2.6937119822815343E-2</v>
      </c>
      <c r="M1448" s="1970" cm="1">
        <f t="array" ref="M1448">M1201*(1/UNIDAD_TJ_A_TWH)*FE_INDUSTRIA_CO2_BAGAZO*UNIDAD_KG_A_MT</f>
        <v>2.6937119822815343E-2</v>
      </c>
      <c r="N1448" s="1650"/>
      <c r="O1448" s="887"/>
    </row>
    <row r="1449" spans="3:15" ht="15" customHeight="1">
      <c r="C1449" s="1287"/>
      <c r="D1449" s="1287" t="s">
        <v>569</v>
      </c>
      <c r="E1449" s="1287"/>
      <c r="F1449" s="1970" cm="1">
        <f t="array" ref="F1449">F1202*(1/UNIDAD_TJ_A_TWH)*FE_INDUSTRIA_CO2_CARBON_MINERAL*UNIDAD_KG_A_MT</f>
        <v>6.7235374169303738E-3</v>
      </c>
      <c r="G1449" s="1970" cm="1">
        <f t="array" ref="G1449">G1202*(1/UNIDAD_TJ_A_TWH)*FE_INDUSTRIA_CO2_CARBON_MINERAL*UNIDAD_KG_A_MT</f>
        <v>6.7235374169303738E-3</v>
      </c>
      <c r="H1449" s="1970" cm="1">
        <f t="array" ref="H1449">H1202*(1/UNIDAD_TJ_A_TWH)*FE_INDUSTRIA_CO2_CARBON_MINERAL*UNIDAD_KG_A_MT</f>
        <v>6.7235374169303738E-3</v>
      </c>
      <c r="I1449" s="1970" cm="1">
        <f t="array" ref="I1449">I1202*(1/UNIDAD_TJ_A_TWH)*FE_INDUSTRIA_CO2_CARBON_MINERAL*UNIDAD_KG_A_MT</f>
        <v>6.7235374169303738E-3</v>
      </c>
      <c r="J1449" s="1970" cm="1">
        <f t="array" ref="J1449">J1202*(1/UNIDAD_TJ_A_TWH)*FE_INDUSTRIA_CO2_CARBON_MINERAL*UNIDAD_KG_A_MT</f>
        <v>6.7235374169303738E-3</v>
      </c>
      <c r="K1449" s="1970" cm="1">
        <f t="array" ref="K1449">K1202*(1/UNIDAD_TJ_A_TWH)*FE_INDUSTRIA_CO2_CARBON_MINERAL*UNIDAD_KG_A_MT</f>
        <v>6.7235374169303738E-3</v>
      </c>
      <c r="L1449" s="1970" cm="1">
        <f t="array" ref="L1449">L1202*(1/UNIDAD_TJ_A_TWH)*FE_INDUSTRIA_CO2_CARBON_MINERAL*UNIDAD_KG_A_MT</f>
        <v>6.7235374169303738E-3</v>
      </c>
      <c r="M1449" s="1970" cm="1">
        <f t="array" ref="M1449">M1202*(1/UNIDAD_TJ_A_TWH)*FE_INDUSTRIA_CO2_CARBON_MINERAL*UNIDAD_KG_A_MT</f>
        <v>6.7235374169303738E-3</v>
      </c>
      <c r="N1449" s="1650"/>
      <c r="O1449" s="887"/>
    </row>
    <row r="1450" spans="3:15" ht="15" customHeight="1">
      <c r="C1450" s="1287"/>
      <c r="D1450" s="1287" t="s">
        <v>513</v>
      </c>
      <c r="E1450" s="1287"/>
      <c r="F1450" s="1970" cm="1">
        <f t="array" ref="F1450">F1203*(1/UNIDAD_TJ_A_TWH)*FE_INDUSTRIA_CO2_GAS_NATURAL*UNIDAD_KG_A_MT</f>
        <v>4.4752666113836307E-3</v>
      </c>
      <c r="G1450" s="1970" cm="1">
        <f t="array" ref="G1450">G1203*(1/UNIDAD_TJ_A_TWH)*FE_INDUSTRIA_CO2_GAS_NATURAL*UNIDAD_KG_A_MT</f>
        <v>4.4752666113836307E-3</v>
      </c>
      <c r="H1450" s="1970" cm="1">
        <f t="array" ref="H1450">H1203*(1/UNIDAD_TJ_A_TWH)*FE_INDUSTRIA_CO2_GAS_NATURAL*UNIDAD_KG_A_MT</f>
        <v>4.4752666113836307E-3</v>
      </c>
      <c r="I1450" s="1970" cm="1">
        <f t="array" ref="I1450">I1203*(1/UNIDAD_TJ_A_TWH)*FE_INDUSTRIA_CO2_GAS_NATURAL*UNIDAD_KG_A_MT</f>
        <v>4.4752666113836307E-3</v>
      </c>
      <c r="J1450" s="1970" cm="1">
        <f t="array" ref="J1450">J1203*(1/UNIDAD_TJ_A_TWH)*FE_INDUSTRIA_CO2_GAS_NATURAL*UNIDAD_KG_A_MT</f>
        <v>4.4752666113836307E-3</v>
      </c>
      <c r="K1450" s="1970" cm="1">
        <f t="array" ref="K1450">K1203*(1/UNIDAD_TJ_A_TWH)*FE_INDUSTRIA_CO2_GAS_NATURAL*UNIDAD_KG_A_MT</f>
        <v>4.4752666113836307E-3</v>
      </c>
      <c r="L1450" s="1970" cm="1">
        <f t="array" ref="L1450">L1203*(1/UNIDAD_TJ_A_TWH)*FE_INDUSTRIA_CO2_GAS_NATURAL*UNIDAD_KG_A_MT</f>
        <v>4.4752666113836307E-3</v>
      </c>
      <c r="M1450" s="1970" cm="1">
        <f t="array" ref="M1450">M1203*(1/UNIDAD_TJ_A_TWH)*FE_INDUSTRIA_CO2_GAS_NATURAL*UNIDAD_KG_A_MT</f>
        <v>4.4752666113836307E-3</v>
      </c>
      <c r="N1450" s="1650"/>
      <c r="O1450" s="887"/>
    </row>
    <row r="1451" spans="3:15" ht="15" customHeight="1">
      <c r="C1451" s="1287"/>
      <c r="D1451" s="1287" t="s">
        <v>1854</v>
      </c>
      <c r="E1451" s="1287"/>
      <c r="F1451" s="1970" cm="1">
        <f t="array" ref="F1451">F1204*(1/UNIDAD_TJ_A_TWH)*FE_INDUSTRIA_CO2_DIESEL_OIL*UNIDAD_KG_A_MT</f>
        <v>1.5532229368523512E-4</v>
      </c>
      <c r="G1451" s="1970" cm="1">
        <f t="array" ref="G1451">G1204*(1/UNIDAD_TJ_A_TWH)*FE_INDUSTRIA_CO2_DIESEL_OIL*UNIDAD_KG_A_MT</f>
        <v>1.5532229368523512E-4</v>
      </c>
      <c r="H1451" s="1970" cm="1">
        <f t="array" ref="H1451">H1204*(1/UNIDAD_TJ_A_TWH)*FE_INDUSTRIA_CO2_DIESEL_OIL*UNIDAD_KG_A_MT</f>
        <v>1.5532229368523512E-4</v>
      </c>
      <c r="I1451" s="1970" cm="1">
        <f t="array" ref="I1451">I1204*(1/UNIDAD_TJ_A_TWH)*FE_INDUSTRIA_CO2_DIESEL_OIL*UNIDAD_KG_A_MT</f>
        <v>1.5532229368523512E-4</v>
      </c>
      <c r="J1451" s="1970" cm="1">
        <f t="array" ref="J1451">J1204*(1/UNIDAD_TJ_A_TWH)*FE_INDUSTRIA_CO2_DIESEL_OIL*UNIDAD_KG_A_MT</f>
        <v>1.5532229368523512E-4</v>
      </c>
      <c r="K1451" s="1970" cm="1">
        <f t="array" ref="K1451">K1204*(1/UNIDAD_TJ_A_TWH)*FE_INDUSTRIA_CO2_DIESEL_OIL*UNIDAD_KG_A_MT</f>
        <v>1.5532229368523512E-4</v>
      </c>
      <c r="L1451" s="1970" cm="1">
        <f t="array" ref="L1451">L1204*(1/UNIDAD_TJ_A_TWH)*FE_INDUSTRIA_CO2_DIESEL_OIL*UNIDAD_KG_A_MT</f>
        <v>1.5532229368523512E-4</v>
      </c>
      <c r="M1451" s="1970" cm="1">
        <f t="array" ref="M1451">M1204*(1/UNIDAD_TJ_A_TWH)*FE_INDUSTRIA_CO2_DIESEL_OIL*UNIDAD_KG_A_MT</f>
        <v>1.5532229368523512E-4</v>
      </c>
      <c r="N1451" s="1650"/>
      <c r="O1451" s="887"/>
    </row>
    <row r="1452" spans="3:15" ht="15" customHeight="1">
      <c r="C1452" s="1287"/>
      <c r="D1452" s="1287" t="s">
        <v>1860</v>
      </c>
      <c r="E1452" s="1287"/>
      <c r="F1452" s="1970">
        <f t="shared" ref="F1452:M1452" si="102">F1205</f>
        <v>4.6012337999999967E-4</v>
      </c>
      <c r="G1452" s="1970">
        <f t="shared" si="102"/>
        <v>4.6012337999999967E-4</v>
      </c>
      <c r="H1452" s="1970">
        <f t="shared" si="102"/>
        <v>4.6012337999999967E-4</v>
      </c>
      <c r="I1452" s="1970">
        <f t="shared" si="102"/>
        <v>4.6012337999999967E-4</v>
      </c>
      <c r="J1452" s="1970">
        <f t="shared" si="102"/>
        <v>4.6012337999999967E-4</v>
      </c>
      <c r="K1452" s="1970">
        <f t="shared" si="102"/>
        <v>4.6012337999999967E-4</v>
      </c>
      <c r="L1452" s="1970">
        <f t="shared" si="102"/>
        <v>4.6012337999999967E-4</v>
      </c>
      <c r="M1452" s="1970">
        <f t="shared" si="102"/>
        <v>4.6012337999999967E-4</v>
      </c>
      <c r="N1452" s="1650"/>
      <c r="O1452" s="887"/>
    </row>
    <row r="1453" spans="3:15" ht="15" customHeight="1">
      <c r="C1453" s="1287"/>
      <c r="D1453" s="1478" t="s">
        <v>570</v>
      </c>
      <c r="E1453" s="1478"/>
      <c r="F1453" s="1970" cm="1">
        <f t="array" ref="F1453">F1206*(1/UNIDAD_TJ_A_TWH)*FE_INDUSTRIA_CO2_FUEL_OIL*UNIDAD_KG_A_MT</f>
        <v>2.0473964553690637E-5</v>
      </c>
      <c r="G1453" s="1970" cm="1">
        <f t="array" ref="G1453">G1206*(1/UNIDAD_TJ_A_TWH)*FE_INDUSTRIA_CO2_FUEL_OIL*UNIDAD_KG_A_MT</f>
        <v>2.0473964553690637E-5</v>
      </c>
      <c r="H1453" s="1970" cm="1">
        <f t="array" ref="H1453">H1206*(1/UNIDAD_TJ_A_TWH)*FE_INDUSTRIA_CO2_FUEL_OIL*UNIDAD_KG_A_MT</f>
        <v>2.0473964553690637E-5</v>
      </c>
      <c r="I1453" s="1970" cm="1">
        <f t="array" ref="I1453">I1206*(1/UNIDAD_TJ_A_TWH)*FE_INDUSTRIA_CO2_FUEL_OIL*UNIDAD_KG_A_MT</f>
        <v>2.0473964553690637E-5</v>
      </c>
      <c r="J1453" s="1970" cm="1">
        <f t="array" ref="J1453">J1206*(1/UNIDAD_TJ_A_TWH)*FE_INDUSTRIA_CO2_FUEL_OIL*UNIDAD_KG_A_MT</f>
        <v>2.0473964553690637E-5</v>
      </c>
      <c r="K1453" s="1970" cm="1">
        <f t="array" ref="K1453">K1206*(1/UNIDAD_TJ_A_TWH)*FE_INDUSTRIA_CO2_FUEL_OIL*UNIDAD_KG_A_MT</f>
        <v>2.0473964553690637E-5</v>
      </c>
      <c r="L1453" s="1970" cm="1">
        <f t="array" ref="L1453">L1206*(1/UNIDAD_TJ_A_TWH)*FE_INDUSTRIA_CO2_FUEL_OIL*UNIDAD_KG_A_MT</f>
        <v>2.0473964553690637E-5</v>
      </c>
      <c r="M1453" s="1970" cm="1">
        <f t="array" ref="M1453">M1206*(1/UNIDAD_TJ_A_TWH)*FE_INDUSTRIA_CO2_FUEL_OIL*UNIDAD_KG_A_MT</f>
        <v>2.0473964553690637E-5</v>
      </c>
      <c r="N1453" s="1650"/>
      <c r="O1453" s="887"/>
    </row>
    <row r="1454" spans="3:15" ht="15" customHeight="1">
      <c r="C1454" s="1287"/>
      <c r="D1454" s="649" t="s">
        <v>338</v>
      </c>
      <c r="E1454" s="1290"/>
      <c r="F1454" s="1977">
        <f t="shared" ref="F1454:M1454" si="103">SUM(F1448:F1453)</f>
        <v>3.8771843489368275E-2</v>
      </c>
      <c r="G1454" s="1977">
        <f t="shared" si="103"/>
        <v>3.8771843489368275E-2</v>
      </c>
      <c r="H1454" s="1977">
        <f t="shared" si="103"/>
        <v>3.8771843489368275E-2</v>
      </c>
      <c r="I1454" s="1977">
        <f t="shared" si="103"/>
        <v>3.8771843489368275E-2</v>
      </c>
      <c r="J1454" s="1977">
        <f t="shared" si="103"/>
        <v>3.8771843489368275E-2</v>
      </c>
      <c r="K1454" s="1977">
        <f t="shared" si="103"/>
        <v>3.8771843489368275E-2</v>
      </c>
      <c r="L1454" s="1977">
        <f t="shared" si="103"/>
        <v>3.8771843489368275E-2</v>
      </c>
      <c r="M1454" s="1977">
        <f t="shared" si="103"/>
        <v>3.8771843489368275E-2</v>
      </c>
      <c r="N1454" s="1650"/>
      <c r="O1454" s="887"/>
    </row>
    <row r="1455" spans="3:15" ht="15" customHeight="1">
      <c r="C1455" s="1287"/>
      <c r="D1455" s="609"/>
      <c r="E1455" s="1287"/>
      <c r="F1455" s="2871"/>
      <c r="G1455" s="2871"/>
      <c r="H1455" s="2871"/>
      <c r="I1455" s="2871"/>
      <c r="J1455" s="2871"/>
      <c r="K1455" s="2871"/>
      <c r="L1455" s="2871"/>
      <c r="M1455" s="1651" t="s">
        <v>1716</v>
      </c>
      <c r="N1455" s="1650"/>
      <c r="O1455" s="887"/>
    </row>
    <row r="1456" spans="3:15" ht="15" customHeight="1">
      <c r="C1456" s="1950" t="s">
        <v>562</v>
      </c>
      <c r="D1456" s="1951"/>
      <c r="E1456" s="1950"/>
      <c r="F1456" s="1952">
        <v>2018</v>
      </c>
      <c r="G1456" s="1952">
        <v>2020</v>
      </c>
      <c r="H1456" s="1952">
        <v>2025</v>
      </c>
      <c r="I1456" s="1952">
        <v>2030</v>
      </c>
      <c r="J1456" s="1952">
        <v>2035</v>
      </c>
      <c r="K1456" s="1952">
        <v>2040</v>
      </c>
      <c r="L1456" s="1952">
        <v>2045</v>
      </c>
      <c r="M1456" s="1952">
        <v>2050</v>
      </c>
      <c r="N1456" s="1650"/>
      <c r="O1456" s="887"/>
    </row>
    <row r="1457" spans="3:15" ht="15" customHeight="1">
      <c r="C1457" s="1287"/>
      <c r="D1457" s="1554" t="s">
        <v>504</v>
      </c>
      <c r="E1457" s="1554"/>
      <c r="F1457" s="1970" cm="1">
        <f t="array" ref="F1457">F1210*(1/UNIDAD_TJ_A_TWH)*FE_INDUSTRIA_CO2_BAGAZO*UNIDAD_KG_A_MT</f>
        <v>4.9997138270957567E-3</v>
      </c>
      <c r="G1457" s="1970" cm="1">
        <f t="array" ref="G1457">G1210*(1/UNIDAD_TJ_A_TWH)*FE_INDUSTRIA_CO2_BAGAZO*UNIDAD_KG_A_MT</f>
        <v>4.9997138270957567E-3</v>
      </c>
      <c r="H1457" s="1970" cm="1">
        <f t="array" ref="H1457">H1210*(1/UNIDAD_TJ_A_TWH)*FE_INDUSTRIA_CO2_BAGAZO*UNIDAD_KG_A_MT</f>
        <v>4.9997138270957567E-3</v>
      </c>
      <c r="I1457" s="1970" cm="1">
        <f t="array" ref="I1457">I1210*(1/UNIDAD_TJ_A_TWH)*FE_INDUSTRIA_CO2_BAGAZO*UNIDAD_KG_A_MT</f>
        <v>4.9997138270957567E-3</v>
      </c>
      <c r="J1457" s="1970" cm="1">
        <f t="array" ref="J1457">J1210*(1/UNIDAD_TJ_A_TWH)*FE_INDUSTRIA_CO2_BAGAZO*UNIDAD_KG_A_MT</f>
        <v>4.9997138270957567E-3</v>
      </c>
      <c r="K1457" s="1970" cm="1">
        <f t="array" ref="K1457">K1210*(1/UNIDAD_TJ_A_TWH)*FE_INDUSTRIA_CO2_BAGAZO*UNIDAD_KG_A_MT</f>
        <v>4.9997138270957567E-3</v>
      </c>
      <c r="L1457" s="1970" cm="1">
        <f t="array" ref="L1457">L1210*(1/UNIDAD_TJ_A_TWH)*FE_INDUSTRIA_CO2_BAGAZO*UNIDAD_KG_A_MT</f>
        <v>4.9997138270957567E-3</v>
      </c>
      <c r="M1457" s="1970" cm="1">
        <f t="array" ref="M1457">M1210*(1/UNIDAD_TJ_A_TWH)*FE_INDUSTRIA_CO2_BAGAZO*UNIDAD_KG_A_MT</f>
        <v>4.9997138270957567E-3</v>
      </c>
      <c r="N1457" s="1650"/>
      <c r="O1457" s="887"/>
    </row>
    <row r="1458" spans="3:15" ht="15" customHeight="1">
      <c r="C1458" s="1287"/>
      <c r="D1458" s="1287" t="s">
        <v>569</v>
      </c>
      <c r="E1458" s="1287"/>
      <c r="F1458" s="1970" cm="1">
        <f t="array" ref="F1458">F1211*(1/UNIDAD_TJ_A_TWH)*FE_INDUSTRIA_CO2_CARBON_MINERAL*UNIDAD_KG_A_MT</f>
        <v>1.2875367121961475E-3</v>
      </c>
      <c r="G1458" s="1970" cm="1">
        <f t="array" ref="G1458">G1211*(1/UNIDAD_TJ_A_TWH)*FE_INDUSTRIA_CO2_CARBON_MINERAL*UNIDAD_KG_A_MT</f>
        <v>1.2875367121961475E-3</v>
      </c>
      <c r="H1458" s="1970" cm="1">
        <f t="array" ref="H1458">H1211*(1/UNIDAD_TJ_A_TWH)*FE_INDUSTRIA_CO2_CARBON_MINERAL*UNIDAD_KG_A_MT</f>
        <v>1.2875367121961475E-3</v>
      </c>
      <c r="I1458" s="1970" cm="1">
        <f t="array" ref="I1458">I1211*(1/UNIDAD_TJ_A_TWH)*FE_INDUSTRIA_CO2_CARBON_MINERAL*UNIDAD_KG_A_MT</f>
        <v>1.2875367121961475E-3</v>
      </c>
      <c r="J1458" s="1970" cm="1">
        <f t="array" ref="J1458">J1211*(1/UNIDAD_TJ_A_TWH)*FE_INDUSTRIA_CO2_CARBON_MINERAL*UNIDAD_KG_A_MT</f>
        <v>1.2875367121961475E-3</v>
      </c>
      <c r="K1458" s="1970" cm="1">
        <f t="array" ref="K1458">K1211*(1/UNIDAD_TJ_A_TWH)*FE_INDUSTRIA_CO2_CARBON_MINERAL*UNIDAD_KG_A_MT</f>
        <v>1.2875367121961475E-3</v>
      </c>
      <c r="L1458" s="1970" cm="1">
        <f t="array" ref="L1458">L1211*(1/UNIDAD_TJ_A_TWH)*FE_INDUSTRIA_CO2_CARBON_MINERAL*UNIDAD_KG_A_MT</f>
        <v>1.2875367121961475E-3</v>
      </c>
      <c r="M1458" s="1970" cm="1">
        <f t="array" ref="M1458">M1211*(1/UNIDAD_TJ_A_TWH)*FE_INDUSTRIA_CO2_CARBON_MINERAL*UNIDAD_KG_A_MT</f>
        <v>1.2875367121961475E-3</v>
      </c>
      <c r="N1458" s="1650"/>
      <c r="O1458" s="887"/>
    </row>
    <row r="1459" spans="3:15" ht="15" customHeight="1">
      <c r="C1459" s="1287"/>
      <c r="D1459" s="1287" t="s">
        <v>513</v>
      </c>
      <c r="E1459" s="1287"/>
      <c r="F1459" s="1970" cm="1">
        <f t="array" ref="F1459">F1212*(1/UNIDAD_TJ_A_TWH)*FE_INDUSTRIA_CO2_GAS_NATURAL*UNIDAD_KG_A_MT</f>
        <v>9.1379021812245764E-4</v>
      </c>
      <c r="G1459" s="1970" cm="1">
        <f t="array" ref="G1459">G1212*(1/UNIDAD_TJ_A_TWH)*FE_INDUSTRIA_CO2_GAS_NATURAL*UNIDAD_KG_A_MT</f>
        <v>9.1379021812245764E-4</v>
      </c>
      <c r="H1459" s="1970" cm="1">
        <f t="array" ref="H1459">H1212*(1/UNIDAD_TJ_A_TWH)*FE_INDUSTRIA_CO2_GAS_NATURAL*UNIDAD_KG_A_MT</f>
        <v>9.1379021812245764E-4</v>
      </c>
      <c r="I1459" s="1970" cm="1">
        <f t="array" ref="I1459">I1212*(1/UNIDAD_TJ_A_TWH)*FE_INDUSTRIA_CO2_GAS_NATURAL*UNIDAD_KG_A_MT</f>
        <v>9.1379021812245764E-4</v>
      </c>
      <c r="J1459" s="1970" cm="1">
        <f t="array" ref="J1459">J1212*(1/UNIDAD_TJ_A_TWH)*FE_INDUSTRIA_CO2_GAS_NATURAL*UNIDAD_KG_A_MT</f>
        <v>9.1379021812245764E-4</v>
      </c>
      <c r="K1459" s="1970" cm="1">
        <f t="array" ref="K1459">K1212*(1/UNIDAD_TJ_A_TWH)*FE_INDUSTRIA_CO2_GAS_NATURAL*UNIDAD_KG_A_MT</f>
        <v>9.1379021812245764E-4</v>
      </c>
      <c r="L1459" s="1970" cm="1">
        <f t="array" ref="L1459">L1212*(1/UNIDAD_TJ_A_TWH)*FE_INDUSTRIA_CO2_GAS_NATURAL*UNIDAD_KG_A_MT</f>
        <v>9.1379021812245764E-4</v>
      </c>
      <c r="M1459" s="1970" cm="1">
        <f t="array" ref="M1459">M1212*(1/UNIDAD_TJ_A_TWH)*FE_INDUSTRIA_CO2_GAS_NATURAL*UNIDAD_KG_A_MT</f>
        <v>9.1379021812245764E-4</v>
      </c>
      <c r="N1459" s="1650"/>
      <c r="O1459" s="887"/>
    </row>
    <row r="1460" spans="3:15" ht="15" customHeight="1">
      <c r="C1460" s="1287"/>
      <c r="D1460" s="1287" t="s">
        <v>1854</v>
      </c>
      <c r="E1460" s="1287"/>
      <c r="F1460" s="1970" cm="1">
        <f t="array" ref="F1460">F1213*(1/UNIDAD_TJ_A_TWH)*FE_INDUSTRIA_CO2_DIESEL_OIL*UNIDAD_KG_A_MT</f>
        <v>3.3380668379721607E-5</v>
      </c>
      <c r="G1460" s="1970" cm="1">
        <f t="array" ref="G1460">G1213*(1/UNIDAD_TJ_A_TWH)*FE_INDUSTRIA_CO2_DIESEL_OIL*UNIDAD_KG_A_MT</f>
        <v>3.3380668379721607E-5</v>
      </c>
      <c r="H1460" s="1970" cm="1">
        <f t="array" ref="H1460">H1213*(1/UNIDAD_TJ_A_TWH)*FE_INDUSTRIA_CO2_DIESEL_OIL*UNIDAD_KG_A_MT</f>
        <v>3.3380668379721607E-5</v>
      </c>
      <c r="I1460" s="1970" cm="1">
        <f t="array" ref="I1460">I1213*(1/UNIDAD_TJ_A_TWH)*FE_INDUSTRIA_CO2_DIESEL_OIL*UNIDAD_KG_A_MT</f>
        <v>3.3380668379721607E-5</v>
      </c>
      <c r="J1460" s="1970" cm="1">
        <f t="array" ref="J1460">J1213*(1/UNIDAD_TJ_A_TWH)*FE_INDUSTRIA_CO2_DIESEL_OIL*UNIDAD_KG_A_MT</f>
        <v>3.3380668379721607E-5</v>
      </c>
      <c r="K1460" s="1970" cm="1">
        <f t="array" ref="K1460">K1213*(1/UNIDAD_TJ_A_TWH)*FE_INDUSTRIA_CO2_DIESEL_OIL*UNIDAD_KG_A_MT</f>
        <v>3.3380668379721607E-5</v>
      </c>
      <c r="L1460" s="1970" cm="1">
        <f t="array" ref="L1460">L1213*(1/UNIDAD_TJ_A_TWH)*FE_INDUSTRIA_CO2_DIESEL_OIL*UNIDAD_KG_A_MT</f>
        <v>3.3380668379721607E-5</v>
      </c>
      <c r="M1460" s="1970" cm="1">
        <f t="array" ref="M1460">M1213*(1/UNIDAD_TJ_A_TWH)*FE_INDUSTRIA_CO2_DIESEL_OIL*UNIDAD_KG_A_MT</f>
        <v>3.3380668379721607E-5</v>
      </c>
      <c r="N1460" s="1650"/>
      <c r="O1460" s="887"/>
    </row>
    <row r="1461" spans="3:15" ht="15" customHeight="1">
      <c r="C1461" s="1287"/>
      <c r="D1461" s="1287" t="s">
        <v>1860</v>
      </c>
      <c r="E1461" s="1287"/>
      <c r="F1461" s="1970">
        <f t="shared" ref="F1461:M1461" si="104">F1214</f>
        <v>1.2490884000000002E-4</v>
      </c>
      <c r="G1461" s="1970">
        <f t="shared" si="104"/>
        <v>1.2490884000000002E-4</v>
      </c>
      <c r="H1461" s="1970">
        <f t="shared" si="104"/>
        <v>1.2490884000000002E-4</v>
      </c>
      <c r="I1461" s="1970">
        <f t="shared" si="104"/>
        <v>1.2490884000000002E-4</v>
      </c>
      <c r="J1461" s="1970">
        <f t="shared" si="104"/>
        <v>1.2490884000000002E-4</v>
      </c>
      <c r="K1461" s="1970">
        <f t="shared" si="104"/>
        <v>1.2490884000000002E-4</v>
      </c>
      <c r="L1461" s="1970">
        <f t="shared" si="104"/>
        <v>1.2490884000000002E-4</v>
      </c>
      <c r="M1461" s="1970">
        <f t="shared" si="104"/>
        <v>1.2490884000000002E-4</v>
      </c>
      <c r="N1461" s="1650"/>
      <c r="O1461" s="887"/>
    </row>
    <row r="1462" spans="3:15" ht="15" customHeight="1">
      <c r="C1462" s="1287"/>
      <c r="D1462" s="1478" t="s">
        <v>570</v>
      </c>
      <c r="E1462" s="1478"/>
      <c r="F1462" s="1970" cm="1">
        <f t="array" ref="F1462">F1215*(1/UNIDAD_TJ_A_TWH)*FE_INDUSTRIA_CO2_FUEL_OIL*UNIDAD_KG_A_MT</f>
        <v>3.5200851337924272E-5</v>
      </c>
      <c r="G1462" s="1970" cm="1">
        <f t="array" ref="G1462">G1215*(1/UNIDAD_TJ_A_TWH)*FE_INDUSTRIA_CO2_FUEL_OIL*UNIDAD_KG_A_MT</f>
        <v>3.5200851337924272E-5</v>
      </c>
      <c r="H1462" s="1970" cm="1">
        <f t="array" ref="H1462">H1215*(1/UNIDAD_TJ_A_TWH)*FE_INDUSTRIA_CO2_FUEL_OIL*UNIDAD_KG_A_MT</f>
        <v>3.5200851337924272E-5</v>
      </c>
      <c r="I1462" s="1970" cm="1">
        <f t="array" ref="I1462">I1215*(1/UNIDAD_TJ_A_TWH)*FE_INDUSTRIA_CO2_FUEL_OIL*UNIDAD_KG_A_MT</f>
        <v>3.5200851337924272E-5</v>
      </c>
      <c r="J1462" s="1970" cm="1">
        <f t="array" ref="J1462">J1215*(1/UNIDAD_TJ_A_TWH)*FE_INDUSTRIA_CO2_FUEL_OIL*UNIDAD_KG_A_MT</f>
        <v>3.5200851337924272E-5</v>
      </c>
      <c r="K1462" s="1970" cm="1">
        <f t="array" ref="K1462">K1215*(1/UNIDAD_TJ_A_TWH)*FE_INDUSTRIA_CO2_FUEL_OIL*UNIDAD_KG_A_MT</f>
        <v>3.5200851337924272E-5</v>
      </c>
      <c r="L1462" s="1970" cm="1">
        <f t="array" ref="L1462">L1215*(1/UNIDAD_TJ_A_TWH)*FE_INDUSTRIA_CO2_FUEL_OIL*UNIDAD_KG_A_MT</f>
        <v>3.5200851337924272E-5</v>
      </c>
      <c r="M1462" s="1970" cm="1">
        <f t="array" ref="M1462">M1215*(1/UNIDAD_TJ_A_TWH)*FE_INDUSTRIA_CO2_FUEL_OIL*UNIDAD_KG_A_MT</f>
        <v>3.5200851337924272E-5</v>
      </c>
      <c r="N1462" s="1650"/>
      <c r="O1462" s="887"/>
    </row>
    <row r="1463" spans="3:15" ht="15" customHeight="1">
      <c r="C1463" s="1287"/>
      <c r="D1463" s="649" t="s">
        <v>338</v>
      </c>
      <c r="E1463" s="1290"/>
      <c r="F1463" s="1977">
        <f t="shared" ref="F1463:M1463" si="105">SUM(F1457:F1462)</f>
        <v>7.3945311171320083E-3</v>
      </c>
      <c r="G1463" s="1977">
        <f t="shared" si="105"/>
        <v>7.3945311171320083E-3</v>
      </c>
      <c r="H1463" s="1977">
        <f t="shared" si="105"/>
        <v>7.3945311171320083E-3</v>
      </c>
      <c r="I1463" s="1977">
        <f t="shared" si="105"/>
        <v>7.3945311171320083E-3</v>
      </c>
      <c r="J1463" s="1977">
        <f t="shared" si="105"/>
        <v>7.3945311171320083E-3</v>
      </c>
      <c r="K1463" s="1977">
        <f t="shared" si="105"/>
        <v>7.3945311171320083E-3</v>
      </c>
      <c r="L1463" s="1977">
        <f t="shared" si="105"/>
        <v>7.3945311171320083E-3</v>
      </c>
      <c r="M1463" s="1977">
        <f t="shared" si="105"/>
        <v>7.3945311171320083E-3</v>
      </c>
      <c r="N1463" s="1650"/>
      <c r="O1463" s="887"/>
    </row>
    <row r="1464" spans="3:15" ht="15" customHeight="1">
      <c r="C1464" s="1287"/>
      <c r="D1464" s="609"/>
      <c r="E1464" s="1287"/>
      <c r="F1464" s="2871"/>
      <c r="G1464" s="2871"/>
      <c r="H1464" s="2871"/>
      <c r="I1464" s="2871"/>
      <c r="J1464" s="2871"/>
      <c r="K1464" s="2871"/>
      <c r="L1464" s="2871"/>
      <c r="M1464" s="1651" t="s">
        <v>1716</v>
      </c>
      <c r="N1464" s="1650"/>
      <c r="O1464" s="887"/>
    </row>
    <row r="1465" spans="3:15" ht="15" customHeight="1">
      <c r="C1465" s="1950" t="s">
        <v>563</v>
      </c>
      <c r="D1465" s="1951"/>
      <c r="E1465" s="1950"/>
      <c r="F1465" s="1952">
        <v>2018</v>
      </c>
      <c r="G1465" s="1952">
        <v>2020</v>
      </c>
      <c r="H1465" s="1952">
        <v>2025</v>
      </c>
      <c r="I1465" s="1952">
        <v>2030</v>
      </c>
      <c r="J1465" s="1952">
        <v>2035</v>
      </c>
      <c r="K1465" s="1952">
        <v>2040</v>
      </c>
      <c r="L1465" s="1952">
        <v>2045</v>
      </c>
      <c r="M1465" s="1952">
        <v>2050</v>
      </c>
      <c r="N1465" s="1650"/>
      <c r="O1465" s="887"/>
    </row>
    <row r="1466" spans="3:15" ht="15" customHeight="1">
      <c r="C1466" s="1287"/>
      <c r="D1466" s="1554" t="s">
        <v>504</v>
      </c>
      <c r="E1466" s="1554"/>
      <c r="F1466" s="1970" cm="1">
        <f t="array" ref="F1466">F1219*(1/UNIDAD_TJ_A_TWH)*FE_INDUSTRIA_CO2_BAGAZO*UNIDAD_KG_A_MT</f>
        <v>6.16630220504797E-6</v>
      </c>
      <c r="G1466" s="1970" cm="1">
        <f t="array" ref="G1466">G1219*(1/UNIDAD_TJ_A_TWH)*FE_INDUSTRIA_CO2_BAGAZO*UNIDAD_KG_A_MT</f>
        <v>6.16630220504797E-6</v>
      </c>
      <c r="H1466" s="1970" cm="1">
        <f t="array" ref="H1466">H1219*(1/UNIDAD_TJ_A_TWH)*FE_INDUSTRIA_CO2_BAGAZO*UNIDAD_KG_A_MT</f>
        <v>6.16630220504797E-6</v>
      </c>
      <c r="I1466" s="1970" cm="1">
        <f t="array" ref="I1466">I1219*(1/UNIDAD_TJ_A_TWH)*FE_INDUSTRIA_CO2_BAGAZO*UNIDAD_KG_A_MT</f>
        <v>6.16630220504797E-6</v>
      </c>
      <c r="J1466" s="1970" cm="1">
        <f t="array" ref="J1466">J1219*(1/UNIDAD_TJ_A_TWH)*FE_INDUSTRIA_CO2_BAGAZO*UNIDAD_KG_A_MT</f>
        <v>6.16630220504797E-6</v>
      </c>
      <c r="K1466" s="1970" cm="1">
        <f t="array" ref="K1466">K1219*(1/UNIDAD_TJ_A_TWH)*FE_INDUSTRIA_CO2_BAGAZO*UNIDAD_KG_A_MT</f>
        <v>6.16630220504797E-6</v>
      </c>
      <c r="L1466" s="1970" cm="1">
        <f t="array" ref="L1466">L1219*(1/UNIDAD_TJ_A_TWH)*FE_INDUSTRIA_CO2_BAGAZO*UNIDAD_KG_A_MT</f>
        <v>6.16630220504797E-6</v>
      </c>
      <c r="M1466" s="1970" cm="1">
        <f t="array" ref="M1466">M1219*(1/UNIDAD_TJ_A_TWH)*FE_INDUSTRIA_CO2_BAGAZO*UNIDAD_KG_A_MT</f>
        <v>6.16630220504797E-6</v>
      </c>
      <c r="N1466" s="1650"/>
      <c r="O1466" s="887"/>
    </row>
    <row r="1467" spans="3:15" ht="15" customHeight="1">
      <c r="C1467" s="1287"/>
      <c r="D1467" s="1287" t="s">
        <v>569</v>
      </c>
      <c r="E1467" s="1287"/>
      <c r="F1467" s="1970" cm="1">
        <f t="array" ref="F1467">F1220*(1/UNIDAD_TJ_A_TWH)*FE_INDUSTRIA_CO2_CARBON_MINERAL*UNIDAD_KG_A_MT</f>
        <v>1.9249962570316804E-5</v>
      </c>
      <c r="G1467" s="1970" cm="1">
        <f t="array" ref="G1467">G1220*(1/UNIDAD_TJ_A_TWH)*FE_INDUSTRIA_CO2_CARBON_MINERAL*UNIDAD_KG_A_MT</f>
        <v>1.9249962570316804E-5</v>
      </c>
      <c r="H1467" s="1970" cm="1">
        <f t="array" ref="H1467">H1220*(1/UNIDAD_TJ_A_TWH)*FE_INDUSTRIA_CO2_CARBON_MINERAL*UNIDAD_KG_A_MT</f>
        <v>1.9249962570316804E-5</v>
      </c>
      <c r="I1467" s="1970" cm="1">
        <f t="array" ref="I1467">I1220*(1/UNIDAD_TJ_A_TWH)*FE_INDUSTRIA_CO2_CARBON_MINERAL*UNIDAD_KG_A_MT</f>
        <v>1.9249962570316804E-5</v>
      </c>
      <c r="J1467" s="1970" cm="1">
        <f t="array" ref="J1467">J1220*(1/UNIDAD_TJ_A_TWH)*FE_INDUSTRIA_CO2_CARBON_MINERAL*UNIDAD_KG_A_MT</f>
        <v>1.9249962570316804E-5</v>
      </c>
      <c r="K1467" s="1970" cm="1">
        <f t="array" ref="K1467">K1220*(1/UNIDAD_TJ_A_TWH)*FE_INDUSTRIA_CO2_CARBON_MINERAL*UNIDAD_KG_A_MT</f>
        <v>1.9249962570316804E-5</v>
      </c>
      <c r="L1467" s="1970" cm="1">
        <f t="array" ref="L1467">L1220*(1/UNIDAD_TJ_A_TWH)*FE_INDUSTRIA_CO2_CARBON_MINERAL*UNIDAD_KG_A_MT</f>
        <v>1.9249962570316804E-5</v>
      </c>
      <c r="M1467" s="1970" cm="1">
        <f t="array" ref="M1467">M1220*(1/UNIDAD_TJ_A_TWH)*FE_INDUSTRIA_CO2_CARBON_MINERAL*UNIDAD_KG_A_MT</f>
        <v>1.9249962570316804E-5</v>
      </c>
      <c r="N1467" s="1650"/>
      <c r="O1467" s="887"/>
    </row>
    <row r="1468" spans="3:15" ht="15" customHeight="1">
      <c r="C1468" s="1287"/>
      <c r="D1468" s="1287" t="s">
        <v>513</v>
      </c>
      <c r="E1468" s="1287"/>
      <c r="F1468" s="1970" cm="1">
        <f t="array" ref="F1468">F1221*(1/UNIDAD_TJ_A_TWH)*FE_INDUSTRIA_CO2_GAS_NATURAL*UNIDAD_KG_A_MT</f>
        <v>3.8210790532466062E-5</v>
      </c>
      <c r="G1468" s="1970" cm="1">
        <f t="array" ref="G1468">G1221*(1/UNIDAD_TJ_A_TWH)*FE_INDUSTRIA_CO2_GAS_NATURAL*UNIDAD_KG_A_MT</f>
        <v>3.8210790532466062E-5</v>
      </c>
      <c r="H1468" s="1970" cm="1">
        <f t="array" ref="H1468">H1221*(1/UNIDAD_TJ_A_TWH)*FE_INDUSTRIA_CO2_GAS_NATURAL*UNIDAD_KG_A_MT</f>
        <v>3.8210790532466062E-5</v>
      </c>
      <c r="I1468" s="1970" cm="1">
        <f t="array" ref="I1468">I1221*(1/UNIDAD_TJ_A_TWH)*FE_INDUSTRIA_CO2_GAS_NATURAL*UNIDAD_KG_A_MT</f>
        <v>3.8210790532466062E-5</v>
      </c>
      <c r="J1468" s="1970" cm="1">
        <f t="array" ref="J1468">J1221*(1/UNIDAD_TJ_A_TWH)*FE_INDUSTRIA_CO2_GAS_NATURAL*UNIDAD_KG_A_MT</f>
        <v>3.8210790532466062E-5</v>
      </c>
      <c r="K1468" s="1970" cm="1">
        <f t="array" ref="K1468">K1221*(1/UNIDAD_TJ_A_TWH)*FE_INDUSTRIA_CO2_GAS_NATURAL*UNIDAD_KG_A_MT</f>
        <v>3.8210790532466062E-5</v>
      </c>
      <c r="L1468" s="1970" cm="1">
        <f t="array" ref="L1468">L1221*(1/UNIDAD_TJ_A_TWH)*FE_INDUSTRIA_CO2_GAS_NATURAL*UNIDAD_KG_A_MT</f>
        <v>3.8210790532466062E-5</v>
      </c>
      <c r="M1468" s="1970" cm="1">
        <f t="array" ref="M1468">M1221*(1/UNIDAD_TJ_A_TWH)*FE_INDUSTRIA_CO2_GAS_NATURAL*UNIDAD_KG_A_MT</f>
        <v>3.8210790532466062E-5</v>
      </c>
      <c r="N1468" s="1650"/>
      <c r="O1468" s="887"/>
    </row>
    <row r="1469" spans="3:15" ht="15" customHeight="1">
      <c r="C1469" s="1287"/>
      <c r="D1469" s="1287" t="s">
        <v>1854</v>
      </c>
      <c r="E1469" s="1287"/>
      <c r="F1469" s="1970" cm="1">
        <f t="array" ref="F1469">F1222*(1/UNIDAD_TJ_A_TWH)*FE_INDUSTRIA_CO2_DIESEL_OIL*UNIDAD_KG_A_MT</f>
        <v>4.7921578813956377E-6</v>
      </c>
      <c r="G1469" s="1970" cm="1">
        <f t="array" ref="G1469">G1222*(1/UNIDAD_TJ_A_TWH)*FE_INDUSTRIA_CO2_DIESEL_OIL*UNIDAD_KG_A_MT</f>
        <v>4.7921578813956377E-6</v>
      </c>
      <c r="H1469" s="1970" cm="1">
        <f t="array" ref="H1469">H1222*(1/UNIDAD_TJ_A_TWH)*FE_INDUSTRIA_CO2_DIESEL_OIL*UNIDAD_KG_A_MT</f>
        <v>4.7921578813956377E-6</v>
      </c>
      <c r="I1469" s="1970" cm="1">
        <f t="array" ref="I1469">I1222*(1/UNIDAD_TJ_A_TWH)*FE_INDUSTRIA_CO2_DIESEL_OIL*UNIDAD_KG_A_MT</f>
        <v>4.7921578813956377E-6</v>
      </c>
      <c r="J1469" s="1970" cm="1">
        <f t="array" ref="J1469">J1222*(1/UNIDAD_TJ_A_TWH)*FE_INDUSTRIA_CO2_DIESEL_OIL*UNIDAD_KG_A_MT</f>
        <v>4.7921578813956377E-6</v>
      </c>
      <c r="K1469" s="1970" cm="1">
        <f t="array" ref="K1469">K1222*(1/UNIDAD_TJ_A_TWH)*FE_INDUSTRIA_CO2_DIESEL_OIL*UNIDAD_KG_A_MT</f>
        <v>4.7921578813956377E-6</v>
      </c>
      <c r="L1469" s="1970" cm="1">
        <f t="array" ref="L1469">L1222*(1/UNIDAD_TJ_A_TWH)*FE_INDUSTRIA_CO2_DIESEL_OIL*UNIDAD_KG_A_MT</f>
        <v>4.7921578813956377E-6</v>
      </c>
      <c r="M1469" s="1970" cm="1">
        <f t="array" ref="M1469">M1222*(1/UNIDAD_TJ_A_TWH)*FE_INDUSTRIA_CO2_DIESEL_OIL*UNIDAD_KG_A_MT</f>
        <v>4.7921578813956377E-6</v>
      </c>
      <c r="N1469" s="1650"/>
      <c r="O1469" s="887"/>
    </row>
    <row r="1470" spans="3:15" ht="15" customHeight="1">
      <c r="C1470" s="1287"/>
      <c r="D1470" s="1287" t="s">
        <v>1860</v>
      </c>
      <c r="E1470" s="1287"/>
      <c r="F1470" s="1970">
        <f t="shared" ref="F1470:M1470" si="106">F1223</f>
        <v>1.4196184137931024E-5</v>
      </c>
      <c r="G1470" s="1970">
        <f t="shared" si="106"/>
        <v>1.4196184137931024E-5</v>
      </c>
      <c r="H1470" s="1970">
        <f t="shared" si="106"/>
        <v>1.4196184137931024E-5</v>
      </c>
      <c r="I1470" s="1970">
        <f t="shared" si="106"/>
        <v>1.4196184137931024E-5</v>
      </c>
      <c r="J1470" s="1970">
        <f t="shared" si="106"/>
        <v>1.4196184137931024E-5</v>
      </c>
      <c r="K1470" s="1970">
        <f t="shared" si="106"/>
        <v>1.4196184137931024E-5</v>
      </c>
      <c r="L1470" s="1970">
        <f t="shared" si="106"/>
        <v>1.4196184137931024E-5</v>
      </c>
      <c r="M1470" s="1970">
        <f t="shared" si="106"/>
        <v>1.4196184137931024E-5</v>
      </c>
      <c r="N1470" s="1650"/>
      <c r="O1470" s="887"/>
    </row>
    <row r="1471" spans="3:15" ht="15" customHeight="1">
      <c r="C1471" s="1287"/>
      <c r="D1471" s="1478" t="s">
        <v>570</v>
      </c>
      <c r="E1471" s="1478"/>
      <c r="F1471" s="1970" cm="1">
        <f t="array" ref="F1471">F1224*(1/UNIDAD_TJ_A_TWH)*FE_INDUSTRIA_CO2_FUEL_OIL*UNIDAD_KG_A_MT</f>
        <v>6.3168311690152594E-7</v>
      </c>
      <c r="G1471" s="1970" cm="1">
        <f t="array" ref="G1471">G1224*(1/UNIDAD_TJ_A_TWH)*FE_INDUSTRIA_CO2_FUEL_OIL*UNIDAD_KG_A_MT</f>
        <v>6.3168311690152594E-7</v>
      </c>
      <c r="H1471" s="1970" cm="1">
        <f t="array" ref="H1471">H1224*(1/UNIDAD_TJ_A_TWH)*FE_INDUSTRIA_CO2_FUEL_OIL*UNIDAD_KG_A_MT</f>
        <v>6.3168311690152594E-7</v>
      </c>
      <c r="I1471" s="1970" cm="1">
        <f t="array" ref="I1471">I1224*(1/UNIDAD_TJ_A_TWH)*FE_INDUSTRIA_CO2_FUEL_OIL*UNIDAD_KG_A_MT</f>
        <v>6.3168311690152594E-7</v>
      </c>
      <c r="J1471" s="1970" cm="1">
        <f t="array" ref="J1471">J1224*(1/UNIDAD_TJ_A_TWH)*FE_INDUSTRIA_CO2_FUEL_OIL*UNIDAD_KG_A_MT</f>
        <v>6.3168311690152594E-7</v>
      </c>
      <c r="K1471" s="1970" cm="1">
        <f t="array" ref="K1471">K1224*(1/UNIDAD_TJ_A_TWH)*FE_INDUSTRIA_CO2_FUEL_OIL*UNIDAD_KG_A_MT</f>
        <v>6.3168311690152594E-7</v>
      </c>
      <c r="L1471" s="1970" cm="1">
        <f t="array" ref="L1471">L1224*(1/UNIDAD_TJ_A_TWH)*FE_INDUSTRIA_CO2_FUEL_OIL*UNIDAD_KG_A_MT</f>
        <v>6.3168311690152594E-7</v>
      </c>
      <c r="M1471" s="1970" cm="1">
        <f t="array" ref="M1471">M1224*(1/UNIDAD_TJ_A_TWH)*FE_INDUSTRIA_CO2_FUEL_OIL*UNIDAD_KG_A_MT</f>
        <v>6.3168311690152594E-7</v>
      </c>
      <c r="N1471" s="1650"/>
      <c r="O1471" s="887"/>
    </row>
    <row r="1472" spans="3:15" ht="15" customHeight="1">
      <c r="C1472" s="1287"/>
      <c r="D1472" s="649" t="s">
        <v>338</v>
      </c>
      <c r="E1472" s="1290"/>
      <c r="F1472" s="1977">
        <f t="shared" ref="F1472:M1472" si="107">SUM(F1466:F1471)</f>
        <v>8.3247080444059032E-5</v>
      </c>
      <c r="G1472" s="1977">
        <f t="shared" si="107"/>
        <v>8.3247080444059032E-5</v>
      </c>
      <c r="H1472" s="1977">
        <f t="shared" si="107"/>
        <v>8.3247080444059032E-5</v>
      </c>
      <c r="I1472" s="1977">
        <f t="shared" si="107"/>
        <v>8.3247080444059032E-5</v>
      </c>
      <c r="J1472" s="1977">
        <f t="shared" si="107"/>
        <v>8.3247080444059032E-5</v>
      </c>
      <c r="K1472" s="1977">
        <f t="shared" si="107"/>
        <v>8.3247080444059032E-5</v>
      </c>
      <c r="L1472" s="1977">
        <f t="shared" si="107"/>
        <v>8.3247080444059032E-5</v>
      </c>
      <c r="M1472" s="1977">
        <f t="shared" si="107"/>
        <v>8.3247080444059032E-5</v>
      </c>
      <c r="N1472" s="1650"/>
      <c r="O1472" s="887"/>
    </row>
    <row r="1473" spans="3:15" ht="15" customHeight="1">
      <c r="C1473" s="1287"/>
      <c r="D1473" s="609"/>
      <c r="E1473" s="1287"/>
      <c r="F1473" s="2871"/>
      <c r="G1473" s="2871"/>
      <c r="H1473" s="2871"/>
      <c r="I1473" s="2871"/>
      <c r="J1473" s="2871"/>
      <c r="K1473" s="2871"/>
      <c r="L1473" s="2871"/>
      <c r="M1473" s="1651" t="s">
        <v>1716</v>
      </c>
      <c r="N1473" s="1650"/>
      <c r="O1473" s="887"/>
    </row>
    <row r="1474" spans="3:15" ht="15" customHeight="1">
      <c r="C1474" s="1950" t="s">
        <v>564</v>
      </c>
      <c r="D1474" s="1951"/>
      <c r="E1474" s="1950"/>
      <c r="F1474" s="1952">
        <v>2018</v>
      </c>
      <c r="G1474" s="1952">
        <v>2020</v>
      </c>
      <c r="H1474" s="1952">
        <v>2025</v>
      </c>
      <c r="I1474" s="1952">
        <v>2030</v>
      </c>
      <c r="J1474" s="1952">
        <v>2035</v>
      </c>
      <c r="K1474" s="1952">
        <v>2040</v>
      </c>
      <c r="L1474" s="1952">
        <v>2045</v>
      </c>
      <c r="M1474" s="1952">
        <v>2050</v>
      </c>
      <c r="N1474" s="1650"/>
      <c r="O1474" s="887"/>
    </row>
    <row r="1475" spans="3:15" ht="15" customHeight="1">
      <c r="C1475" s="1287"/>
      <c r="D1475" s="1554" t="s">
        <v>504</v>
      </c>
      <c r="E1475" s="1554"/>
      <c r="F1475" s="1970" cm="1">
        <f t="array" ref="F1475">F1154*(1/UNIDAD_TJ_A_TWH)*FE_INDUSTRIA_CO2_BAGAZO*UNIDAD_KG_A_MT</f>
        <v>9.6891936340399217E-4</v>
      </c>
      <c r="G1475" s="1970" cm="1">
        <f t="array" ref="G1475">G1154*(1/UNIDAD_TJ_A_TWH)*FE_INDUSTRIA_CO2_BAGAZO*UNIDAD_KG_A_MT</f>
        <v>9.6891936340399217E-4</v>
      </c>
      <c r="H1475" s="1970" cm="1">
        <f t="array" ref="H1475">H1154*(1/UNIDAD_TJ_A_TWH)*FE_INDUSTRIA_CO2_BAGAZO*UNIDAD_KG_A_MT</f>
        <v>9.6891936340399217E-4</v>
      </c>
      <c r="I1475" s="1970" cm="1">
        <f t="array" ref="I1475">I1154*(1/UNIDAD_TJ_A_TWH)*FE_INDUSTRIA_CO2_BAGAZO*UNIDAD_KG_A_MT</f>
        <v>9.6891936340399217E-4</v>
      </c>
      <c r="J1475" s="1970" cm="1">
        <f t="array" ref="J1475">J1154*(1/UNIDAD_TJ_A_TWH)*FE_INDUSTRIA_CO2_BAGAZO*UNIDAD_KG_A_MT</f>
        <v>9.6891936340399217E-4</v>
      </c>
      <c r="K1475" s="1970" cm="1">
        <f t="array" ref="K1475">K1154*(1/UNIDAD_TJ_A_TWH)*FE_INDUSTRIA_CO2_BAGAZO*UNIDAD_KG_A_MT</f>
        <v>9.6891936340399217E-4</v>
      </c>
      <c r="L1475" s="1970" cm="1">
        <f t="array" ref="L1475">L1154*(1/UNIDAD_TJ_A_TWH)*FE_INDUSTRIA_CO2_BAGAZO*UNIDAD_KG_A_MT</f>
        <v>9.6891936340399217E-4</v>
      </c>
      <c r="M1475" s="1970" cm="1">
        <f t="array" ref="M1475">M1154*(1/UNIDAD_TJ_A_TWH)*FE_INDUSTRIA_CO2_BAGAZO*UNIDAD_KG_A_MT</f>
        <v>9.6891936340399217E-4</v>
      </c>
      <c r="N1475" s="1650"/>
      <c r="O1475" s="887"/>
    </row>
    <row r="1476" spans="3:15" ht="15" customHeight="1">
      <c r="C1476" s="1287"/>
      <c r="D1476" s="1287" t="s">
        <v>569</v>
      </c>
      <c r="E1476" s="1287"/>
      <c r="F1476" s="1970" cm="1">
        <f t="array" ref="F1476">F1155*(1/UNIDAD_TJ_A_TWH)*FE_INDUSTRIA_CO2_CARBON_MINERAL*UNIDAD_KG_A_MT</f>
        <v>2.2104106899840001E-4</v>
      </c>
      <c r="G1476" s="1970" cm="1">
        <f t="array" ref="G1476">G1155*(1/UNIDAD_TJ_A_TWH)*FE_INDUSTRIA_CO2_CARBON_MINERAL*UNIDAD_KG_A_MT</f>
        <v>2.2104106899840001E-4</v>
      </c>
      <c r="H1476" s="1970" cm="1">
        <f t="array" ref="H1476">H1155*(1/UNIDAD_TJ_A_TWH)*FE_INDUSTRIA_CO2_CARBON_MINERAL*UNIDAD_KG_A_MT</f>
        <v>2.2104106899840001E-4</v>
      </c>
      <c r="I1476" s="1970" cm="1">
        <f t="array" ref="I1476">I1155*(1/UNIDAD_TJ_A_TWH)*FE_INDUSTRIA_CO2_CARBON_MINERAL*UNIDAD_KG_A_MT</f>
        <v>2.2104106899840001E-4</v>
      </c>
      <c r="J1476" s="1970" cm="1">
        <f t="array" ref="J1476">J1155*(1/UNIDAD_TJ_A_TWH)*FE_INDUSTRIA_CO2_CARBON_MINERAL*UNIDAD_KG_A_MT</f>
        <v>2.2104106899840001E-4</v>
      </c>
      <c r="K1476" s="1970" cm="1">
        <f t="array" ref="K1476">K1155*(1/UNIDAD_TJ_A_TWH)*FE_INDUSTRIA_CO2_CARBON_MINERAL*UNIDAD_KG_A_MT</f>
        <v>2.2104106899840001E-4</v>
      </c>
      <c r="L1476" s="1970" cm="1">
        <f t="array" ref="L1476">L1155*(1/UNIDAD_TJ_A_TWH)*FE_INDUSTRIA_CO2_CARBON_MINERAL*UNIDAD_KG_A_MT</f>
        <v>2.2104106899840001E-4</v>
      </c>
      <c r="M1476" s="1970" cm="1">
        <f t="array" ref="M1476">M1155*(1/UNIDAD_TJ_A_TWH)*FE_INDUSTRIA_CO2_CARBON_MINERAL*UNIDAD_KG_A_MT</f>
        <v>2.2104106899840001E-4</v>
      </c>
      <c r="N1476" s="1650"/>
      <c r="O1476" s="887"/>
    </row>
    <row r="1477" spans="3:15" ht="15" customHeight="1">
      <c r="C1477" s="1287"/>
      <c r="D1477" s="1287" t="s">
        <v>513</v>
      </c>
      <c r="E1477" s="1287"/>
      <c r="F1477" s="1970" cm="1">
        <f t="array" ref="F1477">F1156*(1/UNIDAD_TJ_A_TWH)*FE_INDUSTRIA_CO2_GAS_NATURAL*UNIDAD_KG_A_MT</f>
        <v>1.1729646761817602E-4</v>
      </c>
      <c r="G1477" s="1970" cm="1">
        <f t="array" ref="G1477">G1156*(1/UNIDAD_TJ_A_TWH)*FE_INDUSTRIA_CO2_GAS_NATURAL*UNIDAD_KG_A_MT</f>
        <v>1.1729646761817602E-4</v>
      </c>
      <c r="H1477" s="1970" cm="1">
        <f t="array" ref="H1477">H1156*(1/UNIDAD_TJ_A_TWH)*FE_INDUSTRIA_CO2_GAS_NATURAL*UNIDAD_KG_A_MT</f>
        <v>1.1729646761817602E-4</v>
      </c>
      <c r="I1477" s="1970" cm="1">
        <f t="array" ref="I1477">I1156*(1/UNIDAD_TJ_A_TWH)*FE_INDUSTRIA_CO2_GAS_NATURAL*UNIDAD_KG_A_MT</f>
        <v>1.1729646761817602E-4</v>
      </c>
      <c r="J1477" s="1970" cm="1">
        <f t="array" ref="J1477">J1156*(1/UNIDAD_TJ_A_TWH)*FE_INDUSTRIA_CO2_GAS_NATURAL*UNIDAD_KG_A_MT</f>
        <v>1.1729646761817602E-4</v>
      </c>
      <c r="K1477" s="1970" cm="1">
        <f t="array" ref="K1477">K1156*(1/UNIDAD_TJ_A_TWH)*FE_INDUSTRIA_CO2_GAS_NATURAL*UNIDAD_KG_A_MT</f>
        <v>1.1729646761817602E-4</v>
      </c>
      <c r="L1477" s="1970" cm="1">
        <f t="array" ref="L1477">L1156*(1/UNIDAD_TJ_A_TWH)*FE_INDUSTRIA_CO2_GAS_NATURAL*UNIDAD_KG_A_MT</f>
        <v>1.1729646761817602E-4</v>
      </c>
      <c r="M1477" s="1970" cm="1">
        <f t="array" ref="M1477">M1156*(1/UNIDAD_TJ_A_TWH)*FE_INDUSTRIA_CO2_GAS_NATURAL*UNIDAD_KG_A_MT</f>
        <v>1.1729646761817602E-4</v>
      </c>
      <c r="N1477" s="1650"/>
      <c r="O1477" s="887"/>
    </row>
    <row r="1478" spans="3:15" ht="15" customHeight="1">
      <c r="C1478" s="1287"/>
      <c r="D1478" s="1287" t="s">
        <v>1854</v>
      </c>
      <c r="E1478" s="1287"/>
      <c r="F1478" s="1970" cm="1">
        <f t="array" ref="F1478">F1157*(1/UNIDAD_TJ_A_TWH)*FE_INDUSTRIA_CO2_DIESEL_OIL*UNIDAD_KG_A_MT</f>
        <v>9.7986306398400004E-4</v>
      </c>
      <c r="G1478" s="1970" cm="1">
        <f t="array" ref="G1478">G1157*(1/UNIDAD_TJ_A_TWH)*FE_INDUSTRIA_CO2_DIESEL_OIL*UNIDAD_KG_A_MT</f>
        <v>9.7986306398400004E-4</v>
      </c>
      <c r="H1478" s="1970" cm="1">
        <f t="array" ref="H1478">H1157*(1/UNIDAD_TJ_A_TWH)*FE_INDUSTRIA_CO2_DIESEL_OIL*UNIDAD_KG_A_MT</f>
        <v>9.7986306398400004E-4</v>
      </c>
      <c r="I1478" s="1970" cm="1">
        <f t="array" ref="I1478">I1157*(1/UNIDAD_TJ_A_TWH)*FE_INDUSTRIA_CO2_DIESEL_OIL*UNIDAD_KG_A_MT</f>
        <v>9.7986306398400004E-4</v>
      </c>
      <c r="J1478" s="1970" cm="1">
        <f t="array" ref="J1478">J1157*(1/UNIDAD_TJ_A_TWH)*FE_INDUSTRIA_CO2_DIESEL_OIL*UNIDAD_KG_A_MT</f>
        <v>9.7986306398400004E-4</v>
      </c>
      <c r="K1478" s="1970" cm="1">
        <f t="array" ref="K1478">K1157*(1/UNIDAD_TJ_A_TWH)*FE_INDUSTRIA_CO2_DIESEL_OIL*UNIDAD_KG_A_MT</f>
        <v>9.7986306398400004E-4</v>
      </c>
      <c r="L1478" s="1970" cm="1">
        <f t="array" ref="L1478">L1157*(1/UNIDAD_TJ_A_TWH)*FE_INDUSTRIA_CO2_DIESEL_OIL*UNIDAD_KG_A_MT</f>
        <v>9.7986306398400004E-4</v>
      </c>
      <c r="M1478" s="1970" cm="1">
        <f t="array" ref="M1478">M1157*(1/UNIDAD_TJ_A_TWH)*FE_INDUSTRIA_CO2_DIESEL_OIL*UNIDAD_KG_A_MT</f>
        <v>9.7986306398400004E-4</v>
      </c>
      <c r="N1478" s="1650"/>
      <c r="O1478" s="887"/>
    </row>
    <row r="1479" spans="3:15" ht="15" customHeight="1">
      <c r="C1479" s="1287"/>
      <c r="D1479" s="1287" t="s">
        <v>1860</v>
      </c>
      <c r="E1479" s="1287"/>
      <c r="F1479" s="1970">
        <f t="shared" ref="F1479:M1479" si="108">F1158</f>
        <v>0</v>
      </c>
      <c r="G1479" s="1970">
        <f t="shared" si="108"/>
        <v>0</v>
      </c>
      <c r="H1479" s="1970">
        <f t="shared" si="108"/>
        <v>0</v>
      </c>
      <c r="I1479" s="1970">
        <f t="shared" si="108"/>
        <v>0</v>
      </c>
      <c r="J1479" s="1970">
        <f t="shared" si="108"/>
        <v>0</v>
      </c>
      <c r="K1479" s="1970">
        <f t="shared" si="108"/>
        <v>0</v>
      </c>
      <c r="L1479" s="1970">
        <f t="shared" si="108"/>
        <v>0</v>
      </c>
      <c r="M1479" s="1970">
        <f t="shared" si="108"/>
        <v>0</v>
      </c>
      <c r="N1479" s="1650"/>
      <c r="O1479" s="887"/>
    </row>
    <row r="1480" spans="3:15" ht="15" customHeight="1">
      <c r="C1480" s="1287"/>
      <c r="D1480" s="1478" t="s">
        <v>570</v>
      </c>
      <c r="E1480" s="1478"/>
      <c r="F1480" s="1970" cm="1">
        <f t="array" ref="F1480">F1159*(1/UNIDAD_TJ_A_TWH)*FE_INDUSTRIA_CO2_FUEL_OIL*UNIDAD_KG_A_MT</f>
        <v>0</v>
      </c>
      <c r="G1480" s="1970" cm="1">
        <f t="array" ref="G1480">G1159*(1/UNIDAD_TJ_A_TWH)*FE_INDUSTRIA_CO2_FUEL_OIL*UNIDAD_KG_A_MT</f>
        <v>0</v>
      </c>
      <c r="H1480" s="1970" cm="1">
        <f t="array" ref="H1480">H1159*(1/UNIDAD_TJ_A_TWH)*FE_INDUSTRIA_CO2_FUEL_OIL*UNIDAD_KG_A_MT</f>
        <v>0</v>
      </c>
      <c r="I1480" s="1970" cm="1">
        <f t="array" ref="I1480">I1159*(1/UNIDAD_TJ_A_TWH)*FE_INDUSTRIA_CO2_FUEL_OIL*UNIDAD_KG_A_MT</f>
        <v>0</v>
      </c>
      <c r="J1480" s="1970" cm="1">
        <f t="array" ref="J1480">J1159*(1/UNIDAD_TJ_A_TWH)*FE_INDUSTRIA_CO2_FUEL_OIL*UNIDAD_KG_A_MT</f>
        <v>0</v>
      </c>
      <c r="K1480" s="1970" cm="1">
        <f t="array" ref="K1480">K1159*(1/UNIDAD_TJ_A_TWH)*FE_INDUSTRIA_CO2_FUEL_OIL*UNIDAD_KG_A_MT</f>
        <v>0</v>
      </c>
      <c r="L1480" s="1970" cm="1">
        <f t="array" ref="L1480">L1159*(1/UNIDAD_TJ_A_TWH)*FE_INDUSTRIA_CO2_FUEL_OIL*UNIDAD_KG_A_MT</f>
        <v>0</v>
      </c>
      <c r="M1480" s="1970" cm="1">
        <f t="array" ref="M1480">M1159*(1/UNIDAD_TJ_A_TWH)*FE_INDUSTRIA_CO2_FUEL_OIL*UNIDAD_KG_A_MT</f>
        <v>0</v>
      </c>
      <c r="N1480" s="1650"/>
      <c r="O1480" s="887"/>
    </row>
    <row r="1481" spans="3:15" ht="15" customHeight="1">
      <c r="C1481" s="1477"/>
      <c r="D1481" s="649" t="s">
        <v>338</v>
      </c>
      <c r="E1481" s="1290"/>
      <c r="F1481" s="1977">
        <f t="shared" ref="F1481:M1481" si="109">SUM(F1475:F1480)</f>
        <v>2.2871199640045682E-3</v>
      </c>
      <c r="G1481" s="1977">
        <f t="shared" si="109"/>
        <v>2.2871199640045682E-3</v>
      </c>
      <c r="H1481" s="1977">
        <f t="shared" si="109"/>
        <v>2.2871199640045682E-3</v>
      </c>
      <c r="I1481" s="1977">
        <f t="shared" si="109"/>
        <v>2.2871199640045682E-3</v>
      </c>
      <c r="J1481" s="1977">
        <f t="shared" si="109"/>
        <v>2.2871199640045682E-3</v>
      </c>
      <c r="K1481" s="1977">
        <f t="shared" si="109"/>
        <v>2.2871199640045682E-3</v>
      </c>
      <c r="L1481" s="1977">
        <f t="shared" si="109"/>
        <v>2.2871199640045682E-3</v>
      </c>
      <c r="M1481" s="1977">
        <f t="shared" si="109"/>
        <v>2.2871199640045682E-3</v>
      </c>
      <c r="N1481" s="1650"/>
      <c r="O1481" s="887"/>
    </row>
    <row r="1482" spans="3:15" ht="15" customHeight="1">
      <c r="C1482" s="1477"/>
      <c r="D1482" s="609"/>
      <c r="E1482" s="1287"/>
      <c r="F1482" s="1959"/>
      <c r="G1482" s="1959"/>
      <c r="H1482" s="1959"/>
      <c r="I1482" s="1959"/>
      <c r="J1482" s="1959"/>
      <c r="K1482" s="1959"/>
      <c r="L1482" s="1959"/>
      <c r="M1482" s="1959"/>
      <c r="N1482" s="1650"/>
      <c r="O1482" s="887"/>
    </row>
    <row r="1483" spans="3:15" ht="15" customHeight="1">
      <c r="C1483" s="1419" t="s">
        <v>1906</v>
      </c>
      <c r="D1483" s="1287"/>
      <c r="E1483" s="1287"/>
      <c r="F1483" s="1650"/>
      <c r="G1483" s="1650"/>
      <c r="H1483" s="1650"/>
      <c r="I1483" s="1650"/>
      <c r="J1483" s="1650"/>
      <c r="K1483" s="1650"/>
      <c r="L1483" s="1650"/>
      <c r="M1483" s="1650"/>
      <c r="N1483" s="1650"/>
      <c r="O1483" s="887"/>
    </row>
    <row r="1484" spans="3:15" ht="15" customHeight="1">
      <c r="C1484" s="1419"/>
      <c r="D1484" s="1287"/>
      <c r="E1484" s="1287"/>
      <c r="F1484" s="1650"/>
      <c r="G1484" s="1650"/>
      <c r="H1484" s="1650"/>
      <c r="I1484" s="1650"/>
      <c r="J1484" s="1650"/>
      <c r="K1484" s="1650"/>
      <c r="L1484" s="1650"/>
      <c r="M1484" s="1651" t="s">
        <v>1705</v>
      </c>
      <c r="N1484" s="1650"/>
      <c r="O1484" s="887"/>
    </row>
    <row r="1485" spans="3:15" ht="15" customHeight="1">
      <c r="C1485" s="1950" t="s">
        <v>917</v>
      </c>
      <c r="D1485" s="1951"/>
      <c r="E1485" s="1950"/>
      <c r="F1485" s="1952">
        <v>2018</v>
      </c>
      <c r="G1485" s="1952">
        <v>2020</v>
      </c>
      <c r="H1485" s="1952">
        <v>2025</v>
      </c>
      <c r="I1485" s="1952">
        <v>2030</v>
      </c>
      <c r="J1485" s="1952">
        <v>2035</v>
      </c>
      <c r="K1485" s="1952">
        <v>2040</v>
      </c>
      <c r="L1485" s="1952">
        <v>2045</v>
      </c>
      <c r="M1485" s="1952">
        <v>2050</v>
      </c>
      <c r="N1485" s="1650"/>
      <c r="O1485" s="887"/>
    </row>
    <row r="1486" spans="3:15" ht="15" customHeight="1">
      <c r="C1486" s="1287"/>
      <c r="D1486" s="1554" t="s">
        <v>504</v>
      </c>
      <c r="E1486" s="1554"/>
      <c r="F1486" s="1970" cm="1">
        <f t="array" ref="F1486:M1486">F865:M865*FE_INDUSTRIA_CH4_BAGAZO*UNIDAD_T_A_MT</f>
        <v>0</v>
      </c>
      <c r="G1486" s="1970">
        <v>0</v>
      </c>
      <c r="H1486" s="1970">
        <v>0</v>
      </c>
      <c r="I1486" s="1970">
        <v>0</v>
      </c>
      <c r="J1486" s="1970">
        <v>0</v>
      </c>
      <c r="K1486" s="1970">
        <v>0</v>
      </c>
      <c r="L1486" s="1970">
        <v>0</v>
      </c>
      <c r="M1486" s="1970">
        <v>0</v>
      </c>
      <c r="N1486" s="1650"/>
      <c r="O1486" s="887"/>
    </row>
    <row r="1487" spans="3:15" ht="15" customHeight="1">
      <c r="C1487" s="1287"/>
      <c r="D1487" s="1287" t="s">
        <v>569</v>
      </c>
      <c r="E1487" s="1287"/>
      <c r="F1487" s="1968" cm="1">
        <f t="array" ref="F1487:M1487">F866:M866*FE_INDUSTRIA_CH4_CARBON_MINERAL*UNIDAD_T_A_MT</f>
        <v>3.6921898297501449E-6</v>
      </c>
      <c r="G1487" s="1970">
        <v>3.6921898297501449E-6</v>
      </c>
      <c r="H1487" s="1970">
        <v>4.2850623840295621E-6</v>
      </c>
      <c r="I1487" s="1970">
        <v>4.8939640388004354E-6</v>
      </c>
      <c r="J1487" s="1970">
        <v>4.8939640388004354E-6</v>
      </c>
      <c r="K1487" s="1970">
        <v>4.8939640388004354E-6</v>
      </c>
      <c r="L1487" s="1970">
        <v>4.8939640388004354E-6</v>
      </c>
      <c r="M1487" s="1970">
        <v>4.8939640388004354E-6</v>
      </c>
      <c r="N1487" s="1650"/>
      <c r="O1487" s="887"/>
    </row>
    <row r="1488" spans="3:15" ht="15" customHeight="1">
      <c r="C1488" s="1287"/>
      <c r="D1488" s="1287" t="s">
        <v>513</v>
      </c>
      <c r="E1488" s="1287"/>
      <c r="F1488" s="1968" cm="1">
        <f t="array" ref="F1488:M1488">F867:M867*FE_INDUSTRIA_CH4_GAS_NATURAL*UNIDAD_T_A_MT</f>
        <v>1.0591945843406678E-6</v>
      </c>
      <c r="G1488" s="1968">
        <v>1.0591945843406678E-6</v>
      </c>
      <c r="H1488" s="1968">
        <v>1.2292745172945678E-6</v>
      </c>
      <c r="I1488" s="1968">
        <v>1.4039527881496242E-6</v>
      </c>
      <c r="J1488" s="1968">
        <v>1.4039527881496242E-6</v>
      </c>
      <c r="K1488" s="1968">
        <v>1.4039527881496242E-6</v>
      </c>
      <c r="L1488" s="1968">
        <v>1.4039527881496242E-6</v>
      </c>
      <c r="M1488" s="1968">
        <v>1.4039527881496242E-6</v>
      </c>
      <c r="N1488" s="1650"/>
      <c r="O1488" s="887"/>
    </row>
    <row r="1489" spans="3:15" ht="15" customHeight="1">
      <c r="C1489" s="1287"/>
      <c r="D1489" s="1287" t="s">
        <v>503</v>
      </c>
      <c r="E1489" s="1287"/>
      <c r="F1489" s="1968" cm="1">
        <f t="array" ref="F1489:M1489">F868:M868*FE_INDUSTRIA_CH4_LENA*UNIDAD_T_A_MT</f>
        <v>5.3392647524181762E-7</v>
      </c>
      <c r="G1489" s="1968">
        <v>5.3392647524181762E-7</v>
      </c>
      <c r="H1489" s="1968">
        <v>6.196615993200513E-7</v>
      </c>
      <c r="I1489" s="1968">
        <v>7.0771468686206538E-7</v>
      </c>
      <c r="J1489" s="1968">
        <v>7.0771468686206538E-7</v>
      </c>
      <c r="K1489" s="1968">
        <v>7.0771468686206538E-7</v>
      </c>
      <c r="L1489" s="1968">
        <v>7.0771468686206538E-7</v>
      </c>
      <c r="M1489" s="1968">
        <v>7.0771468686206538E-7</v>
      </c>
      <c r="N1489" s="1650"/>
      <c r="O1489" s="887"/>
    </row>
    <row r="1490" spans="3:15" ht="15" customHeight="1">
      <c r="C1490" s="1287"/>
      <c r="D1490" s="1287" t="s">
        <v>525</v>
      </c>
      <c r="E1490" s="1287"/>
      <c r="F1490" s="1968" cm="1">
        <f t="array" ref="F1490:M1490">F869:M869*FE_INDUSTRIA_CH4_PETROLEP*UNIDAD_T_A_MT</f>
        <v>9.4920955565640402E-9</v>
      </c>
      <c r="G1490" s="1968">
        <v>9.4920955565640402E-9</v>
      </c>
      <c r="H1490" s="1968">
        <v>1.1016286672833175E-8</v>
      </c>
      <c r="I1490" s="1968">
        <v>1.258168632944461E-8</v>
      </c>
      <c r="J1490" s="1968">
        <v>1.258168632944461E-8</v>
      </c>
      <c r="K1490" s="1968">
        <v>1.258168632944461E-8</v>
      </c>
      <c r="L1490" s="1968">
        <v>1.258168632944461E-8</v>
      </c>
      <c r="M1490" s="1968">
        <v>1.258168632944461E-8</v>
      </c>
      <c r="N1490" s="1650"/>
      <c r="O1490" s="887"/>
    </row>
    <row r="1491" spans="3:15" ht="15" customHeight="1">
      <c r="C1491" s="1287"/>
      <c r="D1491" s="1287" t="s">
        <v>487</v>
      </c>
      <c r="E1491" s="1287"/>
      <c r="F1491" s="1968" cm="1">
        <f t="array" ref="F1491:M1491">F870:M870*FE_INDUSTRIA_CH4_RESIDUOS*UNIDAD_T_A_MT</f>
        <v>1.7539371063797452E-7</v>
      </c>
      <c r="G1491" s="1968">
        <v>1.7539371063797452E-7</v>
      </c>
      <c r="H1491" s="1968">
        <v>2.0355751640781968E-7</v>
      </c>
      <c r="I1491" s="1968">
        <v>2.3248276824165986E-7</v>
      </c>
      <c r="J1491" s="1968">
        <v>2.3248276824165986E-7</v>
      </c>
      <c r="K1491" s="1968">
        <v>2.3248276824165986E-7</v>
      </c>
      <c r="L1491" s="1968">
        <v>2.3248276824165986E-7</v>
      </c>
      <c r="M1491" s="1968">
        <v>2.3248276824165986E-7</v>
      </c>
      <c r="N1491" s="1650"/>
      <c r="O1491" s="887"/>
    </row>
    <row r="1492" spans="3:15" ht="15" customHeight="1">
      <c r="C1492" s="1287"/>
      <c r="D1492" s="1287" t="s">
        <v>494</v>
      </c>
      <c r="E1492" s="1287"/>
      <c r="F1492" s="1968" cm="1">
        <f t="array" ref="F1492:M1492">F871:M871*FE_INDUSTRIA_CH4_GASOLINA*UNIDAD_T_A_MT</f>
        <v>8.3781226552558701E-9</v>
      </c>
      <c r="G1492" s="1968">
        <v>8.3781226552558701E-9</v>
      </c>
      <c r="H1492" s="1968">
        <v>9.7234378226030273E-9</v>
      </c>
      <c r="I1492" s="1968">
        <v>1.1105125380364345E-8</v>
      </c>
      <c r="J1492" s="1968">
        <v>1.1105125380364345E-8</v>
      </c>
      <c r="K1492" s="1968">
        <v>1.1105125380364345E-8</v>
      </c>
      <c r="L1492" s="1968">
        <v>1.1105125380364345E-8</v>
      </c>
      <c r="M1492" s="1968">
        <v>1.1105125380364345E-8</v>
      </c>
      <c r="N1492" s="1650"/>
      <c r="O1492" s="887"/>
    </row>
    <row r="1493" spans="3:15" ht="15" customHeight="1">
      <c r="C1493" s="1287"/>
      <c r="D1493" s="1287" t="s">
        <v>1854</v>
      </c>
      <c r="E1493" s="1287"/>
      <c r="F1493" s="1968" cm="1">
        <f t="array" ref="F1493:M1493">F872:M872*FE_INDUSTRIA_CH4_DIESEL_OIL*UNIDAD_T_A_MT</f>
        <v>2.8081080794200975E-7</v>
      </c>
      <c r="G1493" s="1968">
        <v>2.8081080794200975E-7</v>
      </c>
      <c r="H1493" s="1968">
        <v>3.2590194048139818E-7</v>
      </c>
      <c r="I1493" s="1968">
        <v>3.7221217194774914E-7</v>
      </c>
      <c r="J1493" s="1968">
        <v>3.7221217194774914E-7</v>
      </c>
      <c r="K1493" s="1968">
        <v>3.7221217194774914E-7</v>
      </c>
      <c r="L1493" s="1968">
        <v>3.7221217194774914E-7</v>
      </c>
      <c r="M1493" s="1968">
        <v>3.7221217194774914E-7</v>
      </c>
      <c r="N1493" s="1650"/>
      <c r="O1493" s="887"/>
    </row>
    <row r="1494" spans="3:15" ht="15" customHeight="1">
      <c r="C1494" s="1287"/>
      <c r="D1494" s="1287" t="s">
        <v>506</v>
      </c>
      <c r="E1494" s="1287"/>
      <c r="F1494" s="1968" cm="1">
        <f t="array" ref="F1494:M1494">F873:M873*FE_INDUSTRIA_CH4_CARBON_VEGETAL*UNIDAD_T_A_MT</f>
        <v>1.9037849473381495E-7</v>
      </c>
      <c r="G1494" s="1968">
        <v>1.9037849473381495E-7</v>
      </c>
      <c r="H1494" s="1968">
        <v>2.2094847885089519E-7</v>
      </c>
      <c r="I1494" s="1968">
        <v>2.5234496327381362E-7</v>
      </c>
      <c r="J1494" s="1968">
        <v>2.5234496327381362E-7</v>
      </c>
      <c r="K1494" s="1968">
        <v>2.5234496327381362E-7</v>
      </c>
      <c r="L1494" s="1968">
        <v>2.5234496327381362E-7</v>
      </c>
      <c r="M1494" s="1968">
        <v>2.5234496327381362E-7</v>
      </c>
      <c r="N1494" s="1650"/>
      <c r="O1494" s="887"/>
    </row>
    <row r="1495" spans="3:15" ht="15" customHeight="1">
      <c r="C1495" s="1287"/>
      <c r="D1495" s="1287" t="s">
        <v>507</v>
      </c>
      <c r="E1495" s="1287"/>
      <c r="F1495" s="1968" cm="1">
        <f t="array" ref="F1495:M1495">F874:M874*FE_INDUSTRIA_CH4_COQUE*UNIDAD_T_A_MT</f>
        <v>1.6727384556109679E-8</v>
      </c>
      <c r="G1495" s="1968">
        <v>1.6727384556109679E-8</v>
      </c>
      <c r="H1495" s="1968">
        <v>1.9413380581635243E-8</v>
      </c>
      <c r="I1495" s="1968">
        <v>2.2171996093257845E-8</v>
      </c>
      <c r="J1495" s="1968">
        <v>2.2171996093257845E-8</v>
      </c>
      <c r="K1495" s="1968">
        <v>2.2171996093257845E-8</v>
      </c>
      <c r="L1495" s="1968">
        <v>2.2171996093257845E-8</v>
      </c>
      <c r="M1495" s="1968">
        <v>2.2171996093257845E-8</v>
      </c>
      <c r="N1495" s="1650"/>
      <c r="O1495" s="887"/>
    </row>
    <row r="1496" spans="3:15" ht="15" customHeight="1">
      <c r="C1496" s="1287"/>
      <c r="D1496" s="1287" t="s">
        <v>570</v>
      </c>
      <c r="E1496" s="1287"/>
      <c r="F1496" s="1968" cm="1">
        <f t="array" ref="F1496:M1496">F875:M875*FE_INDUSTRIA_CH4_FUEL_OIL*UNIDAD_T_A_MT</f>
        <v>4.2491720526960621E-8</v>
      </c>
      <c r="G1496" s="1968">
        <v>4.2491720526960621E-8</v>
      </c>
      <c r="H1496" s="1968">
        <v>4.9314819025731743E-8</v>
      </c>
      <c r="I1496" s="1968">
        <v>5.6322389095518424E-8</v>
      </c>
      <c r="J1496" s="1968">
        <v>5.6322389095518424E-8</v>
      </c>
      <c r="K1496" s="1968">
        <v>5.6322389095518424E-8</v>
      </c>
      <c r="L1496" s="1968">
        <v>5.6322389095518424E-8</v>
      </c>
      <c r="M1496" s="1968">
        <v>5.6322389095518424E-8</v>
      </c>
      <c r="N1496" s="1650"/>
      <c r="O1496" s="887"/>
    </row>
    <row r="1497" spans="3:15" ht="15" customHeight="1">
      <c r="C1497" s="1287"/>
      <c r="D1497" s="1287" t="s">
        <v>498</v>
      </c>
      <c r="E1497" s="1287"/>
      <c r="F1497" s="1968" cm="1">
        <f t="array" ref="F1497:M1497">F876:M876*FE_INDUSTRIA_CH4_GLP*UNIDAD_T_A_MT</f>
        <v>1.3707276064479037E-8</v>
      </c>
      <c r="G1497" s="1968">
        <v>1.3707276064479037E-8</v>
      </c>
      <c r="H1497" s="1968">
        <v>1.5908318845941533E-8</v>
      </c>
      <c r="I1497" s="1968">
        <v>1.8168869755542867E-8</v>
      </c>
      <c r="J1497" s="1968">
        <v>1.8168869755542867E-8</v>
      </c>
      <c r="K1497" s="1968">
        <v>1.8168869755542867E-8</v>
      </c>
      <c r="L1497" s="1968">
        <v>1.8168869755542867E-8</v>
      </c>
      <c r="M1497" s="1968">
        <v>1.8168869755542867E-8</v>
      </c>
      <c r="N1497" s="1650"/>
      <c r="O1497" s="887"/>
    </row>
    <row r="1498" spans="3:15" ht="15" customHeight="1">
      <c r="C1498" s="1287"/>
      <c r="D1498" s="1287" t="s">
        <v>502</v>
      </c>
      <c r="E1498" s="1287"/>
      <c r="F1498" s="1968" cm="1">
        <f t="array" ref="F1498:M1498">F877:M877*FE_INDUSTRIA_CH4_QUEROSENO*UNIDAD_T_A_MT</f>
        <v>4.1694000269026164E-10</v>
      </c>
      <c r="G1498" s="1968">
        <v>4.1694000269026164E-10</v>
      </c>
      <c r="H1498" s="1968">
        <v>4.8389005016194582E-10</v>
      </c>
      <c r="I1498" s="1968">
        <v>5.5265018148906471E-10</v>
      </c>
      <c r="J1498" s="1968">
        <v>5.5265018148906471E-10</v>
      </c>
      <c r="K1498" s="1968">
        <v>5.5265018148906471E-10</v>
      </c>
      <c r="L1498" s="1968">
        <v>5.5265018148906471E-10</v>
      </c>
      <c r="M1498" s="1968">
        <v>5.5265018148906471E-10</v>
      </c>
      <c r="N1498" s="1650"/>
      <c r="O1498" s="887"/>
    </row>
    <row r="1499" spans="3:15" ht="15" customHeight="1">
      <c r="C1499" s="1287"/>
      <c r="D1499" s="1287" t="s">
        <v>571</v>
      </c>
      <c r="E1499" s="1287"/>
      <c r="F1499" s="1968"/>
      <c r="G1499" s="1968"/>
      <c r="H1499" s="1968"/>
      <c r="I1499" s="1968"/>
      <c r="J1499" s="1968"/>
      <c r="K1499" s="1968"/>
      <c r="L1499" s="1968"/>
      <c r="M1499" s="1968"/>
      <c r="N1499" s="1650"/>
      <c r="O1499" s="887"/>
    </row>
    <row r="1500" spans="3:15" ht="15" customHeight="1">
      <c r="C1500" s="1287"/>
      <c r="D1500" s="454" t="s">
        <v>1878</v>
      </c>
      <c r="E1500" s="1287"/>
      <c r="F1500" s="1968"/>
      <c r="G1500" s="1968"/>
      <c r="H1500" s="1968"/>
      <c r="I1500" s="1968"/>
      <c r="J1500" s="1968"/>
      <c r="K1500" s="1968"/>
      <c r="L1500" s="1968"/>
      <c r="M1500" s="1968"/>
      <c r="N1500" s="1650"/>
      <c r="O1500" s="887"/>
    </row>
    <row r="1501" spans="3:15" ht="15" customHeight="1">
      <c r="C1501" s="1287"/>
      <c r="D1501" s="454" t="s">
        <v>549</v>
      </c>
      <c r="E1501" s="1287"/>
      <c r="F1501" s="1968"/>
      <c r="G1501" s="1968"/>
      <c r="H1501" s="1968"/>
      <c r="I1501" s="1968"/>
      <c r="J1501" s="1968"/>
      <c r="K1501" s="1968"/>
      <c r="L1501" s="1968"/>
      <c r="M1501" s="1968"/>
      <c r="N1501" s="1650"/>
      <c r="O1501" s="887"/>
    </row>
    <row r="1502" spans="3:15" ht="15" customHeight="1">
      <c r="C1502" s="1287"/>
      <c r="D1502" s="2866" t="s">
        <v>572</v>
      </c>
      <c r="E1502" s="1478"/>
      <c r="F1502" s="1647"/>
      <c r="G1502" s="1647"/>
      <c r="H1502" s="1647"/>
      <c r="I1502" s="1647"/>
      <c r="J1502" s="1647"/>
      <c r="K1502" s="1647"/>
      <c r="L1502" s="1647"/>
      <c r="M1502" s="1647"/>
      <c r="N1502" s="1650"/>
      <c r="O1502" s="887"/>
    </row>
    <row r="1503" spans="3:15" ht="15" customHeight="1">
      <c r="C1503" s="1287"/>
      <c r="D1503" s="649" t="s">
        <v>338</v>
      </c>
      <c r="E1503" s="1290"/>
      <c r="F1503" s="2873">
        <f t="shared" ref="F1503:M1503" si="110">SUM(F1486:F1498)</f>
        <v>6.0231074420084886E-6</v>
      </c>
      <c r="G1503" s="2873">
        <f t="shared" si="110"/>
        <v>6.0231074420084886E-6</v>
      </c>
      <c r="H1503" s="2873">
        <f t="shared" si="110"/>
        <v>6.9902665693832002E-6</v>
      </c>
      <c r="I1503" s="2873">
        <f t="shared" si="110"/>
        <v>7.9835741341109652E-6</v>
      </c>
      <c r="J1503" s="2873">
        <f t="shared" si="110"/>
        <v>7.9835741341109652E-6</v>
      </c>
      <c r="K1503" s="2873">
        <f t="shared" si="110"/>
        <v>7.9835741341109652E-6</v>
      </c>
      <c r="L1503" s="2873">
        <f t="shared" si="110"/>
        <v>7.9835741341109652E-6</v>
      </c>
      <c r="M1503" s="2873">
        <f t="shared" si="110"/>
        <v>7.9835741341109652E-6</v>
      </c>
      <c r="N1503" s="1650"/>
      <c r="O1503" s="887"/>
    </row>
    <row r="1504" spans="3:15" ht="15" customHeight="1">
      <c r="C1504" s="1287"/>
      <c r="D1504" s="609"/>
      <c r="E1504" s="1287"/>
      <c r="F1504" s="1970"/>
      <c r="G1504" s="1970"/>
      <c r="H1504" s="1970"/>
      <c r="I1504" s="1970"/>
      <c r="J1504" s="1970"/>
      <c r="K1504" s="1970"/>
      <c r="L1504" s="1970"/>
      <c r="M1504" s="1970"/>
      <c r="N1504" s="1650"/>
      <c r="O1504" s="887"/>
    </row>
    <row r="1505" spans="3:15" ht="15" customHeight="1">
      <c r="C1505" s="1287"/>
      <c r="D1505" s="609"/>
      <c r="E1505" s="1287"/>
      <c r="F1505" s="1970"/>
      <c r="G1505" s="1970"/>
      <c r="H1505" s="1970"/>
      <c r="I1505" s="1970"/>
      <c r="J1505" s="1970"/>
      <c r="K1505" s="1970"/>
      <c r="L1505" s="1970"/>
      <c r="M1505" s="1651" t="s">
        <v>1705</v>
      </c>
      <c r="N1505" s="1650"/>
      <c r="O1505" s="887"/>
    </row>
    <row r="1506" spans="3:15" ht="15" customHeight="1">
      <c r="C1506" s="1950" t="s">
        <v>558</v>
      </c>
      <c r="D1506" s="1951"/>
      <c r="E1506" s="1950"/>
      <c r="F1506" s="1952">
        <v>2018</v>
      </c>
      <c r="G1506" s="1952">
        <v>2020</v>
      </c>
      <c r="H1506" s="1952">
        <v>2025</v>
      </c>
      <c r="I1506" s="1952">
        <v>2030</v>
      </c>
      <c r="J1506" s="1952">
        <v>2035</v>
      </c>
      <c r="K1506" s="1952">
        <v>2040</v>
      </c>
      <c r="L1506" s="1952">
        <v>2045</v>
      </c>
      <c r="M1506" s="1952">
        <v>2050</v>
      </c>
      <c r="N1506" s="1650"/>
      <c r="O1506" s="887"/>
    </row>
    <row r="1507" spans="3:15" ht="15" customHeight="1">
      <c r="C1507" s="1287"/>
      <c r="D1507" s="1554" t="s">
        <v>504</v>
      </c>
      <c r="E1507" s="1554"/>
      <c r="F1507" s="1967" cm="1">
        <f t="array" ref="F1507:M1507">F885:M885*FE_INDUSTRIA_CH4_BAGAZO*UNIDAD_T_A_MT</f>
        <v>0</v>
      </c>
      <c r="G1507" s="1967">
        <v>0</v>
      </c>
      <c r="H1507" s="1967">
        <v>0</v>
      </c>
      <c r="I1507" s="1967">
        <v>0</v>
      </c>
      <c r="J1507" s="1967">
        <v>0</v>
      </c>
      <c r="K1507" s="1967">
        <v>0</v>
      </c>
      <c r="L1507" s="1967">
        <v>0</v>
      </c>
      <c r="M1507" s="1967">
        <v>0</v>
      </c>
      <c r="N1507" s="1650"/>
      <c r="O1507" s="887"/>
    </row>
    <row r="1508" spans="3:15" ht="15" customHeight="1">
      <c r="C1508" s="1287"/>
      <c r="D1508" s="1287" t="s">
        <v>569</v>
      </c>
      <c r="E1508" s="1287"/>
      <c r="F1508" s="1968" cm="1">
        <f t="array" ref="F1508:M1508">F886:M886*FE_INDUSTRIA_CH4_CARBON_MINERAL*UNIDAD_T_A_MT</f>
        <v>2.4604596887198855E-9</v>
      </c>
      <c r="G1508" s="1968">
        <v>2.4604596887198855E-9</v>
      </c>
      <c r="H1508" s="1968">
        <v>2.8223311200272855E-9</v>
      </c>
      <c r="I1508" s="1968">
        <v>3.1858868119955374E-9</v>
      </c>
      <c r="J1508" s="1968">
        <v>3.1858868119955374E-9</v>
      </c>
      <c r="K1508" s="1968">
        <v>3.1858868119955374E-9</v>
      </c>
      <c r="L1508" s="1968">
        <v>3.1858868119955374E-9</v>
      </c>
      <c r="M1508" s="1968">
        <v>3.1858868119955374E-9</v>
      </c>
      <c r="N1508" s="1650"/>
      <c r="O1508" s="887"/>
    </row>
    <row r="1509" spans="3:15" ht="15" customHeight="1">
      <c r="C1509" s="1287"/>
      <c r="D1509" s="1287" t="s">
        <v>513</v>
      </c>
      <c r="E1509" s="1287"/>
      <c r="F1509" s="1968" cm="1">
        <f t="array" ref="F1509:M1509">F887:M887*FE_INDUSTRIA_CH4_GAS_NATURAL*UNIDAD_T_A_MT</f>
        <v>9.661070914340912E-7</v>
      </c>
      <c r="G1509" s="1968">
        <v>9.661070914340912E-7</v>
      </c>
      <c r="H1509" s="1968">
        <v>1.1081970259192103E-6</v>
      </c>
      <c r="I1509" s="1968">
        <v>1.2509482905515902E-6</v>
      </c>
      <c r="J1509" s="1968">
        <v>1.2509482905515902E-6</v>
      </c>
      <c r="K1509" s="1968">
        <v>1.2509482905515902E-6</v>
      </c>
      <c r="L1509" s="1968">
        <v>1.2509482905515902E-6</v>
      </c>
      <c r="M1509" s="1968">
        <v>1.2509482905515902E-6</v>
      </c>
      <c r="N1509" s="1650"/>
      <c r="O1509" s="887"/>
    </row>
    <row r="1510" spans="3:15" ht="15" customHeight="1">
      <c r="C1510" s="1287"/>
      <c r="D1510" s="1287" t="s">
        <v>503</v>
      </c>
      <c r="E1510" s="1287"/>
      <c r="F1510" s="1968" cm="1">
        <f t="array" ref="F1510:M1510">F888:M888*FE_INDUSTRIA_CH4_LENA*UNIDAD_T_A_MT</f>
        <v>0</v>
      </c>
      <c r="G1510" s="1968">
        <v>0</v>
      </c>
      <c r="H1510" s="1968">
        <v>0</v>
      </c>
      <c r="I1510" s="1968">
        <v>0</v>
      </c>
      <c r="J1510" s="1968">
        <v>0</v>
      </c>
      <c r="K1510" s="1968">
        <v>0</v>
      </c>
      <c r="L1510" s="1968">
        <v>0</v>
      </c>
      <c r="M1510" s="1968">
        <v>0</v>
      </c>
      <c r="N1510" s="1650"/>
      <c r="O1510" s="887"/>
    </row>
    <row r="1511" spans="3:15" ht="15" customHeight="1">
      <c r="C1511" s="1287"/>
      <c r="D1511" s="1287" t="s">
        <v>525</v>
      </c>
      <c r="E1511" s="1287"/>
      <c r="F1511" s="1968" cm="1">
        <f t="array" ref="F1511:M1511">F889:M889*FE_INDUSTRIA_CH4_PETROLEP*UNIDAD_T_A_MT</f>
        <v>1.0574600785297854E-8</v>
      </c>
      <c r="G1511" s="1968">
        <v>1.0574600785297854E-8</v>
      </c>
      <c r="H1511" s="1968">
        <v>1.2129857284407984E-8</v>
      </c>
      <c r="I1511" s="1968">
        <v>1.3692352424406458E-8</v>
      </c>
      <c r="J1511" s="1968">
        <v>1.3692352424406458E-8</v>
      </c>
      <c r="K1511" s="1968">
        <v>1.3692352424406458E-8</v>
      </c>
      <c r="L1511" s="1968">
        <v>1.3692352424406458E-8</v>
      </c>
      <c r="M1511" s="1968">
        <v>1.3692352424406458E-8</v>
      </c>
      <c r="N1511" s="1650"/>
      <c r="O1511" s="887"/>
    </row>
    <row r="1512" spans="3:15" ht="15" customHeight="1">
      <c r="C1512" s="1287"/>
      <c r="D1512" s="1287" t="s">
        <v>487</v>
      </c>
      <c r="E1512" s="1287"/>
      <c r="F1512" s="1968" cm="1">
        <f t="array" ref="F1512:M1512">F890:M890*FE_INDUSTRIA_CH4_RESIDUOS*UNIDAD_T_A_MT</f>
        <v>0</v>
      </c>
      <c r="G1512" s="1968">
        <v>0</v>
      </c>
      <c r="H1512" s="1968">
        <v>0</v>
      </c>
      <c r="I1512" s="1968">
        <v>0</v>
      </c>
      <c r="J1512" s="1968">
        <v>0</v>
      </c>
      <c r="K1512" s="1968">
        <v>0</v>
      </c>
      <c r="L1512" s="1968">
        <v>0</v>
      </c>
      <c r="M1512" s="1968">
        <v>0</v>
      </c>
      <c r="N1512" s="1650"/>
      <c r="O1512" s="887"/>
    </row>
    <row r="1513" spans="3:15" ht="15" customHeight="1">
      <c r="C1513" s="1287"/>
      <c r="D1513" s="1287" t="s">
        <v>494</v>
      </c>
      <c r="E1513" s="1287"/>
      <c r="F1513" s="1968" cm="1">
        <f t="array" ref="F1513:M1513">F891:M891*FE_INDUSTRIA_CH4_GASOLINA*UNIDAD_T_A_MT</f>
        <v>1.2205796448623121E-8</v>
      </c>
      <c r="G1513" s="1968">
        <v>1.2205796448623121E-8</v>
      </c>
      <c r="H1513" s="1968">
        <v>1.4000960600817805E-8</v>
      </c>
      <c r="I1513" s="1968">
        <v>1.5804479997720225E-8</v>
      </c>
      <c r="J1513" s="1968">
        <v>1.5804479997720225E-8</v>
      </c>
      <c r="K1513" s="1968">
        <v>1.5804479997720225E-8</v>
      </c>
      <c r="L1513" s="1968">
        <v>1.5804479997720225E-8</v>
      </c>
      <c r="M1513" s="1968">
        <v>1.5804479997720225E-8</v>
      </c>
      <c r="N1513" s="1650"/>
      <c r="O1513" s="887"/>
    </row>
    <row r="1514" spans="3:15" ht="15" customHeight="1">
      <c r="C1514" s="1287"/>
      <c r="D1514" s="1287" t="s">
        <v>1854</v>
      </c>
      <c r="E1514" s="1287"/>
      <c r="F1514" s="1968" cm="1">
        <f t="array" ref="F1514:M1514">F892:M892*FE_INDUSTRIA_CH4_DIESEL_OIL*UNIDAD_T_A_MT</f>
        <v>1.3223059815648125E-7</v>
      </c>
      <c r="G1514" s="1968">
        <v>1.3223059815648125E-7</v>
      </c>
      <c r="H1514" s="1968">
        <v>1.5167837697476171E-7</v>
      </c>
      <c r="I1514" s="1968">
        <v>1.7121667172210079E-7</v>
      </c>
      <c r="J1514" s="1968">
        <v>1.7121667172210079E-7</v>
      </c>
      <c r="K1514" s="1968">
        <v>1.7121667172210079E-7</v>
      </c>
      <c r="L1514" s="1968">
        <v>1.7121667172210079E-7</v>
      </c>
      <c r="M1514" s="1968">
        <v>1.7121667172210079E-7</v>
      </c>
      <c r="N1514" s="1650"/>
      <c r="O1514" s="887"/>
    </row>
    <row r="1515" spans="3:15" ht="15" customHeight="1">
      <c r="C1515" s="1287"/>
      <c r="D1515" s="1287" t="s">
        <v>506</v>
      </c>
      <c r="E1515" s="1287"/>
      <c r="F1515" s="1968" cm="1">
        <f t="array" ref="F1515:M1515">F893:M893*FE_INDUSTRIA_CH4_CARBON_VEGETAL*UNIDAD_T_A_MT</f>
        <v>2.3047528917507601E-8</v>
      </c>
      <c r="G1515" s="1968">
        <v>2.3047528917507601E-8</v>
      </c>
      <c r="H1515" s="1968">
        <v>2.6437237887629519E-8</v>
      </c>
      <c r="I1515" s="1968">
        <v>2.9842723603236661E-8</v>
      </c>
      <c r="J1515" s="1968">
        <v>2.9842723603236661E-8</v>
      </c>
      <c r="K1515" s="1968">
        <v>2.9842723603236661E-8</v>
      </c>
      <c r="L1515" s="1968">
        <v>2.9842723603236661E-8</v>
      </c>
      <c r="M1515" s="1968">
        <v>2.9842723603236661E-8</v>
      </c>
      <c r="N1515" s="1650"/>
      <c r="O1515" s="887"/>
    </row>
    <row r="1516" spans="3:15" ht="15" customHeight="1">
      <c r="C1516" s="1287"/>
      <c r="D1516" s="1287" t="s">
        <v>507</v>
      </c>
      <c r="E1516" s="1287"/>
      <c r="F1516" s="1968" cm="1">
        <f t="array" ref="F1516:M1516">F894:M894*FE_INDUSTRIA_CH4_COQUE*UNIDAD_T_A_MT</f>
        <v>3.3219524380950086E-9</v>
      </c>
      <c r="G1516" s="1968">
        <v>3.3219524380950086E-9</v>
      </c>
      <c r="H1516" s="1968">
        <v>3.8105276783315094E-9</v>
      </c>
      <c r="I1516" s="1968">
        <v>4.3013768976274344E-9</v>
      </c>
      <c r="J1516" s="1968">
        <v>4.3013768976274344E-9</v>
      </c>
      <c r="K1516" s="1968">
        <v>4.3013768976274344E-9</v>
      </c>
      <c r="L1516" s="1968">
        <v>4.3013768976274344E-9</v>
      </c>
      <c r="M1516" s="1968">
        <v>4.3013768976274344E-9</v>
      </c>
      <c r="N1516" s="1650"/>
      <c r="O1516" s="887"/>
    </row>
    <row r="1517" spans="3:15" ht="15" customHeight="1">
      <c r="C1517" s="1287"/>
      <c r="D1517" s="1287" t="s">
        <v>570</v>
      </c>
      <c r="E1517" s="1287"/>
      <c r="F1517" s="1968" cm="1">
        <f t="array" ref="F1517:M1517">F895:M895*FE_INDUSTRIA_CH4_FUEL_OIL*UNIDAD_T_A_MT</f>
        <v>2.5646424595143426E-9</v>
      </c>
      <c r="G1517" s="1968">
        <v>2.5646424595143426E-9</v>
      </c>
      <c r="H1517" s="1968">
        <v>2.9418365431528507E-9</v>
      </c>
      <c r="I1517" s="1968">
        <v>3.3207862037770387E-9</v>
      </c>
      <c r="J1517" s="1968">
        <v>3.3207862037770387E-9</v>
      </c>
      <c r="K1517" s="1968">
        <v>3.3207862037770387E-9</v>
      </c>
      <c r="L1517" s="1968">
        <v>3.3207862037770387E-9</v>
      </c>
      <c r="M1517" s="1968">
        <v>3.3207862037770387E-9</v>
      </c>
      <c r="N1517" s="1650"/>
      <c r="O1517" s="887"/>
    </row>
    <row r="1518" spans="3:15" ht="15" customHeight="1">
      <c r="C1518" s="1287"/>
      <c r="D1518" s="1287" t="s">
        <v>498</v>
      </c>
      <c r="E1518" s="1287"/>
      <c r="F1518" s="1968" cm="1">
        <f t="array" ref="F1518:M1518">F896:M896*FE_INDUSTRIA_CH4_GLP*UNIDAD_T_A_MT</f>
        <v>4.2244078399685313E-9</v>
      </c>
      <c r="G1518" s="1968">
        <v>4.2244078399685313E-9</v>
      </c>
      <c r="H1518" s="1968">
        <v>4.8457114599725456E-9</v>
      </c>
      <c r="I1518" s="1968">
        <v>5.4699068176355299E-9</v>
      </c>
      <c r="J1518" s="1968">
        <v>5.4699068176355299E-9</v>
      </c>
      <c r="K1518" s="1968">
        <v>5.4699068176355299E-9</v>
      </c>
      <c r="L1518" s="1968">
        <v>5.4699068176355299E-9</v>
      </c>
      <c r="M1518" s="1968">
        <v>5.4699068176355299E-9</v>
      </c>
      <c r="N1518" s="1650"/>
      <c r="O1518" s="887"/>
    </row>
    <row r="1519" spans="3:15" ht="15" customHeight="1">
      <c r="C1519" s="1287"/>
      <c r="D1519" s="1287" t="s">
        <v>502</v>
      </c>
      <c r="E1519" s="1287"/>
      <c r="F1519" s="1968" cm="1">
        <f t="array" ref="F1519:M1519">F897:M897*FE_INDUSTRIA_CH4_QUEROSENO*UNIDAD_T_A_MT</f>
        <v>3.0212400318326889E-11</v>
      </c>
      <c r="G1519" s="1968">
        <v>3.0212400318326889E-11</v>
      </c>
      <c r="H1519" s="1968">
        <v>3.4655880777099718E-11</v>
      </c>
      <c r="I1519" s="1968">
        <v>3.9120042557155458E-11</v>
      </c>
      <c r="J1519" s="1968">
        <v>3.9120042557155458E-11</v>
      </c>
      <c r="K1519" s="1968">
        <v>3.9120042557155458E-11</v>
      </c>
      <c r="L1519" s="1968">
        <v>3.9120042557155458E-11</v>
      </c>
      <c r="M1519" s="1968">
        <v>3.9120042557155458E-11</v>
      </c>
      <c r="N1519" s="1650"/>
      <c r="O1519" s="887"/>
    </row>
    <row r="1520" spans="3:15" ht="15" customHeight="1">
      <c r="C1520" s="1287"/>
      <c r="D1520" s="1287" t="s">
        <v>571</v>
      </c>
      <c r="E1520" s="1287"/>
      <c r="F1520" s="1968"/>
      <c r="G1520" s="1968"/>
      <c r="H1520" s="1968"/>
      <c r="I1520" s="1968"/>
      <c r="J1520" s="1968"/>
      <c r="K1520" s="1968"/>
      <c r="L1520" s="1968"/>
      <c r="M1520" s="1968"/>
      <c r="N1520" s="1650"/>
      <c r="O1520" s="887"/>
    </row>
    <row r="1521" spans="3:15" ht="15" customHeight="1">
      <c r="C1521" s="1287"/>
      <c r="D1521" s="454" t="s">
        <v>1878</v>
      </c>
      <c r="E1521" s="1287"/>
      <c r="F1521" s="1968"/>
      <c r="G1521" s="1968"/>
      <c r="H1521" s="1968"/>
      <c r="I1521" s="1968"/>
      <c r="J1521" s="1968"/>
      <c r="K1521" s="1968"/>
      <c r="L1521" s="1968"/>
      <c r="M1521" s="1968"/>
      <c r="N1521" s="1650"/>
      <c r="O1521" s="887"/>
    </row>
    <row r="1522" spans="3:15" ht="15" customHeight="1">
      <c r="C1522" s="1287"/>
      <c r="D1522" s="454" t="s">
        <v>549</v>
      </c>
      <c r="E1522" s="1287"/>
      <c r="F1522" s="1968"/>
      <c r="G1522" s="1968"/>
      <c r="H1522" s="1968"/>
      <c r="I1522" s="1968"/>
      <c r="J1522" s="1968"/>
      <c r="K1522" s="1968"/>
      <c r="L1522" s="1968"/>
      <c r="M1522" s="1968"/>
      <c r="N1522" s="1650"/>
      <c r="O1522" s="887"/>
    </row>
    <row r="1523" spans="3:15" ht="15" customHeight="1">
      <c r="C1523" s="1287"/>
      <c r="D1523" s="2866" t="s">
        <v>572</v>
      </c>
      <c r="E1523" s="1478"/>
      <c r="F1523" s="1647"/>
      <c r="G1523" s="1647"/>
      <c r="H1523" s="1647"/>
      <c r="I1523" s="1647"/>
      <c r="J1523" s="1647"/>
      <c r="K1523" s="1647"/>
      <c r="L1523" s="1647"/>
      <c r="M1523" s="1647"/>
      <c r="N1523" s="1650"/>
      <c r="O1523" s="887"/>
    </row>
    <row r="1524" spans="3:15" ht="15" customHeight="1">
      <c r="C1524" s="1287"/>
      <c r="D1524" s="649" t="s">
        <v>338</v>
      </c>
      <c r="E1524" s="1290"/>
      <c r="F1524" s="2873">
        <f t="shared" ref="F1524:M1524" si="111">SUM(F1507:F1519)</f>
        <v>1.1567672905686173E-6</v>
      </c>
      <c r="G1524" s="2873">
        <f t="shared" si="111"/>
        <v>1.1567672905686173E-6</v>
      </c>
      <c r="H1524" s="2873">
        <f t="shared" si="111"/>
        <v>1.3268985213490885E-6</v>
      </c>
      <c r="I1524" s="2873">
        <f t="shared" si="111"/>
        <v>1.4978215950726472E-6</v>
      </c>
      <c r="J1524" s="2873">
        <f t="shared" si="111"/>
        <v>1.4978215950726472E-6</v>
      </c>
      <c r="K1524" s="2873">
        <f t="shared" si="111"/>
        <v>1.4978215950726472E-6</v>
      </c>
      <c r="L1524" s="2873">
        <f t="shared" si="111"/>
        <v>1.4978215950726472E-6</v>
      </c>
      <c r="M1524" s="2873">
        <f t="shared" si="111"/>
        <v>1.4978215950726472E-6</v>
      </c>
      <c r="N1524" s="1650"/>
      <c r="O1524" s="887"/>
    </row>
    <row r="1525" spans="3:15" ht="15" customHeight="1">
      <c r="C1525" s="1287"/>
      <c r="D1525" s="609"/>
      <c r="E1525" s="1287"/>
      <c r="F1525" s="1970"/>
      <c r="G1525" s="1970"/>
      <c r="H1525" s="1970"/>
      <c r="I1525" s="1970"/>
      <c r="J1525" s="1970"/>
      <c r="K1525" s="1970"/>
      <c r="L1525" s="1970"/>
      <c r="M1525" s="1970"/>
      <c r="N1525" s="1650"/>
      <c r="O1525" s="887"/>
    </row>
    <row r="1526" spans="3:15" ht="15" customHeight="1">
      <c r="C1526" s="1287"/>
      <c r="D1526" s="609"/>
      <c r="E1526" s="1287"/>
      <c r="F1526" s="1970"/>
      <c r="G1526" s="1970"/>
      <c r="H1526" s="1970"/>
      <c r="I1526" s="1970"/>
      <c r="J1526" s="1970"/>
      <c r="K1526" s="1970"/>
      <c r="L1526" s="1970"/>
      <c r="M1526" s="1651" t="s">
        <v>1705</v>
      </c>
      <c r="N1526" s="1650"/>
      <c r="O1526" s="887"/>
    </row>
    <row r="1527" spans="3:15" ht="15" customHeight="1">
      <c r="C1527" s="1950" t="s">
        <v>559</v>
      </c>
      <c r="D1527" s="1951"/>
      <c r="E1527" s="1950"/>
      <c r="F1527" s="1952">
        <v>2018</v>
      </c>
      <c r="G1527" s="1952">
        <v>2020</v>
      </c>
      <c r="H1527" s="1952">
        <v>2025</v>
      </c>
      <c r="I1527" s="1952">
        <v>2030</v>
      </c>
      <c r="J1527" s="1952">
        <v>2035</v>
      </c>
      <c r="K1527" s="1952">
        <v>2040</v>
      </c>
      <c r="L1527" s="1952">
        <v>2045</v>
      </c>
      <c r="M1527" s="1952">
        <v>2050</v>
      </c>
      <c r="N1527" s="1650"/>
      <c r="O1527" s="887"/>
    </row>
    <row r="1528" spans="3:15" ht="15" customHeight="1">
      <c r="C1528" s="1287"/>
      <c r="D1528" s="1554" t="s">
        <v>504</v>
      </c>
      <c r="E1528" s="1554"/>
      <c r="F1528" s="1967" cm="1">
        <f t="array" ref="F1528:M1528">F905:M905*FE_INDUSTRIA_CH4_BAGAZO*UNIDAD_T_A_MT</f>
        <v>0</v>
      </c>
      <c r="G1528" s="1967">
        <v>0</v>
      </c>
      <c r="H1528" s="1967">
        <v>0</v>
      </c>
      <c r="I1528" s="1967">
        <v>0</v>
      </c>
      <c r="J1528" s="1967">
        <v>0</v>
      </c>
      <c r="K1528" s="1967">
        <v>0</v>
      </c>
      <c r="L1528" s="1967">
        <v>0</v>
      </c>
      <c r="M1528" s="1967">
        <v>0</v>
      </c>
      <c r="N1528" s="1650"/>
      <c r="O1528" s="887"/>
    </row>
    <row r="1529" spans="3:15" ht="15" customHeight="1">
      <c r="D1529" t="s">
        <v>569</v>
      </c>
      <c r="E1529" s="1287"/>
      <c r="F1529" s="1968" cm="1">
        <f t="array" ref="F1529:M1529">F906:M906*FE_INDUSTRIA_CH4_CARBON_MINERAL*UNIDAD_T_A_MT</f>
        <v>1.1891657317183871E-6</v>
      </c>
      <c r="G1529" s="1968">
        <v>1.1891657317183871E-6</v>
      </c>
      <c r="H1529" s="1968">
        <v>1.3791001034144387E-6</v>
      </c>
      <c r="I1529" s="1968">
        <v>1.5739219500243631E-6</v>
      </c>
      <c r="J1529" s="1968">
        <v>1.5739219500243631E-6</v>
      </c>
      <c r="K1529" s="1968">
        <v>1.5739219500243631E-6</v>
      </c>
      <c r="L1529" s="1968">
        <v>1.5739219500243631E-6</v>
      </c>
      <c r="M1529" s="1968">
        <v>1.5739219500243631E-6</v>
      </c>
      <c r="N1529" s="1650"/>
      <c r="O1529" s="887"/>
    </row>
    <row r="1530" spans="3:15" ht="15" customHeight="1">
      <c r="D1530" t="s">
        <v>513</v>
      </c>
      <c r="E1530" s="1287"/>
      <c r="F1530" s="1968" cm="1">
        <f t="array" ref="F1530:M1530">F907:M907*FE_INDUSTRIA_CH4_GAS_NATURAL*UNIDAD_T_A_MT</f>
        <v>6.5062396927930942E-7</v>
      </c>
      <c r="G1530" s="1968">
        <v>6.5062396927930942E-7</v>
      </c>
      <c r="H1530" s="1968">
        <v>7.5454207885759778E-7</v>
      </c>
      <c r="I1530" s="1968">
        <v>8.6113425500491E-7</v>
      </c>
      <c r="J1530" s="1968">
        <v>8.6113425500491E-7</v>
      </c>
      <c r="K1530" s="1968">
        <v>8.6113425500491E-7</v>
      </c>
      <c r="L1530" s="1968">
        <v>8.6113425500491E-7</v>
      </c>
      <c r="M1530" s="1968">
        <v>8.6113425500491E-7</v>
      </c>
      <c r="N1530" s="1650"/>
      <c r="O1530" s="887"/>
    </row>
    <row r="1531" spans="3:15" ht="15" customHeight="1">
      <c r="D1531" t="s">
        <v>503</v>
      </c>
      <c r="E1531" s="1287"/>
      <c r="F1531" s="1968" cm="1">
        <f t="array" ref="F1531:M1531">F908:M908*FE_INDUSTRIA_CH4_LENA*UNIDAD_T_A_MT</f>
        <v>0</v>
      </c>
      <c r="G1531" s="1968">
        <v>0</v>
      </c>
      <c r="H1531" s="1968">
        <v>0</v>
      </c>
      <c r="I1531" s="1968">
        <v>0</v>
      </c>
      <c r="J1531" s="1968">
        <v>0</v>
      </c>
      <c r="K1531" s="1968">
        <v>0</v>
      </c>
      <c r="L1531" s="1968">
        <v>0</v>
      </c>
      <c r="M1531" s="1968">
        <v>0</v>
      </c>
      <c r="N1531" s="1650"/>
      <c r="O1531" s="887"/>
    </row>
    <row r="1532" spans="3:15" ht="15" customHeight="1">
      <c r="D1532" t="s">
        <v>525</v>
      </c>
      <c r="E1532" s="1287"/>
      <c r="F1532" s="1968" cm="1">
        <f t="array" ref="F1532:M1532">F909:M909*FE_INDUSTRIA_CH4_PETROLEP*UNIDAD_T_A_MT</f>
        <v>0</v>
      </c>
      <c r="G1532" s="1968">
        <v>0</v>
      </c>
      <c r="H1532" s="1968">
        <v>0</v>
      </c>
      <c r="I1532" s="1968">
        <v>0</v>
      </c>
      <c r="J1532" s="1968">
        <v>0</v>
      </c>
      <c r="K1532" s="1968">
        <v>0</v>
      </c>
      <c r="L1532" s="1968">
        <v>0</v>
      </c>
      <c r="M1532" s="1968">
        <v>0</v>
      </c>
      <c r="N1532" s="1650"/>
      <c r="O1532" s="887"/>
    </row>
    <row r="1533" spans="3:15" ht="15" customHeight="1">
      <c r="D1533" t="s">
        <v>487</v>
      </c>
      <c r="E1533" s="1287"/>
      <c r="F1533" s="1968" cm="1">
        <f t="array" ref="F1533:M1533">F910:M910*FE_INDUSTRIA_CH4_RESIDUOS*UNIDAD_T_A_MT</f>
        <v>0</v>
      </c>
      <c r="G1533" s="1968">
        <v>0</v>
      </c>
      <c r="H1533" s="1968">
        <v>0</v>
      </c>
      <c r="I1533" s="1968">
        <v>0</v>
      </c>
      <c r="J1533" s="1968">
        <v>0</v>
      </c>
      <c r="K1533" s="1968">
        <v>0</v>
      </c>
      <c r="L1533" s="1968">
        <v>0</v>
      </c>
      <c r="M1533" s="1968">
        <v>0</v>
      </c>
      <c r="N1533" s="1650"/>
      <c r="O1533" s="887"/>
    </row>
    <row r="1534" spans="3:15" ht="15" customHeight="1">
      <c r="D1534" t="s">
        <v>494</v>
      </c>
      <c r="E1534" s="1287"/>
      <c r="F1534" s="1968" cm="1">
        <f t="array" ref="F1534:M1534">F911:M911*FE_INDUSTRIA_CH4_GASOLINA*UNIDAD_T_A_MT</f>
        <v>1.2407528817590131E-9</v>
      </c>
      <c r="G1534" s="1968">
        <v>1.2407528817590131E-9</v>
      </c>
      <c r="H1534" s="1968">
        <v>1.4389267886764487E-9</v>
      </c>
      <c r="I1534" s="1968">
        <v>1.6422001938573843E-9</v>
      </c>
      <c r="J1534" s="1968">
        <v>1.6422001938573843E-9</v>
      </c>
      <c r="K1534" s="1968">
        <v>1.6422001938573843E-9</v>
      </c>
      <c r="L1534" s="1968">
        <v>1.6422001938573843E-9</v>
      </c>
      <c r="M1534" s="1968">
        <v>1.6422001938573843E-9</v>
      </c>
      <c r="N1534" s="1650"/>
      <c r="O1534" s="887"/>
    </row>
    <row r="1535" spans="3:15" ht="15" customHeight="1">
      <c r="D1535" t="s">
        <v>1854</v>
      </c>
      <c r="E1535" s="1287"/>
      <c r="F1535" s="1968" cm="1">
        <f t="array" ref="F1535:M1535">F912:M912*FE_INDUSTRIA_CH4_DIESEL_OIL*UNIDAD_T_A_MT</f>
        <v>1.0271306014653145E-8</v>
      </c>
      <c r="G1535" s="1968">
        <v>1.0271306014653145E-8</v>
      </c>
      <c r="H1535" s="1968">
        <v>1.1911846102847528E-8</v>
      </c>
      <c r="I1535" s="1968">
        <v>1.3594601291208634E-8</v>
      </c>
      <c r="J1535" s="1968">
        <v>1.3594601291208634E-8</v>
      </c>
      <c r="K1535" s="1968">
        <v>1.3594601291208634E-8</v>
      </c>
      <c r="L1535" s="1968">
        <v>1.3594601291208634E-8</v>
      </c>
      <c r="M1535" s="1968">
        <v>1.3594601291208634E-8</v>
      </c>
      <c r="N1535" s="1650"/>
      <c r="O1535" s="887"/>
    </row>
    <row r="1536" spans="3:15" ht="15" customHeight="1">
      <c r="D1536" t="s">
        <v>506</v>
      </c>
      <c r="E1536" s="1287"/>
      <c r="F1536" s="1968" cm="1">
        <f t="array" ref="F1536:M1536">F913:M913*FE_INDUSTRIA_CH4_CARBON_VEGETAL*UNIDAD_T_A_MT</f>
        <v>0</v>
      </c>
      <c r="G1536" s="1968">
        <v>0</v>
      </c>
      <c r="H1536" s="1968">
        <v>0</v>
      </c>
      <c r="I1536" s="1968">
        <v>0</v>
      </c>
      <c r="J1536" s="1968">
        <v>0</v>
      </c>
      <c r="K1536" s="1968">
        <v>0</v>
      </c>
      <c r="L1536" s="1968">
        <v>0</v>
      </c>
      <c r="M1536" s="1968">
        <v>0</v>
      </c>
      <c r="N1536" s="1650"/>
      <c r="O1536" s="887"/>
    </row>
    <row r="1537" spans="3:15" ht="15" customHeight="1">
      <c r="D1537" t="s">
        <v>507</v>
      </c>
      <c r="E1537" s="1287"/>
      <c r="F1537" s="1968" cm="1">
        <f t="array" ref="F1537:M1537">F914:M914*FE_INDUSTRIA_CH4_COQUE*UNIDAD_T_A_MT</f>
        <v>0</v>
      </c>
      <c r="G1537" s="1968">
        <v>0</v>
      </c>
      <c r="H1537" s="1968">
        <v>0</v>
      </c>
      <c r="I1537" s="1968">
        <v>0</v>
      </c>
      <c r="J1537" s="1968">
        <v>0</v>
      </c>
      <c r="K1537" s="1968">
        <v>0</v>
      </c>
      <c r="L1537" s="1968">
        <v>0</v>
      </c>
      <c r="M1537" s="1968">
        <v>0</v>
      </c>
      <c r="N1537" s="1650"/>
      <c r="O1537" s="887"/>
    </row>
    <row r="1538" spans="3:15" ht="15" customHeight="1">
      <c r="D1538" t="s">
        <v>570</v>
      </c>
      <c r="E1538" s="1287"/>
      <c r="F1538" s="1968" cm="1">
        <f t="array" ref="F1538:M1538">F915:M915*FE_INDUSTRIA_CH4_FUEL_OIL*UNIDAD_T_A_MT</f>
        <v>0</v>
      </c>
      <c r="G1538" s="1968">
        <v>0</v>
      </c>
      <c r="H1538" s="1968">
        <v>0</v>
      </c>
      <c r="I1538" s="1968">
        <v>0</v>
      </c>
      <c r="J1538" s="1968">
        <v>0</v>
      </c>
      <c r="K1538" s="1968">
        <v>0</v>
      </c>
      <c r="L1538" s="1968">
        <v>0</v>
      </c>
      <c r="M1538" s="1968">
        <v>0</v>
      </c>
      <c r="N1538" s="1650"/>
      <c r="O1538" s="887"/>
    </row>
    <row r="1539" spans="3:15" ht="15" customHeight="1">
      <c r="D1539" t="s">
        <v>498</v>
      </c>
      <c r="E1539" s="1287"/>
      <c r="F1539" s="1968" cm="1">
        <f t="array" ref="F1539:M1539">F916:M916*FE_INDUSTRIA_CH4_GLP*UNIDAD_T_A_MT</f>
        <v>3.2992893740443364E-10</v>
      </c>
      <c r="G1539" s="1968">
        <v>3.2992893740443364E-10</v>
      </c>
      <c r="H1539" s="1968">
        <v>3.8262541507681339E-10</v>
      </c>
      <c r="I1539" s="1968">
        <v>4.3667790172415292E-10</v>
      </c>
      <c r="J1539" s="1968">
        <v>4.3667790172415292E-10</v>
      </c>
      <c r="K1539" s="1968">
        <v>4.3667790172415292E-10</v>
      </c>
      <c r="L1539" s="1968">
        <v>4.3667790172415292E-10</v>
      </c>
      <c r="M1539" s="1968">
        <v>4.3667790172415292E-10</v>
      </c>
      <c r="N1539" s="1650"/>
      <c r="O1539" s="887"/>
    </row>
    <row r="1540" spans="3:15" ht="15" customHeight="1">
      <c r="D1540" t="s">
        <v>502</v>
      </c>
      <c r="E1540" s="1287"/>
      <c r="F1540" s="1968" cm="1">
        <f t="array" ref="F1540:M1540">F917:M917*FE_INDUSTRIA_CH4_QUEROSENO*UNIDAD_T_A_MT</f>
        <v>0</v>
      </c>
      <c r="G1540" s="1968">
        <v>0</v>
      </c>
      <c r="H1540" s="1968">
        <v>0</v>
      </c>
      <c r="I1540" s="1968">
        <v>0</v>
      </c>
      <c r="J1540" s="1968">
        <v>0</v>
      </c>
      <c r="K1540" s="1968">
        <v>0</v>
      </c>
      <c r="L1540" s="1968">
        <v>0</v>
      </c>
      <c r="M1540" s="1968">
        <v>0</v>
      </c>
      <c r="N1540" s="1650"/>
      <c r="O1540" s="887"/>
    </row>
    <row r="1541" spans="3:15" ht="15" customHeight="1">
      <c r="D1541" t="s">
        <v>571</v>
      </c>
      <c r="E1541" s="1287"/>
      <c r="F1541" s="1968"/>
      <c r="G1541" s="1968"/>
      <c r="H1541" s="1968"/>
      <c r="I1541" s="1968"/>
      <c r="J1541" s="1968"/>
      <c r="K1541" s="1968"/>
      <c r="L1541" s="1968"/>
      <c r="M1541" s="1968"/>
      <c r="N1541" s="1650"/>
      <c r="O1541" s="887"/>
    </row>
    <row r="1542" spans="3:15" ht="15" customHeight="1">
      <c r="D1542" s="1948" t="s">
        <v>1878</v>
      </c>
      <c r="E1542" s="1287"/>
      <c r="F1542" s="1968"/>
      <c r="G1542" s="1968"/>
      <c r="H1542" s="1968"/>
      <c r="I1542" s="1968"/>
      <c r="J1542" s="1968"/>
      <c r="K1542" s="1968"/>
      <c r="L1542" s="1968"/>
      <c r="M1542" s="1968"/>
      <c r="N1542" s="1650"/>
      <c r="O1542" s="887"/>
    </row>
    <row r="1543" spans="3:15" ht="15" customHeight="1">
      <c r="D1543" s="1948" t="s">
        <v>549</v>
      </c>
      <c r="E1543" s="1287"/>
      <c r="F1543" s="1968"/>
      <c r="G1543" s="1968"/>
      <c r="H1543" s="1968"/>
      <c r="I1543" s="1968"/>
      <c r="J1543" s="1968"/>
      <c r="K1543" s="1968"/>
      <c r="L1543" s="1968"/>
      <c r="M1543" s="1968"/>
      <c r="N1543" s="1650"/>
      <c r="O1543" s="887"/>
    </row>
    <row r="1544" spans="3:15" ht="15" customHeight="1">
      <c r="D1544" s="1974" t="s">
        <v>572</v>
      </c>
      <c r="E1544" s="1478"/>
      <c r="F1544" s="1647"/>
      <c r="G1544" s="1647"/>
      <c r="H1544" s="1647"/>
      <c r="I1544" s="1647"/>
      <c r="J1544" s="1647"/>
      <c r="K1544" s="1647"/>
      <c r="L1544" s="1647"/>
      <c r="M1544" s="1647"/>
      <c r="N1544" s="1650"/>
      <c r="O1544" s="887"/>
    </row>
    <row r="1545" spans="3:15" ht="15" customHeight="1">
      <c r="D1545" s="611" t="s">
        <v>338</v>
      </c>
      <c r="E1545" s="1975"/>
      <c r="F1545" s="1981">
        <f t="shared" ref="F1545:M1545" si="112">SUM(F1528:F1540)</f>
        <v>1.8516316888315129E-6</v>
      </c>
      <c r="G1545" s="1981">
        <f t="shared" si="112"/>
        <v>1.8516316888315129E-6</v>
      </c>
      <c r="H1545" s="1981">
        <f t="shared" si="112"/>
        <v>2.1473755805786369E-6</v>
      </c>
      <c r="I1545" s="1981">
        <f t="shared" si="112"/>
        <v>2.4507296844160632E-6</v>
      </c>
      <c r="J1545" s="1981">
        <f t="shared" si="112"/>
        <v>2.4507296844160632E-6</v>
      </c>
      <c r="K1545" s="1981">
        <f t="shared" si="112"/>
        <v>2.4507296844160632E-6</v>
      </c>
      <c r="L1545" s="1981">
        <f t="shared" si="112"/>
        <v>2.4507296844160632E-6</v>
      </c>
      <c r="M1545" s="1981">
        <f t="shared" si="112"/>
        <v>2.4507296844160632E-6</v>
      </c>
      <c r="N1545" s="1650"/>
      <c r="O1545" s="887"/>
    </row>
    <row r="1546" spans="3:15" ht="15" customHeight="1">
      <c r="D1546" s="2"/>
      <c r="E1546" s="887"/>
      <c r="F1546" s="1969"/>
      <c r="G1546" s="1969"/>
      <c r="H1546" s="1969"/>
      <c r="I1546" s="1969"/>
      <c r="J1546" s="1969"/>
      <c r="K1546" s="1969"/>
      <c r="L1546" s="1969"/>
      <c r="M1546" s="1969"/>
      <c r="N1546" s="1650"/>
      <c r="O1546" s="887"/>
    </row>
    <row r="1547" spans="3:15" ht="15" customHeight="1">
      <c r="D1547" s="2"/>
      <c r="E1547" s="887"/>
      <c r="F1547" s="1969"/>
      <c r="G1547" s="1969"/>
      <c r="H1547" s="1969"/>
      <c r="I1547" s="1969"/>
      <c r="J1547" s="1969"/>
      <c r="K1547" s="1969"/>
      <c r="L1547" s="1969"/>
      <c r="M1547" s="1648" t="s">
        <v>1705</v>
      </c>
      <c r="N1547" s="1650"/>
      <c r="O1547" s="887"/>
    </row>
    <row r="1548" spans="3:15" ht="15" customHeight="1">
      <c r="C1548" s="1743" t="s">
        <v>1899</v>
      </c>
      <c r="D1548" s="2859"/>
      <c r="E1548" s="1950"/>
      <c r="F1548" s="1952">
        <v>2018</v>
      </c>
      <c r="G1548" s="1952">
        <v>2020</v>
      </c>
      <c r="H1548" s="1952">
        <v>2025</v>
      </c>
      <c r="I1548" s="1952">
        <v>2030</v>
      </c>
      <c r="J1548" s="1952">
        <v>2035</v>
      </c>
      <c r="K1548" s="1952">
        <v>2040</v>
      </c>
      <c r="L1548" s="1952">
        <v>2045</v>
      </c>
      <c r="M1548" s="1952">
        <v>2050</v>
      </c>
      <c r="N1548" s="1650"/>
      <c r="O1548" s="887"/>
    </row>
    <row r="1549" spans="3:15" ht="15" customHeight="1">
      <c r="D1549" s="628" t="s">
        <v>504</v>
      </c>
      <c r="E1549" s="1554"/>
      <c r="F1549" s="1967" cm="1">
        <f t="array" ref="F1549:M1549">F925:M925*FE_INDUSTRIA_CH4_BAGAZO*UNIDAD_T_A_MT</f>
        <v>0</v>
      </c>
      <c r="G1549" s="1967">
        <v>0</v>
      </c>
      <c r="H1549" s="1967">
        <v>0</v>
      </c>
      <c r="I1549" s="1967">
        <v>0</v>
      </c>
      <c r="J1549" s="1967">
        <v>0</v>
      </c>
      <c r="K1549" s="1967">
        <v>0</v>
      </c>
      <c r="L1549" s="1967">
        <v>0</v>
      </c>
      <c r="M1549" s="1967">
        <v>0</v>
      </c>
      <c r="N1549" s="1650"/>
      <c r="O1549" s="887"/>
    </row>
    <row r="1550" spans="3:15" ht="15" customHeight="1">
      <c r="D1550" t="s">
        <v>569</v>
      </c>
      <c r="E1550" s="1287"/>
      <c r="F1550" s="1968" cm="1">
        <f t="array" ref="F1550:M1550">F926:M926*FE_INDUSTRIA_CH4_CARBON_MINERAL*UNIDAD_T_A_MT</f>
        <v>4.2276310009315343E-7</v>
      </c>
      <c r="G1550" s="1968">
        <v>4.2276310009315343E-7</v>
      </c>
      <c r="H1550" s="1968">
        <v>4.8708950483073911E-7</v>
      </c>
      <c r="I1550" s="1968">
        <v>5.5228731570933507E-7</v>
      </c>
      <c r="J1550" s="1968">
        <v>5.5228731570933507E-7</v>
      </c>
      <c r="K1550" s="1968">
        <v>5.5228731570933507E-7</v>
      </c>
      <c r="L1550" s="1968">
        <v>5.5228731570933507E-7</v>
      </c>
      <c r="M1550" s="1968">
        <v>5.5228731570933507E-7</v>
      </c>
      <c r="N1550" s="1650"/>
      <c r="O1550" s="887"/>
    </row>
    <row r="1551" spans="3:15" ht="15" customHeight="1">
      <c r="D1551" t="s">
        <v>513</v>
      </c>
      <c r="E1551" s="1287"/>
      <c r="F1551" s="1968" cm="1">
        <f t="array" ref="F1551:M1551">F927:M927*FE_INDUSTRIA_CH4_GAS_NATURAL*UNIDAD_T_A_MT</f>
        <v>6.2883384398865809E-7</v>
      </c>
      <c r="G1551" s="1968">
        <v>6.2883384398865809E-7</v>
      </c>
      <c r="H1551" s="1968">
        <v>7.2451537426458141E-7</v>
      </c>
      <c r="I1551" s="1968">
        <v>8.2149306703246787E-7</v>
      </c>
      <c r="J1551" s="1968">
        <v>8.2149306703246787E-7</v>
      </c>
      <c r="K1551" s="1968">
        <v>8.2149306703246787E-7</v>
      </c>
      <c r="L1551" s="1968">
        <v>8.2149306703246787E-7</v>
      </c>
      <c r="M1551" s="1968">
        <v>8.2149306703246787E-7</v>
      </c>
      <c r="N1551" s="1650"/>
      <c r="O1551" s="887"/>
    </row>
    <row r="1552" spans="3:15" ht="15" customHeight="1">
      <c r="D1552" t="s">
        <v>503</v>
      </c>
      <c r="E1552" s="1287"/>
      <c r="F1552" s="1968" cm="1">
        <f t="array" ref="F1552:M1552">F928:M928*FE_INDUSTRIA_CH4_LENA*UNIDAD_T_A_MT</f>
        <v>2.5473270113828754E-9</v>
      </c>
      <c r="G1552" s="1968">
        <v>2.5473270113828754E-9</v>
      </c>
      <c r="H1552" s="1968">
        <v>2.9349208867638954E-9</v>
      </c>
      <c r="I1552" s="1968">
        <v>3.3277653537892459E-9</v>
      </c>
      <c r="J1552" s="1968">
        <v>3.3277653537892459E-9</v>
      </c>
      <c r="K1552" s="1968">
        <v>3.3277653537892459E-9</v>
      </c>
      <c r="L1552" s="1968">
        <v>3.3277653537892459E-9</v>
      </c>
      <c r="M1552" s="1968">
        <v>3.3277653537892459E-9</v>
      </c>
      <c r="N1552" s="1650"/>
      <c r="O1552" s="887"/>
    </row>
    <row r="1553" spans="4:14" ht="15" customHeight="1">
      <c r="D1553" t="s">
        <v>525</v>
      </c>
      <c r="E1553" s="1287"/>
      <c r="F1553" s="1968" cm="1">
        <f t="array" ref="F1553:M1553">F929:M929*FE_INDUSTRIA_CH4_PETROLEP*UNIDAD_T_A_MT</f>
        <v>3.1079508695797273E-10</v>
      </c>
      <c r="G1553" s="1968">
        <v>3.1079508695797273E-10</v>
      </c>
      <c r="H1553" s="1968">
        <v>3.580847642020521E-10</v>
      </c>
      <c r="I1553" s="1968">
        <v>4.0601505730714524E-10</v>
      </c>
      <c r="J1553" s="1968">
        <v>4.0601505730714524E-10</v>
      </c>
      <c r="K1553" s="1968">
        <v>4.0601505730714524E-10</v>
      </c>
      <c r="L1553" s="1968">
        <v>4.0601505730714524E-10</v>
      </c>
      <c r="M1553" s="1968">
        <v>4.0601505730714524E-10</v>
      </c>
      <c r="N1553" s="1650"/>
    </row>
    <row r="1554" spans="4:14" ht="15" customHeight="1">
      <c r="D1554" t="s">
        <v>487</v>
      </c>
      <c r="E1554" s="1287"/>
      <c r="F1554" s="1968" cm="1">
        <f t="array" ref="F1554:M1554">F930:M930*FE_INDUSTRIA_CH4_RESIDUOS*UNIDAD_T_A_MT</f>
        <v>0</v>
      </c>
      <c r="G1554" s="1968">
        <v>0</v>
      </c>
      <c r="H1554" s="1968">
        <v>0</v>
      </c>
      <c r="I1554" s="1968">
        <v>0</v>
      </c>
      <c r="J1554" s="1968">
        <v>0</v>
      </c>
      <c r="K1554" s="1968">
        <v>0</v>
      </c>
      <c r="L1554" s="1968">
        <v>0</v>
      </c>
      <c r="M1554" s="1968">
        <v>0</v>
      </c>
      <c r="N1554" s="1650"/>
    </row>
    <row r="1555" spans="4:14" ht="15" customHeight="1">
      <c r="D1555" t="s">
        <v>494</v>
      </c>
      <c r="E1555" s="1287"/>
      <c r="F1555" s="1968" cm="1">
        <f t="array" ref="F1555:M1555">F931:M931*FE_INDUSTRIA_CH4_GASOLINA*UNIDAD_T_A_MT</f>
        <v>1.1420167621447463E-8</v>
      </c>
      <c r="G1555" s="1968">
        <v>1.1420167621447463E-8</v>
      </c>
      <c r="H1555" s="1968">
        <v>1.3157827139097968E-8</v>
      </c>
      <c r="I1555" s="1968">
        <v>1.491902609099546E-8</v>
      </c>
      <c r="J1555" s="1968">
        <v>1.491902609099546E-8</v>
      </c>
      <c r="K1555" s="1968">
        <v>1.491902609099546E-8</v>
      </c>
      <c r="L1555" s="1968">
        <v>1.491902609099546E-8</v>
      </c>
      <c r="M1555" s="1968">
        <v>1.491902609099546E-8</v>
      </c>
      <c r="N1555" s="1650"/>
    </row>
    <row r="1556" spans="4:14" ht="15" customHeight="1">
      <c r="D1556" t="s">
        <v>1854</v>
      </c>
      <c r="E1556" s="1287"/>
      <c r="F1556" s="1968" cm="1">
        <f t="array" ref="F1556:M1556">F932:M932*FE_INDUSTRIA_CH4_DIESEL_OIL*UNIDAD_T_A_MT</f>
        <v>2.872620417782936E-8</v>
      </c>
      <c r="G1556" s="1968">
        <v>2.872620417782936E-8</v>
      </c>
      <c r="H1556" s="1968">
        <v>3.3097099925614381E-8</v>
      </c>
      <c r="I1556" s="1968">
        <v>3.7527206590158601E-8</v>
      </c>
      <c r="J1556" s="1968">
        <v>3.7527206590158601E-8</v>
      </c>
      <c r="K1556" s="1968">
        <v>3.7527206590158601E-8</v>
      </c>
      <c r="L1556" s="1968">
        <v>3.7527206590158601E-8</v>
      </c>
      <c r="M1556" s="1968">
        <v>3.7527206590158601E-8</v>
      </c>
      <c r="N1556" s="1650"/>
    </row>
    <row r="1557" spans="4:14" ht="15" customHeight="1">
      <c r="D1557" t="s">
        <v>506</v>
      </c>
      <c r="E1557" s="1287"/>
      <c r="F1557" s="1968" cm="1">
        <f t="array" ref="F1557:M1557">F933:M933*FE_INDUSTRIA_CH4_CARBON_VEGETAL*UNIDAD_T_A_MT</f>
        <v>0</v>
      </c>
      <c r="G1557" s="1968">
        <v>0</v>
      </c>
      <c r="H1557" s="1968">
        <v>0</v>
      </c>
      <c r="I1557" s="1968">
        <v>0</v>
      </c>
      <c r="J1557" s="1968">
        <v>0</v>
      </c>
      <c r="K1557" s="1968">
        <v>0</v>
      </c>
      <c r="L1557" s="1968">
        <v>0</v>
      </c>
      <c r="M1557" s="1968">
        <v>0</v>
      </c>
      <c r="N1557" s="1650"/>
    </row>
    <row r="1558" spans="4:14" ht="15" customHeight="1">
      <c r="D1558" t="s">
        <v>507</v>
      </c>
      <c r="E1558" s="1287"/>
      <c r="F1558" s="1968" cm="1">
        <f t="array" ref="F1558:M1558">F934:M934*FE_INDUSTRIA_CH4_COQUE*UNIDAD_T_A_MT</f>
        <v>8.1474697043805712E-10</v>
      </c>
      <c r="G1558" s="1968">
        <v>8.1474697043805712E-10</v>
      </c>
      <c r="H1558" s="1968">
        <v>9.3871650176085262E-10</v>
      </c>
      <c r="I1558" s="1968">
        <v>1.0643654027193915E-9</v>
      </c>
      <c r="J1558" s="1968">
        <v>1.0643654027193915E-9</v>
      </c>
      <c r="K1558" s="1968">
        <v>1.0643654027193915E-9</v>
      </c>
      <c r="L1558" s="1968">
        <v>1.0643654027193915E-9</v>
      </c>
      <c r="M1558" s="1968">
        <v>1.0643654027193915E-9</v>
      </c>
      <c r="N1558" s="1650"/>
    </row>
    <row r="1559" spans="4:14" ht="15" customHeight="1">
      <c r="D1559" t="s">
        <v>570</v>
      </c>
      <c r="E1559" s="1287"/>
      <c r="F1559" s="1968" cm="1">
        <f t="array" ref="F1559:M1559">F935:M935*FE_INDUSTRIA_CH4_FUEL_OIL*UNIDAD_T_A_MT</f>
        <v>4.925798118660838E-9</v>
      </c>
      <c r="G1559" s="1968">
        <v>4.925798118660838E-9</v>
      </c>
      <c r="H1559" s="1968">
        <v>5.6752932457587269E-9</v>
      </c>
      <c r="I1559" s="1968">
        <v>6.4349415076241293E-9</v>
      </c>
      <c r="J1559" s="1968">
        <v>6.4349415076241293E-9</v>
      </c>
      <c r="K1559" s="1968">
        <v>6.4349415076241293E-9</v>
      </c>
      <c r="L1559" s="1968">
        <v>6.4349415076241293E-9</v>
      </c>
      <c r="M1559" s="1968">
        <v>6.4349415076241293E-9</v>
      </c>
      <c r="N1559" s="1650"/>
    </row>
    <row r="1560" spans="4:14" ht="15" customHeight="1">
      <c r="D1560" t="s">
        <v>498</v>
      </c>
      <c r="E1560" s="1287"/>
      <c r="F1560" s="1968" cm="1">
        <f t="array" ref="F1560:M1560">F936:M936*FE_INDUSTRIA_CH4_GLP*UNIDAD_T_A_MT</f>
        <v>1.3328894734384499E-8</v>
      </c>
      <c r="G1560" s="1968">
        <v>1.3328894734384499E-8</v>
      </c>
      <c r="H1560" s="1968">
        <v>1.5356980622674583E-8</v>
      </c>
      <c r="I1560" s="1968">
        <v>1.741254024441459E-8</v>
      </c>
      <c r="J1560" s="1968">
        <v>1.741254024441459E-8</v>
      </c>
      <c r="K1560" s="1968">
        <v>1.741254024441459E-8</v>
      </c>
      <c r="L1560" s="1968">
        <v>1.741254024441459E-8</v>
      </c>
      <c r="M1560" s="1968">
        <v>1.741254024441459E-8</v>
      </c>
      <c r="N1560" s="1650"/>
    </row>
    <row r="1561" spans="4:14" ht="15" customHeight="1">
      <c r="D1561" t="s">
        <v>502</v>
      </c>
      <c r="E1561" s="1287"/>
      <c r="F1561" s="1968" cm="1">
        <f t="array" ref="F1561:M1561">F937:M937*FE_INDUSTRIA_CH4_QUEROSENO*UNIDAD_T_A_MT</f>
        <v>4.400897225312473E-10</v>
      </c>
      <c r="G1561" s="1968">
        <v>4.400897225312473E-10</v>
      </c>
      <c r="H1561" s="1968">
        <v>5.0705249578690505E-10</v>
      </c>
      <c r="I1561" s="1968">
        <v>5.7492238909803772E-10</v>
      </c>
      <c r="J1561" s="1968">
        <v>5.7492238909803772E-10</v>
      </c>
      <c r="K1561" s="1968">
        <v>5.7492238909803772E-10</v>
      </c>
      <c r="L1561" s="1968">
        <v>5.7492238909803772E-10</v>
      </c>
      <c r="M1561" s="1968">
        <v>5.7492238909803772E-10</v>
      </c>
      <c r="N1561" s="1650"/>
    </row>
    <row r="1562" spans="4:14" ht="15" customHeight="1">
      <c r="D1562" t="s">
        <v>571</v>
      </c>
      <c r="E1562" s="1287"/>
      <c r="F1562" s="1968"/>
      <c r="G1562" s="1968"/>
      <c r="H1562" s="1968"/>
      <c r="I1562" s="1968"/>
      <c r="J1562" s="1968"/>
      <c r="K1562" s="1968"/>
      <c r="L1562" s="1968"/>
      <c r="M1562" s="1968"/>
      <c r="N1562" s="1650"/>
    </row>
    <row r="1563" spans="4:14" ht="15" customHeight="1">
      <c r="D1563" s="1948" t="s">
        <v>1878</v>
      </c>
      <c r="E1563" s="1287"/>
      <c r="F1563" s="1968"/>
      <c r="G1563" s="1968"/>
      <c r="H1563" s="1968"/>
      <c r="I1563" s="1968"/>
      <c r="J1563" s="1968"/>
      <c r="K1563" s="1968"/>
      <c r="L1563" s="1968"/>
      <c r="M1563" s="1968"/>
      <c r="N1563" s="1650"/>
    </row>
    <row r="1564" spans="4:14" ht="15" customHeight="1">
      <c r="D1564" s="1948" t="s">
        <v>549</v>
      </c>
      <c r="E1564" s="1287"/>
      <c r="F1564" s="1968"/>
      <c r="G1564" s="1968"/>
      <c r="H1564" s="1968"/>
      <c r="I1564" s="1968"/>
      <c r="J1564" s="1968"/>
      <c r="K1564" s="1968"/>
      <c r="L1564" s="1968"/>
      <c r="M1564" s="1968"/>
      <c r="N1564" s="1650"/>
    </row>
    <row r="1565" spans="4:14" ht="15" customHeight="1">
      <c r="D1565" s="1974" t="s">
        <v>572</v>
      </c>
      <c r="E1565" s="1478"/>
      <c r="F1565" s="1647"/>
      <c r="G1565" s="1647"/>
      <c r="H1565" s="1647"/>
      <c r="I1565" s="1647"/>
      <c r="J1565" s="1647"/>
      <c r="K1565" s="1647"/>
      <c r="L1565" s="1647"/>
      <c r="M1565" s="1647"/>
      <c r="N1565" s="1650"/>
    </row>
    <row r="1566" spans="4:14" ht="15" customHeight="1">
      <c r="D1566" s="611" t="s">
        <v>338</v>
      </c>
      <c r="E1566" s="1975"/>
      <c r="F1566" s="1981">
        <f t="shared" ref="F1566:M1566" si="113">SUM(F1549:F1561)</f>
        <v>1.1141109675254437E-6</v>
      </c>
      <c r="G1566" s="1981">
        <f t="shared" si="113"/>
        <v>1.1141109675254437E-6</v>
      </c>
      <c r="H1566" s="1981">
        <f t="shared" si="113"/>
        <v>1.2836308546769796E-6</v>
      </c>
      <c r="I1566" s="1981">
        <f t="shared" si="113"/>
        <v>1.4554471653779096E-6</v>
      </c>
      <c r="J1566" s="1981">
        <f t="shared" si="113"/>
        <v>1.4554471653779096E-6</v>
      </c>
      <c r="K1566" s="1981">
        <f t="shared" si="113"/>
        <v>1.4554471653779096E-6</v>
      </c>
      <c r="L1566" s="1981">
        <f t="shared" si="113"/>
        <v>1.4554471653779096E-6</v>
      </c>
      <c r="M1566" s="1981">
        <f t="shared" si="113"/>
        <v>1.4554471653779096E-6</v>
      </c>
      <c r="N1566" s="1650"/>
    </row>
    <row r="1567" spans="4:14" ht="15" customHeight="1">
      <c r="D1567" s="2"/>
      <c r="E1567" s="887"/>
      <c r="F1567" s="1969"/>
      <c r="G1567" s="1969"/>
      <c r="H1567" s="1969"/>
      <c r="I1567" s="1969"/>
      <c r="J1567" s="1969"/>
      <c r="K1567" s="1969"/>
      <c r="L1567" s="1969"/>
      <c r="M1567" s="1969"/>
      <c r="N1567" s="1650"/>
    </row>
    <row r="1568" spans="4:14" ht="15" customHeight="1">
      <c r="D1568" s="2"/>
      <c r="E1568" s="887"/>
      <c r="F1568" s="1969"/>
      <c r="G1568" s="1969"/>
      <c r="H1568" s="1969"/>
      <c r="I1568" s="1969"/>
      <c r="J1568" s="1969"/>
      <c r="K1568" s="1969"/>
      <c r="L1568" s="1969"/>
      <c r="M1568" s="1648" t="s">
        <v>1705</v>
      </c>
      <c r="N1568" s="1650"/>
    </row>
    <row r="1569" spans="3:14" ht="15" customHeight="1">
      <c r="C1569" s="1743" t="s">
        <v>1900</v>
      </c>
      <c r="D1569" s="2859"/>
      <c r="E1569" s="1950"/>
      <c r="F1569" s="1952">
        <v>2018</v>
      </c>
      <c r="G1569" s="1952">
        <v>2020</v>
      </c>
      <c r="H1569" s="1952">
        <v>2025</v>
      </c>
      <c r="I1569" s="1952">
        <v>2030</v>
      </c>
      <c r="J1569" s="1952">
        <v>2035</v>
      </c>
      <c r="K1569" s="1952">
        <v>2040</v>
      </c>
      <c r="L1569" s="1952">
        <v>2045</v>
      </c>
      <c r="M1569" s="1952">
        <v>2050</v>
      </c>
      <c r="N1569" s="1650"/>
    </row>
    <row r="1570" spans="3:14" ht="15" customHeight="1">
      <c r="D1570" s="628" t="s">
        <v>504</v>
      </c>
      <c r="E1570" s="1554"/>
      <c r="F1570" s="1967" cm="1">
        <f t="array" ref="F1570:M1570">F945:M945*FE_INDUSTRIA_CH4_BAGAZO*UNIDAD_T_A_MT</f>
        <v>1.3527415935283505E-4</v>
      </c>
      <c r="G1570" s="1967">
        <v>1.3527415935283505E-4</v>
      </c>
      <c r="H1570" s="1967">
        <v>1.555421562479962E-4</v>
      </c>
      <c r="I1570" s="1967">
        <v>1.7600367691958672E-4</v>
      </c>
      <c r="J1570" s="1967">
        <v>1.7600367691958672E-4</v>
      </c>
      <c r="K1570" s="1967">
        <v>1.7600367691958672E-4</v>
      </c>
      <c r="L1570" s="1967">
        <v>1.7600367691958672E-4</v>
      </c>
      <c r="M1570" s="1967">
        <v>1.7600367691958672E-4</v>
      </c>
      <c r="N1570" s="1650"/>
    </row>
    <row r="1571" spans="3:14" ht="15" customHeight="1">
      <c r="D1571" t="s">
        <v>569</v>
      </c>
      <c r="E1571" s="1287"/>
      <c r="F1571" s="1968" cm="1">
        <f t="array" ref="F1571:M1571">F946:M946*FE_INDUSTRIA_CH4_CARBON_MINERAL*UNIDAD_T_A_MT</f>
        <v>2.2964386423130155E-6</v>
      </c>
      <c r="G1571" s="1968">
        <v>2.2964386423130155E-6</v>
      </c>
      <c r="H1571" s="1968">
        <v>2.6405118303853004E-6</v>
      </c>
      <c r="I1571" s="1968">
        <v>2.9878703131548499E-6</v>
      </c>
      <c r="J1571" s="1968">
        <v>2.9878703131548499E-6</v>
      </c>
      <c r="K1571" s="1968">
        <v>2.9878703131548499E-6</v>
      </c>
      <c r="L1571" s="1968">
        <v>2.9878703131548499E-6</v>
      </c>
      <c r="M1571" s="1968">
        <v>2.9878703131548499E-6</v>
      </c>
      <c r="N1571" s="1650"/>
    </row>
    <row r="1572" spans="3:14" ht="15" customHeight="1">
      <c r="D1572" t="s">
        <v>513</v>
      </c>
      <c r="E1572" s="1287"/>
      <c r="F1572" s="1968" cm="1">
        <f t="array" ref="F1572:M1572">F947:M947*FE_INDUSTRIA_CH4_GAS_NATURAL*UNIDAD_T_A_MT</f>
        <v>1.1570677503289639E-6</v>
      </c>
      <c r="G1572" s="1968">
        <v>1.1570677503289639E-6</v>
      </c>
      <c r="H1572" s="1968">
        <v>1.3304300959783663E-6</v>
      </c>
      <c r="I1572" s="1968">
        <v>1.5054477475760706E-6</v>
      </c>
      <c r="J1572" s="1968">
        <v>1.5054477475760706E-6</v>
      </c>
      <c r="K1572" s="1968">
        <v>1.5054477475760706E-6</v>
      </c>
      <c r="L1572" s="1968">
        <v>1.5054477475760706E-6</v>
      </c>
      <c r="M1572" s="1968">
        <v>1.5054477475760706E-6</v>
      </c>
      <c r="N1572" s="1650"/>
    </row>
    <row r="1573" spans="3:14" ht="15" customHeight="1">
      <c r="D1573" t="s">
        <v>503</v>
      </c>
      <c r="E1573" s="1287"/>
      <c r="F1573" s="1968" cm="1">
        <f t="array" ref="F1573:M1573">F948:M948*FE_INDUSTRIA_CH4_LENA*UNIDAD_T_A_MT</f>
        <v>2.6680800745047725E-9</v>
      </c>
      <c r="G1573" s="1968">
        <v>2.6680800745047725E-9</v>
      </c>
      <c r="H1573" s="1968">
        <v>3.0678359401099403E-9</v>
      </c>
      <c r="I1573" s="1968">
        <v>3.471408772194919E-9</v>
      </c>
      <c r="J1573" s="1968">
        <v>3.471408772194919E-9</v>
      </c>
      <c r="K1573" s="1968">
        <v>3.471408772194919E-9</v>
      </c>
      <c r="L1573" s="1968">
        <v>3.471408772194919E-9</v>
      </c>
      <c r="M1573" s="1968">
        <v>3.471408772194919E-9</v>
      </c>
      <c r="N1573" s="1650"/>
    </row>
    <row r="1574" spans="3:14" ht="15" customHeight="1">
      <c r="D1574" t="s">
        <v>525</v>
      </c>
      <c r="E1574" s="1287"/>
      <c r="F1574" s="1968" cm="1">
        <f t="array" ref="F1574:M1574">F949:M949*FE_INDUSTRIA_CH4_PETROLEP*UNIDAD_T_A_MT</f>
        <v>7.2768809813723846E-11</v>
      </c>
      <c r="G1574" s="1968">
        <v>7.2768809813723846E-11</v>
      </c>
      <c r="H1574" s="1968">
        <v>8.3671690440926325E-11</v>
      </c>
      <c r="I1574" s="1968">
        <v>9.4678674430875938E-11</v>
      </c>
      <c r="J1574" s="1968">
        <v>9.4678674430875938E-11</v>
      </c>
      <c r="K1574" s="1968">
        <v>9.4678674430875938E-11</v>
      </c>
      <c r="L1574" s="1968">
        <v>9.4678674430875938E-11</v>
      </c>
      <c r="M1574" s="1968">
        <v>9.4678674430875938E-11</v>
      </c>
      <c r="N1574" s="1650"/>
    </row>
    <row r="1575" spans="3:14" ht="15" customHeight="1">
      <c r="D1575" t="s">
        <v>487</v>
      </c>
      <c r="E1575" s="1287"/>
      <c r="F1575" s="1968" cm="1">
        <f t="array" ref="F1575:M1575">F950:M950*FE_INDUSTRIA_CH4_RESIDUOS*UNIDAD_T_A_MT</f>
        <v>9.4901506701978156E-7</v>
      </c>
      <c r="G1575" s="1968">
        <v>9.4901506701978156E-7</v>
      </c>
      <c r="H1575" s="1968">
        <v>1.0912050796861953E-6</v>
      </c>
      <c r="I1575" s="1968">
        <v>1.2347527572646413E-6</v>
      </c>
      <c r="J1575" s="1968">
        <v>1.2347527572646413E-6</v>
      </c>
      <c r="K1575" s="1968">
        <v>1.2347527572646413E-6</v>
      </c>
      <c r="L1575" s="1968">
        <v>1.2347527572646413E-6</v>
      </c>
      <c r="M1575" s="1968">
        <v>1.2347527572646413E-6</v>
      </c>
      <c r="N1575" s="1650"/>
    </row>
    <row r="1576" spans="3:14" ht="15" customHeight="1">
      <c r="D1576" t="s">
        <v>494</v>
      </c>
      <c r="E1576" s="1287"/>
      <c r="F1576" s="1968" cm="1">
        <f t="array" ref="F1576:M1576">F951:M951*FE_INDUSTRIA_CH4_GASOLINA*UNIDAD_T_A_MT</f>
        <v>1.4298612261556313E-9</v>
      </c>
      <c r="G1576" s="1968">
        <v>1.4298612261556313E-9</v>
      </c>
      <c r="H1576" s="1968">
        <v>1.6440959553225239E-9</v>
      </c>
      <c r="I1576" s="1968">
        <v>1.860376249921716E-9</v>
      </c>
      <c r="J1576" s="1968">
        <v>1.860376249921716E-9</v>
      </c>
      <c r="K1576" s="1968">
        <v>1.860376249921716E-9</v>
      </c>
      <c r="L1576" s="1968">
        <v>1.860376249921716E-9</v>
      </c>
      <c r="M1576" s="1968">
        <v>1.860376249921716E-9</v>
      </c>
      <c r="N1576" s="1650"/>
    </row>
    <row r="1577" spans="3:14" ht="15" customHeight="1">
      <c r="D1577" t="s">
        <v>1854</v>
      </c>
      <c r="E1577" s="1287"/>
      <c r="F1577" s="1968" cm="1">
        <f t="array" ref="F1577:M1577">F952:M952*FE_INDUSTRIA_CH4_DIESEL_OIL*UNIDAD_T_A_MT</f>
        <v>1.7648244489079504E-7</v>
      </c>
      <c r="G1577" s="1968">
        <v>1.7648244489079504E-7</v>
      </c>
      <c r="H1577" s="1968">
        <v>2.0292463948442284E-7</v>
      </c>
      <c r="I1577" s="1968">
        <v>2.2961931059959877E-7</v>
      </c>
      <c r="J1577" s="1968">
        <v>2.2961931059959877E-7</v>
      </c>
      <c r="K1577" s="1968">
        <v>2.2961931059959877E-7</v>
      </c>
      <c r="L1577" s="1968">
        <v>2.2961931059959877E-7</v>
      </c>
      <c r="M1577" s="1968">
        <v>2.2961931059959877E-7</v>
      </c>
      <c r="N1577" s="1650"/>
    </row>
    <row r="1578" spans="3:14" ht="15" customHeight="1">
      <c r="D1578" t="s">
        <v>506</v>
      </c>
      <c r="E1578" s="1287"/>
      <c r="F1578" s="1968" cm="1">
        <f t="array" ref="F1578:M1578">F953:M953*FE_INDUSTRIA_CH4_CARBON_VEGETAL*UNIDAD_T_A_MT</f>
        <v>2.2343936281861755E-8</v>
      </c>
      <c r="G1578" s="1968">
        <v>2.2343936281861755E-8</v>
      </c>
      <c r="H1578" s="1968">
        <v>2.5691706716015709E-8</v>
      </c>
      <c r="I1578" s="1968">
        <v>2.9071442478583099E-8</v>
      </c>
      <c r="J1578" s="1968">
        <v>2.9071442478583099E-8</v>
      </c>
      <c r="K1578" s="1968">
        <v>2.9071442478583099E-8</v>
      </c>
      <c r="L1578" s="1968">
        <v>2.9071442478583099E-8</v>
      </c>
      <c r="M1578" s="1968">
        <v>2.9071442478583099E-8</v>
      </c>
      <c r="N1578" s="1650"/>
    </row>
    <row r="1579" spans="3:14" ht="15" customHeight="1">
      <c r="D1579" t="s">
        <v>507</v>
      </c>
      <c r="E1579" s="1287"/>
      <c r="F1579" s="1968" cm="1">
        <f t="array" ref="F1579:M1579">F954:M954*FE_INDUSTRIA_CH4_COQUE*UNIDAD_T_A_MT</f>
        <v>1.5484482709858056E-9</v>
      </c>
      <c r="G1579" s="1968">
        <v>1.5484482709858056E-9</v>
      </c>
      <c r="H1579" s="1968">
        <v>1.7804507827648611E-9</v>
      </c>
      <c r="I1579" s="1968">
        <v>2.0146685110970282E-9</v>
      </c>
      <c r="J1579" s="1968">
        <v>2.0146685110970282E-9</v>
      </c>
      <c r="K1579" s="1968">
        <v>2.0146685110970282E-9</v>
      </c>
      <c r="L1579" s="1968">
        <v>2.0146685110970282E-9</v>
      </c>
      <c r="M1579" s="1968">
        <v>2.0146685110970282E-9</v>
      </c>
      <c r="N1579" s="1650"/>
    </row>
    <row r="1580" spans="3:14" ht="15" customHeight="1">
      <c r="D1580" t="s">
        <v>570</v>
      </c>
      <c r="E1580" s="1287"/>
      <c r="F1580" s="1968" cm="1">
        <f t="array" ref="F1580:M1580">F955:M955*FE_INDUSTRIA_CH4_FUEL_OIL*UNIDAD_T_A_MT</f>
        <v>3.9867528129232087E-8</v>
      </c>
      <c r="G1580" s="1968">
        <v>3.9867528129232087E-8</v>
      </c>
      <c r="H1580" s="1968">
        <v>4.5840841437603358E-8</v>
      </c>
      <c r="I1580" s="1968">
        <v>5.1871189397953872E-8</v>
      </c>
      <c r="J1580" s="1968">
        <v>5.1871189397953872E-8</v>
      </c>
      <c r="K1580" s="1968">
        <v>5.1871189397953872E-8</v>
      </c>
      <c r="L1580" s="1968">
        <v>5.1871189397953872E-8</v>
      </c>
      <c r="M1580" s="1968">
        <v>5.1871189397953872E-8</v>
      </c>
      <c r="N1580" s="1650"/>
    </row>
    <row r="1581" spans="3:14" ht="15" customHeight="1">
      <c r="D1581" t="s">
        <v>498</v>
      </c>
      <c r="E1581" s="1287"/>
      <c r="F1581" s="1968" cm="1">
        <f t="array" ref="F1581:M1581">F956:M956*FE_INDUSTRIA_CH4_GLP*UNIDAD_T_A_MT</f>
        <v>2.941309674343622E-8</v>
      </c>
      <c r="G1581" s="1968">
        <v>2.941309674343622E-8</v>
      </c>
      <c r="H1581" s="1968">
        <v>3.3820032675066126E-8</v>
      </c>
      <c r="I1581" s="1968">
        <v>3.8269047105542418E-8</v>
      </c>
      <c r="J1581" s="1968">
        <v>3.8269047105542418E-8</v>
      </c>
      <c r="K1581" s="1968">
        <v>3.8269047105542418E-8</v>
      </c>
      <c r="L1581" s="1968">
        <v>3.8269047105542418E-8</v>
      </c>
      <c r="M1581" s="1968">
        <v>3.8269047105542418E-8</v>
      </c>
      <c r="N1581" s="1650"/>
    </row>
    <row r="1582" spans="3:14" ht="15" customHeight="1">
      <c r="D1582" t="s">
        <v>502</v>
      </c>
      <c r="E1582" s="1287"/>
      <c r="F1582" s="1968" cm="1">
        <f t="array" ref="F1582:M1582">F957:M957*FE_INDUSTRIA_CH4_QUEROSENO*UNIDAD_T_A_MT</f>
        <v>0</v>
      </c>
      <c r="G1582" s="1968">
        <v>0</v>
      </c>
      <c r="H1582" s="1968">
        <v>0</v>
      </c>
      <c r="I1582" s="1968">
        <v>0</v>
      </c>
      <c r="J1582" s="1968">
        <v>0</v>
      </c>
      <c r="K1582" s="1968">
        <v>0</v>
      </c>
      <c r="L1582" s="1968">
        <v>0</v>
      </c>
      <c r="M1582" s="1968">
        <v>0</v>
      </c>
      <c r="N1582" s="1649"/>
    </row>
    <row r="1583" spans="3:14" ht="15" customHeight="1">
      <c r="D1583" t="s">
        <v>571</v>
      </c>
      <c r="E1583" s="1287"/>
      <c r="F1583" s="1968"/>
      <c r="G1583" s="1968"/>
      <c r="H1583" s="1968"/>
      <c r="I1583" s="1968"/>
      <c r="J1583" s="1968"/>
      <c r="K1583" s="1968"/>
      <c r="L1583" s="1968"/>
      <c r="M1583" s="1968"/>
      <c r="N1583" s="1649"/>
    </row>
    <row r="1584" spans="3:14" ht="15" customHeight="1">
      <c r="D1584" s="1948" t="s">
        <v>1878</v>
      </c>
      <c r="E1584" s="1287"/>
      <c r="F1584" s="1968"/>
      <c r="G1584" s="1968"/>
      <c r="H1584" s="1968"/>
      <c r="I1584" s="1968"/>
      <c r="J1584" s="1968"/>
      <c r="K1584" s="1968"/>
      <c r="L1584" s="1968"/>
      <c r="M1584" s="1968"/>
      <c r="N1584" s="1649"/>
    </row>
    <row r="1585" spans="3:14" ht="15" customHeight="1">
      <c r="D1585" s="1948" t="s">
        <v>549</v>
      </c>
      <c r="E1585" s="1287"/>
      <c r="F1585" s="1968"/>
      <c r="G1585" s="1968"/>
      <c r="H1585" s="1968"/>
      <c r="I1585" s="1968"/>
      <c r="J1585" s="1968"/>
      <c r="K1585" s="1968"/>
      <c r="L1585" s="1968"/>
      <c r="M1585" s="1968"/>
      <c r="N1585" s="1973"/>
    </row>
    <row r="1586" spans="3:14" ht="15" customHeight="1">
      <c r="D1586" s="1974" t="s">
        <v>572</v>
      </c>
      <c r="E1586" s="1478"/>
      <c r="F1586" s="1647"/>
      <c r="G1586" s="1647"/>
      <c r="H1586" s="1647"/>
      <c r="I1586" s="1647"/>
      <c r="J1586" s="1647"/>
      <c r="K1586" s="1647"/>
      <c r="L1586" s="1647"/>
      <c r="M1586" s="1647"/>
      <c r="N1586" s="1973"/>
    </row>
    <row r="1587" spans="3:14" ht="15" customHeight="1">
      <c r="D1587" s="611" t="s">
        <v>338</v>
      </c>
      <c r="E1587" s="1975"/>
      <c r="F1587" s="1981">
        <f t="shared" ref="F1587:M1587" si="114">SUM(F1570:F1582)</f>
        <v>1.3995050697692362E-4</v>
      </c>
      <c r="G1587" s="1981">
        <f t="shared" si="114"/>
        <v>1.3995050697692362E-4</v>
      </c>
      <c r="H1587" s="1981">
        <f t="shared" si="114"/>
        <v>1.6091915652872784E-4</v>
      </c>
      <c r="I1587" s="1981">
        <f t="shared" si="114"/>
        <v>1.8208801985937162E-4</v>
      </c>
      <c r="J1587" s="1981">
        <f t="shared" si="114"/>
        <v>1.8208801985937162E-4</v>
      </c>
      <c r="K1587" s="1981">
        <f t="shared" si="114"/>
        <v>1.8208801985937162E-4</v>
      </c>
      <c r="L1587" s="1981">
        <f t="shared" si="114"/>
        <v>1.8208801985937162E-4</v>
      </c>
      <c r="M1587" s="1981">
        <f t="shared" si="114"/>
        <v>1.8208801985937162E-4</v>
      </c>
    </row>
    <row r="1588" spans="3:14" ht="15" customHeight="1">
      <c r="D1588" s="2"/>
      <c r="E1588" s="887"/>
      <c r="F1588" s="1969"/>
      <c r="G1588" s="1969"/>
      <c r="H1588" s="1969"/>
      <c r="I1588" s="1969"/>
      <c r="J1588" s="1969"/>
      <c r="K1588" s="1969"/>
      <c r="L1588" s="1969"/>
      <c r="M1588" s="1969"/>
    </row>
    <row r="1589" spans="3:14" ht="15" customHeight="1">
      <c r="D1589" s="2"/>
      <c r="E1589" s="887"/>
      <c r="F1589" s="1969"/>
      <c r="G1589" s="1969"/>
      <c r="H1589" s="1969"/>
      <c r="I1589" s="1969"/>
      <c r="J1589" s="1969"/>
      <c r="K1589" s="1969"/>
      <c r="L1589" s="1969"/>
      <c r="M1589" s="1648" t="s">
        <v>1705</v>
      </c>
    </row>
    <row r="1590" spans="3:14" ht="15" customHeight="1">
      <c r="C1590" s="1743" t="s">
        <v>562</v>
      </c>
      <c r="D1590" s="2859"/>
      <c r="E1590" s="1950"/>
      <c r="F1590" s="1952">
        <v>2018</v>
      </c>
      <c r="G1590" s="1952">
        <v>2020</v>
      </c>
      <c r="H1590" s="1952">
        <v>2025</v>
      </c>
      <c r="I1590" s="1952">
        <v>2030</v>
      </c>
      <c r="J1590" s="1952">
        <v>2035</v>
      </c>
      <c r="K1590" s="1952">
        <v>2040</v>
      </c>
      <c r="L1590" s="1952">
        <v>2045</v>
      </c>
      <c r="M1590" s="1952">
        <v>2050</v>
      </c>
    </row>
    <row r="1591" spans="3:14" ht="15" customHeight="1">
      <c r="D1591" s="628" t="s">
        <v>504</v>
      </c>
      <c r="E1591" s="1554"/>
      <c r="F1591" s="1967" cm="1">
        <f t="array" ref="F1591:M1591">F965:M965*FE_INDUSTRIA_CH4_BAGAZO*UNIDAD_T_A_MT</f>
        <v>0</v>
      </c>
      <c r="G1591" s="1967">
        <v>0</v>
      </c>
      <c r="H1591" s="1967">
        <v>0</v>
      </c>
      <c r="I1591" s="1967">
        <v>0</v>
      </c>
      <c r="J1591" s="1967">
        <v>0</v>
      </c>
      <c r="K1591" s="1967">
        <v>0</v>
      </c>
      <c r="L1591" s="1967">
        <v>0</v>
      </c>
      <c r="M1591" s="1967">
        <v>0</v>
      </c>
    </row>
    <row r="1592" spans="3:14" ht="15" customHeight="1">
      <c r="D1592" t="s">
        <v>569</v>
      </c>
      <c r="E1592" s="1287"/>
      <c r="F1592" s="1968" cm="1">
        <f t="array" ref="F1592:M1592">F966:M966*FE_INDUSTRIA_CH4_CARBON_MINERAL*UNIDAD_T_A_MT</f>
        <v>4.3540125214377832E-7</v>
      </c>
      <c r="G1592" s="1968">
        <v>4.3540125214377832E-7</v>
      </c>
      <c r="H1592" s="1968">
        <v>4.9305142049131717E-7</v>
      </c>
      <c r="I1592" s="1968">
        <v>5.4926973350455368E-7</v>
      </c>
      <c r="J1592" s="1968">
        <v>5.4926973350455368E-7</v>
      </c>
      <c r="K1592" s="1968">
        <v>5.4926973350455368E-7</v>
      </c>
      <c r="L1592" s="1968">
        <v>5.4926973350455368E-7</v>
      </c>
      <c r="M1592" s="1968">
        <v>5.4926973350455368E-7</v>
      </c>
    </row>
    <row r="1593" spans="3:14" ht="15" customHeight="1">
      <c r="D1593" t="s">
        <v>513</v>
      </c>
      <c r="E1593" s="1287"/>
      <c r="F1593" s="1968" cm="1">
        <f t="array" ref="F1593:M1593">F967:M967*FE_INDUSTRIA_CH4_GAS_NATURAL*UNIDAD_T_A_MT</f>
        <v>2.7726156537643589E-7</v>
      </c>
      <c r="G1593" s="1968">
        <v>2.7726156537643589E-7</v>
      </c>
      <c r="H1593" s="1968">
        <v>3.1397293412320153E-7</v>
      </c>
      <c r="I1593" s="1968">
        <v>3.4977250381237004E-7</v>
      </c>
      <c r="J1593" s="1968">
        <v>3.4977250381237004E-7</v>
      </c>
      <c r="K1593" s="1968">
        <v>3.4977250381237004E-7</v>
      </c>
      <c r="L1593" s="1968">
        <v>3.4977250381237004E-7</v>
      </c>
      <c r="M1593" s="1968">
        <v>3.4977250381237004E-7</v>
      </c>
    </row>
    <row r="1594" spans="3:14" ht="15" customHeight="1">
      <c r="D1594" t="s">
        <v>503</v>
      </c>
      <c r="E1594" s="1287"/>
      <c r="F1594" s="1968" cm="1">
        <f t="array" ref="F1594:M1594">F968:M968*FE_INDUSTRIA_CH4_LENA*UNIDAD_T_A_MT</f>
        <v>0</v>
      </c>
      <c r="G1594" s="1968">
        <v>0</v>
      </c>
      <c r="H1594" s="1968">
        <v>0</v>
      </c>
      <c r="I1594" s="1968">
        <v>0</v>
      </c>
      <c r="J1594" s="1968">
        <v>0</v>
      </c>
      <c r="K1594" s="1968">
        <v>0</v>
      </c>
      <c r="L1594" s="1968">
        <v>0</v>
      </c>
      <c r="M1594" s="1968">
        <v>0</v>
      </c>
    </row>
    <row r="1595" spans="3:14" ht="15" customHeight="1">
      <c r="D1595" t="s">
        <v>525</v>
      </c>
      <c r="E1595" s="1287"/>
      <c r="F1595" s="1968" cm="1">
        <f t="array" ref="F1595:M1595">F969:M969*FE_INDUSTRIA_CH4_PETROLEP*UNIDAD_T_A_MT</f>
        <v>0</v>
      </c>
      <c r="G1595" s="1968">
        <v>0</v>
      </c>
      <c r="H1595" s="1968">
        <v>0</v>
      </c>
      <c r="I1595" s="1968">
        <v>0</v>
      </c>
      <c r="J1595" s="1968">
        <v>0</v>
      </c>
      <c r="K1595" s="1968">
        <v>0</v>
      </c>
      <c r="L1595" s="1968">
        <v>0</v>
      </c>
      <c r="M1595" s="1968">
        <v>0</v>
      </c>
    </row>
    <row r="1596" spans="3:14" ht="15" customHeight="1">
      <c r="D1596" t="s">
        <v>487</v>
      </c>
      <c r="E1596" s="1287"/>
      <c r="F1596" s="1968" cm="1">
        <f t="array" ref="F1596:M1596">F970:M970*FE_INDUSTRIA_CH4_RESIDUOS*UNIDAD_T_A_MT</f>
        <v>6.8616416703512901E-11</v>
      </c>
      <c r="G1596" s="1968">
        <v>6.8616416703512901E-11</v>
      </c>
      <c r="H1596" s="1968">
        <v>7.7701709763387072E-11</v>
      </c>
      <c r="I1596" s="1968">
        <v>8.6561351698479485E-11</v>
      </c>
      <c r="J1596" s="1968">
        <v>8.6561351698479485E-11</v>
      </c>
      <c r="K1596" s="1968">
        <v>8.6561351698479485E-11</v>
      </c>
      <c r="L1596" s="1968">
        <v>8.6561351698479485E-11</v>
      </c>
      <c r="M1596" s="1968">
        <v>8.6561351698479485E-11</v>
      </c>
    </row>
    <row r="1597" spans="3:14" ht="15" customHeight="1">
      <c r="D1597" t="s">
        <v>494</v>
      </c>
      <c r="E1597" s="1287"/>
      <c r="F1597" s="1968" cm="1">
        <f t="array" ref="F1597:M1597">F971:M971*FE_INDUSTRIA_CH4_GASOLINA*UNIDAD_T_A_MT</f>
        <v>6.3264866935449488E-10</v>
      </c>
      <c r="G1597" s="1968">
        <v>6.3264866935449488E-10</v>
      </c>
      <c r="H1597" s="1968">
        <v>7.1641577409651145E-10</v>
      </c>
      <c r="I1597" s="1968">
        <v>7.9810235801435897E-10</v>
      </c>
      <c r="J1597" s="1968">
        <v>7.9810235801435897E-10</v>
      </c>
      <c r="K1597" s="1968">
        <v>7.9810235801435897E-10</v>
      </c>
      <c r="L1597" s="1968">
        <v>7.9810235801435897E-10</v>
      </c>
      <c r="M1597" s="1968">
        <v>7.9810235801435897E-10</v>
      </c>
    </row>
    <row r="1598" spans="3:14" ht="15" customHeight="1">
      <c r="D1598" t="s">
        <v>1854</v>
      </c>
      <c r="E1598" s="1287"/>
      <c r="F1598" s="1968" cm="1">
        <f t="array" ref="F1598:M1598">F972:M972*FE_INDUSTRIA_CH4_DIESEL_OIL*UNIDAD_T_A_MT</f>
        <v>8.0310660057716008E-10</v>
      </c>
      <c r="G1598" s="1968">
        <v>8.0310660057716008E-10</v>
      </c>
      <c r="H1598" s="1968">
        <v>9.0944352656515404E-10</v>
      </c>
      <c r="I1598" s="1968">
        <v>1.0131393658213399E-9</v>
      </c>
      <c r="J1598" s="1968">
        <v>1.0131393658213399E-9</v>
      </c>
      <c r="K1598" s="1968">
        <v>1.0131393658213399E-9</v>
      </c>
      <c r="L1598" s="1968">
        <v>1.0131393658213399E-9</v>
      </c>
      <c r="M1598" s="1968">
        <v>1.0131393658213399E-9</v>
      </c>
    </row>
    <row r="1599" spans="3:14" ht="15" customHeight="1">
      <c r="D1599" t="s">
        <v>506</v>
      </c>
      <c r="E1599" s="1287"/>
      <c r="F1599" s="1968" cm="1">
        <f t="array" ref="F1599:M1599">F973:M973*FE_INDUSTRIA_CH4_CARBON_VEGETAL*UNIDAD_T_A_MT</f>
        <v>0</v>
      </c>
      <c r="G1599" s="1968">
        <v>0</v>
      </c>
      <c r="H1599" s="1968">
        <v>0</v>
      </c>
      <c r="I1599" s="1968">
        <v>0</v>
      </c>
      <c r="J1599" s="1968">
        <v>0</v>
      </c>
      <c r="K1599" s="1968">
        <v>0</v>
      </c>
      <c r="L1599" s="1968">
        <v>0</v>
      </c>
      <c r="M1599" s="1968">
        <v>0</v>
      </c>
    </row>
    <row r="1600" spans="3:14" ht="15" customHeight="1">
      <c r="D1600" t="s">
        <v>507</v>
      </c>
      <c r="E1600" s="1287"/>
      <c r="F1600" s="1968" cm="1">
        <f t="array" ref="F1600:M1600">F974:M974*FE_INDUSTRIA_CH4_COQUE*UNIDAD_T_A_MT</f>
        <v>0</v>
      </c>
      <c r="G1600" s="1968">
        <v>0</v>
      </c>
      <c r="H1600" s="1968">
        <v>0</v>
      </c>
      <c r="I1600" s="1968">
        <v>0</v>
      </c>
      <c r="J1600" s="1968">
        <v>0</v>
      </c>
      <c r="K1600" s="1968">
        <v>0</v>
      </c>
      <c r="L1600" s="1968">
        <v>0</v>
      </c>
      <c r="M1600" s="1968">
        <v>0</v>
      </c>
    </row>
    <row r="1601" spans="3:13" ht="15" customHeight="1">
      <c r="D1601" t="s">
        <v>570</v>
      </c>
      <c r="E1601" s="1287"/>
      <c r="F1601" s="1968" cm="1">
        <f t="array" ref="F1601:M1601">F975:M975*FE_INDUSTRIA_CH4_FUEL_OIL*UNIDAD_T_A_MT</f>
        <v>9.4249634889381103E-9</v>
      </c>
      <c r="G1601" s="1968">
        <v>9.4249634889381103E-9</v>
      </c>
      <c r="H1601" s="1968">
        <v>1.0672894516080093E-8</v>
      </c>
      <c r="I1601" s="1968">
        <v>1.1889830721363397E-8</v>
      </c>
      <c r="J1601" s="1968">
        <v>1.1889830721363397E-8</v>
      </c>
      <c r="K1601" s="1968">
        <v>1.1889830721363397E-8</v>
      </c>
      <c r="L1601" s="1968">
        <v>1.1889830721363397E-8</v>
      </c>
      <c r="M1601" s="1968">
        <v>1.1889830721363397E-8</v>
      </c>
    </row>
    <row r="1602" spans="3:13" ht="15" customHeight="1">
      <c r="D1602" t="s">
        <v>498</v>
      </c>
      <c r="E1602" s="1287"/>
      <c r="F1602" s="1968" cm="1">
        <f t="array" ref="F1602:M1602">F976:M976*FE_INDUSTRIA_CH4_GLP*UNIDAD_T_A_MT</f>
        <v>7.5482451379248199E-10</v>
      </c>
      <c r="G1602" s="1968">
        <v>7.5482451379248199E-10</v>
      </c>
      <c r="H1602" s="1968">
        <v>8.5476855409720744E-10</v>
      </c>
      <c r="I1602" s="1968">
        <v>9.522302875614858E-10</v>
      </c>
      <c r="J1602" s="1968">
        <v>9.522302875614858E-10</v>
      </c>
      <c r="K1602" s="1968">
        <v>9.522302875614858E-10</v>
      </c>
      <c r="L1602" s="1968">
        <v>9.522302875614858E-10</v>
      </c>
      <c r="M1602" s="1968">
        <v>9.522302875614858E-10</v>
      </c>
    </row>
    <row r="1603" spans="3:13" ht="15" customHeight="1">
      <c r="D1603" t="s">
        <v>502</v>
      </c>
      <c r="E1603" s="1287"/>
      <c r="F1603" s="1968" cm="1">
        <f t="array" ref="F1603:M1603">F977:M977*FE_INDUSTRIA_CH4_QUEROSENO*UNIDAD_T_A_MT</f>
        <v>4.2622612094022445E-12</v>
      </c>
      <c r="G1603" s="1968">
        <v>4.2622612094022445E-12</v>
      </c>
      <c r="H1603" s="1968">
        <v>4.8266143780102272E-12</v>
      </c>
      <c r="I1603" s="1968">
        <v>5.3769507255392087E-12</v>
      </c>
      <c r="J1603" s="1968">
        <v>5.3769507255392087E-12</v>
      </c>
      <c r="K1603" s="1968">
        <v>5.3769507255392087E-12</v>
      </c>
      <c r="L1603" s="1968">
        <v>5.3769507255392087E-12</v>
      </c>
      <c r="M1603" s="1968">
        <v>5.3769507255392087E-12</v>
      </c>
    </row>
    <row r="1604" spans="3:13" ht="15" customHeight="1">
      <c r="D1604" t="s">
        <v>571</v>
      </c>
      <c r="E1604" s="1287"/>
      <c r="F1604" s="1968"/>
      <c r="G1604" s="1968"/>
      <c r="H1604" s="1968"/>
      <c r="I1604" s="1968"/>
      <c r="J1604" s="1968"/>
      <c r="K1604" s="1968"/>
      <c r="L1604" s="1968"/>
      <c r="M1604" s="1968"/>
    </row>
    <row r="1605" spans="3:13" ht="15" customHeight="1">
      <c r="D1605" s="1948" t="s">
        <v>1878</v>
      </c>
      <c r="E1605" s="1287"/>
      <c r="F1605" s="1968"/>
      <c r="G1605" s="1968"/>
      <c r="H1605" s="1968"/>
      <c r="I1605" s="1968"/>
      <c r="J1605" s="1968"/>
      <c r="K1605" s="1968"/>
      <c r="L1605" s="1968"/>
      <c r="M1605" s="1968"/>
    </row>
    <row r="1606" spans="3:13" ht="15" customHeight="1">
      <c r="D1606" s="1948" t="s">
        <v>549</v>
      </c>
      <c r="E1606" s="1287"/>
      <c r="F1606" s="1968"/>
      <c r="G1606" s="1968"/>
      <c r="H1606" s="1968"/>
      <c r="I1606" s="1968"/>
      <c r="J1606" s="1968"/>
      <c r="K1606" s="1968"/>
      <c r="L1606" s="1968"/>
      <c r="M1606" s="1968"/>
    </row>
    <row r="1607" spans="3:13" ht="15" customHeight="1">
      <c r="D1607" s="1974" t="s">
        <v>572</v>
      </c>
      <c r="E1607" s="1478"/>
      <c r="F1607" s="1647"/>
      <c r="G1607" s="1647"/>
      <c r="H1607" s="1647"/>
      <c r="I1607" s="1647"/>
      <c r="J1607" s="1647"/>
      <c r="K1607" s="1647"/>
      <c r="L1607" s="1647"/>
      <c r="M1607" s="1647"/>
    </row>
    <row r="1608" spans="3:13" ht="15" customHeight="1">
      <c r="D1608" s="611" t="s">
        <v>338</v>
      </c>
      <c r="E1608" s="1975"/>
      <c r="F1608" s="1981">
        <f t="shared" ref="F1608:M1608" si="115">SUM(F1591:F1603)</f>
        <v>7.2435123947078943E-7</v>
      </c>
      <c r="G1608" s="1981">
        <f t="shared" si="115"/>
        <v>7.2435123947078943E-7</v>
      </c>
      <c r="H1608" s="1981">
        <f t="shared" si="115"/>
        <v>8.2026040530949912E-7</v>
      </c>
      <c r="I1608" s="1981">
        <f t="shared" si="115"/>
        <v>9.1378747835210836E-7</v>
      </c>
      <c r="J1608" s="1981">
        <f t="shared" si="115"/>
        <v>9.1378747835210836E-7</v>
      </c>
      <c r="K1608" s="1981">
        <f t="shared" si="115"/>
        <v>9.1378747835210836E-7</v>
      </c>
      <c r="L1608" s="1981">
        <f t="shared" si="115"/>
        <v>9.1378747835210836E-7</v>
      </c>
      <c r="M1608" s="1981">
        <f t="shared" si="115"/>
        <v>9.1378747835210836E-7</v>
      </c>
    </row>
    <row r="1609" spans="3:13" ht="15" customHeight="1">
      <c r="C1609" s="186"/>
      <c r="D1609" s="2"/>
      <c r="F1609" s="1969"/>
      <c r="G1609" s="1969"/>
      <c r="H1609" s="1969"/>
      <c r="I1609" s="1969"/>
      <c r="J1609" s="1969"/>
      <c r="K1609" s="1969"/>
      <c r="L1609" s="1969"/>
      <c r="M1609" s="1969"/>
    </row>
    <row r="1610" spans="3:13" ht="15" customHeight="1">
      <c r="C1610" s="186"/>
      <c r="D1610" s="2"/>
      <c r="F1610" s="1969"/>
      <c r="G1610" s="1969"/>
      <c r="H1610" s="1969"/>
      <c r="I1610" s="1969"/>
      <c r="J1610" s="1969"/>
      <c r="K1610" s="1969"/>
      <c r="L1610" s="1969"/>
      <c r="M1610" s="1648" t="s">
        <v>1705</v>
      </c>
    </row>
    <row r="1611" spans="3:13" ht="15" customHeight="1">
      <c r="C1611" s="1743" t="s">
        <v>563</v>
      </c>
      <c r="D1611" s="2859"/>
      <c r="E1611" s="1950"/>
      <c r="F1611" s="1952">
        <v>2018</v>
      </c>
      <c r="G1611" s="1952">
        <v>2020</v>
      </c>
      <c r="H1611" s="1952">
        <v>2025</v>
      </c>
      <c r="I1611" s="1952">
        <v>2030</v>
      </c>
      <c r="J1611" s="1952">
        <v>2035</v>
      </c>
      <c r="K1611" s="1952">
        <v>2040</v>
      </c>
      <c r="L1611" s="1952">
        <v>2045</v>
      </c>
      <c r="M1611" s="1952">
        <v>2050</v>
      </c>
    </row>
    <row r="1612" spans="3:13" ht="15" customHeight="1">
      <c r="D1612" s="628" t="s">
        <v>504</v>
      </c>
      <c r="E1612" s="1554"/>
      <c r="F1612" s="1967" cm="1">
        <f t="array" ref="F1612:M1612">E382:L382*FE_INDUSTRIA_CH4_BAGAZO*UNIDAD_T_A_MT</f>
        <v>6.0898925374651789E-6</v>
      </c>
      <c r="G1612" s="1967">
        <v>6.0898925374651789E-6</v>
      </c>
      <c r="H1612" s="1967">
        <v>7.8103404576512033E-6</v>
      </c>
      <c r="I1612" s="1967">
        <v>9.1908076051779046E-6</v>
      </c>
      <c r="J1612" s="1967">
        <v>9.1908076051779046E-6</v>
      </c>
      <c r="K1612" s="1967">
        <v>9.1908076051779046E-6</v>
      </c>
      <c r="L1612" s="1967">
        <v>9.1908076051779046E-6</v>
      </c>
      <c r="M1612" s="1967">
        <v>9.1908076051779046E-6</v>
      </c>
    </row>
    <row r="1613" spans="3:13" ht="15" customHeight="1">
      <c r="D1613" t="s">
        <v>569</v>
      </c>
      <c r="E1613" s="1287"/>
      <c r="F1613" s="1968" cm="1">
        <f t="array" ref="F1613:M1613">E383:L383*FE_INDUSTRIA_CH4_CARBON_MINERAL*UNIDAD_T_A_MT</f>
        <v>2.7394730000616116E-6</v>
      </c>
      <c r="G1613" s="1968">
        <v>2.7394730000616116E-6</v>
      </c>
      <c r="H1613" s="1968">
        <v>3.5133980892756705E-6</v>
      </c>
      <c r="I1613" s="1968">
        <v>4.1343864654836297E-6</v>
      </c>
      <c r="J1613" s="1968">
        <v>4.1343864654836297E-6</v>
      </c>
      <c r="K1613" s="1968">
        <v>4.1343864654836297E-6</v>
      </c>
      <c r="L1613" s="1968">
        <v>4.1343864654836297E-6</v>
      </c>
      <c r="M1613" s="1968">
        <v>4.1343864654836297E-6</v>
      </c>
    </row>
    <row r="1614" spans="3:13" ht="15" customHeight="1">
      <c r="D1614" t="s">
        <v>513</v>
      </c>
      <c r="E1614" s="1287"/>
      <c r="F1614" s="1968" cm="1">
        <f t="array" ref="F1614:M1614">E384:L384*FE_INDUSTRIA_CH4_GAS_NATURAL*UNIDAD_T_A_MT</f>
        <v>2.6645838714853061E-7</v>
      </c>
      <c r="G1614" s="1968">
        <v>2.6645838714853061E-7</v>
      </c>
      <c r="H1614" s="1968">
        <v>3.4173521266976138E-7</v>
      </c>
      <c r="I1614" s="1968">
        <v>4.021364508490156E-7</v>
      </c>
      <c r="J1614" s="1968">
        <v>4.021364508490156E-7</v>
      </c>
      <c r="K1614" s="1968">
        <v>4.021364508490156E-7</v>
      </c>
      <c r="L1614" s="1968">
        <v>4.021364508490156E-7</v>
      </c>
      <c r="M1614" s="1968">
        <v>4.021364508490156E-7</v>
      </c>
    </row>
    <row r="1615" spans="3:13" ht="15" customHeight="1">
      <c r="D1615" t="s">
        <v>503</v>
      </c>
      <c r="E1615" s="1287"/>
      <c r="F1615" s="1968" cm="1">
        <f t="array" ref="F1615:M1615">E385:L385*FE_INDUSTRIA_CH4_LENA*UNIDAD_T_A_MT</f>
        <v>8.1058336979492209E-8</v>
      </c>
      <c r="G1615" s="1968">
        <v>8.1058336979492209E-8</v>
      </c>
      <c r="H1615" s="1968">
        <v>1.0395802632740178E-7</v>
      </c>
      <c r="I1615" s="1968">
        <v>1.2233246734502827E-7</v>
      </c>
      <c r="J1615" s="1968">
        <v>1.2233246734502827E-7</v>
      </c>
      <c r="K1615" s="1968">
        <v>1.2233246734502827E-7</v>
      </c>
      <c r="L1615" s="1968">
        <v>1.2233246734502827E-7</v>
      </c>
      <c r="M1615" s="1968">
        <v>1.2233246734502827E-7</v>
      </c>
    </row>
    <row r="1616" spans="3:13" ht="15" customHeight="1">
      <c r="D1616" t="s">
        <v>525</v>
      </c>
      <c r="E1616" s="1287"/>
      <c r="F1616" s="1968" cm="1">
        <f t="array" ref="F1616:M1616">E386:L386*FE_INDUSTRIA_CH4_PETROLEP*UNIDAD_T_A_MT</f>
        <v>0</v>
      </c>
      <c r="G1616" s="1968">
        <v>0</v>
      </c>
      <c r="H1616" s="1968">
        <v>0</v>
      </c>
      <c r="I1616" s="1968">
        <v>0</v>
      </c>
      <c r="J1616" s="1968">
        <v>0</v>
      </c>
      <c r="K1616" s="1968">
        <v>0</v>
      </c>
      <c r="L1616" s="1968">
        <v>0</v>
      </c>
      <c r="M1616" s="1968">
        <v>0</v>
      </c>
    </row>
    <row r="1617" spans="3:13" ht="15" customHeight="1">
      <c r="D1617" t="s">
        <v>487</v>
      </c>
      <c r="E1617" s="1287"/>
      <c r="F1617" s="1968" cm="1">
        <f t="array" ref="F1617:M1617">E387:L387*FE_INDUSTRIA_CH4_RESIDUOS*UNIDAD_T_A_MT</f>
        <v>6.045054970673934E-6</v>
      </c>
      <c r="G1617" s="1968">
        <v>6.045054970673934E-6</v>
      </c>
      <c r="H1617" s="1968">
        <v>7.7528358859731512E-6</v>
      </c>
      <c r="I1617" s="1968">
        <v>9.1231391779720974E-6</v>
      </c>
      <c r="J1617" s="1968">
        <v>9.1231391779720974E-6</v>
      </c>
      <c r="K1617" s="1968">
        <v>9.1231391779720974E-6</v>
      </c>
      <c r="L1617" s="1968">
        <v>9.1231391779720974E-6</v>
      </c>
      <c r="M1617" s="1968">
        <v>9.1231391779720974E-6</v>
      </c>
    </row>
    <row r="1618" spans="3:13" ht="15" customHeight="1">
      <c r="D1618" t="s">
        <v>494</v>
      </c>
      <c r="E1618" s="1287"/>
      <c r="F1618" s="1968" cm="1">
        <f t="array" ref="F1618:M1618">E388:L388*FE_INDUSTRIA_CH4_GASOLINA*UNIDAD_T_A_MT</f>
        <v>0</v>
      </c>
      <c r="G1618" s="1968">
        <v>0</v>
      </c>
      <c r="H1618" s="1968">
        <v>0</v>
      </c>
      <c r="I1618" s="1968">
        <v>0</v>
      </c>
      <c r="J1618" s="1968">
        <v>0</v>
      </c>
      <c r="K1618" s="1968">
        <v>0</v>
      </c>
      <c r="L1618" s="1968">
        <v>0</v>
      </c>
      <c r="M1618" s="1968">
        <v>0</v>
      </c>
    </row>
    <row r="1619" spans="3:13" ht="15" customHeight="1">
      <c r="D1619" t="s">
        <v>1854</v>
      </c>
      <c r="E1619" s="1287"/>
      <c r="F1619" s="1968" cm="1">
        <f t="array" ref="F1619:M1619">E389:L389*FE_INDUSTRIA_CH4_DIESEL_OIL*UNIDAD_T_A_MT</f>
        <v>0</v>
      </c>
      <c r="G1619" s="1968">
        <v>0</v>
      </c>
      <c r="H1619" s="1968">
        <v>0</v>
      </c>
      <c r="I1619" s="1968">
        <v>0</v>
      </c>
      <c r="J1619" s="1968">
        <v>0</v>
      </c>
      <c r="K1619" s="1968">
        <v>0</v>
      </c>
      <c r="L1619" s="1968">
        <v>0</v>
      </c>
      <c r="M1619" s="1968">
        <v>0</v>
      </c>
    </row>
    <row r="1620" spans="3:13" ht="15" customHeight="1">
      <c r="D1620" t="s">
        <v>506</v>
      </c>
      <c r="E1620" s="1287"/>
      <c r="F1620" s="1968" cm="1">
        <f t="array" ref="F1620:M1620">E390:L390*FE_INDUSTRIA_CH4_CARBON_VEGETAL*UNIDAD_T_A_MT</f>
        <v>0</v>
      </c>
      <c r="G1620" s="1968">
        <v>0</v>
      </c>
      <c r="H1620" s="1968">
        <v>0</v>
      </c>
      <c r="I1620" s="1968">
        <v>0</v>
      </c>
      <c r="J1620" s="1968">
        <v>0</v>
      </c>
      <c r="K1620" s="1968">
        <v>0</v>
      </c>
      <c r="L1620" s="1968">
        <v>0</v>
      </c>
      <c r="M1620" s="1968">
        <v>0</v>
      </c>
    </row>
    <row r="1621" spans="3:13" ht="15" customHeight="1">
      <c r="D1621" t="s">
        <v>507</v>
      </c>
      <c r="E1621" s="1287"/>
      <c r="F1621" s="1968" cm="1">
        <f t="array" ref="F1621:M1621">E391:L391*FE_INDUSTRIA_CH4_COQUE*UNIDAD_T_A_MT</f>
        <v>0</v>
      </c>
      <c r="G1621" s="1968">
        <v>0</v>
      </c>
      <c r="H1621" s="1968">
        <v>0</v>
      </c>
      <c r="I1621" s="1968">
        <v>0</v>
      </c>
      <c r="J1621" s="1968">
        <v>0</v>
      </c>
      <c r="K1621" s="1968">
        <v>0</v>
      </c>
      <c r="L1621" s="1968">
        <v>0</v>
      </c>
      <c r="M1621" s="1968">
        <v>0</v>
      </c>
    </row>
    <row r="1622" spans="3:13" ht="15" customHeight="1">
      <c r="D1622" t="s">
        <v>570</v>
      </c>
      <c r="E1622" s="1287"/>
      <c r="F1622" s="1968" cm="1">
        <f t="array" ref="F1622:M1622">E392:L392*FE_INDUSTRIA_CH4_FUEL_OIL*UNIDAD_T_A_MT</f>
        <v>0</v>
      </c>
      <c r="G1622" s="1968">
        <v>0</v>
      </c>
      <c r="H1622" s="1968">
        <v>0</v>
      </c>
      <c r="I1622" s="1968">
        <v>0</v>
      </c>
      <c r="J1622" s="1968">
        <v>0</v>
      </c>
      <c r="K1622" s="1968">
        <v>0</v>
      </c>
      <c r="L1622" s="1968">
        <v>0</v>
      </c>
      <c r="M1622" s="1968">
        <v>0</v>
      </c>
    </row>
    <row r="1623" spans="3:13" ht="15" customHeight="1">
      <c r="D1623" t="s">
        <v>498</v>
      </c>
      <c r="E1623" s="1287"/>
      <c r="F1623" s="1968" cm="1">
        <f t="array" ref="F1623:M1623">E393:L393*FE_INDUSTRIA_CH4_GLP*UNIDAD_T_A_MT</f>
        <v>0</v>
      </c>
      <c r="G1623" s="1968">
        <v>0</v>
      </c>
      <c r="H1623" s="1968">
        <v>0</v>
      </c>
      <c r="I1623" s="1968">
        <v>0</v>
      </c>
      <c r="J1623" s="1968">
        <v>0</v>
      </c>
      <c r="K1623" s="1968">
        <v>0</v>
      </c>
      <c r="L1623" s="1968">
        <v>0</v>
      </c>
      <c r="M1623" s="1968">
        <v>0</v>
      </c>
    </row>
    <row r="1624" spans="3:13" ht="15" customHeight="1">
      <c r="D1624" t="s">
        <v>502</v>
      </c>
      <c r="E1624" s="1287"/>
      <c r="F1624" s="1968" cm="1">
        <f t="array" ref="F1624:M1624">E394:L394*FE_INDUSTRIA_CH4_QUEROSENO*UNIDAD_T_A_MT</f>
        <v>0</v>
      </c>
      <c r="G1624" s="1968">
        <v>0</v>
      </c>
      <c r="H1624" s="1968">
        <v>0</v>
      </c>
      <c r="I1624" s="1968">
        <v>0</v>
      </c>
      <c r="J1624" s="1968">
        <v>0</v>
      </c>
      <c r="K1624" s="1968">
        <v>0</v>
      </c>
      <c r="L1624" s="1968">
        <v>0</v>
      </c>
      <c r="M1624" s="1968">
        <v>0</v>
      </c>
    </row>
    <row r="1625" spans="3:13" ht="15" customHeight="1">
      <c r="D1625" t="s">
        <v>571</v>
      </c>
      <c r="E1625" s="1287"/>
      <c r="F1625" s="1968" cm="1">
        <f t="array" ref="F1625:M1625">E395:L395</f>
        <v>0</v>
      </c>
      <c r="G1625" s="1968">
        <v>0</v>
      </c>
      <c r="H1625" s="1968">
        <v>0</v>
      </c>
      <c r="I1625" s="1968">
        <v>0</v>
      </c>
      <c r="J1625" s="1968">
        <v>0</v>
      </c>
      <c r="K1625" s="1968">
        <v>0</v>
      </c>
      <c r="L1625" s="1968">
        <v>0</v>
      </c>
      <c r="M1625" s="1968">
        <v>0</v>
      </c>
    </row>
    <row r="1626" spans="3:13" ht="15" customHeight="1">
      <c r="D1626" s="1948" t="s">
        <v>1878</v>
      </c>
      <c r="E1626" s="1287"/>
      <c r="F1626" s="1968"/>
      <c r="G1626" s="1968"/>
      <c r="H1626" s="1968"/>
      <c r="I1626" s="1968"/>
      <c r="J1626" s="1968"/>
      <c r="K1626" s="1968"/>
      <c r="L1626" s="1968"/>
      <c r="M1626" s="1968"/>
    </row>
    <row r="1627" spans="3:13" ht="15" customHeight="1">
      <c r="D1627" s="1948" t="s">
        <v>549</v>
      </c>
      <c r="E1627" s="1287"/>
      <c r="F1627" s="1968"/>
      <c r="G1627" s="1968"/>
      <c r="H1627" s="1968"/>
      <c r="I1627" s="1968"/>
      <c r="J1627" s="1968"/>
      <c r="K1627" s="1968"/>
      <c r="L1627" s="1968"/>
      <c r="M1627" s="1968"/>
    </row>
    <row r="1628" spans="3:13" ht="15" customHeight="1">
      <c r="D1628" s="1974" t="s">
        <v>572</v>
      </c>
      <c r="E1628" s="1478"/>
      <c r="F1628" s="1647" cm="1">
        <f t="array" ref="F1628:M1628">E397:L397</f>
        <v>0</v>
      </c>
      <c r="G1628" s="1647">
        <v>0</v>
      </c>
      <c r="H1628" s="1647">
        <v>0</v>
      </c>
      <c r="I1628" s="1647">
        <v>0</v>
      </c>
      <c r="J1628" s="1647">
        <v>0</v>
      </c>
      <c r="K1628" s="1647">
        <v>0</v>
      </c>
      <c r="L1628" s="1647">
        <v>0</v>
      </c>
      <c r="M1628" s="1647">
        <v>0</v>
      </c>
    </row>
    <row r="1629" spans="3:13" ht="15" customHeight="1">
      <c r="D1629" s="611" t="s">
        <v>338</v>
      </c>
      <c r="E1629" s="1975"/>
      <c r="F1629" s="1981">
        <f t="shared" ref="F1629:M1629" si="116">SUM(F1612:F1628)</f>
        <v>1.5221937232328749E-5</v>
      </c>
      <c r="G1629" s="1981">
        <f t="shared" si="116"/>
        <v>1.5221937232328749E-5</v>
      </c>
      <c r="H1629" s="1981">
        <f t="shared" si="116"/>
        <v>1.9522267671897187E-5</v>
      </c>
      <c r="I1629" s="1981">
        <f t="shared" si="116"/>
        <v>2.2972802166827676E-5</v>
      </c>
      <c r="J1629" s="1981">
        <f t="shared" si="116"/>
        <v>2.2972802166827676E-5</v>
      </c>
      <c r="K1629" s="1981">
        <f t="shared" si="116"/>
        <v>2.2972802166827676E-5</v>
      </c>
      <c r="L1629" s="1981">
        <f t="shared" si="116"/>
        <v>2.2972802166827676E-5</v>
      </c>
      <c r="M1629" s="1981">
        <f t="shared" si="116"/>
        <v>2.2972802166827676E-5</v>
      </c>
    </row>
    <row r="1630" spans="3:13" ht="15" customHeight="1">
      <c r="C1630" s="186"/>
      <c r="F1630" s="1969"/>
      <c r="G1630" s="1969"/>
      <c r="H1630" s="1969"/>
      <c r="I1630" s="1969"/>
      <c r="J1630" s="1969"/>
      <c r="K1630" s="1969"/>
      <c r="L1630" s="1969"/>
      <c r="M1630" s="1969"/>
    </row>
    <row r="1631" spans="3:13" ht="15" customHeight="1">
      <c r="C1631" s="186"/>
      <c r="F1631" s="1969"/>
      <c r="G1631" s="1969"/>
      <c r="H1631" s="1969"/>
      <c r="I1631" s="1969"/>
      <c r="J1631" s="1969"/>
      <c r="K1631" s="1969"/>
      <c r="L1631" s="1969"/>
      <c r="M1631" s="1648" t="s">
        <v>1705</v>
      </c>
    </row>
    <row r="1632" spans="3:13" ht="15" customHeight="1">
      <c r="C1632" s="1743" t="s">
        <v>564</v>
      </c>
      <c r="D1632" s="2859"/>
      <c r="E1632" s="1950"/>
      <c r="F1632" s="1952">
        <v>2018</v>
      </c>
      <c r="G1632" s="1952">
        <v>2020</v>
      </c>
      <c r="H1632" s="1952">
        <v>2025</v>
      </c>
      <c r="I1632" s="1952">
        <v>2030</v>
      </c>
      <c r="J1632" s="1952">
        <v>2035</v>
      </c>
      <c r="K1632" s="1952">
        <v>2040</v>
      </c>
      <c r="L1632" s="1952">
        <v>2045</v>
      </c>
      <c r="M1632" s="1952">
        <v>2050</v>
      </c>
    </row>
    <row r="1633" spans="4:13" ht="15" customHeight="1">
      <c r="D1633" s="628" t="s">
        <v>504</v>
      </c>
      <c r="E1633" s="1554"/>
      <c r="F1633" s="1967" cm="1">
        <f t="array" ref="F1633:M1633">F1006:M1006*FE_INDUSTRIA_CH4_BAGAZO*UNIDAD_T_A_MT</f>
        <v>0</v>
      </c>
      <c r="G1633" s="1967">
        <v>0</v>
      </c>
      <c r="H1633" s="1967">
        <v>0</v>
      </c>
      <c r="I1633" s="1967">
        <v>0</v>
      </c>
      <c r="J1633" s="1967">
        <v>0</v>
      </c>
      <c r="K1633" s="1967">
        <v>0</v>
      </c>
      <c r="L1633" s="1967">
        <v>0</v>
      </c>
      <c r="M1633" s="1967">
        <v>0</v>
      </c>
    </row>
    <row r="1634" spans="4:13" ht="15" customHeight="1">
      <c r="D1634" t="s">
        <v>569</v>
      </c>
      <c r="E1634" s="1287"/>
      <c r="F1634" s="1968" cm="1">
        <f t="array" ref="F1634:M1634">F1007:M1007*FE_INDUSTRIA_CH4_CARBON_MINERAL*UNIDAD_T_A_MT</f>
        <v>6.1953724213428935E-8</v>
      </c>
      <c r="G1634" s="1968">
        <v>6.1953724213428935E-8</v>
      </c>
      <c r="H1634" s="1968">
        <v>7.0837919109690025E-8</v>
      </c>
      <c r="I1634" s="1968">
        <v>7.9702863482968659E-8</v>
      </c>
      <c r="J1634" s="1968">
        <v>7.9702863482968659E-8</v>
      </c>
      <c r="K1634" s="1968">
        <v>7.9702863482968659E-8</v>
      </c>
      <c r="L1634" s="1968">
        <v>7.9702863482968659E-8</v>
      </c>
      <c r="M1634" s="1968">
        <v>7.9702863482968659E-8</v>
      </c>
    </row>
    <row r="1635" spans="4:13" ht="15" customHeight="1">
      <c r="D1635" t="s">
        <v>513</v>
      </c>
      <c r="E1635" s="1287"/>
      <c r="F1635" s="1968" cm="1">
        <f t="array" ref="F1635:M1635">F1008:M1008*FE_INDUSTRIA_CH4_GAS_NATURAL*UNIDAD_T_A_MT</f>
        <v>1.2734682306717348E-8</v>
      </c>
      <c r="G1635" s="1968">
        <v>1.2734682306717348E-8</v>
      </c>
      <c r="H1635" s="1968">
        <v>1.456084208954315E-8</v>
      </c>
      <c r="I1635" s="1968">
        <v>1.6383044898070268E-8</v>
      </c>
      <c r="J1635" s="1968">
        <v>1.6383044898070268E-8</v>
      </c>
      <c r="K1635" s="1968">
        <v>1.6383044898070268E-8</v>
      </c>
      <c r="L1635" s="1968">
        <v>1.6383044898070268E-8</v>
      </c>
      <c r="M1635" s="1968">
        <v>1.6383044898070268E-8</v>
      </c>
    </row>
    <row r="1636" spans="4:13" ht="15" customHeight="1">
      <c r="D1636" t="s">
        <v>503</v>
      </c>
      <c r="E1636" s="1287"/>
      <c r="F1636" s="1968" cm="1">
        <f t="array" ref="F1636:M1636">F1009:M1009*FE_INDUSTRIA_CH4_LENA*UNIDAD_T_A_MT</f>
        <v>0</v>
      </c>
      <c r="G1636" s="1968">
        <v>0</v>
      </c>
      <c r="H1636" s="1968">
        <v>0</v>
      </c>
      <c r="I1636" s="1968">
        <v>0</v>
      </c>
      <c r="J1636" s="1968">
        <v>0</v>
      </c>
      <c r="K1636" s="1968">
        <v>0</v>
      </c>
      <c r="L1636" s="1968">
        <v>0</v>
      </c>
      <c r="M1636" s="1968">
        <v>0</v>
      </c>
    </row>
    <row r="1637" spans="4:13" ht="15" customHeight="1">
      <c r="D1637" t="s">
        <v>525</v>
      </c>
      <c r="E1637" s="1287"/>
      <c r="F1637" s="1968" cm="1">
        <f t="array" ref="F1637:M1637">F1010:M1010*FE_INDUSTRIA_CH4_PETROLEP*UNIDAD_T_A_MT</f>
        <v>0</v>
      </c>
      <c r="G1637" s="1968">
        <v>0</v>
      </c>
      <c r="H1637" s="1968">
        <v>0</v>
      </c>
      <c r="I1637" s="1968">
        <v>0</v>
      </c>
      <c r="J1637" s="1968">
        <v>0</v>
      </c>
      <c r="K1637" s="1968">
        <v>0</v>
      </c>
      <c r="L1637" s="1968">
        <v>0</v>
      </c>
      <c r="M1637" s="1968">
        <v>0</v>
      </c>
    </row>
    <row r="1638" spans="4:13" ht="15" customHeight="1">
      <c r="D1638" t="s">
        <v>487</v>
      </c>
      <c r="E1638" s="1287"/>
      <c r="F1638" s="1968" cm="1">
        <f t="array" ref="F1638:M1638">F1011:M1011*FE_INDUSTRIA_CH4_RESIDUOS*UNIDAD_T_A_MT</f>
        <v>0</v>
      </c>
      <c r="G1638" s="1968">
        <v>0</v>
      </c>
      <c r="H1638" s="1968">
        <v>0</v>
      </c>
      <c r="I1638" s="1968">
        <v>0</v>
      </c>
      <c r="J1638" s="1968">
        <v>0</v>
      </c>
      <c r="K1638" s="1968">
        <v>0</v>
      </c>
      <c r="L1638" s="1968">
        <v>0</v>
      </c>
      <c r="M1638" s="1968">
        <v>0</v>
      </c>
    </row>
    <row r="1639" spans="4:13" ht="15" customHeight="1">
      <c r="D1639" t="s">
        <v>494</v>
      </c>
      <c r="E1639" s="1287"/>
      <c r="F1639" s="1968" cm="1">
        <f t="array" ref="F1639:M1639">F1012:M1012*FE_INDUSTRIA_CH4_GASOLINA*UNIDAD_T_A_MT</f>
        <v>1.4265195796700996E-9</v>
      </c>
      <c r="G1639" s="1968">
        <v>1.4265195796700996E-9</v>
      </c>
      <c r="H1639" s="1968">
        <v>1.6310831975966322E-9</v>
      </c>
      <c r="I1639" s="1968">
        <v>1.8352035613313943E-9</v>
      </c>
      <c r="J1639" s="1968">
        <v>1.8352035613313943E-9</v>
      </c>
      <c r="K1639" s="1968">
        <v>1.8352035613313943E-9</v>
      </c>
      <c r="L1639" s="1968">
        <v>1.8352035613313943E-9</v>
      </c>
      <c r="M1639" s="1968">
        <v>1.8352035613313943E-9</v>
      </c>
    </row>
    <row r="1640" spans="4:13" ht="15" customHeight="1">
      <c r="D1640" t="s">
        <v>1854</v>
      </c>
      <c r="E1640" s="1287"/>
      <c r="F1640" s="1968" cm="1">
        <f t="array" ref="F1640:M1640">F1013:M1013*FE_INDUSTRIA_CH4_DIESEL_OIL*UNIDAD_T_A_MT</f>
        <v>1.4046115812502816E-9</v>
      </c>
      <c r="G1640" s="1968">
        <v>1.4046115812502816E-9</v>
      </c>
      <c r="H1640" s="1968">
        <v>1.606033581296376E-9</v>
      </c>
      <c r="I1640" s="1968">
        <v>1.807019134496544E-9</v>
      </c>
      <c r="J1640" s="1968">
        <v>1.807019134496544E-9</v>
      </c>
      <c r="K1640" s="1968">
        <v>1.807019134496544E-9</v>
      </c>
      <c r="L1640" s="1968">
        <v>1.807019134496544E-9</v>
      </c>
      <c r="M1640" s="1968">
        <v>1.807019134496544E-9</v>
      </c>
    </row>
    <row r="1641" spans="4:13" ht="15" customHeight="1">
      <c r="D1641" t="s">
        <v>506</v>
      </c>
      <c r="E1641" s="1287"/>
      <c r="F1641" s="1968" cm="1">
        <f t="array" ref="F1641:M1641">F1014:M1014*FE_INDUSTRIA_CH4_CARBON_VEGETAL*UNIDAD_T_A_MT</f>
        <v>0</v>
      </c>
      <c r="G1641" s="1968">
        <v>0</v>
      </c>
      <c r="H1641" s="1968">
        <v>0</v>
      </c>
      <c r="I1641" s="1968">
        <v>0</v>
      </c>
      <c r="J1641" s="1968">
        <v>0</v>
      </c>
      <c r="K1641" s="1968">
        <v>0</v>
      </c>
      <c r="L1641" s="1968">
        <v>0</v>
      </c>
      <c r="M1641" s="1968">
        <v>0</v>
      </c>
    </row>
    <row r="1642" spans="4:13" ht="15" customHeight="1">
      <c r="D1642" t="s">
        <v>507</v>
      </c>
      <c r="E1642" s="1287"/>
      <c r="F1642" s="1968" cm="1">
        <f t="array" ref="F1642:M1642">F1015:M1015*FE_INDUSTRIA_CH4_COQUE*UNIDAD_T_A_MT</f>
        <v>0</v>
      </c>
      <c r="G1642" s="1968">
        <v>0</v>
      </c>
      <c r="H1642" s="1968">
        <v>0</v>
      </c>
      <c r="I1642" s="1968">
        <v>0</v>
      </c>
      <c r="J1642" s="1968">
        <v>0</v>
      </c>
      <c r="K1642" s="1968">
        <v>0</v>
      </c>
      <c r="L1642" s="1968">
        <v>0</v>
      </c>
      <c r="M1642" s="1968">
        <v>0</v>
      </c>
    </row>
    <row r="1643" spans="4:13" ht="15" customHeight="1">
      <c r="D1643" t="s">
        <v>570</v>
      </c>
      <c r="E1643" s="1287"/>
      <c r="F1643" s="1968" cm="1">
        <f t="array" ref="F1643:M1643">F1016:M1016*FE_INDUSTRIA_CH4_FUEL_OIL*UNIDAD_T_A_MT</f>
        <v>1.0591470370604806E-10</v>
      </c>
      <c r="G1643" s="1968">
        <v>1.0591470370604806E-10</v>
      </c>
      <c r="H1643" s="1968">
        <v>1.2110292494780382E-10</v>
      </c>
      <c r="I1643" s="1968">
        <v>1.3625823592526536E-10</v>
      </c>
      <c r="J1643" s="1968">
        <v>1.3625823592526536E-10</v>
      </c>
      <c r="K1643" s="1968">
        <v>1.3625823592526536E-10</v>
      </c>
      <c r="L1643" s="1968">
        <v>1.3625823592526536E-10</v>
      </c>
      <c r="M1643" s="1968">
        <v>1.3625823592526536E-10</v>
      </c>
    </row>
    <row r="1644" spans="4:13" ht="15" customHeight="1">
      <c r="D1644" t="s">
        <v>498</v>
      </c>
      <c r="E1644" s="1287"/>
      <c r="F1644" s="1968" cm="1">
        <f t="array" ref="F1644:M1644">F1017:M1017*FE_INDUSTRIA_CH4_GLP*UNIDAD_T_A_MT</f>
        <v>6.0330224172276588E-10</v>
      </c>
      <c r="G1644" s="1968">
        <v>6.0330224172276588E-10</v>
      </c>
      <c r="H1644" s="1968">
        <v>6.8981608354366626E-10</v>
      </c>
      <c r="I1644" s="1968">
        <v>7.7614246474267341E-10</v>
      </c>
      <c r="J1644" s="1968">
        <v>7.7614246474267341E-10</v>
      </c>
      <c r="K1644" s="1968">
        <v>7.7614246474267341E-10</v>
      </c>
      <c r="L1644" s="1968">
        <v>7.7614246474267341E-10</v>
      </c>
      <c r="M1644" s="1968">
        <v>7.7614246474267341E-10</v>
      </c>
    </row>
    <row r="1645" spans="4:13" ht="15" customHeight="1">
      <c r="D1645" t="s">
        <v>502</v>
      </c>
      <c r="E1645" s="1287"/>
      <c r="F1645" s="1968" cm="1">
        <f t="array" ref="F1645:M1645">F1018:M1018*FE_INDUSTRIA_CH4_QUEROSENO*UNIDAD_T_A_MT</f>
        <v>0</v>
      </c>
      <c r="G1645" s="1968">
        <v>0</v>
      </c>
      <c r="H1645" s="1968">
        <v>0</v>
      </c>
      <c r="I1645" s="1968">
        <v>0</v>
      </c>
      <c r="J1645" s="1968">
        <v>0</v>
      </c>
      <c r="K1645" s="1968">
        <v>0</v>
      </c>
      <c r="L1645" s="1968">
        <v>0</v>
      </c>
      <c r="M1645" s="1968">
        <v>0</v>
      </c>
    </row>
    <row r="1646" spans="4:13" ht="15" customHeight="1">
      <c r="D1646" t="s">
        <v>571</v>
      </c>
      <c r="E1646" s="1287"/>
      <c r="F1646" s="1968"/>
      <c r="G1646" s="1968"/>
      <c r="H1646" s="1968"/>
      <c r="I1646" s="1968"/>
      <c r="J1646" s="1968"/>
      <c r="K1646" s="1968"/>
      <c r="L1646" s="1968"/>
      <c r="M1646" s="1968"/>
    </row>
    <row r="1647" spans="4:13" ht="15" customHeight="1">
      <c r="D1647" s="1948" t="s">
        <v>1878</v>
      </c>
      <c r="E1647" s="1287"/>
      <c r="F1647" s="1968"/>
      <c r="G1647" s="1968"/>
      <c r="H1647" s="1968"/>
      <c r="I1647" s="1968"/>
      <c r="J1647" s="1968"/>
      <c r="K1647" s="1968"/>
      <c r="L1647" s="1968"/>
      <c r="M1647" s="1968"/>
    </row>
    <row r="1648" spans="4:13" ht="15" customHeight="1">
      <c r="D1648" s="1948" t="s">
        <v>549</v>
      </c>
      <c r="E1648" s="1287"/>
      <c r="F1648" s="1968"/>
      <c r="G1648" s="1968"/>
      <c r="H1648" s="1968"/>
      <c r="I1648" s="1968"/>
      <c r="J1648" s="1968"/>
      <c r="K1648" s="1968"/>
      <c r="L1648" s="1968"/>
      <c r="M1648" s="1968"/>
    </row>
    <row r="1649" spans="3:13" ht="15" customHeight="1">
      <c r="D1649" s="1974" t="s">
        <v>572</v>
      </c>
      <c r="E1649" s="1478"/>
      <c r="F1649" s="1647"/>
      <c r="G1649" s="1647"/>
      <c r="H1649" s="1647"/>
      <c r="I1649" s="1647"/>
      <c r="J1649" s="1647"/>
      <c r="K1649" s="1647"/>
      <c r="L1649" s="1647"/>
      <c r="M1649" s="1647"/>
    </row>
    <row r="1650" spans="3:13" ht="15" customHeight="1">
      <c r="D1650" s="611" t="s">
        <v>338</v>
      </c>
      <c r="E1650" s="1975"/>
      <c r="F1650" s="1981">
        <f t="shared" ref="F1650:M1650" si="117">SUM(F1633:F1645)</f>
        <v>7.8228754626495478E-8</v>
      </c>
      <c r="G1650" s="1981">
        <f t="shared" si="117"/>
        <v>7.8228754626495478E-8</v>
      </c>
      <c r="H1650" s="1981">
        <f t="shared" si="117"/>
        <v>8.9446796986617659E-8</v>
      </c>
      <c r="I1650" s="1981">
        <f t="shared" si="117"/>
        <v>1.0064053177753481E-7</v>
      </c>
      <c r="J1650" s="1981">
        <f t="shared" si="117"/>
        <v>1.0064053177753481E-7</v>
      </c>
      <c r="K1650" s="1981">
        <f t="shared" si="117"/>
        <v>1.0064053177753481E-7</v>
      </c>
      <c r="L1650" s="1981">
        <f t="shared" si="117"/>
        <v>1.0064053177753481E-7</v>
      </c>
      <c r="M1650" s="1981">
        <f t="shared" si="117"/>
        <v>1.0064053177753481E-7</v>
      </c>
    </row>
    <row r="1651" spans="3:13" ht="15" customHeight="1">
      <c r="D1651" s="2"/>
      <c r="F1651" s="1969"/>
      <c r="G1651" s="1969"/>
      <c r="H1651" s="1969"/>
      <c r="I1651" s="1969"/>
      <c r="J1651" s="1969"/>
      <c r="K1651" s="1969"/>
      <c r="L1651" s="1969"/>
      <c r="M1651" s="1969"/>
    </row>
    <row r="1652" spans="3:13" ht="15" customHeight="1">
      <c r="D1652" s="2"/>
      <c r="F1652" s="1969"/>
      <c r="G1652" s="1969"/>
      <c r="H1652" s="1969"/>
      <c r="I1652" s="1969"/>
      <c r="J1652" s="1969"/>
      <c r="K1652" s="1969"/>
      <c r="L1652" s="1969"/>
      <c r="M1652" s="1969"/>
    </row>
    <row r="1653" spans="3:13" ht="15" customHeight="1">
      <c r="C1653" s="623" t="s">
        <v>1907</v>
      </c>
      <c r="E1653" s="1287"/>
      <c r="F1653" s="1650"/>
      <c r="G1653" s="1650"/>
      <c r="H1653" s="1650"/>
      <c r="I1653" s="1650"/>
      <c r="J1653" s="1650"/>
      <c r="K1653" s="1650"/>
      <c r="L1653" s="1650"/>
      <c r="M1653" s="1650"/>
    </row>
    <row r="1654" spans="3:13" ht="15" customHeight="1">
      <c r="C1654" s="623"/>
      <c r="E1654" s="1287"/>
      <c r="F1654" s="1650"/>
      <c r="G1654" s="1650"/>
      <c r="H1654" s="1650"/>
      <c r="I1654" s="1650"/>
      <c r="J1654" s="1650"/>
      <c r="K1654" s="1650"/>
      <c r="L1654" s="1650"/>
      <c r="M1654" s="1651" t="s">
        <v>1706</v>
      </c>
    </row>
    <row r="1655" spans="3:13" ht="15" customHeight="1">
      <c r="C1655" s="1743" t="s">
        <v>917</v>
      </c>
      <c r="D1655" s="2859"/>
      <c r="E1655" s="1950"/>
      <c r="F1655" s="1952">
        <v>2018</v>
      </c>
      <c r="G1655" s="1952">
        <v>2020</v>
      </c>
      <c r="H1655" s="1952">
        <v>2025</v>
      </c>
      <c r="I1655" s="1952">
        <v>2030</v>
      </c>
      <c r="J1655" s="1952">
        <v>2035</v>
      </c>
      <c r="K1655" s="1952">
        <v>2040</v>
      </c>
      <c r="L1655" s="1952">
        <v>2045</v>
      </c>
      <c r="M1655" s="1952">
        <v>2050</v>
      </c>
    </row>
    <row r="1656" spans="3:13" ht="15" customHeight="1">
      <c r="D1656" s="628" t="s">
        <v>504</v>
      </c>
      <c r="E1656" s="1554"/>
      <c r="F1656" s="1967" cm="1">
        <f t="array" ref="F1656:M1656">F865:M865*FE_INDUSTRIA_N2O_BAGAZO*UNIDAD_T_A_MT</f>
        <v>0</v>
      </c>
      <c r="G1656" s="1967">
        <v>0</v>
      </c>
      <c r="H1656" s="1967">
        <v>0</v>
      </c>
      <c r="I1656" s="1967">
        <v>0</v>
      </c>
      <c r="J1656" s="1967">
        <v>0</v>
      </c>
      <c r="K1656" s="1967">
        <v>0</v>
      </c>
      <c r="L1656" s="1967">
        <v>0</v>
      </c>
      <c r="M1656" s="1967">
        <v>0</v>
      </c>
    </row>
    <row r="1657" spans="3:13" ht="15" customHeight="1">
      <c r="D1657" t="s">
        <v>569</v>
      </c>
      <c r="E1657" s="1287"/>
      <c r="F1657" s="1968" cm="1">
        <f t="array" ref="F1657:M1657">F866:M866*FE_INDUSTRIA_N2O_CARBON_MINERAL*UNIDAD_T_A_MT</f>
        <v>5.5382847446252176E-6</v>
      </c>
      <c r="G1657" s="1968">
        <v>5.5382847446252176E-6</v>
      </c>
      <c r="H1657" s="1968">
        <v>6.4275935760443427E-6</v>
      </c>
      <c r="I1657" s="1968">
        <v>7.3409460582006522E-6</v>
      </c>
      <c r="J1657" s="1968">
        <v>7.3409460582006522E-6</v>
      </c>
      <c r="K1657" s="1968">
        <v>7.3409460582006522E-6</v>
      </c>
      <c r="L1657" s="1968">
        <v>7.3409460582006522E-6</v>
      </c>
      <c r="M1657" s="1968">
        <v>7.3409460582006522E-6</v>
      </c>
    </row>
    <row r="1658" spans="3:13" ht="15" customHeight="1">
      <c r="D1658" t="s">
        <v>513</v>
      </c>
      <c r="E1658" s="1287"/>
      <c r="F1658" s="1968" cm="1">
        <f t="array" ref="F1658:M1658">F867:M867*FE_INDUSTRIA_N2O_GAS_NATURAL*UNIDAD_T_A_MT</f>
        <v>1.0591945843406679E-7</v>
      </c>
      <c r="G1658" s="1968">
        <v>1.0591945843406679E-7</v>
      </c>
      <c r="H1658" s="1968">
        <v>1.229274517294568E-7</v>
      </c>
      <c r="I1658" s="1968">
        <v>1.4039527881496244E-7</v>
      </c>
      <c r="J1658" s="1968">
        <v>1.4039527881496244E-7</v>
      </c>
      <c r="K1658" s="1968">
        <v>1.4039527881496244E-7</v>
      </c>
      <c r="L1658" s="1968">
        <v>1.4039527881496244E-7</v>
      </c>
      <c r="M1658" s="1968">
        <v>1.4039527881496244E-7</v>
      </c>
    </row>
    <row r="1659" spans="3:13" ht="15" customHeight="1">
      <c r="D1659" t="s">
        <v>503</v>
      </c>
      <c r="E1659" s="1287"/>
      <c r="F1659" s="1968" cm="1">
        <f t="array" ref="F1659:M1659">F868:M868*FE_INDUSTRIA_N2O_LENA*UNIDAD_T_A_MT</f>
        <v>7.1190196698909027E-8</v>
      </c>
      <c r="G1659" s="1968">
        <v>7.1190196698909027E-8</v>
      </c>
      <c r="H1659" s="1968">
        <v>8.262154657600684E-8</v>
      </c>
      <c r="I1659" s="1968">
        <v>9.4361958248275377E-8</v>
      </c>
      <c r="J1659" s="1968">
        <v>9.4361958248275377E-8</v>
      </c>
      <c r="K1659" s="1968">
        <v>9.4361958248275377E-8</v>
      </c>
      <c r="L1659" s="1968">
        <v>9.4361958248275377E-8</v>
      </c>
      <c r="M1659" s="1968">
        <v>9.4361958248275377E-8</v>
      </c>
    </row>
    <row r="1660" spans="3:13" ht="15" customHeight="1">
      <c r="D1660" t="s">
        <v>525</v>
      </c>
      <c r="E1660" s="1287"/>
      <c r="F1660" s="1968" cm="1">
        <f t="array" ref="F1660:M1660">F869:M869*FE_INDUSTRIA_N2O_PETROLEO*UNIDAD_T_A_MT</f>
        <v>1.8984191113128081E-9</v>
      </c>
      <c r="G1660" s="1968">
        <v>1.8984191113128081E-9</v>
      </c>
      <c r="H1660" s="1968">
        <v>2.203257334566635E-9</v>
      </c>
      <c r="I1660" s="1968">
        <v>2.5163372658889219E-9</v>
      </c>
      <c r="J1660" s="1968">
        <v>2.5163372658889219E-9</v>
      </c>
      <c r="K1660" s="1968">
        <v>2.5163372658889219E-9</v>
      </c>
      <c r="L1660" s="1968">
        <v>2.5163372658889219E-9</v>
      </c>
      <c r="M1660" s="1968">
        <v>2.5163372658889219E-9</v>
      </c>
    </row>
    <row r="1661" spans="3:13" ht="15" customHeight="1">
      <c r="D1661" t="s">
        <v>487</v>
      </c>
      <c r="E1661" s="1287"/>
      <c r="F1661" s="1968" cm="1">
        <f t="array" ref="F1661:M1661">F870:M870*FE_INDUSTRIA_N2O_RESIDUOS*UNIDAD_T_A_MT</f>
        <v>2.338582808506327E-8</v>
      </c>
      <c r="G1661" s="1968">
        <v>2.338582808506327E-8</v>
      </c>
      <c r="H1661" s="1968">
        <v>2.7141002187709293E-8</v>
      </c>
      <c r="I1661" s="1968">
        <v>3.0997702432221314E-8</v>
      </c>
      <c r="J1661" s="1968">
        <v>3.0997702432221314E-8</v>
      </c>
      <c r="K1661" s="1968">
        <v>3.0997702432221314E-8</v>
      </c>
      <c r="L1661" s="1968">
        <v>3.0997702432221314E-8</v>
      </c>
      <c r="M1661" s="1968">
        <v>3.0997702432221314E-8</v>
      </c>
    </row>
    <row r="1662" spans="3:13" ht="15" customHeight="1">
      <c r="D1662" t="s">
        <v>494</v>
      </c>
      <c r="E1662" s="1287"/>
      <c r="F1662" s="1968" cm="1">
        <f t="array" ref="F1662:M1662">F871:M871*FE_INDUSTRIA_N2O_GASOLINA*UNIDAD_T_A_MT</f>
        <v>1.6756245310511741E-9</v>
      </c>
      <c r="G1662" s="1968">
        <v>1.6756245310511741E-9</v>
      </c>
      <c r="H1662" s="1968">
        <v>1.9446875645206055E-9</v>
      </c>
      <c r="I1662" s="1968">
        <v>2.2210250760728684E-9</v>
      </c>
      <c r="J1662" s="1968">
        <v>2.2210250760728684E-9</v>
      </c>
      <c r="K1662" s="1968">
        <v>2.2210250760728684E-9</v>
      </c>
      <c r="L1662" s="1968">
        <v>2.2210250760728684E-9</v>
      </c>
      <c r="M1662" s="1968">
        <v>2.2210250760728684E-9</v>
      </c>
    </row>
    <row r="1663" spans="3:13" ht="15" customHeight="1">
      <c r="D1663" t="s">
        <v>1854</v>
      </c>
      <c r="E1663" s="1287"/>
      <c r="F1663" s="1968" cm="1">
        <f t="array" ref="F1663:M1663">F872:M872*FE_INDUSTRIA_N2O_DIESEL_OIL*UNIDAD_T_A_MT</f>
        <v>5.6162161588401944E-8</v>
      </c>
      <c r="G1663" s="1968">
        <v>5.6162161588401944E-8</v>
      </c>
      <c r="H1663" s="1968">
        <v>6.5180388096279624E-8</v>
      </c>
      <c r="I1663" s="1968">
        <v>7.4442434389549816E-8</v>
      </c>
      <c r="J1663" s="1968">
        <v>7.4442434389549816E-8</v>
      </c>
      <c r="K1663" s="1968">
        <v>7.4442434389549816E-8</v>
      </c>
      <c r="L1663" s="1968">
        <v>7.4442434389549816E-8</v>
      </c>
      <c r="M1663" s="1968">
        <v>7.4442434389549816E-8</v>
      </c>
    </row>
    <row r="1664" spans="3:13" ht="15" customHeight="1">
      <c r="D1664" t="s">
        <v>506</v>
      </c>
      <c r="E1664" s="1287"/>
      <c r="F1664" s="1968" cm="1">
        <f t="array" ref="F1664:M1664">F873:M873*FE_INDUSTRIA_N2O_CARBON_VEGETAL*UNIDAD_T_A_MT</f>
        <v>3.807569894676299E-9</v>
      </c>
      <c r="G1664" s="1968">
        <v>3.807569894676299E-9</v>
      </c>
      <c r="H1664" s="1968">
        <v>4.4189695770179042E-9</v>
      </c>
      <c r="I1664" s="1968">
        <v>5.0468992654762719E-9</v>
      </c>
      <c r="J1664" s="1968">
        <v>5.0468992654762719E-9</v>
      </c>
      <c r="K1664" s="1968">
        <v>5.0468992654762719E-9</v>
      </c>
      <c r="L1664" s="1968">
        <v>5.0468992654762719E-9</v>
      </c>
      <c r="M1664" s="1968">
        <v>5.0468992654762719E-9</v>
      </c>
    </row>
    <row r="1665" spans="3:13" ht="15" customHeight="1">
      <c r="D1665" t="s">
        <v>507</v>
      </c>
      <c r="E1665" s="1287"/>
      <c r="F1665" s="1968" cm="1">
        <f t="array" ref="F1665:M1665">F874:M874*FE_INDUSTRIA_N2O_COQUE*UNIDAD_T_A_MT</f>
        <v>2.5091076834164519E-8</v>
      </c>
      <c r="G1665" s="1968">
        <v>2.5091076834164519E-8</v>
      </c>
      <c r="H1665" s="1968">
        <v>2.9120070872452864E-8</v>
      </c>
      <c r="I1665" s="1968">
        <v>3.3257994139886767E-8</v>
      </c>
      <c r="J1665" s="1968">
        <v>3.3257994139886767E-8</v>
      </c>
      <c r="K1665" s="1968">
        <v>3.3257994139886767E-8</v>
      </c>
      <c r="L1665" s="1968">
        <v>3.3257994139886767E-8</v>
      </c>
      <c r="M1665" s="1968">
        <v>3.3257994139886767E-8</v>
      </c>
    </row>
    <row r="1666" spans="3:13" ht="15" customHeight="1">
      <c r="D1666" t="s">
        <v>570</v>
      </c>
      <c r="E1666" s="1287"/>
      <c r="F1666" s="1968" cm="1">
        <f t="array" ref="F1666:M1666">F875:M875*FE_INDUSTRIA_N2O_FUEL_OIL*UNIDAD_T_A_MT</f>
        <v>8.498344105392124E-9</v>
      </c>
      <c r="G1666" s="1968">
        <v>8.498344105392124E-9</v>
      </c>
      <c r="H1666" s="1968">
        <v>9.8629638051463493E-9</v>
      </c>
      <c r="I1666" s="1968">
        <v>1.1264477819103684E-8</v>
      </c>
      <c r="J1666" s="1968">
        <v>1.1264477819103684E-8</v>
      </c>
      <c r="K1666" s="1968">
        <v>1.1264477819103684E-8</v>
      </c>
      <c r="L1666" s="1968">
        <v>1.1264477819103684E-8</v>
      </c>
      <c r="M1666" s="1968">
        <v>1.1264477819103684E-8</v>
      </c>
    </row>
    <row r="1667" spans="3:13" ht="15" customHeight="1">
      <c r="D1667" t="s">
        <v>498</v>
      </c>
      <c r="E1667" s="1287"/>
      <c r="F1667" s="1968" cm="1">
        <f t="array" ref="F1667:M1667">F876:M876*FE_INDUSTRIA_N2O_GLP*UNIDAD_T_A_MT</f>
        <v>1.3707276064479038E-9</v>
      </c>
      <c r="G1667" s="1968">
        <v>1.3707276064479038E-9</v>
      </c>
      <c r="H1667" s="1968">
        <v>1.5908318845941533E-9</v>
      </c>
      <c r="I1667" s="1968">
        <v>1.8168869755542867E-9</v>
      </c>
      <c r="J1667" s="1968">
        <v>1.8168869755542867E-9</v>
      </c>
      <c r="K1667" s="1968">
        <v>1.8168869755542867E-9</v>
      </c>
      <c r="L1667" s="1968">
        <v>1.8168869755542867E-9</v>
      </c>
      <c r="M1667" s="1968">
        <v>1.8168869755542867E-9</v>
      </c>
    </row>
    <row r="1668" spans="3:13" ht="15" customHeight="1">
      <c r="D1668" t="s">
        <v>502</v>
      </c>
      <c r="E1668" s="1287"/>
      <c r="F1668" s="1968" cm="1">
        <f t="array" ref="F1668:M1668">F877:M877*FE_INDUSTRIA_N2O_QUEROSENO*UNIDAD_T_A_MT</f>
        <v>8.3388000538052326E-11</v>
      </c>
      <c r="G1668" s="1968">
        <v>8.3388000538052326E-11</v>
      </c>
      <c r="H1668" s="1968">
        <v>9.6778010032389151E-11</v>
      </c>
      <c r="I1668" s="1968">
        <v>1.1053003629781295E-10</v>
      </c>
      <c r="J1668" s="1968">
        <v>1.1053003629781295E-10</v>
      </c>
      <c r="K1668" s="1968">
        <v>1.1053003629781295E-10</v>
      </c>
      <c r="L1668" s="1968">
        <v>1.1053003629781295E-10</v>
      </c>
      <c r="M1668" s="1968">
        <v>1.1053003629781295E-10</v>
      </c>
    </row>
    <row r="1669" spans="3:13" ht="15" customHeight="1">
      <c r="D1669" t="s">
        <v>571</v>
      </c>
      <c r="E1669" s="1287"/>
      <c r="F1669" s="1968"/>
      <c r="G1669" s="1968"/>
      <c r="H1669" s="1968"/>
      <c r="I1669" s="1968"/>
      <c r="J1669" s="1968"/>
      <c r="K1669" s="1968"/>
      <c r="L1669" s="1968"/>
      <c r="M1669" s="1968"/>
    </row>
    <row r="1670" spans="3:13" ht="15" customHeight="1">
      <c r="D1670" s="1948" t="s">
        <v>1878</v>
      </c>
      <c r="E1670" s="1287"/>
      <c r="F1670" s="1968"/>
      <c r="G1670" s="1968"/>
      <c r="H1670" s="1968"/>
      <c r="I1670" s="1968"/>
      <c r="J1670" s="1968"/>
      <c r="K1670" s="1968"/>
      <c r="L1670" s="1968"/>
      <c r="M1670" s="1968"/>
    </row>
    <row r="1671" spans="3:13" ht="15" customHeight="1">
      <c r="D1671" s="1948" t="s">
        <v>549</v>
      </c>
      <c r="E1671" s="1287"/>
      <c r="F1671" s="1968"/>
      <c r="G1671" s="1968"/>
      <c r="H1671" s="1968"/>
      <c r="I1671" s="1968"/>
      <c r="J1671" s="1968"/>
      <c r="K1671" s="1968"/>
      <c r="L1671" s="1968"/>
      <c r="M1671" s="1968"/>
    </row>
    <row r="1672" spans="3:13" ht="15" customHeight="1">
      <c r="D1672" s="1974" t="s">
        <v>572</v>
      </c>
      <c r="E1672" s="1478"/>
      <c r="F1672" s="1647"/>
      <c r="G1672" s="1647"/>
      <c r="H1672" s="1647"/>
      <c r="I1672" s="1647"/>
      <c r="J1672" s="1647"/>
      <c r="K1672" s="1647"/>
      <c r="L1672" s="1647"/>
      <c r="M1672" s="1647"/>
    </row>
    <row r="1673" spans="3:13" ht="15" customHeight="1">
      <c r="D1673" s="611" t="s">
        <v>338</v>
      </c>
      <c r="E1673" s="1975"/>
      <c r="F1673" s="1981">
        <f t="shared" ref="F1673:M1673" si="118">SUM(F1656:F1668)</f>
        <v>5.837367539515242E-6</v>
      </c>
      <c r="G1673" s="1981">
        <f t="shared" si="118"/>
        <v>5.837367539515242E-6</v>
      </c>
      <c r="H1673" s="1981">
        <f t="shared" si="118"/>
        <v>6.7747015236821277E-6</v>
      </c>
      <c r="I1673" s="1981">
        <f t="shared" si="118"/>
        <v>7.7373775826639409E-6</v>
      </c>
      <c r="J1673" s="1981">
        <f t="shared" si="118"/>
        <v>7.7373775826639409E-6</v>
      </c>
      <c r="K1673" s="1981">
        <f t="shared" si="118"/>
        <v>7.7373775826639409E-6</v>
      </c>
      <c r="L1673" s="1981">
        <f t="shared" si="118"/>
        <v>7.7373775826639409E-6</v>
      </c>
      <c r="M1673" s="1981">
        <f t="shared" si="118"/>
        <v>7.7373775826639409E-6</v>
      </c>
    </row>
    <row r="1674" spans="3:13" ht="15" customHeight="1">
      <c r="C1674" s="186"/>
      <c r="D1674" s="2"/>
      <c r="E1674" s="1287"/>
      <c r="F1674" s="1970"/>
      <c r="G1674" s="1970"/>
      <c r="H1674" s="1970"/>
      <c r="I1674" s="1970"/>
      <c r="J1674" s="1970"/>
      <c r="K1674" s="1970"/>
      <c r="L1674" s="1970"/>
      <c r="M1674" s="1970"/>
    </row>
    <row r="1675" spans="3:13" ht="15" customHeight="1">
      <c r="C1675" s="186"/>
      <c r="D1675" s="2"/>
      <c r="E1675" s="1287"/>
      <c r="F1675" s="1970"/>
      <c r="G1675" s="1970"/>
      <c r="H1675" s="1970"/>
      <c r="I1675" s="1970"/>
      <c r="J1675" s="1970"/>
      <c r="K1675" s="1970"/>
      <c r="L1675" s="1970"/>
      <c r="M1675" s="1651" t="s">
        <v>1706</v>
      </c>
    </row>
    <row r="1676" spans="3:13" ht="15" customHeight="1">
      <c r="C1676" s="1743" t="s">
        <v>558</v>
      </c>
      <c r="D1676" s="2859"/>
      <c r="E1676" s="1950"/>
      <c r="F1676" s="1952">
        <v>2018</v>
      </c>
      <c r="G1676" s="1952">
        <v>2020</v>
      </c>
      <c r="H1676" s="1952">
        <v>2025</v>
      </c>
      <c r="I1676" s="1952">
        <v>2030</v>
      </c>
      <c r="J1676" s="1952">
        <v>2035</v>
      </c>
      <c r="K1676" s="1952">
        <v>2040</v>
      </c>
      <c r="L1676" s="1952">
        <v>2045</v>
      </c>
      <c r="M1676" s="1952">
        <v>2050</v>
      </c>
    </row>
    <row r="1677" spans="3:13" ht="15" customHeight="1">
      <c r="D1677" s="628" t="s">
        <v>504</v>
      </c>
      <c r="E1677" s="1554"/>
      <c r="F1677" s="1967" cm="1">
        <f t="array" ref="F1677:M1677">F885:M885*FE_INDUSTRIA_N2O_BAGAZO*UNIDAD_T_A_MT</f>
        <v>0</v>
      </c>
      <c r="G1677" s="1967">
        <v>0</v>
      </c>
      <c r="H1677" s="1967">
        <v>0</v>
      </c>
      <c r="I1677" s="1967">
        <v>0</v>
      </c>
      <c r="J1677" s="1967">
        <v>0</v>
      </c>
      <c r="K1677" s="1967">
        <v>0</v>
      </c>
      <c r="L1677" s="1967">
        <v>0</v>
      </c>
      <c r="M1677" s="1967">
        <v>0</v>
      </c>
    </row>
    <row r="1678" spans="3:13" ht="15" customHeight="1">
      <c r="D1678" t="s">
        <v>569</v>
      </c>
      <c r="E1678" s="1287"/>
      <c r="F1678" s="1968" cm="1">
        <f t="array" ref="F1678:M1678">F886:M886*FE_INDUSTRIA_N2O_CARBON_MINERAL*UNIDAD_T_A_MT</f>
        <v>3.6906895330798283E-9</v>
      </c>
      <c r="G1678" s="1968">
        <v>3.6906895330798283E-9</v>
      </c>
      <c r="H1678" s="1968">
        <v>4.2334966800409285E-9</v>
      </c>
      <c r="I1678" s="1968">
        <v>4.7788302179933056E-9</v>
      </c>
      <c r="J1678" s="1968">
        <v>4.7788302179933056E-9</v>
      </c>
      <c r="K1678" s="1968">
        <v>4.7788302179933056E-9</v>
      </c>
      <c r="L1678" s="1968">
        <v>4.7788302179933056E-9</v>
      </c>
      <c r="M1678" s="1968">
        <v>4.7788302179933056E-9</v>
      </c>
    </row>
    <row r="1679" spans="3:13" ht="15" customHeight="1">
      <c r="D1679" t="s">
        <v>513</v>
      </c>
      <c r="E1679" s="1287"/>
      <c r="F1679" s="1968" cm="1">
        <f t="array" ref="F1679:M1679">F887:M887*FE_INDUSTRIA_N2O_GAS_NATURAL*UNIDAD_T_A_MT</f>
        <v>9.6610709143409131E-8</v>
      </c>
      <c r="G1679" s="1968">
        <v>9.6610709143409131E-8</v>
      </c>
      <c r="H1679" s="1968">
        <v>1.1081970259192102E-7</v>
      </c>
      <c r="I1679" s="1968">
        <v>1.2509482905515903E-7</v>
      </c>
      <c r="J1679" s="1968">
        <v>1.2509482905515903E-7</v>
      </c>
      <c r="K1679" s="1968">
        <v>1.2509482905515903E-7</v>
      </c>
      <c r="L1679" s="1968">
        <v>1.2509482905515903E-7</v>
      </c>
      <c r="M1679" s="1968">
        <v>1.2509482905515903E-7</v>
      </c>
    </row>
    <row r="1680" spans="3:13" ht="15" customHeight="1">
      <c r="D1680" t="s">
        <v>503</v>
      </c>
      <c r="E1680" s="1287"/>
      <c r="F1680" s="1968" cm="1">
        <f t="array" ref="F1680:M1680">F888:M888*FE_INDUSTRIA_N2O_LENA*UNIDAD_T_A_MT</f>
        <v>0</v>
      </c>
      <c r="G1680" s="1968">
        <v>0</v>
      </c>
      <c r="H1680" s="1968">
        <v>0</v>
      </c>
      <c r="I1680" s="1968">
        <v>0</v>
      </c>
      <c r="J1680" s="1968">
        <v>0</v>
      </c>
      <c r="K1680" s="1968">
        <v>0</v>
      </c>
      <c r="L1680" s="1968">
        <v>0</v>
      </c>
      <c r="M1680" s="1968">
        <v>0</v>
      </c>
    </row>
    <row r="1681" spans="3:13" ht="15" customHeight="1">
      <c r="D1681" t="s">
        <v>525</v>
      </c>
      <c r="E1681" s="1287"/>
      <c r="F1681" s="1968" cm="1">
        <f t="array" ref="F1681:M1681">F889:M889*FE_INDUSTRIA_N2O_PETROLEO*UNIDAD_T_A_MT</f>
        <v>2.1149201570595709E-9</v>
      </c>
      <c r="G1681" s="1968">
        <v>2.1149201570595709E-9</v>
      </c>
      <c r="H1681" s="1968">
        <v>2.4259714568815969E-9</v>
      </c>
      <c r="I1681" s="1968">
        <v>2.7384704848812917E-9</v>
      </c>
      <c r="J1681" s="1968">
        <v>2.7384704848812917E-9</v>
      </c>
      <c r="K1681" s="1968">
        <v>2.7384704848812917E-9</v>
      </c>
      <c r="L1681" s="1968">
        <v>2.7384704848812917E-9</v>
      </c>
      <c r="M1681" s="1968">
        <v>2.7384704848812917E-9</v>
      </c>
    </row>
    <row r="1682" spans="3:13" ht="15" customHeight="1">
      <c r="D1682" t="s">
        <v>487</v>
      </c>
      <c r="E1682" s="1287"/>
      <c r="F1682" s="1968" cm="1">
        <f t="array" ref="F1682:M1682">F890:M890*FE_INDUSTRIA_N2O_RESIDUOS*UNIDAD_T_A_MT</f>
        <v>0</v>
      </c>
      <c r="G1682" s="1968">
        <v>0</v>
      </c>
      <c r="H1682" s="1968">
        <v>0</v>
      </c>
      <c r="I1682" s="1968">
        <v>0</v>
      </c>
      <c r="J1682" s="1968">
        <v>0</v>
      </c>
      <c r="K1682" s="1968">
        <v>0</v>
      </c>
      <c r="L1682" s="1968">
        <v>0</v>
      </c>
      <c r="M1682" s="1968">
        <v>0</v>
      </c>
    </row>
    <row r="1683" spans="3:13" ht="15" customHeight="1">
      <c r="D1683" t="s">
        <v>494</v>
      </c>
      <c r="E1683" s="1287"/>
      <c r="F1683" s="1968" cm="1">
        <f t="array" ref="F1683:M1683">F891:M891*FE_INDUSTRIA_N2O_GASOLINA*UNIDAD_T_A_MT</f>
        <v>2.4411592897246239E-9</v>
      </c>
      <c r="G1683" s="1968">
        <v>2.4411592897246239E-9</v>
      </c>
      <c r="H1683" s="1968">
        <v>2.8001921201635609E-9</v>
      </c>
      <c r="I1683" s="1968">
        <v>3.1608959995440445E-9</v>
      </c>
      <c r="J1683" s="1968">
        <v>3.1608959995440445E-9</v>
      </c>
      <c r="K1683" s="1968">
        <v>3.1608959995440445E-9</v>
      </c>
      <c r="L1683" s="1968">
        <v>3.1608959995440445E-9</v>
      </c>
      <c r="M1683" s="1968">
        <v>3.1608959995440445E-9</v>
      </c>
    </row>
    <row r="1684" spans="3:13" ht="15" customHeight="1">
      <c r="D1684" t="s">
        <v>1854</v>
      </c>
      <c r="E1684" s="1287"/>
      <c r="F1684" s="1968" cm="1">
        <f t="array" ref="F1684:M1684">F892:M892*FE_INDUSTRIA_N2O_DIESEL_OIL*UNIDAD_T_A_MT</f>
        <v>2.6446119631296249E-8</v>
      </c>
      <c r="G1684" s="1968">
        <v>2.6446119631296249E-8</v>
      </c>
      <c r="H1684" s="1968">
        <v>3.0335675394952339E-8</v>
      </c>
      <c r="I1684" s="1968">
        <v>3.4243334344420158E-8</v>
      </c>
      <c r="J1684" s="1968">
        <v>3.4243334344420158E-8</v>
      </c>
      <c r="K1684" s="1968">
        <v>3.4243334344420158E-8</v>
      </c>
      <c r="L1684" s="1968">
        <v>3.4243334344420158E-8</v>
      </c>
      <c r="M1684" s="1968">
        <v>3.4243334344420158E-8</v>
      </c>
    </row>
    <row r="1685" spans="3:13" ht="15" customHeight="1">
      <c r="D1685" t="s">
        <v>506</v>
      </c>
      <c r="E1685" s="1287"/>
      <c r="F1685" s="1968" cm="1">
        <f t="array" ref="F1685:M1685">F893:M893*FE_INDUSTRIA_N2O_CARBON_VEGETAL*UNIDAD_T_A_MT</f>
        <v>4.6095057835015202E-10</v>
      </c>
      <c r="G1685" s="1968">
        <v>4.6095057835015202E-10</v>
      </c>
      <c r="H1685" s="1968">
        <v>5.2874475775259038E-10</v>
      </c>
      <c r="I1685" s="1968">
        <v>5.968544720647332E-10</v>
      </c>
      <c r="J1685" s="1968">
        <v>5.968544720647332E-10</v>
      </c>
      <c r="K1685" s="1968">
        <v>5.968544720647332E-10</v>
      </c>
      <c r="L1685" s="1968">
        <v>5.968544720647332E-10</v>
      </c>
      <c r="M1685" s="1968">
        <v>5.968544720647332E-10</v>
      </c>
    </row>
    <row r="1686" spans="3:13" ht="15" customHeight="1">
      <c r="D1686" t="s">
        <v>507</v>
      </c>
      <c r="E1686" s="1287"/>
      <c r="F1686" s="1968" cm="1">
        <f t="array" ref="F1686:M1686">F894:M894*FE_INDUSTRIA_N2O_COQUE*UNIDAD_T_A_MT</f>
        <v>4.982928657142513E-9</v>
      </c>
      <c r="G1686" s="1968">
        <v>4.982928657142513E-9</v>
      </c>
      <c r="H1686" s="1968">
        <v>5.7157915174972632E-9</v>
      </c>
      <c r="I1686" s="1968">
        <v>6.4520653464411512E-9</v>
      </c>
      <c r="J1686" s="1968">
        <v>6.4520653464411512E-9</v>
      </c>
      <c r="K1686" s="1968">
        <v>6.4520653464411512E-9</v>
      </c>
      <c r="L1686" s="1968">
        <v>6.4520653464411512E-9</v>
      </c>
      <c r="M1686" s="1968">
        <v>6.4520653464411512E-9</v>
      </c>
    </row>
    <row r="1687" spans="3:13" ht="15" customHeight="1">
      <c r="D1687" t="s">
        <v>570</v>
      </c>
      <c r="E1687" s="1287"/>
      <c r="F1687" s="1968" cm="1">
        <f t="array" ref="F1687:M1687">F895:M895*FE_INDUSTRIA_N2O_FUEL_OIL*UNIDAD_T_A_MT</f>
        <v>5.1292849190286851E-10</v>
      </c>
      <c r="G1687" s="1968">
        <v>5.1292849190286851E-10</v>
      </c>
      <c r="H1687" s="1968">
        <v>5.8836730863057015E-10</v>
      </c>
      <c r="I1687" s="1968">
        <v>6.6415724075540772E-10</v>
      </c>
      <c r="J1687" s="1968">
        <v>6.6415724075540772E-10</v>
      </c>
      <c r="K1687" s="1968">
        <v>6.6415724075540772E-10</v>
      </c>
      <c r="L1687" s="1968">
        <v>6.6415724075540772E-10</v>
      </c>
      <c r="M1687" s="1968">
        <v>6.6415724075540772E-10</v>
      </c>
    </row>
    <row r="1688" spans="3:13" ht="15" customHeight="1">
      <c r="D1688" t="s">
        <v>498</v>
      </c>
      <c r="E1688" s="1287"/>
      <c r="F1688" s="1968" cm="1">
        <f t="array" ref="F1688:M1688">F896:M896*FE_INDUSTRIA_N2O_GLP*UNIDAD_T_A_MT</f>
        <v>4.2244078399685318E-10</v>
      </c>
      <c r="G1688" s="1968">
        <v>4.2244078399685318E-10</v>
      </c>
      <c r="H1688" s="1968">
        <v>4.8457114599725458E-10</v>
      </c>
      <c r="I1688" s="1968">
        <v>5.4699068176355302E-10</v>
      </c>
      <c r="J1688" s="1968">
        <v>5.4699068176355302E-10</v>
      </c>
      <c r="K1688" s="1968">
        <v>5.4699068176355302E-10</v>
      </c>
      <c r="L1688" s="1968">
        <v>5.4699068176355302E-10</v>
      </c>
      <c r="M1688" s="1968">
        <v>5.4699068176355302E-10</v>
      </c>
    </row>
    <row r="1689" spans="3:13" ht="15" customHeight="1">
      <c r="D1689" t="s">
        <v>502</v>
      </c>
      <c r="E1689" s="1287"/>
      <c r="F1689" s="1968" cm="1">
        <f t="array" ref="F1689:M1689">F897:M897*FE_INDUSTRIA_N2O_QUEROSENO*UNIDAD_T_A_MT</f>
        <v>6.0424800636653779E-12</v>
      </c>
      <c r="G1689" s="1968">
        <v>6.0424800636653779E-12</v>
      </c>
      <c r="H1689" s="1968">
        <v>6.9311761554199444E-12</v>
      </c>
      <c r="I1689" s="1968">
        <v>7.8240085114310906E-12</v>
      </c>
      <c r="J1689" s="1968">
        <v>7.8240085114310906E-12</v>
      </c>
      <c r="K1689" s="1968">
        <v>7.8240085114310906E-12</v>
      </c>
      <c r="L1689" s="1968">
        <v>7.8240085114310906E-12</v>
      </c>
      <c r="M1689" s="1968">
        <v>7.8240085114310906E-12</v>
      </c>
    </row>
    <row r="1690" spans="3:13" ht="15" customHeight="1">
      <c r="D1690" t="s">
        <v>571</v>
      </c>
      <c r="E1690" s="1287"/>
      <c r="F1690" s="1968"/>
      <c r="G1690" s="1968"/>
      <c r="H1690" s="1968"/>
      <c r="I1690" s="1968"/>
      <c r="J1690" s="1968"/>
      <c r="K1690" s="1968"/>
      <c r="L1690" s="1968"/>
      <c r="M1690" s="1968"/>
    </row>
    <row r="1691" spans="3:13" ht="15" customHeight="1">
      <c r="D1691" s="1948" t="s">
        <v>1878</v>
      </c>
      <c r="E1691" s="1287"/>
      <c r="F1691" s="1968"/>
      <c r="G1691" s="1968"/>
      <c r="H1691" s="1968"/>
      <c r="I1691" s="1968"/>
      <c r="J1691" s="1968"/>
      <c r="K1691" s="1968"/>
      <c r="L1691" s="1968"/>
      <c r="M1691" s="1968"/>
    </row>
    <row r="1692" spans="3:13" ht="15" customHeight="1">
      <c r="D1692" s="1948" t="s">
        <v>549</v>
      </c>
      <c r="E1692" s="1287"/>
      <c r="F1692" s="1968"/>
      <c r="G1692" s="1968"/>
      <c r="H1692" s="1968"/>
      <c r="I1692" s="1968"/>
      <c r="J1692" s="1968"/>
      <c r="K1692" s="1968"/>
      <c r="L1692" s="1968"/>
      <c r="M1692" s="1968"/>
    </row>
    <row r="1693" spans="3:13" ht="15" customHeight="1">
      <c r="D1693" s="1974" t="s">
        <v>572</v>
      </c>
      <c r="E1693" s="1478"/>
      <c r="F1693" s="1647"/>
      <c r="G1693" s="1647"/>
      <c r="H1693" s="1647"/>
      <c r="I1693" s="1647"/>
      <c r="J1693" s="1647"/>
      <c r="K1693" s="1647"/>
      <c r="L1693" s="1647"/>
      <c r="M1693" s="1647"/>
    </row>
    <row r="1694" spans="3:13" ht="15" customHeight="1">
      <c r="D1694" s="611" t="s">
        <v>338</v>
      </c>
      <c r="E1694" s="1975"/>
      <c r="F1694" s="1981">
        <f t="shared" ref="F1694:M1694" si="119">SUM(F1677:F1689)</f>
        <v>1.3768888874602543E-7</v>
      </c>
      <c r="G1694" s="1981">
        <f t="shared" si="119"/>
        <v>1.3768888874602543E-7</v>
      </c>
      <c r="H1694" s="1981">
        <f t="shared" si="119"/>
        <v>1.5793944414999259E-7</v>
      </c>
      <c r="I1694" s="1981">
        <f t="shared" si="119"/>
        <v>1.7828425185153413E-7</v>
      </c>
      <c r="J1694" s="1981">
        <f t="shared" si="119"/>
        <v>1.7828425185153413E-7</v>
      </c>
      <c r="K1694" s="1981">
        <f t="shared" si="119"/>
        <v>1.7828425185153413E-7</v>
      </c>
      <c r="L1694" s="1981">
        <f t="shared" si="119"/>
        <v>1.7828425185153413E-7</v>
      </c>
      <c r="M1694" s="1981">
        <f t="shared" si="119"/>
        <v>1.7828425185153413E-7</v>
      </c>
    </row>
    <row r="1695" spans="3:13" ht="15" customHeight="1">
      <c r="C1695" s="1745"/>
      <c r="D1695" s="2"/>
      <c r="E1695" s="1972"/>
      <c r="F1695" s="1970"/>
      <c r="G1695" s="1970"/>
      <c r="H1695" s="1970"/>
      <c r="I1695" s="1970"/>
      <c r="J1695" s="1970"/>
      <c r="K1695" s="1970"/>
      <c r="L1695" s="1970"/>
      <c r="M1695" s="1970"/>
    </row>
    <row r="1696" spans="3:13" ht="15" customHeight="1">
      <c r="C1696" s="1745"/>
      <c r="D1696" s="2"/>
      <c r="E1696" s="1972"/>
      <c r="F1696" s="1970"/>
      <c r="G1696" s="1970"/>
      <c r="H1696" s="1970"/>
      <c r="I1696" s="1970"/>
      <c r="J1696" s="1970"/>
      <c r="K1696" s="1970"/>
      <c r="L1696" s="1970"/>
      <c r="M1696" s="1651" t="s">
        <v>1706</v>
      </c>
    </row>
    <row r="1697" spans="3:13" ht="15" customHeight="1">
      <c r="C1697" s="1743" t="s">
        <v>559</v>
      </c>
      <c r="D1697" s="2859"/>
      <c r="E1697" s="1950"/>
      <c r="F1697" s="1952">
        <v>2018</v>
      </c>
      <c r="G1697" s="1952">
        <v>2020</v>
      </c>
      <c r="H1697" s="1952">
        <v>2025</v>
      </c>
      <c r="I1697" s="1952">
        <v>2030</v>
      </c>
      <c r="J1697" s="1952">
        <v>2035</v>
      </c>
      <c r="K1697" s="1952">
        <v>2040</v>
      </c>
      <c r="L1697" s="1952">
        <v>2045</v>
      </c>
      <c r="M1697" s="1952">
        <v>2050</v>
      </c>
    </row>
    <row r="1698" spans="3:13" ht="15" customHeight="1">
      <c r="D1698" s="628" t="s">
        <v>504</v>
      </c>
      <c r="E1698" s="1554"/>
      <c r="F1698" s="1967" cm="1">
        <f t="array" ref="F1698:M1698">F905:M905*FE_INDUSTRIA_N2O_BAGAZO*UNIDAD_T_A_MT</f>
        <v>0</v>
      </c>
      <c r="G1698" s="1967">
        <v>0</v>
      </c>
      <c r="H1698" s="1967">
        <v>0</v>
      </c>
      <c r="I1698" s="1967">
        <v>0</v>
      </c>
      <c r="J1698" s="1967">
        <v>0</v>
      </c>
      <c r="K1698" s="1967">
        <v>0</v>
      </c>
      <c r="L1698" s="1967">
        <v>0</v>
      </c>
      <c r="M1698" s="1967">
        <v>0</v>
      </c>
    </row>
    <row r="1699" spans="3:13" ht="15" customHeight="1">
      <c r="D1699" t="s">
        <v>569</v>
      </c>
      <c r="E1699" s="1287"/>
      <c r="F1699" s="1968" cm="1">
        <f t="array" ref="F1699:M1699">F906:M906*FE_INDUSTRIA_N2O_CARBON_MINERAL*UNIDAD_T_A_MT</f>
        <v>1.7837485975775807E-6</v>
      </c>
      <c r="G1699" s="1968">
        <v>1.7837485975775807E-6</v>
      </c>
      <c r="H1699" s="1968">
        <v>2.068650155121658E-6</v>
      </c>
      <c r="I1699" s="1968">
        <v>2.3608829250365443E-6</v>
      </c>
      <c r="J1699" s="1968">
        <v>2.3608829250365443E-6</v>
      </c>
      <c r="K1699" s="1968">
        <v>2.3608829250365443E-6</v>
      </c>
      <c r="L1699" s="1968">
        <v>2.3608829250365443E-6</v>
      </c>
      <c r="M1699" s="1968">
        <v>2.3608829250365443E-6</v>
      </c>
    </row>
    <row r="1700" spans="3:13" ht="15" customHeight="1">
      <c r="D1700" t="s">
        <v>513</v>
      </c>
      <c r="E1700" s="1287"/>
      <c r="F1700" s="1968" cm="1">
        <f t="array" ref="F1700:M1700">F907:M907*FE_INDUSTRIA_N2O_GAS_NATURAL*UNIDAD_T_A_MT</f>
        <v>6.5062396927930944E-8</v>
      </c>
      <c r="G1700" s="1968">
        <v>6.5062396927930944E-8</v>
      </c>
      <c r="H1700" s="1968">
        <v>7.5454207885759788E-8</v>
      </c>
      <c r="I1700" s="1968">
        <v>8.6113425500490994E-8</v>
      </c>
      <c r="J1700" s="1968">
        <v>8.6113425500490994E-8</v>
      </c>
      <c r="K1700" s="1968">
        <v>8.6113425500490994E-8</v>
      </c>
      <c r="L1700" s="1968">
        <v>8.6113425500490994E-8</v>
      </c>
      <c r="M1700" s="1968">
        <v>8.6113425500490994E-8</v>
      </c>
    </row>
    <row r="1701" spans="3:13" ht="15" customHeight="1">
      <c r="D1701" t="s">
        <v>503</v>
      </c>
      <c r="E1701" s="1287"/>
      <c r="F1701" s="1968" cm="1">
        <f t="array" ref="F1701:M1701">F908:M908*FE_INDUSTRIA_N2O_LENA*UNIDAD_T_A_MT</f>
        <v>0</v>
      </c>
      <c r="G1701" s="1968">
        <v>0</v>
      </c>
      <c r="H1701" s="1968">
        <v>0</v>
      </c>
      <c r="I1701" s="1968">
        <v>0</v>
      </c>
      <c r="J1701" s="1968">
        <v>0</v>
      </c>
      <c r="K1701" s="1968">
        <v>0</v>
      </c>
      <c r="L1701" s="1968">
        <v>0</v>
      </c>
      <c r="M1701" s="1968">
        <v>0</v>
      </c>
    </row>
    <row r="1702" spans="3:13" ht="15" customHeight="1">
      <c r="D1702" t="s">
        <v>525</v>
      </c>
      <c r="E1702" s="1287"/>
      <c r="F1702" s="1968" cm="1">
        <f t="array" ref="F1702:M1702">F909:M909*FE_INDUSTRIA_N2O_PETROLEO*UNIDAD_T_A_MT</f>
        <v>0</v>
      </c>
      <c r="G1702" s="1968">
        <v>0</v>
      </c>
      <c r="H1702" s="1968">
        <v>0</v>
      </c>
      <c r="I1702" s="1968">
        <v>0</v>
      </c>
      <c r="J1702" s="1968">
        <v>0</v>
      </c>
      <c r="K1702" s="1968">
        <v>0</v>
      </c>
      <c r="L1702" s="1968">
        <v>0</v>
      </c>
      <c r="M1702" s="1968">
        <v>0</v>
      </c>
    </row>
    <row r="1703" spans="3:13" ht="15" customHeight="1">
      <c r="D1703" t="s">
        <v>487</v>
      </c>
      <c r="E1703" s="1287"/>
      <c r="F1703" s="1968" cm="1">
        <f t="array" ref="F1703:M1703">F910:M910*FE_INDUSTRIA_N2O_RESIDUOS*UNIDAD_T_A_MT</f>
        <v>0</v>
      </c>
      <c r="G1703" s="1968">
        <v>0</v>
      </c>
      <c r="H1703" s="1968">
        <v>0</v>
      </c>
      <c r="I1703" s="1968">
        <v>0</v>
      </c>
      <c r="J1703" s="1968">
        <v>0</v>
      </c>
      <c r="K1703" s="1968">
        <v>0</v>
      </c>
      <c r="L1703" s="1968">
        <v>0</v>
      </c>
      <c r="M1703" s="1968">
        <v>0</v>
      </c>
    </row>
    <row r="1704" spans="3:13" ht="15" customHeight="1">
      <c r="D1704" t="s">
        <v>494</v>
      </c>
      <c r="E1704" s="1287"/>
      <c r="F1704" s="1968" cm="1">
        <f t="array" ref="F1704:M1704">F911:M911*FE_INDUSTRIA_N2O_GASOLINA*UNIDAD_T_A_MT</f>
        <v>2.4815057635180259E-10</v>
      </c>
      <c r="G1704" s="1968">
        <v>2.4815057635180259E-10</v>
      </c>
      <c r="H1704" s="1968">
        <v>2.8778535773528971E-10</v>
      </c>
      <c r="I1704" s="1968">
        <v>3.2844003877147691E-10</v>
      </c>
      <c r="J1704" s="1968">
        <v>3.2844003877147691E-10</v>
      </c>
      <c r="K1704" s="1968">
        <v>3.2844003877147691E-10</v>
      </c>
      <c r="L1704" s="1968">
        <v>3.2844003877147691E-10</v>
      </c>
      <c r="M1704" s="1968">
        <v>3.2844003877147691E-10</v>
      </c>
    </row>
    <row r="1705" spans="3:13" ht="15" customHeight="1">
      <c r="D1705" t="s">
        <v>1854</v>
      </c>
      <c r="E1705" s="1287"/>
      <c r="F1705" s="1968" cm="1">
        <f t="array" ref="F1705:M1705">F912:M912*FE_INDUSTRIA_N2O_DIESEL_OIL*UNIDAD_T_A_MT</f>
        <v>2.0542612029306288E-9</v>
      </c>
      <c r="G1705" s="1968">
        <v>2.0542612029306288E-9</v>
      </c>
      <c r="H1705" s="1968">
        <v>2.3823692205695053E-9</v>
      </c>
      <c r="I1705" s="1968">
        <v>2.7189202582417266E-9</v>
      </c>
      <c r="J1705" s="1968">
        <v>2.7189202582417266E-9</v>
      </c>
      <c r="K1705" s="1968">
        <v>2.7189202582417266E-9</v>
      </c>
      <c r="L1705" s="1968">
        <v>2.7189202582417266E-9</v>
      </c>
      <c r="M1705" s="1968">
        <v>2.7189202582417266E-9</v>
      </c>
    </row>
    <row r="1706" spans="3:13" ht="15" customHeight="1">
      <c r="D1706" t="s">
        <v>506</v>
      </c>
      <c r="E1706" s="1287"/>
      <c r="F1706" s="1968" cm="1">
        <f t="array" ref="F1706:M1706">F913:M913*FE_INDUSTRIA_N2O_CARBON_VEGETAL*UNIDAD_T_A_MT</f>
        <v>0</v>
      </c>
      <c r="G1706" s="1968">
        <v>0</v>
      </c>
      <c r="H1706" s="1968">
        <v>0</v>
      </c>
      <c r="I1706" s="1968">
        <v>0</v>
      </c>
      <c r="J1706" s="1968">
        <v>0</v>
      </c>
      <c r="K1706" s="1968">
        <v>0</v>
      </c>
      <c r="L1706" s="1968">
        <v>0</v>
      </c>
      <c r="M1706" s="1968">
        <v>0</v>
      </c>
    </row>
    <row r="1707" spans="3:13" ht="15" customHeight="1">
      <c r="D1707" t="s">
        <v>507</v>
      </c>
      <c r="E1707" s="1287"/>
      <c r="F1707" s="1968" cm="1">
        <f t="array" ref="F1707:M1707">F914:M914*FE_INDUSTRIA_N2O_COQUE*UNIDAD_T_A_MT</f>
        <v>0</v>
      </c>
      <c r="G1707" s="1968">
        <v>0</v>
      </c>
      <c r="H1707" s="1968">
        <v>0</v>
      </c>
      <c r="I1707" s="1968">
        <v>0</v>
      </c>
      <c r="J1707" s="1968">
        <v>0</v>
      </c>
      <c r="K1707" s="1968">
        <v>0</v>
      </c>
      <c r="L1707" s="1968">
        <v>0</v>
      </c>
      <c r="M1707" s="1968">
        <v>0</v>
      </c>
    </row>
    <row r="1708" spans="3:13" ht="15" customHeight="1">
      <c r="D1708" t="s">
        <v>570</v>
      </c>
      <c r="E1708" s="1287"/>
      <c r="F1708" s="1968" cm="1">
        <f t="array" ref="F1708:M1708">F915:M915*FE_INDUSTRIA_N2O_FUEL_OIL*UNIDAD_T_A_MT</f>
        <v>0</v>
      </c>
      <c r="G1708" s="1968">
        <v>0</v>
      </c>
      <c r="H1708" s="1968">
        <v>0</v>
      </c>
      <c r="I1708" s="1968">
        <v>0</v>
      </c>
      <c r="J1708" s="1968">
        <v>0</v>
      </c>
      <c r="K1708" s="1968">
        <v>0</v>
      </c>
      <c r="L1708" s="1968">
        <v>0</v>
      </c>
      <c r="M1708" s="1968">
        <v>0</v>
      </c>
    </row>
    <row r="1709" spans="3:13" ht="15" customHeight="1">
      <c r="D1709" t="s">
        <v>498</v>
      </c>
      <c r="E1709" s="1287"/>
      <c r="F1709" s="1968" cm="1">
        <f t="array" ref="F1709:M1709">F916:M916*FE_INDUSTRIA_N2O_GLP*UNIDAD_T_A_MT</f>
        <v>3.2992893740443362E-11</v>
      </c>
      <c r="G1709" s="1968">
        <v>3.2992893740443362E-11</v>
      </c>
      <c r="H1709" s="1968">
        <v>3.8262541507681337E-11</v>
      </c>
      <c r="I1709" s="1968">
        <v>4.3667790172415291E-11</v>
      </c>
      <c r="J1709" s="1968">
        <v>4.3667790172415291E-11</v>
      </c>
      <c r="K1709" s="1968">
        <v>4.3667790172415291E-11</v>
      </c>
      <c r="L1709" s="1968">
        <v>4.3667790172415291E-11</v>
      </c>
      <c r="M1709" s="1968">
        <v>4.3667790172415291E-11</v>
      </c>
    </row>
    <row r="1710" spans="3:13" ht="15" customHeight="1">
      <c r="D1710" t="s">
        <v>502</v>
      </c>
      <c r="E1710" s="1287"/>
      <c r="F1710" s="1968" cm="1">
        <f t="array" ref="F1710:M1710">F917:M917*FE_INDUSTRIA_N2O_QUEROSENO*UNIDAD_T_A_MT</f>
        <v>0</v>
      </c>
      <c r="G1710" s="1968">
        <v>0</v>
      </c>
      <c r="H1710" s="1968">
        <v>0</v>
      </c>
      <c r="I1710" s="1968">
        <v>0</v>
      </c>
      <c r="J1710" s="1968">
        <v>0</v>
      </c>
      <c r="K1710" s="1968">
        <v>0</v>
      </c>
      <c r="L1710" s="1968">
        <v>0</v>
      </c>
      <c r="M1710" s="1968">
        <v>0</v>
      </c>
    </row>
    <row r="1711" spans="3:13" ht="15" customHeight="1">
      <c r="D1711" t="s">
        <v>571</v>
      </c>
      <c r="E1711" s="1287"/>
      <c r="F1711" s="1968"/>
      <c r="G1711" s="1968"/>
      <c r="H1711" s="1968"/>
      <c r="I1711" s="1968"/>
      <c r="J1711" s="1968"/>
      <c r="K1711" s="1968"/>
      <c r="L1711" s="1968"/>
      <c r="M1711" s="1968"/>
    </row>
    <row r="1712" spans="3:13" ht="15" customHeight="1">
      <c r="D1712" s="1948" t="s">
        <v>1878</v>
      </c>
      <c r="E1712" s="1287"/>
      <c r="F1712" s="1968"/>
      <c r="G1712" s="1968"/>
      <c r="H1712" s="1968"/>
      <c r="I1712" s="1968"/>
      <c r="J1712" s="1968"/>
      <c r="K1712" s="1968"/>
      <c r="L1712" s="1968"/>
      <c r="M1712" s="1968"/>
    </row>
    <row r="1713" spans="3:13" ht="15" customHeight="1">
      <c r="D1713" s="1948" t="s">
        <v>549</v>
      </c>
      <c r="E1713" s="1287"/>
      <c r="F1713" s="1968"/>
      <c r="G1713" s="1968"/>
      <c r="H1713" s="1968"/>
      <c r="I1713" s="1968"/>
      <c r="J1713" s="1968"/>
      <c r="K1713" s="1968"/>
      <c r="L1713" s="1968"/>
      <c r="M1713" s="1968"/>
    </row>
    <row r="1714" spans="3:13" ht="15" customHeight="1">
      <c r="D1714" s="1974" t="s">
        <v>572</v>
      </c>
      <c r="E1714" s="1478"/>
      <c r="F1714" s="1647"/>
      <c r="G1714" s="1647"/>
      <c r="H1714" s="1647"/>
      <c r="I1714" s="1647"/>
      <c r="J1714" s="1647"/>
      <c r="K1714" s="1647"/>
      <c r="L1714" s="1647"/>
      <c r="M1714" s="1647"/>
    </row>
    <row r="1715" spans="3:13" ht="15" customHeight="1">
      <c r="D1715" s="611" t="s">
        <v>338</v>
      </c>
      <c r="E1715" s="1975"/>
      <c r="F1715" s="1981">
        <f t="shared" ref="F1715:M1715" si="120">SUM(F1698:F1710)</f>
        <v>1.8511463991785347E-6</v>
      </c>
      <c r="G1715" s="1981">
        <f t="shared" si="120"/>
        <v>1.8511463991785347E-6</v>
      </c>
      <c r="H1715" s="1981">
        <f t="shared" si="120"/>
        <v>2.1468127801272304E-6</v>
      </c>
      <c r="I1715" s="1981">
        <f t="shared" si="120"/>
        <v>2.4500873786242207E-6</v>
      </c>
      <c r="J1715" s="1981">
        <f t="shared" si="120"/>
        <v>2.4500873786242207E-6</v>
      </c>
      <c r="K1715" s="1981">
        <f t="shared" si="120"/>
        <v>2.4500873786242207E-6</v>
      </c>
      <c r="L1715" s="1981">
        <f t="shared" si="120"/>
        <v>2.4500873786242207E-6</v>
      </c>
      <c r="M1715" s="1981">
        <f t="shared" si="120"/>
        <v>2.4500873786242207E-6</v>
      </c>
    </row>
    <row r="1716" spans="3:13" ht="15" customHeight="1">
      <c r="C1716" s="186"/>
      <c r="D1716" s="2"/>
      <c r="E1716" s="1287"/>
      <c r="F1716" s="1970"/>
      <c r="G1716" s="1970"/>
      <c r="H1716" s="1970"/>
      <c r="I1716" s="1970"/>
      <c r="J1716" s="1970"/>
      <c r="K1716" s="1970"/>
      <c r="L1716" s="1970"/>
      <c r="M1716" s="1970"/>
    </row>
    <row r="1717" spans="3:13" ht="15" customHeight="1">
      <c r="C1717" s="186"/>
      <c r="D1717" s="2"/>
      <c r="E1717" s="1287"/>
      <c r="F1717" s="1970"/>
      <c r="G1717" s="1970"/>
      <c r="H1717" s="1970"/>
      <c r="I1717" s="1970"/>
      <c r="J1717" s="1970"/>
      <c r="K1717" s="1970"/>
      <c r="L1717" s="1970"/>
      <c r="M1717" s="1651" t="s">
        <v>1706</v>
      </c>
    </row>
    <row r="1718" spans="3:13" ht="15" customHeight="1">
      <c r="C1718" s="1743" t="s">
        <v>1899</v>
      </c>
      <c r="D1718" s="2859"/>
      <c r="E1718" s="1950"/>
      <c r="F1718" s="1952">
        <v>2018</v>
      </c>
      <c r="G1718" s="1952">
        <v>2020</v>
      </c>
      <c r="H1718" s="1952">
        <v>2025</v>
      </c>
      <c r="I1718" s="1952">
        <v>2030</v>
      </c>
      <c r="J1718" s="1952">
        <v>2035</v>
      </c>
      <c r="K1718" s="1952">
        <v>2040</v>
      </c>
      <c r="L1718" s="1952">
        <v>2045</v>
      </c>
      <c r="M1718" s="1952">
        <v>2050</v>
      </c>
    </row>
    <row r="1719" spans="3:13" ht="15" customHeight="1">
      <c r="D1719" s="628" t="s">
        <v>504</v>
      </c>
      <c r="E1719" s="1554"/>
      <c r="F1719" s="1967" cm="1">
        <f t="array" ref="F1719:M1719">F925:M925*FE_INDUSTRIA_N2O_BAGAZO*UNIDAD_T_A_MT</f>
        <v>0</v>
      </c>
      <c r="G1719" s="1967">
        <v>0</v>
      </c>
      <c r="H1719" s="1967">
        <v>0</v>
      </c>
      <c r="I1719" s="1967">
        <v>0</v>
      </c>
      <c r="J1719" s="1967">
        <v>0</v>
      </c>
      <c r="K1719" s="1967">
        <v>0</v>
      </c>
      <c r="L1719" s="1967">
        <v>0</v>
      </c>
      <c r="M1719" s="1967">
        <v>0</v>
      </c>
    </row>
    <row r="1720" spans="3:13" ht="15" customHeight="1">
      <c r="D1720" t="s">
        <v>569</v>
      </c>
      <c r="E1720" s="1287"/>
      <c r="F1720" s="1968" cm="1">
        <f t="array" ref="F1720:M1720">F926:M926*FE_INDUSTRIA_N2O_CARBON_MINERAL*UNIDAD_T_A_MT</f>
        <v>6.3414465013973002E-7</v>
      </c>
      <c r="G1720" s="1968">
        <v>6.3414465013973002E-7</v>
      </c>
      <c r="H1720" s="1968">
        <v>7.3063425724610861E-7</v>
      </c>
      <c r="I1720" s="1968">
        <v>8.284309735640026E-7</v>
      </c>
      <c r="J1720" s="1968">
        <v>8.284309735640026E-7</v>
      </c>
      <c r="K1720" s="1968">
        <v>8.284309735640026E-7</v>
      </c>
      <c r="L1720" s="1968">
        <v>8.284309735640026E-7</v>
      </c>
      <c r="M1720" s="1968">
        <v>8.284309735640026E-7</v>
      </c>
    </row>
    <row r="1721" spans="3:13" ht="15" customHeight="1">
      <c r="D1721" t="s">
        <v>513</v>
      </c>
      <c r="E1721" s="1287"/>
      <c r="F1721" s="1968" cm="1">
        <f t="array" ref="F1721:M1721">F927:M927*FE_INDUSTRIA_N2O_GAS_NATURAL*UNIDAD_T_A_MT</f>
        <v>6.2883384398865814E-8</v>
      </c>
      <c r="G1721" s="1968">
        <v>6.2883384398865814E-8</v>
      </c>
      <c r="H1721" s="1968">
        <v>7.2451537426458134E-8</v>
      </c>
      <c r="I1721" s="1968">
        <v>8.214930670324679E-8</v>
      </c>
      <c r="J1721" s="1968">
        <v>8.214930670324679E-8</v>
      </c>
      <c r="K1721" s="1968">
        <v>8.214930670324679E-8</v>
      </c>
      <c r="L1721" s="1968">
        <v>8.214930670324679E-8</v>
      </c>
      <c r="M1721" s="1968">
        <v>8.214930670324679E-8</v>
      </c>
    </row>
    <row r="1722" spans="3:13" ht="15" customHeight="1">
      <c r="D1722" t="s">
        <v>503</v>
      </c>
      <c r="E1722" s="1287"/>
      <c r="F1722" s="1968" cm="1">
        <f t="array" ref="F1722:M1722">F928:M928*FE_INDUSTRIA_N2O_LENA*UNIDAD_T_A_MT</f>
        <v>3.3964360151771666E-10</v>
      </c>
      <c r="G1722" s="1968">
        <v>3.3964360151771666E-10</v>
      </c>
      <c r="H1722" s="1968">
        <v>3.9132278490185274E-10</v>
      </c>
      <c r="I1722" s="1968">
        <v>4.4370204717189948E-10</v>
      </c>
      <c r="J1722" s="1968">
        <v>4.4370204717189948E-10</v>
      </c>
      <c r="K1722" s="1968">
        <v>4.4370204717189948E-10</v>
      </c>
      <c r="L1722" s="1968">
        <v>4.4370204717189948E-10</v>
      </c>
      <c r="M1722" s="1968">
        <v>4.4370204717189948E-10</v>
      </c>
    </row>
    <row r="1723" spans="3:13" ht="15" customHeight="1">
      <c r="D1723" t="s">
        <v>525</v>
      </c>
      <c r="E1723" s="1287"/>
      <c r="F1723" s="1968" cm="1">
        <f t="array" ref="F1723:M1723">F929:M929*FE_INDUSTRIA_N2O_PETROLEO*UNIDAD_T_A_MT</f>
        <v>6.215901739159453E-11</v>
      </c>
      <c r="G1723" s="1968">
        <v>6.215901739159453E-11</v>
      </c>
      <c r="H1723" s="1968">
        <v>7.1616952840410415E-11</v>
      </c>
      <c r="I1723" s="1968">
        <v>8.1203011461429057E-11</v>
      </c>
      <c r="J1723" s="1968">
        <v>8.1203011461429057E-11</v>
      </c>
      <c r="K1723" s="1968">
        <v>8.1203011461429057E-11</v>
      </c>
      <c r="L1723" s="1968">
        <v>8.1203011461429057E-11</v>
      </c>
      <c r="M1723" s="1968">
        <v>8.1203011461429057E-11</v>
      </c>
    </row>
    <row r="1724" spans="3:13" ht="15" customHeight="1">
      <c r="D1724" t="s">
        <v>487</v>
      </c>
      <c r="E1724" s="1287"/>
      <c r="F1724" s="1968" cm="1">
        <f t="array" ref="F1724:M1724">F930:M930*FE_INDUSTRIA_N2O_RESIDUOS*UNIDAD_T_A_MT</f>
        <v>0</v>
      </c>
      <c r="G1724" s="1968">
        <v>0</v>
      </c>
      <c r="H1724" s="1968">
        <v>0</v>
      </c>
      <c r="I1724" s="1968">
        <v>0</v>
      </c>
      <c r="J1724" s="1968">
        <v>0</v>
      </c>
      <c r="K1724" s="1968">
        <v>0</v>
      </c>
      <c r="L1724" s="1968">
        <v>0</v>
      </c>
      <c r="M1724" s="1968">
        <v>0</v>
      </c>
    </row>
    <row r="1725" spans="3:13" ht="15" customHeight="1">
      <c r="D1725" t="s">
        <v>494</v>
      </c>
      <c r="E1725" s="1287"/>
      <c r="F1725" s="1968" cm="1">
        <f t="array" ref="F1725:M1725">F931:M931*FE_INDUSTRIA_N2O_GASOLINA*UNIDAD_T_A_MT</f>
        <v>2.2840335242894923E-9</v>
      </c>
      <c r="G1725" s="1968">
        <v>2.2840335242894923E-9</v>
      </c>
      <c r="H1725" s="1968">
        <v>2.6315654278195932E-9</v>
      </c>
      <c r="I1725" s="1968">
        <v>2.9838052181990918E-9</v>
      </c>
      <c r="J1725" s="1968">
        <v>2.9838052181990918E-9</v>
      </c>
      <c r="K1725" s="1968">
        <v>2.9838052181990918E-9</v>
      </c>
      <c r="L1725" s="1968">
        <v>2.9838052181990918E-9</v>
      </c>
      <c r="M1725" s="1968">
        <v>2.9838052181990918E-9</v>
      </c>
    </row>
    <row r="1726" spans="3:13" ht="15" customHeight="1">
      <c r="D1726" t="s">
        <v>1854</v>
      </c>
      <c r="E1726" s="1287"/>
      <c r="F1726" s="1968" cm="1">
        <f t="array" ref="F1726:M1726">F932:M932*FE_INDUSTRIA_N2O_DIESEL_OIL*UNIDAD_T_A_MT</f>
        <v>5.7452408355658722E-9</v>
      </c>
      <c r="G1726" s="1968">
        <v>5.7452408355658722E-9</v>
      </c>
      <c r="H1726" s="1968">
        <v>6.6194199851228757E-9</v>
      </c>
      <c r="I1726" s="1968">
        <v>7.5054413180317202E-9</v>
      </c>
      <c r="J1726" s="1968">
        <v>7.5054413180317202E-9</v>
      </c>
      <c r="K1726" s="1968">
        <v>7.5054413180317202E-9</v>
      </c>
      <c r="L1726" s="1968">
        <v>7.5054413180317202E-9</v>
      </c>
      <c r="M1726" s="1968">
        <v>7.5054413180317202E-9</v>
      </c>
    </row>
    <row r="1727" spans="3:13" ht="15" customHeight="1">
      <c r="D1727" t="s">
        <v>506</v>
      </c>
      <c r="E1727" s="1287"/>
      <c r="F1727" s="1968" cm="1">
        <f t="array" ref="F1727:M1727">F933:M933*FE_INDUSTRIA_N2O_CARBON_VEGETAL*UNIDAD_T_A_MT</f>
        <v>0</v>
      </c>
      <c r="G1727" s="1968">
        <v>0</v>
      </c>
      <c r="H1727" s="1968">
        <v>0</v>
      </c>
      <c r="I1727" s="1968">
        <v>0</v>
      </c>
      <c r="J1727" s="1968">
        <v>0</v>
      </c>
      <c r="K1727" s="1968">
        <v>0</v>
      </c>
      <c r="L1727" s="1968">
        <v>0</v>
      </c>
      <c r="M1727" s="1968">
        <v>0</v>
      </c>
    </row>
    <row r="1728" spans="3:13" ht="15" customHeight="1">
      <c r="D1728" t="s">
        <v>507</v>
      </c>
      <c r="E1728" s="1287"/>
      <c r="F1728" s="1968" cm="1">
        <f t="array" ref="F1728:M1728">F934:M934*FE_INDUSTRIA_N2O_COQUE*UNIDAD_T_A_MT</f>
        <v>1.2221204556570858E-9</v>
      </c>
      <c r="G1728" s="1968">
        <v>1.2221204556570858E-9</v>
      </c>
      <c r="H1728" s="1968">
        <v>1.4080747526412788E-9</v>
      </c>
      <c r="I1728" s="1968">
        <v>1.5965481040790872E-9</v>
      </c>
      <c r="J1728" s="1968">
        <v>1.5965481040790872E-9</v>
      </c>
      <c r="K1728" s="1968">
        <v>1.5965481040790872E-9</v>
      </c>
      <c r="L1728" s="1968">
        <v>1.5965481040790872E-9</v>
      </c>
      <c r="M1728" s="1968">
        <v>1.5965481040790872E-9</v>
      </c>
    </row>
    <row r="1729" spans="3:13" ht="15" customHeight="1">
      <c r="D1729" t="s">
        <v>570</v>
      </c>
      <c r="E1729" s="1287"/>
      <c r="F1729" s="1968" cm="1">
        <f t="array" ref="F1729:M1729">F935:M935*FE_INDUSTRIA_N2O_FUEL_OIL*UNIDAD_T_A_MT</f>
        <v>9.8515962373216768E-10</v>
      </c>
      <c r="G1729" s="1968">
        <v>9.8515962373216768E-10</v>
      </c>
      <c r="H1729" s="1968">
        <v>1.1350586491517453E-9</v>
      </c>
      <c r="I1729" s="1968">
        <v>1.2869883015248258E-9</v>
      </c>
      <c r="J1729" s="1968">
        <v>1.2869883015248258E-9</v>
      </c>
      <c r="K1729" s="1968">
        <v>1.2869883015248258E-9</v>
      </c>
      <c r="L1729" s="1968">
        <v>1.2869883015248258E-9</v>
      </c>
      <c r="M1729" s="1968">
        <v>1.2869883015248258E-9</v>
      </c>
    </row>
    <row r="1730" spans="3:13" ht="15" customHeight="1">
      <c r="D1730" t="s">
        <v>498</v>
      </c>
      <c r="E1730" s="1287"/>
      <c r="F1730" s="1968" cm="1">
        <f t="array" ref="F1730:M1730">F936:M936*FE_INDUSTRIA_N2O_GLP*UNIDAD_T_A_MT</f>
        <v>1.3328894734384501E-9</v>
      </c>
      <c r="G1730" s="1968">
        <v>1.3328894734384501E-9</v>
      </c>
      <c r="H1730" s="1968">
        <v>1.5356980622674584E-9</v>
      </c>
      <c r="I1730" s="1968">
        <v>1.7412540244414589E-9</v>
      </c>
      <c r="J1730" s="1968">
        <v>1.7412540244414589E-9</v>
      </c>
      <c r="K1730" s="1968">
        <v>1.7412540244414589E-9</v>
      </c>
      <c r="L1730" s="1968">
        <v>1.7412540244414589E-9</v>
      </c>
      <c r="M1730" s="1968">
        <v>1.7412540244414589E-9</v>
      </c>
    </row>
    <row r="1731" spans="3:13" ht="15" customHeight="1">
      <c r="D1731" t="s">
        <v>502</v>
      </c>
      <c r="E1731" s="1287"/>
      <c r="F1731" s="1968" cm="1">
        <f t="array" ref="F1731:M1731">F937:M937*FE_INDUSTRIA_N2O_QUEROSENO*UNIDAD_T_A_MT</f>
        <v>8.8017944506249449E-11</v>
      </c>
      <c r="G1731" s="1968">
        <v>8.8017944506249449E-11</v>
      </c>
      <c r="H1731" s="1968">
        <v>1.0141049915738101E-10</v>
      </c>
      <c r="I1731" s="1968">
        <v>1.1498447781960753E-10</v>
      </c>
      <c r="J1731" s="1968">
        <v>1.1498447781960753E-10</v>
      </c>
      <c r="K1731" s="1968">
        <v>1.1498447781960753E-10</v>
      </c>
      <c r="L1731" s="1968">
        <v>1.1498447781960753E-10</v>
      </c>
      <c r="M1731" s="1968">
        <v>1.1498447781960753E-10</v>
      </c>
    </row>
    <row r="1732" spans="3:13" ht="15" customHeight="1">
      <c r="D1732" t="s">
        <v>571</v>
      </c>
      <c r="E1732" s="1287"/>
      <c r="F1732" s="1968"/>
      <c r="G1732" s="1968"/>
      <c r="H1732" s="1968"/>
      <c r="I1732" s="1968"/>
      <c r="J1732" s="1968"/>
      <c r="K1732" s="1968"/>
      <c r="L1732" s="1968"/>
      <c r="M1732" s="1968"/>
    </row>
    <row r="1733" spans="3:13" ht="15" customHeight="1">
      <c r="D1733" s="1948" t="s">
        <v>1878</v>
      </c>
      <c r="E1733" s="1287"/>
      <c r="F1733" s="1968"/>
      <c r="G1733" s="1968"/>
      <c r="H1733" s="1968"/>
      <c r="I1733" s="1968"/>
      <c r="J1733" s="1968"/>
      <c r="K1733" s="1968"/>
      <c r="L1733" s="1968"/>
      <c r="M1733" s="1968"/>
    </row>
    <row r="1734" spans="3:13" ht="15" customHeight="1">
      <c r="D1734" s="1948" t="s">
        <v>549</v>
      </c>
      <c r="E1734" s="1287"/>
      <c r="F1734" s="1968"/>
      <c r="G1734" s="1968"/>
      <c r="H1734" s="1968"/>
      <c r="I1734" s="1968"/>
      <c r="J1734" s="1968"/>
      <c r="K1734" s="1968"/>
      <c r="L1734" s="1968"/>
      <c r="M1734" s="1968"/>
    </row>
    <row r="1735" spans="3:13" ht="15" customHeight="1">
      <c r="D1735" s="1974" t="s">
        <v>572</v>
      </c>
      <c r="E1735" s="1478"/>
      <c r="F1735" s="1647"/>
      <c r="G1735" s="1647"/>
      <c r="H1735" s="1647"/>
      <c r="I1735" s="1647"/>
      <c r="J1735" s="1647"/>
      <c r="K1735" s="1647"/>
      <c r="L1735" s="1647"/>
      <c r="M1735" s="1647"/>
    </row>
    <row r="1736" spans="3:13" ht="15" customHeight="1">
      <c r="D1736" s="611" t="s">
        <v>338</v>
      </c>
      <c r="E1736" s="1975"/>
      <c r="F1736" s="1981">
        <f t="shared" ref="F1736:M1736" si="121">SUM(F1719:F1731)</f>
        <v>7.0908729901469465E-7</v>
      </c>
      <c r="G1736" s="1981">
        <f t="shared" si="121"/>
        <v>7.0908729901469465E-7</v>
      </c>
      <c r="H1736" s="1981">
        <f t="shared" si="121"/>
        <v>8.1697996178646937E-7</v>
      </c>
      <c r="I1736" s="1981">
        <f t="shared" si="121"/>
        <v>9.2633420676997838E-7</v>
      </c>
      <c r="J1736" s="1981">
        <f t="shared" si="121"/>
        <v>9.2633420676997838E-7</v>
      </c>
      <c r="K1736" s="1981">
        <f t="shared" si="121"/>
        <v>9.2633420676997838E-7</v>
      </c>
      <c r="L1736" s="1981">
        <f t="shared" si="121"/>
        <v>9.2633420676997838E-7</v>
      </c>
      <c r="M1736" s="1981">
        <f t="shared" si="121"/>
        <v>9.2633420676997838E-7</v>
      </c>
    </row>
    <row r="1737" spans="3:13" ht="15" customHeight="1">
      <c r="C1737" s="186"/>
      <c r="D1737" s="2"/>
      <c r="E1737" s="1287"/>
      <c r="F1737" s="1970"/>
      <c r="G1737" s="1970"/>
      <c r="H1737" s="1970"/>
      <c r="I1737" s="1970"/>
      <c r="J1737" s="1970"/>
      <c r="K1737" s="1970"/>
      <c r="L1737" s="1970"/>
      <c r="M1737" s="1970"/>
    </row>
    <row r="1738" spans="3:13" ht="15" customHeight="1">
      <c r="C1738" s="186"/>
      <c r="D1738" s="2"/>
      <c r="E1738" s="1287"/>
      <c r="F1738" s="1970"/>
      <c r="G1738" s="1970"/>
      <c r="H1738" s="1970"/>
      <c r="I1738" s="1970"/>
      <c r="J1738" s="1970"/>
      <c r="K1738" s="1970"/>
      <c r="L1738" s="1970"/>
      <c r="M1738" s="1651" t="s">
        <v>1706</v>
      </c>
    </row>
    <row r="1739" spans="3:13" ht="15" customHeight="1">
      <c r="C1739" s="1743" t="s">
        <v>1900</v>
      </c>
      <c r="D1739" s="2859"/>
      <c r="E1739" s="1950"/>
      <c r="F1739" s="1952">
        <v>2018</v>
      </c>
      <c r="G1739" s="1952">
        <v>2020</v>
      </c>
      <c r="H1739" s="1952">
        <v>2025</v>
      </c>
      <c r="I1739" s="1952">
        <v>2030</v>
      </c>
      <c r="J1739" s="1952">
        <v>2035</v>
      </c>
      <c r="K1739" s="1952">
        <v>2040</v>
      </c>
      <c r="L1739" s="1952">
        <v>2045</v>
      </c>
      <c r="M1739" s="1952">
        <v>2050</v>
      </c>
    </row>
    <row r="1740" spans="3:13" ht="15" customHeight="1">
      <c r="D1740" s="628" t="s">
        <v>504</v>
      </c>
      <c r="E1740" s="1554"/>
      <c r="F1740" s="1967" cm="1">
        <f t="array" ref="F1740:M1740">F945:M945*FE_INDUSTRIA_N2O_BAGAZO*UNIDAD_T_A_MT</f>
        <v>1.8036554580378007E-5</v>
      </c>
      <c r="G1740" s="1967">
        <v>1.8036554580378007E-5</v>
      </c>
      <c r="H1740" s="1967">
        <v>2.0738954166399494E-5</v>
      </c>
      <c r="I1740" s="1967">
        <v>2.346715692261156E-5</v>
      </c>
      <c r="J1740" s="1967">
        <v>2.346715692261156E-5</v>
      </c>
      <c r="K1740" s="1967">
        <v>2.346715692261156E-5</v>
      </c>
      <c r="L1740" s="1967">
        <v>2.346715692261156E-5</v>
      </c>
      <c r="M1740" s="1967">
        <v>2.346715692261156E-5</v>
      </c>
    </row>
    <row r="1741" spans="3:13" ht="15" customHeight="1">
      <c r="D1741" t="s">
        <v>569</v>
      </c>
      <c r="E1741" s="1287"/>
      <c r="F1741" s="1968" cm="1">
        <f t="array" ref="F1741:M1741">F946:M946*FE_INDUSTRIA_N2O_CARBON_MINERAL*UNIDAD_T_A_MT</f>
        <v>3.444657963469523E-6</v>
      </c>
      <c r="G1741" s="1968">
        <v>3.444657963469523E-6</v>
      </c>
      <c r="H1741" s="1968">
        <v>3.9607677455779505E-6</v>
      </c>
      <c r="I1741" s="1968">
        <v>4.4818054697322747E-6</v>
      </c>
      <c r="J1741" s="1968">
        <v>4.4818054697322747E-6</v>
      </c>
      <c r="K1741" s="1968">
        <v>4.4818054697322747E-6</v>
      </c>
      <c r="L1741" s="1968">
        <v>4.4818054697322747E-6</v>
      </c>
      <c r="M1741" s="1968">
        <v>4.4818054697322747E-6</v>
      </c>
    </row>
    <row r="1742" spans="3:13" ht="15" customHeight="1">
      <c r="D1742" t="s">
        <v>513</v>
      </c>
      <c r="E1742" s="1287"/>
      <c r="F1742" s="1968" cm="1">
        <f t="array" ref="F1742:M1742">F947:M947*FE_INDUSTRIA_N2O_GAS_NATURAL*UNIDAD_T_A_MT</f>
        <v>1.1570677503289639E-7</v>
      </c>
      <c r="G1742" s="1968">
        <v>1.1570677503289639E-7</v>
      </c>
      <c r="H1742" s="1968">
        <v>1.3304300959783664E-7</v>
      </c>
      <c r="I1742" s="1968">
        <v>1.5054477475760708E-7</v>
      </c>
      <c r="J1742" s="1968">
        <v>1.5054477475760708E-7</v>
      </c>
      <c r="K1742" s="1968">
        <v>1.5054477475760708E-7</v>
      </c>
      <c r="L1742" s="1968">
        <v>1.5054477475760708E-7</v>
      </c>
      <c r="M1742" s="1968">
        <v>1.5054477475760708E-7</v>
      </c>
    </row>
    <row r="1743" spans="3:13" ht="15" customHeight="1">
      <c r="D1743" t="s">
        <v>503</v>
      </c>
      <c r="E1743" s="1287"/>
      <c r="F1743" s="1968" cm="1">
        <f t="array" ref="F1743:M1743">F948:M948*FE_INDUSTRIA_N2O_LENA*UNIDAD_T_A_MT</f>
        <v>3.5574400993396967E-10</v>
      </c>
      <c r="G1743" s="1968">
        <v>3.5574400993396967E-10</v>
      </c>
      <c r="H1743" s="1968">
        <v>4.0904479201465872E-10</v>
      </c>
      <c r="I1743" s="1968">
        <v>4.6285450295932249E-10</v>
      </c>
      <c r="J1743" s="1968">
        <v>4.6285450295932249E-10</v>
      </c>
      <c r="K1743" s="1968">
        <v>4.6285450295932249E-10</v>
      </c>
      <c r="L1743" s="1968">
        <v>4.6285450295932249E-10</v>
      </c>
      <c r="M1743" s="1968">
        <v>4.6285450295932249E-10</v>
      </c>
    </row>
    <row r="1744" spans="3:13" ht="15" customHeight="1">
      <c r="D1744" t="s">
        <v>525</v>
      </c>
      <c r="E1744" s="1287"/>
      <c r="F1744" s="1968" cm="1">
        <f t="array" ref="F1744:M1744">F949:M949*FE_INDUSTRIA_N2O_PETROLEO*UNIDAD_T_A_MT</f>
        <v>1.4553761962744769E-11</v>
      </c>
      <c r="G1744" s="1968">
        <v>1.4553761962744769E-11</v>
      </c>
      <c r="H1744" s="1968">
        <v>1.6734338088185263E-11</v>
      </c>
      <c r="I1744" s="1968">
        <v>1.8935734886175183E-11</v>
      </c>
      <c r="J1744" s="1968">
        <v>1.8935734886175183E-11</v>
      </c>
      <c r="K1744" s="1968">
        <v>1.8935734886175183E-11</v>
      </c>
      <c r="L1744" s="1968">
        <v>1.8935734886175183E-11</v>
      </c>
      <c r="M1744" s="1968">
        <v>1.8935734886175183E-11</v>
      </c>
    </row>
    <row r="1745" spans="3:13" ht="15" customHeight="1">
      <c r="D1745" t="s">
        <v>487</v>
      </c>
      <c r="E1745" s="1287"/>
      <c r="F1745" s="1968" cm="1">
        <f t="array" ref="F1745:M1745">F950:M950*FE_INDUSTRIA_N2O_RESIDUOS*UNIDAD_T_A_MT</f>
        <v>1.2653534226930421E-7</v>
      </c>
      <c r="G1745" s="1968">
        <v>1.2653534226930421E-7</v>
      </c>
      <c r="H1745" s="1968">
        <v>1.4549401062482606E-7</v>
      </c>
      <c r="I1745" s="1968">
        <v>1.6463370096861885E-7</v>
      </c>
      <c r="J1745" s="1968">
        <v>1.6463370096861885E-7</v>
      </c>
      <c r="K1745" s="1968">
        <v>1.6463370096861885E-7</v>
      </c>
      <c r="L1745" s="1968">
        <v>1.6463370096861885E-7</v>
      </c>
      <c r="M1745" s="1968">
        <v>1.6463370096861885E-7</v>
      </c>
    </row>
    <row r="1746" spans="3:13" ht="15" customHeight="1">
      <c r="D1746" t="s">
        <v>494</v>
      </c>
      <c r="E1746" s="1287"/>
      <c r="F1746" s="1968" cm="1">
        <f t="array" ref="F1746:M1746">F951:M951*FE_INDUSTRIA_N2O_GASOLINA*UNIDAD_T_A_MT</f>
        <v>2.8597224523112633E-10</v>
      </c>
      <c r="G1746" s="1968">
        <v>2.8597224523112633E-10</v>
      </c>
      <c r="H1746" s="1968">
        <v>3.2881919106450475E-10</v>
      </c>
      <c r="I1746" s="1968">
        <v>3.7207524998434318E-10</v>
      </c>
      <c r="J1746" s="1968">
        <v>3.7207524998434318E-10</v>
      </c>
      <c r="K1746" s="1968">
        <v>3.7207524998434318E-10</v>
      </c>
      <c r="L1746" s="1968">
        <v>3.7207524998434318E-10</v>
      </c>
      <c r="M1746" s="1968">
        <v>3.7207524998434318E-10</v>
      </c>
    </row>
    <row r="1747" spans="3:13" ht="15" customHeight="1">
      <c r="D1747" t="s">
        <v>1854</v>
      </c>
      <c r="E1747" s="1287"/>
      <c r="F1747" s="1968" cm="1">
        <f t="array" ref="F1747:M1747">F952:M952*FE_INDUSTRIA_N2O_DIESEL_OIL*UNIDAD_T_A_MT</f>
        <v>3.5296488978159005E-8</v>
      </c>
      <c r="G1747" s="1968">
        <v>3.5296488978159005E-8</v>
      </c>
      <c r="H1747" s="1968">
        <v>4.0584927896884571E-8</v>
      </c>
      <c r="I1747" s="1968">
        <v>4.5923862119919745E-8</v>
      </c>
      <c r="J1747" s="1968">
        <v>4.5923862119919745E-8</v>
      </c>
      <c r="K1747" s="1968">
        <v>4.5923862119919745E-8</v>
      </c>
      <c r="L1747" s="1968">
        <v>4.5923862119919745E-8</v>
      </c>
      <c r="M1747" s="1968">
        <v>4.5923862119919745E-8</v>
      </c>
    </row>
    <row r="1748" spans="3:13" ht="15" customHeight="1">
      <c r="D1748" t="s">
        <v>506</v>
      </c>
      <c r="E1748" s="1287"/>
      <c r="F1748" s="1968" cm="1">
        <f t="array" ref="F1748:M1748">F953:M953*FE_INDUSTRIA_N2O_CARBON_VEGETAL*UNIDAD_T_A_MT</f>
        <v>4.4687872563723504E-10</v>
      </c>
      <c r="G1748" s="1968">
        <v>4.4687872563723504E-10</v>
      </c>
      <c r="H1748" s="1968">
        <v>5.1383413432031416E-10</v>
      </c>
      <c r="I1748" s="1968">
        <v>5.8142884957166197E-10</v>
      </c>
      <c r="J1748" s="1968">
        <v>5.8142884957166197E-10</v>
      </c>
      <c r="K1748" s="1968">
        <v>5.8142884957166197E-10</v>
      </c>
      <c r="L1748" s="1968">
        <v>5.8142884957166197E-10</v>
      </c>
      <c r="M1748" s="1968">
        <v>5.8142884957166197E-10</v>
      </c>
    </row>
    <row r="1749" spans="3:13" ht="15" customHeight="1">
      <c r="D1749" t="s">
        <v>507</v>
      </c>
      <c r="E1749" s="1287"/>
      <c r="F1749" s="1968" cm="1">
        <f t="array" ref="F1749:M1749">F954:M954*FE_INDUSTRIA_N2O_COQUE*UNIDAD_T_A_MT</f>
        <v>2.3226724064787082E-9</v>
      </c>
      <c r="G1749" s="1968">
        <v>2.3226724064787082E-9</v>
      </c>
      <c r="H1749" s="1968">
        <v>2.6706761741472919E-9</v>
      </c>
      <c r="I1749" s="1968">
        <v>3.0220027666455422E-9</v>
      </c>
      <c r="J1749" s="1968">
        <v>3.0220027666455422E-9</v>
      </c>
      <c r="K1749" s="1968">
        <v>3.0220027666455422E-9</v>
      </c>
      <c r="L1749" s="1968">
        <v>3.0220027666455422E-9</v>
      </c>
      <c r="M1749" s="1968">
        <v>3.0220027666455422E-9</v>
      </c>
    </row>
    <row r="1750" spans="3:13" ht="15" customHeight="1">
      <c r="D1750" t="s">
        <v>570</v>
      </c>
      <c r="E1750" s="1287"/>
      <c r="F1750" s="1968" cm="1">
        <f t="array" ref="F1750:M1750">F955:M955*FE_INDUSTRIA_N2O_FUEL_OIL*UNIDAD_T_A_MT</f>
        <v>7.9735056258464167E-9</v>
      </c>
      <c r="G1750" s="1968">
        <v>7.9735056258464167E-9</v>
      </c>
      <c r="H1750" s="1968">
        <v>9.1681682875206723E-9</v>
      </c>
      <c r="I1750" s="1968">
        <v>1.0374237879590775E-8</v>
      </c>
      <c r="J1750" s="1968">
        <v>1.0374237879590775E-8</v>
      </c>
      <c r="K1750" s="1968">
        <v>1.0374237879590775E-8</v>
      </c>
      <c r="L1750" s="1968">
        <v>1.0374237879590775E-8</v>
      </c>
      <c r="M1750" s="1968">
        <v>1.0374237879590775E-8</v>
      </c>
    </row>
    <row r="1751" spans="3:13" ht="15" customHeight="1">
      <c r="D1751" t="s">
        <v>498</v>
      </c>
      <c r="E1751" s="1287"/>
      <c r="F1751" s="1968" cm="1">
        <f t="array" ref="F1751:M1751">F956:M956*FE_INDUSTRIA_N2O_GLP*UNIDAD_T_A_MT</f>
        <v>2.9413096743436222E-9</v>
      </c>
      <c r="G1751" s="1968">
        <v>2.9413096743436222E-9</v>
      </c>
      <c r="H1751" s="1968">
        <v>3.3820032675066129E-9</v>
      </c>
      <c r="I1751" s="1968">
        <v>3.8269047105542426E-9</v>
      </c>
      <c r="J1751" s="1968">
        <v>3.8269047105542426E-9</v>
      </c>
      <c r="K1751" s="1968">
        <v>3.8269047105542426E-9</v>
      </c>
      <c r="L1751" s="1968">
        <v>3.8269047105542426E-9</v>
      </c>
      <c r="M1751" s="1968">
        <v>3.8269047105542426E-9</v>
      </c>
    </row>
    <row r="1752" spans="3:13" ht="15" customHeight="1">
      <c r="D1752" t="s">
        <v>502</v>
      </c>
      <c r="E1752" s="1287"/>
      <c r="F1752" s="1968" cm="1">
        <f t="array" ref="F1752:M1752">F957:M957*FE_INDUSTRIA_N2O_QUEROSENO*UNIDAD_T_A_MT</f>
        <v>0</v>
      </c>
      <c r="G1752" s="1968">
        <v>0</v>
      </c>
      <c r="H1752" s="1968">
        <v>0</v>
      </c>
      <c r="I1752" s="1968">
        <v>0</v>
      </c>
      <c r="J1752" s="1968">
        <v>0</v>
      </c>
      <c r="K1752" s="1968">
        <v>0</v>
      </c>
      <c r="L1752" s="1968">
        <v>0</v>
      </c>
      <c r="M1752" s="1968">
        <v>0</v>
      </c>
    </row>
    <row r="1753" spans="3:13" ht="15" customHeight="1">
      <c r="D1753" t="s">
        <v>571</v>
      </c>
      <c r="E1753" s="1287"/>
      <c r="F1753" s="1968"/>
      <c r="G1753" s="1968"/>
      <c r="H1753" s="1968"/>
      <c r="I1753" s="1968"/>
      <c r="J1753" s="1968"/>
      <c r="K1753" s="1968"/>
      <c r="L1753" s="1968"/>
      <c r="M1753" s="1968"/>
    </row>
    <row r="1754" spans="3:13" ht="15" customHeight="1">
      <c r="D1754" s="1948" t="s">
        <v>1878</v>
      </c>
      <c r="E1754" s="1287"/>
      <c r="F1754" s="1968"/>
      <c r="G1754" s="1968"/>
      <c r="H1754" s="1968"/>
      <c r="I1754" s="1968"/>
      <c r="J1754" s="1968"/>
      <c r="K1754" s="1968"/>
      <c r="L1754" s="1968"/>
      <c r="M1754" s="1968"/>
    </row>
    <row r="1755" spans="3:13" ht="15" customHeight="1">
      <c r="D1755" s="1948" t="s">
        <v>549</v>
      </c>
      <c r="E1755" s="1287"/>
      <c r="F1755" s="1968"/>
      <c r="G1755" s="1968"/>
      <c r="H1755" s="1968"/>
      <c r="I1755" s="1968"/>
      <c r="J1755" s="1968"/>
      <c r="K1755" s="1968"/>
      <c r="L1755" s="1968"/>
      <c r="M1755" s="1968"/>
    </row>
    <row r="1756" spans="3:13" ht="15" customHeight="1">
      <c r="D1756" s="1974" t="s">
        <v>572</v>
      </c>
      <c r="E1756" s="1478"/>
      <c r="F1756" s="1647"/>
      <c r="G1756" s="1647"/>
      <c r="H1756" s="1647"/>
      <c r="I1756" s="1647"/>
      <c r="J1756" s="1647"/>
      <c r="K1756" s="1647"/>
      <c r="L1756" s="1647"/>
      <c r="M1756" s="1647"/>
    </row>
    <row r="1757" spans="3:13" ht="15" customHeight="1">
      <c r="D1757" s="611" t="s">
        <v>338</v>
      </c>
      <c r="E1757" s="1975"/>
      <c r="F1757" s="1981">
        <f t="shared" ref="F1757:M1757" si="122">SUM(F1740:F1752)</f>
        <v>2.1773091786577321E-5</v>
      </c>
      <c r="G1757" s="1981">
        <f t="shared" si="122"/>
        <v>2.1773091786577321E-5</v>
      </c>
      <c r="H1757" s="1981">
        <f t="shared" si="122"/>
        <v>2.5035333140281654E-5</v>
      </c>
      <c r="I1757" s="1981">
        <f t="shared" si="122"/>
        <v>2.8328723169884175E-5</v>
      </c>
      <c r="J1757" s="1981">
        <f t="shared" si="122"/>
        <v>2.8328723169884175E-5</v>
      </c>
      <c r="K1757" s="1981">
        <f t="shared" si="122"/>
        <v>2.8328723169884175E-5</v>
      </c>
      <c r="L1757" s="1981">
        <f t="shared" si="122"/>
        <v>2.8328723169884175E-5</v>
      </c>
      <c r="M1757" s="1981">
        <f t="shared" si="122"/>
        <v>2.8328723169884175E-5</v>
      </c>
    </row>
    <row r="1758" spans="3:13" ht="15" customHeight="1">
      <c r="C1758" s="1745"/>
      <c r="D1758" s="2"/>
      <c r="E1758" s="1287"/>
      <c r="F1758" s="1970"/>
      <c r="G1758" s="1970"/>
      <c r="H1758" s="1970"/>
      <c r="I1758" s="1970"/>
      <c r="J1758" s="1970"/>
      <c r="K1758" s="1970"/>
      <c r="L1758" s="1970"/>
      <c r="M1758" s="1970"/>
    </row>
    <row r="1759" spans="3:13" ht="15" customHeight="1">
      <c r="C1759" s="1745"/>
      <c r="D1759" s="2"/>
      <c r="E1759" s="1287"/>
      <c r="F1759" s="1970"/>
      <c r="G1759" s="1970"/>
      <c r="H1759" s="1970"/>
      <c r="I1759" s="1970"/>
      <c r="J1759" s="1970"/>
      <c r="K1759" s="1970"/>
      <c r="L1759" s="1970"/>
      <c r="M1759" s="1651" t="s">
        <v>1706</v>
      </c>
    </row>
    <row r="1760" spans="3:13" ht="15" customHeight="1">
      <c r="C1760" s="1743" t="s">
        <v>562</v>
      </c>
      <c r="D1760" s="2859"/>
      <c r="E1760" s="1950"/>
      <c r="F1760" s="1952">
        <v>2018</v>
      </c>
      <c r="G1760" s="1952">
        <v>2020</v>
      </c>
      <c r="H1760" s="1952">
        <v>2025</v>
      </c>
      <c r="I1760" s="1952">
        <v>2030</v>
      </c>
      <c r="J1760" s="1952">
        <v>2035</v>
      </c>
      <c r="K1760" s="1952">
        <v>2040</v>
      </c>
      <c r="L1760" s="1952">
        <v>2045</v>
      </c>
      <c r="M1760" s="1952">
        <v>2050</v>
      </c>
    </row>
    <row r="1761" spans="4:13" ht="15" customHeight="1">
      <c r="D1761" s="628" t="s">
        <v>504</v>
      </c>
      <c r="E1761" s="1554"/>
      <c r="F1761" s="1967" cm="1">
        <f t="array" ref="F1761:M1761">F965:M965*FE_INDUSTRIA_N2O_BAGAZO*UNIDAD_T_A_MT</f>
        <v>0</v>
      </c>
      <c r="G1761" s="1967">
        <v>0</v>
      </c>
      <c r="H1761" s="1967">
        <v>0</v>
      </c>
      <c r="I1761" s="1967">
        <v>0</v>
      </c>
      <c r="J1761" s="1967">
        <v>0</v>
      </c>
      <c r="K1761" s="1967">
        <v>0</v>
      </c>
      <c r="L1761" s="1967">
        <v>0</v>
      </c>
      <c r="M1761" s="1967">
        <v>0</v>
      </c>
    </row>
    <row r="1762" spans="4:13" ht="15" customHeight="1">
      <c r="D1762" t="s">
        <v>569</v>
      </c>
      <c r="E1762" s="1287"/>
      <c r="F1762" s="1968" cm="1">
        <f t="array" ref="F1762:M1762">F966:M966*FE_INDUSTRIA_N2O_CARBON_MINERAL*UNIDAD_T_A_MT</f>
        <v>6.5310187821566737E-7</v>
      </c>
      <c r="G1762" s="1968">
        <v>6.5310187821566737E-7</v>
      </c>
      <c r="H1762" s="1968">
        <v>7.3957713073697576E-7</v>
      </c>
      <c r="I1762" s="1968">
        <v>8.2390460025683037E-7</v>
      </c>
      <c r="J1762" s="1968">
        <v>8.2390460025683037E-7</v>
      </c>
      <c r="K1762" s="1968">
        <v>8.2390460025683037E-7</v>
      </c>
      <c r="L1762" s="1968">
        <v>8.2390460025683037E-7</v>
      </c>
      <c r="M1762" s="1968">
        <v>8.2390460025683037E-7</v>
      </c>
    </row>
    <row r="1763" spans="4:13" ht="15" customHeight="1">
      <c r="D1763" t="s">
        <v>513</v>
      </c>
      <c r="E1763" s="1287"/>
      <c r="F1763" s="1968" cm="1">
        <f t="array" ref="F1763:M1763">F967:M967*FE_INDUSTRIA_N2O_GAS_NATURAL*UNIDAD_T_A_MT</f>
        <v>2.7726156537643595E-8</v>
      </c>
      <c r="G1763" s="1968">
        <v>2.7726156537643595E-8</v>
      </c>
      <c r="H1763" s="1968">
        <v>3.1397293412320158E-8</v>
      </c>
      <c r="I1763" s="1968">
        <v>3.4977250381237006E-8</v>
      </c>
      <c r="J1763" s="1968">
        <v>3.4977250381237006E-8</v>
      </c>
      <c r="K1763" s="1968">
        <v>3.4977250381237006E-8</v>
      </c>
      <c r="L1763" s="1968">
        <v>3.4977250381237006E-8</v>
      </c>
      <c r="M1763" s="1968">
        <v>3.4977250381237006E-8</v>
      </c>
    </row>
    <row r="1764" spans="4:13" ht="15" customHeight="1">
      <c r="D1764" t="s">
        <v>503</v>
      </c>
      <c r="E1764" s="1287"/>
      <c r="F1764" s="1968" cm="1">
        <f t="array" ref="F1764:M1764">F968:M968*FE_INDUSTRIA_N2O_LENA*UNIDAD_T_A_MT</f>
        <v>0</v>
      </c>
      <c r="G1764" s="1968">
        <v>0</v>
      </c>
      <c r="H1764" s="1968">
        <v>0</v>
      </c>
      <c r="I1764" s="1968">
        <v>0</v>
      </c>
      <c r="J1764" s="1968">
        <v>0</v>
      </c>
      <c r="K1764" s="1968">
        <v>0</v>
      </c>
      <c r="L1764" s="1968">
        <v>0</v>
      </c>
      <c r="M1764" s="1968">
        <v>0</v>
      </c>
    </row>
    <row r="1765" spans="4:13" ht="15" customHeight="1">
      <c r="D1765" t="s">
        <v>525</v>
      </c>
      <c r="E1765" s="1287"/>
      <c r="F1765" s="1968" cm="1">
        <f t="array" ref="F1765:M1765">F969:M969*FE_INDUSTRIA_N2O_PETROLEO*UNIDAD_T_A_MT</f>
        <v>0</v>
      </c>
      <c r="G1765" s="1968">
        <v>0</v>
      </c>
      <c r="H1765" s="1968">
        <v>0</v>
      </c>
      <c r="I1765" s="1968">
        <v>0</v>
      </c>
      <c r="J1765" s="1968">
        <v>0</v>
      </c>
      <c r="K1765" s="1968">
        <v>0</v>
      </c>
      <c r="L1765" s="1968">
        <v>0</v>
      </c>
      <c r="M1765" s="1968">
        <v>0</v>
      </c>
    </row>
    <row r="1766" spans="4:13" ht="15" customHeight="1">
      <c r="D1766" t="s">
        <v>487</v>
      </c>
      <c r="E1766" s="1287"/>
      <c r="F1766" s="1968" cm="1">
        <f t="array" ref="F1766:M1766">F970:M970*FE_INDUSTRIA_N2O_RESIDUOS*UNIDAD_T_A_MT</f>
        <v>9.1488555604683864E-12</v>
      </c>
      <c r="G1766" s="1968">
        <v>9.1488555604683864E-12</v>
      </c>
      <c r="H1766" s="1968">
        <v>1.036022796845161E-11</v>
      </c>
      <c r="I1766" s="1968">
        <v>1.1541513559797264E-11</v>
      </c>
      <c r="J1766" s="1968">
        <v>1.1541513559797264E-11</v>
      </c>
      <c r="K1766" s="1968">
        <v>1.1541513559797264E-11</v>
      </c>
      <c r="L1766" s="1968">
        <v>1.1541513559797264E-11</v>
      </c>
      <c r="M1766" s="1968">
        <v>1.1541513559797264E-11</v>
      </c>
    </row>
    <row r="1767" spans="4:13" ht="15" customHeight="1">
      <c r="D1767" t="s">
        <v>494</v>
      </c>
      <c r="E1767" s="1287"/>
      <c r="F1767" s="1968" cm="1">
        <f t="array" ref="F1767:M1767">F971:M971*FE_INDUSTRIA_N2O_GASOLINA*UNIDAD_T_A_MT</f>
        <v>1.2652973387089897E-10</v>
      </c>
      <c r="G1767" s="1968">
        <v>1.2652973387089897E-10</v>
      </c>
      <c r="H1767" s="1968">
        <v>1.4328315481930228E-10</v>
      </c>
      <c r="I1767" s="1968">
        <v>1.596204716028718E-10</v>
      </c>
      <c r="J1767" s="1968">
        <v>1.596204716028718E-10</v>
      </c>
      <c r="K1767" s="1968">
        <v>1.596204716028718E-10</v>
      </c>
      <c r="L1767" s="1968">
        <v>1.596204716028718E-10</v>
      </c>
      <c r="M1767" s="1968">
        <v>1.596204716028718E-10</v>
      </c>
    </row>
    <row r="1768" spans="4:13" ht="15" customHeight="1">
      <c r="D1768" t="s">
        <v>1854</v>
      </c>
      <c r="E1768" s="1287"/>
      <c r="F1768" s="1968" cm="1">
        <f t="array" ref="F1768:M1768">F972:M972*FE_INDUSTRIA_N2O_DIESEL_OIL*UNIDAD_T_A_MT</f>
        <v>1.6062132011543199E-10</v>
      </c>
      <c r="G1768" s="1968">
        <v>1.6062132011543199E-10</v>
      </c>
      <c r="H1768" s="1968">
        <v>1.8188870531303081E-10</v>
      </c>
      <c r="I1768" s="1968">
        <v>2.0262787316426797E-10</v>
      </c>
      <c r="J1768" s="1968">
        <v>2.0262787316426797E-10</v>
      </c>
      <c r="K1768" s="1968">
        <v>2.0262787316426797E-10</v>
      </c>
      <c r="L1768" s="1968">
        <v>2.0262787316426797E-10</v>
      </c>
      <c r="M1768" s="1968">
        <v>2.0262787316426797E-10</v>
      </c>
    </row>
    <row r="1769" spans="4:13" ht="15" customHeight="1">
      <c r="D1769" t="s">
        <v>506</v>
      </c>
      <c r="E1769" s="1287"/>
      <c r="F1769" s="1968" cm="1">
        <f t="array" ref="F1769:M1769">F973:M973*FE_INDUSTRIA_N2O_CARBON_VEGETAL*UNIDAD_T_A_MT</f>
        <v>0</v>
      </c>
      <c r="G1769" s="1968">
        <v>0</v>
      </c>
      <c r="H1769" s="1968">
        <v>0</v>
      </c>
      <c r="I1769" s="1968">
        <v>0</v>
      </c>
      <c r="J1769" s="1968">
        <v>0</v>
      </c>
      <c r="K1769" s="1968">
        <v>0</v>
      </c>
      <c r="L1769" s="1968">
        <v>0</v>
      </c>
      <c r="M1769" s="1968">
        <v>0</v>
      </c>
    </row>
    <row r="1770" spans="4:13" ht="15" customHeight="1">
      <c r="D1770" t="s">
        <v>507</v>
      </c>
      <c r="E1770" s="1287"/>
      <c r="F1770" s="1968" cm="1">
        <f t="array" ref="F1770:M1770">F974:M974*FE_INDUSTRIA_N2O_COQUE*UNIDAD_T_A_MT</f>
        <v>0</v>
      </c>
      <c r="G1770" s="1968">
        <v>0</v>
      </c>
      <c r="H1770" s="1968">
        <v>0</v>
      </c>
      <c r="I1770" s="1968">
        <v>0</v>
      </c>
      <c r="J1770" s="1968">
        <v>0</v>
      </c>
      <c r="K1770" s="1968">
        <v>0</v>
      </c>
      <c r="L1770" s="1968">
        <v>0</v>
      </c>
      <c r="M1770" s="1968">
        <v>0</v>
      </c>
    </row>
    <row r="1771" spans="4:13" ht="15" customHeight="1">
      <c r="D1771" t="s">
        <v>570</v>
      </c>
      <c r="E1771" s="1287"/>
      <c r="F1771" s="1968" cm="1">
        <f t="array" ref="F1771:M1771">F975:M975*FE_INDUSTRIA_N2O_FUEL_OIL*UNIDAD_T_A_MT</f>
        <v>1.8849926977876221E-9</v>
      </c>
      <c r="G1771" s="1968">
        <v>1.8849926977876221E-9</v>
      </c>
      <c r="H1771" s="1968">
        <v>2.1345789032160186E-9</v>
      </c>
      <c r="I1771" s="1968">
        <v>2.3779661442726794E-9</v>
      </c>
      <c r="J1771" s="1968">
        <v>2.3779661442726794E-9</v>
      </c>
      <c r="K1771" s="1968">
        <v>2.3779661442726794E-9</v>
      </c>
      <c r="L1771" s="1968">
        <v>2.3779661442726794E-9</v>
      </c>
      <c r="M1771" s="1968">
        <v>2.3779661442726794E-9</v>
      </c>
    </row>
    <row r="1772" spans="4:13" ht="15" customHeight="1">
      <c r="D1772" t="s">
        <v>498</v>
      </c>
      <c r="E1772" s="1287"/>
      <c r="F1772" s="1968" cm="1">
        <f t="array" ref="F1772:M1772">F976:M976*FE_INDUSTRIA_N2O_GLP*UNIDAD_T_A_MT</f>
        <v>7.5482451379248204E-11</v>
      </c>
      <c r="G1772" s="1968">
        <v>7.5482451379248204E-11</v>
      </c>
      <c r="H1772" s="1968">
        <v>8.5476855409720741E-11</v>
      </c>
      <c r="I1772" s="1968">
        <v>9.522302875614857E-11</v>
      </c>
      <c r="J1772" s="1968">
        <v>9.522302875614857E-11</v>
      </c>
      <c r="K1772" s="1968">
        <v>9.522302875614857E-11</v>
      </c>
      <c r="L1772" s="1968">
        <v>9.522302875614857E-11</v>
      </c>
      <c r="M1772" s="1968">
        <v>9.522302875614857E-11</v>
      </c>
    </row>
    <row r="1773" spans="4:13" ht="15" customHeight="1">
      <c r="D1773" t="s">
        <v>502</v>
      </c>
      <c r="E1773" s="1287"/>
      <c r="F1773" s="1968" cm="1">
        <f t="array" ref="F1773:M1773">F977:M977*FE_INDUSTRIA_N2O_QUEROSENO*UNIDAD_T_A_MT</f>
        <v>8.5245224188044888E-13</v>
      </c>
      <c r="G1773" s="1968">
        <v>8.5245224188044888E-13</v>
      </c>
      <c r="H1773" s="1968">
        <v>9.6532287560204553E-13</v>
      </c>
      <c r="I1773" s="1968">
        <v>1.0753901451078416E-12</v>
      </c>
      <c r="J1773" s="1968">
        <v>1.0753901451078416E-12</v>
      </c>
      <c r="K1773" s="1968">
        <v>1.0753901451078416E-12</v>
      </c>
      <c r="L1773" s="1968">
        <v>1.0753901451078416E-12</v>
      </c>
      <c r="M1773" s="1968">
        <v>1.0753901451078416E-12</v>
      </c>
    </row>
    <row r="1774" spans="4:13" ht="15" customHeight="1">
      <c r="D1774" t="s">
        <v>571</v>
      </c>
      <c r="E1774" s="1287"/>
      <c r="F1774" s="1968"/>
      <c r="G1774" s="1968"/>
      <c r="H1774" s="1968"/>
      <c r="I1774" s="1968"/>
      <c r="J1774" s="1968"/>
      <c r="K1774" s="1968"/>
      <c r="L1774" s="1968"/>
      <c r="M1774" s="1968"/>
    </row>
    <row r="1775" spans="4:13" ht="15" customHeight="1">
      <c r="D1775" s="1948" t="s">
        <v>1878</v>
      </c>
      <c r="E1775" s="1287"/>
      <c r="F1775" s="1968"/>
      <c r="G1775" s="1968"/>
      <c r="H1775" s="1968"/>
      <c r="I1775" s="1968"/>
      <c r="J1775" s="1968"/>
      <c r="K1775" s="1968"/>
      <c r="L1775" s="1968"/>
      <c r="M1775" s="1968"/>
    </row>
    <row r="1776" spans="4:13" ht="15" customHeight="1">
      <c r="D1776" s="1948" t="s">
        <v>549</v>
      </c>
      <c r="E1776" s="1287"/>
      <c r="F1776" s="1968"/>
      <c r="G1776" s="1968"/>
      <c r="H1776" s="1968"/>
      <c r="I1776" s="1968"/>
      <c r="J1776" s="1968"/>
      <c r="K1776" s="1968"/>
      <c r="L1776" s="1968"/>
      <c r="M1776" s="1968"/>
    </row>
    <row r="1777" spans="3:13" ht="15" customHeight="1">
      <c r="D1777" s="1974" t="s">
        <v>572</v>
      </c>
      <c r="E1777" s="1478"/>
      <c r="F1777" s="1647"/>
      <c r="G1777" s="1647"/>
      <c r="H1777" s="1647"/>
      <c r="I1777" s="1647"/>
      <c r="J1777" s="1647"/>
      <c r="K1777" s="1647"/>
      <c r="L1777" s="1647"/>
      <c r="M1777" s="1647"/>
    </row>
    <row r="1778" spans="3:13" ht="15" customHeight="1">
      <c r="D1778" s="611" t="s">
        <v>338</v>
      </c>
      <c r="E1778" s="1975"/>
      <c r="F1778" s="1981">
        <f t="shared" ref="F1778:M1778" si="123">SUM(F1761:F1777)</f>
        <v>6.830856622642666E-7</v>
      </c>
      <c r="G1778" s="1981">
        <f t="shared" si="123"/>
        <v>6.830856622642666E-7</v>
      </c>
      <c r="H1778" s="1981">
        <f t="shared" si="123"/>
        <v>7.7353097731889807E-7</v>
      </c>
      <c r="I1778" s="1981">
        <f t="shared" si="123"/>
        <v>8.6172990505956823E-7</v>
      </c>
      <c r="J1778" s="1981">
        <f t="shared" si="123"/>
        <v>8.6172990505956823E-7</v>
      </c>
      <c r="K1778" s="1981">
        <f t="shared" si="123"/>
        <v>8.6172990505956823E-7</v>
      </c>
      <c r="L1778" s="1981">
        <f t="shared" si="123"/>
        <v>8.6172990505956823E-7</v>
      </c>
      <c r="M1778" s="1981">
        <f t="shared" si="123"/>
        <v>8.6172990505956823E-7</v>
      </c>
    </row>
    <row r="1779" spans="3:13" ht="15" customHeight="1">
      <c r="C1779" s="186"/>
      <c r="D1779" s="2"/>
      <c r="E1779" s="1287"/>
      <c r="F1779" s="1970"/>
      <c r="G1779" s="1970"/>
      <c r="H1779" s="1970"/>
      <c r="I1779" s="1970"/>
      <c r="J1779" s="1970"/>
      <c r="K1779" s="1970"/>
      <c r="L1779" s="1970"/>
      <c r="M1779" s="1970"/>
    </row>
    <row r="1780" spans="3:13" ht="15" customHeight="1">
      <c r="C1780" s="186"/>
      <c r="D1780" s="2"/>
      <c r="E1780" s="1287"/>
      <c r="F1780" s="1970"/>
      <c r="G1780" s="1970"/>
      <c r="H1780" s="1970"/>
      <c r="I1780" s="1970"/>
      <c r="J1780" s="1970"/>
      <c r="K1780" s="1970"/>
      <c r="L1780" s="1970"/>
      <c r="M1780" s="1651" t="s">
        <v>1706</v>
      </c>
    </row>
    <row r="1781" spans="3:13" ht="15" customHeight="1">
      <c r="C1781" s="1743" t="s">
        <v>563</v>
      </c>
      <c r="D1781" s="2859"/>
      <c r="E1781" s="1950"/>
      <c r="F1781" s="1952">
        <v>2018</v>
      </c>
      <c r="G1781" s="1952">
        <v>2020</v>
      </c>
      <c r="H1781" s="1952">
        <v>2025</v>
      </c>
      <c r="I1781" s="1952">
        <v>2030</v>
      </c>
      <c r="J1781" s="1952">
        <v>2035</v>
      </c>
      <c r="K1781" s="1952">
        <v>2040</v>
      </c>
      <c r="L1781" s="1952">
        <v>2045</v>
      </c>
      <c r="M1781" s="1952">
        <v>2050</v>
      </c>
    </row>
    <row r="1782" spans="3:13" ht="15" customHeight="1">
      <c r="D1782" s="628" t="s">
        <v>504</v>
      </c>
      <c r="E1782" s="1554"/>
      <c r="F1782" s="1967" cm="1">
        <f t="array" ref="F1782:M1782">F985:M985*FE_INDUSTRIA_N2O_BAGAZO*UNIDAD_T_A_MT</f>
        <v>8.1198567166202383E-7</v>
      </c>
      <c r="G1782" s="1967">
        <v>8.1198567166202383E-7</v>
      </c>
      <c r="H1782" s="1967">
        <v>1.0413787276868272E-6</v>
      </c>
      <c r="I1782" s="1967">
        <v>1.2254410140237206E-6</v>
      </c>
      <c r="J1782" s="1967">
        <v>1.2254410140237206E-6</v>
      </c>
      <c r="K1782" s="1967">
        <v>1.2254410140237206E-6</v>
      </c>
      <c r="L1782" s="1967">
        <v>1.2254410140237206E-6</v>
      </c>
      <c r="M1782" s="1967">
        <v>1.2254410140237206E-6</v>
      </c>
    </row>
    <row r="1783" spans="3:13" ht="15" customHeight="1">
      <c r="D1783" t="s">
        <v>569</v>
      </c>
      <c r="E1783" s="1287"/>
      <c r="F1783" s="1968" cm="1">
        <f t="array" ref="F1783:M1783">F986:M986*FE_INDUSTRIA_N2O_CARBON_MINERAL*UNIDAD_T_A_MT</f>
        <v>4.1092095000924178E-6</v>
      </c>
      <c r="G1783" s="1968">
        <v>4.1092095000924178E-6</v>
      </c>
      <c r="H1783" s="1968">
        <v>5.2700971339135058E-6</v>
      </c>
      <c r="I1783" s="1968">
        <v>6.2015796982254436E-6</v>
      </c>
      <c r="J1783" s="1968">
        <v>6.2015796982254436E-6</v>
      </c>
      <c r="K1783" s="1968">
        <v>6.2015796982254436E-6</v>
      </c>
      <c r="L1783" s="1968">
        <v>6.2015796982254436E-6</v>
      </c>
      <c r="M1783" s="1968">
        <v>6.2015796982254436E-6</v>
      </c>
    </row>
    <row r="1784" spans="3:13" ht="15" customHeight="1">
      <c r="D1784" t="s">
        <v>513</v>
      </c>
      <c r="E1784" s="1287"/>
      <c r="F1784" s="1968" cm="1">
        <f t="array" ref="F1784:M1784">F987:M987*FE_INDUSTRIA_N2O_GAS_NATURAL*UNIDAD_T_A_MT</f>
        <v>2.6645838714853059E-8</v>
      </c>
      <c r="G1784" s="1968">
        <v>2.6645838714853059E-8</v>
      </c>
      <c r="H1784" s="1968">
        <v>3.4173521266976138E-8</v>
      </c>
      <c r="I1784" s="1968">
        <v>4.0213645084901561E-8</v>
      </c>
      <c r="J1784" s="1968">
        <v>4.0213645084901561E-8</v>
      </c>
      <c r="K1784" s="1968">
        <v>4.0213645084901561E-8</v>
      </c>
      <c r="L1784" s="1968">
        <v>4.0213645084901561E-8</v>
      </c>
      <c r="M1784" s="1968">
        <v>4.0213645084901561E-8</v>
      </c>
    </row>
    <row r="1785" spans="3:13" ht="15" customHeight="1">
      <c r="D1785" t="s">
        <v>503</v>
      </c>
      <c r="E1785" s="1287"/>
      <c r="F1785" s="1968" cm="1">
        <f t="array" ref="F1785:M1785">F988:M988*FE_INDUSTRIA_N2O_LENA*UNIDAD_T_A_MT</f>
        <v>1.0807778263932297E-8</v>
      </c>
      <c r="G1785" s="1968">
        <v>1.0807778263932297E-8</v>
      </c>
      <c r="H1785" s="1968">
        <v>1.3861070176986904E-8</v>
      </c>
      <c r="I1785" s="1968">
        <v>1.631099564600377E-8</v>
      </c>
      <c r="J1785" s="1968">
        <v>1.631099564600377E-8</v>
      </c>
      <c r="K1785" s="1968">
        <v>1.631099564600377E-8</v>
      </c>
      <c r="L1785" s="1968">
        <v>1.631099564600377E-8</v>
      </c>
      <c r="M1785" s="1968">
        <v>1.631099564600377E-8</v>
      </c>
    </row>
    <row r="1786" spans="3:13" ht="15" customHeight="1">
      <c r="D1786" t="s">
        <v>525</v>
      </c>
      <c r="E1786" s="1287"/>
      <c r="F1786" s="1968" cm="1">
        <f t="array" ref="F1786:M1786">F989:M989*FE_INDUSTRIA_N2O_PETROLEO*UNIDAD_T_A_MT</f>
        <v>0</v>
      </c>
      <c r="G1786" s="1968">
        <v>0</v>
      </c>
      <c r="H1786" s="1968">
        <v>0</v>
      </c>
      <c r="I1786" s="1968">
        <v>0</v>
      </c>
      <c r="J1786" s="1968">
        <v>0</v>
      </c>
      <c r="K1786" s="1968">
        <v>0</v>
      </c>
      <c r="L1786" s="1968">
        <v>0</v>
      </c>
      <c r="M1786" s="1968">
        <v>0</v>
      </c>
    </row>
    <row r="1787" spans="3:13" ht="15" customHeight="1">
      <c r="D1787" t="s">
        <v>487</v>
      </c>
      <c r="E1787" s="1287"/>
      <c r="F1787" s="1968" cm="1">
        <f t="array" ref="F1787:M1787">F990:M990*FE_INDUSTRIA_N2O_RESIDUOS*UNIDAD_T_A_MT</f>
        <v>8.0600732942319132E-7</v>
      </c>
      <c r="G1787" s="1968">
        <v>8.0600732942319132E-7</v>
      </c>
      <c r="H1787" s="1968">
        <v>1.033711451463087E-6</v>
      </c>
      <c r="I1787" s="1968">
        <v>1.2164185570629464E-6</v>
      </c>
      <c r="J1787" s="1968">
        <v>1.2164185570629464E-6</v>
      </c>
      <c r="K1787" s="1968">
        <v>1.2164185570629464E-6</v>
      </c>
      <c r="L1787" s="1968">
        <v>1.2164185570629464E-6</v>
      </c>
      <c r="M1787" s="1968">
        <v>1.2164185570629464E-6</v>
      </c>
    </row>
    <row r="1788" spans="3:13" ht="15" customHeight="1">
      <c r="D1788" t="s">
        <v>494</v>
      </c>
      <c r="E1788" s="1287"/>
      <c r="F1788" s="1968" cm="1">
        <f t="array" ref="F1788:M1788">F991:M991*FE_INDUSTRIA_N2O_GASOLINA*UNIDAD_T_A_MT</f>
        <v>0</v>
      </c>
      <c r="G1788" s="1968">
        <v>0</v>
      </c>
      <c r="H1788" s="1968">
        <v>0</v>
      </c>
      <c r="I1788" s="1968">
        <v>0</v>
      </c>
      <c r="J1788" s="1968">
        <v>0</v>
      </c>
      <c r="K1788" s="1968">
        <v>0</v>
      </c>
      <c r="L1788" s="1968">
        <v>0</v>
      </c>
      <c r="M1788" s="1968">
        <v>0</v>
      </c>
    </row>
    <row r="1789" spans="3:13" ht="15" customHeight="1">
      <c r="D1789" t="s">
        <v>1854</v>
      </c>
      <c r="E1789" s="1287"/>
      <c r="F1789" s="1968" cm="1">
        <f t="array" ref="F1789:M1789">F992:M992*FE_INDUSTRIA_N2O_DIESEL_OIL*UNIDAD_T_A_MT</f>
        <v>0</v>
      </c>
      <c r="G1789" s="1968">
        <v>0</v>
      </c>
      <c r="H1789" s="1968">
        <v>0</v>
      </c>
      <c r="I1789" s="1968">
        <v>0</v>
      </c>
      <c r="J1789" s="1968">
        <v>0</v>
      </c>
      <c r="K1789" s="1968">
        <v>0</v>
      </c>
      <c r="L1789" s="1968">
        <v>0</v>
      </c>
      <c r="M1789" s="1968">
        <v>0</v>
      </c>
    </row>
    <row r="1790" spans="3:13" ht="15" customHeight="1">
      <c r="D1790" t="s">
        <v>506</v>
      </c>
      <c r="E1790" s="1287"/>
      <c r="F1790" s="1968" cm="1">
        <f t="array" ref="F1790:M1790">F993:M993*FE_INDUSTRIA_N2O_CARBON_VEGETAL*UNIDAD_T_A_MT</f>
        <v>0</v>
      </c>
      <c r="G1790" s="1968">
        <v>0</v>
      </c>
      <c r="H1790" s="1968">
        <v>0</v>
      </c>
      <c r="I1790" s="1968">
        <v>0</v>
      </c>
      <c r="J1790" s="1968">
        <v>0</v>
      </c>
      <c r="K1790" s="1968">
        <v>0</v>
      </c>
      <c r="L1790" s="1968">
        <v>0</v>
      </c>
      <c r="M1790" s="1968">
        <v>0</v>
      </c>
    </row>
    <row r="1791" spans="3:13" ht="15" customHeight="1">
      <c r="D1791" t="s">
        <v>507</v>
      </c>
      <c r="E1791" s="1287"/>
      <c r="F1791" s="1968" cm="1">
        <f t="array" ref="F1791:M1791">F994:M994*FE_INDUSTRIA_N2O_COQUE*UNIDAD_T_A_MT</f>
        <v>0</v>
      </c>
      <c r="G1791" s="1968">
        <v>0</v>
      </c>
      <c r="H1791" s="1968">
        <v>0</v>
      </c>
      <c r="I1791" s="1968">
        <v>0</v>
      </c>
      <c r="J1791" s="1968">
        <v>0</v>
      </c>
      <c r="K1791" s="1968">
        <v>0</v>
      </c>
      <c r="L1791" s="1968">
        <v>0</v>
      </c>
      <c r="M1791" s="1968">
        <v>0</v>
      </c>
    </row>
    <row r="1792" spans="3:13" ht="15" customHeight="1">
      <c r="D1792" t="s">
        <v>570</v>
      </c>
      <c r="E1792" s="1287"/>
      <c r="F1792" s="1968" cm="1">
        <f t="array" ref="F1792:M1792">F995:M995*FE_INDUSTRIA_N2O_FUEL_OIL*UNIDAD_T_A_MT</f>
        <v>0</v>
      </c>
      <c r="G1792" s="1968">
        <v>0</v>
      </c>
      <c r="H1792" s="1968">
        <v>0</v>
      </c>
      <c r="I1792" s="1968">
        <v>0</v>
      </c>
      <c r="J1792" s="1968">
        <v>0</v>
      </c>
      <c r="K1792" s="1968">
        <v>0</v>
      </c>
      <c r="L1792" s="1968">
        <v>0</v>
      </c>
      <c r="M1792" s="1968">
        <v>0</v>
      </c>
    </row>
    <row r="1793" spans="3:13" ht="15" customHeight="1">
      <c r="D1793" t="s">
        <v>498</v>
      </c>
      <c r="E1793" s="1287"/>
      <c r="F1793" s="1968" cm="1">
        <f t="array" ref="F1793:M1793">F996:M996*FE_INDUSTRIA_N2O_GLP*UNIDAD_T_A_MT</f>
        <v>0</v>
      </c>
      <c r="G1793" s="1968">
        <v>0</v>
      </c>
      <c r="H1793" s="1968">
        <v>0</v>
      </c>
      <c r="I1793" s="1968">
        <v>0</v>
      </c>
      <c r="J1793" s="1968">
        <v>0</v>
      </c>
      <c r="K1793" s="1968">
        <v>0</v>
      </c>
      <c r="L1793" s="1968">
        <v>0</v>
      </c>
      <c r="M1793" s="1968">
        <v>0</v>
      </c>
    </row>
    <row r="1794" spans="3:13" ht="15" customHeight="1">
      <c r="D1794" t="s">
        <v>502</v>
      </c>
      <c r="E1794" s="1287"/>
      <c r="F1794" s="1968" cm="1">
        <f t="array" ref="F1794:M1794">F997:M997*FE_INDUSTRIA_N2O_QUEROSENO*UNIDAD_T_A_MT</f>
        <v>0</v>
      </c>
      <c r="G1794" s="1968">
        <v>0</v>
      </c>
      <c r="H1794" s="1968">
        <v>0</v>
      </c>
      <c r="I1794" s="1968">
        <v>0</v>
      </c>
      <c r="J1794" s="1968">
        <v>0</v>
      </c>
      <c r="K1794" s="1968">
        <v>0</v>
      </c>
      <c r="L1794" s="1968">
        <v>0</v>
      </c>
      <c r="M1794" s="1968">
        <v>0</v>
      </c>
    </row>
    <row r="1795" spans="3:13" ht="15" customHeight="1">
      <c r="D1795" t="s">
        <v>571</v>
      </c>
      <c r="E1795" s="1287"/>
      <c r="F1795" s="1968" cm="1">
        <f t="array" ref="F1795:M1795">F998:M998</f>
        <v>0</v>
      </c>
      <c r="G1795" s="1968">
        <v>0</v>
      </c>
      <c r="H1795" s="1968">
        <v>0</v>
      </c>
      <c r="I1795" s="1968">
        <v>0</v>
      </c>
      <c r="J1795" s="1968">
        <v>0</v>
      </c>
      <c r="K1795" s="1968">
        <v>0</v>
      </c>
      <c r="L1795" s="1968">
        <v>0</v>
      </c>
      <c r="M1795" s="1968">
        <v>0</v>
      </c>
    </row>
    <row r="1796" spans="3:13" ht="15" customHeight="1">
      <c r="D1796" s="1948" t="s">
        <v>1878</v>
      </c>
      <c r="E1796" s="1287"/>
      <c r="F1796" s="1968"/>
      <c r="G1796" s="1968"/>
      <c r="H1796" s="1968"/>
      <c r="I1796" s="1968"/>
      <c r="J1796" s="1968"/>
      <c r="K1796" s="1968"/>
      <c r="L1796" s="1968"/>
      <c r="M1796" s="1968"/>
    </row>
    <row r="1797" spans="3:13" ht="15" customHeight="1">
      <c r="D1797" s="1948" t="s">
        <v>549</v>
      </c>
      <c r="E1797" s="1287"/>
      <c r="F1797" s="1968"/>
      <c r="G1797" s="1968"/>
      <c r="H1797" s="1968"/>
      <c r="I1797" s="1968"/>
      <c r="J1797" s="1968"/>
      <c r="K1797" s="1968"/>
      <c r="L1797" s="1968"/>
      <c r="M1797" s="1968"/>
    </row>
    <row r="1798" spans="3:13" ht="15" customHeight="1">
      <c r="D1798" s="1974" t="s">
        <v>572</v>
      </c>
      <c r="E1798" s="1478"/>
      <c r="F1798" s="1647" cm="1">
        <f t="array" ref="F1798:M1798">F1001:M1001</f>
        <v>0</v>
      </c>
      <c r="G1798" s="1647">
        <v>0</v>
      </c>
      <c r="H1798" s="1647">
        <v>0</v>
      </c>
      <c r="I1798" s="1647">
        <v>0</v>
      </c>
      <c r="J1798" s="1647">
        <v>0</v>
      </c>
      <c r="K1798" s="1647">
        <v>0</v>
      </c>
      <c r="L1798" s="1647">
        <v>0</v>
      </c>
      <c r="M1798" s="1647">
        <v>0</v>
      </c>
    </row>
    <row r="1799" spans="3:13" ht="15" customHeight="1">
      <c r="D1799" s="611" t="s">
        <v>338</v>
      </c>
      <c r="E1799" s="1975"/>
      <c r="F1799" s="1981">
        <f t="shared" ref="F1799:M1799" si="124">SUM(F1782:F1798)</f>
        <v>5.7646561181564185E-6</v>
      </c>
      <c r="G1799" s="1981">
        <f>SUM(G1782:G1798)</f>
        <v>5.7646561181564185E-6</v>
      </c>
      <c r="H1799" s="1981">
        <f>SUM(H1782:H1798)</f>
        <v>7.3932219045073834E-6</v>
      </c>
      <c r="I1799" s="1981">
        <f t="shared" si="124"/>
        <v>8.6999639100430152E-6</v>
      </c>
      <c r="J1799" s="1981">
        <f>SUM(J1782:J1798)</f>
        <v>8.6999639100430152E-6</v>
      </c>
      <c r="K1799" s="1981">
        <f>SUM(K1782:K1798)</f>
        <v>8.6999639100430152E-6</v>
      </c>
      <c r="L1799" s="1981">
        <f>SUM(L1782:L1798)</f>
        <v>8.6999639100430152E-6</v>
      </c>
      <c r="M1799" s="1981">
        <f t="shared" si="124"/>
        <v>8.6999639100430152E-6</v>
      </c>
    </row>
    <row r="1800" spans="3:13" ht="15" customHeight="1">
      <c r="D1800" s="2"/>
      <c r="E1800" s="887"/>
      <c r="F1800" s="1969"/>
      <c r="G1800" s="1969"/>
      <c r="H1800" s="1969"/>
      <c r="I1800" s="1969"/>
      <c r="J1800" s="1969"/>
      <c r="K1800" s="1969"/>
      <c r="L1800" s="1969"/>
      <c r="M1800" s="1969"/>
    </row>
    <row r="1801" spans="3:13" ht="15" customHeight="1">
      <c r="C1801" s="186"/>
      <c r="E1801" s="1287"/>
      <c r="F1801" s="1970"/>
      <c r="G1801" s="1970"/>
      <c r="H1801" s="1970"/>
      <c r="I1801" s="1970"/>
      <c r="J1801" s="1970"/>
      <c r="K1801" s="1970"/>
      <c r="L1801" s="1970"/>
      <c r="M1801" s="1651" t="s">
        <v>1706</v>
      </c>
    </row>
    <row r="1802" spans="3:13" ht="15" customHeight="1">
      <c r="C1802" s="1743" t="s">
        <v>564</v>
      </c>
      <c r="D1802" s="2859"/>
      <c r="E1802" s="1950"/>
      <c r="F1802" s="1952">
        <v>2018</v>
      </c>
      <c r="G1802" s="1952">
        <v>2020</v>
      </c>
      <c r="H1802" s="1952">
        <v>2025</v>
      </c>
      <c r="I1802" s="1952">
        <v>2030</v>
      </c>
      <c r="J1802" s="1952">
        <v>2035</v>
      </c>
      <c r="K1802" s="1952">
        <v>2040</v>
      </c>
      <c r="L1802" s="1952">
        <v>2045</v>
      </c>
      <c r="M1802" s="1952">
        <v>2050</v>
      </c>
    </row>
    <row r="1803" spans="3:13" ht="15" customHeight="1">
      <c r="D1803" t="s">
        <v>504</v>
      </c>
      <c r="E1803" s="1554"/>
      <c r="F1803" s="1967" cm="1">
        <f t="array" ref="F1803:M1803">F1006:M1006*FE_INDUSTRIA_N2O_BAGAZO*UNIDAD_T_A_MT</f>
        <v>0</v>
      </c>
      <c r="G1803" s="1967">
        <v>0</v>
      </c>
      <c r="H1803" s="1967">
        <v>0</v>
      </c>
      <c r="I1803" s="1967">
        <v>0</v>
      </c>
      <c r="J1803" s="1967">
        <v>0</v>
      </c>
      <c r="K1803" s="1967">
        <v>0</v>
      </c>
      <c r="L1803" s="1967">
        <v>0</v>
      </c>
      <c r="M1803" s="1967">
        <v>0</v>
      </c>
    </row>
    <row r="1804" spans="3:13" ht="15" customHeight="1">
      <c r="D1804" t="s">
        <v>569</v>
      </c>
      <c r="E1804" s="1287"/>
      <c r="F1804" s="1968" cm="1">
        <f t="array" ref="F1804:M1804">F1007:M1007*FE_INDUSTRIA_N2O_CARBON_MINERAL*UNIDAD_T_A_MT</f>
        <v>9.2930586320143402E-8</v>
      </c>
      <c r="G1804" s="1968">
        <v>9.2930586320143402E-8</v>
      </c>
      <c r="H1804" s="1968">
        <v>1.0625687866453504E-7</v>
      </c>
      <c r="I1804" s="1968">
        <v>1.1955429522445298E-7</v>
      </c>
      <c r="J1804" s="1968">
        <v>1.1955429522445298E-7</v>
      </c>
      <c r="K1804" s="1968">
        <v>1.1955429522445298E-7</v>
      </c>
      <c r="L1804" s="1968">
        <v>1.1955429522445298E-7</v>
      </c>
      <c r="M1804" s="1968">
        <v>1.1955429522445298E-7</v>
      </c>
    </row>
    <row r="1805" spans="3:13" ht="15" customHeight="1">
      <c r="D1805" t="s">
        <v>513</v>
      </c>
      <c r="E1805" s="1287"/>
      <c r="F1805" s="1968" cm="1">
        <f t="array" ref="F1805:M1805">F1008:M1008*FE_INDUSTRIA_N2O_GAS_NATURAL*UNIDAD_T_A_MT</f>
        <v>1.2734682306717349E-9</v>
      </c>
      <c r="G1805" s="1968">
        <v>1.2734682306717349E-9</v>
      </c>
      <c r="H1805" s="1968">
        <v>1.456084208954315E-9</v>
      </c>
      <c r="I1805" s="1968">
        <v>1.638304489807027E-9</v>
      </c>
      <c r="J1805" s="1968">
        <v>1.638304489807027E-9</v>
      </c>
      <c r="K1805" s="1968">
        <v>1.638304489807027E-9</v>
      </c>
      <c r="L1805" s="1968">
        <v>1.638304489807027E-9</v>
      </c>
      <c r="M1805" s="1968">
        <v>1.638304489807027E-9</v>
      </c>
    </row>
    <row r="1806" spans="3:13" ht="15" customHeight="1">
      <c r="D1806" t="s">
        <v>503</v>
      </c>
      <c r="E1806" s="1287"/>
      <c r="F1806" s="1968" cm="1">
        <f t="array" ref="F1806:M1806">F1009:M1009*FE_INDUSTRIA_N2O_LENA*UNIDAD_T_A_MT</f>
        <v>0</v>
      </c>
      <c r="G1806" s="1968">
        <v>0</v>
      </c>
      <c r="H1806" s="1968">
        <v>0</v>
      </c>
      <c r="I1806" s="1968">
        <v>0</v>
      </c>
      <c r="J1806" s="1968">
        <v>0</v>
      </c>
      <c r="K1806" s="1968">
        <v>0</v>
      </c>
      <c r="L1806" s="1968">
        <v>0</v>
      </c>
      <c r="M1806" s="1968">
        <v>0</v>
      </c>
    </row>
    <row r="1807" spans="3:13" ht="15" customHeight="1">
      <c r="D1807" t="s">
        <v>525</v>
      </c>
      <c r="E1807" s="1287"/>
      <c r="F1807" s="1968" cm="1">
        <f t="array" ref="F1807:M1807">F1010:M1010*FE_INDUSTRIA_N2O_PETROLEO*UNIDAD_T_A_MT</f>
        <v>0</v>
      </c>
      <c r="G1807" s="1968">
        <v>0</v>
      </c>
      <c r="H1807" s="1968">
        <v>0</v>
      </c>
      <c r="I1807" s="1968">
        <v>0</v>
      </c>
      <c r="J1807" s="1968">
        <v>0</v>
      </c>
      <c r="K1807" s="1968">
        <v>0</v>
      </c>
      <c r="L1807" s="1968">
        <v>0</v>
      </c>
      <c r="M1807" s="1968">
        <v>0</v>
      </c>
    </row>
    <row r="1808" spans="3:13" ht="15" customHeight="1">
      <c r="D1808" t="s">
        <v>487</v>
      </c>
      <c r="E1808" s="1287"/>
      <c r="F1808" s="1968" cm="1">
        <f t="array" ref="F1808:M1808">F1011:M1011*FE_INDUSTRIA_N2O_RESIDUOS*UNIDAD_T_A_MT</f>
        <v>0</v>
      </c>
      <c r="G1808" s="1968">
        <v>0</v>
      </c>
      <c r="H1808" s="1968">
        <v>0</v>
      </c>
      <c r="I1808" s="1968">
        <v>0</v>
      </c>
      <c r="J1808" s="1968">
        <v>0</v>
      </c>
      <c r="K1808" s="1968">
        <v>0</v>
      </c>
      <c r="L1808" s="1968">
        <v>0</v>
      </c>
      <c r="M1808" s="1968">
        <v>0</v>
      </c>
    </row>
    <row r="1809" spans="3:13" ht="15" customHeight="1">
      <c r="D1809" t="s">
        <v>494</v>
      </c>
      <c r="E1809" s="1287"/>
      <c r="F1809" s="1968" cm="1">
        <f t="array" ref="F1809:M1809">F1012:M1012*FE_INDUSTRIA_N2O_GASOLINA*UNIDAD_T_A_MT</f>
        <v>2.8530391593401989E-10</v>
      </c>
      <c r="G1809" s="1968">
        <v>2.8530391593401989E-10</v>
      </c>
      <c r="H1809" s="1968">
        <v>3.2621663951932649E-10</v>
      </c>
      <c r="I1809" s="1968">
        <v>3.670407122662789E-10</v>
      </c>
      <c r="J1809" s="1968">
        <v>3.670407122662789E-10</v>
      </c>
      <c r="K1809" s="1968">
        <v>3.670407122662789E-10</v>
      </c>
      <c r="L1809" s="1968">
        <v>3.670407122662789E-10</v>
      </c>
      <c r="M1809" s="1968">
        <v>3.670407122662789E-10</v>
      </c>
    </row>
    <row r="1810" spans="3:13" ht="15" customHeight="1">
      <c r="D1810" t="s">
        <v>1854</v>
      </c>
      <c r="E1810" s="1287"/>
      <c r="F1810" s="1968" cm="1">
        <f t="array" ref="F1810:M1810">F1013:M1013*FE_INDUSTRIA_N2O_DIESEL_OIL*UNIDAD_T_A_MT</f>
        <v>2.809223162500563E-10</v>
      </c>
      <c r="G1810" s="1968">
        <v>2.809223162500563E-10</v>
      </c>
      <c r="H1810" s="1968">
        <v>3.2120671625927517E-10</v>
      </c>
      <c r="I1810" s="1968">
        <v>3.6140382689930878E-10</v>
      </c>
      <c r="J1810" s="1968">
        <v>3.6140382689930878E-10</v>
      </c>
      <c r="K1810" s="1968">
        <v>3.6140382689930878E-10</v>
      </c>
      <c r="L1810" s="1968">
        <v>3.6140382689930878E-10</v>
      </c>
      <c r="M1810" s="1968">
        <v>3.6140382689930878E-10</v>
      </c>
    </row>
    <row r="1811" spans="3:13" ht="15" customHeight="1">
      <c r="D1811" t="s">
        <v>506</v>
      </c>
      <c r="E1811" s="1287"/>
      <c r="F1811" s="1968" cm="1">
        <f t="array" ref="F1811:M1811">F1014:M1014*FE_INDUSTRIA_N2O_CARBON_VEGETAL*UNIDAD_T_A_MT</f>
        <v>0</v>
      </c>
      <c r="G1811" s="1968">
        <v>0</v>
      </c>
      <c r="H1811" s="1968">
        <v>0</v>
      </c>
      <c r="I1811" s="1968">
        <v>0</v>
      </c>
      <c r="J1811" s="1968">
        <v>0</v>
      </c>
      <c r="K1811" s="1968">
        <v>0</v>
      </c>
      <c r="L1811" s="1968">
        <v>0</v>
      </c>
      <c r="M1811" s="1968">
        <v>0</v>
      </c>
    </row>
    <row r="1812" spans="3:13" ht="15" customHeight="1">
      <c r="D1812" t="s">
        <v>507</v>
      </c>
      <c r="E1812" s="1287"/>
      <c r="F1812" s="1968" cm="1">
        <f t="array" ref="F1812:M1812">F1015:M1015*FE_INDUSTRIA_N2O_COQUE*UNIDAD_T_A_MT</f>
        <v>0</v>
      </c>
      <c r="G1812" s="1968">
        <v>0</v>
      </c>
      <c r="H1812" s="1968">
        <v>0</v>
      </c>
      <c r="I1812" s="1968">
        <v>0</v>
      </c>
      <c r="J1812" s="1968">
        <v>0</v>
      </c>
      <c r="K1812" s="1968">
        <v>0</v>
      </c>
      <c r="L1812" s="1968">
        <v>0</v>
      </c>
      <c r="M1812" s="1968">
        <v>0</v>
      </c>
    </row>
    <row r="1813" spans="3:13" ht="15" customHeight="1">
      <c r="D1813" t="s">
        <v>570</v>
      </c>
      <c r="E1813" s="1287"/>
      <c r="F1813" s="1968" cm="1">
        <f t="array" ref="F1813:M1813">F1016:M1016*FE_INDUSTRIA_N2O_FUEL_OIL*UNIDAD_T_A_MT</f>
        <v>2.1182940741209614E-11</v>
      </c>
      <c r="G1813" s="1968">
        <v>2.1182940741209614E-11</v>
      </c>
      <c r="H1813" s="1968">
        <v>2.4220584989560764E-11</v>
      </c>
      <c r="I1813" s="1968">
        <v>2.7251647185053073E-11</v>
      </c>
      <c r="J1813" s="1968">
        <v>2.7251647185053073E-11</v>
      </c>
      <c r="K1813" s="1968">
        <v>2.7251647185053073E-11</v>
      </c>
      <c r="L1813" s="1968">
        <v>2.7251647185053073E-11</v>
      </c>
      <c r="M1813" s="1968">
        <v>2.7251647185053073E-11</v>
      </c>
    </row>
    <row r="1814" spans="3:13" ht="15" customHeight="1">
      <c r="D1814" t="s">
        <v>498</v>
      </c>
      <c r="E1814" s="1287"/>
      <c r="F1814" s="1968" cm="1">
        <f t="array" ref="F1814:M1814">F1017:M1017*FE_INDUSTRIA_N2O_GLP*UNIDAD_T_A_MT</f>
        <v>6.0330224172276596E-11</v>
      </c>
      <c r="G1814" s="1968">
        <v>6.0330224172276596E-11</v>
      </c>
      <c r="H1814" s="1968">
        <v>6.8981608354366632E-11</v>
      </c>
      <c r="I1814" s="1968">
        <v>7.7614246474267351E-11</v>
      </c>
      <c r="J1814" s="1968">
        <v>7.7614246474267351E-11</v>
      </c>
      <c r="K1814" s="1968">
        <v>7.7614246474267351E-11</v>
      </c>
      <c r="L1814" s="1968">
        <v>7.7614246474267351E-11</v>
      </c>
      <c r="M1814" s="1968">
        <v>7.7614246474267351E-11</v>
      </c>
    </row>
    <row r="1815" spans="3:13" ht="15" customHeight="1">
      <c r="D1815" t="s">
        <v>502</v>
      </c>
      <c r="E1815" s="1287"/>
      <c r="F1815" s="1968" cm="1">
        <f t="array" ref="F1815:M1815">F1018:M1018*FE_INDUSTRIA_N2O_QUEROSENO*UNIDAD_T_A_MT</f>
        <v>0</v>
      </c>
      <c r="G1815" s="1968">
        <v>0</v>
      </c>
      <c r="H1815" s="1968">
        <v>0</v>
      </c>
      <c r="I1815" s="1968">
        <v>0</v>
      </c>
      <c r="J1815" s="1968">
        <v>0</v>
      </c>
      <c r="K1815" s="1968">
        <v>0</v>
      </c>
      <c r="L1815" s="1968">
        <v>0</v>
      </c>
      <c r="M1815" s="1968">
        <v>0</v>
      </c>
    </row>
    <row r="1816" spans="3:13" ht="15" customHeight="1">
      <c r="D1816" t="s">
        <v>571</v>
      </c>
      <c r="E1816" s="1287"/>
      <c r="F1816" s="1968"/>
      <c r="G1816" s="1968"/>
      <c r="H1816" s="1968"/>
      <c r="I1816" s="1968"/>
      <c r="J1816" s="1968"/>
      <c r="K1816" s="1968"/>
      <c r="L1816" s="1968"/>
      <c r="M1816" s="1968"/>
    </row>
    <row r="1817" spans="3:13" ht="15" customHeight="1">
      <c r="D1817" s="1948" t="s">
        <v>1878</v>
      </c>
      <c r="E1817" s="1287"/>
      <c r="F1817" s="1968"/>
      <c r="G1817" s="1968"/>
      <c r="H1817" s="1968"/>
      <c r="I1817" s="1968"/>
      <c r="J1817" s="1968"/>
      <c r="K1817" s="1968"/>
      <c r="L1817" s="1968"/>
      <c r="M1817" s="1968"/>
    </row>
    <row r="1818" spans="3:13" ht="15" customHeight="1">
      <c r="D1818" s="1948" t="s">
        <v>549</v>
      </c>
      <c r="E1818" s="1287"/>
      <c r="F1818" s="1968"/>
      <c r="G1818" s="1968"/>
      <c r="H1818" s="1968"/>
      <c r="I1818" s="1968"/>
      <c r="J1818" s="1968"/>
      <c r="K1818" s="1968"/>
      <c r="L1818" s="1968"/>
      <c r="M1818" s="1968"/>
    </row>
    <row r="1819" spans="3:13" ht="15" customHeight="1">
      <c r="D1819" s="1974" t="s">
        <v>572</v>
      </c>
      <c r="E1819" s="1478"/>
      <c r="F1819" s="1647"/>
      <c r="G1819" s="1647"/>
      <c r="H1819" s="1647"/>
      <c r="I1819" s="1647"/>
      <c r="J1819" s="1647"/>
      <c r="K1819" s="1647"/>
      <c r="L1819" s="1647"/>
      <c r="M1819" s="1647"/>
    </row>
    <row r="1820" spans="3:13" ht="15" customHeight="1">
      <c r="D1820" s="611" t="s">
        <v>338</v>
      </c>
      <c r="E1820" s="1975"/>
      <c r="F1820" s="1981">
        <f t="shared" ref="F1820:M1820" si="125">SUM(F1803:F1819)</f>
        <v>9.485179394791269E-8</v>
      </c>
      <c r="G1820" s="1981">
        <f t="shared" si="125"/>
        <v>9.485179394791269E-8</v>
      </c>
      <c r="H1820" s="1981">
        <f t="shared" si="125"/>
        <v>1.084535884226119E-7</v>
      </c>
      <c r="I1820" s="1981">
        <f t="shared" si="125"/>
        <v>1.2202591014708489E-7</v>
      </c>
      <c r="J1820" s="1981">
        <f t="shared" si="125"/>
        <v>1.2202591014708489E-7</v>
      </c>
      <c r="K1820" s="1981">
        <f t="shared" si="125"/>
        <v>1.2202591014708489E-7</v>
      </c>
      <c r="L1820" s="1981">
        <f t="shared" si="125"/>
        <v>1.2202591014708489E-7</v>
      </c>
      <c r="M1820" s="1981">
        <f t="shared" si="125"/>
        <v>1.2202591014708489E-7</v>
      </c>
    </row>
    <row r="1821" spans="3:13" ht="15" customHeight="1">
      <c r="E1821" s="887"/>
      <c r="F1821" s="1649"/>
      <c r="G1821" s="1649"/>
      <c r="H1821" s="1649"/>
      <c r="I1821" s="1649"/>
      <c r="J1821" s="1649"/>
      <c r="K1821" s="1649"/>
      <c r="L1821" s="1649"/>
      <c r="M1821" s="1649"/>
    </row>
    <row r="1822" spans="3:13" ht="15" customHeight="1">
      <c r="E1822" s="887"/>
      <c r="F1822" s="1649"/>
      <c r="G1822" s="1649"/>
      <c r="H1822" s="1649"/>
      <c r="I1822" s="1649"/>
      <c r="J1822" s="1649"/>
      <c r="K1822" s="1649"/>
      <c r="L1822" s="1649"/>
      <c r="M1822" s="1649"/>
    </row>
    <row r="1823" spans="3:13" ht="15" customHeight="1">
      <c r="C1823" s="1745" t="s">
        <v>1908</v>
      </c>
      <c r="E1823" s="1287"/>
      <c r="F1823" s="1650"/>
      <c r="G1823" s="1973"/>
      <c r="H1823" s="1973"/>
      <c r="I1823" s="1973"/>
      <c r="J1823" s="1973"/>
      <c r="K1823" s="1973"/>
      <c r="L1823" s="1973"/>
      <c r="M1823" s="1973"/>
    </row>
    <row r="1824" spans="3:13" ht="15" customHeight="1">
      <c r="C1824" t="s">
        <v>1909</v>
      </c>
      <c r="E1824" s="1287"/>
      <c r="F1824" s="1650"/>
      <c r="G1824" s="1973"/>
      <c r="H1824" s="1973"/>
      <c r="I1824" s="1973"/>
      <c r="J1824" s="1973"/>
      <c r="K1824" s="1973"/>
      <c r="L1824" s="1973"/>
      <c r="M1824" s="1973"/>
    </row>
    <row r="1825" spans="4:13" ht="15" customHeight="1">
      <c r="E1825" s="1650"/>
      <c r="F1825" s="1973"/>
      <c r="G1825" s="1973"/>
      <c r="H1825" s="1973"/>
      <c r="I1825" s="1973"/>
      <c r="J1825" s="1973"/>
      <c r="K1825" s="1973"/>
      <c r="L1825" s="624" t="s">
        <v>35</v>
      </c>
      <c r="M1825" s="1973"/>
    </row>
    <row r="1826" spans="4:13" ht="15" customHeight="1">
      <c r="D1826" s="1774" t="s">
        <v>917</v>
      </c>
      <c r="E1826" s="1952">
        <v>2018</v>
      </c>
      <c r="F1826" s="1952">
        <v>2020</v>
      </c>
      <c r="G1826" s="1952">
        <v>2025</v>
      </c>
      <c r="H1826" s="1952">
        <v>2030</v>
      </c>
      <c r="I1826" s="1952">
        <v>2035</v>
      </c>
      <c r="J1826" s="1952">
        <v>2040</v>
      </c>
      <c r="K1826" s="1952">
        <v>2045</v>
      </c>
      <c r="L1826" s="1952">
        <v>2050</v>
      </c>
      <c r="M1826" s="1973"/>
    </row>
    <row r="1827" spans="4:13" ht="15" customHeight="1">
      <c r="D1827" s="1091"/>
      <c r="E1827" s="1983" cm="1">
        <f t="array" ref="E1827:L1827">((E208:L208*FE_PRODUCCION_CEMENTO_CO2)-(E1862:L1862))*UNIDAD_T_A_MT</f>
        <v>0.4131461834124196</v>
      </c>
      <c r="F1827" s="1983">
        <v>0.45901969696624395</v>
      </c>
      <c r="G1827" s="1983">
        <v>0.60562843615386597</v>
      </c>
      <c r="H1827" s="1983">
        <v>0.79906331929183072</v>
      </c>
      <c r="I1827" s="1983">
        <v>0.79906331929183072</v>
      </c>
      <c r="J1827" s="1983">
        <v>0.79906331929183072</v>
      </c>
      <c r="K1827" s="1983">
        <v>0.79906331929183072</v>
      </c>
      <c r="L1827" s="1982">
        <v>0.79906331929183072</v>
      </c>
      <c r="M1827" s="1973"/>
    </row>
    <row r="1828" spans="4:13" ht="15" customHeight="1">
      <c r="E1828" s="1650"/>
      <c r="F1828" s="1650"/>
      <c r="G1828" s="1650"/>
      <c r="H1828" s="1650"/>
      <c r="I1828" s="1650"/>
      <c r="J1828" s="1650"/>
      <c r="K1828" s="1650"/>
      <c r="L1828" s="624" t="s">
        <v>35</v>
      </c>
      <c r="M1828" s="1973"/>
    </row>
    <row r="1829" spans="4:13" ht="15" customHeight="1">
      <c r="D1829" s="1774" t="s">
        <v>1910</v>
      </c>
      <c r="E1829" s="1952">
        <v>2018</v>
      </c>
      <c r="F1829" s="1952">
        <v>2020</v>
      </c>
      <c r="G1829" s="1952">
        <v>2025</v>
      </c>
      <c r="H1829" s="1952">
        <v>2030</v>
      </c>
      <c r="I1829" s="1952">
        <v>2035</v>
      </c>
      <c r="J1829" s="1952">
        <v>2040</v>
      </c>
      <c r="K1829" s="1952">
        <v>2045</v>
      </c>
      <c r="L1829" s="1952">
        <v>2050</v>
      </c>
      <c r="M1829" s="1973"/>
    </row>
    <row r="1830" spans="4:13" ht="15" customHeight="1">
      <c r="D1830" s="1091"/>
      <c r="E1830" s="1983" cm="1">
        <f t="array" ref="E1830:L1830">E209:L209*FE_PRODUCCION_CO2_CAL*UNIDAD_T_A_MT</f>
        <v>1.2614322966372963E-2</v>
      </c>
      <c r="F1830" s="1983">
        <v>1.3413765443394902E-2</v>
      </c>
      <c r="G1830" s="1983">
        <v>1.6524878428795145E-2</v>
      </c>
      <c r="H1830" s="1983">
        <v>2.0105041251373482E-2</v>
      </c>
      <c r="I1830" s="1983">
        <v>2.0105041251373482E-2</v>
      </c>
      <c r="J1830" s="1983">
        <v>2.0105041251373482E-2</v>
      </c>
      <c r="K1830" s="1983">
        <v>2.0105041251373482E-2</v>
      </c>
      <c r="L1830" s="1982">
        <v>2.0105041251373482E-2</v>
      </c>
      <c r="M1830" s="1973"/>
    </row>
    <row r="1831" spans="4:13" ht="15" customHeight="1">
      <c r="E1831" s="1650"/>
      <c r="F1831" s="1650"/>
      <c r="G1831" s="1650"/>
      <c r="H1831" s="1650"/>
      <c r="I1831" s="1650"/>
      <c r="J1831" s="1650"/>
      <c r="K1831" s="1650"/>
      <c r="L1831" s="624" t="s">
        <v>35</v>
      </c>
    </row>
    <row r="1832" spans="4:13" ht="15" customHeight="1">
      <c r="D1832" s="611" t="s">
        <v>1911</v>
      </c>
      <c r="E1832" s="1952">
        <v>2018</v>
      </c>
      <c r="F1832" s="1952">
        <v>2020</v>
      </c>
      <c r="G1832" s="1952">
        <v>2025</v>
      </c>
      <c r="H1832" s="1952">
        <v>2030</v>
      </c>
      <c r="I1832" s="1952">
        <v>2035</v>
      </c>
      <c r="J1832" s="1952">
        <v>2040</v>
      </c>
      <c r="K1832" s="1952">
        <v>2045</v>
      </c>
      <c r="L1832" s="1952">
        <v>2050</v>
      </c>
    </row>
    <row r="1833" spans="4:13" ht="15" customHeight="1">
      <c r="D1833" s="1091"/>
      <c r="E1833" s="1983" cm="1">
        <f t="array" ref="E1833:L1833">E210:L210*FE_PRODUCCION_CO2_VIDRIO*UNIDAD_T_A_MT</f>
        <v>1.6634667809231164E-2</v>
      </c>
      <c r="F1833" s="1983">
        <v>1.7688902750995356E-2</v>
      </c>
      <c r="G1833" s="1983">
        <v>2.1791566934168633E-2</v>
      </c>
      <c r="H1833" s="1983">
        <v>2.6512773091273548E-2</v>
      </c>
      <c r="I1833" s="1983">
        <v>2.6512773091273548E-2</v>
      </c>
      <c r="J1833" s="1983">
        <v>2.6512773091273548E-2</v>
      </c>
      <c r="K1833" s="1983">
        <v>2.6512773091273548E-2</v>
      </c>
      <c r="L1833" s="1982">
        <v>2.6512773091273548E-2</v>
      </c>
    </row>
    <row r="1834" spans="4:13" ht="15" customHeight="1">
      <c r="E1834" s="1650"/>
      <c r="F1834" s="1650"/>
      <c r="G1834" s="1650"/>
      <c r="H1834" s="1650"/>
      <c r="I1834" s="1650"/>
      <c r="J1834" s="1650"/>
      <c r="K1834" s="1650"/>
      <c r="L1834" s="624" t="s">
        <v>35</v>
      </c>
    </row>
    <row r="1835" spans="4:13" ht="15" customHeight="1">
      <c r="D1835" s="611" t="s">
        <v>1912</v>
      </c>
      <c r="E1835" s="1952">
        <v>2018</v>
      </c>
      <c r="F1835" s="1952">
        <v>2020</v>
      </c>
      <c r="G1835" s="1952">
        <v>2025</v>
      </c>
      <c r="H1835" s="1952">
        <v>2030</v>
      </c>
      <c r="I1835" s="1952">
        <v>2035</v>
      </c>
      <c r="J1835" s="1952">
        <v>2040</v>
      </c>
      <c r="K1835" s="1952">
        <v>2045</v>
      </c>
      <c r="L1835" s="1952">
        <v>2050</v>
      </c>
    </row>
    <row r="1836" spans="4:13" ht="15" customHeight="1">
      <c r="D1836" s="1091"/>
      <c r="E1836" s="1983" cm="1">
        <f t="array" ref="E1836:L1836">(((E212:L212*(1-(CHOOSE(L10,E181:L181,E186:L186,E191:L191,E196:L196))))*E226)+(E212:L212*(CHOOSE(L10,E181:L181,E186:L186,E191:L191,E196:L196))*(E226*(1-E223))))*PCG_N2O*UNIDAD_KG_A_MT</f>
        <v>5.8934649111480039E-2</v>
      </c>
      <c r="F1836" s="1983">
        <v>6.2374223007899847E-2</v>
      </c>
      <c r="G1836" s="1983">
        <v>7.0973157748948093E-2</v>
      </c>
      <c r="H1836" s="1983">
        <v>7.4412731645367811E-2</v>
      </c>
      <c r="I1836" s="1983">
        <v>7.4412731645367811E-2</v>
      </c>
      <c r="J1836" s="1983">
        <v>7.4412731645367811E-2</v>
      </c>
      <c r="K1836" s="1983">
        <v>7.4412731645367811E-2</v>
      </c>
      <c r="L1836" s="1982">
        <v>7.4412731645367811E-2</v>
      </c>
    </row>
    <row r="1837" spans="4:13" ht="15" customHeight="1">
      <c r="E1837" s="1650"/>
      <c r="F1837" s="1650"/>
      <c r="G1837" s="1650"/>
      <c r="H1837" s="1650"/>
      <c r="I1837" s="1650"/>
      <c r="J1837" s="1650"/>
      <c r="K1837" s="1650"/>
      <c r="L1837" s="624" t="s">
        <v>35</v>
      </c>
    </row>
    <row r="1838" spans="4:13" ht="15" customHeight="1">
      <c r="D1838" s="611" t="s">
        <v>1913</v>
      </c>
      <c r="E1838" s="1952">
        <v>2018</v>
      </c>
      <c r="F1838" s="1952">
        <v>2020</v>
      </c>
      <c r="G1838" s="1952">
        <v>2025</v>
      </c>
      <c r="H1838" s="1952">
        <v>2030</v>
      </c>
      <c r="I1838" s="1952">
        <v>2035</v>
      </c>
      <c r="J1838" s="1952">
        <v>2040</v>
      </c>
      <c r="K1838" s="1952">
        <v>2045</v>
      </c>
      <c r="L1838" s="1952">
        <v>2050</v>
      </c>
    </row>
    <row r="1839" spans="4:13" ht="15" customHeight="1">
      <c r="D1839" s="1091"/>
      <c r="E1839" s="1983" cm="1">
        <f t="array" ref="E1839:L1839">(E211:L211*FE_PRODUCCION_C_AMONIACO*(44/12))*UNIDAD_KG_A_T*UNIDAD_T_A_MT</f>
        <v>1.7189206515202005E-2</v>
      </c>
      <c r="F1839" s="1983">
        <v>1.7161569619935778E-2</v>
      </c>
      <c r="G1839" s="1983">
        <v>1.7092477381770194E-2</v>
      </c>
      <c r="H1839" s="1983">
        <v>1.7023385143604606E-2</v>
      </c>
      <c r="I1839" s="1983">
        <v>1.7023385143604606E-2</v>
      </c>
      <c r="J1839" s="1983">
        <v>1.7023385143604606E-2</v>
      </c>
      <c r="K1839" s="1983">
        <v>1.7023385143604606E-2</v>
      </c>
      <c r="L1839" s="1982">
        <v>1.7023385143604606E-2</v>
      </c>
    </row>
    <row r="1840" spans="4:13" ht="15" customHeight="1">
      <c r="E1840" s="1650"/>
      <c r="F1840" s="1650"/>
      <c r="G1840" s="1650"/>
      <c r="H1840" s="1650"/>
      <c r="I1840" s="1650"/>
      <c r="J1840" s="1650"/>
      <c r="K1840" s="1650"/>
      <c r="L1840" s="624" t="s">
        <v>35</v>
      </c>
    </row>
    <row r="1841" spans="4:15" ht="15" customHeight="1">
      <c r="D1841" s="611" t="s">
        <v>1855</v>
      </c>
      <c r="E1841" s="1952">
        <v>2018</v>
      </c>
      <c r="F1841" s="1952">
        <v>2020</v>
      </c>
      <c r="G1841" s="1952">
        <v>2025</v>
      </c>
      <c r="H1841" s="1952">
        <v>2030</v>
      </c>
      <c r="I1841" s="1952">
        <v>2035</v>
      </c>
      <c r="J1841" s="1952">
        <v>2040</v>
      </c>
      <c r="K1841" s="1952">
        <v>2045</v>
      </c>
      <c r="L1841" s="1952">
        <v>2050</v>
      </c>
    </row>
    <row r="1842" spans="4:15" ht="15" customHeight="1">
      <c r="D1842" s="1091"/>
      <c r="E1842" s="1983" cm="1">
        <f t="array" ref="E1842:L1842">E213:L213*FE_PRODUCCION_CO2_ACERO*UNIDAD_T_A_MT</f>
        <v>0.23315785238493481</v>
      </c>
      <c r="F1842" s="1983">
        <v>0.25040427935711024</v>
      </c>
      <c r="G1842" s="1983">
        <v>0.30848163485158425</v>
      </c>
      <c r="H1842" s="1983">
        <v>0.37531507379692297</v>
      </c>
      <c r="I1842" s="1983">
        <v>0.37531507379692297</v>
      </c>
      <c r="J1842" s="1983">
        <v>0.37531507379692297</v>
      </c>
      <c r="K1842" s="1983">
        <v>0.37531507379692297</v>
      </c>
      <c r="L1842" s="1982">
        <v>0.37531507379692297</v>
      </c>
    </row>
    <row r="1843" spans="4:15" ht="15" customHeight="1">
      <c r="E1843" s="1650"/>
      <c r="F1843" s="1650"/>
      <c r="G1843" s="1650"/>
      <c r="H1843" s="1650"/>
      <c r="I1843" s="1650"/>
      <c r="J1843" s="1650"/>
      <c r="K1843" s="1650"/>
      <c r="L1843" s="624" t="s">
        <v>35</v>
      </c>
    </row>
    <row r="1844" spans="4:15" ht="15" customHeight="1">
      <c r="D1844" s="611" t="s">
        <v>1914</v>
      </c>
      <c r="E1844" s="1952">
        <v>2018</v>
      </c>
      <c r="F1844" s="1952">
        <v>2020</v>
      </c>
      <c r="G1844" s="1952">
        <v>2025</v>
      </c>
      <c r="H1844" s="1952">
        <v>2030</v>
      </c>
      <c r="I1844" s="1952">
        <v>2035</v>
      </c>
      <c r="J1844" s="1952">
        <v>2040</v>
      </c>
      <c r="K1844" s="1952">
        <v>2045</v>
      </c>
      <c r="L1844" s="1952">
        <v>2050</v>
      </c>
    </row>
    <row r="1845" spans="4:15" ht="15" customHeight="1">
      <c r="D1845" s="1091"/>
      <c r="E1845" s="1983" cm="1">
        <f t="array" ref="E1845:L1845">E214:L214*FE_PRODUCCION_CO2_FERRONIQUEL*UNIDAD_T_A_MT</f>
        <v>8.2396235684361371E-2</v>
      </c>
      <c r="F1845" s="1983">
        <v>8.8490993578967517E-2</v>
      </c>
      <c r="G1845" s="1983">
        <v>0.10901509526500756</v>
      </c>
      <c r="H1845" s="1983">
        <v>0.13263353114699938</v>
      </c>
      <c r="I1845" s="1983">
        <v>1.3673562430669761</v>
      </c>
      <c r="J1845" s="1983">
        <v>1.3673562430669761</v>
      </c>
      <c r="K1845" s="1983">
        <v>1.3673562430669761</v>
      </c>
      <c r="L1845" s="1982">
        <v>1.3673562430669761</v>
      </c>
    </row>
    <row r="1846" spans="4:15" ht="15" customHeight="1">
      <c r="E1846" s="1650"/>
      <c r="F1846" s="1650"/>
      <c r="G1846" s="1650"/>
      <c r="H1846" s="1650"/>
      <c r="I1846" s="1650"/>
      <c r="J1846" s="1650"/>
      <c r="K1846" s="1650"/>
      <c r="L1846" s="624" t="s">
        <v>35</v>
      </c>
    </row>
    <row r="1847" spans="4:15" ht="15" customHeight="1">
      <c r="D1847" s="611" t="s">
        <v>1519</v>
      </c>
      <c r="E1847" s="1952">
        <v>2018</v>
      </c>
      <c r="F1847" s="1952">
        <v>2020</v>
      </c>
      <c r="G1847" s="1952">
        <v>2025</v>
      </c>
      <c r="H1847" s="1952">
        <v>2030</v>
      </c>
      <c r="I1847" s="1952">
        <v>2035</v>
      </c>
      <c r="J1847" s="1952">
        <v>2040</v>
      </c>
      <c r="K1847" s="1952">
        <v>2045</v>
      </c>
      <c r="L1847" s="1952">
        <v>2050</v>
      </c>
    </row>
    <row r="1848" spans="4:15" ht="15" customHeight="1">
      <c r="D1848" s="1091"/>
      <c r="E1848" s="1982" cm="1">
        <f t="array" ref="E1848:L1848">E215:L215*FE_PRODUCCION_CO2_PLOMO*UNIDAD_T_A_MT</f>
        <v>5.2225949234461751E-4</v>
      </c>
      <c r="F1848" s="1982">
        <v>5.2225949234461751E-4</v>
      </c>
      <c r="G1848" s="1982">
        <v>5.9907066339328849E-4</v>
      </c>
      <c r="H1848" s="1982">
        <v>6.7623933719713385E-4</v>
      </c>
      <c r="I1848" s="1982">
        <v>6.9715408428594325E-3</v>
      </c>
      <c r="J1848" s="1982">
        <v>6.9715408428594325E-3</v>
      </c>
      <c r="K1848" s="1983">
        <v>6.9715408428594325E-3</v>
      </c>
      <c r="L1848" s="1982">
        <v>6.9715408428594325E-3</v>
      </c>
    </row>
    <row r="1849" spans="4:15" ht="15" customHeight="1">
      <c r="D1849" s="2040" t="s">
        <v>1915</v>
      </c>
      <c r="E1849" s="2111">
        <f t="shared" ref="E1849:L1849" si="126">E1827+E1830+E1833+E1839+E1842+E1845+E1848</f>
        <v>0.77566072826486654</v>
      </c>
      <c r="F1849" s="2111">
        <f t="shared" si="126"/>
        <v>0.84670146720899231</v>
      </c>
      <c r="G1849" s="2111">
        <f t="shared" si="126"/>
        <v>1.0791331596785851</v>
      </c>
      <c r="H1849" s="2111">
        <f t="shared" si="126"/>
        <v>1.3713293630592016</v>
      </c>
      <c r="I1849" s="2111">
        <f t="shared" si="126"/>
        <v>2.6123473764848408</v>
      </c>
      <c r="J1849" s="2111">
        <f t="shared" si="126"/>
        <v>2.6123473764848408</v>
      </c>
      <c r="K1849" s="2111">
        <f t="shared" si="126"/>
        <v>2.6123473764848408</v>
      </c>
      <c r="L1849" s="2111">
        <f t="shared" si="126"/>
        <v>2.6123473764848408</v>
      </c>
    </row>
    <row r="1850" spans="4:15" ht="15" customHeight="1">
      <c r="D1850" s="624"/>
      <c r="E1850" s="1790"/>
      <c r="F1850" s="1790"/>
      <c r="G1850" s="1790"/>
      <c r="H1850" s="1790"/>
      <c r="I1850" s="1790"/>
      <c r="J1850" s="1790"/>
      <c r="K1850" s="1790"/>
      <c r="L1850" s="1790"/>
    </row>
    <row r="1851" spans="4:15" ht="15" customHeight="1">
      <c r="D1851" s="624"/>
      <c r="E1851" s="1790"/>
      <c r="F1851" s="1790"/>
      <c r="G1851" s="1790"/>
      <c r="H1851" s="1790"/>
      <c r="I1851" s="1790"/>
      <c r="J1851" s="1790"/>
      <c r="K1851" s="1790"/>
      <c r="L1851" s="1790"/>
    </row>
    <row r="1852" spans="4:15" ht="15" customHeight="1">
      <c r="D1852" s="1745" t="s">
        <v>1916</v>
      </c>
      <c r="E1852" s="1790"/>
      <c r="F1852" s="1790"/>
      <c r="G1852" s="1790"/>
      <c r="H1852" s="1790"/>
      <c r="I1852" s="1790"/>
      <c r="J1852" s="1790"/>
      <c r="K1852" s="1790"/>
      <c r="L1852" s="1790"/>
    </row>
    <row r="1853" spans="4:15">
      <c r="D1853" s="3050" t="s">
        <v>588</v>
      </c>
      <c r="E1853" s="1952">
        <v>2018</v>
      </c>
      <c r="F1853" s="1952">
        <v>2020</v>
      </c>
      <c r="G1853" s="1952">
        <v>2025</v>
      </c>
      <c r="H1853" s="1952">
        <v>2030</v>
      </c>
      <c r="I1853" s="1952">
        <v>2035</v>
      </c>
      <c r="J1853" s="1952">
        <v>2040</v>
      </c>
      <c r="K1853" s="1952">
        <v>2045</v>
      </c>
      <c r="L1853" s="1952">
        <v>2050</v>
      </c>
    </row>
    <row r="1854" spans="4:15" ht="15" customHeight="1">
      <c r="D1854" s="624" t="s">
        <v>917</v>
      </c>
      <c r="E1854" s="1790" cm="1">
        <f t="array" ref="E1854:L1854">((E231*E208:L208/1000)*(E234-0.075)*(1/0.8))*(CHOOSE(L10,E182:L182,E187:L187,E192:L192,E197:L197))</f>
        <v>26.835606874302194</v>
      </c>
      <c r="F1854" s="1790">
        <v>59.964109889414502</v>
      </c>
      <c r="G1854" s="1790">
        <v>79.116365458180582</v>
      </c>
      <c r="H1854" s="1790">
        <v>104.38576166403442</v>
      </c>
      <c r="I1854" s="1790">
        <v>104.38576166403442</v>
      </c>
      <c r="J1854" s="1790">
        <v>104.38576166403442</v>
      </c>
      <c r="K1854" s="1790">
        <v>104.38576166403442</v>
      </c>
      <c r="L1854" s="1790">
        <v>104.38576166403442</v>
      </c>
    </row>
    <row r="1855" spans="4:15" ht="15" customHeight="1">
      <c r="D1855" s="624"/>
      <c r="E1855" s="1790"/>
      <c r="F1855" s="1790"/>
      <c r="G1855" s="1790"/>
      <c r="H1855" s="1790"/>
      <c r="I1855" s="1790"/>
      <c r="J1855" s="1790"/>
      <c r="K1855" s="1790"/>
      <c r="L1855" s="1790"/>
    </row>
    <row r="1856" spans="4:15" ht="15" customHeight="1">
      <c r="D1856" s="1745" t="s">
        <v>1917</v>
      </c>
      <c r="E1856" s="1790"/>
      <c r="F1856" s="1790"/>
      <c r="G1856" s="1790"/>
      <c r="H1856" s="1790"/>
      <c r="I1856" s="1790"/>
      <c r="J1856" s="1790"/>
      <c r="K1856" s="1790"/>
      <c r="L1856" s="1790"/>
      <c r="O1856" s="1790"/>
    </row>
    <row r="1857" spans="3:13" ht="15" customHeight="1">
      <c r="D1857" s="3050" t="s">
        <v>588</v>
      </c>
      <c r="E1857" s="1952">
        <v>2018</v>
      </c>
      <c r="F1857" s="1952">
        <v>2020</v>
      </c>
      <c r="G1857" s="1952">
        <v>2025</v>
      </c>
      <c r="H1857" s="1952">
        <v>2030</v>
      </c>
      <c r="I1857" s="1952">
        <v>2035</v>
      </c>
      <c r="J1857" s="1952">
        <v>2040</v>
      </c>
      <c r="K1857" s="1952">
        <v>2045</v>
      </c>
      <c r="L1857" s="1952">
        <v>2050</v>
      </c>
    </row>
    <row r="1858" spans="3:13" ht="15" customHeight="1">
      <c r="D1858" s="624" t="s">
        <v>917</v>
      </c>
      <c r="E1858" s="1790">
        <f>E1854/(15/1000)</f>
        <v>1789.040458286813</v>
      </c>
      <c r="F1858" s="1790">
        <f t="shared" ref="F1858:L1858" si="127">F1854/(15/1000)</f>
        <v>3997.607325960967</v>
      </c>
      <c r="G1858" s="1790">
        <f t="shared" si="127"/>
        <v>5274.4243638787057</v>
      </c>
      <c r="H1858" s="1790">
        <f t="shared" si="127"/>
        <v>6959.0507776022951</v>
      </c>
      <c r="I1858" s="1790">
        <f t="shared" si="127"/>
        <v>6959.0507776022951</v>
      </c>
      <c r="J1858" s="1790">
        <f t="shared" si="127"/>
        <v>6959.0507776022951</v>
      </c>
      <c r="K1858" s="1790">
        <f t="shared" si="127"/>
        <v>6959.0507776022951</v>
      </c>
      <c r="L1858" s="1790">
        <f t="shared" si="127"/>
        <v>6959.0507776022951</v>
      </c>
    </row>
    <row r="1859" spans="3:13" ht="15" customHeight="1">
      <c r="D1859" s="624"/>
      <c r="E1859" s="1790"/>
      <c r="F1859" s="1790"/>
      <c r="G1859" s="1790"/>
      <c r="H1859" s="1790"/>
      <c r="I1859" s="1790"/>
      <c r="J1859" s="1790"/>
      <c r="K1859" s="1790"/>
      <c r="L1859" s="1790"/>
    </row>
    <row r="1860" spans="3:13" ht="15" customHeight="1">
      <c r="D1860" s="1745" t="s">
        <v>1918</v>
      </c>
      <c r="E1860" s="1790"/>
      <c r="F1860" s="1790"/>
      <c r="G1860" s="1790"/>
      <c r="H1860" s="1790"/>
      <c r="I1860" s="1790"/>
      <c r="J1860" s="1790"/>
      <c r="K1860" s="1790"/>
      <c r="L1860" s="1790"/>
    </row>
    <row r="1861" spans="3:13" ht="15" customHeight="1">
      <c r="D1861" s="3050" t="s">
        <v>588</v>
      </c>
      <c r="E1861" s="1952">
        <v>2018</v>
      </c>
      <c r="F1861" s="1952">
        <v>2020</v>
      </c>
      <c r="G1861" s="1952">
        <v>2025</v>
      </c>
      <c r="H1861" s="1952">
        <v>2030</v>
      </c>
      <c r="I1861" s="1952">
        <v>2035</v>
      </c>
      <c r="J1861" s="1952">
        <v>2040</v>
      </c>
      <c r="K1861" s="1952">
        <v>2045</v>
      </c>
      <c r="L1861" s="1952">
        <v>2050</v>
      </c>
    </row>
    <row r="1862" spans="3:13" ht="15" customHeight="1">
      <c r="D1862" s="624" t="s">
        <v>917</v>
      </c>
      <c r="E1862" s="1790">
        <f>(2.15*E1858*0.35+1.4*E1858*0.3+0.54*E1858*0.2+0.04*E1858*0.1)</f>
        <v>2298.022468669411</v>
      </c>
      <c r="F1862" s="1790">
        <f t="shared" ref="F1862:L1862" si="128">(2.15*F1858*0.35+1.4*F1858*0.3+0.54*F1858*0.2+0.04*F1858*0.1)</f>
        <v>5134.9266101968615</v>
      </c>
      <c r="G1862" s="1790">
        <f t="shared" si="128"/>
        <v>6774.9980954021967</v>
      </c>
      <c r="H1862" s="1790">
        <f t="shared" si="128"/>
        <v>8938.9007238301474</v>
      </c>
      <c r="I1862" s="1790">
        <f t="shared" si="128"/>
        <v>8938.9007238301474</v>
      </c>
      <c r="J1862" s="1790">
        <f t="shared" si="128"/>
        <v>8938.9007238301474</v>
      </c>
      <c r="K1862" s="1790">
        <f t="shared" si="128"/>
        <v>8938.9007238301474</v>
      </c>
      <c r="L1862" s="1790">
        <f t="shared" si="128"/>
        <v>8938.9007238301474</v>
      </c>
    </row>
    <row r="1863" spans="3:13" ht="15" customHeight="1">
      <c r="D1863" s="624"/>
      <c r="E1863" s="1790"/>
      <c r="F1863" s="1790"/>
      <c r="G1863" s="1790"/>
      <c r="H1863" s="1790"/>
      <c r="I1863" s="1790"/>
      <c r="J1863" s="1790"/>
      <c r="K1863" s="1790"/>
      <c r="L1863" s="1790"/>
    </row>
    <row r="1864" spans="3:13" ht="15" customHeight="1">
      <c r="D1864" s="624"/>
      <c r="E1864" s="1790"/>
      <c r="F1864" s="1790"/>
      <c r="G1864" s="1790"/>
      <c r="H1864" s="1790"/>
      <c r="I1864" s="1790"/>
      <c r="J1864" s="1790"/>
      <c r="K1864" s="1790"/>
      <c r="L1864" s="1790"/>
    </row>
    <row r="1865" spans="3:13" ht="15" customHeight="1">
      <c r="C1865" s="623" t="s">
        <v>1864</v>
      </c>
    </row>
    <row r="1866" spans="3:13" ht="15" customHeight="1">
      <c r="L1866" s="623" t="s">
        <v>1919</v>
      </c>
      <c r="M1866" s="623"/>
    </row>
    <row r="1867" spans="3:13" ht="15" customHeight="1">
      <c r="D1867" s="3003"/>
      <c r="E1867" s="1952">
        <v>2018</v>
      </c>
      <c r="F1867" s="1952">
        <v>2020</v>
      </c>
      <c r="G1867" s="1952">
        <v>2025</v>
      </c>
      <c r="H1867" s="1952">
        <v>2030</v>
      </c>
      <c r="I1867" s="1952">
        <v>2035</v>
      </c>
      <c r="J1867" s="1952">
        <v>2040</v>
      </c>
      <c r="K1867" s="1952">
        <v>2045</v>
      </c>
      <c r="L1867" s="1952">
        <v>2050</v>
      </c>
    </row>
    <row r="1868" spans="3:13" ht="15" customHeight="1">
      <c r="D1868" t="s">
        <v>1763</v>
      </c>
      <c r="E1868" s="1367" cm="1">
        <f t="array" ref="E1868:L1873">((SF_EMISION_SAO)-(SF_EMISION_SAO)*(ST_SUSTITUCION_GASES_REFRIGERANTES))*UNIDAD_Gg_A_T*UNIDAD_T_A_MT</f>
        <v>7.598618276054403E-2</v>
      </c>
      <c r="F1868" s="1367">
        <v>9.8879659777820525E-2</v>
      </c>
      <c r="G1868" s="1367">
        <v>0.15725274642324036</v>
      </c>
      <c r="H1868" s="1367">
        <v>0.20165510108481879</v>
      </c>
      <c r="I1868" s="1367">
        <v>0.24605745574639723</v>
      </c>
      <c r="J1868" s="1367">
        <v>0.29045981040797569</v>
      </c>
      <c r="K1868" s="1367">
        <v>0.33486216506955413</v>
      </c>
      <c r="L1868" s="1367">
        <v>0.37926451973113251</v>
      </c>
    </row>
    <row r="1869" spans="3:13" ht="15" customHeight="1">
      <c r="D1869" t="s">
        <v>1764</v>
      </c>
      <c r="E1869" s="1367">
        <v>1.2205092900000002E-5</v>
      </c>
      <c r="F1869" s="1367">
        <v>1.2695579387703686E-4</v>
      </c>
      <c r="G1869" s="1367">
        <v>2.2304718063275369E-4</v>
      </c>
      <c r="H1869" s="1367">
        <v>2.8187849244836534E-4</v>
      </c>
      <c r="I1869" s="1367">
        <v>3.4070980426397711E-4</v>
      </c>
      <c r="J1869" s="1367">
        <v>3.9954111607958881E-4</v>
      </c>
      <c r="K1869" s="1367">
        <v>4.5837242789520052E-4</v>
      </c>
      <c r="L1869" s="1367">
        <v>5.1720373971081228E-4</v>
      </c>
    </row>
    <row r="1870" spans="3:13" ht="15" customHeight="1">
      <c r="D1870" t="s">
        <v>1765</v>
      </c>
      <c r="E1870" s="1367">
        <v>2.6514492752321669E-4</v>
      </c>
      <c r="F1870" s="1367">
        <v>3.6604690972460709E-4</v>
      </c>
      <c r="G1870" s="1367">
        <v>1.174821479620833E-3</v>
      </c>
      <c r="H1870" s="1367">
        <v>2.1622475299780258E-3</v>
      </c>
      <c r="I1870" s="1367">
        <v>3.1496735803352187E-3</v>
      </c>
      <c r="J1870" s="1367">
        <v>4.1370996306924123E-3</v>
      </c>
      <c r="K1870" s="1367">
        <v>5.1245256810496052E-3</v>
      </c>
      <c r="L1870" s="1367">
        <v>6.1119517314067989E-3</v>
      </c>
    </row>
    <row r="1871" spans="3:13" ht="15" customHeight="1">
      <c r="D1871" t="s">
        <v>1766</v>
      </c>
      <c r="E1871" s="1367">
        <v>2.6937741366202181E-3</v>
      </c>
      <c r="F1871" s="1367">
        <v>2.6079263226317685E-3</v>
      </c>
      <c r="G1871" s="1367">
        <v>3.653449336574618E-3</v>
      </c>
      <c r="H1871" s="1367">
        <v>4.1874384057099421E-3</v>
      </c>
      <c r="I1871" s="1367">
        <v>4.7214274748452667E-3</v>
      </c>
      <c r="J1871" s="1367">
        <v>5.2554165439805921E-3</v>
      </c>
      <c r="K1871" s="1367">
        <v>5.7894056131159175E-3</v>
      </c>
      <c r="L1871" s="1367">
        <v>6.323394682251242E-3</v>
      </c>
    </row>
    <row r="1872" spans="3:13" ht="15" customHeight="1">
      <c r="D1872" t="s">
        <v>1767</v>
      </c>
      <c r="E1872" s="1367">
        <v>1.1634837585358112E-5</v>
      </c>
      <c r="F1872" s="1367">
        <v>2.4835817221045062E-5</v>
      </c>
      <c r="G1872" s="1367">
        <v>7.1619531181547796E-5</v>
      </c>
      <c r="H1872" s="1367">
        <v>8.2094371427087739E-5</v>
      </c>
      <c r="I1872" s="1367">
        <v>9.2569211672627682E-5</v>
      </c>
      <c r="J1872" s="1367">
        <v>1.0304405191816765E-4</v>
      </c>
      <c r="K1872" s="1367">
        <v>1.1351889216370761E-4</v>
      </c>
      <c r="L1872" s="1367">
        <v>1.2399373240924759E-4</v>
      </c>
    </row>
    <row r="1873" spans="3:12" ht="15" customHeight="1">
      <c r="D1873" t="s">
        <v>564</v>
      </c>
      <c r="E1873" s="1367">
        <v>1.858175149448882E-5</v>
      </c>
      <c r="F1873" s="1367">
        <v>1.9107567954742412E-5</v>
      </c>
      <c r="G1873" s="1367">
        <v>2.1414260456747849E-5</v>
      </c>
      <c r="H1873" s="1367">
        <v>2.5334972644612094E-5</v>
      </c>
      <c r="I1873" s="1367">
        <v>2.9255684832476338E-5</v>
      </c>
      <c r="J1873" s="1367">
        <v>3.3176397020340596E-5</v>
      </c>
      <c r="K1873" s="1367">
        <v>3.7097109208204844E-5</v>
      </c>
      <c r="L1873" s="1367">
        <v>4.1017821396069113E-5</v>
      </c>
    </row>
    <row r="1874" spans="3:12" ht="15" customHeight="1">
      <c r="D1874" s="1770" t="s">
        <v>338</v>
      </c>
      <c r="E1874" s="1986">
        <f>SUM(E1868:E1873)</f>
        <v>7.8987523506667309E-2</v>
      </c>
      <c r="F1874" s="1986">
        <f t="shared" ref="F1874:L1874" si="129">SUM(F1868:F1873)</f>
        <v>0.10202453218922972</v>
      </c>
      <c r="G1874" s="1986">
        <f t="shared" si="129"/>
        <v>0.16239709821170684</v>
      </c>
      <c r="H1874" s="1986">
        <f t="shared" si="129"/>
        <v>0.20839409485702687</v>
      </c>
      <c r="I1874" s="1986">
        <f t="shared" si="129"/>
        <v>0.25439109150234679</v>
      </c>
      <c r="J1874" s="1986">
        <f t="shared" si="129"/>
        <v>0.30038808814766682</v>
      </c>
      <c r="K1874" s="1986">
        <f t="shared" si="129"/>
        <v>0.34638508479298674</v>
      </c>
      <c r="L1874" s="1986">
        <f t="shared" si="129"/>
        <v>0.39238208143830666</v>
      </c>
    </row>
    <row r="1880" spans="3:12" ht="15" customHeight="1">
      <c r="C1880" s="623"/>
    </row>
  </sheetData>
  <sheetProtection algorithmName="SHA-512" hashValue="8R4k31yqZLY3/XBMSiqPmxwPmDmH593S4TzWUC+OQsRo3KPSc8HPug/nSKxlLiA4pHA90zLZtr8Tj6sMgL7cMQ==" saltValue="lcwUxPwF0MUJuBX0rgJPqg==" spinCount="100000" sheet="1" objects="1" scenarios="1"/>
  <mergeCells count="8">
    <mergeCell ref="D12:I13"/>
    <mergeCell ref="D8:H9"/>
    <mergeCell ref="L14:L15"/>
    <mergeCell ref="L12:L13"/>
    <mergeCell ref="L8:L9"/>
    <mergeCell ref="D14:I15"/>
    <mergeCell ref="D10:H11"/>
    <mergeCell ref="L10:L11"/>
  </mergeCells>
  <hyperlinks>
    <hyperlink ref="D481" location="FUENTES!A15" display="Emisión de SAO " xr:uid="{DFFD3D75-7729-4D7C-A41C-B5D732B1A41E}"/>
  </hyperlink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2769" r:id="rId5" name="Spinner 1">
              <controlPr defaultSize="0" autoPict="0">
                <anchor moveWithCells="1" sizeWithCells="1">
                  <from>
                    <xdr:col>11</xdr:col>
                    <xdr:colOff>771525</xdr:colOff>
                    <xdr:row>7</xdr:row>
                    <xdr:rowOff>47625</xdr:rowOff>
                  </from>
                  <to>
                    <xdr:col>12</xdr:col>
                    <xdr:colOff>180975</xdr:colOff>
                    <xdr:row>8</xdr:row>
                    <xdr:rowOff>152400</xdr:rowOff>
                  </to>
                </anchor>
              </controlPr>
            </control>
          </mc:Choice>
        </mc:AlternateContent>
        <mc:AlternateContent xmlns:mc="http://schemas.openxmlformats.org/markup-compatibility/2006">
          <mc:Choice Requires="x14">
            <control shapeId="32770" r:id="rId6" name="Spinner 2">
              <controlPr defaultSize="0" autoPict="0">
                <anchor moveWithCells="1" sizeWithCells="1">
                  <from>
                    <xdr:col>11</xdr:col>
                    <xdr:colOff>771525</xdr:colOff>
                    <xdr:row>11</xdr:row>
                    <xdr:rowOff>47625</xdr:rowOff>
                  </from>
                  <to>
                    <xdr:col>12</xdr:col>
                    <xdr:colOff>180975</xdr:colOff>
                    <xdr:row>12</xdr:row>
                    <xdr:rowOff>152400</xdr:rowOff>
                  </to>
                </anchor>
              </controlPr>
            </control>
          </mc:Choice>
        </mc:AlternateContent>
        <mc:AlternateContent xmlns:mc="http://schemas.openxmlformats.org/markup-compatibility/2006">
          <mc:Choice Requires="x14">
            <control shapeId="32774" r:id="rId7" name="Spinner 6">
              <controlPr defaultSize="0" autoPict="0">
                <anchor moveWithCells="1" sizeWithCells="1">
                  <from>
                    <xdr:col>11</xdr:col>
                    <xdr:colOff>771525</xdr:colOff>
                    <xdr:row>13</xdr:row>
                    <xdr:rowOff>57150</xdr:rowOff>
                  </from>
                  <to>
                    <xdr:col>12</xdr:col>
                    <xdr:colOff>180975</xdr:colOff>
                    <xdr:row>14</xdr:row>
                    <xdr:rowOff>152400</xdr:rowOff>
                  </to>
                </anchor>
              </controlPr>
            </control>
          </mc:Choice>
        </mc:AlternateContent>
        <mc:AlternateContent xmlns:mc="http://schemas.openxmlformats.org/markup-compatibility/2006">
          <mc:Choice Requires="x14">
            <control shapeId="32775" r:id="rId8" name="Spinner 7">
              <controlPr defaultSize="0" autoPict="0">
                <anchor moveWithCells="1" sizeWithCells="1">
                  <from>
                    <xdr:col>11</xdr:col>
                    <xdr:colOff>771525</xdr:colOff>
                    <xdr:row>7</xdr:row>
                    <xdr:rowOff>47625</xdr:rowOff>
                  </from>
                  <to>
                    <xdr:col>12</xdr:col>
                    <xdr:colOff>180975</xdr:colOff>
                    <xdr:row>8</xdr:row>
                    <xdr:rowOff>152400</xdr:rowOff>
                  </to>
                </anchor>
              </controlPr>
            </control>
          </mc:Choice>
        </mc:AlternateContent>
        <mc:AlternateContent xmlns:mc="http://schemas.openxmlformats.org/markup-compatibility/2006">
          <mc:Choice Requires="x14">
            <control shapeId="32776" r:id="rId9" name="Spinner 8">
              <controlPr defaultSize="0" autoPict="0">
                <anchor moveWithCells="1" sizeWithCells="1">
                  <from>
                    <xdr:col>11</xdr:col>
                    <xdr:colOff>771525</xdr:colOff>
                    <xdr:row>11</xdr:row>
                    <xdr:rowOff>47625</xdr:rowOff>
                  </from>
                  <to>
                    <xdr:col>12</xdr:col>
                    <xdr:colOff>180975</xdr:colOff>
                    <xdr:row>12</xdr:row>
                    <xdr:rowOff>152400</xdr:rowOff>
                  </to>
                </anchor>
              </controlPr>
            </control>
          </mc:Choice>
        </mc:AlternateContent>
        <mc:AlternateContent xmlns:mc="http://schemas.openxmlformats.org/markup-compatibility/2006">
          <mc:Choice Requires="x14">
            <control shapeId="32778" r:id="rId10" name="Spinner 10">
              <controlPr defaultSize="0" autoPict="0">
                <anchor moveWithCells="1" sizeWithCells="1">
                  <from>
                    <xdr:col>11</xdr:col>
                    <xdr:colOff>771525</xdr:colOff>
                    <xdr:row>13</xdr:row>
                    <xdr:rowOff>57150</xdr:rowOff>
                  </from>
                  <to>
                    <xdr:col>12</xdr:col>
                    <xdr:colOff>180975</xdr:colOff>
                    <xdr:row>14</xdr:row>
                    <xdr:rowOff>152400</xdr:rowOff>
                  </to>
                </anchor>
              </controlPr>
            </control>
          </mc:Choice>
        </mc:AlternateContent>
        <mc:AlternateContent xmlns:mc="http://schemas.openxmlformats.org/markup-compatibility/2006">
          <mc:Choice Requires="x14">
            <control shapeId="32779" r:id="rId11" name="Spinner 11">
              <controlPr defaultSize="0" autoPict="0">
                <anchor moveWithCells="1" sizeWithCells="1">
                  <from>
                    <xdr:col>11</xdr:col>
                    <xdr:colOff>771525</xdr:colOff>
                    <xdr:row>9</xdr:row>
                    <xdr:rowOff>47625</xdr:rowOff>
                  </from>
                  <to>
                    <xdr:col>12</xdr:col>
                    <xdr:colOff>180975</xdr:colOff>
                    <xdr:row>10</xdr:row>
                    <xdr:rowOff>152400</xdr:rowOff>
                  </to>
                </anchor>
              </controlPr>
            </control>
          </mc:Choice>
        </mc:AlternateContent>
        <mc:AlternateContent xmlns:mc="http://schemas.openxmlformats.org/markup-compatibility/2006">
          <mc:Choice Requires="x14">
            <control shapeId="32780" r:id="rId12" name="Spinner 12">
              <controlPr defaultSize="0" autoPict="0">
                <anchor moveWithCells="1" sizeWithCells="1">
                  <from>
                    <xdr:col>11</xdr:col>
                    <xdr:colOff>771525</xdr:colOff>
                    <xdr:row>9</xdr:row>
                    <xdr:rowOff>47625</xdr:rowOff>
                  </from>
                  <to>
                    <xdr:col>12</xdr:col>
                    <xdr:colOff>180975</xdr:colOff>
                    <xdr:row>10</xdr:row>
                    <xdr:rowOff>152400</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B7FCF-57F5-4660-A466-AC46CD9FA94D}">
  <sheetPr codeName="Hoja20"/>
  <dimension ref="A1:IT554"/>
  <sheetViews>
    <sheetView zoomScale="80" zoomScaleNormal="80" workbookViewId="0">
      <selection activeCell="K78" sqref="K78"/>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8" style="3" customWidth="1"/>
    <col min="6" max="6" width="16.140625" style="3" customWidth="1"/>
    <col min="7" max="7" width="11.42578125" style="3" customWidth="1"/>
    <col min="8" max="8" width="15.85546875" style="3" bestFit="1" customWidth="1"/>
    <col min="9" max="9" width="14.28515625" style="3" bestFit="1" customWidth="1"/>
    <col min="10" max="10" width="17" style="3" bestFit="1" customWidth="1"/>
    <col min="11" max="11" width="12.5703125" style="3" bestFit="1" customWidth="1"/>
    <col min="12" max="12" width="17.7109375" style="3" customWidth="1"/>
    <col min="13" max="13" width="14.42578125" style="3" bestFit="1" customWidth="1"/>
    <col min="14" max="14" width="11.42578125" style="3" customWidth="1"/>
    <col min="15" max="15" width="16.7109375" style="3" bestFit="1" customWidth="1"/>
    <col min="16" max="16" width="20.7109375" style="3" bestFit="1" customWidth="1"/>
    <col min="17" max="17" width="16.7109375" style="3" bestFit="1" customWidth="1"/>
    <col min="18" max="18" width="39.85546875" style="3" bestFit="1" customWidth="1"/>
    <col min="19" max="20" width="16.7109375" style="3" bestFit="1" customWidth="1"/>
    <col min="21" max="25" width="16.28515625" style="3" bestFit="1" customWidth="1"/>
    <col min="26" max="27" width="16.140625" style="3" bestFit="1" customWidth="1"/>
    <col min="28" max="28" width="15.7109375" style="3" bestFit="1" customWidth="1"/>
    <col min="29" max="29" width="16.42578125" style="3" bestFit="1" customWidth="1"/>
    <col min="30" max="30" width="16.140625" style="3" bestFit="1" customWidth="1"/>
    <col min="31" max="32" width="16.85546875" style="3" bestFit="1" customWidth="1"/>
    <col min="33" max="16384" width="11.5703125" style="3"/>
  </cols>
  <sheetData>
    <row r="1" spans="1:15" ht="15" customHeight="1">
      <c r="J1" s="1"/>
      <c r="K1" s="2"/>
    </row>
    <row r="2" spans="1:15" ht="15" customHeight="1">
      <c r="J2" s="1"/>
      <c r="K2" s="2"/>
    </row>
    <row r="4" spans="1:15" ht="15" customHeight="1">
      <c r="D4" s="396" t="s">
        <v>1622</v>
      </c>
      <c r="E4" s="5"/>
      <c r="F4" s="5"/>
      <c r="G4" s="5"/>
      <c r="H4" s="5"/>
      <c r="I4" s="5"/>
      <c r="J4" s="5"/>
      <c r="K4" s="5"/>
      <c r="L4" s="5"/>
      <c r="M4" s="5"/>
      <c r="N4" s="5"/>
      <c r="O4" s="5"/>
    </row>
    <row r="5" spans="1:15" ht="15" customHeight="1">
      <c r="A5" s="1559"/>
      <c r="D5" s="6"/>
      <c r="E5" s="6"/>
      <c r="F5" s="6"/>
      <c r="G5" s="6"/>
      <c r="H5" s="6"/>
      <c r="I5" s="6"/>
      <c r="J5" s="6"/>
      <c r="K5" s="6"/>
      <c r="L5" s="6"/>
      <c r="M5" s="6"/>
      <c r="N5" s="6"/>
      <c r="O5" s="6"/>
    </row>
    <row r="6" spans="1:15" ht="15" customHeight="1">
      <c r="D6" s="6"/>
      <c r="E6" s="126" t="s">
        <v>1623</v>
      </c>
      <c r="F6" s="127"/>
      <c r="G6" s="127"/>
      <c r="H6" s="127"/>
      <c r="I6" s="127"/>
      <c r="J6" s="127"/>
      <c r="K6" s="127"/>
      <c r="L6" s="127"/>
      <c r="M6" s="127"/>
      <c r="N6" s="128" t="s">
        <v>879</v>
      </c>
      <c r="O6" s="397"/>
    </row>
    <row r="7" spans="1:15" ht="15" customHeight="1">
      <c r="D7" s="6"/>
      <c r="E7" s="3913" t="s">
        <v>131</v>
      </c>
      <c r="F7" s="3913"/>
      <c r="G7" s="3913"/>
      <c r="H7" s="127"/>
      <c r="I7" s="127"/>
      <c r="J7" s="127"/>
      <c r="K7" s="127"/>
      <c r="L7" s="127"/>
      <c r="M7" s="127"/>
      <c r="N7" s="3922">
        <f>TRAYECTORIA_RESIDUOS_SOLIDOS</f>
        <v>1</v>
      </c>
      <c r="O7" s="6"/>
    </row>
    <row r="8" spans="1:15" ht="15" customHeight="1">
      <c r="D8" s="6"/>
      <c r="E8" s="3924"/>
      <c r="F8" s="3924"/>
      <c r="G8" s="3924"/>
      <c r="H8" s="7"/>
      <c r="I8" s="7"/>
      <c r="J8" s="7"/>
      <c r="K8" s="7"/>
      <c r="L8" s="7"/>
      <c r="M8" s="7"/>
      <c r="N8" s="3923"/>
      <c r="O8" s="6"/>
    </row>
    <row r="9" spans="1:15" ht="15" customHeight="1">
      <c r="D9" s="6"/>
      <c r="E9" s="6"/>
      <c r="F9" s="6"/>
      <c r="G9" s="6"/>
      <c r="H9" s="6"/>
      <c r="I9" s="6"/>
      <c r="J9" s="6"/>
      <c r="K9" s="6"/>
      <c r="L9" s="6"/>
      <c r="M9" s="6"/>
      <c r="N9" s="6"/>
      <c r="O9" s="6"/>
    </row>
    <row r="11" spans="1:15" ht="15" customHeight="1">
      <c r="D11" s="978" t="s">
        <v>1190</v>
      </c>
      <c r="E11" s="336"/>
      <c r="F11" s="336"/>
      <c r="G11" s="336"/>
      <c r="H11" s="336"/>
      <c r="I11" s="336"/>
      <c r="J11" s="336"/>
      <c r="K11" s="336"/>
      <c r="L11" s="336"/>
      <c r="M11" s="336"/>
      <c r="N11" s="336"/>
      <c r="O11" s="336"/>
    </row>
    <row r="12" spans="1:15" ht="15" customHeight="1">
      <c r="D12" s="11"/>
      <c r="E12" s="12"/>
      <c r="F12" s="12"/>
      <c r="G12" s="12"/>
      <c r="H12" s="12"/>
      <c r="I12" s="12"/>
      <c r="J12" s="12"/>
      <c r="K12" s="12"/>
      <c r="L12" s="12"/>
      <c r="M12" s="12"/>
      <c r="N12" s="12"/>
      <c r="O12" s="12"/>
    </row>
    <row r="13" spans="1:15" ht="15" customHeight="1">
      <c r="D13" s="13"/>
      <c r="E13" s="2782" t="s">
        <v>1920</v>
      </c>
      <c r="F13" s="87"/>
      <c r="G13" s="119"/>
      <c r="H13" s="87"/>
      <c r="I13" s="120"/>
      <c r="J13" s="87"/>
      <c r="K13" s="120"/>
      <c r="L13" s="87"/>
      <c r="M13" s="87"/>
      <c r="N13" s="120"/>
      <c r="O13" s="20"/>
    </row>
    <row r="14" spans="1:15" ht="15" customHeight="1">
      <c r="D14" s="13"/>
      <c r="E14" s="19"/>
      <c r="F14" s="20"/>
      <c r="G14" s="21"/>
      <c r="H14" s="20"/>
      <c r="I14" s="22"/>
      <c r="J14" s="20"/>
      <c r="K14" s="22"/>
      <c r="L14" s="22"/>
      <c r="M14" s="22"/>
      <c r="N14" s="20"/>
      <c r="O14" s="20"/>
    </row>
    <row r="15" spans="1:15" ht="15" customHeight="1">
      <c r="D15" s="13"/>
      <c r="E15" s="399" t="s">
        <v>1726</v>
      </c>
      <c r="F15" s="20"/>
      <c r="G15" s="21"/>
      <c r="H15" s="20"/>
      <c r="I15" s="22"/>
      <c r="J15" s="20"/>
      <c r="K15" s="22"/>
      <c r="L15" s="22"/>
      <c r="M15" s="22"/>
      <c r="N15" s="20"/>
      <c r="O15" s="20"/>
    </row>
    <row r="16" spans="1:15" ht="15" customHeight="1">
      <c r="D16" s="13"/>
      <c r="E16" s="400"/>
      <c r="F16" s="20"/>
      <c r="G16" s="20"/>
      <c r="H16" s="20"/>
      <c r="I16" s="20"/>
      <c r="J16" s="20"/>
      <c r="K16" s="20"/>
      <c r="L16" s="20"/>
      <c r="M16" s="20"/>
      <c r="N16" s="27" t="s">
        <v>1921</v>
      </c>
      <c r="O16" s="12"/>
    </row>
    <row r="17" spans="4:16" ht="15" customHeight="1">
      <c r="D17" s="25"/>
      <c r="E17" s="28" t="s">
        <v>1503</v>
      </c>
      <c r="F17" s="29" t="s">
        <v>1922</v>
      </c>
      <c r="G17" s="29">
        <v>2018</v>
      </c>
      <c r="H17" s="29">
        <v>2020</v>
      </c>
      <c r="I17" s="29">
        <v>2025</v>
      </c>
      <c r="J17" s="29">
        <v>2030</v>
      </c>
      <c r="K17" s="29">
        <v>2035</v>
      </c>
      <c r="L17" s="29">
        <v>2040</v>
      </c>
      <c r="M17" s="29">
        <v>2045</v>
      </c>
      <c r="N17" s="29">
        <v>2050</v>
      </c>
      <c r="O17" s="12"/>
      <c r="P17" s="653"/>
    </row>
    <row r="18" spans="4:16" ht="15" customHeight="1">
      <c r="D18" s="25"/>
      <c r="E18" s="30" t="s">
        <v>1923</v>
      </c>
      <c r="F18" s="2898">
        <v>683824.93525347055</v>
      </c>
      <c r="G18" s="1512">
        <v>1</v>
      </c>
      <c r="H18" s="1512">
        <v>1.0759596682603827</v>
      </c>
      <c r="I18" s="1512">
        <v>1.2800309910428842</v>
      </c>
      <c r="J18" s="1512">
        <v>1.4909204827661429</v>
      </c>
      <c r="K18" s="1512">
        <v>1.4909204827661429</v>
      </c>
      <c r="L18" s="1512">
        <v>1.4909204827661429</v>
      </c>
      <c r="M18" s="1512">
        <v>1.4909204827661429</v>
      </c>
      <c r="N18" s="1512">
        <v>1.4909204827661429</v>
      </c>
      <c r="O18" s="12"/>
      <c r="P18" s="653"/>
    </row>
    <row r="19" spans="4:16" ht="15" customHeight="1">
      <c r="D19" s="25"/>
      <c r="E19" s="30" t="s">
        <v>1924</v>
      </c>
      <c r="F19" s="2899">
        <v>668780.78667789418</v>
      </c>
      <c r="G19" s="1512">
        <v>0.97799999999999987</v>
      </c>
      <c r="H19" s="1512">
        <v>1.0568998112797701</v>
      </c>
      <c r="I19" s="1512">
        <v>1.25735615634441</v>
      </c>
      <c r="J19" s="1512">
        <v>1.4645098913571422</v>
      </c>
      <c r="K19" s="1512">
        <v>1.4645098913571422</v>
      </c>
      <c r="L19" s="1512">
        <v>1.4645098913571422</v>
      </c>
      <c r="M19" s="1512">
        <v>1.4645098913571422</v>
      </c>
      <c r="N19" s="1512">
        <v>1.4645098913571422</v>
      </c>
      <c r="O19" s="12"/>
      <c r="P19" s="653"/>
    </row>
    <row r="20" spans="4:16" ht="15" customHeight="1">
      <c r="D20" s="25"/>
      <c r="E20" s="32" t="s">
        <v>1925</v>
      </c>
      <c r="F20" s="2900">
        <v>15044.148575576355</v>
      </c>
      <c r="G20" s="1514">
        <v>2.2000000000000002E-2</v>
      </c>
      <c r="H20" s="1514">
        <v>1.6907937644091729E-2</v>
      </c>
      <c r="I20" s="1514">
        <v>2.0114772716388181E-2</v>
      </c>
      <c r="J20" s="1514">
        <v>2.3428750443467962E-2</v>
      </c>
      <c r="K20" s="1514">
        <v>2.3428750443467962E-2</v>
      </c>
      <c r="L20" s="1514">
        <v>2.3428750443467962E-2</v>
      </c>
      <c r="M20" s="1514">
        <v>2.3428750443467962E-2</v>
      </c>
      <c r="N20" s="1514">
        <v>2.3428750443467962E-2</v>
      </c>
      <c r="O20" s="12"/>
      <c r="P20" s="653"/>
    </row>
    <row r="21" spans="4:16" ht="15" customHeight="1">
      <c r="D21" s="25"/>
      <c r="E21" s="401"/>
      <c r="F21" s="30"/>
      <c r="G21" s="33"/>
      <c r="H21" s="31"/>
      <c r="I21" s="31"/>
      <c r="J21" s="31"/>
      <c r="K21" s="31"/>
      <c r="L21" s="31"/>
      <c r="M21" s="31"/>
      <c r="N21" s="31"/>
      <c r="O21" s="31"/>
      <c r="P21" s="653"/>
    </row>
    <row r="22" spans="4:16" ht="15" customHeight="1">
      <c r="D22" s="25"/>
      <c r="E22" s="399" t="s">
        <v>1729</v>
      </c>
      <c r="F22" s="30"/>
      <c r="G22" s="33"/>
      <c r="H22" s="31"/>
      <c r="I22" s="31"/>
      <c r="J22" s="31"/>
      <c r="K22" s="31"/>
      <c r="L22" s="31"/>
      <c r="M22" s="31"/>
      <c r="N22" s="31"/>
      <c r="O22" s="31"/>
    </row>
    <row r="23" spans="4:16" ht="15" customHeight="1">
      <c r="D23" s="13"/>
      <c r="E23" s="400"/>
      <c r="F23" s="20"/>
      <c r="G23" s="20"/>
      <c r="H23" s="20"/>
      <c r="I23" s="20"/>
      <c r="J23" s="20"/>
      <c r="K23" s="20"/>
      <c r="L23" s="20"/>
      <c r="M23" s="20"/>
      <c r="N23" s="27" t="s">
        <v>1921</v>
      </c>
      <c r="O23" s="12"/>
    </row>
    <row r="24" spans="4:16" ht="15" customHeight="1">
      <c r="D24" s="25"/>
      <c r="E24" s="28" t="s">
        <v>1503</v>
      </c>
      <c r="F24" s="29"/>
      <c r="G24" s="29">
        <v>2018</v>
      </c>
      <c r="H24" s="29">
        <v>2020</v>
      </c>
      <c r="I24" s="29">
        <v>2025</v>
      </c>
      <c r="J24" s="29">
        <v>2030</v>
      </c>
      <c r="K24" s="29">
        <v>2035</v>
      </c>
      <c r="L24" s="29">
        <v>2040</v>
      </c>
      <c r="M24" s="29">
        <v>2045</v>
      </c>
      <c r="N24" s="29">
        <v>2050</v>
      </c>
      <c r="O24" s="12"/>
    </row>
    <row r="25" spans="4:16" ht="15" customHeight="1">
      <c r="D25" s="25"/>
      <c r="E25" s="30" t="s">
        <v>1923</v>
      </c>
      <c r="F25" s="2901"/>
      <c r="G25" s="713">
        <v>1</v>
      </c>
      <c r="H25" s="713">
        <v>1.0759596682603827</v>
      </c>
      <c r="I25" s="713">
        <v>1.2800309910428842</v>
      </c>
      <c r="J25" s="713">
        <v>1.4909204827661429</v>
      </c>
      <c r="K25" s="713">
        <v>1.4909204827661429</v>
      </c>
      <c r="L25" s="713">
        <v>1.4909204827661429</v>
      </c>
      <c r="M25" s="713">
        <v>1.4909204827661429</v>
      </c>
      <c r="N25" s="713">
        <v>1.4909204827661429</v>
      </c>
      <c r="O25" s="12"/>
    </row>
    <row r="26" spans="4:16" ht="15" customHeight="1">
      <c r="D26" s="25"/>
      <c r="E26" s="30" t="s">
        <v>1924</v>
      </c>
      <c r="F26" s="2902"/>
      <c r="G26" s="713">
        <v>0.97799999999999987</v>
      </c>
      <c r="H26" s="713">
        <v>1.0568998112797701</v>
      </c>
      <c r="I26" s="713">
        <v>1.25735615634441</v>
      </c>
      <c r="J26" s="713">
        <v>1.4645098913571422</v>
      </c>
      <c r="K26" s="713">
        <v>1.4645098913571422</v>
      </c>
      <c r="L26" s="713">
        <v>1.4645098913571422</v>
      </c>
      <c r="M26" s="713">
        <v>1.4645098913571422</v>
      </c>
      <c r="N26" s="713">
        <v>1.4645098913571422</v>
      </c>
      <c r="O26" s="12"/>
    </row>
    <row r="27" spans="4:16" ht="15" customHeight="1">
      <c r="D27" s="25"/>
      <c r="E27" s="32" t="s">
        <v>1925</v>
      </c>
      <c r="F27" s="2903"/>
      <c r="G27" s="714">
        <v>2.2000000000000002E-2</v>
      </c>
      <c r="H27" s="714">
        <v>1.6907937644091729E-2</v>
      </c>
      <c r="I27" s="714">
        <v>2.0114772716388181E-2</v>
      </c>
      <c r="J27" s="714">
        <v>2.3428750443467962E-2</v>
      </c>
      <c r="K27" s="714">
        <v>2.3428750443467962E-2</v>
      </c>
      <c r="L27" s="714">
        <v>2.3428750443467962E-2</v>
      </c>
      <c r="M27" s="714">
        <v>2.3428750443467962E-2</v>
      </c>
      <c r="N27" s="714">
        <v>2.3428750443467962E-2</v>
      </c>
      <c r="O27" s="12"/>
    </row>
    <row r="28" spans="4:16" ht="15" customHeight="1">
      <c r="D28" s="25"/>
      <c r="E28" s="401"/>
      <c r="F28" s="33"/>
      <c r="G28" s="34"/>
      <c r="H28" s="34"/>
      <c r="I28" s="34"/>
      <c r="J28" s="34"/>
      <c r="K28" s="34"/>
      <c r="L28" s="34"/>
      <c r="M28" s="34"/>
      <c r="N28" s="34"/>
      <c r="O28" s="12"/>
    </row>
    <row r="29" spans="4:16" ht="15" customHeight="1">
      <c r="D29" s="25"/>
      <c r="E29" s="399" t="s">
        <v>1730</v>
      </c>
      <c r="F29" s="33"/>
      <c r="G29" s="34"/>
      <c r="H29" s="34"/>
      <c r="I29" s="34"/>
      <c r="J29" s="34"/>
      <c r="K29" s="34"/>
      <c r="L29" s="34"/>
      <c r="M29" s="34"/>
      <c r="N29" s="34"/>
      <c r="O29" s="12"/>
    </row>
    <row r="30" spans="4:16" ht="15" customHeight="1">
      <c r="D30" s="13"/>
      <c r="E30" s="400"/>
      <c r="F30" s="20"/>
      <c r="G30" s="20"/>
      <c r="H30" s="20"/>
      <c r="I30" s="20"/>
      <c r="J30" s="20"/>
      <c r="K30" s="20"/>
      <c r="L30" s="20"/>
      <c r="M30" s="20"/>
      <c r="N30" s="27" t="s">
        <v>1921</v>
      </c>
      <c r="O30" s="12"/>
    </row>
    <row r="31" spans="4:16" ht="15" customHeight="1">
      <c r="D31" s="25"/>
      <c r="E31" s="28" t="s">
        <v>1503</v>
      </c>
      <c r="F31" s="29"/>
      <c r="G31" s="29">
        <v>2018</v>
      </c>
      <c r="H31" s="29">
        <v>2020</v>
      </c>
      <c r="I31" s="29">
        <v>2025</v>
      </c>
      <c r="J31" s="29">
        <v>2030</v>
      </c>
      <c r="K31" s="29">
        <v>2035</v>
      </c>
      <c r="L31" s="29">
        <v>2040</v>
      </c>
      <c r="M31" s="29">
        <v>2045</v>
      </c>
      <c r="N31" s="29">
        <v>2050</v>
      </c>
      <c r="O31" s="12"/>
    </row>
    <row r="32" spans="4:16" ht="15" customHeight="1">
      <c r="D32" s="25"/>
      <c r="E32" s="30" t="s">
        <v>1923</v>
      </c>
      <c r="F32" s="710"/>
      <c r="G32" s="713">
        <v>1</v>
      </c>
      <c r="H32" s="713">
        <v>1.0759596682603827</v>
      </c>
      <c r="I32" s="713">
        <v>1.2800309910428842</v>
      </c>
      <c r="J32" s="713">
        <v>1.4909204827661429</v>
      </c>
      <c r="K32" s="713">
        <v>1.4909204827661429</v>
      </c>
      <c r="L32" s="713">
        <v>1.4909204827661429</v>
      </c>
      <c r="M32" s="713">
        <v>1.4909204827661429</v>
      </c>
      <c r="N32" s="713">
        <v>1.4909204827661429</v>
      </c>
      <c r="O32" s="12"/>
    </row>
    <row r="33" spans="4:17" ht="15" customHeight="1">
      <c r="D33" s="25"/>
      <c r="E33" s="30" t="s">
        <v>1924</v>
      </c>
      <c r="F33" s="712"/>
      <c r="G33" s="713">
        <v>0.97799999999999987</v>
      </c>
      <c r="H33" s="713">
        <v>1.0568998112797701</v>
      </c>
      <c r="I33" s="713">
        <v>1.25735615634441</v>
      </c>
      <c r="J33" s="713">
        <v>1.4645098913571422</v>
      </c>
      <c r="K33" s="713">
        <v>1.4645098913571422</v>
      </c>
      <c r="L33" s="713">
        <v>1.4645098913571422</v>
      </c>
      <c r="M33" s="713">
        <v>1.4645098913571422</v>
      </c>
      <c r="N33" s="713">
        <v>1.4645098913571422</v>
      </c>
      <c r="O33" s="12"/>
    </row>
    <row r="34" spans="4:17" ht="15" customHeight="1">
      <c r="D34" s="25"/>
      <c r="E34" s="32" t="s">
        <v>1925</v>
      </c>
      <c r="F34" s="711"/>
      <c r="G34" s="714">
        <v>2.2000000000000002E-2</v>
      </c>
      <c r="H34" s="714">
        <v>1.6907937644091729E-2</v>
      </c>
      <c r="I34" s="714">
        <v>2.0114772716388181E-2</v>
      </c>
      <c r="J34" s="714">
        <v>2.3428750443467962E-2</v>
      </c>
      <c r="K34" s="714">
        <v>2.3428750443467962E-2</v>
      </c>
      <c r="L34" s="714">
        <v>2.3428750443467962E-2</v>
      </c>
      <c r="M34" s="714">
        <v>2.3428750443467962E-2</v>
      </c>
      <c r="N34" s="714">
        <v>2.3428750443467962E-2</v>
      </c>
      <c r="O34" s="12"/>
    </row>
    <row r="35" spans="4:17" ht="15" customHeight="1">
      <c r="D35" s="25"/>
      <c r="E35" s="401"/>
      <c r="F35" s="33"/>
      <c r="G35" s="34"/>
      <c r="H35" s="34"/>
      <c r="I35" s="34"/>
      <c r="J35" s="34"/>
      <c r="K35" s="34"/>
      <c r="L35" s="34"/>
      <c r="M35" s="34"/>
      <c r="N35" s="34"/>
      <c r="O35" s="12"/>
    </row>
    <row r="36" spans="4:17" ht="15" customHeight="1">
      <c r="D36" s="25"/>
      <c r="E36" s="399" t="s">
        <v>1731</v>
      </c>
      <c r="F36" s="33"/>
      <c r="G36" s="34"/>
      <c r="H36" s="34"/>
      <c r="I36" s="34"/>
      <c r="J36" s="34"/>
      <c r="K36" s="34"/>
      <c r="L36" s="34"/>
      <c r="M36" s="34"/>
      <c r="N36" s="34"/>
      <c r="O36" s="12"/>
    </row>
    <row r="37" spans="4:17" ht="15" customHeight="1">
      <c r="D37" s="13"/>
      <c r="E37" s="400"/>
      <c r="F37" s="20"/>
      <c r="G37" s="20"/>
      <c r="H37" s="20"/>
      <c r="I37" s="20"/>
      <c r="J37" s="20"/>
      <c r="K37" s="20"/>
      <c r="L37" s="20"/>
      <c r="M37" s="20"/>
      <c r="N37" s="27" t="s">
        <v>1921</v>
      </c>
      <c r="O37" s="12"/>
    </row>
    <row r="38" spans="4:17" ht="15" customHeight="1">
      <c r="D38" s="25"/>
      <c r="E38" s="28" t="s">
        <v>1503</v>
      </c>
      <c r="F38" s="29"/>
      <c r="G38" s="29">
        <v>2018</v>
      </c>
      <c r="H38" s="29">
        <v>2020</v>
      </c>
      <c r="I38" s="29">
        <v>2025</v>
      </c>
      <c r="J38" s="29">
        <v>2030</v>
      </c>
      <c r="K38" s="29">
        <v>2035</v>
      </c>
      <c r="L38" s="29">
        <v>2040</v>
      </c>
      <c r="M38" s="29">
        <v>2045</v>
      </c>
      <c r="N38" s="29">
        <v>2050</v>
      </c>
      <c r="O38" s="12"/>
    </row>
    <row r="39" spans="4:17" ht="15" customHeight="1">
      <c r="D39" s="25"/>
      <c r="E39" s="30" t="s">
        <v>1923</v>
      </c>
      <c r="F39" s="710"/>
      <c r="G39" s="713">
        <v>1</v>
      </c>
      <c r="H39" s="713">
        <v>1.0759596682603827</v>
      </c>
      <c r="I39" s="713">
        <v>1.2800309910428842</v>
      </c>
      <c r="J39" s="713">
        <v>1.4909204827661429</v>
      </c>
      <c r="K39" s="713">
        <v>1.4909204827661429</v>
      </c>
      <c r="L39" s="713">
        <v>1.4909204827661429</v>
      </c>
      <c r="M39" s="713">
        <v>1.4909204827661429</v>
      </c>
      <c r="N39" s="713">
        <v>1.4909204827661429</v>
      </c>
      <c r="O39" s="12"/>
    </row>
    <row r="40" spans="4:17" ht="15" customHeight="1">
      <c r="D40" s="25"/>
      <c r="E40" s="30" t="s">
        <v>1924</v>
      </c>
      <c r="F40" s="712"/>
      <c r="G40" s="713">
        <v>0.97799999999999987</v>
      </c>
      <c r="H40" s="713">
        <v>1.0568998112797701</v>
      </c>
      <c r="I40" s="713">
        <v>1.25735615634441</v>
      </c>
      <c r="J40" s="713">
        <v>1.4645098913571422</v>
      </c>
      <c r="K40" s="713">
        <v>1.4645098913571422</v>
      </c>
      <c r="L40" s="713">
        <v>1.4645098913571422</v>
      </c>
      <c r="M40" s="713">
        <v>1.4645098913571422</v>
      </c>
      <c r="N40" s="713">
        <v>1.4645098913571422</v>
      </c>
      <c r="O40" s="12"/>
    </row>
    <row r="41" spans="4:17" ht="15" customHeight="1">
      <c r="D41" s="25"/>
      <c r="E41" s="32" t="s">
        <v>1925</v>
      </c>
      <c r="F41" s="711"/>
      <c r="G41" s="714">
        <v>2.2000000000000002E-2</v>
      </c>
      <c r="H41" s="714">
        <v>1.6907937644091729E-2</v>
      </c>
      <c r="I41" s="714">
        <v>2.0114772716388181E-2</v>
      </c>
      <c r="J41" s="714">
        <v>2.3428750443467962E-2</v>
      </c>
      <c r="K41" s="714">
        <v>2.3428750443467962E-2</v>
      </c>
      <c r="L41" s="714">
        <v>2.3428750443467962E-2</v>
      </c>
      <c r="M41" s="714">
        <v>2.3428750443467962E-2</v>
      </c>
      <c r="N41" s="714">
        <v>2.3428750443467962E-2</v>
      </c>
      <c r="O41" s="12"/>
    </row>
    <row r="42" spans="4:17" ht="15" customHeight="1">
      <c r="D42" s="25"/>
      <c r="E42" s="401"/>
      <c r="F42" s="30"/>
      <c r="G42" s="33"/>
      <c r="H42" s="34"/>
      <c r="I42" s="34"/>
      <c r="J42" s="34"/>
      <c r="K42" s="34"/>
      <c r="L42" s="34"/>
      <c r="M42" s="34"/>
      <c r="N42" s="34"/>
      <c r="O42" s="34"/>
    </row>
    <row r="43" spans="4:17" ht="15" customHeight="1">
      <c r="D43" s="25"/>
      <c r="E43" s="2782" t="s">
        <v>574</v>
      </c>
      <c r="F43" s="398"/>
      <c r="G43" s="398"/>
      <c r="H43" s="398"/>
      <c r="I43" s="398"/>
      <c r="J43" s="398"/>
      <c r="K43" s="398"/>
      <c r="L43" s="398"/>
      <c r="M43" s="398"/>
      <c r="N43" s="398"/>
      <c r="O43" s="12"/>
    </row>
    <row r="44" spans="4:17" ht="15" customHeight="1">
      <c r="D44" s="25"/>
      <c r="E44" s="403"/>
      <c r="F44" s="12"/>
      <c r="G44" s="12"/>
      <c r="H44" s="12"/>
      <c r="I44" s="12"/>
      <c r="J44" s="12"/>
      <c r="K44" s="12"/>
      <c r="L44" s="12"/>
      <c r="M44" s="12"/>
      <c r="N44" s="12"/>
      <c r="O44" s="12"/>
    </row>
    <row r="45" spans="4:17" ht="15" customHeight="1">
      <c r="D45" s="25"/>
      <c r="E45" s="399" t="s">
        <v>1726</v>
      </c>
      <c r="F45" s="12"/>
      <c r="G45" s="12"/>
      <c r="H45" s="12"/>
      <c r="I45" s="12"/>
      <c r="J45" s="12"/>
      <c r="K45" s="12"/>
      <c r="L45" s="12"/>
      <c r="M45" s="12"/>
      <c r="N45" s="12"/>
      <c r="O45" s="12"/>
    </row>
    <row r="46" spans="4:17" ht="15" customHeight="1">
      <c r="D46" s="13"/>
      <c r="E46" s="400"/>
      <c r="F46" s="20"/>
      <c r="G46" s="20"/>
      <c r="H46" s="20"/>
      <c r="I46" s="20"/>
      <c r="J46" s="20"/>
      <c r="K46" s="20"/>
      <c r="L46" s="20"/>
      <c r="M46" s="20"/>
      <c r="N46" s="27" t="s">
        <v>1921</v>
      </c>
      <c r="O46" s="12"/>
    </row>
    <row r="47" spans="4:17" ht="15" customHeight="1">
      <c r="D47" s="25"/>
      <c r="E47" s="28" t="s">
        <v>1503</v>
      </c>
      <c r="F47" s="29" t="s">
        <v>1922</v>
      </c>
      <c r="G47" s="29">
        <v>2018</v>
      </c>
      <c r="H47" s="29">
        <v>2020</v>
      </c>
      <c r="I47" s="29">
        <v>2025</v>
      </c>
      <c r="J47" s="29">
        <v>2030</v>
      </c>
      <c r="K47" s="29">
        <v>2035</v>
      </c>
      <c r="L47" s="29">
        <v>2040</v>
      </c>
      <c r="M47" s="29">
        <v>2045</v>
      </c>
      <c r="N47" s="29">
        <v>2050</v>
      </c>
      <c r="O47" s="12"/>
      <c r="P47" s="653" cm="1">
        <f t="array" ref="P47:P49">[1]RES_SOL!$F$48:$F$50/[1]DGEN_SupuestosGen!$E$10</f>
        <v>0.2199668500440026</v>
      </c>
      <c r="Q47" s="3" cm="1">
        <f t="array" ref="Q47:Q49">_xlfn.ANCHORARRAY(P47)*DGEN_SupuestosGen!E10</f>
        <v>642096.43328944617</v>
      </c>
    </row>
    <row r="48" spans="4:17" ht="15" customHeight="1">
      <c r="D48" s="25"/>
      <c r="E48" s="30" t="s">
        <v>1926</v>
      </c>
      <c r="F48" s="2904">
        <f>F19*G48</f>
        <v>642096.43328944617</v>
      </c>
      <c r="G48" s="1512">
        <v>0.96009999999999995</v>
      </c>
      <c r="H48" s="1512">
        <v>0.96009999999999995</v>
      </c>
      <c r="I48" s="1512">
        <v>0.96009999999999995</v>
      </c>
      <c r="J48" s="1512">
        <v>0.96009999999999995</v>
      </c>
      <c r="K48" s="1512">
        <v>0.96009999999999995</v>
      </c>
      <c r="L48" s="1512">
        <v>0.96009999999999995</v>
      </c>
      <c r="M48" s="1512">
        <v>0.96009999999999995</v>
      </c>
      <c r="N48" s="1512">
        <v>0.96009999999999995</v>
      </c>
      <c r="O48" s="2981"/>
      <c r="P48" s="3">
        <v>3.871929763299285E-3</v>
      </c>
      <c r="Q48" s="3">
        <v>11302.395294856411</v>
      </c>
    </row>
    <row r="49" spans="4:17" ht="15" customHeight="1">
      <c r="D49" s="25"/>
      <c r="E49" s="30" t="s">
        <v>577</v>
      </c>
      <c r="F49" s="2904">
        <f>F19*G49</f>
        <v>11302.395294856411</v>
      </c>
      <c r="G49" s="1512">
        <v>1.6899999999999998E-2</v>
      </c>
      <c r="H49" s="1512">
        <v>1.6899999999999998E-2</v>
      </c>
      <c r="I49" s="1512">
        <v>1.6899999999999998E-2</v>
      </c>
      <c r="J49" s="1512">
        <v>1.6899999999999998E-2</v>
      </c>
      <c r="K49" s="1512">
        <v>1.6899999999999998E-2</v>
      </c>
      <c r="L49" s="1512">
        <v>1.6899999999999998E-2</v>
      </c>
      <c r="M49" s="1512">
        <v>1.6899999999999998E-2</v>
      </c>
      <c r="N49" s="1512">
        <v>1.6899999999999998E-2</v>
      </c>
      <c r="O49" s="12"/>
      <c r="P49" s="3">
        <v>2.291082700177092E-4</v>
      </c>
      <c r="Q49" s="3">
        <v>668.78078667789418</v>
      </c>
    </row>
    <row r="50" spans="4:17" ht="15" customHeight="1">
      <c r="D50" s="25"/>
      <c r="E50" s="30" t="s">
        <v>1927</v>
      </c>
      <c r="F50" s="2904">
        <f>F19*G50</f>
        <v>668.78078667789418</v>
      </c>
      <c r="G50" s="1511">
        <v>1E-3</v>
      </c>
      <c r="H50" s="1511">
        <v>1E-3</v>
      </c>
      <c r="I50" s="1511">
        <v>1E-3</v>
      </c>
      <c r="J50" s="1511">
        <v>1E-3</v>
      </c>
      <c r="K50" s="1511">
        <v>1E-3</v>
      </c>
      <c r="L50" s="1511">
        <v>1E-3</v>
      </c>
      <c r="M50" s="1511">
        <v>1E-3</v>
      </c>
      <c r="N50" s="1511">
        <v>1E-3</v>
      </c>
      <c r="O50" s="12"/>
    </row>
    <row r="51" spans="4:17" ht="15" customHeight="1">
      <c r="D51" s="25"/>
      <c r="E51" s="446" t="s">
        <v>933</v>
      </c>
      <c r="F51" s="2994">
        <v>0</v>
      </c>
      <c r="G51" s="2992">
        <v>0</v>
      </c>
      <c r="H51" s="2992">
        <v>0</v>
      </c>
      <c r="I51" s="2992">
        <v>0</v>
      </c>
      <c r="J51" s="2992">
        <v>0</v>
      </c>
      <c r="K51" s="2992">
        <v>0</v>
      </c>
      <c r="L51" s="2992">
        <v>0</v>
      </c>
      <c r="M51" s="2992">
        <v>0</v>
      </c>
      <c r="N51" s="2992">
        <v>0</v>
      </c>
      <c r="O51" s="12"/>
    </row>
    <row r="52" spans="4:17" ht="15" customHeight="1">
      <c r="D52" s="25"/>
      <c r="E52" s="405" t="s">
        <v>934</v>
      </c>
      <c r="F52" s="715">
        <v>0</v>
      </c>
      <c r="G52" s="2993">
        <v>0</v>
      </c>
      <c r="H52" s="2993">
        <v>0</v>
      </c>
      <c r="I52" s="2993">
        <v>0</v>
      </c>
      <c r="J52" s="2993">
        <v>0</v>
      </c>
      <c r="K52" s="2993">
        <v>0</v>
      </c>
      <c r="L52" s="2993">
        <v>0</v>
      </c>
      <c r="M52" s="2993">
        <v>0</v>
      </c>
      <c r="N52" s="2993">
        <v>0</v>
      </c>
      <c r="O52" s="12"/>
    </row>
    <row r="53" spans="4:17" ht="15" customHeight="1">
      <c r="D53" s="25"/>
      <c r="E53" s="405" t="s">
        <v>935</v>
      </c>
      <c r="F53" s="715">
        <v>0</v>
      </c>
      <c r="G53" s="2993">
        <v>0</v>
      </c>
      <c r="H53" s="2993">
        <v>0</v>
      </c>
      <c r="I53" s="2993">
        <v>0</v>
      </c>
      <c r="J53" s="2993">
        <v>0</v>
      </c>
      <c r="K53" s="2993">
        <v>0</v>
      </c>
      <c r="L53" s="2993">
        <v>0</v>
      </c>
      <c r="M53" s="2993">
        <v>0</v>
      </c>
      <c r="N53" s="2993">
        <v>0</v>
      </c>
      <c r="O53" s="12"/>
    </row>
    <row r="54" spans="4:17" ht="15" customHeight="1">
      <c r="D54" s="25"/>
      <c r="E54" s="635" t="s">
        <v>1928</v>
      </c>
      <c r="F54" s="2990">
        <f>F40*G54</f>
        <v>0</v>
      </c>
      <c r="G54" s="2991">
        <v>8.5999999999999993E-2</v>
      </c>
      <c r="H54" s="2991">
        <v>8.5999999999999993E-2</v>
      </c>
      <c r="I54" s="2991">
        <v>8.5999999999999993E-2</v>
      </c>
      <c r="J54" s="2991">
        <v>8.5999999999999993E-2</v>
      </c>
      <c r="K54" s="2991">
        <v>8.5999999999999993E-2</v>
      </c>
      <c r="L54" s="2991">
        <v>8.5999999999999993E-2</v>
      </c>
      <c r="M54" s="2991">
        <v>8.5999999999999993E-2</v>
      </c>
      <c r="N54" s="2991">
        <v>8.5999999999999993E-2</v>
      </c>
      <c r="O54" s="12"/>
    </row>
    <row r="55" spans="4:17" ht="15" customHeight="1">
      <c r="D55" s="25"/>
      <c r="E55" s="407"/>
      <c r="F55" s="408"/>
      <c r="G55" s="409"/>
      <c r="H55" s="409"/>
      <c r="I55" s="409"/>
      <c r="J55" s="409"/>
      <c r="K55" s="409"/>
      <c r="L55" s="409"/>
      <c r="M55" s="409"/>
      <c r="N55" s="409"/>
      <c r="O55" s="12"/>
    </row>
    <row r="56" spans="4:17" ht="15" customHeight="1">
      <c r="D56" s="25"/>
      <c r="E56" s="399" t="s">
        <v>1729</v>
      </c>
      <c r="F56" s="410"/>
      <c r="G56" s="409"/>
      <c r="H56" s="409"/>
      <c r="I56" s="409"/>
      <c r="J56" s="409"/>
      <c r="K56" s="409"/>
      <c r="L56" s="409"/>
      <c r="M56" s="409"/>
      <c r="N56" s="409"/>
      <c r="O56" s="12"/>
    </row>
    <row r="57" spans="4:17" ht="15" customHeight="1">
      <c r="D57" s="13"/>
      <c r="E57" s="26"/>
      <c r="F57" s="20"/>
      <c r="G57" s="20"/>
      <c r="H57" s="20"/>
      <c r="I57" s="20"/>
      <c r="J57" s="20"/>
      <c r="K57" s="20"/>
      <c r="L57" s="20"/>
      <c r="M57" s="20"/>
      <c r="N57" s="27" t="s">
        <v>1921</v>
      </c>
      <c r="O57" s="12"/>
    </row>
    <row r="58" spans="4:17" ht="15" customHeight="1">
      <c r="D58" s="25"/>
      <c r="E58" s="28" t="s">
        <v>1503</v>
      </c>
      <c r="F58" s="29" t="s">
        <v>1922</v>
      </c>
      <c r="G58" s="29">
        <v>2018</v>
      </c>
      <c r="H58" s="29">
        <v>2020</v>
      </c>
      <c r="I58" s="29">
        <v>2025</v>
      </c>
      <c r="J58" s="29">
        <v>2030</v>
      </c>
      <c r="K58" s="29">
        <v>2035</v>
      </c>
      <c r="L58" s="29">
        <v>2040</v>
      </c>
      <c r="M58" s="29">
        <v>2045</v>
      </c>
      <c r="N58" s="29">
        <v>2050</v>
      </c>
      <c r="O58" s="12"/>
    </row>
    <row r="59" spans="4:17" ht="15" customHeight="1">
      <c r="D59" s="25"/>
      <c r="E59" s="30" t="s">
        <v>1926</v>
      </c>
      <c r="F59" s="2902">
        <v>642096.43328944617</v>
      </c>
      <c r="G59" s="1512">
        <v>0.96009999999999995</v>
      </c>
      <c r="H59" s="1513">
        <v>0.92821874999999998</v>
      </c>
      <c r="I59" s="1513">
        <v>0.848515625</v>
      </c>
      <c r="J59" s="1513">
        <v>0.7688124999999999</v>
      </c>
      <c r="K59" s="1513">
        <v>0.68910937499999991</v>
      </c>
      <c r="L59" s="1513">
        <v>0.60940624999999993</v>
      </c>
      <c r="M59" s="1513">
        <v>0.52970312499999994</v>
      </c>
      <c r="N59" s="1513">
        <v>0.45</v>
      </c>
      <c r="O59" s="12"/>
    </row>
    <row r="60" spans="4:17" ht="15" customHeight="1">
      <c r="D60" s="25"/>
      <c r="E60" s="30" t="s">
        <v>577</v>
      </c>
      <c r="F60" s="2902">
        <v>11302.395294856411</v>
      </c>
      <c r="G60" s="1512">
        <v>1.6899999999999998E-2</v>
      </c>
      <c r="H60" s="1511">
        <v>1.5843749999999997E-2</v>
      </c>
      <c r="I60" s="1511">
        <v>1.3203125E-2</v>
      </c>
      <c r="J60" s="1511">
        <v>1.0562499999999999E-2</v>
      </c>
      <c r="K60" s="1511">
        <v>7.9218749999999984E-3</v>
      </c>
      <c r="L60" s="1511">
        <v>5.2812499999999995E-3</v>
      </c>
      <c r="M60" s="1511">
        <v>2.6406250000000006E-3</v>
      </c>
      <c r="N60" s="1511">
        <v>0</v>
      </c>
      <c r="O60" s="12"/>
    </row>
    <row r="61" spans="4:17" ht="15" customHeight="1">
      <c r="D61" s="25"/>
      <c r="E61" s="404" t="s">
        <v>1927</v>
      </c>
      <c r="F61" s="2905">
        <v>668.78078667789418</v>
      </c>
      <c r="G61" s="2906">
        <v>1E-3</v>
      </c>
      <c r="H61" s="2906">
        <v>3.5312500000000004E-2</v>
      </c>
      <c r="I61" s="2906">
        <v>0.12109375000000001</v>
      </c>
      <c r="J61" s="2906">
        <v>0.20687500000000003</v>
      </c>
      <c r="K61" s="2906">
        <v>0.29265625000000001</v>
      </c>
      <c r="L61" s="2906">
        <v>0.37843750000000004</v>
      </c>
      <c r="M61" s="2906">
        <v>0.46421875000000001</v>
      </c>
      <c r="N61" s="2906">
        <v>0.55000000000000004</v>
      </c>
      <c r="O61" s="12"/>
    </row>
    <row r="62" spans="4:17" ht="15" customHeight="1">
      <c r="D62" s="25"/>
      <c r="E62" s="405" t="s">
        <v>933</v>
      </c>
      <c r="F62" s="715">
        <v>0</v>
      </c>
      <c r="G62" s="718">
        <f>G61/3</f>
        <v>3.3333333333333332E-4</v>
      </c>
      <c r="H62" s="718">
        <f t="shared" ref="H62:N64" si="0">H61/3</f>
        <v>1.1770833333333335E-2</v>
      </c>
      <c r="I62" s="718">
        <v>0.03</v>
      </c>
      <c r="J62" s="718">
        <v>0.05</v>
      </c>
      <c r="K62" s="718">
        <f>$J$62+(($J$62-$G$62)/($J$58-$G$58))*(K58-$J$58)</f>
        <v>7.0694444444444449E-2</v>
      </c>
      <c r="L62" s="718">
        <f>$J$62+(($J$62-$G$62)/($J$58-$G$58))*(L58-$J$58)</f>
        <v>9.1388888888888895E-2</v>
      </c>
      <c r="M62" s="718">
        <f>$J$62+(($J$62-$G$62)/($J$58-$G$58))*(M58-$J$58)</f>
        <v>0.11208333333333334</v>
      </c>
      <c r="N62" s="718">
        <f>$J$62+(($J$62-$G$62)/($J$58-$G$58))*(N58-$J$58)</f>
        <v>0.13277777777777777</v>
      </c>
      <c r="O62" s="12"/>
    </row>
    <row r="63" spans="4:17" ht="15" customHeight="1">
      <c r="D63" s="25"/>
      <c r="E63" s="405" t="s">
        <v>934</v>
      </c>
      <c r="F63" s="715">
        <v>0</v>
      </c>
      <c r="G63" s="718">
        <f>G62/3</f>
        <v>1.111111111111111E-4</v>
      </c>
      <c r="H63" s="718">
        <f t="shared" si="0"/>
        <v>3.9236111111111112E-3</v>
      </c>
      <c r="I63" s="718">
        <f t="shared" si="0"/>
        <v>0.01</v>
      </c>
      <c r="J63" s="718">
        <f t="shared" si="0"/>
        <v>1.6666666666666666E-2</v>
      </c>
      <c r="K63" s="718">
        <f t="shared" si="0"/>
        <v>2.3564814814814816E-2</v>
      </c>
      <c r="L63" s="718">
        <f t="shared" si="0"/>
        <v>3.0462962962962966E-2</v>
      </c>
      <c r="M63" s="718">
        <f t="shared" si="0"/>
        <v>3.7361111111111116E-2</v>
      </c>
      <c r="N63" s="718">
        <f t="shared" si="0"/>
        <v>4.4259259259259255E-2</v>
      </c>
      <c r="O63" s="12"/>
    </row>
    <row r="64" spans="4:17" ht="15" customHeight="1">
      <c r="D64" s="25"/>
      <c r="E64" s="405" t="s">
        <v>935</v>
      </c>
      <c r="F64" s="715">
        <v>0</v>
      </c>
      <c r="G64" s="718">
        <f>G63/3</f>
        <v>3.7037037037037037E-5</v>
      </c>
      <c r="H64" s="718">
        <f t="shared" si="0"/>
        <v>1.3078703703703705E-3</v>
      </c>
      <c r="I64" s="718">
        <f t="shared" si="0"/>
        <v>3.3333333333333335E-3</v>
      </c>
      <c r="J64" s="718">
        <f t="shared" si="0"/>
        <v>5.5555555555555558E-3</v>
      </c>
      <c r="K64" s="718">
        <f t="shared" si="0"/>
        <v>7.8549382716049387E-3</v>
      </c>
      <c r="L64" s="718">
        <f t="shared" si="0"/>
        <v>1.0154320987654323E-2</v>
      </c>
      <c r="M64" s="718">
        <f t="shared" si="0"/>
        <v>1.2453703703703705E-2</v>
      </c>
      <c r="N64" s="718">
        <f t="shared" si="0"/>
        <v>1.4753086419753085E-2</v>
      </c>
      <c r="O64" s="12"/>
    </row>
    <row r="65" spans="4:15" ht="15" customHeight="1">
      <c r="D65" s="25"/>
      <c r="E65" s="635" t="s">
        <v>1928</v>
      </c>
      <c r="F65" s="716">
        <f>G65*F61</f>
        <v>60.190270801010477</v>
      </c>
      <c r="G65" s="717">
        <v>0.09</v>
      </c>
      <c r="H65" s="717">
        <v>0.1</v>
      </c>
      <c r="I65" s="717">
        <v>0.15</v>
      </c>
      <c r="J65" s="717">
        <v>0.15</v>
      </c>
      <c r="K65" s="717">
        <v>0.15</v>
      </c>
      <c r="L65" s="717">
        <v>0.15</v>
      </c>
      <c r="M65" s="717">
        <v>0.15</v>
      </c>
      <c r="N65" s="717">
        <v>0.15</v>
      </c>
      <c r="O65" s="12"/>
    </row>
    <row r="66" spans="4:15" ht="15" customHeight="1">
      <c r="D66" s="11"/>
      <c r="E66" s="148"/>
      <c r="F66" s="12"/>
      <c r="G66" s="12"/>
      <c r="H66" s="12"/>
      <c r="I66" s="12"/>
      <c r="J66" s="12"/>
      <c r="K66" s="12"/>
      <c r="L66" s="12"/>
      <c r="M66" s="12"/>
      <c r="N66" s="12"/>
      <c r="O66" s="12"/>
    </row>
    <row r="67" spans="4:15" ht="15" customHeight="1">
      <c r="D67" s="11"/>
      <c r="E67" s="399" t="s">
        <v>1730</v>
      </c>
      <c r="F67" s="12"/>
      <c r="G67" s="12"/>
      <c r="H67" s="12"/>
      <c r="I67" s="12"/>
      <c r="J67" s="12"/>
      <c r="K67" s="12"/>
      <c r="L67" s="12"/>
      <c r="M67" s="12"/>
      <c r="N67" s="12"/>
      <c r="O67" s="12"/>
    </row>
    <row r="68" spans="4:15" ht="15" customHeight="1">
      <c r="D68" s="13"/>
      <c r="E68" s="26"/>
      <c r="F68" s="20"/>
      <c r="G68" s="411"/>
      <c r="H68" s="20"/>
      <c r="I68" s="20"/>
      <c r="J68" s="20"/>
      <c r="K68" s="20"/>
      <c r="L68" s="20"/>
      <c r="M68" s="20"/>
      <c r="N68" s="27" t="s">
        <v>1921</v>
      </c>
      <c r="O68" s="12"/>
    </row>
    <row r="69" spans="4:15" ht="15" customHeight="1">
      <c r="D69" s="25"/>
      <c r="E69" s="28" t="s">
        <v>1503</v>
      </c>
      <c r="F69" s="29" t="s">
        <v>1922</v>
      </c>
      <c r="G69" s="29">
        <v>2018</v>
      </c>
      <c r="H69" s="29">
        <v>2020</v>
      </c>
      <c r="I69" s="29">
        <v>2025</v>
      </c>
      <c r="J69" s="29">
        <v>2030</v>
      </c>
      <c r="K69" s="29">
        <v>2035</v>
      </c>
      <c r="L69" s="29">
        <v>2040</v>
      </c>
      <c r="M69" s="29">
        <v>2045</v>
      </c>
      <c r="N69" s="29">
        <v>2050</v>
      </c>
      <c r="O69" s="12"/>
    </row>
    <row r="70" spans="4:15" ht="15" customHeight="1">
      <c r="D70" s="25"/>
      <c r="E70" s="30" t="s">
        <v>1926</v>
      </c>
      <c r="F70" s="2902">
        <v>642096.43328944617</v>
      </c>
      <c r="G70" s="1512">
        <v>0.96009999999999995</v>
      </c>
      <c r="H70" s="1513">
        <v>0.92821874999999998</v>
      </c>
      <c r="I70" s="1513">
        <v>0.848515625</v>
      </c>
      <c r="J70" s="1513">
        <v>0.7688124999999999</v>
      </c>
      <c r="K70" s="1513">
        <v>0.68910937499999991</v>
      </c>
      <c r="L70" s="1513">
        <v>0.60940624999999993</v>
      </c>
      <c r="M70" s="1513">
        <v>0.52970312499999994</v>
      </c>
      <c r="N70" s="1513">
        <v>0.45</v>
      </c>
      <c r="O70" s="12"/>
    </row>
    <row r="71" spans="4:15" ht="15" customHeight="1">
      <c r="D71" s="25"/>
      <c r="E71" s="30" t="s">
        <v>577</v>
      </c>
      <c r="F71" s="2902">
        <v>11302.395294856411</v>
      </c>
      <c r="G71" s="1512">
        <v>1.6899999999999998E-2</v>
      </c>
      <c r="H71" s="1511">
        <v>1.5843749999999997E-2</v>
      </c>
      <c r="I71" s="1511">
        <v>1.3203125E-2</v>
      </c>
      <c r="J71" s="1511">
        <v>1.0562499999999999E-2</v>
      </c>
      <c r="K71" s="1511">
        <v>7.9218749999999984E-3</v>
      </c>
      <c r="L71" s="1511">
        <v>5.2812499999999995E-3</v>
      </c>
      <c r="M71" s="1511">
        <v>2.6406250000000006E-3</v>
      </c>
      <c r="N71" s="1511">
        <v>0</v>
      </c>
      <c r="O71" s="12"/>
    </row>
    <row r="72" spans="4:15" ht="15" customHeight="1">
      <c r="D72" s="25"/>
      <c r="E72" s="404" t="s">
        <v>1927</v>
      </c>
      <c r="F72" s="2905">
        <v>668.78078667789418</v>
      </c>
      <c r="G72" s="2906">
        <v>1E-3</v>
      </c>
      <c r="H72" s="2906">
        <v>3.5312500000000004E-2</v>
      </c>
      <c r="I72" s="2906">
        <v>0.12109375000000001</v>
      </c>
      <c r="J72" s="2906">
        <v>0.20687500000000003</v>
      </c>
      <c r="K72" s="2906">
        <v>0.29265625000000001</v>
      </c>
      <c r="L72" s="2906">
        <v>0.37843750000000004</v>
      </c>
      <c r="M72" s="2906">
        <v>0.46421875000000001</v>
      </c>
      <c r="N72" s="2906">
        <v>0.55000000000000004</v>
      </c>
      <c r="O72" s="12"/>
    </row>
    <row r="73" spans="4:15" ht="15" customHeight="1">
      <c r="D73" s="25"/>
      <c r="E73" s="405" t="s">
        <v>933</v>
      </c>
      <c r="F73" s="715">
        <v>0</v>
      </c>
      <c r="G73" s="718">
        <f t="shared" ref="G73:N75" si="1">G72/3</f>
        <v>3.3333333333333332E-4</v>
      </c>
      <c r="H73" s="718">
        <f t="shared" si="1"/>
        <v>1.1770833333333335E-2</v>
      </c>
      <c r="I73" s="718">
        <f t="shared" si="1"/>
        <v>4.0364583333333336E-2</v>
      </c>
      <c r="J73" s="718">
        <f t="shared" si="1"/>
        <v>6.8958333333333344E-2</v>
      </c>
      <c r="K73" s="718">
        <f t="shared" si="1"/>
        <v>9.7552083333333331E-2</v>
      </c>
      <c r="L73" s="718">
        <f t="shared" si="1"/>
        <v>0.12614583333333335</v>
      </c>
      <c r="M73" s="718">
        <f t="shared" si="1"/>
        <v>0.15473958333333335</v>
      </c>
      <c r="N73" s="718">
        <f t="shared" si="1"/>
        <v>0.18333333333333335</v>
      </c>
      <c r="O73" s="12"/>
    </row>
    <row r="74" spans="4:15" ht="15" customHeight="1">
      <c r="D74" s="25"/>
      <c r="E74" s="405" t="s">
        <v>934</v>
      </c>
      <c r="F74" s="715">
        <v>0</v>
      </c>
      <c r="G74" s="718">
        <f t="shared" si="1"/>
        <v>1.111111111111111E-4</v>
      </c>
      <c r="H74" s="718">
        <f t="shared" si="1"/>
        <v>3.9236111111111112E-3</v>
      </c>
      <c r="I74" s="718">
        <f t="shared" si="1"/>
        <v>1.3454861111111112E-2</v>
      </c>
      <c r="J74" s="718">
        <f t="shared" si="1"/>
        <v>2.2986111111111113E-2</v>
      </c>
      <c r="K74" s="718">
        <f t="shared" si="1"/>
        <v>3.2517361111111108E-2</v>
      </c>
      <c r="L74" s="718">
        <f t="shared" si="1"/>
        <v>4.2048611111111113E-2</v>
      </c>
      <c r="M74" s="718">
        <f t="shared" si="1"/>
        <v>5.1579861111111118E-2</v>
      </c>
      <c r="N74" s="718">
        <f t="shared" si="1"/>
        <v>6.1111111111111116E-2</v>
      </c>
      <c r="O74" s="12"/>
    </row>
    <row r="75" spans="4:15" ht="15" customHeight="1">
      <c r="D75" s="25"/>
      <c r="E75" s="405" t="s">
        <v>935</v>
      </c>
      <c r="F75" s="715">
        <v>0</v>
      </c>
      <c r="G75" s="718">
        <f t="shared" si="1"/>
        <v>3.7037037037037037E-5</v>
      </c>
      <c r="H75" s="718">
        <f t="shared" si="1"/>
        <v>1.3078703703703705E-3</v>
      </c>
      <c r="I75" s="718">
        <f t="shared" si="1"/>
        <v>4.4849537037037037E-3</v>
      </c>
      <c r="J75" s="718">
        <f t="shared" si="1"/>
        <v>7.6620370370370375E-3</v>
      </c>
      <c r="K75" s="718">
        <f t="shared" si="1"/>
        <v>1.0839120370370369E-2</v>
      </c>
      <c r="L75" s="718">
        <f t="shared" si="1"/>
        <v>1.4016203703703704E-2</v>
      </c>
      <c r="M75" s="718">
        <f t="shared" si="1"/>
        <v>1.7193287037037038E-2</v>
      </c>
      <c r="N75" s="718">
        <f t="shared" si="1"/>
        <v>2.0370370370370372E-2</v>
      </c>
      <c r="O75" s="12"/>
    </row>
    <row r="76" spans="4:15" ht="15" customHeight="1">
      <c r="D76" s="25"/>
      <c r="E76" s="635" t="s">
        <v>1928</v>
      </c>
      <c r="F76" s="716">
        <f>G76*F72</f>
        <v>57.515147654298893</v>
      </c>
      <c r="G76" s="717">
        <v>8.5999999999999993E-2</v>
      </c>
      <c r="H76" s="717">
        <v>9.6656249999999985E-2</v>
      </c>
      <c r="I76" s="717">
        <v>0.12329687499999999</v>
      </c>
      <c r="J76" s="717">
        <v>0.14993749999999997</v>
      </c>
      <c r="K76" s="717">
        <v>0.17657812499999997</v>
      </c>
      <c r="L76" s="717">
        <v>0.20321874999999995</v>
      </c>
      <c r="M76" s="717">
        <v>0.22985937499999995</v>
      </c>
      <c r="N76" s="717">
        <v>0.25649999999999995</v>
      </c>
      <c r="O76" s="12"/>
    </row>
    <row r="77" spans="4:15" ht="15" customHeight="1">
      <c r="D77" s="25"/>
      <c r="E77" s="407"/>
      <c r="F77" s="401"/>
      <c r="G77" s="410"/>
      <c r="H77" s="409"/>
      <c r="I77" s="409"/>
      <c r="J77" s="409"/>
      <c r="K77" s="409"/>
      <c r="L77" s="409"/>
      <c r="M77" s="409"/>
      <c r="N77" s="409"/>
      <c r="O77" s="409"/>
    </row>
    <row r="78" spans="4:15" ht="15" customHeight="1">
      <c r="D78" s="25"/>
      <c r="E78" s="399" t="s">
        <v>1731</v>
      </c>
      <c r="F78" s="401"/>
      <c r="G78" s="410"/>
      <c r="H78" s="409"/>
      <c r="I78" s="409"/>
      <c r="J78" s="409"/>
      <c r="K78" s="409"/>
      <c r="L78" s="409"/>
      <c r="M78" s="409"/>
      <c r="N78" s="409"/>
      <c r="O78" s="409"/>
    </row>
    <row r="79" spans="4:15" ht="15" customHeight="1">
      <c r="D79" s="13"/>
      <c r="E79" s="26"/>
      <c r="F79" s="20"/>
      <c r="G79" s="20"/>
      <c r="H79" s="20"/>
      <c r="I79" s="20"/>
      <c r="J79" s="20"/>
      <c r="K79" s="20"/>
      <c r="L79" s="20"/>
      <c r="M79" s="20"/>
      <c r="N79" s="27" t="s">
        <v>1921</v>
      </c>
      <c r="O79" s="12"/>
    </row>
    <row r="80" spans="4:15" ht="15" customHeight="1">
      <c r="D80" s="25"/>
      <c r="E80" s="28" t="s">
        <v>1503</v>
      </c>
      <c r="F80" s="29" t="s">
        <v>1922</v>
      </c>
      <c r="G80" s="29">
        <v>2018</v>
      </c>
      <c r="H80" s="29">
        <v>2020</v>
      </c>
      <c r="I80" s="29">
        <v>2025</v>
      </c>
      <c r="J80" s="29">
        <v>2030</v>
      </c>
      <c r="K80" s="29">
        <v>2035</v>
      </c>
      <c r="L80" s="29">
        <v>2040</v>
      </c>
      <c r="M80" s="29">
        <v>2045</v>
      </c>
      <c r="N80" s="29">
        <v>2050</v>
      </c>
      <c r="O80" s="12"/>
    </row>
    <row r="81" spans="4:15" ht="15" customHeight="1">
      <c r="D81" s="25"/>
      <c r="E81" s="30" t="s">
        <v>1926</v>
      </c>
      <c r="F81" s="2902">
        <v>642096.43328944617</v>
      </c>
      <c r="G81" s="1512">
        <v>0.96009999999999995</v>
      </c>
      <c r="H81" s="1513">
        <v>0.9333427857345159</v>
      </c>
      <c r="I81" s="1513">
        <v>0.812507089300887</v>
      </c>
      <c r="J81" s="1513">
        <v>0.69167139286725798</v>
      </c>
      <c r="K81" s="1513">
        <v>0.57083569643362897</v>
      </c>
      <c r="L81" s="1513">
        <v>0.45</v>
      </c>
      <c r="M81" s="1513">
        <v>0.4</v>
      </c>
      <c r="N81" s="1513">
        <v>0.35</v>
      </c>
      <c r="O81" s="2981"/>
    </row>
    <row r="82" spans="4:15" ht="15" customHeight="1">
      <c r="D82" s="25"/>
      <c r="E82" s="30" t="s">
        <v>577</v>
      </c>
      <c r="F82" s="2902">
        <v>11302.395294856411</v>
      </c>
      <c r="G82" s="1512">
        <v>1.6899999999999998E-2</v>
      </c>
      <c r="H82" s="1511">
        <v>0.01</v>
      </c>
      <c r="I82" s="1511">
        <v>0</v>
      </c>
      <c r="J82" s="1511">
        <v>0</v>
      </c>
      <c r="K82" s="1511">
        <v>0</v>
      </c>
      <c r="L82" s="1511">
        <v>0</v>
      </c>
      <c r="M82" s="1511">
        <v>0</v>
      </c>
      <c r="N82" s="1511">
        <v>0</v>
      </c>
      <c r="O82" s="12"/>
    </row>
    <row r="83" spans="4:15" ht="15" customHeight="1">
      <c r="D83" s="25"/>
      <c r="E83" s="404" t="s">
        <v>1927</v>
      </c>
      <c r="F83" s="2905">
        <v>668.78078667789418</v>
      </c>
      <c r="G83" s="2906">
        <v>1E-3</v>
      </c>
      <c r="H83" s="2906">
        <v>5.665721426548409E-2</v>
      </c>
      <c r="I83" s="2906">
        <v>0.187492910699113</v>
      </c>
      <c r="J83" s="2906">
        <v>0.30832860713274202</v>
      </c>
      <c r="K83" s="2906">
        <v>0.42916430356637103</v>
      </c>
      <c r="L83" s="2906">
        <v>0.55000000000000004</v>
      </c>
      <c r="M83" s="2906">
        <v>0.6</v>
      </c>
      <c r="N83" s="2906">
        <v>0.65</v>
      </c>
      <c r="O83" s="12"/>
    </row>
    <row r="84" spans="4:15" ht="15" customHeight="1">
      <c r="D84" s="25"/>
      <c r="E84" s="405" t="s">
        <v>933</v>
      </c>
      <c r="F84" s="715">
        <v>0</v>
      </c>
      <c r="G84" s="718">
        <f t="shared" ref="G84:N86" si="2">G83/3</f>
        <v>3.3333333333333332E-4</v>
      </c>
      <c r="H84" s="718">
        <f t="shared" si="2"/>
        <v>1.8885738088494697E-2</v>
      </c>
      <c r="I84" s="718">
        <f t="shared" si="2"/>
        <v>6.2497636899704334E-2</v>
      </c>
      <c r="J84" s="718">
        <f t="shared" si="2"/>
        <v>0.10277620237758067</v>
      </c>
      <c r="K84" s="718">
        <f t="shared" si="2"/>
        <v>0.14305476785545701</v>
      </c>
      <c r="L84" s="718">
        <f t="shared" si="2"/>
        <v>0.18333333333333335</v>
      </c>
      <c r="M84" s="718">
        <f t="shared" si="2"/>
        <v>0.19999999999999998</v>
      </c>
      <c r="N84" s="718">
        <f t="shared" si="2"/>
        <v>0.21666666666666667</v>
      </c>
      <c r="O84" s="12"/>
    </row>
    <row r="85" spans="4:15" ht="15" customHeight="1">
      <c r="D85" s="25"/>
      <c r="E85" s="405" t="s">
        <v>934</v>
      </c>
      <c r="F85" s="715">
        <v>0</v>
      </c>
      <c r="G85" s="718">
        <f t="shared" si="2"/>
        <v>1.111111111111111E-4</v>
      </c>
      <c r="H85" s="718">
        <f t="shared" si="2"/>
        <v>6.295246029498232E-3</v>
      </c>
      <c r="I85" s="718">
        <f t="shared" si="2"/>
        <v>2.0832545633234778E-2</v>
      </c>
      <c r="J85" s="718">
        <f t="shared" si="2"/>
        <v>3.4258734125860224E-2</v>
      </c>
      <c r="K85" s="718">
        <f t="shared" si="2"/>
        <v>4.768492261848567E-2</v>
      </c>
      <c r="L85" s="718">
        <f t="shared" si="2"/>
        <v>6.1111111111111116E-2</v>
      </c>
      <c r="M85" s="718">
        <f t="shared" si="2"/>
        <v>6.6666666666666666E-2</v>
      </c>
      <c r="N85" s="718">
        <f t="shared" si="2"/>
        <v>7.2222222222222229E-2</v>
      </c>
      <c r="O85" s="12"/>
    </row>
    <row r="86" spans="4:15" ht="15" customHeight="1">
      <c r="D86" s="25"/>
      <c r="E86" s="405" t="s">
        <v>935</v>
      </c>
      <c r="F86" s="715">
        <v>0</v>
      </c>
      <c r="G86" s="718">
        <f t="shared" si="2"/>
        <v>3.7037037037037037E-5</v>
      </c>
      <c r="H86" s="718">
        <f t="shared" si="2"/>
        <v>2.0984153431660773E-3</v>
      </c>
      <c r="I86" s="718">
        <f t="shared" si="2"/>
        <v>6.944181877744926E-3</v>
      </c>
      <c r="J86" s="718">
        <f t="shared" si="2"/>
        <v>1.1419578041953407E-2</v>
      </c>
      <c r="K86" s="718">
        <f t="shared" si="2"/>
        <v>1.5894974206161889E-2</v>
      </c>
      <c r="L86" s="718">
        <f t="shared" si="2"/>
        <v>2.0370370370370372E-2</v>
      </c>
      <c r="M86" s="718">
        <f t="shared" si="2"/>
        <v>2.2222222222222223E-2</v>
      </c>
      <c r="N86" s="718">
        <f t="shared" si="2"/>
        <v>2.4074074074074078E-2</v>
      </c>
      <c r="O86" s="12"/>
    </row>
    <row r="87" spans="4:15" ht="15" customHeight="1">
      <c r="D87" s="25"/>
      <c r="E87" s="635" t="s">
        <v>1928</v>
      </c>
      <c r="F87" s="716">
        <f>G87*F83</f>
        <v>57.515147654298893</v>
      </c>
      <c r="G87" s="717">
        <v>8.5999999999999993E-2</v>
      </c>
      <c r="H87" s="717">
        <v>0.10149999999999999</v>
      </c>
      <c r="I87" s="717">
        <v>0.17899999999999999</v>
      </c>
      <c r="J87" s="717">
        <v>0.17899999999999999</v>
      </c>
      <c r="K87" s="717">
        <v>0.21775</v>
      </c>
      <c r="L87" s="717">
        <v>0.25649999999999995</v>
      </c>
      <c r="M87" s="717">
        <v>0.29525000000000001</v>
      </c>
      <c r="N87" s="717">
        <v>0.33399999999999996</v>
      </c>
      <c r="O87" s="12"/>
    </row>
    <row r="88" spans="4:15" ht="15" customHeight="1">
      <c r="D88" s="25"/>
      <c r="E88" s="407"/>
      <c r="F88" s="401"/>
      <c r="G88" s="410"/>
      <c r="H88" s="409"/>
      <c r="I88" s="409"/>
      <c r="J88" s="409"/>
      <c r="K88" s="409"/>
      <c r="L88" s="409"/>
      <c r="M88" s="409"/>
      <c r="N88" s="409"/>
      <c r="O88" s="409"/>
    </row>
    <row r="89" spans="4:15" ht="15" customHeight="1">
      <c r="D89" s="25"/>
      <c r="E89" s="35"/>
      <c r="F89" s="30"/>
      <c r="G89" s="30"/>
      <c r="H89" s="33"/>
      <c r="I89" s="36"/>
      <c r="J89" s="36"/>
      <c r="K89" s="36"/>
      <c r="L89" s="36"/>
      <c r="M89" s="36"/>
      <c r="N89" s="36"/>
      <c r="O89" s="36"/>
    </row>
    <row r="90" spans="4:15" ht="15" customHeight="1">
      <c r="D90" s="13"/>
      <c r="E90" s="2782" t="s">
        <v>1195</v>
      </c>
      <c r="F90" s="398"/>
      <c r="G90" s="398"/>
      <c r="H90" s="398"/>
      <c r="I90" s="398"/>
      <c r="J90" s="398"/>
      <c r="K90" s="398"/>
      <c r="L90" s="398"/>
      <c r="M90" s="398"/>
      <c r="N90" s="398"/>
      <c r="O90" s="27"/>
    </row>
    <row r="91" spans="4:15" ht="15" customHeight="1">
      <c r="D91" s="13"/>
      <c r="E91" s="19"/>
      <c r="F91" s="20"/>
      <c r="G91" s="21"/>
      <c r="H91" s="20"/>
      <c r="I91" s="22"/>
      <c r="J91" s="20"/>
      <c r="K91" s="22"/>
      <c r="L91" s="22"/>
      <c r="M91" s="22"/>
      <c r="N91" s="20"/>
      <c r="O91" s="20"/>
    </row>
    <row r="92" spans="4:15" ht="15" customHeight="1">
      <c r="D92" s="13"/>
      <c r="E92" s="26" t="s">
        <v>1929</v>
      </c>
      <c r="F92" s="12"/>
      <c r="G92" s="20"/>
      <c r="H92" s="20"/>
      <c r="I92" s="20"/>
      <c r="J92" s="20"/>
      <c r="K92" s="20"/>
      <c r="L92" s="20"/>
      <c r="M92" s="20"/>
      <c r="N92" s="27" t="s">
        <v>752</v>
      </c>
      <c r="O92" s="12"/>
    </row>
    <row r="93" spans="4:15" ht="15" customHeight="1">
      <c r="D93" s="25"/>
      <c r="E93" s="89" t="s">
        <v>879</v>
      </c>
      <c r="F93" s="29"/>
      <c r="G93" s="29">
        <v>2018</v>
      </c>
      <c r="H93" s="29">
        <v>2020</v>
      </c>
      <c r="I93" s="29">
        <v>2025</v>
      </c>
      <c r="J93" s="29">
        <v>2030</v>
      </c>
      <c r="K93" s="29">
        <v>2035</v>
      </c>
      <c r="L93" s="29">
        <v>2040</v>
      </c>
      <c r="M93" s="29">
        <v>2045</v>
      </c>
      <c r="N93" s="29">
        <v>2050</v>
      </c>
      <c r="O93" s="12"/>
    </row>
    <row r="94" spans="4:15" ht="15" customHeight="1">
      <c r="D94" s="25"/>
      <c r="E94" s="412">
        <v>1</v>
      </c>
      <c r="F94" s="12"/>
      <c r="G94" s="2717">
        <v>1.7</v>
      </c>
      <c r="H94" s="2717">
        <v>1.7</v>
      </c>
      <c r="I94" s="2717">
        <v>1.7</v>
      </c>
      <c r="J94" s="2717">
        <v>1.7</v>
      </c>
      <c r="K94" s="2717">
        <v>1.7</v>
      </c>
      <c r="L94" s="2717">
        <v>1.7</v>
      </c>
      <c r="M94" s="2717">
        <v>1.7</v>
      </c>
      <c r="N94" s="2717">
        <v>1.7</v>
      </c>
      <c r="O94" s="12"/>
    </row>
    <row r="95" spans="4:15" ht="15" customHeight="1">
      <c r="D95" s="25"/>
      <c r="E95" s="90">
        <v>2</v>
      </c>
      <c r="F95" s="12"/>
      <c r="G95" s="2719">
        <v>1.7</v>
      </c>
      <c r="H95" s="2719">
        <v>3.4768749999999997</v>
      </c>
      <c r="I95" s="2719">
        <v>7.9190624999999999</v>
      </c>
      <c r="J95" s="2719">
        <v>12.361249999999998</v>
      </c>
      <c r="K95" s="2719">
        <v>16.803437500000001</v>
      </c>
      <c r="L95" s="2719">
        <v>21.245625</v>
      </c>
      <c r="M95" s="2719">
        <v>25.6878125</v>
      </c>
      <c r="N95" s="2719">
        <v>30.13</v>
      </c>
      <c r="O95" s="12"/>
    </row>
    <row r="96" spans="4:15" ht="15" customHeight="1">
      <c r="D96" s="13"/>
      <c r="E96" s="289">
        <v>3</v>
      </c>
      <c r="F96" s="12"/>
      <c r="G96" s="2719">
        <v>1.7</v>
      </c>
      <c r="H96" s="2719">
        <v>6.4383333333333335</v>
      </c>
      <c r="I96" s="2719">
        <v>18.284166666666668</v>
      </c>
      <c r="J96" s="2719">
        <v>30.13</v>
      </c>
      <c r="K96" s="2719">
        <v>44.879999999999995</v>
      </c>
      <c r="L96" s="2719">
        <v>59.629999999999995</v>
      </c>
      <c r="M96" s="2719">
        <v>74.38</v>
      </c>
      <c r="N96" s="2907">
        <v>89.13</v>
      </c>
      <c r="O96" s="12"/>
    </row>
    <row r="97" spans="4:15" ht="15" customHeight="1">
      <c r="D97" s="25"/>
      <c r="E97" s="91">
        <v>4</v>
      </c>
      <c r="F97" s="275"/>
      <c r="G97" s="2908">
        <v>1.7</v>
      </c>
      <c r="H97" s="2908">
        <v>11.249999999999998</v>
      </c>
      <c r="I97" s="2908">
        <v>35.125</v>
      </c>
      <c r="J97" s="2908">
        <v>89.13</v>
      </c>
      <c r="K97" s="2908">
        <v>89.13</v>
      </c>
      <c r="L97" s="2908">
        <v>89.13</v>
      </c>
      <c r="M97" s="2908">
        <v>89.13</v>
      </c>
      <c r="N97" s="2908">
        <v>89.13</v>
      </c>
      <c r="O97" s="12"/>
    </row>
    <row r="98" spans="4:15" ht="15" customHeight="1">
      <c r="D98" s="25"/>
      <c r="E98" s="90"/>
      <c r="F98" s="12"/>
      <c r="G98" s="413"/>
      <c r="H98" s="413"/>
      <c r="I98" s="413"/>
      <c r="J98" s="413"/>
      <c r="K98" s="413"/>
      <c r="L98" s="413"/>
      <c r="M98" s="413"/>
      <c r="N98" s="413"/>
      <c r="O98" s="12"/>
    </row>
    <row r="99" spans="4:15" ht="15" customHeight="1">
      <c r="D99" s="13"/>
      <c r="E99" s="2782" t="s">
        <v>1930</v>
      </c>
      <c r="F99" s="398"/>
      <c r="G99" s="398"/>
      <c r="H99" s="398"/>
      <c r="I99" s="398"/>
      <c r="J99" s="398"/>
      <c r="K99" s="398"/>
      <c r="L99" s="398"/>
      <c r="M99" s="398"/>
      <c r="N99" s="398"/>
      <c r="O99" s="27"/>
    </row>
    <row r="100" spans="4:15" ht="15" customHeight="1">
      <c r="D100" s="13"/>
      <c r="E100" s="19"/>
      <c r="F100" s="20"/>
      <c r="G100" s="21"/>
      <c r="H100" s="20"/>
      <c r="I100" s="22"/>
      <c r="J100" s="20"/>
      <c r="K100" s="22"/>
      <c r="L100" s="22"/>
      <c r="M100" s="22"/>
      <c r="N100" s="20"/>
      <c r="O100" s="20"/>
    </row>
    <row r="101" spans="4:15" ht="15" customHeight="1">
      <c r="D101" s="13"/>
      <c r="E101" s="26" t="s">
        <v>1929</v>
      </c>
      <c r="F101" s="12"/>
      <c r="G101" s="20"/>
      <c r="H101" s="20"/>
      <c r="I101" s="20"/>
      <c r="J101" s="20"/>
      <c r="K101" s="20"/>
      <c r="L101" s="20"/>
      <c r="M101" s="20"/>
      <c r="N101" s="27" t="s">
        <v>752</v>
      </c>
      <c r="O101" s="27"/>
    </row>
    <row r="102" spans="4:15" ht="15" customHeight="1">
      <c r="D102" s="25"/>
      <c r="E102" s="89" t="s">
        <v>879</v>
      </c>
      <c r="F102" s="29"/>
      <c r="G102" s="29">
        <v>2018</v>
      </c>
      <c r="H102" s="29">
        <v>2020</v>
      </c>
      <c r="I102" s="29">
        <v>2025</v>
      </c>
      <c r="J102" s="29">
        <v>2030</v>
      </c>
      <c r="K102" s="29">
        <v>2035</v>
      </c>
      <c r="L102" s="29">
        <v>2040</v>
      </c>
      <c r="M102" s="29">
        <v>2045</v>
      </c>
      <c r="N102" s="29">
        <v>2050</v>
      </c>
      <c r="O102" s="33"/>
    </row>
    <row r="103" spans="4:15" ht="15" customHeight="1">
      <c r="D103" s="25"/>
      <c r="E103" s="412">
        <v>1</v>
      </c>
      <c r="F103" s="12"/>
      <c r="G103" s="2717">
        <v>0</v>
      </c>
      <c r="H103" s="2717">
        <v>0</v>
      </c>
      <c r="I103" s="2717">
        <v>0</v>
      </c>
      <c r="J103" s="2717">
        <v>0</v>
      </c>
      <c r="K103" s="2717">
        <v>0</v>
      </c>
      <c r="L103" s="2717">
        <v>0</v>
      </c>
      <c r="M103" s="2717">
        <v>0</v>
      </c>
      <c r="N103" s="2717">
        <v>0</v>
      </c>
      <c r="O103" s="413"/>
    </row>
    <row r="104" spans="4:15" ht="15" customHeight="1">
      <c r="D104" s="25"/>
      <c r="E104" s="90">
        <v>2</v>
      </c>
      <c r="F104" s="12"/>
      <c r="G104" s="2719">
        <v>0</v>
      </c>
      <c r="H104" s="2719">
        <v>43.9375</v>
      </c>
      <c r="I104" s="2719">
        <v>153.78125</v>
      </c>
      <c r="J104" s="2719">
        <v>263.625</v>
      </c>
      <c r="K104" s="2719">
        <v>373.46875</v>
      </c>
      <c r="L104" s="2719">
        <v>483.3125</v>
      </c>
      <c r="M104" s="2719">
        <v>593.15625</v>
      </c>
      <c r="N104" s="2719">
        <v>703</v>
      </c>
      <c r="O104" s="36"/>
    </row>
    <row r="105" spans="4:15" ht="15" customHeight="1">
      <c r="D105" s="25"/>
      <c r="E105" s="289">
        <v>3</v>
      </c>
      <c r="F105" s="12"/>
      <c r="G105" s="2719">
        <v>0</v>
      </c>
      <c r="H105" s="2719">
        <v>117.16666666666667</v>
      </c>
      <c r="I105" s="2719">
        <v>410.08333333333337</v>
      </c>
      <c r="J105" s="2719">
        <v>703</v>
      </c>
      <c r="K105" s="2719">
        <v>995.91666666666674</v>
      </c>
      <c r="L105" s="2719">
        <v>1288.8333333333335</v>
      </c>
      <c r="M105" s="2719">
        <v>1581.75</v>
      </c>
      <c r="N105" s="2719">
        <v>1874.6666666666667</v>
      </c>
      <c r="O105" s="27"/>
    </row>
    <row r="106" spans="4:15" ht="15" customHeight="1">
      <c r="D106" s="25"/>
      <c r="E106" s="91">
        <v>4</v>
      </c>
      <c r="F106" s="275"/>
      <c r="G106" s="2908">
        <v>0</v>
      </c>
      <c r="H106" s="2908">
        <v>175.83333333333334</v>
      </c>
      <c r="I106" s="2908">
        <v>615.41666666666674</v>
      </c>
      <c r="J106" s="2908">
        <v>1055</v>
      </c>
      <c r="K106" s="2908">
        <v>1494.5833333333335</v>
      </c>
      <c r="L106" s="2908">
        <v>1934.1666666666667</v>
      </c>
      <c r="M106" s="2908">
        <v>2373.75</v>
      </c>
      <c r="N106" s="2908">
        <v>2813.3333333333335</v>
      </c>
      <c r="O106" s="33"/>
    </row>
    <row r="107" spans="4:15" ht="15" customHeight="1">
      <c r="D107" s="25"/>
      <c r="E107" s="30"/>
      <c r="F107" s="30"/>
      <c r="G107" s="33"/>
      <c r="H107" s="413"/>
      <c r="I107" s="413"/>
      <c r="J107" s="413"/>
      <c r="K107" s="413"/>
      <c r="L107" s="413"/>
      <c r="M107" s="413"/>
      <c r="N107" s="413"/>
      <c r="O107" s="413"/>
    </row>
    <row r="109" spans="4:15" ht="15" customHeight="1">
      <c r="D109" s="1018" t="s">
        <v>996</v>
      </c>
      <c r="E109" s="336"/>
      <c r="F109" s="336"/>
      <c r="G109" s="336"/>
      <c r="H109" s="336"/>
      <c r="I109" s="336"/>
      <c r="J109" s="336"/>
      <c r="K109" s="336"/>
      <c r="L109" s="336"/>
      <c r="M109" s="336"/>
      <c r="N109" s="336"/>
      <c r="O109" s="336"/>
    </row>
    <row r="110" spans="4:15" ht="15" customHeight="1">
      <c r="D110" s="11"/>
      <c r="E110" s="12"/>
      <c r="F110" s="12"/>
      <c r="G110" s="12"/>
      <c r="H110" s="12"/>
      <c r="I110" s="12"/>
      <c r="J110" s="12"/>
      <c r="K110" s="12"/>
      <c r="L110" s="12"/>
      <c r="M110" s="12"/>
      <c r="N110" s="12"/>
      <c r="O110" s="12"/>
    </row>
    <row r="111" spans="4:15" ht="15" customHeight="1">
      <c r="D111" s="11"/>
      <c r="E111" s="2782" t="s">
        <v>1198</v>
      </c>
      <c r="F111" s="398"/>
      <c r="G111" s="398"/>
      <c r="H111" s="398"/>
      <c r="I111" s="398"/>
      <c r="J111" s="398"/>
      <c r="K111" s="398"/>
      <c r="L111" s="398"/>
      <c r="M111" s="398"/>
      <c r="N111" s="398"/>
      <c r="O111" s="12"/>
    </row>
    <row r="112" spans="4:15" ht="15" customHeight="1">
      <c r="D112" s="11"/>
      <c r="E112" s="26"/>
      <c r="F112" s="12"/>
      <c r="G112" s="12"/>
      <c r="H112" s="12"/>
      <c r="I112" s="12"/>
      <c r="J112" s="12"/>
      <c r="K112" s="12"/>
      <c r="L112" s="12"/>
      <c r="M112" s="12"/>
      <c r="N112" s="12"/>
      <c r="O112" s="12"/>
    </row>
    <row r="113" spans="4:24" ht="15" customHeight="1">
      <c r="D113" s="13"/>
      <c r="E113" s="26"/>
      <c r="F113" s="20"/>
      <c r="G113" s="20"/>
      <c r="H113" s="20"/>
      <c r="I113" s="20"/>
      <c r="J113" s="20"/>
      <c r="K113" s="20"/>
      <c r="L113" s="20"/>
      <c r="M113" s="20"/>
      <c r="N113" s="27" t="s">
        <v>788</v>
      </c>
      <c r="O113" s="12"/>
    </row>
    <row r="114" spans="4:24" ht="15" customHeight="1">
      <c r="D114" s="25"/>
      <c r="E114" s="28" t="s">
        <v>1503</v>
      </c>
      <c r="F114" s="28"/>
      <c r="G114" s="29">
        <v>2018</v>
      </c>
      <c r="H114" s="29">
        <v>2020</v>
      </c>
      <c r="I114" s="29">
        <v>2025</v>
      </c>
      <c r="J114" s="29">
        <v>2030</v>
      </c>
      <c r="K114" s="29">
        <v>2035</v>
      </c>
      <c r="L114" s="29">
        <v>2040</v>
      </c>
      <c r="M114" s="29">
        <v>2045</v>
      </c>
      <c r="N114" s="29">
        <v>2050</v>
      </c>
      <c r="O114" s="12"/>
    </row>
    <row r="115" spans="4:24" ht="15" customHeight="1">
      <c r="D115" s="25"/>
      <c r="E115" s="30" t="s">
        <v>1931</v>
      </c>
      <c r="F115" s="30"/>
      <c r="G115" s="1512">
        <v>9.0899999999999995E-2</v>
      </c>
      <c r="H115" s="713">
        <v>9.0899999999999995E-2</v>
      </c>
      <c r="I115" s="713">
        <v>9.0899999999999995E-2</v>
      </c>
      <c r="J115" s="713">
        <v>9.0899999999999995E-2</v>
      </c>
      <c r="K115" s="713">
        <v>9.0899999999999995E-2</v>
      </c>
      <c r="L115" s="713">
        <v>9.0899999999999995E-2</v>
      </c>
      <c r="M115" s="713">
        <v>9.0899999999999995E-2</v>
      </c>
      <c r="N115" s="713">
        <v>9.0899999999999995E-2</v>
      </c>
      <c r="O115" s="12"/>
    </row>
    <row r="116" spans="4:24" ht="15" customHeight="1">
      <c r="D116" s="25"/>
      <c r="E116" s="30" t="s">
        <v>1932</v>
      </c>
      <c r="F116" s="30"/>
      <c r="G116" s="1512">
        <v>0.77270000000000005</v>
      </c>
      <c r="H116" s="713">
        <v>0.77270000000000005</v>
      </c>
      <c r="I116" s="713">
        <v>0.77270000000000005</v>
      </c>
      <c r="J116" s="713">
        <v>0.77270000000000005</v>
      </c>
      <c r="K116" s="713">
        <v>0.77270000000000005</v>
      </c>
      <c r="L116" s="713">
        <v>0.77270000000000005</v>
      </c>
      <c r="M116" s="713">
        <v>0.77270000000000005</v>
      </c>
      <c r="N116" s="713">
        <v>0.77270000000000005</v>
      </c>
      <c r="O116" s="12"/>
    </row>
    <row r="117" spans="4:24" ht="15" customHeight="1">
      <c r="D117" s="25"/>
      <c r="E117" s="32" t="s">
        <v>1933</v>
      </c>
      <c r="F117" s="32"/>
      <c r="G117" s="1514">
        <v>0.13639999999999999</v>
      </c>
      <c r="H117" s="714">
        <v>0.13639999999999999</v>
      </c>
      <c r="I117" s="714">
        <v>0.13639999999999999</v>
      </c>
      <c r="J117" s="714">
        <v>0.13639999999999999</v>
      </c>
      <c r="K117" s="714">
        <v>0.13639999999999999</v>
      </c>
      <c r="L117" s="714">
        <v>0.13639999999999999</v>
      </c>
      <c r="M117" s="714">
        <v>0.13639999999999999</v>
      </c>
      <c r="N117" s="714">
        <v>0.13639999999999999</v>
      </c>
      <c r="O117" s="12"/>
    </row>
    <row r="118" spans="4:24" ht="15" customHeight="1">
      <c r="D118" s="25"/>
      <c r="E118" s="30"/>
      <c r="F118" s="30"/>
      <c r="G118" s="33"/>
      <c r="H118" s="414"/>
      <c r="I118" s="414"/>
      <c r="J118" s="414"/>
      <c r="K118" s="414"/>
      <c r="L118" s="414"/>
      <c r="M118" s="414"/>
      <c r="N118" s="414"/>
      <c r="O118" s="414"/>
    </row>
    <row r="119" spans="4:24" ht="15" customHeight="1">
      <c r="D119" s="13"/>
      <c r="E119" s="2782" t="s">
        <v>1200</v>
      </c>
      <c r="F119" s="398"/>
      <c r="G119" s="398"/>
      <c r="H119" s="398"/>
      <c r="I119" s="398"/>
      <c r="J119" s="398"/>
      <c r="K119" s="398"/>
      <c r="L119" s="398"/>
      <c r="M119" s="398"/>
      <c r="N119" s="398"/>
      <c r="O119" s="20"/>
    </row>
    <row r="120" spans="4:24" ht="15" customHeight="1">
      <c r="D120" s="13"/>
      <c r="E120" s="19"/>
      <c r="F120" s="20"/>
      <c r="G120" s="12"/>
      <c r="H120" s="12"/>
      <c r="I120" s="12"/>
      <c r="J120" s="12"/>
      <c r="K120" s="12"/>
      <c r="L120" s="12"/>
      <c r="M120" s="12"/>
      <c r="N120" s="12"/>
      <c r="O120" s="12"/>
    </row>
    <row r="121" spans="4:24" ht="15" customHeight="1">
      <c r="D121" s="25"/>
      <c r="E121" s="28" t="s">
        <v>1503</v>
      </c>
      <c r="F121" s="29" t="s">
        <v>788</v>
      </c>
      <c r="G121" s="20"/>
      <c r="H121" s="20"/>
      <c r="I121" s="20"/>
      <c r="J121" s="20"/>
      <c r="K121" s="20"/>
      <c r="L121" s="20"/>
      <c r="M121" s="20"/>
      <c r="N121" s="20"/>
      <c r="O121" s="20"/>
    </row>
    <row r="122" spans="4:24" ht="15" customHeight="1">
      <c r="D122" s="25"/>
      <c r="E122" s="337" t="s">
        <v>1934</v>
      </c>
      <c r="F122" s="2909">
        <v>0.1</v>
      </c>
      <c r="G122" s="12"/>
      <c r="H122" s="12"/>
      <c r="I122" s="12"/>
      <c r="J122" s="12"/>
      <c r="K122" s="12"/>
      <c r="L122" s="12"/>
      <c r="M122" s="12"/>
      <c r="N122" s="12"/>
      <c r="O122" s="12"/>
    </row>
    <row r="123" spans="4:24" ht="15" customHeight="1">
      <c r="D123" s="25"/>
      <c r="E123" s="30" t="s">
        <v>1935</v>
      </c>
      <c r="F123" s="795">
        <v>0.56999999999999995</v>
      </c>
      <c r="G123" s="20"/>
      <c r="H123" s="20"/>
      <c r="I123" s="20"/>
      <c r="J123" s="20"/>
      <c r="K123" s="20"/>
      <c r="L123" s="20"/>
      <c r="M123" s="20"/>
      <c r="N123" s="20"/>
      <c r="O123" s="20"/>
    </row>
    <row r="124" spans="4:24" ht="15" customHeight="1">
      <c r="D124" s="25"/>
      <c r="E124" s="30" t="s">
        <v>1936</v>
      </c>
      <c r="F124" s="795">
        <v>0.24</v>
      </c>
      <c r="G124" s="20"/>
      <c r="H124" s="20"/>
      <c r="I124" s="20"/>
      <c r="J124" s="20"/>
      <c r="K124" s="20"/>
      <c r="L124" s="20"/>
      <c r="M124" s="20"/>
      <c r="N124" s="20"/>
      <c r="O124" s="20"/>
    </row>
    <row r="125" spans="4:24" ht="15" customHeight="1">
      <c r="D125" s="25"/>
      <c r="E125" s="32" t="s">
        <v>1937</v>
      </c>
      <c r="F125" s="2910">
        <v>0.09</v>
      </c>
      <c r="G125" s="20"/>
      <c r="H125" s="20"/>
      <c r="I125" s="20"/>
      <c r="J125" s="20"/>
      <c r="K125" s="20"/>
      <c r="L125" s="20"/>
      <c r="M125" s="20"/>
      <c r="N125" s="20"/>
      <c r="O125" s="20"/>
      <c r="T125" s="415"/>
      <c r="U125" s="415"/>
      <c r="V125" s="415"/>
      <c r="W125" s="415"/>
      <c r="X125" s="415"/>
    </row>
    <row r="126" spans="4:24" ht="15" customHeight="1">
      <c r="D126" s="25"/>
      <c r="E126" s="30"/>
      <c r="F126" s="30"/>
      <c r="G126" s="34"/>
      <c r="H126" s="34"/>
      <c r="I126" s="34"/>
      <c r="J126" s="34"/>
      <c r="K126" s="34"/>
      <c r="L126" s="34"/>
      <c r="M126" s="34"/>
      <c r="N126" s="34"/>
      <c r="O126" s="34"/>
      <c r="T126" s="415"/>
      <c r="U126" s="415"/>
      <c r="V126" s="415"/>
      <c r="W126" s="415"/>
      <c r="X126" s="415"/>
    </row>
    <row r="127" spans="4:24" ht="15" customHeight="1">
      <c r="D127" s="416"/>
      <c r="E127" s="2782" t="s">
        <v>1202</v>
      </c>
      <c r="F127" s="398"/>
      <c r="G127" s="398"/>
      <c r="H127" s="398"/>
      <c r="I127" s="398"/>
      <c r="J127" s="398"/>
      <c r="K127" s="398"/>
      <c r="L127" s="398"/>
      <c r="M127" s="398"/>
      <c r="N127" s="398"/>
      <c r="O127" s="417"/>
      <c r="T127" s="415"/>
      <c r="U127" s="415"/>
      <c r="V127" s="415"/>
      <c r="W127" s="415"/>
      <c r="X127" s="415"/>
    </row>
    <row r="128" spans="4:24" ht="15" customHeight="1">
      <c r="D128" s="416"/>
      <c r="E128" s="421"/>
      <c r="F128" s="417"/>
      <c r="G128" s="422"/>
      <c r="H128" s="417"/>
      <c r="I128" s="417"/>
      <c r="J128" s="417"/>
      <c r="K128" s="421"/>
      <c r="L128" s="421"/>
      <c r="M128" s="417"/>
      <c r="N128" s="417"/>
      <c r="O128" s="417"/>
      <c r="T128" s="415"/>
      <c r="U128" s="415"/>
      <c r="V128" s="415"/>
      <c r="W128" s="415"/>
      <c r="X128" s="415"/>
    </row>
    <row r="129" spans="4:254" ht="15" customHeight="1">
      <c r="D129" s="3920"/>
      <c r="E129" s="3921"/>
      <c r="F129" s="417"/>
      <c r="G129" s="417"/>
      <c r="H129" s="417"/>
      <c r="I129" s="417"/>
      <c r="J129" s="417"/>
      <c r="K129" s="417"/>
      <c r="L129" s="417"/>
      <c r="M129" s="417"/>
      <c r="N129" s="423" t="s">
        <v>1938</v>
      </c>
      <c r="O129" s="12"/>
      <c r="T129" s="415"/>
      <c r="U129" s="415"/>
      <c r="V129" s="415"/>
      <c r="W129" s="415"/>
      <c r="X129" s="415"/>
      <c r="AB129" s="418"/>
      <c r="AC129" s="418"/>
      <c r="AD129" s="418"/>
      <c r="AE129" s="419"/>
      <c r="AF129" s="419"/>
      <c r="AG129" s="419"/>
      <c r="AH129" s="419"/>
      <c r="AI129" s="419"/>
      <c r="AJ129" s="419"/>
      <c r="AK129" s="419"/>
      <c r="AL129" s="419"/>
      <c r="AM129" s="419"/>
      <c r="AN129" s="419"/>
      <c r="AO129" s="419"/>
      <c r="AP129" s="419"/>
      <c r="AQ129" s="419"/>
      <c r="AR129" s="419"/>
      <c r="AS129" s="419"/>
      <c r="AT129" s="419"/>
      <c r="AU129" s="419"/>
      <c r="AV129" s="419"/>
      <c r="AW129" s="419"/>
      <c r="AX129" s="419"/>
      <c r="AY129" s="419"/>
      <c r="AZ129" s="419"/>
      <c r="BA129" s="419"/>
      <c r="BB129" s="419"/>
      <c r="BC129" s="419"/>
      <c r="BD129" s="419"/>
      <c r="BE129" s="419"/>
      <c r="BF129" s="419"/>
      <c r="BG129" s="419"/>
      <c r="BH129" s="419"/>
      <c r="BI129" s="419"/>
      <c r="BJ129" s="419"/>
      <c r="BK129" s="419"/>
      <c r="BL129" s="419"/>
      <c r="BM129" s="419"/>
      <c r="BN129" s="419"/>
      <c r="BO129" s="419"/>
      <c r="BP129" s="420"/>
      <c r="BQ129" s="420"/>
      <c r="BR129" s="420"/>
      <c r="BS129" s="420"/>
      <c r="BT129" s="420"/>
      <c r="BU129" s="420"/>
      <c r="BV129" s="420"/>
      <c r="BW129" s="420"/>
      <c r="BX129" s="420"/>
      <c r="BY129" s="420"/>
      <c r="BZ129" s="420"/>
      <c r="CA129" s="420"/>
      <c r="CB129" s="420"/>
      <c r="CC129" s="420"/>
      <c r="CD129" s="420"/>
      <c r="CE129" s="420"/>
      <c r="CF129" s="420"/>
      <c r="CG129" s="420"/>
      <c r="CH129" s="420"/>
      <c r="CI129" s="420"/>
      <c r="CJ129" s="420"/>
      <c r="CK129" s="420"/>
      <c r="CL129" s="420"/>
      <c r="CM129" s="420"/>
      <c r="CN129" s="420"/>
      <c r="CO129" s="420"/>
      <c r="CP129" s="420"/>
      <c r="CQ129" s="420"/>
      <c r="CR129" s="420"/>
      <c r="CS129" s="420"/>
      <c r="CT129" s="420"/>
      <c r="CU129" s="420"/>
      <c r="CV129" s="420"/>
      <c r="CW129" s="420"/>
      <c r="CX129" s="420"/>
      <c r="CY129" s="420"/>
      <c r="CZ129" s="420"/>
      <c r="DA129" s="420"/>
      <c r="DB129" s="420"/>
      <c r="DC129" s="420"/>
      <c r="DD129" s="420"/>
      <c r="DE129" s="420"/>
      <c r="DF129" s="420"/>
      <c r="DG129" s="420"/>
      <c r="DH129" s="420"/>
      <c r="DI129" s="420"/>
      <c r="DJ129" s="420"/>
      <c r="DK129" s="420"/>
      <c r="DL129" s="420"/>
      <c r="DM129" s="420"/>
      <c r="DN129" s="420"/>
      <c r="DO129" s="420"/>
      <c r="DP129" s="420"/>
      <c r="DQ129" s="420"/>
      <c r="DR129" s="420"/>
      <c r="DS129" s="420"/>
      <c r="DT129" s="420"/>
      <c r="DU129" s="420"/>
      <c r="DV129" s="420"/>
      <c r="DW129" s="420"/>
      <c r="DX129" s="420"/>
      <c r="DY129" s="420"/>
      <c r="DZ129" s="420"/>
      <c r="EA129" s="420"/>
      <c r="EB129" s="420"/>
      <c r="EC129" s="420"/>
      <c r="ED129" s="420"/>
      <c r="EE129" s="420"/>
      <c r="EF129" s="420"/>
      <c r="EG129" s="420"/>
      <c r="EH129" s="420"/>
      <c r="EI129" s="420"/>
      <c r="EJ129" s="420"/>
      <c r="EK129" s="420"/>
      <c r="EL129" s="420"/>
      <c r="EM129" s="420"/>
      <c r="EN129" s="420"/>
      <c r="EO129" s="420"/>
      <c r="EP129" s="420"/>
      <c r="EQ129" s="420"/>
      <c r="ER129" s="420"/>
      <c r="ES129" s="420"/>
      <c r="ET129" s="420"/>
      <c r="EU129" s="420"/>
      <c r="EV129" s="420"/>
      <c r="EW129" s="420"/>
      <c r="EX129" s="420"/>
      <c r="EY129" s="420"/>
      <c r="EZ129" s="420"/>
      <c r="FA129" s="420"/>
      <c r="FB129" s="420"/>
      <c r="FC129" s="420"/>
      <c r="FD129" s="420"/>
      <c r="FE129" s="420"/>
      <c r="FF129" s="420"/>
      <c r="FG129" s="420"/>
      <c r="FH129" s="420"/>
      <c r="FI129" s="420"/>
      <c r="FJ129" s="420"/>
      <c r="FK129" s="420"/>
      <c r="FL129" s="420"/>
      <c r="FM129" s="420"/>
      <c r="FN129" s="420"/>
      <c r="FO129" s="420"/>
      <c r="FP129" s="420"/>
      <c r="FQ129" s="420"/>
      <c r="FR129" s="420"/>
      <c r="FS129" s="420"/>
      <c r="FT129" s="420"/>
      <c r="FU129" s="420"/>
      <c r="FV129" s="420"/>
      <c r="FW129" s="420"/>
      <c r="FX129" s="420"/>
      <c r="FY129" s="420"/>
      <c r="FZ129" s="420"/>
      <c r="GA129" s="420"/>
      <c r="GB129" s="420"/>
      <c r="GC129" s="420"/>
      <c r="GD129" s="420"/>
      <c r="GE129" s="420"/>
      <c r="GF129" s="420"/>
      <c r="GG129" s="420"/>
      <c r="GH129" s="420"/>
      <c r="GI129" s="420"/>
      <c r="GJ129" s="420"/>
      <c r="GK129" s="420"/>
      <c r="GL129" s="420"/>
      <c r="GM129" s="420"/>
      <c r="GN129" s="420"/>
      <c r="GO129" s="420"/>
      <c r="GP129" s="420"/>
      <c r="GQ129" s="420"/>
      <c r="GR129" s="420"/>
      <c r="GS129" s="420"/>
      <c r="GT129" s="420"/>
      <c r="GU129" s="420"/>
      <c r="GV129" s="420"/>
      <c r="GW129" s="420"/>
      <c r="GX129" s="420"/>
      <c r="GY129" s="420"/>
      <c r="GZ129" s="420"/>
      <c r="HA129" s="420"/>
      <c r="HB129" s="420"/>
      <c r="HC129" s="420"/>
      <c r="HD129" s="420"/>
      <c r="HE129" s="420"/>
      <c r="HF129" s="420"/>
      <c r="HG129" s="420"/>
      <c r="HH129" s="420"/>
      <c r="HI129" s="420"/>
      <c r="HJ129" s="420"/>
      <c r="HK129" s="420"/>
      <c r="HL129" s="420"/>
      <c r="HM129" s="420"/>
      <c r="HN129" s="420"/>
      <c r="HO129" s="420"/>
      <c r="HP129" s="420"/>
      <c r="HQ129" s="420"/>
      <c r="HR129" s="420"/>
      <c r="HS129" s="420"/>
      <c r="HT129" s="420"/>
      <c r="HU129" s="420"/>
      <c r="HV129" s="420"/>
      <c r="HW129" s="420"/>
      <c r="HX129" s="420"/>
      <c r="HY129" s="420"/>
      <c r="HZ129" s="420"/>
      <c r="IA129" s="420"/>
      <c r="IB129" s="420"/>
      <c r="IC129" s="420"/>
      <c r="ID129" s="420"/>
      <c r="IE129" s="420"/>
      <c r="IF129" s="420"/>
      <c r="IG129" s="420"/>
      <c r="IH129" s="420"/>
      <c r="II129" s="420"/>
      <c r="IJ129" s="420"/>
      <c r="IK129" s="420"/>
      <c r="IL129" s="420"/>
      <c r="IM129" s="420"/>
      <c r="IN129" s="420"/>
      <c r="IO129" s="420"/>
      <c r="IP129" s="420"/>
      <c r="IQ129" s="420"/>
      <c r="IR129" s="420"/>
      <c r="IS129" s="420"/>
      <c r="IT129" s="420"/>
    </row>
    <row r="130" spans="4:254" ht="15" customHeight="1">
      <c r="D130" s="416"/>
      <c r="E130" s="424" t="s">
        <v>1532</v>
      </c>
      <c r="F130" s="424"/>
      <c r="G130" s="424">
        <v>2018</v>
      </c>
      <c r="H130" s="424">
        <v>2020</v>
      </c>
      <c r="I130" s="424">
        <v>2025</v>
      </c>
      <c r="J130" s="424">
        <v>2030</v>
      </c>
      <c r="K130" s="424">
        <v>2035</v>
      </c>
      <c r="L130" s="424">
        <v>2040</v>
      </c>
      <c r="M130" s="424">
        <v>2045</v>
      </c>
      <c r="N130" s="425">
        <v>2050</v>
      </c>
      <c r="O130" s="12"/>
      <c r="T130" s="415"/>
      <c r="U130" s="415"/>
      <c r="V130" s="415"/>
      <c r="W130" s="415"/>
      <c r="X130" s="415"/>
      <c r="AB130" s="418"/>
      <c r="AC130" s="418"/>
      <c r="AD130" s="418"/>
      <c r="AE130" s="419"/>
      <c r="AF130" s="419"/>
      <c r="AG130" s="419"/>
      <c r="AH130" s="419"/>
      <c r="AI130" s="419"/>
      <c r="AJ130" s="419"/>
      <c r="AK130" s="419"/>
      <c r="AL130" s="419"/>
      <c r="AM130" s="419"/>
      <c r="AN130" s="419"/>
      <c r="AO130" s="419"/>
      <c r="AP130" s="419"/>
      <c r="AQ130" s="419"/>
      <c r="AR130" s="419"/>
      <c r="AS130" s="419"/>
      <c r="AT130" s="419"/>
      <c r="AU130" s="419"/>
      <c r="AV130" s="419"/>
      <c r="AW130" s="419"/>
      <c r="AX130" s="419"/>
      <c r="AY130" s="419"/>
      <c r="AZ130" s="419"/>
      <c r="BA130" s="419"/>
      <c r="BB130" s="419"/>
      <c r="BC130" s="419"/>
      <c r="BD130" s="419"/>
      <c r="BE130" s="419"/>
      <c r="BF130" s="419"/>
      <c r="BG130" s="419"/>
      <c r="BH130" s="419"/>
      <c r="BI130" s="419"/>
      <c r="BJ130" s="419"/>
      <c r="BK130" s="419"/>
      <c r="BL130" s="419"/>
      <c r="BM130" s="419"/>
      <c r="BN130" s="419"/>
      <c r="BO130" s="419"/>
      <c r="BP130" s="420"/>
      <c r="BQ130" s="420"/>
      <c r="BR130" s="420"/>
      <c r="BS130" s="420"/>
      <c r="BT130" s="420"/>
      <c r="BU130" s="420"/>
      <c r="BV130" s="420"/>
      <c r="BW130" s="420"/>
      <c r="BX130" s="420"/>
      <c r="BY130" s="420"/>
      <c r="BZ130" s="420"/>
      <c r="CA130" s="420"/>
      <c r="CB130" s="420"/>
      <c r="CC130" s="420"/>
      <c r="CD130" s="420"/>
      <c r="CE130" s="420"/>
      <c r="CF130" s="420"/>
      <c r="CG130" s="420"/>
      <c r="CH130" s="420"/>
      <c r="CI130" s="420"/>
      <c r="CJ130" s="420"/>
      <c r="CK130" s="420"/>
      <c r="CL130" s="420"/>
      <c r="CM130" s="420"/>
      <c r="CN130" s="420"/>
      <c r="CO130" s="420"/>
      <c r="CP130" s="420"/>
      <c r="CQ130" s="420"/>
      <c r="CR130" s="420"/>
      <c r="CS130" s="420"/>
      <c r="CT130" s="420"/>
      <c r="CU130" s="420"/>
      <c r="CV130" s="420"/>
      <c r="CW130" s="420"/>
      <c r="CX130" s="420"/>
      <c r="CY130" s="420"/>
      <c r="CZ130" s="420"/>
      <c r="DA130" s="420"/>
      <c r="DB130" s="420"/>
      <c r="DC130" s="420"/>
      <c r="DD130" s="420"/>
      <c r="DE130" s="420"/>
      <c r="DF130" s="420"/>
      <c r="DG130" s="420"/>
      <c r="DH130" s="420"/>
      <c r="DI130" s="420"/>
      <c r="DJ130" s="420"/>
      <c r="DK130" s="420"/>
      <c r="DL130" s="420"/>
      <c r="DM130" s="420"/>
      <c r="DN130" s="420"/>
      <c r="DO130" s="420"/>
      <c r="DP130" s="420"/>
      <c r="DQ130" s="420"/>
      <c r="DR130" s="420"/>
      <c r="DS130" s="420"/>
      <c r="DT130" s="420"/>
      <c r="DU130" s="420"/>
      <c r="DV130" s="420"/>
      <c r="DW130" s="420"/>
      <c r="DX130" s="420"/>
      <c r="DY130" s="420"/>
      <c r="DZ130" s="420"/>
      <c r="EA130" s="420"/>
      <c r="EB130" s="420"/>
      <c r="EC130" s="420"/>
      <c r="ED130" s="420"/>
      <c r="EE130" s="420"/>
      <c r="EF130" s="420"/>
      <c r="EG130" s="420"/>
      <c r="EH130" s="420"/>
      <c r="EI130" s="420"/>
      <c r="EJ130" s="420"/>
      <c r="EK130" s="420"/>
      <c r="EL130" s="420"/>
      <c r="EM130" s="420"/>
      <c r="EN130" s="420"/>
      <c r="EO130" s="420"/>
      <c r="EP130" s="420"/>
      <c r="EQ130" s="420"/>
      <c r="ER130" s="420"/>
      <c r="ES130" s="420"/>
      <c r="ET130" s="420"/>
      <c r="EU130" s="420"/>
      <c r="EV130" s="420"/>
      <c r="EW130" s="420"/>
      <c r="EX130" s="420"/>
      <c r="EY130" s="420"/>
      <c r="EZ130" s="420"/>
      <c r="FA130" s="420"/>
      <c r="FB130" s="420"/>
      <c r="FC130" s="420"/>
      <c r="FD130" s="420"/>
      <c r="FE130" s="420"/>
      <c r="FF130" s="420"/>
      <c r="FG130" s="420"/>
      <c r="FH130" s="420"/>
      <c r="FI130" s="420"/>
      <c r="FJ130" s="420"/>
      <c r="FK130" s="420"/>
      <c r="FL130" s="420"/>
      <c r="FM130" s="420"/>
      <c r="FN130" s="420"/>
      <c r="FO130" s="420"/>
      <c r="FP130" s="420"/>
      <c r="FQ130" s="420"/>
      <c r="FR130" s="420"/>
      <c r="FS130" s="420"/>
      <c r="FT130" s="420"/>
      <c r="FU130" s="420"/>
      <c r="FV130" s="420"/>
      <c r="FW130" s="420"/>
      <c r="FX130" s="420"/>
      <c r="FY130" s="420"/>
      <c r="FZ130" s="420"/>
      <c r="GA130" s="420"/>
      <c r="GB130" s="420"/>
      <c r="GC130" s="420"/>
      <c r="GD130" s="420"/>
      <c r="GE130" s="420"/>
      <c r="GF130" s="420"/>
      <c r="GG130" s="420"/>
      <c r="GH130" s="420"/>
      <c r="GI130" s="420"/>
      <c r="GJ130" s="420"/>
      <c r="GK130" s="420"/>
      <c r="GL130" s="420"/>
      <c r="GM130" s="420"/>
      <c r="GN130" s="420"/>
      <c r="GO130" s="420"/>
      <c r="GP130" s="420"/>
      <c r="GQ130" s="420"/>
      <c r="GR130" s="420"/>
      <c r="GS130" s="420"/>
      <c r="GT130" s="420"/>
      <c r="GU130" s="420"/>
      <c r="GV130" s="420"/>
      <c r="GW130" s="420"/>
      <c r="GX130" s="420"/>
      <c r="GY130" s="420"/>
      <c r="GZ130" s="420"/>
      <c r="HA130" s="420"/>
      <c r="HB130" s="420"/>
      <c r="HC130" s="420"/>
      <c r="HD130" s="420"/>
      <c r="HE130" s="420"/>
      <c r="HF130" s="420"/>
      <c r="HG130" s="420"/>
      <c r="HH130" s="420"/>
      <c r="HI130" s="420"/>
      <c r="HJ130" s="420"/>
      <c r="HK130" s="420"/>
      <c r="HL130" s="420"/>
      <c r="HM130" s="420"/>
      <c r="HN130" s="420"/>
      <c r="HO130" s="420"/>
      <c r="HP130" s="420"/>
      <c r="HQ130" s="420"/>
      <c r="HR130" s="420"/>
      <c r="HS130" s="420"/>
      <c r="HT130" s="420"/>
      <c r="HU130" s="420"/>
      <c r="HV130" s="420"/>
      <c r="HW130" s="420"/>
      <c r="HX130" s="420"/>
      <c r="HY130" s="420"/>
      <c r="HZ130" s="420"/>
      <c r="IA130" s="420"/>
      <c r="IB130" s="420"/>
      <c r="IC130" s="420"/>
      <c r="ID130" s="420"/>
      <c r="IE130" s="420"/>
      <c r="IF130" s="420"/>
      <c r="IG130" s="420"/>
      <c r="IH130" s="420"/>
      <c r="II130" s="420"/>
      <c r="IJ130" s="420"/>
      <c r="IK130" s="420"/>
      <c r="IL130" s="420"/>
      <c r="IM130" s="420"/>
      <c r="IN130" s="420"/>
      <c r="IO130" s="420"/>
      <c r="IP130" s="420"/>
      <c r="IQ130" s="420"/>
      <c r="IR130" s="420"/>
      <c r="IS130" s="420"/>
      <c r="IT130" s="420"/>
    </row>
    <row r="131" spans="4:254" ht="15" customHeight="1">
      <c r="D131" s="416"/>
      <c r="E131" s="426" t="s">
        <v>1534</v>
      </c>
      <c r="F131" s="427"/>
      <c r="G131" s="2911">
        <v>0.61456359102244396</v>
      </c>
      <c r="H131" s="2911">
        <v>0.61608737334812114</v>
      </c>
      <c r="I131" s="2911">
        <v>0.61996528493956615</v>
      </c>
      <c r="J131" s="2911">
        <v>0.62394404227688272</v>
      </c>
      <c r="K131" s="2911">
        <v>0.62802763094900771</v>
      </c>
      <c r="L131" s="2911">
        <v>0.63222024937129129</v>
      </c>
      <c r="M131" s="2911">
        <v>0.63652632318360169</v>
      </c>
      <c r="N131" s="2912">
        <v>0.64095052083333348</v>
      </c>
      <c r="O131" s="12"/>
      <c r="T131" s="415"/>
      <c r="U131" s="415"/>
      <c r="V131" s="415"/>
      <c r="W131" s="415"/>
      <c r="X131" s="415"/>
      <c r="AB131" s="418"/>
      <c r="AC131" s="418"/>
      <c r="AD131" s="418"/>
      <c r="AE131" s="419"/>
      <c r="AF131" s="419"/>
      <c r="AG131" s="419"/>
      <c r="AH131" s="419"/>
      <c r="AI131" s="419"/>
      <c r="AJ131" s="419"/>
      <c r="AK131" s="419"/>
      <c r="AL131" s="419"/>
      <c r="AM131" s="419"/>
      <c r="AN131" s="419"/>
      <c r="AO131" s="419"/>
      <c r="AP131" s="419"/>
      <c r="AQ131" s="419"/>
      <c r="AR131" s="419"/>
      <c r="AS131" s="419"/>
      <c r="AT131" s="419"/>
      <c r="AU131" s="419"/>
      <c r="AV131" s="419"/>
      <c r="AW131" s="419"/>
      <c r="AX131" s="419"/>
      <c r="AY131" s="419"/>
      <c r="AZ131" s="419"/>
      <c r="BA131" s="419"/>
      <c r="BB131" s="419"/>
      <c r="BC131" s="419"/>
      <c r="BD131" s="419"/>
      <c r="BE131" s="419"/>
      <c r="BF131" s="419"/>
      <c r="BG131" s="419"/>
      <c r="BH131" s="419"/>
      <c r="BI131" s="419"/>
      <c r="BJ131" s="419"/>
      <c r="BK131" s="419"/>
      <c r="BL131" s="419"/>
      <c r="BM131" s="419"/>
      <c r="BN131" s="419"/>
      <c r="BO131" s="419"/>
      <c r="BP131" s="420"/>
      <c r="BQ131" s="420"/>
      <c r="BR131" s="420"/>
      <c r="BS131" s="420"/>
      <c r="BT131" s="420"/>
      <c r="BU131" s="420"/>
      <c r="BV131" s="420"/>
      <c r="BW131" s="420"/>
      <c r="BX131" s="420"/>
      <c r="BY131" s="420"/>
      <c r="BZ131" s="420"/>
      <c r="CA131" s="420"/>
      <c r="CB131" s="420"/>
      <c r="CC131" s="420"/>
      <c r="CD131" s="420"/>
      <c r="CE131" s="420"/>
      <c r="CF131" s="420"/>
      <c r="CG131" s="420"/>
      <c r="CH131" s="420"/>
      <c r="CI131" s="420"/>
      <c r="CJ131" s="420"/>
      <c r="CK131" s="420"/>
      <c r="CL131" s="420"/>
      <c r="CM131" s="420"/>
      <c r="CN131" s="420"/>
      <c r="CO131" s="420"/>
      <c r="CP131" s="420"/>
      <c r="CQ131" s="420"/>
      <c r="CR131" s="420"/>
      <c r="CS131" s="420"/>
      <c r="CT131" s="420"/>
      <c r="CU131" s="420"/>
      <c r="CV131" s="420"/>
      <c r="CW131" s="420"/>
      <c r="CX131" s="420"/>
      <c r="CY131" s="420"/>
      <c r="CZ131" s="420"/>
      <c r="DA131" s="420"/>
      <c r="DB131" s="420"/>
      <c r="DC131" s="420"/>
      <c r="DD131" s="420"/>
      <c r="DE131" s="420"/>
      <c r="DF131" s="420"/>
      <c r="DG131" s="420"/>
      <c r="DH131" s="420"/>
      <c r="DI131" s="420"/>
      <c r="DJ131" s="420"/>
      <c r="DK131" s="420"/>
      <c r="DL131" s="420"/>
      <c r="DM131" s="420"/>
      <c r="DN131" s="420"/>
      <c r="DO131" s="420"/>
      <c r="DP131" s="420"/>
      <c r="DQ131" s="420"/>
      <c r="DR131" s="420"/>
      <c r="DS131" s="420"/>
      <c r="DT131" s="420"/>
      <c r="DU131" s="420"/>
      <c r="DV131" s="420"/>
      <c r="DW131" s="420"/>
      <c r="DX131" s="420"/>
      <c r="DY131" s="420"/>
      <c r="DZ131" s="420"/>
      <c r="EA131" s="420"/>
      <c r="EB131" s="420"/>
      <c r="EC131" s="420"/>
      <c r="ED131" s="420"/>
      <c r="EE131" s="420"/>
      <c r="EF131" s="420"/>
      <c r="EG131" s="420"/>
      <c r="EH131" s="420"/>
      <c r="EI131" s="420"/>
      <c r="EJ131" s="420"/>
      <c r="EK131" s="420"/>
      <c r="EL131" s="420"/>
      <c r="EM131" s="420"/>
      <c r="EN131" s="420"/>
      <c r="EO131" s="420"/>
      <c r="EP131" s="420"/>
      <c r="EQ131" s="420"/>
      <c r="ER131" s="420"/>
      <c r="ES131" s="420"/>
      <c r="ET131" s="420"/>
      <c r="EU131" s="420"/>
      <c r="EV131" s="420"/>
      <c r="EW131" s="420"/>
      <c r="EX131" s="420"/>
      <c r="EY131" s="420"/>
      <c r="EZ131" s="420"/>
      <c r="FA131" s="420"/>
      <c r="FB131" s="420"/>
      <c r="FC131" s="420"/>
      <c r="FD131" s="420"/>
      <c r="FE131" s="420"/>
      <c r="FF131" s="420"/>
      <c r="FG131" s="420"/>
      <c r="FH131" s="420"/>
      <c r="FI131" s="420"/>
      <c r="FJ131" s="420"/>
      <c r="FK131" s="420"/>
      <c r="FL131" s="420"/>
      <c r="FM131" s="420"/>
      <c r="FN131" s="420"/>
      <c r="FO131" s="420"/>
      <c r="FP131" s="420"/>
      <c r="FQ131" s="420"/>
      <c r="FR131" s="420"/>
      <c r="FS131" s="420"/>
      <c r="FT131" s="420"/>
      <c r="FU131" s="420"/>
      <c r="FV131" s="420"/>
      <c r="FW131" s="420"/>
      <c r="FX131" s="420"/>
      <c r="FY131" s="420"/>
      <c r="FZ131" s="420"/>
      <c r="GA131" s="420"/>
      <c r="GB131" s="420"/>
      <c r="GC131" s="420"/>
      <c r="GD131" s="420"/>
      <c r="GE131" s="420"/>
      <c r="GF131" s="420"/>
      <c r="GG131" s="420"/>
      <c r="GH131" s="420"/>
      <c r="GI131" s="420"/>
      <c r="GJ131" s="420"/>
      <c r="GK131" s="420"/>
      <c r="GL131" s="420"/>
      <c r="GM131" s="420"/>
      <c r="GN131" s="420"/>
      <c r="GO131" s="420"/>
      <c r="GP131" s="420"/>
      <c r="GQ131" s="420"/>
      <c r="GR131" s="420"/>
      <c r="GS131" s="420"/>
      <c r="GT131" s="420"/>
      <c r="GU131" s="420"/>
      <c r="GV131" s="420"/>
      <c r="GW131" s="420"/>
      <c r="GX131" s="420"/>
      <c r="GY131" s="420"/>
      <c r="GZ131" s="420"/>
      <c r="HA131" s="420"/>
      <c r="HB131" s="420"/>
      <c r="HC131" s="420"/>
      <c r="HD131" s="420"/>
      <c r="HE131" s="420"/>
      <c r="HF131" s="420"/>
      <c r="HG131" s="420"/>
      <c r="HH131" s="420"/>
      <c r="HI131" s="420"/>
      <c r="HJ131" s="420"/>
      <c r="HK131" s="420"/>
      <c r="HL131" s="420"/>
      <c r="HM131" s="420"/>
      <c r="HN131" s="420"/>
      <c r="HO131" s="420"/>
      <c r="HP131" s="420"/>
      <c r="HQ131" s="420"/>
      <c r="HR131" s="420"/>
      <c r="HS131" s="420"/>
      <c r="HT131" s="420"/>
      <c r="HU131" s="420"/>
      <c r="HV131" s="420"/>
      <c r="HW131" s="420"/>
      <c r="HX131" s="420"/>
      <c r="HY131" s="420"/>
      <c r="HZ131" s="420"/>
      <c r="IA131" s="420"/>
      <c r="IB131" s="420"/>
      <c r="IC131" s="420"/>
      <c r="ID131" s="420"/>
      <c r="IE131" s="420"/>
      <c r="IF131" s="420"/>
      <c r="IG131" s="420"/>
      <c r="IH131" s="420"/>
      <c r="II131" s="420"/>
      <c r="IJ131" s="420"/>
      <c r="IK131" s="420"/>
      <c r="IL131" s="420"/>
      <c r="IM131" s="420"/>
      <c r="IN131" s="420"/>
      <c r="IO131" s="420"/>
      <c r="IP131" s="420"/>
      <c r="IQ131" s="420"/>
      <c r="IR131" s="420"/>
      <c r="IS131" s="420"/>
      <c r="IT131" s="420"/>
    </row>
    <row r="132" spans="4:254" ht="15" customHeight="1">
      <c r="D132" s="416"/>
      <c r="E132" s="428" t="s">
        <v>1535</v>
      </c>
      <c r="F132" s="429"/>
      <c r="G132" s="2911">
        <v>9.9950124688279296E-2</v>
      </c>
      <c r="H132" s="2911">
        <v>9.9184791122306409E-2</v>
      </c>
      <c r="I132" s="2911">
        <v>9.7237074669112161E-2</v>
      </c>
      <c r="J132" s="2911">
        <v>9.5238707520604801E-2</v>
      </c>
      <c r="K132" s="2911">
        <v>9.3187687878402967E-2</v>
      </c>
      <c r="L132" s="2911">
        <v>9.1081907050118469E-2</v>
      </c>
      <c r="M132" s="2911">
        <v>8.8919142217777136E-2</v>
      </c>
      <c r="N132" s="2911">
        <v>8.6697048611111105E-2</v>
      </c>
      <c r="O132" s="12"/>
      <c r="T132" s="415"/>
      <c r="U132" s="415"/>
      <c r="V132" s="415"/>
      <c r="W132" s="415"/>
      <c r="X132" s="415"/>
      <c r="AB132" s="418"/>
      <c r="AC132" s="418"/>
      <c r="AD132" s="419"/>
      <c r="AE132" s="419"/>
      <c r="AF132" s="419" t="s">
        <v>1939</v>
      </c>
      <c r="AG132" s="419">
        <v>11210394</v>
      </c>
      <c r="AH132" s="419" t="e">
        <v>#REF!</v>
      </c>
      <c r="AI132" s="419"/>
      <c r="AJ132" s="419"/>
      <c r="AK132" s="419"/>
      <c r="AL132" s="419"/>
      <c r="AM132" s="419"/>
      <c r="AN132" s="419"/>
      <c r="AO132" s="419"/>
      <c r="AP132" s="419"/>
      <c r="AQ132" s="419"/>
      <c r="AR132" s="419"/>
      <c r="AS132" s="419"/>
      <c r="AT132" s="419"/>
      <c r="AU132" s="419"/>
      <c r="AV132" s="419"/>
      <c r="AW132" s="419"/>
      <c r="AX132" s="419"/>
      <c r="AY132" s="419"/>
      <c r="AZ132" s="419"/>
      <c r="BA132" s="419"/>
      <c r="BB132" s="419"/>
      <c r="BC132" s="419"/>
      <c r="BD132" s="419"/>
      <c r="BE132" s="419"/>
      <c r="BF132" s="419"/>
      <c r="BG132" s="419"/>
      <c r="BH132" s="419"/>
      <c r="BI132" s="419"/>
      <c r="BJ132" s="419"/>
      <c r="BK132" s="419"/>
      <c r="BL132" s="419"/>
      <c r="BM132" s="419"/>
      <c r="BN132" s="419"/>
      <c r="BO132" s="420"/>
      <c r="BP132" s="420"/>
      <c r="BQ132" s="420"/>
      <c r="BR132" s="420"/>
      <c r="BS132" s="420"/>
      <c r="BT132" s="420"/>
      <c r="BU132" s="420"/>
      <c r="BV132" s="420"/>
      <c r="BW132" s="420"/>
      <c r="BX132" s="420"/>
      <c r="BY132" s="420"/>
      <c r="BZ132" s="420"/>
      <c r="CA132" s="420"/>
      <c r="CB132" s="420"/>
      <c r="CC132" s="420"/>
      <c r="CD132" s="420"/>
      <c r="CE132" s="420"/>
      <c r="CF132" s="420"/>
      <c r="CG132" s="420"/>
      <c r="CH132" s="420"/>
      <c r="CI132" s="420"/>
      <c r="CJ132" s="420"/>
      <c r="CK132" s="420"/>
      <c r="CL132" s="420"/>
      <c r="CM132" s="420"/>
      <c r="CN132" s="420"/>
      <c r="CO132" s="420"/>
      <c r="CP132" s="420"/>
      <c r="CQ132" s="420"/>
      <c r="CR132" s="420"/>
      <c r="CS132" s="420"/>
      <c r="CT132" s="420"/>
      <c r="CU132" s="420"/>
      <c r="CV132" s="420"/>
      <c r="CW132" s="420"/>
      <c r="CX132" s="420"/>
      <c r="CY132" s="420"/>
      <c r="CZ132" s="420"/>
      <c r="DA132" s="420"/>
      <c r="DB132" s="420"/>
      <c r="DC132" s="420"/>
      <c r="DD132" s="420"/>
      <c r="DE132" s="420"/>
      <c r="DF132" s="420"/>
      <c r="DG132" s="420"/>
      <c r="DH132" s="420"/>
      <c r="DI132" s="420"/>
      <c r="DJ132" s="420"/>
      <c r="DK132" s="420"/>
      <c r="DL132" s="420"/>
      <c r="DM132" s="420"/>
      <c r="DN132" s="420"/>
      <c r="DO132" s="420"/>
      <c r="DP132" s="420"/>
      <c r="DQ132" s="420"/>
      <c r="DR132" s="420"/>
      <c r="DS132" s="420"/>
      <c r="DT132" s="420"/>
      <c r="DU132" s="420"/>
      <c r="DV132" s="420"/>
      <c r="DW132" s="420"/>
      <c r="DX132" s="420"/>
      <c r="DY132" s="420"/>
      <c r="DZ132" s="420"/>
      <c r="EA132" s="420"/>
      <c r="EB132" s="420"/>
      <c r="EC132" s="420"/>
      <c r="ED132" s="420"/>
      <c r="EE132" s="420"/>
      <c r="EF132" s="420"/>
      <c r="EG132" s="420"/>
      <c r="EH132" s="420"/>
      <c r="EI132" s="420"/>
      <c r="EJ132" s="420"/>
      <c r="EK132" s="420"/>
      <c r="EL132" s="420"/>
      <c r="EM132" s="420"/>
      <c r="EN132" s="420"/>
      <c r="EO132" s="420"/>
      <c r="EP132" s="420"/>
      <c r="EQ132" s="420"/>
      <c r="ER132" s="420"/>
      <c r="ES132" s="420"/>
      <c r="ET132" s="420"/>
      <c r="EU132" s="420"/>
      <c r="EV132" s="420"/>
      <c r="EW132" s="420"/>
      <c r="EX132" s="420"/>
      <c r="EY132" s="420"/>
      <c r="EZ132" s="420"/>
      <c r="FA132" s="420"/>
      <c r="FB132" s="420"/>
      <c r="FC132" s="420"/>
      <c r="FD132" s="420"/>
      <c r="FE132" s="420"/>
      <c r="FF132" s="420"/>
      <c r="FG132" s="420"/>
      <c r="FH132" s="420"/>
      <c r="FI132" s="420"/>
      <c r="FJ132" s="420"/>
      <c r="FK132" s="420"/>
      <c r="FL132" s="420"/>
      <c r="FM132" s="420"/>
      <c r="FN132" s="420"/>
      <c r="FO132" s="420"/>
      <c r="FP132" s="420"/>
      <c r="FQ132" s="420"/>
      <c r="FR132" s="420"/>
      <c r="FS132" s="420"/>
      <c r="FT132" s="420"/>
      <c r="FU132" s="420"/>
      <c r="FV132" s="420"/>
      <c r="FW132" s="420"/>
      <c r="FX132" s="420"/>
      <c r="FY132" s="420"/>
      <c r="FZ132" s="420"/>
      <c r="GA132" s="420"/>
      <c r="GB132" s="420"/>
      <c r="GC132" s="420"/>
      <c r="GD132" s="420"/>
      <c r="GE132" s="420"/>
      <c r="GF132" s="420"/>
      <c r="GG132" s="420"/>
      <c r="GH132" s="420"/>
      <c r="GI132" s="420"/>
      <c r="GJ132" s="420"/>
      <c r="GK132" s="420"/>
      <c r="GL132" s="420"/>
      <c r="GM132" s="420"/>
      <c r="GN132" s="420"/>
      <c r="GO132" s="420"/>
      <c r="GP132" s="420"/>
      <c r="GQ132" s="420"/>
      <c r="GR132" s="420"/>
      <c r="GS132" s="420"/>
      <c r="GT132" s="420"/>
      <c r="GU132" s="420"/>
      <c r="GV132" s="420"/>
      <c r="GW132" s="420"/>
      <c r="GX132" s="420"/>
      <c r="GY132" s="420"/>
      <c r="GZ132" s="420"/>
      <c r="HA132" s="420"/>
      <c r="HB132" s="420"/>
      <c r="HC132" s="420"/>
      <c r="HD132" s="420"/>
      <c r="HE132" s="420"/>
      <c r="HF132" s="420"/>
      <c r="HG132" s="420"/>
      <c r="HH132" s="420"/>
      <c r="HI132" s="420"/>
      <c r="HJ132" s="420"/>
      <c r="HK132" s="420"/>
      <c r="HL132" s="420"/>
      <c r="HM132" s="420"/>
      <c r="HN132" s="420"/>
      <c r="HO132" s="420"/>
      <c r="HP132" s="420"/>
      <c r="HQ132" s="420"/>
      <c r="HR132" s="420"/>
      <c r="HS132" s="420"/>
      <c r="HT132" s="420"/>
      <c r="HU132" s="420"/>
      <c r="HV132" s="420"/>
      <c r="HW132" s="420"/>
      <c r="HX132" s="420"/>
      <c r="HY132" s="420"/>
      <c r="HZ132" s="420"/>
      <c r="IA132" s="420"/>
      <c r="IB132" s="420"/>
      <c r="IC132" s="420"/>
      <c r="ID132" s="420"/>
      <c r="IE132" s="420"/>
      <c r="IF132" s="420"/>
      <c r="IG132" s="420"/>
      <c r="IH132" s="420"/>
      <c r="II132" s="420"/>
      <c r="IJ132" s="420"/>
      <c r="IK132" s="420"/>
      <c r="IL132" s="420"/>
      <c r="IM132" s="420"/>
      <c r="IN132" s="420"/>
      <c r="IO132" s="420"/>
      <c r="IP132" s="420"/>
      <c r="IQ132" s="420"/>
      <c r="IR132" s="420"/>
      <c r="IS132" s="420"/>
    </row>
    <row r="133" spans="4:254" ht="15" customHeight="1">
      <c r="D133" s="416"/>
      <c r="E133" s="428" t="s">
        <v>1536</v>
      </c>
      <c r="F133" s="429"/>
      <c r="G133" s="2911">
        <v>7.5810473815461346E-3</v>
      </c>
      <c r="H133" s="2911">
        <v>8.3087392146173663E-3</v>
      </c>
      <c r="I133" s="2911">
        <v>1.0160660284257321E-2</v>
      </c>
      <c r="J133" s="2911">
        <v>1.206074087408226E-2</v>
      </c>
      <c r="K133" s="2911">
        <v>1.4010884327155124E-2</v>
      </c>
      <c r="L133" s="2911">
        <v>1.6013095623131197E-2</v>
      </c>
      <c r="M133" s="2911">
        <v>1.8069488254163643E-2</v>
      </c>
      <c r="N133" s="2911">
        <v>2.0182291666666671E-2</v>
      </c>
      <c r="O133" s="12"/>
      <c r="T133" s="415"/>
      <c r="U133" s="415"/>
      <c r="V133" s="415"/>
      <c r="W133" s="415"/>
      <c r="X133" s="415"/>
      <c r="AB133" s="418"/>
      <c r="AC133" s="418"/>
      <c r="AD133" s="419"/>
      <c r="AE133" s="419"/>
      <c r="AF133" s="419" t="s">
        <v>1939</v>
      </c>
      <c r="AG133" s="419">
        <v>11210395</v>
      </c>
      <c r="AH133" s="419" t="e">
        <v>#REF!</v>
      </c>
      <c r="AI133" s="419"/>
      <c r="AJ133" s="419"/>
      <c r="AK133" s="419"/>
      <c r="AL133" s="419"/>
      <c r="AM133" s="419"/>
      <c r="AN133" s="419"/>
      <c r="AO133" s="419"/>
      <c r="AP133" s="419"/>
      <c r="AQ133" s="419"/>
      <c r="AR133" s="419"/>
      <c r="AS133" s="419"/>
      <c r="AT133" s="419"/>
      <c r="AU133" s="419"/>
      <c r="AV133" s="419"/>
      <c r="AW133" s="419"/>
      <c r="AX133" s="419"/>
      <c r="AY133" s="419"/>
      <c r="AZ133" s="419"/>
      <c r="BA133" s="419"/>
      <c r="BB133" s="419"/>
      <c r="BC133" s="419"/>
      <c r="BD133" s="419"/>
      <c r="BE133" s="419"/>
      <c r="BF133" s="419"/>
      <c r="BG133" s="419"/>
      <c r="BH133" s="419"/>
      <c r="BI133" s="419"/>
      <c r="BJ133" s="419"/>
      <c r="BK133" s="419"/>
      <c r="BL133" s="419"/>
      <c r="BM133" s="419"/>
      <c r="BN133" s="419"/>
      <c r="BO133" s="420"/>
      <c r="BP133" s="420"/>
      <c r="BQ133" s="420"/>
      <c r="BR133" s="420"/>
      <c r="BS133" s="420"/>
      <c r="BT133" s="420"/>
      <c r="BU133" s="420"/>
      <c r="BV133" s="420"/>
      <c r="BW133" s="420"/>
      <c r="BX133" s="420"/>
      <c r="BY133" s="420"/>
      <c r="BZ133" s="420"/>
      <c r="CA133" s="420"/>
      <c r="CB133" s="420"/>
      <c r="CC133" s="420"/>
      <c r="CD133" s="420"/>
      <c r="CE133" s="420"/>
      <c r="CF133" s="420"/>
      <c r="CG133" s="420"/>
      <c r="CH133" s="420"/>
      <c r="CI133" s="420"/>
      <c r="CJ133" s="420"/>
      <c r="CK133" s="420"/>
      <c r="CL133" s="420"/>
      <c r="CM133" s="420"/>
      <c r="CN133" s="420"/>
      <c r="CO133" s="420"/>
      <c r="CP133" s="420"/>
      <c r="CQ133" s="420"/>
      <c r="CR133" s="420"/>
      <c r="CS133" s="420"/>
      <c r="CT133" s="420"/>
      <c r="CU133" s="420"/>
      <c r="CV133" s="420"/>
      <c r="CW133" s="420"/>
      <c r="CX133" s="420"/>
      <c r="CY133" s="420"/>
      <c r="CZ133" s="420"/>
      <c r="DA133" s="420"/>
      <c r="DB133" s="420"/>
      <c r="DC133" s="420"/>
      <c r="DD133" s="420"/>
      <c r="DE133" s="420"/>
      <c r="DF133" s="420"/>
      <c r="DG133" s="420"/>
      <c r="DH133" s="420"/>
      <c r="DI133" s="420"/>
      <c r="DJ133" s="420"/>
      <c r="DK133" s="420"/>
      <c r="DL133" s="420"/>
      <c r="DM133" s="420"/>
      <c r="DN133" s="420"/>
      <c r="DO133" s="420"/>
      <c r="DP133" s="420"/>
      <c r="DQ133" s="420"/>
      <c r="DR133" s="420"/>
      <c r="DS133" s="420"/>
      <c r="DT133" s="420"/>
      <c r="DU133" s="420"/>
      <c r="DV133" s="420"/>
      <c r="DW133" s="420"/>
      <c r="DX133" s="420"/>
      <c r="DY133" s="420"/>
      <c r="DZ133" s="420"/>
      <c r="EA133" s="420"/>
      <c r="EB133" s="420"/>
      <c r="EC133" s="420"/>
      <c r="ED133" s="420"/>
      <c r="EE133" s="420"/>
      <c r="EF133" s="420"/>
      <c r="EG133" s="420"/>
      <c r="EH133" s="420"/>
      <c r="EI133" s="420"/>
      <c r="EJ133" s="420"/>
      <c r="EK133" s="420"/>
      <c r="EL133" s="420"/>
      <c r="EM133" s="420"/>
      <c r="EN133" s="420"/>
      <c r="EO133" s="420"/>
      <c r="EP133" s="420"/>
      <c r="EQ133" s="420"/>
      <c r="ER133" s="420"/>
      <c r="ES133" s="420"/>
      <c r="ET133" s="420"/>
      <c r="EU133" s="420"/>
      <c r="EV133" s="420"/>
      <c r="EW133" s="420"/>
      <c r="EX133" s="420"/>
      <c r="EY133" s="420"/>
      <c r="EZ133" s="420"/>
      <c r="FA133" s="420"/>
      <c r="FB133" s="420"/>
      <c r="FC133" s="420"/>
      <c r="FD133" s="420"/>
      <c r="FE133" s="420"/>
      <c r="FF133" s="420"/>
      <c r="FG133" s="420"/>
      <c r="FH133" s="420"/>
      <c r="FI133" s="420"/>
      <c r="FJ133" s="420"/>
      <c r="FK133" s="420"/>
      <c r="FL133" s="420"/>
      <c r="FM133" s="420"/>
      <c r="FN133" s="420"/>
      <c r="FO133" s="420"/>
      <c r="FP133" s="420"/>
      <c r="FQ133" s="420"/>
      <c r="FR133" s="420"/>
      <c r="FS133" s="420"/>
      <c r="FT133" s="420"/>
      <c r="FU133" s="420"/>
      <c r="FV133" s="420"/>
      <c r="FW133" s="420"/>
      <c r="FX133" s="420"/>
      <c r="FY133" s="420"/>
      <c r="FZ133" s="420"/>
      <c r="GA133" s="420"/>
      <c r="GB133" s="420"/>
      <c r="GC133" s="420"/>
      <c r="GD133" s="420"/>
      <c r="GE133" s="420"/>
      <c r="GF133" s="420"/>
      <c r="GG133" s="420"/>
      <c r="GH133" s="420"/>
      <c r="GI133" s="420"/>
      <c r="GJ133" s="420"/>
      <c r="GK133" s="420"/>
      <c r="GL133" s="420"/>
      <c r="GM133" s="420"/>
      <c r="GN133" s="420"/>
      <c r="GO133" s="420"/>
      <c r="GP133" s="420"/>
      <c r="GQ133" s="420"/>
      <c r="GR133" s="420"/>
      <c r="GS133" s="420"/>
      <c r="GT133" s="420"/>
      <c r="GU133" s="420"/>
      <c r="GV133" s="420"/>
      <c r="GW133" s="420"/>
      <c r="GX133" s="420"/>
      <c r="GY133" s="420"/>
      <c r="GZ133" s="420"/>
      <c r="HA133" s="420"/>
      <c r="HB133" s="420"/>
      <c r="HC133" s="420"/>
      <c r="HD133" s="420"/>
      <c r="HE133" s="420"/>
      <c r="HF133" s="420"/>
      <c r="HG133" s="420"/>
      <c r="HH133" s="420"/>
      <c r="HI133" s="420"/>
      <c r="HJ133" s="420"/>
      <c r="HK133" s="420"/>
      <c r="HL133" s="420"/>
      <c r="HM133" s="420"/>
      <c r="HN133" s="420"/>
      <c r="HO133" s="420"/>
      <c r="HP133" s="420"/>
      <c r="HQ133" s="420"/>
      <c r="HR133" s="420"/>
      <c r="HS133" s="420"/>
      <c r="HT133" s="420"/>
      <c r="HU133" s="420"/>
      <c r="HV133" s="420"/>
      <c r="HW133" s="420"/>
      <c r="HX133" s="420"/>
      <c r="HY133" s="420"/>
      <c r="HZ133" s="420"/>
      <c r="IA133" s="420"/>
      <c r="IB133" s="420"/>
      <c r="IC133" s="420"/>
      <c r="ID133" s="420"/>
      <c r="IE133" s="420"/>
      <c r="IF133" s="420"/>
      <c r="IG133" s="420"/>
      <c r="IH133" s="420"/>
      <c r="II133" s="420"/>
      <c r="IJ133" s="420"/>
      <c r="IK133" s="420"/>
      <c r="IL133" s="420"/>
      <c r="IM133" s="420"/>
      <c r="IN133" s="420"/>
      <c r="IO133" s="420"/>
      <c r="IP133" s="420"/>
      <c r="IQ133" s="420"/>
      <c r="IR133" s="420"/>
      <c r="IS133" s="420"/>
    </row>
    <row r="134" spans="4:254" ht="15" customHeight="1">
      <c r="D134" s="416"/>
      <c r="E134" s="428" t="s">
        <v>1537</v>
      </c>
      <c r="F134" s="429"/>
      <c r="G134" s="2911">
        <v>1.71571072319202E-2</v>
      </c>
      <c r="H134" s="2911">
        <v>1.8860712696831275E-2</v>
      </c>
      <c r="I134" s="2911">
        <v>2.3196260673929117E-2</v>
      </c>
      <c r="J134" s="2911">
        <v>2.764455530839751E-2</v>
      </c>
      <c r="K134" s="2911">
        <v>3.2210052532674151E-2</v>
      </c>
      <c r="L134" s="2911">
        <v>3.6897446221477073E-2</v>
      </c>
      <c r="M134" s="2911">
        <v>4.1711684289044912E-2</v>
      </c>
      <c r="N134" s="2911">
        <v>4.6657986111111119E-2</v>
      </c>
      <c r="O134" s="12"/>
      <c r="T134" s="415"/>
      <c r="U134" s="415"/>
      <c r="V134" s="415"/>
      <c r="W134" s="415"/>
      <c r="X134" s="415"/>
      <c r="AB134" s="418"/>
      <c r="AC134" s="430"/>
      <c r="AD134" s="418"/>
      <c r="AE134" s="418"/>
      <c r="AF134" s="418"/>
      <c r="AG134" s="418"/>
      <c r="AH134" s="418"/>
      <c r="AI134" s="419"/>
      <c r="AJ134" s="419"/>
      <c r="AK134" s="419" t="s">
        <v>1939</v>
      </c>
      <c r="AL134" s="419">
        <v>11210396</v>
      </c>
      <c r="AM134" s="419" t="e">
        <v>#REF!</v>
      </c>
      <c r="AN134" s="419"/>
      <c r="AO134" s="419"/>
      <c r="AP134" s="419"/>
      <c r="AQ134" s="419"/>
      <c r="AR134" s="419"/>
      <c r="AS134" s="419"/>
      <c r="AT134" s="419"/>
      <c r="AU134" s="419"/>
      <c r="AV134" s="419"/>
      <c r="AW134" s="419"/>
      <c r="AX134" s="419"/>
      <c r="AY134" s="419"/>
      <c r="AZ134" s="419"/>
      <c r="BA134" s="419"/>
      <c r="BB134" s="419"/>
      <c r="BC134" s="419"/>
      <c r="BD134" s="419"/>
      <c r="BE134" s="419"/>
      <c r="BF134" s="419"/>
      <c r="BG134" s="419"/>
      <c r="BH134" s="419"/>
      <c r="BI134" s="419"/>
      <c r="BJ134" s="419"/>
      <c r="BK134" s="419"/>
      <c r="BL134" s="419"/>
      <c r="BM134" s="419"/>
      <c r="BN134" s="419"/>
      <c r="BO134" s="419"/>
      <c r="BP134" s="419"/>
      <c r="BQ134" s="419"/>
      <c r="BR134" s="419"/>
      <c r="BS134" s="419"/>
      <c r="BT134" s="420"/>
      <c r="BU134" s="420"/>
      <c r="BV134" s="420"/>
      <c r="BW134" s="420"/>
      <c r="BX134" s="420"/>
      <c r="BY134" s="420"/>
      <c r="BZ134" s="420"/>
      <c r="CA134" s="420"/>
      <c r="CB134" s="420"/>
      <c r="CC134" s="420"/>
      <c r="CD134" s="420"/>
      <c r="CE134" s="420"/>
      <c r="CF134" s="420"/>
      <c r="CG134" s="420"/>
      <c r="CH134" s="420"/>
      <c r="CI134" s="420"/>
      <c r="CJ134" s="420"/>
      <c r="CK134" s="420"/>
      <c r="CL134" s="420"/>
      <c r="CM134" s="420"/>
      <c r="CN134" s="420"/>
      <c r="CO134" s="420"/>
      <c r="CP134" s="420"/>
      <c r="CQ134" s="420"/>
      <c r="CR134" s="420"/>
      <c r="CS134" s="420"/>
      <c r="CT134" s="420"/>
      <c r="CU134" s="420"/>
      <c r="CV134" s="420"/>
      <c r="CW134" s="420"/>
      <c r="CX134" s="420"/>
      <c r="CY134" s="420"/>
      <c r="CZ134" s="420"/>
      <c r="DA134" s="420"/>
      <c r="DB134" s="420"/>
      <c r="DC134" s="420"/>
      <c r="DD134" s="420"/>
      <c r="DE134" s="420"/>
      <c r="DF134" s="420"/>
      <c r="DG134" s="420"/>
      <c r="DH134" s="420"/>
      <c r="DI134" s="420"/>
      <c r="DJ134" s="420"/>
      <c r="DK134" s="420"/>
      <c r="DL134" s="420"/>
      <c r="DM134" s="420"/>
      <c r="DN134" s="420"/>
      <c r="DO134" s="420"/>
      <c r="DP134" s="420"/>
      <c r="DQ134" s="420"/>
      <c r="DR134" s="420"/>
      <c r="DS134" s="420"/>
      <c r="DT134" s="420"/>
      <c r="DU134" s="420"/>
      <c r="DV134" s="420"/>
      <c r="DW134" s="420"/>
      <c r="DX134" s="420"/>
      <c r="DY134" s="420"/>
      <c r="DZ134" s="420"/>
      <c r="EA134" s="420"/>
      <c r="EB134" s="420"/>
      <c r="EC134" s="420"/>
      <c r="ED134" s="420"/>
      <c r="EE134" s="420"/>
      <c r="EF134" s="420"/>
      <c r="EG134" s="420"/>
      <c r="EH134" s="420"/>
      <c r="EI134" s="420"/>
      <c r="EJ134" s="420"/>
      <c r="EK134" s="420"/>
      <c r="EL134" s="420"/>
      <c r="EM134" s="420"/>
      <c r="EN134" s="420"/>
      <c r="EO134" s="420"/>
      <c r="EP134" s="420"/>
      <c r="EQ134" s="420"/>
      <c r="ER134" s="420"/>
      <c r="ES134" s="420"/>
      <c r="ET134" s="420"/>
      <c r="EU134" s="420"/>
      <c r="EV134" s="420"/>
      <c r="EW134" s="420"/>
      <c r="EX134" s="420"/>
      <c r="EY134" s="420"/>
      <c r="EZ134" s="420"/>
      <c r="FA134" s="420"/>
      <c r="FB134" s="420"/>
      <c r="FC134" s="420"/>
      <c r="FD134" s="420"/>
      <c r="FE134" s="420"/>
      <c r="FF134" s="420"/>
      <c r="FG134" s="420"/>
      <c r="FH134" s="420"/>
      <c r="FI134" s="420"/>
      <c r="FJ134" s="420"/>
      <c r="FK134" s="420"/>
      <c r="FL134" s="420"/>
      <c r="FM134" s="420"/>
      <c r="FN134" s="420"/>
      <c r="FO134" s="420"/>
      <c r="FP134" s="420"/>
      <c r="FQ134" s="420"/>
      <c r="FR134" s="420"/>
      <c r="FS134" s="420"/>
      <c r="FT134" s="420"/>
      <c r="FU134" s="420"/>
      <c r="FV134" s="420"/>
      <c r="FW134" s="420"/>
      <c r="FX134" s="420"/>
      <c r="FY134" s="420"/>
      <c r="FZ134" s="420"/>
      <c r="GA134" s="420"/>
      <c r="GB134" s="420"/>
      <c r="GC134" s="420"/>
      <c r="GD134" s="420"/>
      <c r="GE134" s="420"/>
      <c r="GF134" s="420"/>
      <c r="GG134" s="420"/>
      <c r="GH134" s="420"/>
      <c r="GI134" s="420"/>
      <c r="GJ134" s="420"/>
      <c r="GK134" s="420"/>
      <c r="GL134" s="420"/>
      <c r="GM134" s="420"/>
      <c r="GN134" s="420"/>
      <c r="GO134" s="420"/>
      <c r="GP134" s="420"/>
      <c r="GQ134" s="420"/>
      <c r="GR134" s="420"/>
      <c r="GS134" s="420"/>
      <c r="GT134" s="420"/>
      <c r="GU134" s="420"/>
      <c r="GV134" s="420"/>
      <c r="GW134" s="420"/>
      <c r="GX134" s="420"/>
      <c r="GY134" s="420"/>
      <c r="GZ134" s="420"/>
      <c r="HA134" s="420"/>
      <c r="HB134" s="420"/>
      <c r="HC134" s="420"/>
      <c r="HD134" s="420"/>
      <c r="HE134" s="420"/>
      <c r="HF134" s="420"/>
      <c r="HG134" s="420"/>
      <c r="HH134" s="420"/>
      <c r="HI134" s="420"/>
      <c r="HJ134" s="420"/>
      <c r="HK134" s="420"/>
      <c r="HL134" s="420"/>
      <c r="HM134" s="420"/>
      <c r="HN134" s="420"/>
      <c r="HO134" s="420"/>
      <c r="HP134" s="420"/>
      <c r="HQ134" s="420"/>
      <c r="HR134" s="420"/>
      <c r="HS134" s="420"/>
      <c r="HT134" s="420"/>
      <c r="HU134" s="420"/>
      <c r="HV134" s="420"/>
      <c r="HW134" s="420"/>
      <c r="HX134" s="420"/>
      <c r="HY134" s="420"/>
      <c r="HZ134" s="420"/>
      <c r="IA134" s="420"/>
      <c r="IB134" s="420"/>
      <c r="IC134" s="420"/>
      <c r="ID134" s="420"/>
      <c r="IE134" s="420"/>
      <c r="IF134" s="420"/>
      <c r="IG134" s="420"/>
      <c r="IH134" s="420"/>
      <c r="II134" s="420"/>
      <c r="IJ134" s="420"/>
      <c r="IK134" s="420"/>
      <c r="IL134" s="420"/>
      <c r="IM134" s="420"/>
      <c r="IN134" s="420"/>
      <c r="IO134" s="420"/>
      <c r="IP134" s="420"/>
      <c r="IQ134" s="420"/>
      <c r="IR134" s="420"/>
      <c r="IS134" s="420"/>
    </row>
    <row r="135" spans="4:254" ht="25.5">
      <c r="D135" s="416"/>
      <c r="E135" s="433" t="s">
        <v>1940</v>
      </c>
      <c r="F135" s="434"/>
      <c r="G135" s="2913">
        <v>0.26074812967581046</v>
      </c>
      <c r="H135" s="2913">
        <v>0.25755838361812389</v>
      </c>
      <c r="I135" s="2913">
        <v>0.24944071943313545</v>
      </c>
      <c r="J135" s="2913">
        <v>0.2411119540200326</v>
      </c>
      <c r="K135" s="2913">
        <v>0.23256374431275989</v>
      </c>
      <c r="L135" s="2913">
        <v>0.22378730173398192</v>
      </c>
      <c r="M135" s="2913">
        <v>0.2147733620554127</v>
      </c>
      <c r="N135" s="2913">
        <v>0.20551215277777776</v>
      </c>
      <c r="O135" s="12"/>
      <c r="T135" s="415"/>
      <c r="U135" s="415"/>
      <c r="V135" s="415"/>
      <c r="W135" s="415"/>
      <c r="X135" s="415"/>
      <c r="AB135" s="418"/>
      <c r="AC135" s="430"/>
      <c r="AD135" s="418"/>
      <c r="AE135" s="418"/>
      <c r="AF135" s="418"/>
      <c r="AG135" s="418"/>
      <c r="AH135" s="418"/>
      <c r="AI135" s="419"/>
      <c r="AJ135" s="419"/>
      <c r="AK135" s="419" t="s">
        <v>1939</v>
      </c>
      <c r="AL135" s="419">
        <v>11210397</v>
      </c>
      <c r="AM135" s="419" t="e">
        <v>#REF!</v>
      </c>
      <c r="AN135" s="419"/>
      <c r="AO135" s="419"/>
      <c r="AP135" s="419"/>
      <c r="AQ135" s="419"/>
      <c r="AR135" s="419"/>
      <c r="AS135" s="419"/>
      <c r="AT135" s="419"/>
      <c r="AU135" s="419"/>
      <c r="AV135" s="419"/>
      <c r="AW135" s="419"/>
      <c r="AX135" s="419"/>
      <c r="AY135" s="419"/>
      <c r="AZ135" s="419"/>
      <c r="BA135" s="419"/>
      <c r="BB135" s="419"/>
      <c r="BC135" s="419"/>
      <c r="BD135" s="419"/>
      <c r="BE135" s="419"/>
      <c r="BF135" s="419"/>
      <c r="BG135" s="419"/>
      <c r="BH135" s="419"/>
      <c r="BI135" s="419"/>
      <c r="BJ135" s="419"/>
      <c r="BK135" s="419"/>
      <c r="BL135" s="419"/>
      <c r="BM135" s="419"/>
      <c r="BN135" s="419"/>
      <c r="BO135" s="419"/>
      <c r="BP135" s="419"/>
      <c r="BQ135" s="419"/>
      <c r="BR135" s="419"/>
      <c r="BS135" s="419"/>
      <c r="BT135" s="420"/>
      <c r="BU135" s="420"/>
      <c r="BV135" s="420"/>
      <c r="BW135" s="420"/>
      <c r="BX135" s="420"/>
      <c r="BY135" s="420"/>
      <c r="BZ135" s="420"/>
      <c r="CA135" s="420"/>
      <c r="CB135" s="420"/>
      <c r="CC135" s="420"/>
      <c r="CD135" s="420"/>
      <c r="CE135" s="420"/>
      <c r="CF135" s="420"/>
      <c r="CG135" s="420"/>
      <c r="CH135" s="420"/>
      <c r="CI135" s="420"/>
      <c r="CJ135" s="420"/>
      <c r="CK135" s="420"/>
      <c r="CL135" s="420"/>
      <c r="CM135" s="420"/>
      <c r="CN135" s="420"/>
      <c r="CO135" s="420"/>
      <c r="CP135" s="420"/>
      <c r="CQ135" s="420"/>
      <c r="CR135" s="420"/>
      <c r="CS135" s="420"/>
      <c r="CT135" s="420"/>
      <c r="CU135" s="420"/>
      <c r="CV135" s="420"/>
      <c r="CW135" s="420"/>
      <c r="CX135" s="420"/>
      <c r="CY135" s="420"/>
      <c r="CZ135" s="420"/>
      <c r="DA135" s="420"/>
      <c r="DB135" s="420"/>
      <c r="DC135" s="420"/>
      <c r="DD135" s="420"/>
      <c r="DE135" s="420"/>
      <c r="DF135" s="420"/>
      <c r="DG135" s="420"/>
      <c r="DH135" s="420"/>
      <c r="DI135" s="420"/>
      <c r="DJ135" s="420"/>
      <c r="DK135" s="420"/>
      <c r="DL135" s="420"/>
      <c r="DM135" s="420"/>
      <c r="DN135" s="420"/>
      <c r="DO135" s="420"/>
      <c r="DP135" s="420"/>
      <c r="DQ135" s="420"/>
      <c r="DR135" s="420"/>
      <c r="DS135" s="420"/>
      <c r="DT135" s="420"/>
      <c r="DU135" s="420"/>
      <c r="DV135" s="420"/>
      <c r="DW135" s="420"/>
      <c r="DX135" s="420"/>
      <c r="DY135" s="420"/>
      <c r="DZ135" s="420"/>
      <c r="EA135" s="420"/>
      <c r="EB135" s="420"/>
      <c r="EC135" s="420"/>
      <c r="ED135" s="420"/>
      <c r="EE135" s="420"/>
      <c r="EF135" s="420"/>
      <c r="EG135" s="420"/>
      <c r="EH135" s="420"/>
      <c r="EI135" s="420"/>
      <c r="EJ135" s="420"/>
      <c r="EK135" s="420"/>
      <c r="EL135" s="420"/>
      <c r="EM135" s="420"/>
      <c r="EN135" s="420"/>
      <c r="EO135" s="420"/>
      <c r="EP135" s="420"/>
      <c r="EQ135" s="420"/>
      <c r="ER135" s="420"/>
      <c r="ES135" s="420"/>
      <c r="ET135" s="420"/>
      <c r="EU135" s="420"/>
      <c r="EV135" s="420"/>
      <c r="EW135" s="420"/>
      <c r="EX135" s="420"/>
      <c r="EY135" s="420"/>
      <c r="EZ135" s="420"/>
      <c r="FA135" s="420"/>
      <c r="FB135" s="420"/>
      <c r="FC135" s="420"/>
      <c r="FD135" s="420"/>
      <c r="FE135" s="420"/>
      <c r="FF135" s="420"/>
      <c r="FG135" s="420"/>
      <c r="FH135" s="420"/>
      <c r="FI135" s="420"/>
      <c r="FJ135" s="420"/>
      <c r="FK135" s="420"/>
      <c r="FL135" s="420"/>
      <c r="FM135" s="420"/>
      <c r="FN135" s="420"/>
      <c r="FO135" s="420"/>
      <c r="FP135" s="420"/>
      <c r="FQ135" s="420"/>
      <c r="FR135" s="420"/>
      <c r="FS135" s="420"/>
      <c r="FT135" s="420"/>
      <c r="FU135" s="420"/>
      <c r="FV135" s="420"/>
      <c r="FW135" s="420"/>
      <c r="FX135" s="420"/>
      <c r="FY135" s="420"/>
      <c r="FZ135" s="420"/>
      <c r="GA135" s="420"/>
      <c r="GB135" s="420"/>
      <c r="GC135" s="420"/>
      <c r="GD135" s="420"/>
      <c r="GE135" s="420"/>
      <c r="GF135" s="420"/>
      <c r="GG135" s="420"/>
      <c r="GH135" s="420"/>
      <c r="GI135" s="420"/>
      <c r="GJ135" s="420"/>
      <c r="GK135" s="420"/>
      <c r="GL135" s="420"/>
      <c r="GM135" s="420"/>
      <c r="GN135" s="420"/>
      <c r="GO135" s="420"/>
      <c r="GP135" s="420"/>
      <c r="GQ135" s="420"/>
      <c r="GR135" s="420"/>
      <c r="GS135" s="420"/>
      <c r="GT135" s="420"/>
      <c r="GU135" s="420"/>
      <c r="GV135" s="420"/>
      <c r="GW135" s="420"/>
      <c r="GX135" s="420"/>
      <c r="GY135" s="420"/>
      <c r="GZ135" s="420"/>
      <c r="HA135" s="420"/>
      <c r="HB135" s="420"/>
      <c r="HC135" s="420"/>
      <c r="HD135" s="420"/>
      <c r="HE135" s="420"/>
      <c r="HF135" s="420"/>
      <c r="HG135" s="420"/>
      <c r="HH135" s="420"/>
      <c r="HI135" s="420"/>
      <c r="HJ135" s="420"/>
      <c r="HK135" s="420"/>
      <c r="HL135" s="420"/>
      <c r="HM135" s="420"/>
      <c r="HN135" s="420"/>
      <c r="HO135" s="420"/>
      <c r="HP135" s="420"/>
      <c r="HQ135" s="420"/>
      <c r="HR135" s="420"/>
      <c r="HS135" s="420"/>
      <c r="HT135" s="420"/>
      <c r="HU135" s="420"/>
      <c r="HV135" s="420"/>
      <c r="HW135" s="420"/>
      <c r="HX135" s="420"/>
      <c r="HY135" s="420"/>
      <c r="HZ135" s="420"/>
      <c r="IA135" s="420"/>
      <c r="IB135" s="420"/>
      <c r="IC135" s="420"/>
      <c r="ID135" s="420"/>
      <c r="IE135" s="420"/>
      <c r="IF135" s="420"/>
      <c r="IG135" s="420"/>
      <c r="IH135" s="420"/>
      <c r="II135" s="420"/>
      <c r="IJ135" s="420"/>
      <c r="IK135" s="420"/>
      <c r="IL135" s="420"/>
      <c r="IM135" s="420"/>
      <c r="IN135" s="420"/>
      <c r="IO135" s="420"/>
      <c r="IP135" s="420"/>
      <c r="IQ135" s="420"/>
      <c r="IR135" s="420"/>
      <c r="IS135" s="420"/>
    </row>
    <row r="136" spans="4:254" ht="15" customHeight="1">
      <c r="D136" s="416"/>
      <c r="E136" s="435"/>
      <c r="F136" s="436"/>
      <c r="G136" s="422"/>
      <c r="H136" s="436"/>
      <c r="I136" s="417"/>
      <c r="J136" s="417"/>
      <c r="K136" s="417"/>
      <c r="L136" s="417"/>
      <c r="M136" s="417"/>
      <c r="N136" s="417"/>
      <c r="O136" s="417"/>
      <c r="T136" s="415"/>
      <c r="U136" s="415"/>
      <c r="V136" s="415"/>
      <c r="W136" s="415"/>
      <c r="X136" s="415"/>
      <c r="AB136" s="430"/>
      <c r="AC136" s="430"/>
      <c r="AD136" s="431"/>
      <c r="AE136" s="431"/>
      <c r="AF136" s="431"/>
      <c r="AG136" s="431"/>
      <c r="AH136" s="431"/>
      <c r="AI136" s="431"/>
      <c r="AJ136" s="431"/>
      <c r="AK136" s="431"/>
      <c r="AL136" s="431"/>
      <c r="AM136" s="431"/>
      <c r="AN136" s="431"/>
      <c r="AO136" s="431"/>
      <c r="AP136" s="431"/>
      <c r="AQ136" s="431"/>
      <c r="AR136" s="431"/>
      <c r="AS136" s="431"/>
      <c r="AT136" s="431"/>
      <c r="AU136" s="431"/>
      <c r="AV136" s="431"/>
      <c r="AW136" s="431"/>
      <c r="AX136" s="431"/>
      <c r="AY136" s="431"/>
      <c r="AZ136" s="431"/>
      <c r="BA136" s="431"/>
      <c r="BB136" s="431"/>
      <c r="BC136" s="431"/>
      <c r="BD136" s="431"/>
      <c r="BE136" s="431"/>
      <c r="BF136" s="431"/>
      <c r="BG136" s="431"/>
      <c r="BH136" s="431"/>
      <c r="BI136" s="431"/>
      <c r="BJ136" s="431"/>
      <c r="BK136" s="431"/>
      <c r="BL136" s="431"/>
      <c r="BM136" s="431"/>
      <c r="BN136" s="431"/>
      <c r="BO136" s="431"/>
      <c r="BP136" s="431"/>
      <c r="BQ136" s="431"/>
      <c r="BR136" s="431"/>
      <c r="BS136" s="431"/>
      <c r="BT136" s="432"/>
      <c r="BU136" s="432"/>
      <c r="BV136" s="432"/>
      <c r="BW136" s="432"/>
      <c r="BX136" s="432"/>
      <c r="BY136" s="432"/>
      <c r="BZ136" s="432"/>
      <c r="CA136" s="432"/>
      <c r="CB136" s="432"/>
      <c r="CC136" s="432"/>
      <c r="CD136" s="432"/>
      <c r="CE136" s="432"/>
      <c r="CF136" s="432"/>
      <c r="CG136" s="432"/>
      <c r="CH136" s="432"/>
      <c r="CI136" s="432"/>
      <c r="CJ136" s="432"/>
      <c r="CK136" s="432"/>
      <c r="CL136" s="432"/>
      <c r="CM136" s="432"/>
      <c r="CN136" s="432"/>
      <c r="CO136" s="432"/>
      <c r="CP136" s="432"/>
      <c r="CQ136" s="432"/>
      <c r="CR136" s="432"/>
      <c r="CS136" s="432"/>
      <c r="CT136" s="432"/>
      <c r="CU136" s="432"/>
      <c r="CV136" s="432"/>
      <c r="CW136" s="432"/>
      <c r="CX136" s="432"/>
      <c r="CY136" s="432"/>
      <c r="CZ136" s="432"/>
      <c r="DA136" s="432"/>
      <c r="DB136" s="432"/>
      <c r="DC136" s="432"/>
      <c r="DD136" s="432"/>
      <c r="DE136" s="432"/>
      <c r="DF136" s="432"/>
      <c r="DG136" s="432"/>
      <c r="DH136" s="432"/>
      <c r="DI136" s="432"/>
      <c r="DJ136" s="432"/>
      <c r="DK136" s="432"/>
      <c r="DL136" s="432"/>
      <c r="DM136" s="432"/>
      <c r="DN136" s="432"/>
      <c r="DO136" s="432"/>
      <c r="DP136" s="432"/>
      <c r="DQ136" s="432"/>
      <c r="DR136" s="432"/>
      <c r="DS136" s="432"/>
      <c r="DT136" s="432"/>
      <c r="DU136" s="432"/>
      <c r="DV136" s="432"/>
      <c r="DW136" s="432"/>
      <c r="DX136" s="432"/>
      <c r="DY136" s="432"/>
      <c r="DZ136" s="432"/>
      <c r="EA136" s="432"/>
      <c r="EB136" s="432"/>
      <c r="EC136" s="432"/>
      <c r="ED136" s="432"/>
      <c r="EE136" s="432"/>
      <c r="EF136" s="432"/>
      <c r="EG136" s="432"/>
      <c r="EH136" s="432"/>
      <c r="EI136" s="432"/>
      <c r="EJ136" s="432"/>
      <c r="EK136" s="432"/>
      <c r="EL136" s="432"/>
      <c r="EM136" s="432"/>
      <c r="EN136" s="432"/>
      <c r="EO136" s="432"/>
      <c r="EP136" s="432"/>
      <c r="EQ136" s="432"/>
      <c r="ER136" s="432"/>
      <c r="ES136" s="432"/>
      <c r="ET136" s="432"/>
      <c r="EU136" s="432"/>
      <c r="EV136" s="432"/>
      <c r="EW136" s="432"/>
      <c r="EX136" s="432"/>
      <c r="EY136" s="432"/>
      <c r="EZ136" s="432"/>
      <c r="FA136" s="432"/>
      <c r="FB136" s="432"/>
      <c r="FC136" s="432"/>
      <c r="FD136" s="432"/>
      <c r="FE136" s="432"/>
      <c r="FF136" s="432"/>
      <c r="FG136" s="432"/>
      <c r="FH136" s="432"/>
      <c r="FI136" s="432"/>
      <c r="FJ136" s="432"/>
      <c r="FK136" s="432"/>
      <c r="FL136" s="432"/>
      <c r="FM136" s="432"/>
      <c r="FN136" s="432"/>
      <c r="FO136" s="432"/>
      <c r="FP136" s="432"/>
      <c r="FQ136" s="432"/>
      <c r="FR136" s="432"/>
      <c r="FS136" s="432"/>
      <c r="FT136" s="432"/>
      <c r="FU136" s="432"/>
      <c r="FV136" s="432"/>
      <c r="FW136" s="432"/>
      <c r="FX136" s="432"/>
      <c r="FY136" s="432"/>
      <c r="FZ136" s="432"/>
      <c r="GA136" s="432"/>
      <c r="GB136" s="432"/>
      <c r="GC136" s="432"/>
      <c r="GD136" s="432"/>
      <c r="GE136" s="432"/>
      <c r="GF136" s="432"/>
      <c r="GG136" s="432"/>
      <c r="GH136" s="432"/>
      <c r="GI136" s="432"/>
      <c r="GJ136" s="432"/>
      <c r="GK136" s="432"/>
      <c r="GL136" s="432"/>
      <c r="GM136" s="432"/>
      <c r="GN136" s="432"/>
      <c r="GO136" s="432"/>
      <c r="GP136" s="432"/>
      <c r="GQ136" s="432"/>
      <c r="GR136" s="432"/>
      <c r="GS136" s="432"/>
      <c r="GT136" s="432"/>
      <c r="GU136" s="432"/>
      <c r="GV136" s="432"/>
      <c r="GW136" s="432"/>
      <c r="GX136" s="432"/>
      <c r="GY136" s="432"/>
      <c r="GZ136" s="432"/>
      <c r="HA136" s="432"/>
      <c r="HB136" s="432"/>
      <c r="HC136" s="432"/>
      <c r="HD136" s="432"/>
      <c r="HE136" s="432"/>
      <c r="HF136" s="432"/>
      <c r="HG136" s="432"/>
      <c r="HH136" s="432"/>
      <c r="HI136" s="432"/>
      <c r="HJ136" s="432"/>
      <c r="HK136" s="432"/>
      <c r="HL136" s="432"/>
      <c r="HM136" s="432"/>
      <c r="HN136" s="432"/>
      <c r="HO136" s="432"/>
      <c r="HP136" s="432"/>
      <c r="HQ136" s="432"/>
      <c r="HR136" s="432"/>
      <c r="HS136" s="432"/>
      <c r="HT136" s="432"/>
      <c r="HU136" s="432"/>
      <c r="HV136" s="432"/>
      <c r="HW136" s="432"/>
      <c r="HX136" s="432"/>
      <c r="HY136" s="432"/>
      <c r="HZ136" s="432"/>
      <c r="IA136" s="432"/>
      <c r="IB136" s="432"/>
      <c r="IC136" s="432"/>
      <c r="ID136" s="432"/>
      <c r="IE136" s="432"/>
      <c r="IF136" s="432"/>
      <c r="IG136" s="432"/>
      <c r="IH136" s="432"/>
      <c r="II136" s="432"/>
      <c r="IJ136" s="432"/>
      <c r="IK136" s="432"/>
      <c r="IL136" s="432"/>
      <c r="IM136" s="432"/>
      <c r="IN136" s="432"/>
      <c r="IO136" s="432"/>
      <c r="IP136" s="432"/>
      <c r="IQ136" s="432"/>
      <c r="IR136" s="432"/>
      <c r="IS136" s="432"/>
    </row>
    <row r="137" spans="4:254" ht="15" customHeight="1">
      <c r="D137" s="416"/>
      <c r="E137" s="2782" t="s">
        <v>1204</v>
      </c>
      <c r="F137" s="398"/>
      <c r="G137" s="398"/>
      <c r="H137" s="398"/>
      <c r="I137" s="398"/>
      <c r="J137" s="398"/>
      <c r="K137" s="398"/>
      <c r="L137" s="398"/>
      <c r="M137" s="398"/>
      <c r="N137" s="398"/>
      <c r="O137" s="417"/>
      <c r="T137" s="415"/>
      <c r="U137" s="415"/>
      <c r="V137" s="415"/>
      <c r="W137" s="415"/>
      <c r="X137" s="415"/>
      <c r="AB137" s="430"/>
      <c r="AC137" s="430"/>
      <c r="AD137" s="431"/>
      <c r="AE137" s="431"/>
      <c r="AF137" s="431"/>
      <c r="AG137" s="431"/>
      <c r="AH137" s="431"/>
      <c r="AI137" s="431"/>
      <c r="AJ137" s="431"/>
      <c r="AK137" s="431"/>
      <c r="AL137" s="431"/>
      <c r="AM137" s="431"/>
      <c r="AN137" s="431"/>
      <c r="AO137" s="431"/>
      <c r="AP137" s="431"/>
      <c r="AQ137" s="431"/>
      <c r="AR137" s="431"/>
      <c r="AS137" s="431"/>
      <c r="AT137" s="431"/>
      <c r="AU137" s="431"/>
      <c r="AV137" s="431"/>
      <c r="AW137" s="431"/>
      <c r="AX137" s="431"/>
      <c r="AY137" s="431"/>
      <c r="AZ137" s="431"/>
      <c r="BA137" s="431"/>
      <c r="BB137" s="431"/>
      <c r="BC137" s="431"/>
      <c r="BD137" s="431"/>
      <c r="BE137" s="431"/>
      <c r="BF137" s="431"/>
      <c r="BG137" s="431"/>
      <c r="BH137" s="431"/>
      <c r="BI137" s="431"/>
      <c r="BJ137" s="431"/>
      <c r="BK137" s="431"/>
      <c r="BL137" s="431"/>
      <c r="BM137" s="431"/>
      <c r="BN137" s="431"/>
      <c r="BO137" s="431"/>
      <c r="BP137" s="431"/>
      <c r="BQ137" s="431"/>
      <c r="BR137" s="431"/>
      <c r="BS137" s="431"/>
      <c r="BT137" s="432"/>
      <c r="BU137" s="432"/>
      <c r="BV137" s="432"/>
      <c r="BW137" s="432"/>
      <c r="BX137" s="432"/>
      <c r="BY137" s="432"/>
      <c r="BZ137" s="432"/>
      <c r="CA137" s="432"/>
      <c r="CB137" s="432"/>
      <c r="CC137" s="432"/>
      <c r="CD137" s="432"/>
      <c r="CE137" s="432"/>
      <c r="CF137" s="432"/>
      <c r="CG137" s="432"/>
      <c r="CH137" s="432"/>
      <c r="CI137" s="432"/>
      <c r="CJ137" s="432"/>
      <c r="CK137" s="432"/>
      <c r="CL137" s="432"/>
      <c r="CM137" s="432"/>
      <c r="CN137" s="432"/>
      <c r="CO137" s="432"/>
      <c r="CP137" s="432"/>
      <c r="CQ137" s="432"/>
      <c r="CR137" s="432"/>
      <c r="CS137" s="432"/>
      <c r="CT137" s="432"/>
      <c r="CU137" s="432"/>
      <c r="CV137" s="432"/>
      <c r="CW137" s="432"/>
      <c r="CX137" s="432"/>
      <c r="CY137" s="432"/>
      <c r="CZ137" s="432"/>
      <c r="DA137" s="432"/>
      <c r="DB137" s="432"/>
      <c r="DC137" s="432"/>
      <c r="DD137" s="432"/>
      <c r="DE137" s="432"/>
      <c r="DF137" s="432"/>
      <c r="DG137" s="432"/>
      <c r="DH137" s="432"/>
      <c r="DI137" s="432"/>
      <c r="DJ137" s="432"/>
      <c r="DK137" s="432"/>
      <c r="DL137" s="432"/>
      <c r="DM137" s="432"/>
      <c r="DN137" s="432"/>
      <c r="DO137" s="432"/>
      <c r="DP137" s="432"/>
      <c r="DQ137" s="432"/>
      <c r="DR137" s="432"/>
      <c r="DS137" s="432"/>
      <c r="DT137" s="432"/>
      <c r="DU137" s="432"/>
      <c r="DV137" s="432"/>
      <c r="DW137" s="432"/>
      <c r="DX137" s="432"/>
      <c r="DY137" s="432"/>
      <c r="DZ137" s="432"/>
      <c r="EA137" s="432"/>
      <c r="EB137" s="432"/>
      <c r="EC137" s="432"/>
      <c r="ED137" s="432"/>
      <c r="EE137" s="432"/>
      <c r="EF137" s="432"/>
      <c r="EG137" s="432"/>
      <c r="EH137" s="432"/>
      <c r="EI137" s="432"/>
      <c r="EJ137" s="432"/>
      <c r="EK137" s="432"/>
      <c r="EL137" s="432"/>
      <c r="EM137" s="432"/>
      <c r="EN137" s="432"/>
      <c r="EO137" s="432"/>
      <c r="EP137" s="432"/>
      <c r="EQ137" s="432"/>
      <c r="ER137" s="432"/>
      <c r="ES137" s="432"/>
      <c r="ET137" s="432"/>
      <c r="EU137" s="432"/>
      <c r="EV137" s="432"/>
      <c r="EW137" s="432"/>
      <c r="EX137" s="432"/>
      <c r="EY137" s="432"/>
      <c r="EZ137" s="432"/>
      <c r="FA137" s="432"/>
      <c r="FB137" s="432"/>
      <c r="FC137" s="432"/>
      <c r="FD137" s="432"/>
      <c r="FE137" s="432"/>
      <c r="FF137" s="432"/>
      <c r="FG137" s="432"/>
      <c r="FH137" s="432"/>
      <c r="FI137" s="432"/>
      <c r="FJ137" s="432"/>
      <c r="FK137" s="432"/>
      <c r="FL137" s="432"/>
      <c r="FM137" s="432"/>
      <c r="FN137" s="432"/>
      <c r="FO137" s="432"/>
      <c r="FP137" s="432"/>
      <c r="FQ137" s="432"/>
      <c r="FR137" s="432"/>
      <c r="FS137" s="432"/>
      <c r="FT137" s="432"/>
      <c r="FU137" s="432"/>
      <c r="FV137" s="432"/>
      <c r="FW137" s="432"/>
      <c r="FX137" s="432"/>
      <c r="FY137" s="432"/>
      <c r="FZ137" s="432"/>
      <c r="GA137" s="432"/>
      <c r="GB137" s="432"/>
      <c r="GC137" s="432"/>
      <c r="GD137" s="432"/>
      <c r="GE137" s="432"/>
      <c r="GF137" s="432"/>
      <c r="GG137" s="432"/>
      <c r="GH137" s="432"/>
      <c r="GI137" s="432"/>
      <c r="GJ137" s="432"/>
      <c r="GK137" s="432"/>
      <c r="GL137" s="432"/>
      <c r="GM137" s="432"/>
      <c r="GN137" s="432"/>
      <c r="GO137" s="432"/>
      <c r="GP137" s="432"/>
      <c r="GQ137" s="432"/>
      <c r="GR137" s="432"/>
      <c r="GS137" s="432"/>
      <c r="GT137" s="432"/>
      <c r="GU137" s="432"/>
      <c r="GV137" s="432"/>
      <c r="GW137" s="432"/>
      <c r="GX137" s="432"/>
      <c r="GY137" s="432"/>
      <c r="GZ137" s="432"/>
      <c r="HA137" s="432"/>
      <c r="HB137" s="432"/>
      <c r="HC137" s="432"/>
      <c r="HD137" s="432"/>
      <c r="HE137" s="432"/>
      <c r="HF137" s="432"/>
      <c r="HG137" s="432"/>
      <c r="HH137" s="432"/>
      <c r="HI137" s="432"/>
      <c r="HJ137" s="432"/>
      <c r="HK137" s="432"/>
      <c r="HL137" s="432"/>
      <c r="HM137" s="432"/>
      <c r="HN137" s="432"/>
      <c r="HO137" s="432"/>
      <c r="HP137" s="432"/>
      <c r="HQ137" s="432"/>
      <c r="HR137" s="432"/>
      <c r="HS137" s="432"/>
      <c r="HT137" s="432"/>
      <c r="HU137" s="432"/>
      <c r="HV137" s="432"/>
      <c r="HW137" s="432"/>
      <c r="HX137" s="432"/>
      <c r="HY137" s="432"/>
      <c r="HZ137" s="432"/>
      <c r="IA137" s="432"/>
      <c r="IB137" s="432"/>
      <c r="IC137" s="432"/>
      <c r="ID137" s="432"/>
      <c r="IE137" s="432"/>
      <c r="IF137" s="432"/>
      <c r="IG137" s="432"/>
      <c r="IH137" s="432"/>
      <c r="II137" s="432"/>
      <c r="IJ137" s="432"/>
      <c r="IK137" s="432"/>
      <c r="IL137" s="432"/>
      <c r="IM137" s="432"/>
      <c r="IN137" s="432"/>
      <c r="IO137" s="432"/>
      <c r="IP137" s="432"/>
      <c r="IQ137" s="432"/>
      <c r="IR137" s="432"/>
      <c r="IS137" s="432"/>
    </row>
    <row r="138" spans="4:254" ht="15" customHeight="1">
      <c r="D138" s="416"/>
      <c r="E138" s="421"/>
      <c r="F138" s="417"/>
      <c r="G138" s="422"/>
      <c r="H138" s="417"/>
      <c r="I138" s="417"/>
      <c r="J138" s="417"/>
      <c r="K138" s="421"/>
      <c r="L138" s="421"/>
      <c r="M138" s="417"/>
      <c r="N138" s="417"/>
      <c r="O138" s="417"/>
      <c r="T138" s="415"/>
      <c r="U138" s="415"/>
      <c r="V138" s="415"/>
      <c r="W138" s="415"/>
      <c r="X138" s="415"/>
      <c r="AB138" s="418"/>
      <c r="AC138" s="418"/>
      <c r="AD138" s="437"/>
      <c r="AE138" s="418"/>
      <c r="AF138" s="418"/>
      <c r="AG138" s="418"/>
      <c r="AH138" s="418"/>
      <c r="AI138" s="418"/>
      <c r="AJ138" s="419"/>
      <c r="AK138" s="419"/>
      <c r="AL138" s="419" t="s">
        <v>1941</v>
      </c>
      <c r="AM138" s="419"/>
      <c r="AN138" s="419">
        <v>2018</v>
      </c>
      <c r="AO138" s="419"/>
      <c r="AP138" s="419"/>
      <c r="AQ138" s="419"/>
      <c r="AR138" s="419"/>
      <c r="AS138" s="419"/>
      <c r="AT138" s="419"/>
      <c r="AU138" s="419"/>
      <c r="AV138" s="419"/>
      <c r="AW138" s="419"/>
      <c r="AX138" s="419"/>
      <c r="AY138" s="419"/>
      <c r="AZ138" s="419"/>
      <c r="BA138" s="419"/>
      <c r="BB138" s="419"/>
      <c r="BC138" s="419"/>
      <c r="BD138" s="419"/>
      <c r="BE138" s="419"/>
      <c r="BF138" s="419"/>
      <c r="BG138" s="419"/>
      <c r="BH138" s="419"/>
      <c r="BI138" s="419"/>
      <c r="BJ138" s="419"/>
      <c r="BK138" s="419"/>
      <c r="BL138" s="419"/>
      <c r="BM138" s="419"/>
      <c r="BN138" s="419"/>
      <c r="BO138" s="419"/>
      <c r="BP138" s="419"/>
      <c r="BQ138" s="419"/>
      <c r="BR138" s="419"/>
      <c r="BS138" s="419"/>
      <c r="BT138" s="419"/>
      <c r="BU138" s="420"/>
      <c r="BV138" s="420"/>
      <c r="BW138" s="420"/>
      <c r="BX138" s="420"/>
      <c r="BY138" s="420"/>
      <c r="BZ138" s="420"/>
      <c r="CA138" s="420"/>
      <c r="CB138" s="420"/>
      <c r="CC138" s="420"/>
      <c r="CD138" s="420"/>
      <c r="CE138" s="420"/>
      <c r="CF138" s="420"/>
      <c r="CG138" s="420"/>
      <c r="CH138" s="420"/>
      <c r="CI138" s="420"/>
      <c r="CJ138" s="420"/>
      <c r="CK138" s="420"/>
      <c r="CL138" s="420"/>
      <c r="CM138" s="420"/>
      <c r="CN138" s="420"/>
      <c r="CO138" s="420"/>
      <c r="CP138" s="420"/>
      <c r="CQ138" s="420"/>
      <c r="CR138" s="420"/>
      <c r="CS138" s="420"/>
      <c r="CT138" s="420"/>
      <c r="CU138" s="420"/>
      <c r="CV138" s="420"/>
      <c r="CW138" s="420"/>
      <c r="CX138" s="420"/>
      <c r="CY138" s="420"/>
      <c r="CZ138" s="420"/>
      <c r="DA138" s="420"/>
      <c r="DB138" s="420"/>
      <c r="DC138" s="420"/>
      <c r="DD138" s="420"/>
      <c r="DE138" s="420"/>
      <c r="DF138" s="420"/>
      <c r="DG138" s="420"/>
      <c r="DH138" s="420"/>
      <c r="DI138" s="420"/>
      <c r="DJ138" s="420"/>
      <c r="DK138" s="420"/>
      <c r="DL138" s="420"/>
      <c r="DM138" s="420"/>
      <c r="DN138" s="420"/>
      <c r="DO138" s="420"/>
      <c r="DP138" s="420"/>
      <c r="DQ138" s="420"/>
      <c r="DR138" s="420"/>
      <c r="DS138" s="420"/>
      <c r="DT138" s="420"/>
      <c r="DU138" s="420"/>
      <c r="DV138" s="420"/>
      <c r="DW138" s="420"/>
      <c r="DX138" s="420"/>
      <c r="DY138" s="420"/>
      <c r="DZ138" s="420"/>
      <c r="EA138" s="420"/>
      <c r="EB138" s="420"/>
      <c r="EC138" s="420"/>
      <c r="ED138" s="420"/>
      <c r="EE138" s="420"/>
      <c r="EF138" s="420"/>
      <c r="EG138" s="420"/>
      <c r="EH138" s="420"/>
      <c r="EI138" s="420"/>
      <c r="EJ138" s="420"/>
      <c r="EK138" s="420"/>
      <c r="EL138" s="420"/>
      <c r="EM138" s="420"/>
      <c r="EN138" s="420"/>
      <c r="EO138" s="420"/>
      <c r="EP138" s="420"/>
      <c r="EQ138" s="420"/>
      <c r="ER138" s="420"/>
      <c r="ES138" s="420"/>
      <c r="ET138" s="420"/>
      <c r="EU138" s="420"/>
      <c r="EV138" s="420"/>
      <c r="EW138" s="420"/>
      <c r="EX138" s="420"/>
      <c r="EY138" s="420"/>
      <c r="EZ138" s="420"/>
      <c r="FA138" s="420"/>
      <c r="FB138" s="420"/>
      <c r="FC138" s="420"/>
      <c r="FD138" s="420"/>
      <c r="FE138" s="420"/>
      <c r="FF138" s="420"/>
      <c r="FG138" s="420"/>
      <c r="FH138" s="420"/>
      <c r="FI138" s="420"/>
      <c r="FJ138" s="420"/>
      <c r="FK138" s="420"/>
      <c r="FL138" s="420"/>
      <c r="FM138" s="420"/>
      <c r="FN138" s="420"/>
      <c r="FO138" s="420"/>
      <c r="FP138" s="420"/>
      <c r="FQ138" s="420"/>
      <c r="FR138" s="420"/>
      <c r="FS138" s="420"/>
      <c r="FT138" s="420"/>
      <c r="FU138" s="420"/>
      <c r="FV138" s="420"/>
      <c r="FW138" s="420"/>
      <c r="FX138" s="420"/>
      <c r="FY138" s="420"/>
      <c r="FZ138" s="420"/>
      <c r="GA138" s="420"/>
      <c r="GB138" s="420"/>
      <c r="GC138" s="420"/>
      <c r="GD138" s="420"/>
      <c r="GE138" s="420"/>
      <c r="GF138" s="420"/>
      <c r="GG138" s="420"/>
      <c r="GH138" s="420"/>
      <c r="GI138" s="420"/>
      <c r="GJ138" s="420"/>
      <c r="GK138" s="420"/>
      <c r="GL138" s="420"/>
      <c r="GM138" s="420"/>
      <c r="GN138" s="420"/>
      <c r="GO138" s="420"/>
      <c r="GP138" s="420"/>
      <c r="GQ138" s="420"/>
      <c r="GR138" s="420"/>
      <c r="GS138" s="420"/>
      <c r="GT138" s="420"/>
      <c r="GU138" s="420"/>
      <c r="GV138" s="420"/>
      <c r="GW138" s="420"/>
      <c r="GX138" s="420"/>
      <c r="GY138" s="420"/>
      <c r="GZ138" s="420"/>
      <c r="HA138" s="420"/>
      <c r="HB138" s="420"/>
      <c r="HC138" s="420"/>
      <c r="HD138" s="420"/>
      <c r="HE138" s="420"/>
      <c r="HF138" s="420"/>
      <c r="HG138" s="420"/>
      <c r="HH138" s="420"/>
      <c r="HI138" s="420"/>
      <c r="HJ138" s="420"/>
      <c r="HK138" s="420"/>
      <c r="HL138" s="420"/>
      <c r="HM138" s="420"/>
      <c r="HN138" s="420"/>
      <c r="HO138" s="420"/>
      <c r="HP138" s="420"/>
      <c r="HQ138" s="420"/>
      <c r="HR138" s="420"/>
      <c r="HS138" s="420"/>
      <c r="HT138" s="420"/>
      <c r="HU138" s="420"/>
      <c r="HV138" s="420"/>
      <c r="HW138" s="420"/>
      <c r="HX138" s="420"/>
      <c r="HY138" s="420"/>
      <c r="HZ138" s="420"/>
      <c r="IA138" s="420"/>
      <c r="IB138" s="420"/>
      <c r="IC138" s="420"/>
      <c r="ID138" s="420"/>
      <c r="IE138" s="420"/>
      <c r="IF138" s="420"/>
      <c r="IG138" s="420"/>
      <c r="IH138" s="420"/>
      <c r="II138" s="420"/>
      <c r="IJ138" s="420"/>
      <c r="IK138" s="420"/>
      <c r="IL138" s="420"/>
      <c r="IM138" s="420"/>
      <c r="IN138" s="420"/>
      <c r="IO138" s="420"/>
      <c r="IP138" s="420"/>
      <c r="IQ138" s="420"/>
      <c r="IR138" s="420"/>
      <c r="IS138" s="420"/>
      <c r="IT138" s="420"/>
    </row>
    <row r="139" spans="4:254" ht="15" customHeight="1">
      <c r="D139" s="416"/>
      <c r="E139" s="438" t="s">
        <v>1531</v>
      </c>
      <c r="F139" s="417"/>
      <c r="G139" s="422"/>
      <c r="H139" s="656"/>
      <c r="I139" s="417"/>
      <c r="J139" s="417"/>
      <c r="K139" s="421"/>
      <c r="L139" s="421"/>
      <c r="M139" s="417"/>
      <c r="N139" s="417"/>
      <c r="O139" s="417"/>
      <c r="T139" s="415"/>
      <c r="U139" s="415"/>
      <c r="V139" s="415"/>
      <c r="W139" s="415"/>
      <c r="X139" s="415"/>
      <c r="AB139" s="418"/>
      <c r="AC139" s="418"/>
      <c r="AD139" s="418"/>
      <c r="AE139" s="419"/>
      <c r="AF139" s="419"/>
      <c r="AG139" s="419"/>
      <c r="AH139" s="419"/>
      <c r="AI139" s="419"/>
      <c r="AJ139" s="419"/>
      <c r="AK139" s="419"/>
      <c r="AL139" s="419"/>
      <c r="AM139" s="419"/>
      <c r="AN139" s="419"/>
      <c r="AO139" s="419"/>
      <c r="AP139" s="419"/>
      <c r="AQ139" s="419"/>
      <c r="AR139" s="419"/>
      <c r="AS139" s="419"/>
      <c r="AT139" s="419"/>
      <c r="AU139" s="419"/>
      <c r="AV139" s="419"/>
      <c r="AW139" s="419"/>
      <c r="AX139" s="419"/>
      <c r="AY139" s="419"/>
      <c r="AZ139" s="419"/>
      <c r="BA139" s="419"/>
      <c r="BB139" s="419"/>
      <c r="BC139" s="419"/>
      <c r="BD139" s="419"/>
      <c r="BE139" s="419"/>
      <c r="BF139" s="419"/>
      <c r="BG139" s="419"/>
      <c r="BH139" s="419"/>
      <c r="BI139" s="419"/>
      <c r="BJ139" s="419"/>
      <c r="BK139" s="419"/>
      <c r="BL139" s="419"/>
      <c r="BM139" s="419"/>
      <c r="BN139" s="419"/>
      <c r="BO139" s="419"/>
      <c r="BP139" s="420"/>
      <c r="BQ139" s="420"/>
      <c r="BR139" s="420"/>
      <c r="BS139" s="420"/>
      <c r="BT139" s="420"/>
      <c r="BU139" s="420"/>
      <c r="BV139" s="420"/>
      <c r="BW139" s="420"/>
      <c r="BX139" s="420"/>
      <c r="BY139" s="420"/>
      <c r="BZ139" s="420"/>
      <c r="CA139" s="420"/>
      <c r="CB139" s="420"/>
      <c r="CC139" s="420"/>
      <c r="CD139" s="420"/>
      <c r="CE139" s="420"/>
      <c r="CF139" s="420"/>
      <c r="CG139" s="420"/>
      <c r="CH139" s="420"/>
      <c r="CI139" s="420"/>
      <c r="CJ139" s="420"/>
      <c r="CK139" s="420"/>
      <c r="CL139" s="420"/>
      <c r="CM139" s="420"/>
      <c r="CN139" s="420"/>
      <c r="CO139" s="420"/>
      <c r="CP139" s="420"/>
      <c r="CQ139" s="420"/>
      <c r="CR139" s="420"/>
      <c r="CS139" s="420"/>
      <c r="CT139" s="420"/>
      <c r="CU139" s="420"/>
      <c r="CV139" s="420"/>
      <c r="CW139" s="420"/>
      <c r="CX139" s="420"/>
      <c r="CY139" s="420"/>
      <c r="CZ139" s="420"/>
      <c r="DA139" s="420"/>
      <c r="DB139" s="420"/>
      <c r="DC139" s="420"/>
      <c r="DD139" s="420"/>
      <c r="DE139" s="420"/>
      <c r="DF139" s="420"/>
      <c r="DG139" s="420"/>
      <c r="DH139" s="420"/>
      <c r="DI139" s="420"/>
      <c r="DJ139" s="420"/>
      <c r="DK139" s="420"/>
      <c r="DL139" s="420"/>
      <c r="DM139" s="420"/>
      <c r="DN139" s="420"/>
      <c r="DO139" s="420"/>
      <c r="DP139" s="420"/>
      <c r="DQ139" s="420"/>
      <c r="DR139" s="420"/>
      <c r="DS139" s="420"/>
      <c r="DT139" s="420"/>
      <c r="DU139" s="420"/>
      <c r="DV139" s="420"/>
      <c r="DW139" s="420"/>
      <c r="DX139" s="420"/>
      <c r="DY139" s="420"/>
      <c r="DZ139" s="420"/>
      <c r="EA139" s="420"/>
      <c r="EB139" s="420"/>
      <c r="EC139" s="420"/>
      <c r="ED139" s="420"/>
      <c r="EE139" s="420"/>
      <c r="EF139" s="420"/>
      <c r="EG139" s="420"/>
      <c r="EH139" s="420"/>
      <c r="EI139" s="420"/>
      <c r="EJ139" s="420"/>
      <c r="EK139" s="420"/>
      <c r="EL139" s="420"/>
      <c r="EM139" s="420"/>
      <c r="EN139" s="420"/>
      <c r="EO139" s="420"/>
      <c r="EP139" s="420"/>
      <c r="EQ139" s="420"/>
      <c r="ER139" s="420"/>
      <c r="ES139" s="420"/>
      <c r="ET139" s="420"/>
      <c r="EU139" s="420"/>
      <c r="EV139" s="420"/>
      <c r="EW139" s="420"/>
      <c r="EX139" s="420"/>
      <c r="EY139" s="420"/>
      <c r="EZ139" s="420"/>
      <c r="FA139" s="420"/>
      <c r="FB139" s="420"/>
      <c r="FC139" s="420"/>
      <c r="FD139" s="420"/>
      <c r="FE139" s="420"/>
      <c r="FF139" s="420"/>
      <c r="FG139" s="420"/>
      <c r="FH139" s="420"/>
      <c r="FI139" s="420"/>
      <c r="FJ139" s="420"/>
      <c r="FK139" s="420"/>
      <c r="FL139" s="420"/>
      <c r="FM139" s="420"/>
      <c r="FN139" s="420"/>
      <c r="FO139" s="420"/>
      <c r="FP139" s="420"/>
      <c r="FQ139" s="420"/>
      <c r="FR139" s="420"/>
      <c r="FS139" s="420"/>
      <c r="FT139" s="420"/>
      <c r="FU139" s="420"/>
      <c r="FV139" s="420"/>
      <c r="FW139" s="420"/>
      <c r="FX139" s="420"/>
      <c r="FY139" s="420"/>
      <c r="FZ139" s="420"/>
      <c r="GA139" s="420"/>
      <c r="GB139" s="420"/>
      <c r="GC139" s="420"/>
      <c r="GD139" s="420"/>
      <c r="GE139" s="420"/>
      <c r="GF139" s="420"/>
      <c r="GG139" s="420"/>
      <c r="GH139" s="420"/>
      <c r="GI139" s="420"/>
      <c r="GJ139" s="420"/>
      <c r="GK139" s="420"/>
      <c r="GL139" s="420"/>
      <c r="GM139" s="420"/>
      <c r="GN139" s="420"/>
      <c r="GO139" s="420"/>
      <c r="GP139" s="420"/>
      <c r="GQ139" s="420"/>
      <c r="GR139" s="420"/>
      <c r="GS139" s="420"/>
      <c r="GT139" s="420"/>
      <c r="GU139" s="420"/>
      <c r="GV139" s="420"/>
      <c r="GW139" s="420"/>
      <c r="GX139" s="420"/>
      <c r="GY139" s="420"/>
      <c r="GZ139" s="420"/>
      <c r="HA139" s="420"/>
      <c r="HB139" s="420"/>
      <c r="HC139" s="420"/>
      <c r="HD139" s="420"/>
      <c r="HE139" s="420"/>
      <c r="HF139" s="420"/>
      <c r="HG139" s="420"/>
      <c r="HH139" s="420"/>
      <c r="HI139" s="420"/>
      <c r="HJ139" s="420"/>
      <c r="HK139" s="420"/>
      <c r="HL139" s="420"/>
      <c r="HM139" s="420"/>
      <c r="HN139" s="420"/>
      <c r="HO139" s="420"/>
      <c r="HP139" s="420"/>
      <c r="HQ139" s="420"/>
      <c r="HR139" s="420"/>
      <c r="HS139" s="420"/>
      <c r="HT139" s="420"/>
      <c r="HU139" s="420"/>
      <c r="HV139" s="420"/>
      <c r="HW139" s="420"/>
      <c r="HX139" s="420"/>
      <c r="HY139" s="420"/>
      <c r="HZ139" s="420"/>
      <c r="IA139" s="420"/>
      <c r="IB139" s="420"/>
      <c r="IC139" s="420"/>
      <c r="ID139" s="420"/>
      <c r="IE139" s="420"/>
      <c r="IF139" s="420"/>
      <c r="IG139" s="420"/>
      <c r="IH139" s="420"/>
      <c r="II139" s="420"/>
      <c r="IJ139" s="420"/>
      <c r="IK139" s="420"/>
      <c r="IL139" s="420"/>
      <c r="IM139" s="420"/>
      <c r="IN139" s="420"/>
      <c r="IO139" s="420"/>
      <c r="IP139" s="420"/>
      <c r="IQ139" s="420"/>
      <c r="IR139" s="420"/>
      <c r="IS139" s="420"/>
      <c r="IT139" s="420"/>
    </row>
    <row r="140" spans="4:254" ht="15" customHeight="1">
      <c r="D140" s="416"/>
      <c r="E140" s="439"/>
      <c r="F140" s="417"/>
      <c r="G140" s="417"/>
      <c r="H140" s="417"/>
      <c r="I140" s="417"/>
      <c r="J140" s="417"/>
      <c r="K140" s="421"/>
      <c r="L140" s="421"/>
      <c r="M140" s="417"/>
      <c r="N140" s="417"/>
      <c r="O140" s="12"/>
      <c r="T140" s="415"/>
      <c r="U140" s="415"/>
      <c r="V140" s="415"/>
      <c r="W140" s="415"/>
      <c r="X140" s="415"/>
      <c r="AB140" s="418"/>
      <c r="AC140" s="418"/>
      <c r="AD140" s="418"/>
      <c r="AE140" s="419"/>
      <c r="AF140" s="419"/>
      <c r="AG140" s="419"/>
      <c r="AH140" s="419"/>
      <c r="AI140" s="419"/>
      <c r="AJ140" s="419"/>
      <c r="AK140" s="419"/>
      <c r="AL140" s="419"/>
      <c r="AM140" s="419"/>
      <c r="AN140" s="419"/>
      <c r="AO140" s="419"/>
      <c r="AP140" s="419"/>
      <c r="AQ140" s="419"/>
      <c r="AR140" s="419"/>
      <c r="AS140" s="419"/>
      <c r="AT140" s="419"/>
      <c r="AU140" s="419"/>
      <c r="AV140" s="419"/>
      <c r="AW140" s="419"/>
      <c r="AX140" s="419"/>
      <c r="AY140" s="419"/>
      <c r="AZ140" s="419"/>
      <c r="BA140" s="419"/>
      <c r="BB140" s="419"/>
      <c r="BC140" s="419"/>
      <c r="BD140" s="419"/>
      <c r="BE140" s="419"/>
      <c r="BF140" s="419"/>
      <c r="BG140" s="419"/>
      <c r="BH140" s="419"/>
      <c r="BI140" s="419"/>
      <c r="BJ140" s="419"/>
      <c r="BK140" s="419"/>
      <c r="BL140" s="419"/>
      <c r="BM140" s="419"/>
      <c r="BN140" s="419"/>
      <c r="BO140" s="419"/>
      <c r="BP140" s="420"/>
      <c r="BQ140" s="420"/>
      <c r="BR140" s="420"/>
      <c r="BS140" s="420"/>
      <c r="BT140" s="420"/>
      <c r="BU140" s="420"/>
      <c r="BV140" s="420"/>
      <c r="BW140" s="420"/>
      <c r="BX140" s="420"/>
      <c r="BY140" s="420"/>
      <c r="BZ140" s="420"/>
      <c r="CA140" s="420"/>
      <c r="CB140" s="420"/>
      <c r="CC140" s="420"/>
      <c r="CD140" s="420"/>
      <c r="CE140" s="420"/>
      <c r="CF140" s="420"/>
      <c r="CG140" s="420"/>
      <c r="CH140" s="420"/>
      <c r="CI140" s="420"/>
      <c r="CJ140" s="420"/>
      <c r="CK140" s="420"/>
      <c r="CL140" s="420"/>
      <c r="CM140" s="420"/>
      <c r="CN140" s="420"/>
      <c r="CO140" s="420"/>
      <c r="CP140" s="420"/>
      <c r="CQ140" s="420"/>
      <c r="CR140" s="420"/>
      <c r="CS140" s="420"/>
      <c r="CT140" s="420"/>
      <c r="CU140" s="420"/>
      <c r="CV140" s="420"/>
      <c r="CW140" s="420"/>
      <c r="CX140" s="420"/>
      <c r="CY140" s="420"/>
      <c r="CZ140" s="420"/>
      <c r="DA140" s="420"/>
      <c r="DB140" s="420"/>
      <c r="DC140" s="420"/>
      <c r="DD140" s="420"/>
      <c r="DE140" s="420"/>
      <c r="DF140" s="420"/>
      <c r="DG140" s="420"/>
      <c r="DH140" s="420"/>
      <c r="DI140" s="420"/>
      <c r="DJ140" s="420"/>
      <c r="DK140" s="420"/>
      <c r="DL140" s="420"/>
      <c r="DM140" s="420"/>
      <c r="DN140" s="420"/>
      <c r="DO140" s="420"/>
      <c r="DP140" s="420"/>
      <c r="DQ140" s="420"/>
      <c r="DR140" s="420"/>
      <c r="DS140" s="420"/>
      <c r="DT140" s="420"/>
      <c r="DU140" s="420"/>
      <c r="DV140" s="420"/>
      <c r="DW140" s="420"/>
      <c r="DX140" s="420"/>
      <c r="DY140" s="420"/>
      <c r="DZ140" s="420"/>
      <c r="EA140" s="420"/>
      <c r="EB140" s="420"/>
      <c r="EC140" s="420"/>
      <c r="ED140" s="420"/>
      <c r="EE140" s="420"/>
      <c r="EF140" s="420"/>
      <c r="EG140" s="420"/>
      <c r="EH140" s="420"/>
      <c r="EI140" s="420"/>
      <c r="EJ140" s="420"/>
      <c r="EK140" s="420"/>
      <c r="EL140" s="420"/>
      <c r="EM140" s="420"/>
      <c r="EN140" s="420"/>
      <c r="EO140" s="420"/>
      <c r="EP140" s="420"/>
      <c r="EQ140" s="420"/>
      <c r="ER140" s="420"/>
      <c r="ES140" s="420"/>
      <c r="ET140" s="420"/>
      <c r="EU140" s="420"/>
      <c r="EV140" s="420"/>
      <c r="EW140" s="420"/>
      <c r="EX140" s="420"/>
      <c r="EY140" s="420"/>
      <c r="EZ140" s="420"/>
      <c r="FA140" s="420"/>
      <c r="FB140" s="420"/>
      <c r="FC140" s="420"/>
      <c r="FD140" s="420"/>
      <c r="FE140" s="420"/>
      <c r="FF140" s="420"/>
      <c r="FG140" s="420"/>
      <c r="FH140" s="420"/>
      <c r="FI140" s="420"/>
      <c r="FJ140" s="420"/>
      <c r="FK140" s="420"/>
      <c r="FL140" s="420"/>
      <c r="FM140" s="420"/>
      <c r="FN140" s="420"/>
      <c r="FO140" s="420"/>
      <c r="FP140" s="420"/>
      <c r="FQ140" s="420"/>
      <c r="FR140" s="420"/>
      <c r="FS140" s="420"/>
      <c r="FT140" s="420"/>
      <c r="FU140" s="420"/>
      <c r="FV140" s="420"/>
      <c r="FW140" s="420"/>
      <c r="FX140" s="420"/>
      <c r="FY140" s="420"/>
      <c r="FZ140" s="420"/>
      <c r="GA140" s="420"/>
      <c r="GB140" s="420"/>
      <c r="GC140" s="420"/>
      <c r="GD140" s="420"/>
      <c r="GE140" s="420"/>
      <c r="GF140" s="420"/>
      <c r="GG140" s="420"/>
      <c r="GH140" s="420"/>
      <c r="GI140" s="420"/>
      <c r="GJ140" s="420"/>
      <c r="GK140" s="420"/>
      <c r="GL140" s="420"/>
      <c r="GM140" s="420"/>
      <c r="GN140" s="420"/>
      <c r="GO140" s="420"/>
      <c r="GP140" s="420"/>
      <c r="GQ140" s="420"/>
      <c r="GR140" s="420"/>
      <c r="GS140" s="420"/>
      <c r="GT140" s="420"/>
      <c r="GU140" s="420"/>
      <c r="GV140" s="420"/>
      <c r="GW140" s="420"/>
      <c r="GX140" s="420"/>
      <c r="GY140" s="420"/>
      <c r="GZ140" s="420"/>
      <c r="HA140" s="420"/>
      <c r="HB140" s="420"/>
      <c r="HC140" s="420"/>
      <c r="HD140" s="420"/>
      <c r="HE140" s="420"/>
      <c r="HF140" s="420"/>
      <c r="HG140" s="420"/>
      <c r="HH140" s="420"/>
      <c r="HI140" s="420"/>
      <c r="HJ140" s="420"/>
      <c r="HK140" s="420"/>
      <c r="HL140" s="420"/>
      <c r="HM140" s="420"/>
      <c r="HN140" s="420"/>
      <c r="HO140" s="420"/>
      <c r="HP140" s="420"/>
      <c r="HQ140" s="420"/>
      <c r="HR140" s="420"/>
      <c r="HS140" s="420"/>
      <c r="HT140" s="420"/>
      <c r="HU140" s="420"/>
      <c r="HV140" s="420"/>
      <c r="HW140" s="420"/>
      <c r="HX140" s="420"/>
      <c r="HY140" s="420"/>
      <c r="HZ140" s="420"/>
      <c r="IA140" s="420"/>
      <c r="IB140" s="420"/>
      <c r="IC140" s="420"/>
      <c r="ID140" s="420"/>
      <c r="IE140" s="420"/>
      <c r="IF140" s="420"/>
      <c r="IG140" s="420"/>
      <c r="IH140" s="420"/>
      <c r="II140" s="420"/>
      <c r="IJ140" s="420"/>
      <c r="IK140" s="420"/>
      <c r="IL140" s="420"/>
      <c r="IM140" s="420"/>
      <c r="IN140" s="420"/>
      <c r="IO140" s="420"/>
      <c r="IP140" s="420"/>
      <c r="IQ140" s="420"/>
      <c r="IR140" s="420"/>
      <c r="IS140" s="420"/>
      <c r="IT140" s="420"/>
    </row>
    <row r="141" spans="4:254" ht="15" customHeight="1">
      <c r="D141" s="416"/>
      <c r="E141" s="424" t="s">
        <v>1532</v>
      </c>
      <c r="F141" s="424"/>
      <c r="G141" s="440" t="s">
        <v>1942</v>
      </c>
      <c r="H141" s="417"/>
      <c r="I141" s="417"/>
      <c r="J141" s="417"/>
      <c r="K141" s="421"/>
      <c r="L141" s="421"/>
      <c r="M141" s="417"/>
      <c r="N141" s="417"/>
      <c r="O141" s="12"/>
      <c r="T141" s="415"/>
      <c r="U141" s="415"/>
      <c r="V141" s="415"/>
      <c r="W141" s="415"/>
      <c r="X141" s="415"/>
      <c r="AB141" s="418"/>
      <c r="AC141" s="418"/>
      <c r="AD141" s="418"/>
      <c r="AE141" s="419"/>
      <c r="AF141" s="419"/>
      <c r="AG141" s="419"/>
      <c r="AH141" s="419"/>
      <c r="AI141" s="419"/>
      <c r="AJ141" s="419"/>
      <c r="AK141" s="419"/>
      <c r="AL141" s="419"/>
      <c r="AM141" s="419"/>
      <c r="AN141" s="419"/>
      <c r="AO141" s="419"/>
      <c r="AP141" s="419"/>
      <c r="AQ141" s="419"/>
      <c r="AR141" s="419"/>
      <c r="AS141" s="419"/>
      <c r="AT141" s="419"/>
      <c r="AU141" s="419"/>
      <c r="AV141" s="419"/>
      <c r="AW141" s="419"/>
      <c r="AX141" s="419"/>
      <c r="AY141" s="419"/>
      <c r="AZ141" s="419"/>
      <c r="BA141" s="419"/>
      <c r="BB141" s="419"/>
      <c r="BC141" s="419"/>
      <c r="BD141" s="419"/>
      <c r="BE141" s="419"/>
      <c r="BF141" s="419"/>
      <c r="BG141" s="419"/>
      <c r="BH141" s="419"/>
      <c r="BI141" s="419"/>
      <c r="BJ141" s="419"/>
      <c r="BK141" s="419"/>
      <c r="BL141" s="419"/>
      <c r="BM141" s="419"/>
      <c r="BN141" s="419"/>
      <c r="BO141" s="419"/>
      <c r="BP141" s="420"/>
      <c r="BQ141" s="420"/>
      <c r="BR141" s="420"/>
      <c r="BS141" s="420"/>
      <c r="BT141" s="420"/>
      <c r="BU141" s="420"/>
      <c r="BV141" s="420"/>
      <c r="BW141" s="420"/>
      <c r="BX141" s="420"/>
      <c r="BY141" s="420"/>
      <c r="BZ141" s="420"/>
      <c r="CA141" s="420"/>
      <c r="CB141" s="420"/>
      <c r="CC141" s="420"/>
      <c r="CD141" s="420"/>
      <c r="CE141" s="420"/>
      <c r="CF141" s="420"/>
      <c r="CG141" s="420"/>
      <c r="CH141" s="420"/>
      <c r="CI141" s="420"/>
      <c r="CJ141" s="420"/>
      <c r="CK141" s="420"/>
      <c r="CL141" s="420"/>
      <c r="CM141" s="420"/>
      <c r="CN141" s="420"/>
      <c r="CO141" s="420"/>
      <c r="CP141" s="420"/>
      <c r="CQ141" s="420"/>
      <c r="CR141" s="420"/>
      <c r="CS141" s="420"/>
      <c r="CT141" s="420"/>
      <c r="CU141" s="420"/>
      <c r="CV141" s="420"/>
      <c r="CW141" s="420"/>
      <c r="CX141" s="420"/>
      <c r="CY141" s="420"/>
      <c r="CZ141" s="420"/>
      <c r="DA141" s="420"/>
      <c r="DB141" s="420"/>
      <c r="DC141" s="420"/>
      <c r="DD141" s="420"/>
      <c r="DE141" s="420"/>
      <c r="DF141" s="420"/>
      <c r="DG141" s="420"/>
      <c r="DH141" s="420"/>
      <c r="DI141" s="420"/>
      <c r="DJ141" s="420"/>
      <c r="DK141" s="420"/>
      <c r="DL141" s="420"/>
      <c r="DM141" s="420"/>
      <c r="DN141" s="420"/>
      <c r="DO141" s="420"/>
      <c r="DP141" s="420"/>
      <c r="DQ141" s="420"/>
      <c r="DR141" s="420"/>
      <c r="DS141" s="420"/>
      <c r="DT141" s="420"/>
      <c r="DU141" s="420"/>
      <c r="DV141" s="420"/>
      <c r="DW141" s="420"/>
      <c r="DX141" s="420"/>
      <c r="DY141" s="420"/>
      <c r="DZ141" s="420"/>
      <c r="EA141" s="420"/>
      <c r="EB141" s="420"/>
      <c r="EC141" s="420"/>
      <c r="ED141" s="420"/>
      <c r="EE141" s="420"/>
      <c r="EF141" s="420"/>
      <c r="EG141" s="420"/>
      <c r="EH141" s="420"/>
      <c r="EI141" s="420"/>
      <c r="EJ141" s="420"/>
      <c r="EK141" s="420"/>
      <c r="EL141" s="420"/>
      <c r="EM141" s="420"/>
      <c r="EN141" s="420"/>
      <c r="EO141" s="420"/>
      <c r="EP141" s="420"/>
      <c r="EQ141" s="420"/>
      <c r="ER141" s="420"/>
      <c r="ES141" s="420"/>
      <c r="ET141" s="420"/>
      <c r="EU141" s="420"/>
      <c r="EV141" s="420"/>
      <c r="EW141" s="420"/>
      <c r="EX141" s="420"/>
      <c r="EY141" s="420"/>
      <c r="EZ141" s="420"/>
      <c r="FA141" s="420"/>
      <c r="FB141" s="420"/>
      <c r="FC141" s="420"/>
      <c r="FD141" s="420"/>
      <c r="FE141" s="420"/>
      <c r="FF141" s="420"/>
      <c r="FG141" s="420"/>
      <c r="FH141" s="420"/>
      <c r="FI141" s="420"/>
      <c r="FJ141" s="420"/>
      <c r="FK141" s="420"/>
      <c r="FL141" s="420"/>
      <c r="FM141" s="420"/>
      <c r="FN141" s="420"/>
      <c r="FO141" s="420"/>
      <c r="FP141" s="420"/>
      <c r="FQ141" s="420"/>
      <c r="FR141" s="420"/>
      <c r="FS141" s="420"/>
      <c r="FT141" s="420"/>
      <c r="FU141" s="420"/>
      <c r="FV141" s="420"/>
      <c r="FW141" s="420"/>
      <c r="FX141" s="420"/>
      <c r="FY141" s="420"/>
      <c r="FZ141" s="420"/>
      <c r="GA141" s="420"/>
      <c r="GB141" s="420"/>
      <c r="GC141" s="420"/>
      <c r="GD141" s="420"/>
      <c r="GE141" s="420"/>
      <c r="GF141" s="420"/>
      <c r="GG141" s="420"/>
      <c r="GH141" s="420"/>
      <c r="GI141" s="420"/>
      <c r="GJ141" s="420"/>
      <c r="GK141" s="420"/>
      <c r="GL141" s="420"/>
      <c r="GM141" s="420"/>
      <c r="GN141" s="420"/>
      <c r="GO141" s="420"/>
      <c r="GP141" s="420"/>
      <c r="GQ141" s="420"/>
      <c r="GR141" s="420"/>
      <c r="GS141" s="420"/>
      <c r="GT141" s="420"/>
      <c r="GU141" s="420"/>
      <c r="GV141" s="420"/>
      <c r="GW141" s="420"/>
      <c r="GX141" s="420"/>
      <c r="GY141" s="420"/>
      <c r="GZ141" s="420"/>
      <c r="HA141" s="420"/>
      <c r="HB141" s="420"/>
      <c r="HC141" s="420"/>
      <c r="HD141" s="420"/>
      <c r="HE141" s="420"/>
      <c r="HF141" s="420"/>
      <c r="HG141" s="420"/>
      <c r="HH141" s="420"/>
      <c r="HI141" s="420"/>
      <c r="HJ141" s="420"/>
      <c r="HK141" s="420"/>
      <c r="HL141" s="420"/>
      <c r="HM141" s="420"/>
      <c r="HN141" s="420"/>
      <c r="HO141" s="420"/>
      <c r="HP141" s="420"/>
      <c r="HQ141" s="420"/>
      <c r="HR141" s="420"/>
      <c r="HS141" s="420"/>
      <c r="HT141" s="420"/>
      <c r="HU141" s="420"/>
      <c r="HV141" s="420"/>
      <c r="HW141" s="420"/>
      <c r="HX141" s="420"/>
      <c r="HY141" s="420"/>
      <c r="HZ141" s="420"/>
      <c r="IA141" s="420"/>
      <c r="IB141" s="420"/>
      <c r="IC141" s="420"/>
      <c r="ID141" s="420"/>
      <c r="IE141" s="420"/>
      <c r="IF141" s="420"/>
      <c r="IG141" s="420"/>
      <c r="IH141" s="420"/>
      <c r="II141" s="420"/>
      <c r="IJ141" s="420"/>
      <c r="IK141" s="420"/>
      <c r="IL141" s="420"/>
      <c r="IM141" s="420"/>
      <c r="IN141" s="420"/>
      <c r="IO141" s="420"/>
      <c r="IP141" s="420"/>
      <c r="IQ141" s="420"/>
      <c r="IR141" s="420"/>
      <c r="IS141" s="420"/>
      <c r="IT141" s="420"/>
    </row>
    <row r="142" spans="4:254" ht="15" customHeight="1">
      <c r="D142" s="416"/>
      <c r="E142" s="426" t="s">
        <v>1534</v>
      </c>
      <c r="F142" s="427"/>
      <c r="G142" s="2914">
        <f>DGEN_FE!G259</f>
        <v>41.666666666666671</v>
      </c>
      <c r="H142" s="417"/>
      <c r="I142" s="417"/>
      <c r="J142" s="417"/>
      <c r="K142" s="421"/>
      <c r="L142" s="421"/>
      <c r="M142" s="417"/>
      <c r="N142" s="417"/>
      <c r="O142" s="12"/>
      <c r="T142" s="415"/>
      <c r="U142" s="415"/>
      <c r="V142" s="415"/>
      <c r="W142" s="415"/>
      <c r="X142" s="415"/>
      <c r="AB142" s="418"/>
      <c r="AC142" s="418"/>
      <c r="AD142" s="418"/>
      <c r="AE142" s="419"/>
      <c r="AF142" s="419"/>
      <c r="AG142" s="419"/>
      <c r="AH142" s="419"/>
      <c r="AI142" s="419"/>
      <c r="AJ142" s="419"/>
      <c r="AK142" s="419"/>
      <c r="AL142" s="419"/>
      <c r="AM142" s="419"/>
      <c r="AN142" s="419"/>
      <c r="AO142" s="419"/>
      <c r="AP142" s="419"/>
      <c r="AQ142" s="419"/>
      <c r="AR142" s="419"/>
      <c r="AS142" s="419"/>
      <c r="AT142" s="419"/>
      <c r="AU142" s="419"/>
      <c r="AV142" s="419"/>
      <c r="AW142" s="419"/>
      <c r="AX142" s="419"/>
      <c r="AY142" s="419"/>
      <c r="AZ142" s="419"/>
      <c r="BA142" s="419"/>
      <c r="BB142" s="419"/>
      <c r="BC142" s="419"/>
      <c r="BD142" s="419"/>
      <c r="BE142" s="419"/>
      <c r="BF142" s="419"/>
      <c r="BG142" s="419"/>
      <c r="BH142" s="419"/>
      <c r="BI142" s="419"/>
      <c r="BJ142" s="419"/>
      <c r="BK142" s="419"/>
      <c r="BL142" s="419"/>
      <c r="BM142" s="419"/>
      <c r="BN142" s="419"/>
      <c r="BO142" s="419"/>
      <c r="BP142" s="420"/>
      <c r="BQ142" s="420"/>
      <c r="BR142" s="420"/>
      <c r="BS142" s="420"/>
      <c r="BT142" s="420"/>
      <c r="BU142" s="420"/>
      <c r="BV142" s="420"/>
      <c r="BW142" s="420"/>
      <c r="BX142" s="420"/>
      <c r="BY142" s="420"/>
      <c r="BZ142" s="420"/>
      <c r="CA142" s="420"/>
      <c r="CB142" s="420"/>
      <c r="CC142" s="420"/>
      <c r="CD142" s="420"/>
      <c r="CE142" s="420"/>
      <c r="CF142" s="420"/>
      <c r="CG142" s="420"/>
      <c r="CH142" s="420"/>
      <c r="CI142" s="420"/>
      <c r="CJ142" s="420"/>
      <c r="CK142" s="420"/>
      <c r="CL142" s="420"/>
      <c r="CM142" s="420"/>
      <c r="CN142" s="420"/>
      <c r="CO142" s="420"/>
      <c r="CP142" s="420"/>
      <c r="CQ142" s="420"/>
      <c r="CR142" s="420"/>
      <c r="CS142" s="420"/>
      <c r="CT142" s="420"/>
      <c r="CU142" s="420"/>
      <c r="CV142" s="420"/>
      <c r="CW142" s="420"/>
      <c r="CX142" s="420"/>
      <c r="CY142" s="420"/>
      <c r="CZ142" s="420"/>
      <c r="DA142" s="420"/>
      <c r="DB142" s="420"/>
      <c r="DC142" s="420"/>
      <c r="DD142" s="420"/>
      <c r="DE142" s="420"/>
      <c r="DF142" s="420"/>
      <c r="DG142" s="420"/>
      <c r="DH142" s="420"/>
      <c r="DI142" s="420"/>
      <c r="DJ142" s="420"/>
      <c r="DK142" s="420"/>
      <c r="DL142" s="420"/>
      <c r="DM142" s="420"/>
      <c r="DN142" s="420"/>
      <c r="DO142" s="420"/>
      <c r="DP142" s="420"/>
      <c r="DQ142" s="420"/>
      <c r="DR142" s="420"/>
      <c r="DS142" s="420"/>
      <c r="DT142" s="420"/>
      <c r="DU142" s="420"/>
      <c r="DV142" s="420"/>
      <c r="DW142" s="420"/>
      <c r="DX142" s="420"/>
      <c r="DY142" s="420"/>
      <c r="DZ142" s="420"/>
      <c r="EA142" s="420"/>
      <c r="EB142" s="420"/>
      <c r="EC142" s="420"/>
      <c r="ED142" s="420"/>
      <c r="EE142" s="420"/>
      <c r="EF142" s="420"/>
      <c r="EG142" s="420"/>
      <c r="EH142" s="420"/>
      <c r="EI142" s="420"/>
      <c r="EJ142" s="420"/>
      <c r="EK142" s="420"/>
      <c r="EL142" s="420"/>
      <c r="EM142" s="420"/>
      <c r="EN142" s="420"/>
      <c r="EO142" s="420"/>
      <c r="EP142" s="420"/>
      <c r="EQ142" s="420"/>
      <c r="ER142" s="420"/>
      <c r="ES142" s="420"/>
      <c r="ET142" s="420"/>
      <c r="EU142" s="420"/>
      <c r="EV142" s="420"/>
      <c r="EW142" s="420"/>
      <c r="EX142" s="420"/>
      <c r="EY142" s="420"/>
      <c r="EZ142" s="420"/>
      <c r="FA142" s="420"/>
      <c r="FB142" s="420"/>
      <c r="FC142" s="420"/>
      <c r="FD142" s="420"/>
      <c r="FE142" s="420"/>
      <c r="FF142" s="420"/>
      <c r="FG142" s="420"/>
      <c r="FH142" s="420"/>
      <c r="FI142" s="420"/>
      <c r="FJ142" s="420"/>
      <c r="FK142" s="420"/>
      <c r="FL142" s="420"/>
      <c r="FM142" s="420"/>
      <c r="FN142" s="420"/>
      <c r="FO142" s="420"/>
      <c r="FP142" s="420"/>
      <c r="FQ142" s="420"/>
      <c r="FR142" s="420"/>
      <c r="FS142" s="420"/>
      <c r="FT142" s="420"/>
      <c r="FU142" s="420"/>
      <c r="FV142" s="420"/>
      <c r="FW142" s="420"/>
      <c r="FX142" s="420"/>
      <c r="FY142" s="420"/>
      <c r="FZ142" s="420"/>
      <c r="GA142" s="420"/>
      <c r="GB142" s="420"/>
      <c r="GC142" s="420"/>
      <c r="GD142" s="420"/>
      <c r="GE142" s="420"/>
      <c r="GF142" s="420"/>
      <c r="GG142" s="420"/>
      <c r="GH142" s="420"/>
      <c r="GI142" s="420"/>
      <c r="GJ142" s="420"/>
      <c r="GK142" s="420"/>
      <c r="GL142" s="420"/>
      <c r="GM142" s="420"/>
      <c r="GN142" s="420"/>
      <c r="GO142" s="420"/>
      <c r="GP142" s="420"/>
      <c r="GQ142" s="420"/>
      <c r="GR142" s="420"/>
      <c r="GS142" s="420"/>
      <c r="GT142" s="420"/>
      <c r="GU142" s="420"/>
      <c r="GV142" s="420"/>
      <c r="GW142" s="420"/>
      <c r="GX142" s="420"/>
      <c r="GY142" s="420"/>
      <c r="GZ142" s="420"/>
      <c r="HA142" s="420"/>
      <c r="HB142" s="420"/>
      <c r="HC142" s="420"/>
      <c r="HD142" s="420"/>
      <c r="HE142" s="420"/>
      <c r="HF142" s="420"/>
      <c r="HG142" s="420"/>
      <c r="HH142" s="420"/>
      <c r="HI142" s="420"/>
      <c r="HJ142" s="420"/>
      <c r="HK142" s="420"/>
      <c r="HL142" s="420"/>
      <c r="HM142" s="420"/>
      <c r="HN142" s="420"/>
      <c r="HO142" s="420"/>
      <c r="HP142" s="420"/>
      <c r="HQ142" s="420"/>
      <c r="HR142" s="420"/>
      <c r="HS142" s="420"/>
      <c r="HT142" s="420"/>
      <c r="HU142" s="420"/>
      <c r="HV142" s="420"/>
      <c r="HW142" s="420"/>
      <c r="HX142" s="420"/>
      <c r="HY142" s="420"/>
      <c r="HZ142" s="420"/>
      <c r="IA142" s="420"/>
      <c r="IB142" s="420"/>
      <c r="IC142" s="420"/>
      <c r="ID142" s="420"/>
      <c r="IE142" s="420"/>
      <c r="IF142" s="420"/>
      <c r="IG142" s="420"/>
      <c r="IH142" s="420"/>
      <c r="II142" s="420"/>
      <c r="IJ142" s="420"/>
      <c r="IK142" s="420"/>
      <c r="IL142" s="420"/>
      <c r="IM142" s="420"/>
      <c r="IN142" s="420"/>
      <c r="IO142" s="420"/>
      <c r="IP142" s="420"/>
      <c r="IQ142" s="420"/>
      <c r="IR142" s="420"/>
      <c r="IS142" s="420"/>
      <c r="IT142" s="420"/>
    </row>
    <row r="143" spans="4:254" ht="15" customHeight="1">
      <c r="D143" s="416"/>
      <c r="E143" s="428" t="s">
        <v>1535</v>
      </c>
      <c r="F143" s="429"/>
      <c r="G143" s="2914">
        <f>DGEN_FE!G260</f>
        <v>111.11166666666668</v>
      </c>
      <c r="H143" s="417"/>
      <c r="I143" s="417"/>
      <c r="J143" s="417"/>
      <c r="K143" s="421"/>
      <c r="L143" s="421"/>
      <c r="M143" s="417"/>
      <c r="N143" s="417"/>
      <c r="O143" s="12"/>
      <c r="T143" s="415"/>
      <c r="U143" s="415"/>
      <c r="V143" s="415"/>
      <c r="W143" s="415"/>
      <c r="X143" s="415"/>
      <c r="AB143" s="418"/>
      <c r="AC143" s="418"/>
      <c r="AD143" s="419"/>
      <c r="AE143" s="419"/>
      <c r="AF143" s="419" t="s">
        <v>1939</v>
      </c>
      <c r="AG143" s="419">
        <v>11210394</v>
      </c>
      <c r="AH143" s="419" t="e">
        <v>#REF!</v>
      </c>
      <c r="AI143" s="419"/>
      <c r="AJ143" s="419"/>
      <c r="AK143" s="419"/>
      <c r="AL143" s="419"/>
      <c r="AM143" s="419"/>
      <c r="AN143" s="419"/>
      <c r="AO143" s="419"/>
      <c r="AP143" s="419"/>
      <c r="AQ143" s="419"/>
      <c r="AR143" s="419"/>
      <c r="AS143" s="419"/>
      <c r="AT143" s="419"/>
      <c r="AU143" s="419"/>
      <c r="AV143" s="419"/>
      <c r="AW143" s="419"/>
      <c r="AX143" s="419"/>
      <c r="AY143" s="419"/>
      <c r="AZ143" s="419"/>
      <c r="BA143" s="419"/>
      <c r="BB143" s="419"/>
      <c r="BC143" s="419"/>
      <c r="BD143" s="419"/>
      <c r="BE143" s="419"/>
      <c r="BF143" s="419"/>
      <c r="BG143" s="419"/>
      <c r="BH143" s="419"/>
      <c r="BI143" s="419"/>
      <c r="BJ143" s="419"/>
      <c r="BK143" s="419"/>
      <c r="BL143" s="419"/>
      <c r="BM143" s="419"/>
      <c r="BN143" s="419"/>
      <c r="BO143" s="420"/>
      <c r="BP143" s="420"/>
      <c r="BQ143" s="420"/>
      <c r="BR143" s="420"/>
      <c r="BS143" s="420"/>
      <c r="BT143" s="420"/>
      <c r="BU143" s="420"/>
      <c r="BV143" s="420"/>
      <c r="BW143" s="420"/>
      <c r="BX143" s="420"/>
      <c r="BY143" s="420"/>
      <c r="BZ143" s="420"/>
      <c r="CA143" s="420"/>
      <c r="CB143" s="420"/>
      <c r="CC143" s="420"/>
      <c r="CD143" s="420"/>
      <c r="CE143" s="420"/>
      <c r="CF143" s="420"/>
      <c r="CG143" s="420"/>
      <c r="CH143" s="420"/>
      <c r="CI143" s="420"/>
      <c r="CJ143" s="420"/>
      <c r="CK143" s="420"/>
      <c r="CL143" s="420"/>
      <c r="CM143" s="420"/>
      <c r="CN143" s="420"/>
      <c r="CO143" s="420"/>
      <c r="CP143" s="420"/>
      <c r="CQ143" s="420"/>
      <c r="CR143" s="420"/>
      <c r="CS143" s="420"/>
      <c r="CT143" s="420"/>
      <c r="CU143" s="420"/>
      <c r="CV143" s="420"/>
      <c r="CW143" s="420"/>
      <c r="CX143" s="420"/>
      <c r="CY143" s="420"/>
      <c r="CZ143" s="420"/>
      <c r="DA143" s="420"/>
      <c r="DB143" s="420"/>
      <c r="DC143" s="420"/>
      <c r="DD143" s="420"/>
      <c r="DE143" s="420"/>
      <c r="DF143" s="420"/>
      <c r="DG143" s="420"/>
      <c r="DH143" s="420"/>
      <c r="DI143" s="420"/>
      <c r="DJ143" s="420"/>
      <c r="DK143" s="420"/>
      <c r="DL143" s="420"/>
      <c r="DM143" s="420"/>
      <c r="DN143" s="420"/>
      <c r="DO143" s="420"/>
      <c r="DP143" s="420"/>
      <c r="DQ143" s="420"/>
      <c r="DR143" s="420"/>
      <c r="DS143" s="420"/>
      <c r="DT143" s="420"/>
      <c r="DU143" s="420"/>
      <c r="DV143" s="420"/>
      <c r="DW143" s="420"/>
      <c r="DX143" s="420"/>
      <c r="DY143" s="420"/>
      <c r="DZ143" s="420"/>
      <c r="EA143" s="420"/>
      <c r="EB143" s="420"/>
      <c r="EC143" s="420"/>
      <c r="ED143" s="420"/>
      <c r="EE143" s="420"/>
      <c r="EF143" s="420"/>
      <c r="EG143" s="420"/>
      <c r="EH143" s="420"/>
      <c r="EI143" s="420"/>
      <c r="EJ143" s="420"/>
      <c r="EK143" s="420"/>
      <c r="EL143" s="420"/>
      <c r="EM143" s="420"/>
      <c r="EN143" s="420"/>
      <c r="EO143" s="420"/>
      <c r="EP143" s="420"/>
      <c r="EQ143" s="420"/>
      <c r="ER143" s="420"/>
      <c r="ES143" s="420"/>
      <c r="ET143" s="420"/>
      <c r="EU143" s="420"/>
      <c r="EV143" s="420"/>
      <c r="EW143" s="420"/>
      <c r="EX143" s="420"/>
      <c r="EY143" s="420"/>
      <c r="EZ143" s="420"/>
      <c r="FA143" s="420"/>
      <c r="FB143" s="420"/>
      <c r="FC143" s="420"/>
      <c r="FD143" s="420"/>
      <c r="FE143" s="420"/>
      <c r="FF143" s="420"/>
      <c r="FG143" s="420"/>
      <c r="FH143" s="420"/>
      <c r="FI143" s="420"/>
      <c r="FJ143" s="420"/>
      <c r="FK143" s="420"/>
      <c r="FL143" s="420"/>
      <c r="FM143" s="420"/>
      <c r="FN143" s="420"/>
      <c r="FO143" s="420"/>
      <c r="FP143" s="420"/>
      <c r="FQ143" s="420"/>
      <c r="FR143" s="420"/>
      <c r="FS143" s="420"/>
      <c r="FT143" s="420"/>
      <c r="FU143" s="420"/>
      <c r="FV143" s="420"/>
      <c r="FW143" s="420"/>
      <c r="FX143" s="420"/>
      <c r="FY143" s="420"/>
      <c r="FZ143" s="420"/>
      <c r="GA143" s="420"/>
      <c r="GB143" s="420"/>
      <c r="GC143" s="420"/>
      <c r="GD143" s="420"/>
      <c r="GE143" s="420"/>
      <c r="GF143" s="420"/>
      <c r="GG143" s="420"/>
      <c r="GH143" s="420"/>
      <c r="GI143" s="420"/>
      <c r="GJ143" s="420"/>
      <c r="GK143" s="420"/>
      <c r="GL143" s="420"/>
      <c r="GM143" s="420"/>
      <c r="GN143" s="420"/>
      <c r="GO143" s="420"/>
      <c r="GP143" s="420"/>
      <c r="GQ143" s="420"/>
      <c r="GR143" s="420"/>
      <c r="GS143" s="420"/>
      <c r="GT143" s="420"/>
      <c r="GU143" s="420"/>
      <c r="GV143" s="420"/>
      <c r="GW143" s="420"/>
      <c r="GX143" s="420"/>
      <c r="GY143" s="420"/>
      <c r="GZ143" s="420"/>
      <c r="HA143" s="420"/>
      <c r="HB143" s="420"/>
      <c r="HC143" s="420"/>
      <c r="HD143" s="420"/>
      <c r="HE143" s="420"/>
      <c r="HF143" s="420"/>
      <c r="HG143" s="420"/>
      <c r="HH143" s="420"/>
      <c r="HI143" s="420"/>
      <c r="HJ143" s="420"/>
      <c r="HK143" s="420"/>
      <c r="HL143" s="420"/>
      <c r="HM143" s="420"/>
      <c r="HN143" s="420"/>
      <c r="HO143" s="420"/>
      <c r="HP143" s="420"/>
      <c r="HQ143" s="420"/>
      <c r="HR143" s="420"/>
      <c r="HS143" s="420"/>
      <c r="HT143" s="420"/>
      <c r="HU143" s="420"/>
      <c r="HV143" s="420"/>
      <c r="HW143" s="420"/>
      <c r="HX143" s="420"/>
      <c r="HY143" s="420"/>
      <c r="HZ143" s="420"/>
      <c r="IA143" s="420"/>
      <c r="IB143" s="420"/>
      <c r="IC143" s="420"/>
      <c r="ID143" s="420"/>
      <c r="IE143" s="420"/>
      <c r="IF143" s="420"/>
      <c r="IG143" s="420"/>
      <c r="IH143" s="420"/>
      <c r="II143" s="420"/>
      <c r="IJ143" s="420"/>
      <c r="IK143" s="420"/>
      <c r="IL143" s="420"/>
      <c r="IM143" s="420"/>
      <c r="IN143" s="420"/>
      <c r="IO143" s="420"/>
      <c r="IP143" s="420"/>
      <c r="IQ143" s="420"/>
      <c r="IR143" s="420"/>
      <c r="IS143" s="420"/>
    </row>
    <row r="144" spans="4:254" ht="15" customHeight="1">
      <c r="D144" s="416"/>
      <c r="E144" s="428" t="s">
        <v>1536</v>
      </c>
      <c r="F144" s="429"/>
      <c r="G144" s="2914">
        <f>DGEN_FE!G261</f>
        <v>119.44416666666667</v>
      </c>
      <c r="H144" s="417"/>
      <c r="I144" s="417"/>
      <c r="J144" s="417"/>
      <c r="K144" s="421"/>
      <c r="L144" s="421"/>
      <c r="M144" s="417"/>
      <c r="N144" s="417"/>
      <c r="O144" s="12"/>
      <c r="T144" s="415"/>
      <c r="U144" s="415"/>
      <c r="V144" s="415"/>
      <c r="W144" s="415"/>
      <c r="X144" s="415"/>
      <c r="AB144" s="418"/>
      <c r="AC144" s="418"/>
      <c r="AD144" s="419"/>
      <c r="AE144" s="419"/>
      <c r="AF144" s="419" t="s">
        <v>1939</v>
      </c>
      <c r="AG144" s="419">
        <v>11210395</v>
      </c>
      <c r="AH144" s="419" t="e">
        <v>#REF!</v>
      </c>
      <c r="AI144" s="419"/>
      <c r="AJ144" s="419"/>
      <c r="AK144" s="419"/>
      <c r="AL144" s="419"/>
      <c r="AM144" s="419"/>
      <c r="AN144" s="419"/>
      <c r="AO144" s="419"/>
      <c r="AP144" s="419"/>
      <c r="AQ144" s="419"/>
      <c r="AR144" s="419"/>
      <c r="AS144" s="419"/>
      <c r="AT144" s="419"/>
      <c r="AU144" s="419"/>
      <c r="AV144" s="419"/>
      <c r="AW144" s="419"/>
      <c r="AX144" s="419"/>
      <c r="AY144" s="419"/>
      <c r="AZ144" s="419"/>
      <c r="BA144" s="419"/>
      <c r="BB144" s="419"/>
      <c r="BC144" s="419"/>
      <c r="BD144" s="419"/>
      <c r="BE144" s="419"/>
      <c r="BF144" s="419"/>
      <c r="BG144" s="419"/>
      <c r="BH144" s="419"/>
      <c r="BI144" s="419"/>
      <c r="BJ144" s="419"/>
      <c r="BK144" s="419"/>
      <c r="BL144" s="419"/>
      <c r="BM144" s="419"/>
      <c r="BN144" s="419"/>
      <c r="BO144" s="420"/>
      <c r="BP144" s="420"/>
      <c r="BQ144" s="420"/>
      <c r="BR144" s="420"/>
      <c r="BS144" s="420"/>
      <c r="BT144" s="420"/>
      <c r="BU144" s="420"/>
      <c r="BV144" s="420"/>
      <c r="BW144" s="420"/>
      <c r="BX144" s="420"/>
      <c r="BY144" s="420"/>
      <c r="BZ144" s="420"/>
      <c r="CA144" s="420"/>
      <c r="CB144" s="420"/>
      <c r="CC144" s="420"/>
      <c r="CD144" s="420"/>
      <c r="CE144" s="420"/>
      <c r="CF144" s="420"/>
      <c r="CG144" s="420"/>
      <c r="CH144" s="420"/>
      <c r="CI144" s="420"/>
      <c r="CJ144" s="420"/>
      <c r="CK144" s="420"/>
      <c r="CL144" s="420"/>
      <c r="CM144" s="420"/>
      <c r="CN144" s="420"/>
      <c r="CO144" s="420"/>
      <c r="CP144" s="420"/>
      <c r="CQ144" s="420"/>
      <c r="CR144" s="420"/>
      <c r="CS144" s="420"/>
      <c r="CT144" s="420"/>
      <c r="CU144" s="420"/>
      <c r="CV144" s="420"/>
      <c r="CW144" s="420"/>
      <c r="CX144" s="420"/>
      <c r="CY144" s="420"/>
      <c r="CZ144" s="420"/>
      <c r="DA144" s="420"/>
      <c r="DB144" s="420"/>
      <c r="DC144" s="420"/>
      <c r="DD144" s="420"/>
      <c r="DE144" s="420"/>
      <c r="DF144" s="420"/>
      <c r="DG144" s="420"/>
      <c r="DH144" s="420"/>
      <c r="DI144" s="420"/>
      <c r="DJ144" s="420"/>
      <c r="DK144" s="420"/>
      <c r="DL144" s="420"/>
      <c r="DM144" s="420"/>
      <c r="DN144" s="420"/>
      <c r="DO144" s="420"/>
      <c r="DP144" s="420"/>
      <c r="DQ144" s="420"/>
      <c r="DR144" s="420"/>
      <c r="DS144" s="420"/>
      <c r="DT144" s="420"/>
      <c r="DU144" s="420"/>
      <c r="DV144" s="420"/>
      <c r="DW144" s="420"/>
      <c r="DX144" s="420"/>
      <c r="DY144" s="420"/>
      <c r="DZ144" s="420"/>
      <c r="EA144" s="420"/>
      <c r="EB144" s="420"/>
      <c r="EC144" s="420"/>
      <c r="ED144" s="420"/>
      <c r="EE144" s="420"/>
      <c r="EF144" s="420"/>
      <c r="EG144" s="420"/>
      <c r="EH144" s="420"/>
      <c r="EI144" s="420"/>
      <c r="EJ144" s="420"/>
      <c r="EK144" s="420"/>
      <c r="EL144" s="420"/>
      <c r="EM144" s="420"/>
      <c r="EN144" s="420"/>
      <c r="EO144" s="420"/>
      <c r="EP144" s="420"/>
      <c r="EQ144" s="420"/>
      <c r="ER144" s="420"/>
      <c r="ES144" s="420"/>
      <c r="ET144" s="420"/>
      <c r="EU144" s="420"/>
      <c r="EV144" s="420"/>
      <c r="EW144" s="420"/>
      <c r="EX144" s="420"/>
      <c r="EY144" s="420"/>
      <c r="EZ144" s="420"/>
      <c r="FA144" s="420"/>
      <c r="FB144" s="420"/>
      <c r="FC144" s="420"/>
      <c r="FD144" s="420"/>
      <c r="FE144" s="420"/>
      <c r="FF144" s="420"/>
      <c r="FG144" s="420"/>
      <c r="FH144" s="420"/>
      <c r="FI144" s="420"/>
      <c r="FJ144" s="420"/>
      <c r="FK144" s="420"/>
      <c r="FL144" s="420"/>
      <c r="FM144" s="420"/>
      <c r="FN144" s="420"/>
      <c r="FO144" s="420"/>
      <c r="FP144" s="420"/>
      <c r="FQ144" s="420"/>
      <c r="FR144" s="420"/>
      <c r="FS144" s="420"/>
      <c r="FT144" s="420"/>
      <c r="FU144" s="420"/>
      <c r="FV144" s="420"/>
      <c r="FW144" s="420"/>
      <c r="FX144" s="420"/>
      <c r="FY144" s="420"/>
      <c r="FZ144" s="420"/>
      <c r="GA144" s="420"/>
      <c r="GB144" s="420"/>
      <c r="GC144" s="420"/>
      <c r="GD144" s="420"/>
      <c r="GE144" s="420"/>
      <c r="GF144" s="420"/>
      <c r="GG144" s="420"/>
      <c r="GH144" s="420"/>
      <c r="GI144" s="420"/>
      <c r="GJ144" s="420"/>
      <c r="GK144" s="420"/>
      <c r="GL144" s="420"/>
      <c r="GM144" s="420"/>
      <c r="GN144" s="420"/>
      <c r="GO144" s="420"/>
      <c r="GP144" s="420"/>
      <c r="GQ144" s="420"/>
      <c r="GR144" s="420"/>
      <c r="GS144" s="420"/>
      <c r="GT144" s="420"/>
      <c r="GU144" s="420"/>
      <c r="GV144" s="420"/>
      <c r="GW144" s="420"/>
      <c r="GX144" s="420"/>
      <c r="GY144" s="420"/>
      <c r="GZ144" s="420"/>
      <c r="HA144" s="420"/>
      <c r="HB144" s="420"/>
      <c r="HC144" s="420"/>
      <c r="HD144" s="420"/>
      <c r="HE144" s="420"/>
      <c r="HF144" s="420"/>
      <c r="HG144" s="420"/>
      <c r="HH144" s="420"/>
      <c r="HI144" s="420"/>
      <c r="HJ144" s="420"/>
      <c r="HK144" s="420"/>
      <c r="HL144" s="420"/>
      <c r="HM144" s="420"/>
      <c r="HN144" s="420"/>
      <c r="HO144" s="420"/>
      <c r="HP144" s="420"/>
      <c r="HQ144" s="420"/>
      <c r="HR144" s="420"/>
      <c r="HS144" s="420"/>
      <c r="HT144" s="420"/>
      <c r="HU144" s="420"/>
      <c r="HV144" s="420"/>
      <c r="HW144" s="420"/>
      <c r="HX144" s="420"/>
      <c r="HY144" s="420"/>
      <c r="HZ144" s="420"/>
      <c r="IA144" s="420"/>
      <c r="IB144" s="420"/>
      <c r="IC144" s="420"/>
      <c r="ID144" s="420"/>
      <c r="IE144" s="420"/>
      <c r="IF144" s="420"/>
      <c r="IG144" s="420"/>
      <c r="IH144" s="420"/>
      <c r="II144" s="420"/>
      <c r="IJ144" s="420"/>
      <c r="IK144" s="420"/>
      <c r="IL144" s="420"/>
      <c r="IM144" s="420"/>
      <c r="IN144" s="420"/>
      <c r="IO144" s="420"/>
      <c r="IP144" s="420"/>
      <c r="IQ144" s="420"/>
      <c r="IR144" s="420"/>
      <c r="IS144" s="420"/>
    </row>
    <row r="145" spans="4:254" ht="15" customHeight="1">
      <c r="D145" s="416"/>
      <c r="E145" s="428" t="s">
        <v>1537</v>
      </c>
      <c r="F145" s="429"/>
      <c r="G145" s="2914">
        <f>DGEN_FE!G262</f>
        <v>66.666666666666671</v>
      </c>
      <c r="H145" s="417"/>
      <c r="I145" s="417"/>
      <c r="J145" s="417"/>
      <c r="K145" s="421"/>
      <c r="L145" s="421"/>
      <c r="M145" s="417"/>
      <c r="N145" s="417"/>
      <c r="O145" s="12"/>
      <c r="T145" s="415"/>
      <c r="U145" s="415"/>
      <c r="V145" s="415"/>
      <c r="W145" s="415"/>
      <c r="X145" s="415"/>
      <c r="AB145" s="418"/>
      <c r="AC145" s="430"/>
      <c r="AD145" s="418"/>
      <c r="AE145" s="418"/>
      <c r="AF145" s="418"/>
      <c r="AG145" s="418"/>
      <c r="AH145" s="418"/>
      <c r="AI145" s="419"/>
      <c r="AJ145" s="419"/>
      <c r="AK145" s="419" t="s">
        <v>1939</v>
      </c>
      <c r="AL145" s="419">
        <v>11210396</v>
      </c>
      <c r="AM145" s="419" t="e">
        <v>#REF!</v>
      </c>
      <c r="AN145" s="419"/>
      <c r="AO145" s="419"/>
      <c r="AP145" s="419"/>
      <c r="AQ145" s="419"/>
      <c r="AR145" s="419"/>
      <c r="AS145" s="419"/>
      <c r="AT145" s="419"/>
      <c r="AU145" s="419"/>
      <c r="AV145" s="419"/>
      <c r="AW145" s="419"/>
      <c r="AX145" s="419"/>
      <c r="AY145" s="419"/>
      <c r="AZ145" s="419"/>
      <c r="BA145" s="419"/>
      <c r="BB145" s="419"/>
      <c r="BC145" s="419"/>
      <c r="BD145" s="419"/>
      <c r="BE145" s="419"/>
      <c r="BF145" s="419"/>
      <c r="BG145" s="419"/>
      <c r="BH145" s="419"/>
      <c r="BI145" s="419"/>
      <c r="BJ145" s="419"/>
      <c r="BK145" s="419"/>
      <c r="BL145" s="419"/>
      <c r="BM145" s="419"/>
      <c r="BN145" s="419"/>
      <c r="BO145" s="419"/>
      <c r="BP145" s="419"/>
      <c r="BQ145" s="419"/>
      <c r="BR145" s="419"/>
      <c r="BS145" s="419"/>
      <c r="BT145" s="420"/>
      <c r="BU145" s="420"/>
      <c r="BV145" s="420"/>
      <c r="BW145" s="420"/>
      <c r="BX145" s="420"/>
      <c r="BY145" s="420"/>
      <c r="BZ145" s="420"/>
      <c r="CA145" s="420"/>
      <c r="CB145" s="420"/>
      <c r="CC145" s="420"/>
      <c r="CD145" s="420"/>
      <c r="CE145" s="420"/>
      <c r="CF145" s="420"/>
      <c r="CG145" s="420"/>
      <c r="CH145" s="420"/>
      <c r="CI145" s="420"/>
      <c r="CJ145" s="420"/>
      <c r="CK145" s="420"/>
      <c r="CL145" s="420"/>
      <c r="CM145" s="420"/>
      <c r="CN145" s="420"/>
      <c r="CO145" s="420"/>
      <c r="CP145" s="420"/>
      <c r="CQ145" s="420"/>
      <c r="CR145" s="420"/>
      <c r="CS145" s="420"/>
      <c r="CT145" s="420"/>
      <c r="CU145" s="420"/>
      <c r="CV145" s="420"/>
      <c r="CW145" s="420"/>
      <c r="CX145" s="420"/>
      <c r="CY145" s="420"/>
      <c r="CZ145" s="420"/>
      <c r="DA145" s="420"/>
      <c r="DB145" s="420"/>
      <c r="DC145" s="420"/>
      <c r="DD145" s="420"/>
      <c r="DE145" s="420"/>
      <c r="DF145" s="420"/>
      <c r="DG145" s="420"/>
      <c r="DH145" s="420"/>
      <c r="DI145" s="420"/>
      <c r="DJ145" s="420"/>
      <c r="DK145" s="420"/>
      <c r="DL145" s="420"/>
      <c r="DM145" s="420"/>
      <c r="DN145" s="420"/>
      <c r="DO145" s="420"/>
      <c r="DP145" s="420"/>
      <c r="DQ145" s="420"/>
      <c r="DR145" s="420"/>
      <c r="DS145" s="420"/>
      <c r="DT145" s="420"/>
      <c r="DU145" s="420"/>
      <c r="DV145" s="420"/>
      <c r="DW145" s="420"/>
      <c r="DX145" s="420"/>
      <c r="DY145" s="420"/>
      <c r="DZ145" s="420"/>
      <c r="EA145" s="420"/>
      <c r="EB145" s="420"/>
      <c r="EC145" s="420"/>
      <c r="ED145" s="420"/>
      <c r="EE145" s="420"/>
      <c r="EF145" s="420"/>
      <c r="EG145" s="420"/>
      <c r="EH145" s="420"/>
      <c r="EI145" s="420"/>
      <c r="EJ145" s="420"/>
      <c r="EK145" s="420"/>
      <c r="EL145" s="420"/>
      <c r="EM145" s="420"/>
      <c r="EN145" s="420"/>
      <c r="EO145" s="420"/>
      <c r="EP145" s="420"/>
      <c r="EQ145" s="420"/>
      <c r="ER145" s="420"/>
      <c r="ES145" s="420"/>
      <c r="ET145" s="420"/>
      <c r="EU145" s="420"/>
      <c r="EV145" s="420"/>
      <c r="EW145" s="420"/>
      <c r="EX145" s="420"/>
      <c r="EY145" s="420"/>
      <c r="EZ145" s="420"/>
      <c r="FA145" s="420"/>
      <c r="FB145" s="420"/>
      <c r="FC145" s="420"/>
      <c r="FD145" s="420"/>
      <c r="FE145" s="420"/>
      <c r="FF145" s="420"/>
      <c r="FG145" s="420"/>
      <c r="FH145" s="420"/>
      <c r="FI145" s="420"/>
      <c r="FJ145" s="420"/>
      <c r="FK145" s="420"/>
      <c r="FL145" s="420"/>
      <c r="FM145" s="420"/>
      <c r="FN145" s="420"/>
      <c r="FO145" s="420"/>
      <c r="FP145" s="420"/>
      <c r="FQ145" s="420"/>
      <c r="FR145" s="420"/>
      <c r="FS145" s="420"/>
      <c r="FT145" s="420"/>
      <c r="FU145" s="420"/>
      <c r="FV145" s="420"/>
      <c r="FW145" s="420"/>
      <c r="FX145" s="420"/>
      <c r="FY145" s="420"/>
      <c r="FZ145" s="420"/>
      <c r="GA145" s="420"/>
      <c r="GB145" s="420"/>
      <c r="GC145" s="420"/>
      <c r="GD145" s="420"/>
      <c r="GE145" s="420"/>
      <c r="GF145" s="420"/>
      <c r="GG145" s="420"/>
      <c r="GH145" s="420"/>
      <c r="GI145" s="420"/>
      <c r="GJ145" s="420"/>
      <c r="GK145" s="420"/>
      <c r="GL145" s="420"/>
      <c r="GM145" s="420"/>
      <c r="GN145" s="420"/>
      <c r="GO145" s="420"/>
      <c r="GP145" s="420"/>
      <c r="GQ145" s="420"/>
      <c r="GR145" s="420"/>
      <c r="GS145" s="420"/>
      <c r="GT145" s="420"/>
      <c r="GU145" s="420"/>
      <c r="GV145" s="420"/>
      <c r="GW145" s="420"/>
      <c r="GX145" s="420"/>
      <c r="GY145" s="420"/>
      <c r="GZ145" s="420"/>
      <c r="HA145" s="420"/>
      <c r="HB145" s="420"/>
      <c r="HC145" s="420"/>
      <c r="HD145" s="420"/>
      <c r="HE145" s="420"/>
      <c r="HF145" s="420"/>
      <c r="HG145" s="420"/>
      <c r="HH145" s="420"/>
      <c r="HI145" s="420"/>
      <c r="HJ145" s="420"/>
      <c r="HK145" s="420"/>
      <c r="HL145" s="420"/>
      <c r="HM145" s="420"/>
      <c r="HN145" s="420"/>
      <c r="HO145" s="420"/>
      <c r="HP145" s="420"/>
      <c r="HQ145" s="420"/>
      <c r="HR145" s="420"/>
      <c r="HS145" s="420"/>
      <c r="HT145" s="420"/>
      <c r="HU145" s="420"/>
      <c r="HV145" s="420"/>
      <c r="HW145" s="420"/>
      <c r="HX145" s="420"/>
      <c r="HY145" s="420"/>
      <c r="HZ145" s="420"/>
      <c r="IA145" s="420"/>
      <c r="IB145" s="420"/>
      <c r="IC145" s="420"/>
      <c r="ID145" s="420"/>
      <c r="IE145" s="420"/>
      <c r="IF145" s="420"/>
      <c r="IG145" s="420"/>
      <c r="IH145" s="420"/>
      <c r="II145" s="420"/>
      <c r="IJ145" s="420"/>
      <c r="IK145" s="420"/>
      <c r="IL145" s="420"/>
      <c r="IM145" s="420"/>
      <c r="IN145" s="420"/>
      <c r="IO145" s="420"/>
      <c r="IP145" s="420"/>
      <c r="IQ145" s="420"/>
      <c r="IR145" s="420"/>
      <c r="IS145" s="420"/>
    </row>
    <row r="146" spans="4:254" ht="15" customHeight="1">
      <c r="D146" s="416"/>
      <c r="E146" s="441" t="s">
        <v>1940</v>
      </c>
      <c r="F146" s="434"/>
      <c r="G146" s="2915">
        <f>DGEN_FE!G263</f>
        <v>0</v>
      </c>
      <c r="H146" s="417"/>
      <c r="I146" s="417"/>
      <c r="J146" s="417"/>
      <c r="K146" s="421"/>
      <c r="L146" s="421"/>
      <c r="M146" s="417"/>
      <c r="N146" s="417"/>
      <c r="O146" s="12"/>
      <c r="T146" s="415"/>
      <c r="U146" s="415"/>
      <c r="V146" s="415"/>
      <c r="W146" s="415"/>
      <c r="X146" s="415"/>
      <c r="AB146" s="418"/>
      <c r="AC146" s="430"/>
      <c r="AD146" s="418"/>
      <c r="AE146" s="418"/>
      <c r="AF146" s="418"/>
      <c r="AG146" s="418"/>
      <c r="AH146" s="418"/>
      <c r="AI146" s="419"/>
      <c r="AJ146" s="419"/>
      <c r="AK146" s="419" t="s">
        <v>1939</v>
      </c>
      <c r="AL146" s="419">
        <v>11210397</v>
      </c>
      <c r="AM146" s="419" t="e">
        <v>#REF!</v>
      </c>
      <c r="AN146" s="419"/>
      <c r="AO146" s="419"/>
      <c r="AP146" s="419"/>
      <c r="AQ146" s="419"/>
      <c r="AR146" s="419"/>
      <c r="AS146" s="419"/>
      <c r="AT146" s="419"/>
      <c r="AU146" s="419"/>
      <c r="AV146" s="419"/>
      <c r="AW146" s="419"/>
      <c r="AX146" s="419"/>
      <c r="AY146" s="419"/>
      <c r="AZ146" s="419"/>
      <c r="BA146" s="419"/>
      <c r="BB146" s="419"/>
      <c r="BC146" s="419"/>
      <c r="BD146" s="419"/>
      <c r="BE146" s="419"/>
      <c r="BF146" s="419"/>
      <c r="BG146" s="419"/>
      <c r="BH146" s="419"/>
      <c r="BI146" s="419"/>
      <c r="BJ146" s="419"/>
      <c r="BK146" s="419"/>
      <c r="BL146" s="419"/>
      <c r="BM146" s="419"/>
      <c r="BN146" s="419"/>
      <c r="BO146" s="419"/>
      <c r="BP146" s="419"/>
      <c r="BQ146" s="419"/>
      <c r="BR146" s="419"/>
      <c r="BS146" s="419"/>
      <c r="BT146" s="420"/>
      <c r="BU146" s="420"/>
      <c r="BV146" s="420"/>
      <c r="BW146" s="420"/>
      <c r="BX146" s="420"/>
      <c r="BY146" s="420"/>
      <c r="BZ146" s="420"/>
      <c r="CA146" s="420"/>
      <c r="CB146" s="420"/>
      <c r="CC146" s="420"/>
      <c r="CD146" s="420"/>
      <c r="CE146" s="420"/>
      <c r="CF146" s="420"/>
      <c r="CG146" s="420"/>
      <c r="CH146" s="420"/>
      <c r="CI146" s="420"/>
      <c r="CJ146" s="420"/>
      <c r="CK146" s="420"/>
      <c r="CL146" s="420"/>
      <c r="CM146" s="420"/>
      <c r="CN146" s="420"/>
      <c r="CO146" s="420"/>
      <c r="CP146" s="420"/>
      <c r="CQ146" s="420"/>
      <c r="CR146" s="420"/>
      <c r="CS146" s="420"/>
      <c r="CT146" s="420"/>
      <c r="CU146" s="420"/>
      <c r="CV146" s="420"/>
      <c r="CW146" s="420"/>
      <c r="CX146" s="420"/>
      <c r="CY146" s="420"/>
      <c r="CZ146" s="420"/>
      <c r="DA146" s="420"/>
      <c r="DB146" s="420"/>
      <c r="DC146" s="420"/>
      <c r="DD146" s="420"/>
      <c r="DE146" s="420"/>
      <c r="DF146" s="420"/>
      <c r="DG146" s="420"/>
      <c r="DH146" s="420"/>
      <c r="DI146" s="420"/>
      <c r="DJ146" s="420"/>
      <c r="DK146" s="420"/>
      <c r="DL146" s="420"/>
      <c r="DM146" s="420"/>
      <c r="DN146" s="420"/>
      <c r="DO146" s="420"/>
      <c r="DP146" s="420"/>
      <c r="DQ146" s="420"/>
      <c r="DR146" s="420"/>
      <c r="DS146" s="420"/>
      <c r="DT146" s="420"/>
      <c r="DU146" s="420"/>
      <c r="DV146" s="420"/>
      <c r="DW146" s="420"/>
      <c r="DX146" s="420"/>
      <c r="DY146" s="420"/>
      <c r="DZ146" s="420"/>
      <c r="EA146" s="420"/>
      <c r="EB146" s="420"/>
      <c r="EC146" s="420"/>
      <c r="ED146" s="420"/>
      <c r="EE146" s="420"/>
      <c r="EF146" s="420"/>
      <c r="EG146" s="420"/>
      <c r="EH146" s="420"/>
      <c r="EI146" s="420"/>
      <c r="EJ146" s="420"/>
      <c r="EK146" s="420"/>
      <c r="EL146" s="420"/>
      <c r="EM146" s="420"/>
      <c r="EN146" s="420"/>
      <c r="EO146" s="420"/>
      <c r="EP146" s="420"/>
      <c r="EQ146" s="420"/>
      <c r="ER146" s="420"/>
      <c r="ES146" s="420"/>
      <c r="ET146" s="420"/>
      <c r="EU146" s="420"/>
      <c r="EV146" s="420"/>
      <c r="EW146" s="420"/>
      <c r="EX146" s="420"/>
      <c r="EY146" s="420"/>
      <c r="EZ146" s="420"/>
      <c r="FA146" s="420"/>
      <c r="FB146" s="420"/>
      <c r="FC146" s="420"/>
      <c r="FD146" s="420"/>
      <c r="FE146" s="420"/>
      <c r="FF146" s="420"/>
      <c r="FG146" s="420"/>
      <c r="FH146" s="420"/>
      <c r="FI146" s="420"/>
      <c r="FJ146" s="420"/>
      <c r="FK146" s="420"/>
      <c r="FL146" s="420"/>
      <c r="FM146" s="420"/>
      <c r="FN146" s="420"/>
      <c r="FO146" s="420"/>
      <c r="FP146" s="420"/>
      <c r="FQ146" s="420"/>
      <c r="FR146" s="420"/>
      <c r="FS146" s="420"/>
      <c r="FT146" s="420"/>
      <c r="FU146" s="420"/>
      <c r="FV146" s="420"/>
      <c r="FW146" s="420"/>
      <c r="FX146" s="420"/>
      <c r="FY146" s="420"/>
      <c r="FZ146" s="420"/>
      <c r="GA146" s="420"/>
      <c r="GB146" s="420"/>
      <c r="GC146" s="420"/>
      <c r="GD146" s="420"/>
      <c r="GE146" s="420"/>
      <c r="GF146" s="420"/>
      <c r="GG146" s="420"/>
      <c r="GH146" s="420"/>
      <c r="GI146" s="420"/>
      <c r="GJ146" s="420"/>
      <c r="GK146" s="420"/>
      <c r="GL146" s="420"/>
      <c r="GM146" s="420"/>
      <c r="GN146" s="420"/>
      <c r="GO146" s="420"/>
      <c r="GP146" s="420"/>
      <c r="GQ146" s="420"/>
      <c r="GR146" s="420"/>
      <c r="GS146" s="420"/>
      <c r="GT146" s="420"/>
      <c r="GU146" s="420"/>
      <c r="GV146" s="420"/>
      <c r="GW146" s="420"/>
      <c r="GX146" s="420"/>
      <c r="GY146" s="420"/>
      <c r="GZ146" s="420"/>
      <c r="HA146" s="420"/>
      <c r="HB146" s="420"/>
      <c r="HC146" s="420"/>
      <c r="HD146" s="420"/>
      <c r="HE146" s="420"/>
      <c r="HF146" s="420"/>
      <c r="HG146" s="420"/>
      <c r="HH146" s="420"/>
      <c r="HI146" s="420"/>
      <c r="HJ146" s="420"/>
      <c r="HK146" s="420"/>
      <c r="HL146" s="420"/>
      <c r="HM146" s="420"/>
      <c r="HN146" s="420"/>
      <c r="HO146" s="420"/>
      <c r="HP146" s="420"/>
      <c r="HQ146" s="420"/>
      <c r="HR146" s="420"/>
      <c r="HS146" s="420"/>
      <c r="HT146" s="420"/>
      <c r="HU146" s="420"/>
      <c r="HV146" s="420"/>
      <c r="HW146" s="420"/>
      <c r="HX146" s="420"/>
      <c r="HY146" s="420"/>
      <c r="HZ146" s="420"/>
      <c r="IA146" s="420"/>
      <c r="IB146" s="420"/>
      <c r="IC146" s="420"/>
      <c r="ID146" s="420"/>
      <c r="IE146" s="420"/>
      <c r="IF146" s="420"/>
      <c r="IG146" s="420"/>
      <c r="IH146" s="420"/>
      <c r="II146" s="420"/>
      <c r="IJ146" s="420"/>
      <c r="IK146" s="420"/>
      <c r="IL146" s="420"/>
      <c r="IM146" s="420"/>
      <c r="IN146" s="420"/>
      <c r="IO146" s="420"/>
      <c r="IP146" s="420"/>
      <c r="IQ146" s="420"/>
      <c r="IR146" s="420"/>
      <c r="IS146" s="420"/>
    </row>
    <row r="147" spans="4:254" ht="15" customHeight="1">
      <c r="D147" s="416"/>
      <c r="E147" s="435"/>
      <c r="F147" s="436"/>
      <c r="G147" s="2916"/>
      <c r="H147" s="1542"/>
      <c r="I147" s="417"/>
      <c r="J147" s="417"/>
      <c r="K147" s="421"/>
      <c r="L147" s="421"/>
      <c r="M147" s="417"/>
      <c r="N147" s="417"/>
      <c r="O147" s="12"/>
      <c r="T147" s="415"/>
      <c r="U147" s="415"/>
      <c r="V147" s="415"/>
      <c r="W147" s="415"/>
      <c r="X147" s="415"/>
      <c r="AB147" s="430"/>
      <c r="AC147" s="430"/>
      <c r="AD147" s="431"/>
      <c r="AE147" s="431"/>
      <c r="AF147" s="431"/>
      <c r="AG147" s="431"/>
      <c r="AH147" s="431"/>
      <c r="AI147" s="431"/>
      <c r="AJ147" s="431"/>
      <c r="AK147" s="431"/>
      <c r="AL147" s="431"/>
      <c r="AM147" s="431"/>
      <c r="AN147" s="431"/>
      <c r="AO147" s="431"/>
      <c r="AP147" s="431"/>
      <c r="AQ147" s="431"/>
      <c r="AR147" s="431"/>
      <c r="AS147" s="431"/>
      <c r="AT147" s="431"/>
      <c r="AU147" s="431"/>
      <c r="AV147" s="431"/>
      <c r="AW147" s="431"/>
      <c r="AX147" s="431"/>
      <c r="AY147" s="431"/>
      <c r="AZ147" s="431"/>
      <c r="BA147" s="431"/>
      <c r="BB147" s="431"/>
      <c r="BC147" s="431"/>
      <c r="BD147" s="431"/>
      <c r="BE147" s="431"/>
      <c r="BF147" s="431"/>
      <c r="BG147" s="431"/>
      <c r="BH147" s="431"/>
      <c r="BI147" s="431"/>
      <c r="BJ147" s="431"/>
      <c r="BK147" s="431"/>
      <c r="BL147" s="431"/>
      <c r="BM147" s="431"/>
      <c r="BN147" s="431"/>
      <c r="BO147" s="431"/>
      <c r="BP147" s="431"/>
      <c r="BQ147" s="431"/>
      <c r="BR147" s="431"/>
      <c r="BS147" s="431"/>
      <c r="BT147" s="432"/>
      <c r="BU147" s="432"/>
      <c r="BV147" s="432"/>
      <c r="BW147" s="432"/>
      <c r="BX147" s="432"/>
      <c r="BY147" s="432"/>
      <c r="BZ147" s="432"/>
      <c r="CA147" s="432"/>
      <c r="CB147" s="432"/>
      <c r="CC147" s="432"/>
      <c r="CD147" s="432"/>
      <c r="CE147" s="432"/>
      <c r="CF147" s="432"/>
      <c r="CG147" s="432"/>
      <c r="CH147" s="432"/>
      <c r="CI147" s="432"/>
      <c r="CJ147" s="432"/>
      <c r="CK147" s="432"/>
      <c r="CL147" s="432"/>
      <c r="CM147" s="432"/>
      <c r="CN147" s="432"/>
      <c r="CO147" s="432"/>
      <c r="CP147" s="432"/>
      <c r="CQ147" s="432"/>
      <c r="CR147" s="432"/>
      <c r="CS147" s="432"/>
      <c r="CT147" s="432"/>
      <c r="CU147" s="432"/>
      <c r="CV147" s="432"/>
      <c r="CW147" s="432"/>
      <c r="CX147" s="432"/>
      <c r="CY147" s="432"/>
      <c r="CZ147" s="432"/>
      <c r="DA147" s="432"/>
      <c r="DB147" s="432"/>
      <c r="DC147" s="432"/>
      <c r="DD147" s="432"/>
      <c r="DE147" s="432"/>
      <c r="DF147" s="432"/>
      <c r="DG147" s="432"/>
      <c r="DH147" s="432"/>
      <c r="DI147" s="432"/>
      <c r="DJ147" s="432"/>
      <c r="DK147" s="432"/>
      <c r="DL147" s="432"/>
      <c r="DM147" s="432"/>
      <c r="DN147" s="432"/>
      <c r="DO147" s="432"/>
      <c r="DP147" s="432"/>
      <c r="DQ147" s="432"/>
      <c r="DR147" s="432"/>
      <c r="DS147" s="432"/>
      <c r="DT147" s="432"/>
      <c r="DU147" s="432"/>
      <c r="DV147" s="432"/>
      <c r="DW147" s="432"/>
      <c r="DX147" s="432"/>
      <c r="DY147" s="432"/>
      <c r="DZ147" s="432"/>
      <c r="EA147" s="432"/>
      <c r="EB147" s="432"/>
      <c r="EC147" s="432"/>
      <c r="ED147" s="432"/>
      <c r="EE147" s="432"/>
      <c r="EF147" s="432"/>
      <c r="EG147" s="432"/>
      <c r="EH147" s="432"/>
      <c r="EI147" s="432"/>
      <c r="EJ147" s="432"/>
      <c r="EK147" s="432"/>
      <c r="EL147" s="432"/>
      <c r="EM147" s="432"/>
      <c r="EN147" s="432"/>
      <c r="EO147" s="432"/>
      <c r="EP147" s="432"/>
      <c r="EQ147" s="432"/>
      <c r="ER147" s="432"/>
      <c r="ES147" s="432"/>
      <c r="ET147" s="432"/>
      <c r="EU147" s="432"/>
      <c r="EV147" s="432"/>
      <c r="EW147" s="432"/>
      <c r="EX147" s="432"/>
      <c r="EY147" s="432"/>
      <c r="EZ147" s="432"/>
      <c r="FA147" s="432"/>
      <c r="FB147" s="432"/>
      <c r="FC147" s="432"/>
      <c r="FD147" s="432"/>
      <c r="FE147" s="432"/>
      <c r="FF147" s="432"/>
      <c r="FG147" s="432"/>
      <c r="FH147" s="432"/>
      <c r="FI147" s="432"/>
      <c r="FJ147" s="432"/>
      <c r="FK147" s="432"/>
      <c r="FL147" s="432"/>
      <c r="FM147" s="432"/>
      <c r="FN147" s="432"/>
      <c r="FO147" s="432"/>
      <c r="FP147" s="432"/>
      <c r="FQ147" s="432"/>
      <c r="FR147" s="432"/>
      <c r="FS147" s="432"/>
      <c r="FT147" s="432"/>
      <c r="FU147" s="432"/>
      <c r="FV147" s="432"/>
      <c r="FW147" s="432"/>
      <c r="FX147" s="432"/>
      <c r="FY147" s="432"/>
      <c r="FZ147" s="432"/>
      <c r="GA147" s="432"/>
      <c r="GB147" s="432"/>
      <c r="GC147" s="432"/>
      <c r="GD147" s="432"/>
      <c r="GE147" s="432"/>
      <c r="GF147" s="432"/>
      <c r="GG147" s="432"/>
      <c r="GH147" s="432"/>
      <c r="GI147" s="432"/>
      <c r="GJ147" s="432"/>
      <c r="GK147" s="432"/>
      <c r="GL147" s="432"/>
      <c r="GM147" s="432"/>
      <c r="GN147" s="432"/>
      <c r="GO147" s="432"/>
      <c r="GP147" s="432"/>
      <c r="GQ147" s="432"/>
      <c r="GR147" s="432"/>
      <c r="GS147" s="432"/>
      <c r="GT147" s="432"/>
      <c r="GU147" s="432"/>
      <c r="GV147" s="432"/>
      <c r="GW147" s="432"/>
      <c r="GX147" s="432"/>
      <c r="GY147" s="432"/>
      <c r="GZ147" s="432"/>
      <c r="HA147" s="432"/>
      <c r="HB147" s="432"/>
      <c r="HC147" s="432"/>
      <c r="HD147" s="432"/>
      <c r="HE147" s="432"/>
      <c r="HF147" s="432"/>
      <c r="HG147" s="432"/>
      <c r="HH147" s="432"/>
      <c r="HI147" s="432"/>
      <c r="HJ147" s="432"/>
      <c r="HK147" s="432"/>
      <c r="HL147" s="432"/>
      <c r="HM147" s="432"/>
      <c r="HN147" s="432"/>
      <c r="HO147" s="432"/>
      <c r="HP147" s="432"/>
      <c r="HQ147" s="432"/>
      <c r="HR147" s="432"/>
      <c r="HS147" s="432"/>
      <c r="HT147" s="432"/>
      <c r="HU147" s="432"/>
      <c r="HV147" s="432"/>
      <c r="HW147" s="432"/>
      <c r="HX147" s="432"/>
      <c r="HY147" s="432"/>
      <c r="HZ147" s="432"/>
      <c r="IA147" s="432"/>
      <c r="IB147" s="432"/>
      <c r="IC147" s="432"/>
      <c r="ID147" s="432"/>
      <c r="IE147" s="432"/>
      <c r="IF147" s="432"/>
      <c r="IG147" s="432"/>
      <c r="IH147" s="432"/>
      <c r="II147" s="432"/>
      <c r="IJ147" s="432"/>
      <c r="IK147" s="432"/>
      <c r="IL147" s="432"/>
      <c r="IM147" s="432"/>
      <c r="IN147" s="432"/>
      <c r="IO147" s="432"/>
      <c r="IP147" s="432"/>
      <c r="IQ147" s="432"/>
      <c r="IR147" s="432"/>
      <c r="IS147" s="432"/>
    </row>
    <row r="148" spans="4:254" ht="15" customHeight="1">
      <c r="D148" s="416"/>
      <c r="E148" s="438" t="s">
        <v>1539</v>
      </c>
      <c r="F148" s="436"/>
      <c r="G148" s="2916"/>
      <c r="H148" s="1542"/>
      <c r="I148" s="417"/>
      <c r="J148" s="417"/>
      <c r="K148" s="421"/>
      <c r="L148" s="421"/>
      <c r="M148" s="417"/>
      <c r="N148" s="417"/>
      <c r="O148" s="12"/>
      <c r="T148" s="415"/>
      <c r="U148" s="415"/>
      <c r="V148" s="415"/>
      <c r="W148" s="415"/>
      <c r="X148" s="415"/>
      <c r="AB148" s="430"/>
      <c r="AC148" s="430"/>
      <c r="AD148" s="431"/>
      <c r="AE148" s="431"/>
      <c r="AF148" s="431"/>
      <c r="AG148" s="431"/>
      <c r="AH148" s="431"/>
      <c r="AI148" s="431"/>
      <c r="AJ148" s="431"/>
      <c r="AK148" s="431"/>
      <c r="AL148" s="431"/>
      <c r="AM148" s="431"/>
      <c r="AN148" s="431"/>
      <c r="AO148" s="431"/>
      <c r="AP148" s="431"/>
      <c r="AQ148" s="431"/>
      <c r="AR148" s="431"/>
      <c r="AS148" s="431"/>
      <c r="AT148" s="431"/>
      <c r="AU148" s="431"/>
      <c r="AV148" s="431"/>
      <c r="AW148" s="431"/>
      <c r="AX148" s="431"/>
      <c r="AY148" s="431"/>
      <c r="AZ148" s="431"/>
      <c r="BA148" s="431"/>
      <c r="BB148" s="431"/>
      <c r="BC148" s="431"/>
      <c r="BD148" s="431"/>
      <c r="BE148" s="431"/>
      <c r="BF148" s="431"/>
      <c r="BG148" s="431"/>
      <c r="BH148" s="431"/>
      <c r="BI148" s="431"/>
      <c r="BJ148" s="431"/>
      <c r="BK148" s="431"/>
      <c r="BL148" s="431"/>
      <c r="BM148" s="431"/>
      <c r="BN148" s="431"/>
      <c r="BO148" s="431"/>
      <c r="BP148" s="431"/>
      <c r="BQ148" s="431"/>
      <c r="BR148" s="431"/>
      <c r="BS148" s="431"/>
      <c r="BT148" s="432"/>
      <c r="BU148" s="432"/>
      <c r="BV148" s="432"/>
      <c r="BW148" s="432"/>
      <c r="BX148" s="432"/>
      <c r="BY148" s="432"/>
      <c r="BZ148" s="432"/>
      <c r="CA148" s="432"/>
      <c r="CB148" s="432"/>
      <c r="CC148" s="432"/>
      <c r="CD148" s="432"/>
      <c r="CE148" s="432"/>
      <c r="CF148" s="432"/>
      <c r="CG148" s="432"/>
      <c r="CH148" s="432"/>
      <c r="CI148" s="432"/>
      <c r="CJ148" s="432"/>
      <c r="CK148" s="432"/>
      <c r="CL148" s="432"/>
      <c r="CM148" s="432"/>
      <c r="CN148" s="432"/>
      <c r="CO148" s="432"/>
      <c r="CP148" s="432"/>
      <c r="CQ148" s="432"/>
      <c r="CR148" s="432"/>
      <c r="CS148" s="432"/>
      <c r="CT148" s="432"/>
      <c r="CU148" s="432"/>
      <c r="CV148" s="432"/>
      <c r="CW148" s="432"/>
      <c r="CX148" s="432"/>
      <c r="CY148" s="432"/>
      <c r="CZ148" s="432"/>
      <c r="DA148" s="432"/>
      <c r="DB148" s="432"/>
      <c r="DC148" s="432"/>
      <c r="DD148" s="432"/>
      <c r="DE148" s="432"/>
      <c r="DF148" s="432"/>
      <c r="DG148" s="432"/>
      <c r="DH148" s="432"/>
      <c r="DI148" s="432"/>
      <c r="DJ148" s="432"/>
      <c r="DK148" s="432"/>
      <c r="DL148" s="432"/>
      <c r="DM148" s="432"/>
      <c r="DN148" s="432"/>
      <c r="DO148" s="432"/>
      <c r="DP148" s="432"/>
      <c r="DQ148" s="432"/>
      <c r="DR148" s="432"/>
      <c r="DS148" s="432"/>
      <c r="DT148" s="432"/>
      <c r="DU148" s="432"/>
      <c r="DV148" s="432"/>
      <c r="DW148" s="432"/>
      <c r="DX148" s="432"/>
      <c r="DY148" s="432"/>
      <c r="DZ148" s="432"/>
      <c r="EA148" s="432"/>
      <c r="EB148" s="432"/>
      <c r="EC148" s="432"/>
      <c r="ED148" s="432"/>
      <c r="EE148" s="432"/>
      <c r="EF148" s="432"/>
      <c r="EG148" s="432"/>
      <c r="EH148" s="432"/>
      <c r="EI148" s="432"/>
      <c r="EJ148" s="432"/>
      <c r="EK148" s="432"/>
      <c r="EL148" s="432"/>
      <c r="EM148" s="432"/>
      <c r="EN148" s="432"/>
      <c r="EO148" s="432"/>
      <c r="EP148" s="432"/>
      <c r="EQ148" s="432"/>
      <c r="ER148" s="432"/>
      <c r="ES148" s="432"/>
      <c r="ET148" s="432"/>
      <c r="EU148" s="432"/>
      <c r="EV148" s="432"/>
      <c r="EW148" s="432"/>
      <c r="EX148" s="432"/>
      <c r="EY148" s="432"/>
      <c r="EZ148" s="432"/>
      <c r="FA148" s="432"/>
      <c r="FB148" s="432"/>
      <c r="FC148" s="432"/>
      <c r="FD148" s="432"/>
      <c r="FE148" s="432"/>
      <c r="FF148" s="432"/>
      <c r="FG148" s="432"/>
      <c r="FH148" s="432"/>
      <c r="FI148" s="432"/>
      <c r="FJ148" s="432"/>
      <c r="FK148" s="432"/>
      <c r="FL148" s="432"/>
      <c r="FM148" s="432"/>
      <c r="FN148" s="432"/>
      <c r="FO148" s="432"/>
      <c r="FP148" s="432"/>
      <c r="FQ148" s="432"/>
      <c r="FR148" s="432"/>
      <c r="FS148" s="432"/>
      <c r="FT148" s="432"/>
      <c r="FU148" s="432"/>
      <c r="FV148" s="432"/>
      <c r="FW148" s="432"/>
      <c r="FX148" s="432"/>
      <c r="FY148" s="432"/>
      <c r="FZ148" s="432"/>
      <c r="GA148" s="432"/>
      <c r="GB148" s="432"/>
      <c r="GC148" s="432"/>
      <c r="GD148" s="432"/>
      <c r="GE148" s="432"/>
      <c r="GF148" s="432"/>
      <c r="GG148" s="432"/>
      <c r="GH148" s="432"/>
      <c r="GI148" s="432"/>
      <c r="GJ148" s="432"/>
      <c r="GK148" s="432"/>
      <c r="GL148" s="432"/>
      <c r="GM148" s="432"/>
      <c r="GN148" s="432"/>
      <c r="GO148" s="432"/>
      <c r="GP148" s="432"/>
      <c r="GQ148" s="432"/>
      <c r="GR148" s="432"/>
      <c r="GS148" s="432"/>
      <c r="GT148" s="432"/>
      <c r="GU148" s="432"/>
      <c r="GV148" s="432"/>
      <c r="GW148" s="432"/>
      <c r="GX148" s="432"/>
      <c r="GY148" s="432"/>
      <c r="GZ148" s="432"/>
      <c r="HA148" s="432"/>
      <c r="HB148" s="432"/>
      <c r="HC148" s="432"/>
      <c r="HD148" s="432"/>
      <c r="HE148" s="432"/>
      <c r="HF148" s="432"/>
      <c r="HG148" s="432"/>
      <c r="HH148" s="432"/>
      <c r="HI148" s="432"/>
      <c r="HJ148" s="432"/>
      <c r="HK148" s="432"/>
      <c r="HL148" s="432"/>
      <c r="HM148" s="432"/>
      <c r="HN148" s="432"/>
      <c r="HO148" s="432"/>
      <c r="HP148" s="432"/>
      <c r="HQ148" s="432"/>
      <c r="HR148" s="432"/>
      <c r="HS148" s="432"/>
      <c r="HT148" s="432"/>
      <c r="HU148" s="432"/>
      <c r="HV148" s="432"/>
      <c r="HW148" s="432"/>
      <c r="HX148" s="432"/>
      <c r="HY148" s="432"/>
      <c r="HZ148" s="432"/>
      <c r="IA148" s="432"/>
      <c r="IB148" s="432"/>
      <c r="IC148" s="432"/>
      <c r="ID148" s="432"/>
      <c r="IE148" s="432"/>
      <c r="IF148" s="432"/>
      <c r="IG148" s="432"/>
      <c r="IH148" s="432"/>
      <c r="II148" s="432"/>
      <c r="IJ148" s="432"/>
      <c r="IK148" s="432"/>
      <c r="IL148" s="432"/>
      <c r="IM148" s="432"/>
      <c r="IN148" s="432"/>
      <c r="IO148" s="432"/>
      <c r="IP148" s="432"/>
      <c r="IQ148" s="432"/>
      <c r="IR148" s="432"/>
      <c r="IS148" s="432"/>
    </row>
    <row r="149" spans="4:254" ht="15" customHeight="1">
      <c r="D149" s="416"/>
      <c r="E149" s="439"/>
      <c r="F149" s="417"/>
      <c r="G149" s="508"/>
      <c r="H149" s="1542"/>
      <c r="I149" s="417"/>
      <c r="J149" s="417"/>
      <c r="K149" s="421"/>
      <c r="L149" s="421"/>
      <c r="M149" s="417"/>
      <c r="N149" s="417"/>
      <c r="O149" s="12"/>
      <c r="T149" s="415"/>
      <c r="U149" s="415"/>
      <c r="V149" s="415"/>
      <c r="W149" s="415"/>
      <c r="X149" s="415"/>
      <c r="AB149" s="418"/>
      <c r="AC149" s="418"/>
      <c r="AD149" s="437"/>
      <c r="AE149" s="418"/>
      <c r="AF149" s="418"/>
      <c r="AG149" s="418"/>
      <c r="AH149" s="418"/>
      <c r="AI149" s="418"/>
      <c r="AJ149" s="419"/>
      <c r="AK149" s="419"/>
      <c r="AL149" s="419" t="s">
        <v>1941</v>
      </c>
      <c r="AM149" s="419"/>
      <c r="AN149" s="419">
        <v>2018</v>
      </c>
      <c r="AO149" s="419"/>
      <c r="AP149" s="419"/>
      <c r="AQ149" s="419"/>
      <c r="AR149" s="419"/>
      <c r="AS149" s="419"/>
      <c r="AT149" s="419"/>
      <c r="AU149" s="419"/>
      <c r="AV149" s="419"/>
      <c r="AW149" s="419"/>
      <c r="AX149" s="419"/>
      <c r="AY149" s="419"/>
      <c r="AZ149" s="419"/>
      <c r="BA149" s="419"/>
      <c r="BB149" s="419"/>
      <c r="BC149" s="419"/>
      <c r="BD149" s="419"/>
      <c r="BE149" s="419"/>
      <c r="BF149" s="419"/>
      <c r="BG149" s="419"/>
      <c r="BH149" s="419"/>
      <c r="BI149" s="419"/>
      <c r="BJ149" s="419"/>
      <c r="BK149" s="419"/>
      <c r="BL149" s="419"/>
      <c r="BM149" s="419"/>
      <c r="BN149" s="419"/>
      <c r="BO149" s="419"/>
      <c r="BP149" s="419"/>
      <c r="BQ149" s="419"/>
      <c r="BR149" s="419"/>
      <c r="BS149" s="419"/>
      <c r="BT149" s="419"/>
      <c r="BU149" s="420"/>
      <c r="BV149" s="420"/>
      <c r="BW149" s="420"/>
      <c r="BX149" s="420"/>
      <c r="BY149" s="420"/>
      <c r="BZ149" s="420"/>
      <c r="CA149" s="420"/>
      <c r="CB149" s="420"/>
      <c r="CC149" s="420"/>
      <c r="CD149" s="420"/>
      <c r="CE149" s="420"/>
      <c r="CF149" s="420"/>
      <c r="CG149" s="420"/>
      <c r="CH149" s="420"/>
      <c r="CI149" s="420"/>
      <c r="CJ149" s="420"/>
      <c r="CK149" s="420"/>
      <c r="CL149" s="420"/>
      <c r="CM149" s="420"/>
      <c r="CN149" s="420"/>
      <c r="CO149" s="420"/>
      <c r="CP149" s="420"/>
      <c r="CQ149" s="420"/>
      <c r="CR149" s="420"/>
      <c r="CS149" s="420"/>
      <c r="CT149" s="420"/>
      <c r="CU149" s="420"/>
      <c r="CV149" s="420"/>
      <c r="CW149" s="420"/>
      <c r="CX149" s="420"/>
      <c r="CY149" s="420"/>
      <c r="CZ149" s="420"/>
      <c r="DA149" s="420"/>
      <c r="DB149" s="420"/>
      <c r="DC149" s="420"/>
      <c r="DD149" s="420"/>
      <c r="DE149" s="420"/>
      <c r="DF149" s="420"/>
      <c r="DG149" s="420"/>
      <c r="DH149" s="420"/>
      <c r="DI149" s="420"/>
      <c r="DJ149" s="420"/>
      <c r="DK149" s="420"/>
      <c r="DL149" s="420"/>
      <c r="DM149" s="420"/>
      <c r="DN149" s="420"/>
      <c r="DO149" s="420"/>
      <c r="DP149" s="420"/>
      <c r="DQ149" s="420"/>
      <c r="DR149" s="420"/>
      <c r="DS149" s="420"/>
      <c r="DT149" s="420"/>
      <c r="DU149" s="420"/>
      <c r="DV149" s="420"/>
      <c r="DW149" s="420"/>
      <c r="DX149" s="420"/>
      <c r="DY149" s="420"/>
      <c r="DZ149" s="420"/>
      <c r="EA149" s="420"/>
      <c r="EB149" s="420"/>
      <c r="EC149" s="420"/>
      <c r="ED149" s="420"/>
      <c r="EE149" s="420"/>
      <c r="EF149" s="420"/>
      <c r="EG149" s="420"/>
      <c r="EH149" s="420"/>
      <c r="EI149" s="420"/>
      <c r="EJ149" s="420"/>
      <c r="EK149" s="420"/>
      <c r="EL149" s="420"/>
      <c r="EM149" s="420"/>
      <c r="EN149" s="420"/>
      <c r="EO149" s="420"/>
      <c r="EP149" s="420"/>
      <c r="EQ149" s="420"/>
      <c r="ER149" s="420"/>
      <c r="ES149" s="420"/>
      <c r="ET149" s="420"/>
      <c r="EU149" s="420"/>
      <c r="EV149" s="420"/>
      <c r="EW149" s="420"/>
      <c r="EX149" s="420"/>
      <c r="EY149" s="420"/>
      <c r="EZ149" s="420"/>
      <c r="FA149" s="420"/>
      <c r="FB149" s="420"/>
      <c r="FC149" s="420"/>
      <c r="FD149" s="420"/>
      <c r="FE149" s="420"/>
      <c r="FF149" s="420"/>
      <c r="FG149" s="420"/>
      <c r="FH149" s="420"/>
      <c r="FI149" s="420"/>
      <c r="FJ149" s="420"/>
      <c r="FK149" s="420"/>
      <c r="FL149" s="420"/>
      <c r="FM149" s="420"/>
      <c r="FN149" s="420"/>
      <c r="FO149" s="420"/>
      <c r="FP149" s="420"/>
      <c r="FQ149" s="420"/>
      <c r="FR149" s="420"/>
      <c r="FS149" s="420"/>
      <c r="FT149" s="420"/>
      <c r="FU149" s="420"/>
      <c r="FV149" s="420"/>
      <c r="FW149" s="420"/>
      <c r="FX149" s="420"/>
      <c r="FY149" s="420"/>
      <c r="FZ149" s="420"/>
      <c r="GA149" s="420"/>
      <c r="GB149" s="420"/>
      <c r="GC149" s="420"/>
      <c r="GD149" s="420"/>
      <c r="GE149" s="420"/>
      <c r="GF149" s="420"/>
      <c r="GG149" s="420"/>
      <c r="GH149" s="420"/>
      <c r="GI149" s="420"/>
      <c r="GJ149" s="420"/>
      <c r="GK149" s="420"/>
      <c r="GL149" s="420"/>
      <c r="GM149" s="420"/>
      <c r="GN149" s="420"/>
      <c r="GO149" s="420"/>
      <c r="GP149" s="420"/>
      <c r="GQ149" s="420"/>
      <c r="GR149" s="420"/>
      <c r="GS149" s="420"/>
      <c r="GT149" s="420"/>
      <c r="GU149" s="420"/>
      <c r="GV149" s="420"/>
      <c r="GW149" s="420"/>
      <c r="GX149" s="420"/>
      <c r="GY149" s="420"/>
      <c r="GZ149" s="420"/>
      <c r="HA149" s="420"/>
      <c r="HB149" s="420"/>
      <c r="HC149" s="420"/>
      <c r="HD149" s="420"/>
      <c r="HE149" s="420"/>
      <c r="HF149" s="420"/>
      <c r="HG149" s="420"/>
      <c r="HH149" s="420"/>
      <c r="HI149" s="420"/>
      <c r="HJ149" s="420"/>
      <c r="HK149" s="420"/>
      <c r="HL149" s="420"/>
      <c r="HM149" s="420"/>
      <c r="HN149" s="420"/>
      <c r="HO149" s="420"/>
      <c r="HP149" s="420"/>
      <c r="HQ149" s="420"/>
      <c r="HR149" s="420"/>
      <c r="HS149" s="420"/>
      <c r="HT149" s="420"/>
      <c r="HU149" s="420"/>
      <c r="HV149" s="420"/>
      <c r="HW149" s="420"/>
      <c r="HX149" s="420"/>
      <c r="HY149" s="420"/>
      <c r="HZ149" s="420"/>
      <c r="IA149" s="420"/>
      <c r="IB149" s="420"/>
      <c r="IC149" s="420"/>
      <c r="ID149" s="420"/>
      <c r="IE149" s="420"/>
      <c r="IF149" s="420"/>
      <c r="IG149" s="420"/>
      <c r="IH149" s="420"/>
      <c r="II149" s="420"/>
      <c r="IJ149" s="420"/>
      <c r="IK149" s="420"/>
      <c r="IL149" s="420"/>
      <c r="IM149" s="420"/>
      <c r="IN149" s="420"/>
      <c r="IO149" s="420"/>
      <c r="IP149" s="420"/>
      <c r="IQ149" s="420"/>
      <c r="IR149" s="420"/>
      <c r="IS149" s="420"/>
      <c r="IT149" s="420"/>
    </row>
    <row r="150" spans="4:254" ht="15" customHeight="1">
      <c r="D150" s="416"/>
      <c r="E150" s="424" t="s">
        <v>1532</v>
      </c>
      <c r="F150" s="424"/>
      <c r="G150" s="2917" t="s">
        <v>1942</v>
      </c>
      <c r="H150" s="1542"/>
      <c r="I150" s="417"/>
      <c r="J150" s="417"/>
      <c r="K150" s="421"/>
      <c r="L150" s="421"/>
      <c r="M150" s="417"/>
      <c r="N150" s="417"/>
      <c r="O150" s="12"/>
      <c r="T150" s="415"/>
      <c r="U150" s="415"/>
      <c r="V150" s="415"/>
      <c r="W150" s="415"/>
      <c r="X150" s="415"/>
      <c r="AB150" s="418"/>
      <c r="AC150" s="418"/>
      <c r="AD150" s="437"/>
      <c r="AE150" s="418"/>
      <c r="AF150" s="418"/>
      <c r="AG150" s="418"/>
      <c r="AH150" s="418"/>
      <c r="AI150" s="418"/>
      <c r="AJ150" s="419"/>
      <c r="AK150" s="419"/>
      <c r="AL150" s="419"/>
      <c r="AM150" s="419"/>
      <c r="AN150" s="419"/>
      <c r="AO150" s="419"/>
      <c r="AP150" s="419"/>
      <c r="AQ150" s="419"/>
      <c r="AR150" s="419"/>
      <c r="AS150" s="419"/>
      <c r="AT150" s="419"/>
      <c r="AU150" s="419"/>
      <c r="AV150" s="419"/>
      <c r="AW150" s="419"/>
      <c r="AX150" s="419"/>
      <c r="AY150" s="419"/>
      <c r="AZ150" s="419"/>
      <c r="BA150" s="419"/>
      <c r="BB150" s="419"/>
      <c r="BC150" s="419"/>
      <c r="BD150" s="419"/>
      <c r="BE150" s="419"/>
      <c r="BF150" s="419"/>
      <c r="BG150" s="419"/>
      <c r="BH150" s="419"/>
      <c r="BI150" s="419"/>
      <c r="BJ150" s="419"/>
      <c r="BK150" s="419"/>
      <c r="BL150" s="419"/>
      <c r="BM150" s="419"/>
      <c r="BN150" s="419"/>
      <c r="BO150" s="419"/>
      <c r="BP150" s="419"/>
      <c r="BQ150" s="419"/>
      <c r="BR150" s="419"/>
      <c r="BS150" s="419"/>
      <c r="BT150" s="419"/>
      <c r="BU150" s="420"/>
      <c r="BV150" s="420"/>
      <c r="BW150" s="420"/>
      <c r="BX150" s="420"/>
      <c r="BY150" s="420"/>
      <c r="BZ150" s="420"/>
      <c r="CA150" s="420"/>
      <c r="CB150" s="420"/>
      <c r="CC150" s="420"/>
      <c r="CD150" s="420"/>
      <c r="CE150" s="420"/>
      <c r="CF150" s="420"/>
      <c r="CG150" s="420"/>
      <c r="CH150" s="420"/>
      <c r="CI150" s="420"/>
      <c r="CJ150" s="420"/>
      <c r="CK150" s="420"/>
      <c r="CL150" s="420"/>
      <c r="CM150" s="420"/>
      <c r="CN150" s="420"/>
      <c r="CO150" s="420"/>
      <c r="CP150" s="420"/>
      <c r="CQ150" s="420"/>
      <c r="CR150" s="420"/>
      <c r="CS150" s="420"/>
      <c r="CT150" s="420"/>
      <c r="CU150" s="420"/>
      <c r="CV150" s="420"/>
      <c r="CW150" s="420"/>
      <c r="CX150" s="420"/>
      <c r="CY150" s="420"/>
      <c r="CZ150" s="420"/>
      <c r="DA150" s="420"/>
      <c r="DB150" s="420"/>
      <c r="DC150" s="420"/>
      <c r="DD150" s="420"/>
      <c r="DE150" s="420"/>
      <c r="DF150" s="420"/>
      <c r="DG150" s="420"/>
      <c r="DH150" s="420"/>
      <c r="DI150" s="420"/>
      <c r="DJ150" s="420"/>
      <c r="DK150" s="420"/>
      <c r="DL150" s="420"/>
      <c r="DM150" s="420"/>
      <c r="DN150" s="420"/>
      <c r="DO150" s="420"/>
      <c r="DP150" s="420"/>
      <c r="DQ150" s="420"/>
      <c r="DR150" s="420"/>
      <c r="DS150" s="420"/>
      <c r="DT150" s="420"/>
      <c r="DU150" s="420"/>
      <c r="DV150" s="420"/>
      <c r="DW150" s="420"/>
      <c r="DX150" s="420"/>
      <c r="DY150" s="420"/>
      <c r="DZ150" s="420"/>
      <c r="EA150" s="420"/>
      <c r="EB150" s="420"/>
      <c r="EC150" s="420"/>
      <c r="ED150" s="420"/>
      <c r="EE150" s="420"/>
      <c r="EF150" s="420"/>
      <c r="EG150" s="420"/>
      <c r="EH150" s="420"/>
      <c r="EI150" s="420"/>
      <c r="EJ150" s="420"/>
      <c r="EK150" s="420"/>
      <c r="EL150" s="420"/>
      <c r="EM150" s="420"/>
      <c r="EN150" s="420"/>
      <c r="EO150" s="420"/>
      <c r="EP150" s="420"/>
      <c r="EQ150" s="420"/>
      <c r="ER150" s="420"/>
      <c r="ES150" s="420"/>
      <c r="ET150" s="420"/>
      <c r="EU150" s="420"/>
      <c r="EV150" s="420"/>
      <c r="EW150" s="420"/>
      <c r="EX150" s="420"/>
      <c r="EY150" s="420"/>
      <c r="EZ150" s="420"/>
      <c r="FA150" s="420"/>
      <c r="FB150" s="420"/>
      <c r="FC150" s="420"/>
      <c r="FD150" s="420"/>
      <c r="FE150" s="420"/>
      <c r="FF150" s="420"/>
      <c r="FG150" s="420"/>
      <c r="FH150" s="420"/>
      <c r="FI150" s="420"/>
      <c r="FJ150" s="420"/>
      <c r="FK150" s="420"/>
      <c r="FL150" s="420"/>
      <c r="FM150" s="420"/>
      <c r="FN150" s="420"/>
      <c r="FO150" s="420"/>
      <c r="FP150" s="420"/>
      <c r="FQ150" s="420"/>
      <c r="FR150" s="420"/>
      <c r="FS150" s="420"/>
      <c r="FT150" s="420"/>
      <c r="FU150" s="420"/>
      <c r="FV150" s="420"/>
      <c r="FW150" s="420"/>
      <c r="FX150" s="420"/>
      <c r="FY150" s="420"/>
      <c r="FZ150" s="420"/>
      <c r="GA150" s="420"/>
      <c r="GB150" s="420"/>
      <c r="GC150" s="420"/>
      <c r="GD150" s="420"/>
      <c r="GE150" s="420"/>
      <c r="GF150" s="420"/>
      <c r="GG150" s="420"/>
      <c r="GH150" s="420"/>
      <c r="GI150" s="420"/>
      <c r="GJ150" s="420"/>
      <c r="GK150" s="420"/>
      <c r="GL150" s="420"/>
      <c r="GM150" s="420"/>
      <c r="GN150" s="420"/>
      <c r="GO150" s="420"/>
      <c r="GP150" s="420"/>
      <c r="GQ150" s="420"/>
      <c r="GR150" s="420"/>
      <c r="GS150" s="420"/>
      <c r="GT150" s="420"/>
      <c r="GU150" s="420"/>
      <c r="GV150" s="420"/>
      <c r="GW150" s="420"/>
      <c r="GX150" s="420"/>
      <c r="GY150" s="420"/>
      <c r="GZ150" s="420"/>
      <c r="HA150" s="420"/>
      <c r="HB150" s="420"/>
      <c r="HC150" s="420"/>
      <c r="HD150" s="420"/>
      <c r="HE150" s="420"/>
      <c r="HF150" s="420"/>
      <c r="HG150" s="420"/>
      <c r="HH150" s="420"/>
      <c r="HI150" s="420"/>
      <c r="HJ150" s="420"/>
      <c r="HK150" s="420"/>
      <c r="HL150" s="420"/>
      <c r="HM150" s="420"/>
      <c r="HN150" s="420"/>
      <c r="HO150" s="420"/>
      <c r="HP150" s="420"/>
      <c r="HQ150" s="420"/>
      <c r="HR150" s="420"/>
      <c r="HS150" s="420"/>
      <c r="HT150" s="420"/>
      <c r="HU150" s="420"/>
      <c r="HV150" s="420"/>
      <c r="HW150" s="420"/>
      <c r="HX150" s="420"/>
      <c r="HY150" s="420"/>
      <c r="HZ150" s="420"/>
      <c r="IA150" s="420"/>
      <c r="IB150" s="420"/>
      <c r="IC150" s="420"/>
      <c r="ID150" s="420"/>
      <c r="IE150" s="420"/>
      <c r="IF150" s="420"/>
      <c r="IG150" s="420"/>
      <c r="IH150" s="420"/>
      <c r="II150" s="420"/>
      <c r="IJ150" s="420"/>
      <c r="IK150" s="420"/>
      <c r="IL150" s="420"/>
      <c r="IM150" s="420"/>
      <c r="IN150" s="420"/>
      <c r="IO150" s="420"/>
      <c r="IP150" s="420"/>
      <c r="IQ150" s="420"/>
      <c r="IR150" s="420"/>
      <c r="IS150" s="420"/>
      <c r="IT150" s="420"/>
    </row>
    <row r="151" spans="4:254" ht="15" customHeight="1">
      <c r="D151" s="416"/>
      <c r="E151" s="426" t="s">
        <v>1534</v>
      </c>
      <c r="F151" s="427"/>
      <c r="G151" s="2914">
        <f>DGEN_FE!G268</f>
        <v>41.666666666666671</v>
      </c>
      <c r="H151" s="1542"/>
      <c r="I151" s="417"/>
      <c r="J151" s="417"/>
      <c r="K151" s="421"/>
      <c r="L151" s="421"/>
      <c r="M151" s="417"/>
      <c r="N151" s="417"/>
      <c r="O151" s="12"/>
      <c r="T151" s="415"/>
      <c r="U151" s="415"/>
      <c r="V151" s="415"/>
      <c r="W151" s="415"/>
      <c r="X151" s="415"/>
      <c r="AB151" s="418"/>
      <c r="AC151" s="418"/>
      <c r="AD151" s="418"/>
      <c r="AE151" s="419"/>
      <c r="AF151" s="419"/>
      <c r="AG151" s="419"/>
      <c r="AH151" s="419"/>
      <c r="AI151" s="419"/>
      <c r="AJ151" s="419"/>
      <c r="AK151" s="419"/>
      <c r="AL151" s="419"/>
      <c r="AM151" s="419"/>
      <c r="AN151" s="419"/>
      <c r="AO151" s="419"/>
      <c r="AP151" s="419"/>
      <c r="AQ151" s="419"/>
      <c r="AR151" s="419"/>
      <c r="AS151" s="419"/>
      <c r="AT151" s="419"/>
      <c r="AU151" s="419"/>
      <c r="AV151" s="419"/>
      <c r="AW151" s="419"/>
      <c r="AX151" s="419"/>
      <c r="AY151" s="419"/>
      <c r="AZ151" s="419"/>
      <c r="BA151" s="419"/>
      <c r="BB151" s="419"/>
      <c r="BC151" s="419"/>
      <c r="BD151" s="419"/>
      <c r="BE151" s="419"/>
      <c r="BF151" s="419"/>
      <c r="BG151" s="419"/>
      <c r="BH151" s="419"/>
      <c r="BI151" s="419"/>
      <c r="BJ151" s="419"/>
      <c r="BK151" s="419"/>
      <c r="BL151" s="419"/>
      <c r="BM151" s="419"/>
      <c r="BN151" s="419"/>
      <c r="BO151" s="419"/>
      <c r="BP151" s="420"/>
      <c r="BQ151" s="420"/>
      <c r="BR151" s="420"/>
      <c r="BS151" s="420"/>
      <c r="BT151" s="420"/>
      <c r="BU151" s="420"/>
      <c r="BV151" s="420"/>
      <c r="BW151" s="420"/>
      <c r="BX151" s="420"/>
      <c r="BY151" s="420"/>
      <c r="BZ151" s="420"/>
      <c r="CA151" s="420"/>
      <c r="CB151" s="420"/>
      <c r="CC151" s="420"/>
      <c r="CD151" s="420"/>
      <c r="CE151" s="420"/>
      <c r="CF151" s="420"/>
      <c r="CG151" s="420"/>
      <c r="CH151" s="420"/>
      <c r="CI151" s="420"/>
      <c r="CJ151" s="420"/>
      <c r="CK151" s="420"/>
      <c r="CL151" s="420"/>
      <c r="CM151" s="420"/>
      <c r="CN151" s="420"/>
      <c r="CO151" s="420"/>
      <c r="CP151" s="420"/>
      <c r="CQ151" s="420"/>
      <c r="CR151" s="420"/>
      <c r="CS151" s="420"/>
      <c r="CT151" s="420"/>
      <c r="CU151" s="420"/>
      <c r="CV151" s="420"/>
      <c r="CW151" s="420"/>
      <c r="CX151" s="420"/>
      <c r="CY151" s="420"/>
      <c r="CZ151" s="420"/>
      <c r="DA151" s="420"/>
      <c r="DB151" s="420"/>
      <c r="DC151" s="420"/>
      <c r="DD151" s="420"/>
      <c r="DE151" s="420"/>
      <c r="DF151" s="420"/>
      <c r="DG151" s="420"/>
      <c r="DH151" s="420"/>
      <c r="DI151" s="420"/>
      <c r="DJ151" s="420"/>
      <c r="DK151" s="420"/>
      <c r="DL151" s="420"/>
      <c r="DM151" s="420"/>
      <c r="DN151" s="420"/>
      <c r="DO151" s="420"/>
      <c r="DP151" s="420"/>
      <c r="DQ151" s="420"/>
      <c r="DR151" s="420"/>
      <c r="DS151" s="420"/>
      <c r="DT151" s="420"/>
      <c r="DU151" s="420"/>
      <c r="DV151" s="420"/>
      <c r="DW151" s="420"/>
      <c r="DX151" s="420"/>
      <c r="DY151" s="420"/>
      <c r="DZ151" s="420"/>
      <c r="EA151" s="420"/>
      <c r="EB151" s="420"/>
      <c r="EC151" s="420"/>
      <c r="ED151" s="420"/>
      <c r="EE151" s="420"/>
      <c r="EF151" s="420"/>
      <c r="EG151" s="420"/>
      <c r="EH151" s="420"/>
      <c r="EI151" s="420"/>
      <c r="EJ151" s="420"/>
      <c r="EK151" s="420"/>
      <c r="EL151" s="420"/>
      <c r="EM151" s="420"/>
      <c r="EN151" s="420"/>
      <c r="EO151" s="420"/>
      <c r="EP151" s="420"/>
      <c r="EQ151" s="420"/>
      <c r="ER151" s="420"/>
      <c r="ES151" s="420"/>
      <c r="ET151" s="420"/>
      <c r="EU151" s="420"/>
      <c r="EV151" s="420"/>
      <c r="EW151" s="420"/>
      <c r="EX151" s="420"/>
      <c r="EY151" s="420"/>
      <c r="EZ151" s="420"/>
      <c r="FA151" s="420"/>
      <c r="FB151" s="420"/>
      <c r="FC151" s="420"/>
      <c r="FD151" s="420"/>
      <c r="FE151" s="420"/>
      <c r="FF151" s="420"/>
      <c r="FG151" s="420"/>
      <c r="FH151" s="420"/>
      <c r="FI151" s="420"/>
      <c r="FJ151" s="420"/>
      <c r="FK151" s="420"/>
      <c r="FL151" s="420"/>
      <c r="FM151" s="420"/>
      <c r="FN151" s="420"/>
      <c r="FO151" s="420"/>
      <c r="FP151" s="420"/>
      <c r="FQ151" s="420"/>
      <c r="FR151" s="420"/>
      <c r="FS151" s="420"/>
      <c r="FT151" s="420"/>
      <c r="FU151" s="420"/>
      <c r="FV151" s="420"/>
      <c r="FW151" s="420"/>
      <c r="FX151" s="420"/>
      <c r="FY151" s="420"/>
      <c r="FZ151" s="420"/>
      <c r="GA151" s="420"/>
      <c r="GB151" s="420"/>
      <c r="GC151" s="420"/>
      <c r="GD151" s="420"/>
      <c r="GE151" s="420"/>
      <c r="GF151" s="420"/>
      <c r="GG151" s="420"/>
      <c r="GH151" s="420"/>
      <c r="GI151" s="420"/>
      <c r="GJ151" s="420"/>
      <c r="GK151" s="420"/>
      <c r="GL151" s="420"/>
      <c r="GM151" s="420"/>
      <c r="GN151" s="420"/>
      <c r="GO151" s="420"/>
      <c r="GP151" s="420"/>
      <c r="GQ151" s="420"/>
      <c r="GR151" s="420"/>
      <c r="GS151" s="420"/>
      <c r="GT151" s="420"/>
      <c r="GU151" s="420"/>
      <c r="GV151" s="420"/>
      <c r="GW151" s="420"/>
      <c r="GX151" s="420"/>
      <c r="GY151" s="420"/>
      <c r="GZ151" s="420"/>
      <c r="HA151" s="420"/>
      <c r="HB151" s="420"/>
      <c r="HC151" s="420"/>
      <c r="HD151" s="420"/>
      <c r="HE151" s="420"/>
      <c r="HF151" s="420"/>
      <c r="HG151" s="420"/>
      <c r="HH151" s="420"/>
      <c r="HI151" s="420"/>
      <c r="HJ151" s="420"/>
      <c r="HK151" s="420"/>
      <c r="HL151" s="420"/>
      <c r="HM151" s="420"/>
      <c r="HN151" s="420"/>
      <c r="HO151" s="420"/>
      <c r="HP151" s="420"/>
      <c r="HQ151" s="420"/>
      <c r="HR151" s="420"/>
      <c r="HS151" s="420"/>
      <c r="HT151" s="420"/>
      <c r="HU151" s="420"/>
      <c r="HV151" s="420"/>
      <c r="HW151" s="420"/>
      <c r="HX151" s="420"/>
      <c r="HY151" s="420"/>
      <c r="HZ151" s="420"/>
      <c r="IA151" s="420"/>
      <c r="IB151" s="420"/>
      <c r="IC151" s="420"/>
      <c r="ID151" s="420"/>
      <c r="IE151" s="420"/>
      <c r="IF151" s="420"/>
      <c r="IG151" s="420"/>
      <c r="IH151" s="420"/>
      <c r="II151" s="420"/>
      <c r="IJ151" s="420"/>
      <c r="IK151" s="420"/>
      <c r="IL151" s="420"/>
      <c r="IM151" s="420"/>
      <c r="IN151" s="420"/>
      <c r="IO151" s="420"/>
      <c r="IP151" s="420"/>
      <c r="IQ151" s="420"/>
      <c r="IR151" s="420"/>
      <c r="IS151" s="420"/>
      <c r="IT151" s="420"/>
    </row>
    <row r="152" spans="4:254" ht="15" customHeight="1">
      <c r="D152" s="416"/>
      <c r="E152" s="428" t="s">
        <v>1535</v>
      </c>
      <c r="F152" s="429"/>
      <c r="G152" s="2914">
        <f>DGEN_FE!G269</f>
        <v>111.11166666666668</v>
      </c>
      <c r="H152" s="1542"/>
      <c r="I152" s="417"/>
      <c r="J152" s="417"/>
      <c r="K152" s="421"/>
      <c r="L152" s="421"/>
      <c r="M152" s="417"/>
      <c r="N152" s="417"/>
      <c r="O152" s="12"/>
      <c r="T152" s="415"/>
      <c r="U152" s="415"/>
      <c r="V152" s="415"/>
      <c r="W152" s="415"/>
      <c r="X152" s="415"/>
      <c r="AB152" s="418"/>
      <c r="AC152" s="418"/>
      <c r="AD152" s="419"/>
      <c r="AE152" s="419"/>
      <c r="AF152" s="419" t="s">
        <v>1939</v>
      </c>
      <c r="AG152" s="419">
        <v>11210394</v>
      </c>
      <c r="AH152" s="419" t="e">
        <v>#REF!</v>
      </c>
      <c r="AI152" s="419"/>
      <c r="AJ152" s="419"/>
      <c r="AK152" s="419"/>
      <c r="AL152" s="419"/>
      <c r="AM152" s="419"/>
      <c r="AN152" s="419"/>
      <c r="AO152" s="419"/>
      <c r="AP152" s="419"/>
      <c r="AQ152" s="419"/>
      <c r="AR152" s="419"/>
      <c r="AS152" s="419"/>
      <c r="AT152" s="419"/>
      <c r="AU152" s="419"/>
      <c r="AV152" s="419"/>
      <c r="AW152" s="419"/>
      <c r="AX152" s="419"/>
      <c r="AY152" s="419"/>
      <c r="AZ152" s="419"/>
      <c r="BA152" s="419"/>
      <c r="BB152" s="419"/>
      <c r="BC152" s="419"/>
      <c r="BD152" s="419"/>
      <c r="BE152" s="419"/>
      <c r="BF152" s="419"/>
      <c r="BG152" s="419"/>
      <c r="BH152" s="419"/>
      <c r="BI152" s="419"/>
      <c r="BJ152" s="419"/>
      <c r="BK152" s="419"/>
      <c r="BL152" s="419"/>
      <c r="BM152" s="419"/>
      <c r="BN152" s="419"/>
      <c r="BO152" s="420"/>
      <c r="BP152" s="420"/>
      <c r="BQ152" s="420"/>
      <c r="BR152" s="420"/>
      <c r="BS152" s="420"/>
      <c r="BT152" s="420"/>
      <c r="BU152" s="420"/>
      <c r="BV152" s="420"/>
      <c r="BW152" s="420"/>
      <c r="BX152" s="420"/>
      <c r="BY152" s="420"/>
      <c r="BZ152" s="420"/>
      <c r="CA152" s="420"/>
      <c r="CB152" s="420"/>
      <c r="CC152" s="420"/>
      <c r="CD152" s="420"/>
      <c r="CE152" s="420"/>
      <c r="CF152" s="420"/>
      <c r="CG152" s="420"/>
      <c r="CH152" s="420"/>
      <c r="CI152" s="420"/>
      <c r="CJ152" s="420"/>
      <c r="CK152" s="420"/>
      <c r="CL152" s="420"/>
      <c r="CM152" s="420"/>
      <c r="CN152" s="420"/>
      <c r="CO152" s="420"/>
      <c r="CP152" s="420"/>
      <c r="CQ152" s="420"/>
      <c r="CR152" s="420"/>
      <c r="CS152" s="420"/>
      <c r="CT152" s="420"/>
      <c r="CU152" s="420"/>
      <c r="CV152" s="420"/>
      <c r="CW152" s="420"/>
      <c r="CX152" s="420"/>
      <c r="CY152" s="420"/>
      <c r="CZ152" s="420"/>
      <c r="DA152" s="420"/>
      <c r="DB152" s="420"/>
      <c r="DC152" s="420"/>
      <c r="DD152" s="420"/>
      <c r="DE152" s="420"/>
      <c r="DF152" s="420"/>
      <c r="DG152" s="420"/>
      <c r="DH152" s="420"/>
      <c r="DI152" s="420"/>
      <c r="DJ152" s="420"/>
      <c r="DK152" s="420"/>
      <c r="DL152" s="420"/>
      <c r="DM152" s="420"/>
      <c r="DN152" s="420"/>
      <c r="DO152" s="420"/>
      <c r="DP152" s="420"/>
      <c r="DQ152" s="420"/>
      <c r="DR152" s="420"/>
      <c r="DS152" s="420"/>
      <c r="DT152" s="420"/>
      <c r="DU152" s="420"/>
      <c r="DV152" s="420"/>
      <c r="DW152" s="420"/>
      <c r="DX152" s="420"/>
      <c r="DY152" s="420"/>
      <c r="DZ152" s="420"/>
      <c r="EA152" s="420"/>
      <c r="EB152" s="420"/>
      <c r="EC152" s="420"/>
      <c r="ED152" s="420"/>
      <c r="EE152" s="420"/>
      <c r="EF152" s="420"/>
      <c r="EG152" s="420"/>
      <c r="EH152" s="420"/>
      <c r="EI152" s="420"/>
      <c r="EJ152" s="420"/>
      <c r="EK152" s="420"/>
      <c r="EL152" s="420"/>
      <c r="EM152" s="420"/>
      <c r="EN152" s="420"/>
      <c r="EO152" s="420"/>
      <c r="EP152" s="420"/>
      <c r="EQ152" s="420"/>
      <c r="ER152" s="420"/>
      <c r="ES152" s="420"/>
      <c r="ET152" s="420"/>
      <c r="EU152" s="420"/>
      <c r="EV152" s="420"/>
      <c r="EW152" s="420"/>
      <c r="EX152" s="420"/>
      <c r="EY152" s="420"/>
      <c r="EZ152" s="420"/>
      <c r="FA152" s="420"/>
      <c r="FB152" s="420"/>
      <c r="FC152" s="420"/>
      <c r="FD152" s="420"/>
      <c r="FE152" s="420"/>
      <c r="FF152" s="420"/>
      <c r="FG152" s="420"/>
      <c r="FH152" s="420"/>
      <c r="FI152" s="420"/>
      <c r="FJ152" s="420"/>
      <c r="FK152" s="420"/>
      <c r="FL152" s="420"/>
      <c r="FM152" s="420"/>
      <c r="FN152" s="420"/>
      <c r="FO152" s="420"/>
      <c r="FP152" s="420"/>
      <c r="FQ152" s="420"/>
      <c r="FR152" s="420"/>
      <c r="FS152" s="420"/>
      <c r="FT152" s="420"/>
      <c r="FU152" s="420"/>
      <c r="FV152" s="420"/>
      <c r="FW152" s="420"/>
      <c r="FX152" s="420"/>
      <c r="FY152" s="420"/>
      <c r="FZ152" s="420"/>
      <c r="GA152" s="420"/>
      <c r="GB152" s="420"/>
      <c r="GC152" s="420"/>
      <c r="GD152" s="420"/>
      <c r="GE152" s="420"/>
      <c r="GF152" s="420"/>
      <c r="GG152" s="420"/>
      <c r="GH152" s="420"/>
      <c r="GI152" s="420"/>
      <c r="GJ152" s="420"/>
      <c r="GK152" s="420"/>
      <c r="GL152" s="420"/>
      <c r="GM152" s="420"/>
      <c r="GN152" s="420"/>
      <c r="GO152" s="420"/>
      <c r="GP152" s="420"/>
      <c r="GQ152" s="420"/>
      <c r="GR152" s="420"/>
      <c r="GS152" s="420"/>
      <c r="GT152" s="420"/>
      <c r="GU152" s="420"/>
      <c r="GV152" s="420"/>
      <c r="GW152" s="420"/>
      <c r="GX152" s="420"/>
      <c r="GY152" s="420"/>
      <c r="GZ152" s="420"/>
      <c r="HA152" s="420"/>
      <c r="HB152" s="420"/>
      <c r="HC152" s="420"/>
      <c r="HD152" s="420"/>
      <c r="HE152" s="420"/>
      <c r="HF152" s="420"/>
      <c r="HG152" s="420"/>
      <c r="HH152" s="420"/>
      <c r="HI152" s="420"/>
      <c r="HJ152" s="420"/>
      <c r="HK152" s="420"/>
      <c r="HL152" s="420"/>
      <c r="HM152" s="420"/>
      <c r="HN152" s="420"/>
      <c r="HO152" s="420"/>
      <c r="HP152" s="420"/>
      <c r="HQ152" s="420"/>
      <c r="HR152" s="420"/>
      <c r="HS152" s="420"/>
      <c r="HT152" s="420"/>
      <c r="HU152" s="420"/>
      <c r="HV152" s="420"/>
      <c r="HW152" s="420"/>
      <c r="HX152" s="420"/>
      <c r="HY152" s="420"/>
      <c r="HZ152" s="420"/>
      <c r="IA152" s="420"/>
      <c r="IB152" s="420"/>
      <c r="IC152" s="420"/>
      <c r="ID152" s="420"/>
      <c r="IE152" s="420"/>
      <c r="IF152" s="420"/>
      <c r="IG152" s="420"/>
      <c r="IH152" s="420"/>
      <c r="II152" s="420"/>
      <c r="IJ152" s="420"/>
      <c r="IK152" s="420"/>
      <c r="IL152" s="420"/>
      <c r="IM152" s="420"/>
      <c r="IN152" s="420"/>
      <c r="IO152" s="420"/>
      <c r="IP152" s="420"/>
      <c r="IQ152" s="420"/>
      <c r="IR152" s="420"/>
      <c r="IS152" s="420"/>
    </row>
    <row r="153" spans="4:254" ht="15" customHeight="1">
      <c r="D153" s="416"/>
      <c r="E153" s="428" t="s">
        <v>1536</v>
      </c>
      <c r="F153" s="429"/>
      <c r="G153" s="2914">
        <f>DGEN_FE!G270</f>
        <v>119.44416666666667</v>
      </c>
      <c r="H153" s="1542"/>
      <c r="I153" s="417"/>
      <c r="J153" s="417"/>
      <c r="K153" s="421"/>
      <c r="L153" s="421"/>
      <c r="M153" s="417"/>
      <c r="N153" s="417"/>
      <c r="O153" s="12"/>
      <c r="T153" s="415"/>
      <c r="U153" s="415"/>
      <c r="V153" s="415"/>
      <c r="W153" s="415"/>
      <c r="X153" s="415"/>
      <c r="AB153" s="418"/>
      <c r="AC153" s="418"/>
      <c r="AD153" s="419"/>
      <c r="AE153" s="419"/>
      <c r="AF153" s="419" t="s">
        <v>1939</v>
      </c>
      <c r="AG153" s="419">
        <v>11210395</v>
      </c>
      <c r="AH153" s="419" t="e">
        <v>#REF!</v>
      </c>
      <c r="AI153" s="419"/>
      <c r="AJ153" s="419"/>
      <c r="AK153" s="419"/>
      <c r="AL153" s="419"/>
      <c r="AM153" s="419"/>
      <c r="AN153" s="419"/>
      <c r="AO153" s="419"/>
      <c r="AP153" s="419"/>
      <c r="AQ153" s="419"/>
      <c r="AR153" s="419"/>
      <c r="AS153" s="419"/>
      <c r="AT153" s="419"/>
      <c r="AU153" s="419"/>
      <c r="AV153" s="419"/>
      <c r="AW153" s="419"/>
      <c r="AX153" s="419"/>
      <c r="AY153" s="419"/>
      <c r="AZ153" s="419"/>
      <c r="BA153" s="419"/>
      <c r="BB153" s="419"/>
      <c r="BC153" s="419"/>
      <c r="BD153" s="419"/>
      <c r="BE153" s="419"/>
      <c r="BF153" s="419"/>
      <c r="BG153" s="419"/>
      <c r="BH153" s="419"/>
      <c r="BI153" s="419"/>
      <c r="BJ153" s="419"/>
      <c r="BK153" s="419"/>
      <c r="BL153" s="419"/>
      <c r="BM153" s="419"/>
      <c r="BN153" s="419"/>
      <c r="BO153" s="420"/>
      <c r="BP153" s="420"/>
      <c r="BQ153" s="420"/>
      <c r="BR153" s="420"/>
      <c r="BS153" s="420"/>
      <c r="BT153" s="420"/>
      <c r="BU153" s="420"/>
      <c r="BV153" s="420"/>
      <c r="BW153" s="420"/>
      <c r="BX153" s="420"/>
      <c r="BY153" s="420"/>
      <c r="BZ153" s="420"/>
      <c r="CA153" s="420"/>
      <c r="CB153" s="420"/>
      <c r="CC153" s="420"/>
      <c r="CD153" s="420"/>
      <c r="CE153" s="420"/>
      <c r="CF153" s="420"/>
      <c r="CG153" s="420"/>
      <c r="CH153" s="420"/>
      <c r="CI153" s="420"/>
      <c r="CJ153" s="420"/>
      <c r="CK153" s="420"/>
      <c r="CL153" s="420"/>
      <c r="CM153" s="420"/>
      <c r="CN153" s="420"/>
      <c r="CO153" s="420"/>
      <c r="CP153" s="420"/>
      <c r="CQ153" s="420"/>
      <c r="CR153" s="420"/>
      <c r="CS153" s="420"/>
      <c r="CT153" s="420"/>
      <c r="CU153" s="420"/>
      <c r="CV153" s="420"/>
      <c r="CW153" s="420"/>
      <c r="CX153" s="420"/>
      <c r="CY153" s="420"/>
      <c r="CZ153" s="420"/>
      <c r="DA153" s="420"/>
      <c r="DB153" s="420"/>
      <c r="DC153" s="420"/>
      <c r="DD153" s="420"/>
      <c r="DE153" s="420"/>
      <c r="DF153" s="420"/>
      <c r="DG153" s="420"/>
      <c r="DH153" s="420"/>
      <c r="DI153" s="420"/>
      <c r="DJ153" s="420"/>
      <c r="DK153" s="420"/>
      <c r="DL153" s="420"/>
      <c r="DM153" s="420"/>
      <c r="DN153" s="420"/>
      <c r="DO153" s="420"/>
      <c r="DP153" s="420"/>
      <c r="DQ153" s="420"/>
      <c r="DR153" s="420"/>
      <c r="DS153" s="420"/>
      <c r="DT153" s="420"/>
      <c r="DU153" s="420"/>
      <c r="DV153" s="420"/>
      <c r="DW153" s="420"/>
      <c r="DX153" s="420"/>
      <c r="DY153" s="420"/>
      <c r="DZ153" s="420"/>
      <c r="EA153" s="420"/>
      <c r="EB153" s="420"/>
      <c r="EC153" s="420"/>
      <c r="ED153" s="420"/>
      <c r="EE153" s="420"/>
      <c r="EF153" s="420"/>
      <c r="EG153" s="420"/>
      <c r="EH153" s="420"/>
      <c r="EI153" s="420"/>
      <c r="EJ153" s="420"/>
      <c r="EK153" s="420"/>
      <c r="EL153" s="420"/>
      <c r="EM153" s="420"/>
      <c r="EN153" s="420"/>
      <c r="EO153" s="420"/>
      <c r="EP153" s="420"/>
      <c r="EQ153" s="420"/>
      <c r="ER153" s="420"/>
      <c r="ES153" s="420"/>
      <c r="ET153" s="420"/>
      <c r="EU153" s="420"/>
      <c r="EV153" s="420"/>
      <c r="EW153" s="420"/>
      <c r="EX153" s="420"/>
      <c r="EY153" s="420"/>
      <c r="EZ153" s="420"/>
      <c r="FA153" s="420"/>
      <c r="FB153" s="420"/>
      <c r="FC153" s="420"/>
      <c r="FD153" s="420"/>
      <c r="FE153" s="420"/>
      <c r="FF153" s="420"/>
      <c r="FG153" s="420"/>
      <c r="FH153" s="420"/>
      <c r="FI153" s="420"/>
      <c r="FJ153" s="420"/>
      <c r="FK153" s="420"/>
      <c r="FL153" s="420"/>
      <c r="FM153" s="420"/>
      <c r="FN153" s="420"/>
      <c r="FO153" s="420"/>
      <c r="FP153" s="420"/>
      <c r="FQ153" s="420"/>
      <c r="FR153" s="420"/>
      <c r="FS153" s="420"/>
      <c r="FT153" s="420"/>
      <c r="FU153" s="420"/>
      <c r="FV153" s="420"/>
      <c r="FW153" s="420"/>
      <c r="FX153" s="420"/>
      <c r="FY153" s="420"/>
      <c r="FZ153" s="420"/>
      <c r="GA153" s="420"/>
      <c r="GB153" s="420"/>
      <c r="GC153" s="420"/>
      <c r="GD153" s="420"/>
      <c r="GE153" s="420"/>
      <c r="GF153" s="420"/>
      <c r="GG153" s="420"/>
      <c r="GH153" s="420"/>
      <c r="GI153" s="420"/>
      <c r="GJ153" s="420"/>
      <c r="GK153" s="420"/>
      <c r="GL153" s="420"/>
      <c r="GM153" s="420"/>
      <c r="GN153" s="420"/>
      <c r="GO153" s="420"/>
      <c r="GP153" s="420"/>
      <c r="GQ153" s="420"/>
      <c r="GR153" s="420"/>
      <c r="GS153" s="420"/>
      <c r="GT153" s="420"/>
      <c r="GU153" s="420"/>
      <c r="GV153" s="420"/>
      <c r="GW153" s="420"/>
      <c r="GX153" s="420"/>
      <c r="GY153" s="420"/>
      <c r="GZ153" s="420"/>
      <c r="HA153" s="420"/>
      <c r="HB153" s="420"/>
      <c r="HC153" s="420"/>
      <c r="HD153" s="420"/>
      <c r="HE153" s="420"/>
      <c r="HF153" s="420"/>
      <c r="HG153" s="420"/>
      <c r="HH153" s="420"/>
      <c r="HI153" s="420"/>
      <c r="HJ153" s="420"/>
      <c r="HK153" s="420"/>
      <c r="HL153" s="420"/>
      <c r="HM153" s="420"/>
      <c r="HN153" s="420"/>
      <c r="HO153" s="420"/>
      <c r="HP153" s="420"/>
      <c r="HQ153" s="420"/>
      <c r="HR153" s="420"/>
      <c r="HS153" s="420"/>
      <c r="HT153" s="420"/>
      <c r="HU153" s="420"/>
      <c r="HV153" s="420"/>
      <c r="HW153" s="420"/>
      <c r="HX153" s="420"/>
      <c r="HY153" s="420"/>
      <c r="HZ153" s="420"/>
      <c r="IA153" s="420"/>
      <c r="IB153" s="420"/>
      <c r="IC153" s="420"/>
      <c r="ID153" s="420"/>
      <c r="IE153" s="420"/>
      <c r="IF153" s="420"/>
      <c r="IG153" s="420"/>
      <c r="IH153" s="420"/>
      <c r="II153" s="420"/>
      <c r="IJ153" s="420"/>
      <c r="IK153" s="420"/>
      <c r="IL153" s="420"/>
      <c r="IM153" s="420"/>
      <c r="IN153" s="420"/>
      <c r="IO153" s="420"/>
      <c r="IP153" s="420"/>
      <c r="IQ153" s="420"/>
      <c r="IR153" s="420"/>
      <c r="IS153" s="420"/>
    </row>
    <row r="154" spans="4:254" ht="15" customHeight="1">
      <c r="D154" s="416"/>
      <c r="E154" s="428" t="s">
        <v>1537</v>
      </c>
      <c r="F154" s="429"/>
      <c r="G154" s="2914">
        <f>DGEN_FE!G271</f>
        <v>66.666666666666671</v>
      </c>
      <c r="H154" s="1542"/>
      <c r="I154" s="417"/>
      <c r="J154" s="417"/>
      <c r="K154" s="421"/>
      <c r="L154" s="421"/>
      <c r="M154" s="417"/>
      <c r="N154" s="417"/>
      <c r="O154" s="12"/>
      <c r="T154" s="415"/>
      <c r="U154" s="415"/>
      <c r="V154" s="415"/>
      <c r="W154" s="415"/>
      <c r="X154" s="415"/>
      <c r="AB154" s="418"/>
      <c r="AC154" s="430"/>
      <c r="AD154" s="418"/>
      <c r="AE154" s="418"/>
      <c r="AF154" s="418"/>
      <c r="AG154" s="418"/>
      <c r="AH154" s="418"/>
      <c r="AI154" s="419"/>
      <c r="AJ154" s="419"/>
      <c r="AK154" s="419" t="s">
        <v>1939</v>
      </c>
      <c r="AL154" s="419">
        <v>11210396</v>
      </c>
      <c r="AM154" s="419" t="e">
        <v>#REF!</v>
      </c>
      <c r="AN154" s="419"/>
      <c r="AO154" s="419"/>
      <c r="AP154" s="419"/>
      <c r="AQ154" s="419"/>
      <c r="AR154" s="419"/>
      <c r="AS154" s="419"/>
      <c r="AT154" s="419"/>
      <c r="AU154" s="419"/>
      <c r="AV154" s="419"/>
      <c r="AW154" s="419"/>
      <c r="AX154" s="419"/>
      <c r="AY154" s="419"/>
      <c r="AZ154" s="419"/>
      <c r="BA154" s="419"/>
      <c r="BB154" s="419"/>
      <c r="BC154" s="419"/>
      <c r="BD154" s="419"/>
      <c r="BE154" s="419"/>
      <c r="BF154" s="419"/>
      <c r="BG154" s="419"/>
      <c r="BH154" s="419"/>
      <c r="BI154" s="419"/>
      <c r="BJ154" s="419"/>
      <c r="BK154" s="419"/>
      <c r="BL154" s="419"/>
      <c r="BM154" s="419"/>
      <c r="BN154" s="419"/>
      <c r="BO154" s="419"/>
      <c r="BP154" s="419"/>
      <c r="BQ154" s="419"/>
      <c r="BR154" s="419"/>
      <c r="BS154" s="419"/>
      <c r="BT154" s="420"/>
      <c r="BU154" s="420"/>
      <c r="BV154" s="420"/>
      <c r="BW154" s="420"/>
      <c r="BX154" s="420"/>
      <c r="BY154" s="420"/>
      <c r="BZ154" s="420"/>
      <c r="CA154" s="420"/>
      <c r="CB154" s="420"/>
      <c r="CC154" s="420"/>
      <c r="CD154" s="420"/>
      <c r="CE154" s="420"/>
      <c r="CF154" s="420"/>
      <c r="CG154" s="420"/>
      <c r="CH154" s="420"/>
      <c r="CI154" s="420"/>
      <c r="CJ154" s="420"/>
      <c r="CK154" s="420"/>
      <c r="CL154" s="420"/>
      <c r="CM154" s="420"/>
      <c r="CN154" s="420"/>
      <c r="CO154" s="420"/>
      <c r="CP154" s="420"/>
      <c r="CQ154" s="420"/>
      <c r="CR154" s="420"/>
      <c r="CS154" s="420"/>
      <c r="CT154" s="420"/>
      <c r="CU154" s="420"/>
      <c r="CV154" s="420"/>
      <c r="CW154" s="420"/>
      <c r="CX154" s="420"/>
      <c r="CY154" s="420"/>
      <c r="CZ154" s="420"/>
      <c r="DA154" s="420"/>
      <c r="DB154" s="420"/>
      <c r="DC154" s="420"/>
      <c r="DD154" s="420"/>
      <c r="DE154" s="420"/>
      <c r="DF154" s="420"/>
      <c r="DG154" s="420"/>
      <c r="DH154" s="420"/>
      <c r="DI154" s="420"/>
      <c r="DJ154" s="420"/>
      <c r="DK154" s="420"/>
      <c r="DL154" s="420"/>
      <c r="DM154" s="420"/>
      <c r="DN154" s="420"/>
      <c r="DO154" s="420"/>
      <c r="DP154" s="420"/>
      <c r="DQ154" s="420"/>
      <c r="DR154" s="420"/>
      <c r="DS154" s="420"/>
      <c r="DT154" s="420"/>
      <c r="DU154" s="420"/>
      <c r="DV154" s="420"/>
      <c r="DW154" s="420"/>
      <c r="DX154" s="420"/>
      <c r="DY154" s="420"/>
      <c r="DZ154" s="420"/>
      <c r="EA154" s="420"/>
      <c r="EB154" s="420"/>
      <c r="EC154" s="420"/>
      <c r="ED154" s="420"/>
      <c r="EE154" s="420"/>
      <c r="EF154" s="420"/>
      <c r="EG154" s="420"/>
      <c r="EH154" s="420"/>
      <c r="EI154" s="420"/>
      <c r="EJ154" s="420"/>
      <c r="EK154" s="420"/>
      <c r="EL154" s="420"/>
      <c r="EM154" s="420"/>
      <c r="EN154" s="420"/>
      <c r="EO154" s="420"/>
      <c r="EP154" s="420"/>
      <c r="EQ154" s="420"/>
      <c r="ER154" s="420"/>
      <c r="ES154" s="420"/>
      <c r="ET154" s="420"/>
      <c r="EU154" s="420"/>
      <c r="EV154" s="420"/>
      <c r="EW154" s="420"/>
      <c r="EX154" s="420"/>
      <c r="EY154" s="420"/>
      <c r="EZ154" s="420"/>
      <c r="FA154" s="420"/>
      <c r="FB154" s="420"/>
      <c r="FC154" s="420"/>
      <c r="FD154" s="420"/>
      <c r="FE154" s="420"/>
      <c r="FF154" s="420"/>
      <c r="FG154" s="420"/>
      <c r="FH154" s="420"/>
      <c r="FI154" s="420"/>
      <c r="FJ154" s="420"/>
      <c r="FK154" s="420"/>
      <c r="FL154" s="420"/>
      <c r="FM154" s="420"/>
      <c r="FN154" s="420"/>
      <c r="FO154" s="420"/>
      <c r="FP154" s="420"/>
      <c r="FQ154" s="420"/>
      <c r="FR154" s="420"/>
      <c r="FS154" s="420"/>
      <c r="FT154" s="420"/>
      <c r="FU154" s="420"/>
      <c r="FV154" s="420"/>
      <c r="FW154" s="420"/>
      <c r="FX154" s="420"/>
      <c r="FY154" s="420"/>
      <c r="FZ154" s="420"/>
      <c r="GA154" s="420"/>
      <c r="GB154" s="420"/>
      <c r="GC154" s="420"/>
      <c r="GD154" s="420"/>
      <c r="GE154" s="420"/>
      <c r="GF154" s="420"/>
      <c r="GG154" s="420"/>
      <c r="GH154" s="420"/>
      <c r="GI154" s="420"/>
      <c r="GJ154" s="420"/>
      <c r="GK154" s="420"/>
      <c r="GL154" s="420"/>
      <c r="GM154" s="420"/>
      <c r="GN154" s="420"/>
      <c r="GO154" s="420"/>
      <c r="GP154" s="420"/>
      <c r="GQ154" s="420"/>
      <c r="GR154" s="420"/>
      <c r="GS154" s="420"/>
      <c r="GT154" s="420"/>
      <c r="GU154" s="420"/>
      <c r="GV154" s="420"/>
      <c r="GW154" s="420"/>
      <c r="GX154" s="420"/>
      <c r="GY154" s="420"/>
      <c r="GZ154" s="420"/>
      <c r="HA154" s="420"/>
      <c r="HB154" s="420"/>
      <c r="HC154" s="420"/>
      <c r="HD154" s="420"/>
      <c r="HE154" s="420"/>
      <c r="HF154" s="420"/>
      <c r="HG154" s="420"/>
      <c r="HH154" s="420"/>
      <c r="HI154" s="420"/>
      <c r="HJ154" s="420"/>
      <c r="HK154" s="420"/>
      <c r="HL154" s="420"/>
      <c r="HM154" s="420"/>
      <c r="HN154" s="420"/>
      <c r="HO154" s="420"/>
      <c r="HP154" s="420"/>
      <c r="HQ154" s="420"/>
      <c r="HR154" s="420"/>
      <c r="HS154" s="420"/>
      <c r="HT154" s="420"/>
      <c r="HU154" s="420"/>
      <c r="HV154" s="420"/>
      <c r="HW154" s="420"/>
      <c r="HX154" s="420"/>
      <c r="HY154" s="420"/>
      <c r="HZ154" s="420"/>
      <c r="IA154" s="420"/>
      <c r="IB154" s="420"/>
      <c r="IC154" s="420"/>
      <c r="ID154" s="420"/>
      <c r="IE154" s="420"/>
      <c r="IF154" s="420"/>
      <c r="IG154" s="420"/>
      <c r="IH154" s="420"/>
      <c r="II154" s="420"/>
      <c r="IJ154" s="420"/>
      <c r="IK154" s="420"/>
      <c r="IL154" s="420"/>
      <c r="IM154" s="420"/>
      <c r="IN154" s="420"/>
      <c r="IO154" s="420"/>
      <c r="IP154" s="420"/>
      <c r="IQ154" s="420"/>
      <c r="IR154" s="420"/>
      <c r="IS154" s="420"/>
    </row>
    <row r="155" spans="4:254" ht="15" customHeight="1">
      <c r="D155" s="416"/>
      <c r="E155" s="441" t="s">
        <v>1940</v>
      </c>
      <c r="F155" s="434"/>
      <c r="G155" s="2915">
        <f>DGEN_FE!G272</f>
        <v>0</v>
      </c>
      <c r="H155" s="1542"/>
      <c r="I155" s="417"/>
      <c r="J155" s="417"/>
      <c r="K155" s="421"/>
      <c r="L155" s="421"/>
      <c r="M155" s="417"/>
      <c r="N155" s="417"/>
      <c r="O155" s="12"/>
      <c r="T155" s="415"/>
      <c r="U155" s="415"/>
      <c r="V155" s="415"/>
      <c r="W155" s="415"/>
      <c r="X155" s="415"/>
      <c r="AB155" s="418"/>
      <c r="AC155" s="430"/>
      <c r="AD155" s="418"/>
      <c r="AE155" s="418"/>
      <c r="AF155" s="418"/>
      <c r="AG155" s="418"/>
      <c r="AH155" s="418"/>
      <c r="AI155" s="419"/>
      <c r="AJ155" s="419"/>
      <c r="AK155" s="419" t="s">
        <v>1939</v>
      </c>
      <c r="AL155" s="419">
        <v>11210397</v>
      </c>
      <c r="AM155" s="419" t="e">
        <v>#REF!</v>
      </c>
      <c r="AN155" s="419"/>
      <c r="AO155" s="419"/>
      <c r="AP155" s="419"/>
      <c r="AQ155" s="419"/>
      <c r="AR155" s="419"/>
      <c r="AS155" s="419"/>
      <c r="AT155" s="419"/>
      <c r="AU155" s="419"/>
      <c r="AV155" s="419"/>
      <c r="AW155" s="419"/>
      <c r="AX155" s="419"/>
      <c r="AY155" s="419"/>
      <c r="AZ155" s="419"/>
      <c r="BA155" s="419"/>
      <c r="BB155" s="419"/>
      <c r="BC155" s="419"/>
      <c r="BD155" s="419"/>
      <c r="BE155" s="419"/>
      <c r="BF155" s="419"/>
      <c r="BG155" s="419"/>
      <c r="BH155" s="419"/>
      <c r="BI155" s="419"/>
      <c r="BJ155" s="419"/>
      <c r="BK155" s="419"/>
      <c r="BL155" s="419"/>
      <c r="BM155" s="419"/>
      <c r="BN155" s="419"/>
      <c r="BO155" s="419"/>
      <c r="BP155" s="419"/>
      <c r="BQ155" s="419"/>
      <c r="BR155" s="419"/>
      <c r="BS155" s="419"/>
      <c r="BT155" s="420"/>
      <c r="BU155" s="420"/>
      <c r="BV155" s="420"/>
      <c r="BW155" s="420"/>
      <c r="BX155" s="420"/>
      <c r="BY155" s="420"/>
      <c r="BZ155" s="420"/>
      <c r="CA155" s="420"/>
      <c r="CB155" s="420"/>
      <c r="CC155" s="420"/>
      <c r="CD155" s="420"/>
      <c r="CE155" s="420"/>
      <c r="CF155" s="420"/>
      <c r="CG155" s="420"/>
      <c r="CH155" s="420"/>
      <c r="CI155" s="420"/>
      <c r="CJ155" s="420"/>
      <c r="CK155" s="420"/>
      <c r="CL155" s="420"/>
      <c r="CM155" s="420"/>
      <c r="CN155" s="420"/>
      <c r="CO155" s="420"/>
      <c r="CP155" s="420"/>
      <c r="CQ155" s="420"/>
      <c r="CR155" s="420"/>
      <c r="CS155" s="420"/>
      <c r="CT155" s="420"/>
      <c r="CU155" s="420"/>
      <c r="CV155" s="420"/>
      <c r="CW155" s="420"/>
      <c r="CX155" s="420"/>
      <c r="CY155" s="420"/>
      <c r="CZ155" s="420"/>
      <c r="DA155" s="420"/>
      <c r="DB155" s="420"/>
      <c r="DC155" s="420"/>
      <c r="DD155" s="420"/>
      <c r="DE155" s="420"/>
      <c r="DF155" s="420"/>
      <c r="DG155" s="420"/>
      <c r="DH155" s="420"/>
      <c r="DI155" s="420"/>
      <c r="DJ155" s="420"/>
      <c r="DK155" s="420"/>
      <c r="DL155" s="420"/>
      <c r="DM155" s="420"/>
      <c r="DN155" s="420"/>
      <c r="DO155" s="420"/>
      <c r="DP155" s="420"/>
      <c r="DQ155" s="420"/>
      <c r="DR155" s="420"/>
      <c r="DS155" s="420"/>
      <c r="DT155" s="420"/>
      <c r="DU155" s="420"/>
      <c r="DV155" s="420"/>
      <c r="DW155" s="420"/>
      <c r="DX155" s="420"/>
      <c r="DY155" s="420"/>
      <c r="DZ155" s="420"/>
      <c r="EA155" s="420"/>
      <c r="EB155" s="420"/>
      <c r="EC155" s="420"/>
      <c r="ED155" s="420"/>
      <c r="EE155" s="420"/>
      <c r="EF155" s="420"/>
      <c r="EG155" s="420"/>
      <c r="EH155" s="420"/>
      <c r="EI155" s="420"/>
      <c r="EJ155" s="420"/>
      <c r="EK155" s="420"/>
      <c r="EL155" s="420"/>
      <c r="EM155" s="420"/>
      <c r="EN155" s="420"/>
      <c r="EO155" s="420"/>
      <c r="EP155" s="420"/>
      <c r="EQ155" s="420"/>
      <c r="ER155" s="420"/>
      <c r="ES155" s="420"/>
      <c r="ET155" s="420"/>
      <c r="EU155" s="420"/>
      <c r="EV155" s="420"/>
      <c r="EW155" s="420"/>
      <c r="EX155" s="420"/>
      <c r="EY155" s="420"/>
      <c r="EZ155" s="420"/>
      <c r="FA155" s="420"/>
      <c r="FB155" s="420"/>
      <c r="FC155" s="420"/>
      <c r="FD155" s="420"/>
      <c r="FE155" s="420"/>
      <c r="FF155" s="420"/>
      <c r="FG155" s="420"/>
      <c r="FH155" s="420"/>
      <c r="FI155" s="420"/>
      <c r="FJ155" s="420"/>
      <c r="FK155" s="420"/>
      <c r="FL155" s="420"/>
      <c r="FM155" s="420"/>
      <c r="FN155" s="420"/>
      <c r="FO155" s="420"/>
      <c r="FP155" s="420"/>
      <c r="FQ155" s="420"/>
      <c r="FR155" s="420"/>
      <c r="FS155" s="420"/>
      <c r="FT155" s="420"/>
      <c r="FU155" s="420"/>
      <c r="FV155" s="420"/>
      <c r="FW155" s="420"/>
      <c r="FX155" s="420"/>
      <c r="FY155" s="420"/>
      <c r="FZ155" s="420"/>
      <c r="GA155" s="420"/>
      <c r="GB155" s="420"/>
      <c r="GC155" s="420"/>
      <c r="GD155" s="420"/>
      <c r="GE155" s="420"/>
      <c r="GF155" s="420"/>
      <c r="GG155" s="420"/>
      <c r="GH155" s="420"/>
      <c r="GI155" s="420"/>
      <c r="GJ155" s="420"/>
      <c r="GK155" s="420"/>
      <c r="GL155" s="420"/>
      <c r="GM155" s="420"/>
      <c r="GN155" s="420"/>
      <c r="GO155" s="420"/>
      <c r="GP155" s="420"/>
      <c r="GQ155" s="420"/>
      <c r="GR155" s="420"/>
      <c r="GS155" s="420"/>
      <c r="GT155" s="420"/>
      <c r="GU155" s="420"/>
      <c r="GV155" s="420"/>
      <c r="GW155" s="420"/>
      <c r="GX155" s="420"/>
      <c r="GY155" s="420"/>
      <c r="GZ155" s="420"/>
      <c r="HA155" s="420"/>
      <c r="HB155" s="420"/>
      <c r="HC155" s="420"/>
      <c r="HD155" s="420"/>
      <c r="HE155" s="420"/>
      <c r="HF155" s="420"/>
      <c r="HG155" s="420"/>
      <c r="HH155" s="420"/>
      <c r="HI155" s="420"/>
      <c r="HJ155" s="420"/>
      <c r="HK155" s="420"/>
      <c r="HL155" s="420"/>
      <c r="HM155" s="420"/>
      <c r="HN155" s="420"/>
      <c r="HO155" s="420"/>
      <c r="HP155" s="420"/>
      <c r="HQ155" s="420"/>
      <c r="HR155" s="420"/>
      <c r="HS155" s="420"/>
      <c r="HT155" s="420"/>
      <c r="HU155" s="420"/>
      <c r="HV155" s="420"/>
      <c r="HW155" s="420"/>
      <c r="HX155" s="420"/>
      <c r="HY155" s="420"/>
      <c r="HZ155" s="420"/>
      <c r="IA155" s="420"/>
      <c r="IB155" s="420"/>
      <c r="IC155" s="420"/>
      <c r="ID155" s="420"/>
      <c r="IE155" s="420"/>
      <c r="IF155" s="420"/>
      <c r="IG155" s="420"/>
      <c r="IH155" s="420"/>
      <c r="II155" s="420"/>
      <c r="IJ155" s="420"/>
      <c r="IK155" s="420"/>
      <c r="IL155" s="420"/>
      <c r="IM155" s="420"/>
      <c r="IN155" s="420"/>
      <c r="IO155" s="420"/>
      <c r="IP155" s="420"/>
      <c r="IQ155" s="420"/>
      <c r="IR155" s="420"/>
      <c r="IS155" s="420"/>
    </row>
    <row r="156" spans="4:254" ht="15" customHeight="1">
      <c r="D156" s="416"/>
      <c r="E156" s="428"/>
      <c r="F156" s="429"/>
      <c r="G156" s="2918"/>
      <c r="H156" s="1542"/>
      <c r="I156" s="417"/>
      <c r="J156" s="417"/>
      <c r="K156" s="421"/>
      <c r="L156" s="421"/>
      <c r="M156" s="417"/>
      <c r="N156" s="417"/>
      <c r="O156" s="12"/>
      <c r="T156" s="415"/>
      <c r="U156" s="415"/>
      <c r="V156" s="415"/>
      <c r="W156" s="415"/>
      <c r="X156" s="415"/>
      <c r="AB156" s="430"/>
      <c r="AC156" s="430"/>
      <c r="AD156" s="431"/>
      <c r="AE156" s="431"/>
      <c r="AF156" s="431"/>
      <c r="AG156" s="431"/>
      <c r="AH156" s="431"/>
      <c r="AI156" s="431"/>
      <c r="AJ156" s="431"/>
      <c r="AK156" s="431"/>
      <c r="AL156" s="431"/>
      <c r="AM156" s="431"/>
      <c r="AN156" s="431"/>
      <c r="AO156" s="431"/>
      <c r="AP156" s="431"/>
      <c r="AQ156" s="431"/>
      <c r="AR156" s="431"/>
      <c r="AS156" s="431"/>
      <c r="AT156" s="431"/>
      <c r="AU156" s="431"/>
      <c r="AV156" s="431"/>
      <c r="AW156" s="431"/>
      <c r="AX156" s="431"/>
      <c r="AY156" s="431"/>
      <c r="AZ156" s="431"/>
      <c r="BA156" s="431"/>
      <c r="BB156" s="431"/>
      <c r="BC156" s="431"/>
      <c r="BD156" s="431"/>
      <c r="BE156" s="431"/>
      <c r="BF156" s="431"/>
      <c r="BG156" s="431"/>
      <c r="BH156" s="431"/>
      <c r="BI156" s="431"/>
      <c r="BJ156" s="431"/>
      <c r="BK156" s="431"/>
      <c r="BL156" s="431"/>
      <c r="BM156" s="431"/>
      <c r="BN156" s="431"/>
      <c r="BO156" s="431"/>
      <c r="BP156" s="431"/>
      <c r="BQ156" s="431"/>
      <c r="BR156" s="431"/>
      <c r="BS156" s="431"/>
      <c r="BT156" s="432"/>
      <c r="BU156" s="432"/>
      <c r="BV156" s="432"/>
      <c r="BW156" s="432"/>
      <c r="BX156" s="432"/>
      <c r="BY156" s="432"/>
      <c r="BZ156" s="432"/>
      <c r="CA156" s="432"/>
      <c r="CB156" s="432"/>
      <c r="CC156" s="432"/>
      <c r="CD156" s="432"/>
      <c r="CE156" s="432"/>
      <c r="CF156" s="432"/>
      <c r="CG156" s="432"/>
      <c r="CH156" s="432"/>
      <c r="CI156" s="432"/>
      <c r="CJ156" s="432"/>
      <c r="CK156" s="432"/>
      <c r="CL156" s="432"/>
      <c r="CM156" s="432"/>
      <c r="CN156" s="432"/>
      <c r="CO156" s="432"/>
      <c r="CP156" s="432"/>
      <c r="CQ156" s="432"/>
      <c r="CR156" s="432"/>
      <c r="CS156" s="432"/>
      <c r="CT156" s="432"/>
      <c r="CU156" s="432"/>
      <c r="CV156" s="432"/>
      <c r="CW156" s="432"/>
      <c r="CX156" s="432"/>
      <c r="CY156" s="432"/>
      <c r="CZ156" s="432"/>
      <c r="DA156" s="432"/>
      <c r="DB156" s="432"/>
      <c r="DC156" s="432"/>
      <c r="DD156" s="432"/>
      <c r="DE156" s="432"/>
      <c r="DF156" s="432"/>
      <c r="DG156" s="432"/>
      <c r="DH156" s="432"/>
      <c r="DI156" s="432"/>
      <c r="DJ156" s="432"/>
      <c r="DK156" s="432"/>
      <c r="DL156" s="432"/>
      <c r="DM156" s="432"/>
      <c r="DN156" s="432"/>
      <c r="DO156" s="432"/>
      <c r="DP156" s="432"/>
      <c r="DQ156" s="432"/>
      <c r="DR156" s="432"/>
      <c r="DS156" s="432"/>
      <c r="DT156" s="432"/>
      <c r="DU156" s="432"/>
      <c r="DV156" s="432"/>
      <c r="DW156" s="432"/>
      <c r="DX156" s="432"/>
      <c r="DY156" s="432"/>
      <c r="DZ156" s="432"/>
      <c r="EA156" s="432"/>
      <c r="EB156" s="432"/>
      <c r="EC156" s="432"/>
      <c r="ED156" s="432"/>
      <c r="EE156" s="432"/>
      <c r="EF156" s="432"/>
      <c r="EG156" s="432"/>
      <c r="EH156" s="432"/>
      <c r="EI156" s="432"/>
      <c r="EJ156" s="432"/>
      <c r="EK156" s="432"/>
      <c r="EL156" s="432"/>
      <c r="EM156" s="432"/>
      <c r="EN156" s="432"/>
      <c r="EO156" s="432"/>
      <c r="EP156" s="432"/>
      <c r="EQ156" s="432"/>
      <c r="ER156" s="432"/>
      <c r="ES156" s="432"/>
      <c r="ET156" s="432"/>
      <c r="EU156" s="432"/>
      <c r="EV156" s="432"/>
      <c r="EW156" s="432"/>
      <c r="EX156" s="432"/>
      <c r="EY156" s="432"/>
      <c r="EZ156" s="432"/>
      <c r="FA156" s="432"/>
      <c r="FB156" s="432"/>
      <c r="FC156" s="432"/>
      <c r="FD156" s="432"/>
      <c r="FE156" s="432"/>
      <c r="FF156" s="432"/>
      <c r="FG156" s="432"/>
      <c r="FH156" s="432"/>
      <c r="FI156" s="432"/>
      <c r="FJ156" s="432"/>
      <c r="FK156" s="432"/>
      <c r="FL156" s="432"/>
      <c r="FM156" s="432"/>
      <c r="FN156" s="432"/>
      <c r="FO156" s="432"/>
      <c r="FP156" s="432"/>
      <c r="FQ156" s="432"/>
      <c r="FR156" s="432"/>
      <c r="FS156" s="432"/>
      <c r="FT156" s="432"/>
      <c r="FU156" s="432"/>
      <c r="FV156" s="432"/>
      <c r="FW156" s="432"/>
      <c r="FX156" s="432"/>
      <c r="FY156" s="432"/>
      <c r="FZ156" s="432"/>
      <c r="GA156" s="432"/>
      <c r="GB156" s="432"/>
      <c r="GC156" s="432"/>
      <c r="GD156" s="432"/>
      <c r="GE156" s="432"/>
      <c r="GF156" s="432"/>
      <c r="GG156" s="432"/>
      <c r="GH156" s="432"/>
      <c r="GI156" s="432"/>
      <c r="GJ156" s="432"/>
      <c r="GK156" s="432"/>
      <c r="GL156" s="432"/>
      <c r="GM156" s="432"/>
      <c r="GN156" s="432"/>
      <c r="GO156" s="432"/>
      <c r="GP156" s="432"/>
      <c r="GQ156" s="432"/>
      <c r="GR156" s="432"/>
      <c r="GS156" s="432"/>
      <c r="GT156" s="432"/>
      <c r="GU156" s="432"/>
      <c r="GV156" s="432"/>
      <c r="GW156" s="432"/>
      <c r="GX156" s="432"/>
      <c r="GY156" s="432"/>
      <c r="GZ156" s="432"/>
      <c r="HA156" s="432"/>
      <c r="HB156" s="432"/>
      <c r="HC156" s="432"/>
      <c r="HD156" s="432"/>
      <c r="HE156" s="432"/>
      <c r="HF156" s="432"/>
      <c r="HG156" s="432"/>
      <c r="HH156" s="432"/>
      <c r="HI156" s="432"/>
      <c r="HJ156" s="432"/>
      <c r="HK156" s="432"/>
      <c r="HL156" s="432"/>
      <c r="HM156" s="432"/>
      <c r="HN156" s="432"/>
      <c r="HO156" s="432"/>
      <c r="HP156" s="432"/>
      <c r="HQ156" s="432"/>
      <c r="HR156" s="432"/>
      <c r="HS156" s="432"/>
      <c r="HT156" s="432"/>
      <c r="HU156" s="432"/>
      <c r="HV156" s="432"/>
      <c r="HW156" s="432"/>
      <c r="HX156" s="432"/>
      <c r="HY156" s="432"/>
      <c r="HZ156" s="432"/>
      <c r="IA156" s="432"/>
      <c r="IB156" s="432"/>
      <c r="IC156" s="432"/>
      <c r="ID156" s="432"/>
      <c r="IE156" s="432"/>
      <c r="IF156" s="432"/>
      <c r="IG156" s="432"/>
      <c r="IH156" s="432"/>
      <c r="II156" s="432"/>
      <c r="IJ156" s="432"/>
      <c r="IK156" s="432"/>
      <c r="IL156" s="432"/>
      <c r="IM156" s="432"/>
      <c r="IN156" s="432"/>
      <c r="IO156" s="432"/>
      <c r="IP156" s="432"/>
      <c r="IQ156" s="432"/>
      <c r="IR156" s="432"/>
      <c r="IS156" s="432"/>
    </row>
    <row r="157" spans="4:254" ht="15" customHeight="1">
      <c r="D157" s="416"/>
      <c r="E157" s="438" t="s">
        <v>1540</v>
      </c>
      <c r="F157" s="429"/>
      <c r="G157" s="2918"/>
      <c r="H157" s="1542"/>
      <c r="I157" s="417"/>
      <c r="J157" s="417"/>
      <c r="K157" s="421"/>
      <c r="L157" s="421"/>
      <c r="M157" s="417"/>
      <c r="N157" s="417"/>
      <c r="O157" s="12"/>
      <c r="T157" s="415"/>
      <c r="U157" s="415"/>
      <c r="V157" s="415"/>
      <c r="W157" s="415"/>
      <c r="X157" s="415"/>
      <c r="AB157" s="430"/>
      <c r="AC157" s="430"/>
      <c r="AD157" s="431"/>
      <c r="AE157" s="431"/>
      <c r="AF157" s="431"/>
      <c r="AG157" s="431"/>
      <c r="AH157" s="431"/>
      <c r="AI157" s="431"/>
      <c r="AJ157" s="431"/>
      <c r="AK157" s="431"/>
      <c r="AL157" s="431"/>
      <c r="AM157" s="431"/>
      <c r="AN157" s="431"/>
      <c r="AO157" s="431"/>
      <c r="AP157" s="431"/>
      <c r="AQ157" s="431"/>
      <c r="AR157" s="431"/>
      <c r="AS157" s="431"/>
      <c r="AT157" s="431"/>
      <c r="AU157" s="431"/>
      <c r="AV157" s="431"/>
      <c r="AW157" s="431"/>
      <c r="AX157" s="431"/>
      <c r="AY157" s="431"/>
      <c r="AZ157" s="431"/>
      <c r="BA157" s="431"/>
      <c r="BB157" s="431"/>
      <c r="BC157" s="431"/>
      <c r="BD157" s="431"/>
      <c r="BE157" s="431"/>
      <c r="BF157" s="431"/>
      <c r="BG157" s="431"/>
      <c r="BH157" s="431"/>
      <c r="BI157" s="431"/>
      <c r="BJ157" s="431"/>
      <c r="BK157" s="431"/>
      <c r="BL157" s="431"/>
      <c r="BM157" s="431"/>
      <c r="BN157" s="431"/>
      <c r="BO157" s="431"/>
      <c r="BP157" s="431"/>
      <c r="BQ157" s="431"/>
      <c r="BR157" s="431"/>
      <c r="BS157" s="431"/>
      <c r="BT157" s="432"/>
      <c r="BU157" s="432"/>
      <c r="BV157" s="432"/>
      <c r="BW157" s="432"/>
      <c r="BX157" s="432"/>
      <c r="BY157" s="432"/>
      <c r="BZ157" s="432"/>
      <c r="CA157" s="432"/>
      <c r="CB157" s="432"/>
      <c r="CC157" s="432"/>
      <c r="CD157" s="432"/>
      <c r="CE157" s="432"/>
      <c r="CF157" s="432"/>
      <c r="CG157" s="432"/>
      <c r="CH157" s="432"/>
      <c r="CI157" s="432"/>
      <c r="CJ157" s="432"/>
      <c r="CK157" s="432"/>
      <c r="CL157" s="432"/>
      <c r="CM157" s="432"/>
      <c r="CN157" s="432"/>
      <c r="CO157" s="432"/>
      <c r="CP157" s="432"/>
      <c r="CQ157" s="432"/>
      <c r="CR157" s="432"/>
      <c r="CS157" s="432"/>
      <c r="CT157" s="432"/>
      <c r="CU157" s="432"/>
      <c r="CV157" s="432"/>
      <c r="CW157" s="432"/>
      <c r="CX157" s="432"/>
      <c r="CY157" s="432"/>
      <c r="CZ157" s="432"/>
      <c r="DA157" s="432"/>
      <c r="DB157" s="432"/>
      <c r="DC157" s="432"/>
      <c r="DD157" s="432"/>
      <c r="DE157" s="432"/>
      <c r="DF157" s="432"/>
      <c r="DG157" s="432"/>
      <c r="DH157" s="432"/>
      <c r="DI157" s="432"/>
      <c r="DJ157" s="432"/>
      <c r="DK157" s="432"/>
      <c r="DL157" s="432"/>
      <c r="DM157" s="432"/>
      <c r="DN157" s="432"/>
      <c r="DO157" s="432"/>
      <c r="DP157" s="432"/>
      <c r="DQ157" s="432"/>
      <c r="DR157" s="432"/>
      <c r="DS157" s="432"/>
      <c r="DT157" s="432"/>
      <c r="DU157" s="432"/>
      <c r="DV157" s="432"/>
      <c r="DW157" s="432"/>
      <c r="DX157" s="432"/>
      <c r="DY157" s="432"/>
      <c r="DZ157" s="432"/>
      <c r="EA157" s="432"/>
      <c r="EB157" s="432"/>
      <c r="EC157" s="432"/>
      <c r="ED157" s="432"/>
      <c r="EE157" s="432"/>
      <c r="EF157" s="432"/>
      <c r="EG157" s="432"/>
      <c r="EH157" s="432"/>
      <c r="EI157" s="432"/>
      <c r="EJ157" s="432"/>
      <c r="EK157" s="432"/>
      <c r="EL157" s="432"/>
      <c r="EM157" s="432"/>
      <c r="EN157" s="432"/>
      <c r="EO157" s="432"/>
      <c r="EP157" s="432"/>
      <c r="EQ157" s="432"/>
      <c r="ER157" s="432"/>
      <c r="ES157" s="432"/>
      <c r="ET157" s="432"/>
      <c r="EU157" s="432"/>
      <c r="EV157" s="432"/>
      <c r="EW157" s="432"/>
      <c r="EX157" s="432"/>
      <c r="EY157" s="432"/>
      <c r="EZ157" s="432"/>
      <c r="FA157" s="432"/>
      <c r="FB157" s="432"/>
      <c r="FC157" s="432"/>
      <c r="FD157" s="432"/>
      <c r="FE157" s="432"/>
      <c r="FF157" s="432"/>
      <c r="FG157" s="432"/>
      <c r="FH157" s="432"/>
      <c r="FI157" s="432"/>
      <c r="FJ157" s="432"/>
      <c r="FK157" s="432"/>
      <c r="FL157" s="432"/>
      <c r="FM157" s="432"/>
      <c r="FN157" s="432"/>
      <c r="FO157" s="432"/>
      <c r="FP157" s="432"/>
      <c r="FQ157" s="432"/>
      <c r="FR157" s="432"/>
      <c r="FS157" s="432"/>
      <c r="FT157" s="432"/>
      <c r="FU157" s="432"/>
      <c r="FV157" s="432"/>
      <c r="FW157" s="432"/>
      <c r="FX157" s="432"/>
      <c r="FY157" s="432"/>
      <c r="FZ157" s="432"/>
      <c r="GA157" s="432"/>
      <c r="GB157" s="432"/>
      <c r="GC157" s="432"/>
      <c r="GD157" s="432"/>
      <c r="GE157" s="432"/>
      <c r="GF157" s="432"/>
      <c r="GG157" s="432"/>
      <c r="GH157" s="432"/>
      <c r="GI157" s="432"/>
      <c r="GJ157" s="432"/>
      <c r="GK157" s="432"/>
      <c r="GL157" s="432"/>
      <c r="GM157" s="432"/>
      <c r="GN157" s="432"/>
      <c r="GO157" s="432"/>
      <c r="GP157" s="432"/>
      <c r="GQ157" s="432"/>
      <c r="GR157" s="432"/>
      <c r="GS157" s="432"/>
      <c r="GT157" s="432"/>
      <c r="GU157" s="432"/>
      <c r="GV157" s="432"/>
      <c r="GW157" s="432"/>
      <c r="GX157" s="432"/>
      <c r="GY157" s="432"/>
      <c r="GZ157" s="432"/>
      <c r="HA157" s="432"/>
      <c r="HB157" s="432"/>
      <c r="HC157" s="432"/>
      <c r="HD157" s="432"/>
      <c r="HE157" s="432"/>
      <c r="HF157" s="432"/>
      <c r="HG157" s="432"/>
      <c r="HH157" s="432"/>
      <c r="HI157" s="432"/>
      <c r="HJ157" s="432"/>
      <c r="HK157" s="432"/>
      <c r="HL157" s="432"/>
      <c r="HM157" s="432"/>
      <c r="HN157" s="432"/>
      <c r="HO157" s="432"/>
      <c r="HP157" s="432"/>
      <c r="HQ157" s="432"/>
      <c r="HR157" s="432"/>
      <c r="HS157" s="432"/>
      <c r="HT157" s="432"/>
      <c r="HU157" s="432"/>
      <c r="HV157" s="432"/>
      <c r="HW157" s="432"/>
      <c r="HX157" s="432"/>
      <c r="HY157" s="432"/>
      <c r="HZ157" s="432"/>
      <c r="IA157" s="432"/>
      <c r="IB157" s="432"/>
      <c r="IC157" s="432"/>
      <c r="ID157" s="432"/>
      <c r="IE157" s="432"/>
      <c r="IF157" s="432"/>
      <c r="IG157" s="432"/>
      <c r="IH157" s="432"/>
      <c r="II157" s="432"/>
      <c r="IJ157" s="432"/>
      <c r="IK157" s="432"/>
      <c r="IL157" s="432"/>
      <c r="IM157" s="432"/>
      <c r="IN157" s="432"/>
      <c r="IO157" s="432"/>
      <c r="IP157" s="432"/>
      <c r="IQ157" s="432"/>
      <c r="IR157" s="432"/>
      <c r="IS157" s="432"/>
    </row>
    <row r="158" spans="4:254" ht="15" customHeight="1">
      <c r="D158" s="416"/>
      <c r="E158" s="439"/>
      <c r="F158" s="429"/>
      <c r="G158" s="2918"/>
      <c r="H158" s="1542"/>
      <c r="I158" s="417"/>
      <c r="J158" s="417"/>
      <c r="K158" s="421"/>
      <c r="L158" s="421"/>
      <c r="M158" s="417"/>
      <c r="N158" s="417"/>
      <c r="O158" s="12"/>
      <c r="T158" s="415"/>
      <c r="U158" s="415"/>
      <c r="V158" s="415"/>
      <c r="W158" s="415"/>
      <c r="X158" s="415"/>
      <c r="AB158" s="430"/>
      <c r="AC158" s="430"/>
      <c r="AD158" s="431"/>
      <c r="AE158" s="431"/>
      <c r="AF158" s="431"/>
      <c r="AG158" s="431"/>
      <c r="AH158" s="431"/>
      <c r="AI158" s="431"/>
      <c r="AJ158" s="431"/>
      <c r="AK158" s="431"/>
      <c r="AL158" s="431"/>
      <c r="AM158" s="431"/>
      <c r="AN158" s="431"/>
      <c r="AO158" s="431"/>
      <c r="AP158" s="431"/>
      <c r="AQ158" s="431"/>
      <c r="AR158" s="431"/>
      <c r="AS158" s="431"/>
      <c r="AT158" s="431"/>
      <c r="AU158" s="431"/>
      <c r="AV158" s="431"/>
      <c r="AW158" s="431"/>
      <c r="AX158" s="431"/>
      <c r="AY158" s="431"/>
      <c r="AZ158" s="431"/>
      <c r="BA158" s="431"/>
      <c r="BB158" s="431"/>
      <c r="BC158" s="431"/>
      <c r="BD158" s="431"/>
      <c r="BE158" s="431"/>
      <c r="BF158" s="431"/>
      <c r="BG158" s="431"/>
      <c r="BH158" s="431"/>
      <c r="BI158" s="431"/>
      <c r="BJ158" s="431"/>
      <c r="BK158" s="431"/>
      <c r="BL158" s="431"/>
      <c r="BM158" s="431"/>
      <c r="BN158" s="431"/>
      <c r="BO158" s="431"/>
      <c r="BP158" s="431"/>
      <c r="BQ158" s="431"/>
      <c r="BR158" s="431"/>
      <c r="BS158" s="431"/>
      <c r="BT158" s="432"/>
      <c r="BU158" s="432"/>
      <c r="BV158" s="432"/>
      <c r="BW158" s="432"/>
      <c r="BX158" s="432"/>
      <c r="BY158" s="432"/>
      <c r="BZ158" s="432"/>
      <c r="CA158" s="432"/>
      <c r="CB158" s="432"/>
      <c r="CC158" s="432"/>
      <c r="CD158" s="432"/>
      <c r="CE158" s="432"/>
      <c r="CF158" s="432"/>
      <c r="CG158" s="432"/>
      <c r="CH158" s="432"/>
      <c r="CI158" s="432"/>
      <c r="CJ158" s="432"/>
      <c r="CK158" s="432"/>
      <c r="CL158" s="432"/>
      <c r="CM158" s="432"/>
      <c r="CN158" s="432"/>
      <c r="CO158" s="432"/>
      <c r="CP158" s="432"/>
      <c r="CQ158" s="432"/>
      <c r="CR158" s="432"/>
      <c r="CS158" s="432"/>
      <c r="CT158" s="432"/>
      <c r="CU158" s="432"/>
      <c r="CV158" s="432"/>
      <c r="CW158" s="432"/>
      <c r="CX158" s="432"/>
      <c r="CY158" s="432"/>
      <c r="CZ158" s="432"/>
      <c r="DA158" s="432"/>
      <c r="DB158" s="432"/>
      <c r="DC158" s="432"/>
      <c r="DD158" s="432"/>
      <c r="DE158" s="432"/>
      <c r="DF158" s="432"/>
      <c r="DG158" s="432"/>
      <c r="DH158" s="432"/>
      <c r="DI158" s="432"/>
      <c r="DJ158" s="432"/>
      <c r="DK158" s="432"/>
      <c r="DL158" s="432"/>
      <c r="DM158" s="432"/>
      <c r="DN158" s="432"/>
      <c r="DO158" s="432"/>
      <c r="DP158" s="432"/>
      <c r="DQ158" s="432"/>
      <c r="DR158" s="432"/>
      <c r="DS158" s="432"/>
      <c r="DT158" s="432"/>
      <c r="DU158" s="432"/>
      <c r="DV158" s="432"/>
      <c r="DW158" s="432"/>
      <c r="DX158" s="432"/>
      <c r="DY158" s="432"/>
      <c r="DZ158" s="432"/>
      <c r="EA158" s="432"/>
      <c r="EB158" s="432"/>
      <c r="EC158" s="432"/>
      <c r="ED158" s="432"/>
      <c r="EE158" s="432"/>
      <c r="EF158" s="432"/>
      <c r="EG158" s="432"/>
      <c r="EH158" s="432"/>
      <c r="EI158" s="432"/>
      <c r="EJ158" s="432"/>
      <c r="EK158" s="432"/>
      <c r="EL158" s="432"/>
      <c r="EM158" s="432"/>
      <c r="EN158" s="432"/>
      <c r="EO158" s="432"/>
      <c r="EP158" s="432"/>
      <c r="EQ158" s="432"/>
      <c r="ER158" s="432"/>
      <c r="ES158" s="432"/>
      <c r="ET158" s="432"/>
      <c r="EU158" s="432"/>
      <c r="EV158" s="432"/>
      <c r="EW158" s="432"/>
      <c r="EX158" s="432"/>
      <c r="EY158" s="432"/>
      <c r="EZ158" s="432"/>
      <c r="FA158" s="432"/>
      <c r="FB158" s="432"/>
      <c r="FC158" s="432"/>
      <c r="FD158" s="432"/>
      <c r="FE158" s="432"/>
      <c r="FF158" s="432"/>
      <c r="FG158" s="432"/>
      <c r="FH158" s="432"/>
      <c r="FI158" s="432"/>
      <c r="FJ158" s="432"/>
      <c r="FK158" s="432"/>
      <c r="FL158" s="432"/>
      <c r="FM158" s="432"/>
      <c r="FN158" s="432"/>
      <c r="FO158" s="432"/>
      <c r="FP158" s="432"/>
      <c r="FQ158" s="432"/>
      <c r="FR158" s="432"/>
      <c r="FS158" s="432"/>
      <c r="FT158" s="432"/>
      <c r="FU158" s="432"/>
      <c r="FV158" s="432"/>
      <c r="FW158" s="432"/>
      <c r="FX158" s="432"/>
      <c r="FY158" s="432"/>
      <c r="FZ158" s="432"/>
      <c r="GA158" s="432"/>
      <c r="GB158" s="432"/>
      <c r="GC158" s="432"/>
      <c r="GD158" s="432"/>
      <c r="GE158" s="432"/>
      <c r="GF158" s="432"/>
      <c r="GG158" s="432"/>
      <c r="GH158" s="432"/>
      <c r="GI158" s="432"/>
      <c r="GJ158" s="432"/>
      <c r="GK158" s="432"/>
      <c r="GL158" s="432"/>
      <c r="GM158" s="432"/>
      <c r="GN158" s="432"/>
      <c r="GO158" s="432"/>
      <c r="GP158" s="432"/>
      <c r="GQ158" s="432"/>
      <c r="GR158" s="432"/>
      <c r="GS158" s="432"/>
      <c r="GT158" s="432"/>
      <c r="GU158" s="432"/>
      <c r="GV158" s="432"/>
      <c r="GW158" s="432"/>
      <c r="GX158" s="432"/>
      <c r="GY158" s="432"/>
      <c r="GZ158" s="432"/>
      <c r="HA158" s="432"/>
      <c r="HB158" s="432"/>
      <c r="HC158" s="432"/>
      <c r="HD158" s="432"/>
      <c r="HE158" s="432"/>
      <c r="HF158" s="432"/>
      <c r="HG158" s="432"/>
      <c r="HH158" s="432"/>
      <c r="HI158" s="432"/>
      <c r="HJ158" s="432"/>
      <c r="HK158" s="432"/>
      <c r="HL158" s="432"/>
      <c r="HM158" s="432"/>
      <c r="HN158" s="432"/>
      <c r="HO158" s="432"/>
      <c r="HP158" s="432"/>
      <c r="HQ158" s="432"/>
      <c r="HR158" s="432"/>
      <c r="HS158" s="432"/>
      <c r="HT158" s="432"/>
      <c r="HU158" s="432"/>
      <c r="HV158" s="432"/>
      <c r="HW158" s="432"/>
      <c r="HX158" s="432"/>
      <c r="HY158" s="432"/>
      <c r="HZ158" s="432"/>
      <c r="IA158" s="432"/>
      <c r="IB158" s="432"/>
      <c r="IC158" s="432"/>
      <c r="ID158" s="432"/>
      <c r="IE158" s="432"/>
      <c r="IF158" s="432"/>
      <c r="IG158" s="432"/>
      <c r="IH158" s="432"/>
      <c r="II158" s="432"/>
      <c r="IJ158" s="432"/>
      <c r="IK158" s="432"/>
      <c r="IL158" s="432"/>
      <c r="IM158" s="432"/>
      <c r="IN158" s="432"/>
      <c r="IO158" s="432"/>
      <c r="IP158" s="432"/>
      <c r="IQ158" s="432"/>
      <c r="IR158" s="432"/>
      <c r="IS158" s="432"/>
    </row>
    <row r="159" spans="4:254" ht="15" customHeight="1">
      <c r="D159" s="416"/>
      <c r="E159" s="424" t="s">
        <v>1532</v>
      </c>
      <c r="F159" s="424"/>
      <c r="G159" s="2917" t="s">
        <v>1942</v>
      </c>
      <c r="H159" s="1542"/>
      <c r="I159" s="417"/>
      <c r="J159" s="417"/>
      <c r="K159" s="421"/>
      <c r="L159" s="421"/>
      <c r="M159" s="417"/>
      <c r="N159" s="417"/>
      <c r="O159" s="12"/>
      <c r="T159" s="415"/>
      <c r="U159" s="415"/>
      <c r="V159" s="415"/>
      <c r="W159" s="415"/>
      <c r="X159" s="415"/>
      <c r="AB159" s="430"/>
      <c r="AC159" s="430"/>
      <c r="AD159" s="431"/>
      <c r="AE159" s="431"/>
      <c r="AF159" s="431"/>
      <c r="AG159" s="431"/>
      <c r="AH159" s="431"/>
      <c r="AI159" s="431"/>
      <c r="AJ159" s="431"/>
      <c r="AK159" s="431"/>
      <c r="AL159" s="431"/>
      <c r="AM159" s="431"/>
      <c r="AN159" s="431"/>
      <c r="AO159" s="431"/>
      <c r="AP159" s="431"/>
      <c r="AQ159" s="431"/>
      <c r="AR159" s="431"/>
      <c r="AS159" s="431"/>
      <c r="AT159" s="431"/>
      <c r="AU159" s="431"/>
      <c r="AV159" s="431"/>
      <c r="AW159" s="431"/>
      <c r="AX159" s="431"/>
      <c r="AY159" s="431"/>
      <c r="AZ159" s="431"/>
      <c r="BA159" s="431"/>
      <c r="BB159" s="431"/>
      <c r="BC159" s="431"/>
      <c r="BD159" s="431"/>
      <c r="BE159" s="431"/>
      <c r="BF159" s="431"/>
      <c r="BG159" s="431"/>
      <c r="BH159" s="431"/>
      <c r="BI159" s="431"/>
      <c r="BJ159" s="431"/>
      <c r="BK159" s="431"/>
      <c r="BL159" s="431"/>
      <c r="BM159" s="431"/>
      <c r="BN159" s="431"/>
      <c r="BO159" s="431"/>
      <c r="BP159" s="431"/>
      <c r="BQ159" s="431"/>
      <c r="BR159" s="431"/>
      <c r="BS159" s="431"/>
      <c r="BT159" s="432"/>
      <c r="BU159" s="432"/>
      <c r="BV159" s="432"/>
      <c r="BW159" s="432"/>
      <c r="BX159" s="432"/>
      <c r="BY159" s="432"/>
      <c r="BZ159" s="432"/>
      <c r="CA159" s="432"/>
      <c r="CB159" s="432"/>
      <c r="CC159" s="432"/>
      <c r="CD159" s="432"/>
      <c r="CE159" s="432"/>
      <c r="CF159" s="432"/>
      <c r="CG159" s="432"/>
      <c r="CH159" s="432"/>
      <c r="CI159" s="432"/>
      <c r="CJ159" s="432"/>
      <c r="CK159" s="432"/>
      <c r="CL159" s="432"/>
      <c r="CM159" s="432"/>
      <c r="CN159" s="432"/>
      <c r="CO159" s="432"/>
      <c r="CP159" s="432"/>
      <c r="CQ159" s="432"/>
      <c r="CR159" s="432"/>
      <c r="CS159" s="432"/>
      <c r="CT159" s="432"/>
      <c r="CU159" s="432"/>
      <c r="CV159" s="432"/>
      <c r="CW159" s="432"/>
      <c r="CX159" s="432"/>
      <c r="CY159" s="432"/>
      <c r="CZ159" s="432"/>
      <c r="DA159" s="432"/>
      <c r="DB159" s="432"/>
      <c r="DC159" s="432"/>
      <c r="DD159" s="432"/>
      <c r="DE159" s="432"/>
      <c r="DF159" s="432"/>
      <c r="DG159" s="432"/>
      <c r="DH159" s="432"/>
      <c r="DI159" s="432"/>
      <c r="DJ159" s="432"/>
      <c r="DK159" s="432"/>
      <c r="DL159" s="432"/>
      <c r="DM159" s="432"/>
      <c r="DN159" s="432"/>
      <c r="DO159" s="432"/>
      <c r="DP159" s="432"/>
      <c r="DQ159" s="432"/>
      <c r="DR159" s="432"/>
      <c r="DS159" s="432"/>
      <c r="DT159" s="432"/>
      <c r="DU159" s="432"/>
      <c r="DV159" s="432"/>
      <c r="DW159" s="432"/>
      <c r="DX159" s="432"/>
      <c r="DY159" s="432"/>
      <c r="DZ159" s="432"/>
      <c r="EA159" s="432"/>
      <c r="EB159" s="432"/>
      <c r="EC159" s="432"/>
      <c r="ED159" s="432"/>
      <c r="EE159" s="432"/>
      <c r="EF159" s="432"/>
      <c r="EG159" s="432"/>
      <c r="EH159" s="432"/>
      <c r="EI159" s="432"/>
      <c r="EJ159" s="432"/>
      <c r="EK159" s="432"/>
      <c r="EL159" s="432"/>
      <c r="EM159" s="432"/>
      <c r="EN159" s="432"/>
      <c r="EO159" s="432"/>
      <c r="EP159" s="432"/>
      <c r="EQ159" s="432"/>
      <c r="ER159" s="432"/>
      <c r="ES159" s="432"/>
      <c r="ET159" s="432"/>
      <c r="EU159" s="432"/>
      <c r="EV159" s="432"/>
      <c r="EW159" s="432"/>
      <c r="EX159" s="432"/>
      <c r="EY159" s="432"/>
      <c r="EZ159" s="432"/>
      <c r="FA159" s="432"/>
      <c r="FB159" s="432"/>
      <c r="FC159" s="432"/>
      <c r="FD159" s="432"/>
      <c r="FE159" s="432"/>
      <c r="FF159" s="432"/>
      <c r="FG159" s="432"/>
      <c r="FH159" s="432"/>
      <c r="FI159" s="432"/>
      <c r="FJ159" s="432"/>
      <c r="FK159" s="432"/>
      <c r="FL159" s="432"/>
      <c r="FM159" s="432"/>
      <c r="FN159" s="432"/>
      <c r="FO159" s="432"/>
      <c r="FP159" s="432"/>
      <c r="FQ159" s="432"/>
      <c r="FR159" s="432"/>
      <c r="FS159" s="432"/>
      <c r="FT159" s="432"/>
      <c r="FU159" s="432"/>
      <c r="FV159" s="432"/>
      <c r="FW159" s="432"/>
      <c r="FX159" s="432"/>
      <c r="FY159" s="432"/>
      <c r="FZ159" s="432"/>
      <c r="GA159" s="432"/>
      <c r="GB159" s="432"/>
      <c r="GC159" s="432"/>
      <c r="GD159" s="432"/>
      <c r="GE159" s="432"/>
      <c r="GF159" s="432"/>
      <c r="GG159" s="432"/>
      <c r="GH159" s="432"/>
      <c r="GI159" s="432"/>
      <c r="GJ159" s="432"/>
      <c r="GK159" s="432"/>
      <c r="GL159" s="432"/>
      <c r="GM159" s="432"/>
      <c r="GN159" s="432"/>
      <c r="GO159" s="432"/>
      <c r="GP159" s="432"/>
      <c r="GQ159" s="432"/>
      <c r="GR159" s="432"/>
      <c r="GS159" s="432"/>
      <c r="GT159" s="432"/>
      <c r="GU159" s="432"/>
      <c r="GV159" s="432"/>
      <c r="GW159" s="432"/>
      <c r="GX159" s="432"/>
      <c r="GY159" s="432"/>
      <c r="GZ159" s="432"/>
      <c r="HA159" s="432"/>
      <c r="HB159" s="432"/>
      <c r="HC159" s="432"/>
      <c r="HD159" s="432"/>
      <c r="HE159" s="432"/>
      <c r="HF159" s="432"/>
      <c r="HG159" s="432"/>
      <c r="HH159" s="432"/>
      <c r="HI159" s="432"/>
      <c r="HJ159" s="432"/>
      <c r="HK159" s="432"/>
      <c r="HL159" s="432"/>
      <c r="HM159" s="432"/>
      <c r="HN159" s="432"/>
      <c r="HO159" s="432"/>
      <c r="HP159" s="432"/>
      <c r="HQ159" s="432"/>
      <c r="HR159" s="432"/>
      <c r="HS159" s="432"/>
      <c r="HT159" s="432"/>
      <c r="HU159" s="432"/>
      <c r="HV159" s="432"/>
      <c r="HW159" s="432"/>
      <c r="HX159" s="432"/>
      <c r="HY159" s="432"/>
      <c r="HZ159" s="432"/>
      <c r="IA159" s="432"/>
      <c r="IB159" s="432"/>
      <c r="IC159" s="432"/>
      <c r="ID159" s="432"/>
      <c r="IE159" s="432"/>
      <c r="IF159" s="432"/>
      <c r="IG159" s="432"/>
      <c r="IH159" s="432"/>
      <c r="II159" s="432"/>
      <c r="IJ159" s="432"/>
      <c r="IK159" s="432"/>
      <c r="IL159" s="432"/>
      <c r="IM159" s="432"/>
      <c r="IN159" s="432"/>
      <c r="IO159" s="432"/>
      <c r="IP159" s="432"/>
      <c r="IQ159" s="432"/>
      <c r="IR159" s="432"/>
      <c r="IS159" s="432"/>
    </row>
    <row r="160" spans="4:254" ht="15" customHeight="1">
      <c r="D160" s="416"/>
      <c r="E160" s="426" t="s">
        <v>1534</v>
      </c>
      <c r="F160" s="427"/>
      <c r="G160" s="2914">
        <f>DGEN_FE!G277</f>
        <v>41.666666666666671</v>
      </c>
      <c r="H160" s="1542"/>
      <c r="I160" s="417"/>
      <c r="J160" s="417"/>
      <c r="K160" s="421"/>
      <c r="L160" s="421"/>
      <c r="M160" s="417"/>
      <c r="N160" s="417"/>
      <c r="O160" s="12"/>
      <c r="T160" s="415"/>
      <c r="U160" s="415"/>
      <c r="V160" s="415"/>
      <c r="W160" s="415"/>
      <c r="X160" s="415"/>
      <c r="AB160" s="430"/>
      <c r="AC160" s="430"/>
      <c r="AD160" s="431"/>
      <c r="AE160" s="431"/>
      <c r="AF160" s="431"/>
      <c r="AG160" s="431"/>
      <c r="AH160" s="431"/>
      <c r="AI160" s="431"/>
      <c r="AJ160" s="431"/>
      <c r="AK160" s="431"/>
      <c r="AL160" s="431"/>
      <c r="AM160" s="431"/>
      <c r="AN160" s="431"/>
      <c r="AO160" s="431"/>
      <c r="AP160" s="431"/>
      <c r="AQ160" s="431"/>
      <c r="AR160" s="431"/>
      <c r="AS160" s="431"/>
      <c r="AT160" s="431"/>
      <c r="AU160" s="431"/>
      <c r="AV160" s="431"/>
      <c r="AW160" s="431"/>
      <c r="AX160" s="431"/>
      <c r="AY160" s="431"/>
      <c r="AZ160" s="431"/>
      <c r="BA160" s="431"/>
      <c r="BB160" s="431"/>
      <c r="BC160" s="431"/>
      <c r="BD160" s="431"/>
      <c r="BE160" s="431"/>
      <c r="BF160" s="431"/>
      <c r="BG160" s="431"/>
      <c r="BH160" s="431"/>
      <c r="BI160" s="431"/>
      <c r="BJ160" s="431"/>
      <c r="BK160" s="431"/>
      <c r="BL160" s="431"/>
      <c r="BM160" s="431"/>
      <c r="BN160" s="431"/>
      <c r="BO160" s="431"/>
      <c r="BP160" s="431"/>
      <c r="BQ160" s="431"/>
      <c r="BR160" s="431"/>
      <c r="BS160" s="431"/>
      <c r="BT160" s="432"/>
      <c r="BU160" s="432"/>
      <c r="BV160" s="432"/>
      <c r="BW160" s="432"/>
      <c r="BX160" s="432"/>
      <c r="BY160" s="432"/>
      <c r="BZ160" s="432"/>
      <c r="CA160" s="432"/>
      <c r="CB160" s="432"/>
      <c r="CC160" s="432"/>
      <c r="CD160" s="432"/>
      <c r="CE160" s="432"/>
      <c r="CF160" s="432"/>
      <c r="CG160" s="432"/>
      <c r="CH160" s="432"/>
      <c r="CI160" s="432"/>
      <c r="CJ160" s="432"/>
      <c r="CK160" s="432"/>
      <c r="CL160" s="432"/>
      <c r="CM160" s="432"/>
      <c r="CN160" s="432"/>
      <c r="CO160" s="432"/>
      <c r="CP160" s="432"/>
      <c r="CQ160" s="432"/>
      <c r="CR160" s="432"/>
      <c r="CS160" s="432"/>
      <c r="CT160" s="432"/>
      <c r="CU160" s="432"/>
      <c r="CV160" s="432"/>
      <c r="CW160" s="432"/>
      <c r="CX160" s="432"/>
      <c r="CY160" s="432"/>
      <c r="CZ160" s="432"/>
      <c r="DA160" s="432"/>
      <c r="DB160" s="432"/>
      <c r="DC160" s="432"/>
      <c r="DD160" s="432"/>
      <c r="DE160" s="432"/>
      <c r="DF160" s="432"/>
      <c r="DG160" s="432"/>
      <c r="DH160" s="432"/>
      <c r="DI160" s="432"/>
      <c r="DJ160" s="432"/>
      <c r="DK160" s="432"/>
      <c r="DL160" s="432"/>
      <c r="DM160" s="432"/>
      <c r="DN160" s="432"/>
      <c r="DO160" s="432"/>
      <c r="DP160" s="432"/>
      <c r="DQ160" s="432"/>
      <c r="DR160" s="432"/>
      <c r="DS160" s="432"/>
      <c r="DT160" s="432"/>
      <c r="DU160" s="432"/>
      <c r="DV160" s="432"/>
      <c r="DW160" s="432"/>
      <c r="DX160" s="432"/>
      <c r="DY160" s="432"/>
      <c r="DZ160" s="432"/>
      <c r="EA160" s="432"/>
      <c r="EB160" s="432"/>
      <c r="EC160" s="432"/>
      <c r="ED160" s="432"/>
      <c r="EE160" s="432"/>
      <c r="EF160" s="432"/>
      <c r="EG160" s="432"/>
      <c r="EH160" s="432"/>
      <c r="EI160" s="432"/>
      <c r="EJ160" s="432"/>
      <c r="EK160" s="432"/>
      <c r="EL160" s="432"/>
      <c r="EM160" s="432"/>
      <c r="EN160" s="432"/>
      <c r="EO160" s="432"/>
      <c r="EP160" s="432"/>
      <c r="EQ160" s="432"/>
      <c r="ER160" s="432"/>
      <c r="ES160" s="432"/>
      <c r="ET160" s="432"/>
      <c r="EU160" s="432"/>
      <c r="EV160" s="432"/>
      <c r="EW160" s="432"/>
      <c r="EX160" s="432"/>
      <c r="EY160" s="432"/>
      <c r="EZ160" s="432"/>
      <c r="FA160" s="432"/>
      <c r="FB160" s="432"/>
      <c r="FC160" s="432"/>
      <c r="FD160" s="432"/>
      <c r="FE160" s="432"/>
      <c r="FF160" s="432"/>
      <c r="FG160" s="432"/>
      <c r="FH160" s="432"/>
      <c r="FI160" s="432"/>
      <c r="FJ160" s="432"/>
      <c r="FK160" s="432"/>
      <c r="FL160" s="432"/>
      <c r="FM160" s="432"/>
      <c r="FN160" s="432"/>
      <c r="FO160" s="432"/>
      <c r="FP160" s="432"/>
      <c r="FQ160" s="432"/>
      <c r="FR160" s="432"/>
      <c r="FS160" s="432"/>
      <c r="FT160" s="432"/>
      <c r="FU160" s="432"/>
      <c r="FV160" s="432"/>
      <c r="FW160" s="432"/>
      <c r="FX160" s="432"/>
      <c r="FY160" s="432"/>
      <c r="FZ160" s="432"/>
      <c r="GA160" s="432"/>
      <c r="GB160" s="432"/>
      <c r="GC160" s="432"/>
      <c r="GD160" s="432"/>
      <c r="GE160" s="432"/>
      <c r="GF160" s="432"/>
      <c r="GG160" s="432"/>
      <c r="GH160" s="432"/>
      <c r="GI160" s="432"/>
      <c r="GJ160" s="432"/>
      <c r="GK160" s="432"/>
      <c r="GL160" s="432"/>
      <c r="GM160" s="432"/>
      <c r="GN160" s="432"/>
      <c r="GO160" s="432"/>
      <c r="GP160" s="432"/>
      <c r="GQ160" s="432"/>
      <c r="GR160" s="432"/>
      <c r="GS160" s="432"/>
      <c r="GT160" s="432"/>
      <c r="GU160" s="432"/>
      <c r="GV160" s="432"/>
      <c r="GW160" s="432"/>
      <c r="GX160" s="432"/>
      <c r="GY160" s="432"/>
      <c r="GZ160" s="432"/>
      <c r="HA160" s="432"/>
      <c r="HB160" s="432"/>
      <c r="HC160" s="432"/>
      <c r="HD160" s="432"/>
      <c r="HE160" s="432"/>
      <c r="HF160" s="432"/>
      <c r="HG160" s="432"/>
      <c r="HH160" s="432"/>
      <c r="HI160" s="432"/>
      <c r="HJ160" s="432"/>
      <c r="HK160" s="432"/>
      <c r="HL160" s="432"/>
      <c r="HM160" s="432"/>
      <c r="HN160" s="432"/>
      <c r="HO160" s="432"/>
      <c r="HP160" s="432"/>
      <c r="HQ160" s="432"/>
      <c r="HR160" s="432"/>
      <c r="HS160" s="432"/>
      <c r="HT160" s="432"/>
      <c r="HU160" s="432"/>
      <c r="HV160" s="432"/>
      <c r="HW160" s="432"/>
      <c r="HX160" s="432"/>
      <c r="HY160" s="432"/>
      <c r="HZ160" s="432"/>
      <c r="IA160" s="432"/>
      <c r="IB160" s="432"/>
      <c r="IC160" s="432"/>
      <c r="ID160" s="432"/>
      <c r="IE160" s="432"/>
      <c r="IF160" s="432"/>
      <c r="IG160" s="432"/>
      <c r="IH160" s="432"/>
      <c r="II160" s="432"/>
      <c r="IJ160" s="432"/>
      <c r="IK160" s="432"/>
      <c r="IL160" s="432"/>
      <c r="IM160" s="432"/>
      <c r="IN160" s="432"/>
      <c r="IO160" s="432"/>
      <c r="IP160" s="432"/>
      <c r="IQ160" s="432"/>
      <c r="IR160" s="432"/>
      <c r="IS160" s="432"/>
    </row>
    <row r="161" spans="4:253" ht="15" customHeight="1">
      <c r="D161" s="416"/>
      <c r="E161" s="428" t="s">
        <v>1535</v>
      </c>
      <c r="F161" s="429"/>
      <c r="G161" s="2914">
        <f>DGEN_FE!G278</f>
        <v>111.11166666666668</v>
      </c>
      <c r="H161" s="1542"/>
      <c r="I161" s="417"/>
      <c r="J161" s="417"/>
      <c r="K161" s="421"/>
      <c r="L161" s="421"/>
      <c r="M161" s="417"/>
      <c r="N161" s="417"/>
      <c r="O161" s="12"/>
      <c r="T161" s="415"/>
      <c r="U161" s="415"/>
      <c r="V161" s="415"/>
      <c r="W161" s="415"/>
      <c r="X161" s="415"/>
      <c r="AB161" s="418"/>
      <c r="AC161" s="418"/>
      <c r="AD161" s="419"/>
      <c r="AE161" s="419"/>
      <c r="AF161" s="419" t="s">
        <v>1939</v>
      </c>
      <c r="AG161" s="419">
        <v>11210394</v>
      </c>
      <c r="AH161" s="419" t="e">
        <v>#REF!</v>
      </c>
      <c r="AI161" s="419"/>
      <c r="AJ161" s="419"/>
      <c r="AK161" s="419"/>
      <c r="AL161" s="419"/>
      <c r="AM161" s="419"/>
      <c r="AN161" s="419"/>
      <c r="AO161" s="419"/>
      <c r="AP161" s="419"/>
      <c r="AQ161" s="419"/>
      <c r="AR161" s="419"/>
      <c r="AS161" s="419"/>
      <c r="AT161" s="419"/>
      <c r="AU161" s="419"/>
      <c r="AV161" s="419"/>
      <c r="AW161" s="419"/>
      <c r="AX161" s="419"/>
      <c r="AY161" s="419"/>
      <c r="AZ161" s="419"/>
      <c r="BA161" s="419"/>
      <c r="BB161" s="419"/>
      <c r="BC161" s="419"/>
      <c r="BD161" s="419"/>
      <c r="BE161" s="419"/>
      <c r="BF161" s="419"/>
      <c r="BG161" s="419"/>
      <c r="BH161" s="419"/>
      <c r="BI161" s="419"/>
      <c r="BJ161" s="419"/>
      <c r="BK161" s="419"/>
      <c r="BL161" s="419"/>
      <c r="BM161" s="419"/>
      <c r="BN161" s="419"/>
      <c r="BO161" s="420"/>
      <c r="BP161" s="420"/>
      <c r="BQ161" s="420"/>
      <c r="BR161" s="420"/>
      <c r="BS161" s="420"/>
      <c r="BT161" s="420"/>
      <c r="BU161" s="420"/>
      <c r="BV161" s="420"/>
      <c r="BW161" s="420"/>
      <c r="BX161" s="420"/>
      <c r="BY161" s="420"/>
      <c r="BZ161" s="420"/>
      <c r="CA161" s="420"/>
      <c r="CB161" s="420"/>
      <c r="CC161" s="420"/>
      <c r="CD161" s="420"/>
      <c r="CE161" s="420"/>
      <c r="CF161" s="420"/>
      <c r="CG161" s="420"/>
      <c r="CH161" s="420"/>
      <c r="CI161" s="420"/>
      <c r="CJ161" s="420"/>
      <c r="CK161" s="420"/>
      <c r="CL161" s="420"/>
      <c r="CM161" s="420"/>
      <c r="CN161" s="420"/>
      <c r="CO161" s="420"/>
      <c r="CP161" s="420"/>
      <c r="CQ161" s="420"/>
      <c r="CR161" s="420"/>
      <c r="CS161" s="420"/>
      <c r="CT161" s="420"/>
      <c r="CU161" s="420"/>
      <c r="CV161" s="420"/>
      <c r="CW161" s="420"/>
      <c r="CX161" s="420"/>
      <c r="CY161" s="420"/>
      <c r="CZ161" s="420"/>
      <c r="DA161" s="420"/>
      <c r="DB161" s="420"/>
      <c r="DC161" s="420"/>
      <c r="DD161" s="420"/>
      <c r="DE161" s="420"/>
      <c r="DF161" s="420"/>
      <c r="DG161" s="420"/>
      <c r="DH161" s="420"/>
      <c r="DI161" s="420"/>
      <c r="DJ161" s="420"/>
      <c r="DK161" s="420"/>
      <c r="DL161" s="420"/>
      <c r="DM161" s="420"/>
      <c r="DN161" s="420"/>
      <c r="DO161" s="420"/>
      <c r="DP161" s="420"/>
      <c r="DQ161" s="420"/>
      <c r="DR161" s="420"/>
      <c r="DS161" s="420"/>
      <c r="DT161" s="420"/>
      <c r="DU161" s="420"/>
      <c r="DV161" s="420"/>
      <c r="DW161" s="420"/>
      <c r="DX161" s="420"/>
      <c r="DY161" s="420"/>
      <c r="DZ161" s="420"/>
      <c r="EA161" s="420"/>
      <c r="EB161" s="420"/>
      <c r="EC161" s="420"/>
      <c r="ED161" s="420"/>
      <c r="EE161" s="420"/>
      <c r="EF161" s="420"/>
      <c r="EG161" s="420"/>
      <c r="EH161" s="420"/>
      <c r="EI161" s="420"/>
      <c r="EJ161" s="420"/>
      <c r="EK161" s="420"/>
      <c r="EL161" s="420"/>
      <c r="EM161" s="420"/>
      <c r="EN161" s="420"/>
      <c r="EO161" s="420"/>
      <c r="EP161" s="420"/>
      <c r="EQ161" s="420"/>
      <c r="ER161" s="420"/>
      <c r="ES161" s="420"/>
      <c r="ET161" s="420"/>
      <c r="EU161" s="420"/>
      <c r="EV161" s="420"/>
      <c r="EW161" s="420"/>
      <c r="EX161" s="420"/>
      <c r="EY161" s="420"/>
      <c r="EZ161" s="420"/>
      <c r="FA161" s="420"/>
      <c r="FB161" s="420"/>
      <c r="FC161" s="420"/>
      <c r="FD161" s="420"/>
      <c r="FE161" s="420"/>
      <c r="FF161" s="420"/>
      <c r="FG161" s="420"/>
      <c r="FH161" s="420"/>
      <c r="FI161" s="420"/>
      <c r="FJ161" s="420"/>
      <c r="FK161" s="420"/>
      <c r="FL161" s="420"/>
      <c r="FM161" s="420"/>
      <c r="FN161" s="420"/>
      <c r="FO161" s="420"/>
      <c r="FP161" s="420"/>
      <c r="FQ161" s="420"/>
      <c r="FR161" s="420"/>
      <c r="FS161" s="420"/>
      <c r="FT161" s="420"/>
      <c r="FU161" s="420"/>
      <c r="FV161" s="420"/>
      <c r="FW161" s="420"/>
      <c r="FX161" s="420"/>
      <c r="FY161" s="420"/>
      <c r="FZ161" s="420"/>
      <c r="GA161" s="420"/>
      <c r="GB161" s="420"/>
      <c r="GC161" s="420"/>
      <c r="GD161" s="420"/>
      <c r="GE161" s="420"/>
      <c r="GF161" s="420"/>
      <c r="GG161" s="420"/>
      <c r="GH161" s="420"/>
      <c r="GI161" s="420"/>
      <c r="GJ161" s="420"/>
      <c r="GK161" s="420"/>
      <c r="GL161" s="420"/>
      <c r="GM161" s="420"/>
      <c r="GN161" s="420"/>
      <c r="GO161" s="420"/>
      <c r="GP161" s="420"/>
      <c r="GQ161" s="420"/>
      <c r="GR161" s="420"/>
      <c r="GS161" s="420"/>
      <c r="GT161" s="420"/>
      <c r="GU161" s="420"/>
      <c r="GV161" s="420"/>
      <c r="GW161" s="420"/>
      <c r="GX161" s="420"/>
      <c r="GY161" s="420"/>
      <c r="GZ161" s="420"/>
      <c r="HA161" s="420"/>
      <c r="HB161" s="420"/>
      <c r="HC161" s="420"/>
      <c r="HD161" s="420"/>
      <c r="HE161" s="420"/>
      <c r="HF161" s="420"/>
      <c r="HG161" s="420"/>
      <c r="HH161" s="420"/>
      <c r="HI161" s="420"/>
      <c r="HJ161" s="420"/>
      <c r="HK161" s="420"/>
      <c r="HL161" s="420"/>
      <c r="HM161" s="420"/>
      <c r="HN161" s="420"/>
      <c r="HO161" s="420"/>
      <c r="HP161" s="420"/>
      <c r="HQ161" s="420"/>
      <c r="HR161" s="420"/>
      <c r="HS161" s="420"/>
      <c r="HT161" s="420"/>
      <c r="HU161" s="420"/>
      <c r="HV161" s="420"/>
      <c r="HW161" s="420"/>
      <c r="HX161" s="420"/>
      <c r="HY161" s="420"/>
      <c r="HZ161" s="420"/>
      <c r="IA161" s="420"/>
      <c r="IB161" s="420"/>
      <c r="IC161" s="420"/>
      <c r="ID161" s="420"/>
      <c r="IE161" s="420"/>
      <c r="IF161" s="420"/>
      <c r="IG161" s="420"/>
      <c r="IH161" s="420"/>
      <c r="II161" s="420"/>
      <c r="IJ161" s="420"/>
      <c r="IK161" s="420"/>
      <c r="IL161" s="420"/>
      <c r="IM161" s="420"/>
      <c r="IN161" s="420"/>
      <c r="IO161" s="420"/>
      <c r="IP161" s="420"/>
      <c r="IQ161" s="420"/>
      <c r="IR161" s="420"/>
      <c r="IS161" s="420"/>
    </row>
    <row r="162" spans="4:253" ht="15" customHeight="1">
      <c r="D162" s="416"/>
      <c r="E162" s="428" t="s">
        <v>1536</v>
      </c>
      <c r="F162" s="429"/>
      <c r="G162" s="2914">
        <f>DGEN_FE!G279</f>
        <v>119.44416666666667</v>
      </c>
      <c r="H162" s="1542"/>
      <c r="I162" s="417"/>
      <c r="J162" s="417"/>
      <c r="K162" s="421"/>
      <c r="L162" s="421"/>
      <c r="M162" s="417"/>
      <c r="N162" s="417"/>
      <c r="O162" s="12"/>
      <c r="T162" s="415"/>
      <c r="U162" s="415"/>
      <c r="V162" s="415"/>
      <c r="W162" s="415"/>
      <c r="X162" s="415"/>
      <c r="AB162" s="418"/>
      <c r="AC162" s="418"/>
      <c r="AD162" s="419"/>
      <c r="AE162" s="419"/>
      <c r="AF162" s="419" t="s">
        <v>1939</v>
      </c>
      <c r="AG162" s="419">
        <v>11210395</v>
      </c>
      <c r="AH162" s="419" t="e">
        <v>#REF!</v>
      </c>
      <c r="AI162" s="419"/>
      <c r="AJ162" s="419"/>
      <c r="AK162" s="419"/>
      <c r="AL162" s="419"/>
      <c r="AM162" s="419"/>
      <c r="AN162" s="419"/>
      <c r="AO162" s="419"/>
      <c r="AP162" s="419"/>
      <c r="AQ162" s="419"/>
      <c r="AR162" s="419"/>
      <c r="AS162" s="419"/>
      <c r="AT162" s="419"/>
      <c r="AU162" s="419"/>
      <c r="AV162" s="419"/>
      <c r="AW162" s="419"/>
      <c r="AX162" s="419"/>
      <c r="AY162" s="419"/>
      <c r="AZ162" s="419"/>
      <c r="BA162" s="419"/>
      <c r="BB162" s="419"/>
      <c r="BC162" s="419"/>
      <c r="BD162" s="419"/>
      <c r="BE162" s="419"/>
      <c r="BF162" s="419"/>
      <c r="BG162" s="419"/>
      <c r="BH162" s="419"/>
      <c r="BI162" s="419"/>
      <c r="BJ162" s="419"/>
      <c r="BK162" s="419"/>
      <c r="BL162" s="419"/>
      <c r="BM162" s="419"/>
      <c r="BN162" s="419"/>
      <c r="BO162" s="420"/>
      <c r="BP162" s="420"/>
      <c r="BQ162" s="420"/>
      <c r="BR162" s="420"/>
      <c r="BS162" s="420"/>
      <c r="BT162" s="420"/>
      <c r="BU162" s="420"/>
      <c r="BV162" s="420"/>
      <c r="BW162" s="420"/>
      <c r="BX162" s="420"/>
      <c r="BY162" s="420"/>
      <c r="BZ162" s="420"/>
      <c r="CA162" s="420"/>
      <c r="CB162" s="420"/>
      <c r="CC162" s="420"/>
      <c r="CD162" s="420"/>
      <c r="CE162" s="420"/>
      <c r="CF162" s="420"/>
      <c r="CG162" s="420"/>
      <c r="CH162" s="420"/>
      <c r="CI162" s="420"/>
      <c r="CJ162" s="420"/>
      <c r="CK162" s="420"/>
      <c r="CL162" s="420"/>
      <c r="CM162" s="420"/>
      <c r="CN162" s="420"/>
      <c r="CO162" s="420"/>
      <c r="CP162" s="420"/>
      <c r="CQ162" s="420"/>
      <c r="CR162" s="420"/>
      <c r="CS162" s="420"/>
      <c r="CT162" s="420"/>
      <c r="CU162" s="420"/>
      <c r="CV162" s="420"/>
      <c r="CW162" s="420"/>
      <c r="CX162" s="420"/>
      <c r="CY162" s="420"/>
      <c r="CZ162" s="420"/>
      <c r="DA162" s="420"/>
      <c r="DB162" s="420"/>
      <c r="DC162" s="420"/>
      <c r="DD162" s="420"/>
      <c r="DE162" s="420"/>
      <c r="DF162" s="420"/>
      <c r="DG162" s="420"/>
      <c r="DH162" s="420"/>
      <c r="DI162" s="420"/>
      <c r="DJ162" s="420"/>
      <c r="DK162" s="420"/>
      <c r="DL162" s="420"/>
      <c r="DM162" s="420"/>
      <c r="DN162" s="420"/>
      <c r="DO162" s="420"/>
      <c r="DP162" s="420"/>
      <c r="DQ162" s="420"/>
      <c r="DR162" s="420"/>
      <c r="DS162" s="420"/>
      <c r="DT162" s="420"/>
      <c r="DU162" s="420"/>
      <c r="DV162" s="420"/>
      <c r="DW162" s="420"/>
      <c r="DX162" s="420"/>
      <c r="DY162" s="420"/>
      <c r="DZ162" s="420"/>
      <c r="EA162" s="420"/>
      <c r="EB162" s="420"/>
      <c r="EC162" s="420"/>
      <c r="ED162" s="420"/>
      <c r="EE162" s="420"/>
      <c r="EF162" s="420"/>
      <c r="EG162" s="420"/>
      <c r="EH162" s="420"/>
      <c r="EI162" s="420"/>
      <c r="EJ162" s="420"/>
      <c r="EK162" s="420"/>
      <c r="EL162" s="420"/>
      <c r="EM162" s="420"/>
      <c r="EN162" s="420"/>
      <c r="EO162" s="420"/>
      <c r="EP162" s="420"/>
      <c r="EQ162" s="420"/>
      <c r="ER162" s="420"/>
      <c r="ES162" s="420"/>
      <c r="ET162" s="420"/>
      <c r="EU162" s="420"/>
      <c r="EV162" s="420"/>
      <c r="EW162" s="420"/>
      <c r="EX162" s="420"/>
      <c r="EY162" s="420"/>
      <c r="EZ162" s="420"/>
      <c r="FA162" s="420"/>
      <c r="FB162" s="420"/>
      <c r="FC162" s="420"/>
      <c r="FD162" s="420"/>
      <c r="FE162" s="420"/>
      <c r="FF162" s="420"/>
      <c r="FG162" s="420"/>
      <c r="FH162" s="420"/>
      <c r="FI162" s="420"/>
      <c r="FJ162" s="420"/>
      <c r="FK162" s="420"/>
      <c r="FL162" s="420"/>
      <c r="FM162" s="420"/>
      <c r="FN162" s="420"/>
      <c r="FO162" s="420"/>
      <c r="FP162" s="420"/>
      <c r="FQ162" s="420"/>
      <c r="FR162" s="420"/>
      <c r="FS162" s="420"/>
      <c r="FT162" s="420"/>
      <c r="FU162" s="420"/>
      <c r="FV162" s="420"/>
      <c r="FW162" s="420"/>
      <c r="FX162" s="420"/>
      <c r="FY162" s="420"/>
      <c r="FZ162" s="420"/>
      <c r="GA162" s="420"/>
      <c r="GB162" s="420"/>
      <c r="GC162" s="420"/>
      <c r="GD162" s="420"/>
      <c r="GE162" s="420"/>
      <c r="GF162" s="420"/>
      <c r="GG162" s="420"/>
      <c r="GH162" s="420"/>
      <c r="GI162" s="420"/>
      <c r="GJ162" s="420"/>
      <c r="GK162" s="420"/>
      <c r="GL162" s="420"/>
      <c r="GM162" s="420"/>
      <c r="GN162" s="420"/>
      <c r="GO162" s="420"/>
      <c r="GP162" s="420"/>
      <c r="GQ162" s="420"/>
      <c r="GR162" s="420"/>
      <c r="GS162" s="420"/>
      <c r="GT162" s="420"/>
      <c r="GU162" s="420"/>
      <c r="GV162" s="420"/>
      <c r="GW162" s="420"/>
      <c r="GX162" s="420"/>
      <c r="GY162" s="420"/>
      <c r="GZ162" s="420"/>
      <c r="HA162" s="420"/>
      <c r="HB162" s="420"/>
      <c r="HC162" s="420"/>
      <c r="HD162" s="420"/>
      <c r="HE162" s="420"/>
      <c r="HF162" s="420"/>
      <c r="HG162" s="420"/>
      <c r="HH162" s="420"/>
      <c r="HI162" s="420"/>
      <c r="HJ162" s="420"/>
      <c r="HK162" s="420"/>
      <c r="HL162" s="420"/>
      <c r="HM162" s="420"/>
      <c r="HN162" s="420"/>
      <c r="HO162" s="420"/>
      <c r="HP162" s="420"/>
      <c r="HQ162" s="420"/>
      <c r="HR162" s="420"/>
      <c r="HS162" s="420"/>
      <c r="HT162" s="420"/>
      <c r="HU162" s="420"/>
      <c r="HV162" s="420"/>
      <c r="HW162" s="420"/>
      <c r="HX162" s="420"/>
      <c r="HY162" s="420"/>
      <c r="HZ162" s="420"/>
      <c r="IA162" s="420"/>
      <c r="IB162" s="420"/>
      <c r="IC162" s="420"/>
      <c r="ID162" s="420"/>
      <c r="IE162" s="420"/>
      <c r="IF162" s="420"/>
      <c r="IG162" s="420"/>
      <c r="IH162" s="420"/>
      <c r="II162" s="420"/>
      <c r="IJ162" s="420"/>
      <c r="IK162" s="420"/>
      <c r="IL162" s="420"/>
      <c r="IM162" s="420"/>
      <c r="IN162" s="420"/>
      <c r="IO162" s="420"/>
      <c r="IP162" s="420"/>
      <c r="IQ162" s="420"/>
      <c r="IR162" s="420"/>
      <c r="IS162" s="420"/>
    </row>
    <row r="163" spans="4:253" ht="15" customHeight="1">
      <c r="D163" s="416"/>
      <c r="E163" s="428" t="s">
        <v>1537</v>
      </c>
      <c r="F163" s="429"/>
      <c r="G163" s="2914">
        <f>DGEN_FE!G280</f>
        <v>66.666666666666671</v>
      </c>
      <c r="H163" s="1542"/>
      <c r="I163" s="417"/>
      <c r="J163" s="417"/>
      <c r="K163" s="421"/>
      <c r="L163" s="421"/>
      <c r="M163" s="417"/>
      <c r="N163" s="417"/>
      <c r="O163" s="12"/>
      <c r="T163" s="415"/>
      <c r="U163" s="415"/>
      <c r="V163" s="415"/>
      <c r="W163" s="415"/>
      <c r="X163" s="415"/>
      <c r="AB163" s="418"/>
      <c r="AC163" s="430"/>
      <c r="AD163" s="418"/>
      <c r="AE163" s="418"/>
      <c r="AF163" s="418"/>
      <c r="AG163" s="418"/>
      <c r="AH163" s="418"/>
      <c r="AI163" s="419"/>
      <c r="AJ163" s="419"/>
      <c r="AK163" s="419" t="s">
        <v>1939</v>
      </c>
      <c r="AL163" s="419">
        <v>11210396</v>
      </c>
      <c r="AM163" s="419" t="e">
        <v>#REF!</v>
      </c>
      <c r="AN163" s="419"/>
      <c r="AO163" s="419"/>
      <c r="AP163" s="419"/>
      <c r="AQ163" s="419"/>
      <c r="AR163" s="419"/>
      <c r="AS163" s="419"/>
      <c r="AT163" s="419"/>
      <c r="AU163" s="419"/>
      <c r="AV163" s="419"/>
      <c r="AW163" s="419"/>
      <c r="AX163" s="419"/>
      <c r="AY163" s="419"/>
      <c r="AZ163" s="419"/>
      <c r="BA163" s="419"/>
      <c r="BB163" s="419"/>
      <c r="BC163" s="419"/>
      <c r="BD163" s="419"/>
      <c r="BE163" s="419"/>
      <c r="BF163" s="419"/>
      <c r="BG163" s="419"/>
      <c r="BH163" s="419"/>
      <c r="BI163" s="419"/>
      <c r="BJ163" s="419"/>
      <c r="BK163" s="419"/>
      <c r="BL163" s="419"/>
      <c r="BM163" s="419"/>
      <c r="BN163" s="419"/>
      <c r="BO163" s="419"/>
      <c r="BP163" s="419"/>
      <c r="BQ163" s="419"/>
      <c r="BR163" s="419"/>
      <c r="BS163" s="419"/>
      <c r="BT163" s="420"/>
      <c r="BU163" s="420"/>
      <c r="BV163" s="420"/>
      <c r="BW163" s="420"/>
      <c r="BX163" s="420"/>
      <c r="BY163" s="420"/>
      <c r="BZ163" s="420"/>
      <c r="CA163" s="420"/>
      <c r="CB163" s="420"/>
      <c r="CC163" s="420"/>
      <c r="CD163" s="420"/>
      <c r="CE163" s="420"/>
      <c r="CF163" s="420"/>
      <c r="CG163" s="420"/>
      <c r="CH163" s="420"/>
      <c r="CI163" s="420"/>
      <c r="CJ163" s="420"/>
      <c r="CK163" s="420"/>
      <c r="CL163" s="420"/>
      <c r="CM163" s="420"/>
      <c r="CN163" s="420"/>
      <c r="CO163" s="420"/>
      <c r="CP163" s="420"/>
      <c r="CQ163" s="420"/>
      <c r="CR163" s="420"/>
      <c r="CS163" s="420"/>
      <c r="CT163" s="420"/>
      <c r="CU163" s="420"/>
      <c r="CV163" s="420"/>
      <c r="CW163" s="420"/>
      <c r="CX163" s="420"/>
      <c r="CY163" s="420"/>
      <c r="CZ163" s="420"/>
      <c r="DA163" s="420"/>
      <c r="DB163" s="420"/>
      <c r="DC163" s="420"/>
      <c r="DD163" s="420"/>
      <c r="DE163" s="420"/>
      <c r="DF163" s="420"/>
      <c r="DG163" s="420"/>
      <c r="DH163" s="420"/>
      <c r="DI163" s="420"/>
      <c r="DJ163" s="420"/>
      <c r="DK163" s="420"/>
      <c r="DL163" s="420"/>
      <c r="DM163" s="420"/>
      <c r="DN163" s="420"/>
      <c r="DO163" s="420"/>
      <c r="DP163" s="420"/>
      <c r="DQ163" s="420"/>
      <c r="DR163" s="420"/>
      <c r="DS163" s="420"/>
      <c r="DT163" s="420"/>
      <c r="DU163" s="420"/>
      <c r="DV163" s="420"/>
      <c r="DW163" s="420"/>
      <c r="DX163" s="420"/>
      <c r="DY163" s="420"/>
      <c r="DZ163" s="420"/>
      <c r="EA163" s="420"/>
      <c r="EB163" s="420"/>
      <c r="EC163" s="420"/>
      <c r="ED163" s="420"/>
      <c r="EE163" s="420"/>
      <c r="EF163" s="420"/>
      <c r="EG163" s="420"/>
      <c r="EH163" s="420"/>
      <c r="EI163" s="420"/>
      <c r="EJ163" s="420"/>
      <c r="EK163" s="420"/>
      <c r="EL163" s="420"/>
      <c r="EM163" s="420"/>
      <c r="EN163" s="420"/>
      <c r="EO163" s="420"/>
      <c r="EP163" s="420"/>
      <c r="EQ163" s="420"/>
      <c r="ER163" s="420"/>
      <c r="ES163" s="420"/>
      <c r="ET163" s="420"/>
      <c r="EU163" s="420"/>
      <c r="EV163" s="420"/>
      <c r="EW163" s="420"/>
      <c r="EX163" s="420"/>
      <c r="EY163" s="420"/>
      <c r="EZ163" s="420"/>
      <c r="FA163" s="420"/>
      <c r="FB163" s="420"/>
      <c r="FC163" s="420"/>
      <c r="FD163" s="420"/>
      <c r="FE163" s="420"/>
      <c r="FF163" s="420"/>
      <c r="FG163" s="420"/>
      <c r="FH163" s="420"/>
      <c r="FI163" s="420"/>
      <c r="FJ163" s="420"/>
      <c r="FK163" s="420"/>
      <c r="FL163" s="420"/>
      <c r="FM163" s="420"/>
      <c r="FN163" s="420"/>
      <c r="FO163" s="420"/>
      <c r="FP163" s="420"/>
      <c r="FQ163" s="420"/>
      <c r="FR163" s="420"/>
      <c r="FS163" s="420"/>
      <c r="FT163" s="420"/>
      <c r="FU163" s="420"/>
      <c r="FV163" s="420"/>
      <c r="FW163" s="420"/>
      <c r="FX163" s="420"/>
      <c r="FY163" s="420"/>
      <c r="FZ163" s="420"/>
      <c r="GA163" s="420"/>
      <c r="GB163" s="420"/>
      <c r="GC163" s="420"/>
      <c r="GD163" s="420"/>
      <c r="GE163" s="420"/>
      <c r="GF163" s="420"/>
      <c r="GG163" s="420"/>
      <c r="GH163" s="420"/>
      <c r="GI163" s="420"/>
      <c r="GJ163" s="420"/>
      <c r="GK163" s="420"/>
      <c r="GL163" s="420"/>
      <c r="GM163" s="420"/>
      <c r="GN163" s="420"/>
      <c r="GO163" s="420"/>
      <c r="GP163" s="420"/>
      <c r="GQ163" s="420"/>
      <c r="GR163" s="420"/>
      <c r="GS163" s="420"/>
      <c r="GT163" s="420"/>
      <c r="GU163" s="420"/>
      <c r="GV163" s="420"/>
      <c r="GW163" s="420"/>
      <c r="GX163" s="420"/>
      <c r="GY163" s="420"/>
      <c r="GZ163" s="420"/>
      <c r="HA163" s="420"/>
      <c r="HB163" s="420"/>
      <c r="HC163" s="420"/>
      <c r="HD163" s="420"/>
      <c r="HE163" s="420"/>
      <c r="HF163" s="420"/>
      <c r="HG163" s="420"/>
      <c r="HH163" s="420"/>
      <c r="HI163" s="420"/>
      <c r="HJ163" s="420"/>
      <c r="HK163" s="420"/>
      <c r="HL163" s="420"/>
      <c r="HM163" s="420"/>
      <c r="HN163" s="420"/>
      <c r="HO163" s="420"/>
      <c r="HP163" s="420"/>
      <c r="HQ163" s="420"/>
      <c r="HR163" s="420"/>
      <c r="HS163" s="420"/>
      <c r="HT163" s="420"/>
      <c r="HU163" s="420"/>
      <c r="HV163" s="420"/>
      <c r="HW163" s="420"/>
      <c r="HX163" s="420"/>
      <c r="HY163" s="420"/>
      <c r="HZ163" s="420"/>
      <c r="IA163" s="420"/>
      <c r="IB163" s="420"/>
      <c r="IC163" s="420"/>
      <c r="ID163" s="420"/>
      <c r="IE163" s="420"/>
      <c r="IF163" s="420"/>
      <c r="IG163" s="420"/>
      <c r="IH163" s="420"/>
      <c r="II163" s="420"/>
      <c r="IJ163" s="420"/>
      <c r="IK163" s="420"/>
      <c r="IL163" s="420"/>
      <c r="IM163" s="420"/>
      <c r="IN163" s="420"/>
      <c r="IO163" s="420"/>
      <c r="IP163" s="420"/>
      <c r="IQ163" s="420"/>
      <c r="IR163" s="420"/>
      <c r="IS163" s="420"/>
    </row>
    <row r="164" spans="4:253" ht="15" customHeight="1">
      <c r="D164" s="416"/>
      <c r="E164" s="441" t="s">
        <v>1940</v>
      </c>
      <c r="F164" s="434"/>
      <c r="G164" s="2915">
        <f>DGEN_FE!G281</f>
        <v>0</v>
      </c>
      <c r="H164" s="1542"/>
      <c r="I164" s="417"/>
      <c r="J164" s="417"/>
      <c r="K164" s="421"/>
      <c r="L164" s="421"/>
      <c r="M164" s="417"/>
      <c r="N164" s="417"/>
      <c r="O164" s="12"/>
      <c r="T164" s="415"/>
      <c r="U164" s="415"/>
      <c r="V164" s="415"/>
      <c r="W164" s="415"/>
      <c r="X164" s="415"/>
      <c r="AB164" s="418"/>
      <c r="AC164" s="430"/>
      <c r="AD164" s="418"/>
      <c r="AE164" s="418"/>
      <c r="AF164" s="418"/>
      <c r="AG164" s="418"/>
      <c r="AH164" s="418"/>
      <c r="AI164" s="419"/>
      <c r="AJ164" s="419"/>
      <c r="AK164" s="419" t="s">
        <v>1939</v>
      </c>
      <c r="AL164" s="419">
        <v>11210397</v>
      </c>
      <c r="AM164" s="419" t="e">
        <v>#REF!</v>
      </c>
      <c r="AN164" s="419"/>
      <c r="AO164" s="419"/>
      <c r="AP164" s="419"/>
      <c r="AQ164" s="419"/>
      <c r="AR164" s="419"/>
      <c r="AS164" s="419"/>
      <c r="AT164" s="419"/>
      <c r="AU164" s="419"/>
      <c r="AV164" s="419"/>
      <c r="AW164" s="419"/>
      <c r="AX164" s="419"/>
      <c r="AY164" s="419"/>
      <c r="AZ164" s="419"/>
      <c r="BA164" s="419"/>
      <c r="BB164" s="419"/>
      <c r="BC164" s="419"/>
      <c r="BD164" s="419"/>
      <c r="BE164" s="419"/>
      <c r="BF164" s="419"/>
      <c r="BG164" s="419"/>
      <c r="BH164" s="419"/>
      <c r="BI164" s="419"/>
      <c r="BJ164" s="419"/>
      <c r="BK164" s="419"/>
      <c r="BL164" s="419"/>
      <c r="BM164" s="419"/>
      <c r="BN164" s="419"/>
      <c r="BO164" s="419"/>
      <c r="BP164" s="419"/>
      <c r="BQ164" s="419"/>
      <c r="BR164" s="419"/>
      <c r="BS164" s="419"/>
      <c r="BT164" s="420"/>
      <c r="BU164" s="420"/>
      <c r="BV164" s="420"/>
      <c r="BW164" s="420"/>
      <c r="BX164" s="420"/>
      <c r="BY164" s="420"/>
      <c r="BZ164" s="420"/>
      <c r="CA164" s="420"/>
      <c r="CB164" s="420"/>
      <c r="CC164" s="420"/>
      <c r="CD164" s="420"/>
      <c r="CE164" s="420"/>
      <c r="CF164" s="420"/>
      <c r="CG164" s="420"/>
      <c r="CH164" s="420"/>
      <c r="CI164" s="420"/>
      <c r="CJ164" s="420"/>
      <c r="CK164" s="420"/>
      <c r="CL164" s="420"/>
      <c r="CM164" s="420"/>
      <c r="CN164" s="420"/>
      <c r="CO164" s="420"/>
      <c r="CP164" s="420"/>
      <c r="CQ164" s="420"/>
      <c r="CR164" s="420"/>
      <c r="CS164" s="420"/>
      <c r="CT164" s="420"/>
      <c r="CU164" s="420"/>
      <c r="CV164" s="420"/>
      <c r="CW164" s="420"/>
      <c r="CX164" s="420"/>
      <c r="CY164" s="420"/>
      <c r="CZ164" s="420"/>
      <c r="DA164" s="420"/>
      <c r="DB164" s="420"/>
      <c r="DC164" s="420"/>
      <c r="DD164" s="420"/>
      <c r="DE164" s="420"/>
      <c r="DF164" s="420"/>
      <c r="DG164" s="420"/>
      <c r="DH164" s="420"/>
      <c r="DI164" s="420"/>
      <c r="DJ164" s="420"/>
      <c r="DK164" s="420"/>
      <c r="DL164" s="420"/>
      <c r="DM164" s="420"/>
      <c r="DN164" s="420"/>
      <c r="DO164" s="420"/>
      <c r="DP164" s="420"/>
      <c r="DQ164" s="420"/>
      <c r="DR164" s="420"/>
      <c r="DS164" s="420"/>
      <c r="DT164" s="420"/>
      <c r="DU164" s="420"/>
      <c r="DV164" s="420"/>
      <c r="DW164" s="420"/>
      <c r="DX164" s="420"/>
      <c r="DY164" s="420"/>
      <c r="DZ164" s="420"/>
      <c r="EA164" s="420"/>
      <c r="EB164" s="420"/>
      <c r="EC164" s="420"/>
      <c r="ED164" s="420"/>
      <c r="EE164" s="420"/>
      <c r="EF164" s="420"/>
      <c r="EG164" s="420"/>
      <c r="EH164" s="420"/>
      <c r="EI164" s="420"/>
      <c r="EJ164" s="420"/>
      <c r="EK164" s="420"/>
      <c r="EL164" s="420"/>
      <c r="EM164" s="420"/>
      <c r="EN164" s="420"/>
      <c r="EO164" s="420"/>
      <c r="EP164" s="420"/>
      <c r="EQ164" s="420"/>
      <c r="ER164" s="420"/>
      <c r="ES164" s="420"/>
      <c r="ET164" s="420"/>
      <c r="EU164" s="420"/>
      <c r="EV164" s="420"/>
      <c r="EW164" s="420"/>
      <c r="EX164" s="420"/>
      <c r="EY164" s="420"/>
      <c r="EZ164" s="420"/>
      <c r="FA164" s="420"/>
      <c r="FB164" s="420"/>
      <c r="FC164" s="420"/>
      <c r="FD164" s="420"/>
      <c r="FE164" s="420"/>
      <c r="FF164" s="420"/>
      <c r="FG164" s="420"/>
      <c r="FH164" s="420"/>
      <c r="FI164" s="420"/>
      <c r="FJ164" s="420"/>
      <c r="FK164" s="420"/>
      <c r="FL164" s="420"/>
      <c r="FM164" s="420"/>
      <c r="FN164" s="420"/>
      <c r="FO164" s="420"/>
      <c r="FP164" s="420"/>
      <c r="FQ164" s="420"/>
      <c r="FR164" s="420"/>
      <c r="FS164" s="420"/>
      <c r="FT164" s="420"/>
      <c r="FU164" s="420"/>
      <c r="FV164" s="420"/>
      <c r="FW164" s="420"/>
      <c r="FX164" s="420"/>
      <c r="FY164" s="420"/>
      <c r="FZ164" s="420"/>
      <c r="GA164" s="420"/>
      <c r="GB164" s="420"/>
      <c r="GC164" s="420"/>
      <c r="GD164" s="420"/>
      <c r="GE164" s="420"/>
      <c r="GF164" s="420"/>
      <c r="GG164" s="420"/>
      <c r="GH164" s="420"/>
      <c r="GI164" s="420"/>
      <c r="GJ164" s="420"/>
      <c r="GK164" s="420"/>
      <c r="GL164" s="420"/>
      <c r="GM164" s="420"/>
      <c r="GN164" s="420"/>
      <c r="GO164" s="420"/>
      <c r="GP164" s="420"/>
      <c r="GQ164" s="420"/>
      <c r="GR164" s="420"/>
      <c r="GS164" s="420"/>
      <c r="GT164" s="420"/>
      <c r="GU164" s="420"/>
      <c r="GV164" s="420"/>
      <c r="GW164" s="420"/>
      <c r="GX164" s="420"/>
      <c r="GY164" s="420"/>
      <c r="GZ164" s="420"/>
      <c r="HA164" s="420"/>
      <c r="HB164" s="420"/>
      <c r="HC164" s="420"/>
      <c r="HD164" s="420"/>
      <c r="HE164" s="420"/>
      <c r="HF164" s="420"/>
      <c r="HG164" s="420"/>
      <c r="HH164" s="420"/>
      <c r="HI164" s="420"/>
      <c r="HJ164" s="420"/>
      <c r="HK164" s="420"/>
      <c r="HL164" s="420"/>
      <c r="HM164" s="420"/>
      <c r="HN164" s="420"/>
      <c r="HO164" s="420"/>
      <c r="HP164" s="420"/>
      <c r="HQ164" s="420"/>
      <c r="HR164" s="420"/>
      <c r="HS164" s="420"/>
      <c r="HT164" s="420"/>
      <c r="HU164" s="420"/>
      <c r="HV164" s="420"/>
      <c r="HW164" s="420"/>
      <c r="HX164" s="420"/>
      <c r="HY164" s="420"/>
      <c r="HZ164" s="420"/>
      <c r="IA164" s="420"/>
      <c r="IB164" s="420"/>
      <c r="IC164" s="420"/>
      <c r="ID164" s="420"/>
      <c r="IE164" s="420"/>
      <c r="IF164" s="420"/>
      <c r="IG164" s="420"/>
      <c r="IH164" s="420"/>
      <c r="II164" s="420"/>
      <c r="IJ164" s="420"/>
      <c r="IK164" s="420"/>
      <c r="IL164" s="420"/>
      <c r="IM164" s="420"/>
      <c r="IN164" s="420"/>
      <c r="IO164" s="420"/>
      <c r="IP164" s="420"/>
      <c r="IQ164" s="420"/>
      <c r="IR164" s="420"/>
      <c r="IS164" s="420"/>
    </row>
    <row r="165" spans="4:253" ht="15" customHeight="1">
      <c r="D165" s="417"/>
      <c r="E165" s="428"/>
      <c r="F165" s="429"/>
      <c r="G165" s="2919"/>
      <c r="H165" s="1542"/>
      <c r="I165" s="417"/>
      <c r="J165" s="417"/>
      <c r="K165" s="421"/>
      <c r="L165" s="421"/>
      <c r="M165" s="417"/>
      <c r="N165" s="417"/>
      <c r="O165" s="12"/>
      <c r="T165" s="415"/>
      <c r="U165" s="415"/>
      <c r="V165" s="415"/>
      <c r="W165" s="415"/>
      <c r="X165" s="415"/>
      <c r="AB165" s="430"/>
      <c r="AC165" s="430"/>
      <c r="AD165" s="431"/>
      <c r="AE165" s="431"/>
      <c r="AF165" s="431"/>
      <c r="AG165" s="431"/>
      <c r="AH165" s="431"/>
      <c r="AI165" s="431"/>
      <c r="AJ165" s="431"/>
      <c r="AK165" s="431"/>
      <c r="AL165" s="431"/>
      <c r="AM165" s="431"/>
      <c r="AN165" s="431"/>
      <c r="AO165" s="431"/>
      <c r="AP165" s="431"/>
      <c r="AQ165" s="431"/>
      <c r="AR165" s="431"/>
      <c r="AS165" s="431"/>
      <c r="AT165" s="431"/>
      <c r="AU165" s="431"/>
      <c r="AV165" s="431"/>
      <c r="AW165" s="431"/>
      <c r="AX165" s="431"/>
      <c r="AY165" s="431"/>
      <c r="AZ165" s="431"/>
      <c r="BA165" s="431"/>
      <c r="BB165" s="431"/>
      <c r="BC165" s="431"/>
      <c r="BD165" s="431"/>
      <c r="BE165" s="431"/>
      <c r="BF165" s="431"/>
      <c r="BG165" s="431"/>
      <c r="BH165" s="431"/>
      <c r="BI165" s="431"/>
      <c r="BJ165" s="431"/>
      <c r="BK165" s="431"/>
      <c r="BL165" s="431"/>
      <c r="BM165" s="431"/>
      <c r="BN165" s="431"/>
      <c r="BO165" s="431"/>
      <c r="BP165" s="431"/>
      <c r="BQ165" s="431"/>
      <c r="BR165" s="431"/>
      <c r="BS165" s="431"/>
      <c r="BT165" s="432"/>
      <c r="BU165" s="432"/>
      <c r="BV165" s="432"/>
      <c r="BW165" s="432"/>
      <c r="BX165" s="432"/>
      <c r="BY165" s="432"/>
      <c r="BZ165" s="432"/>
      <c r="CA165" s="432"/>
      <c r="CB165" s="432"/>
      <c r="CC165" s="432"/>
      <c r="CD165" s="432"/>
      <c r="CE165" s="432"/>
      <c r="CF165" s="432"/>
      <c r="CG165" s="432"/>
      <c r="CH165" s="432"/>
      <c r="CI165" s="432"/>
      <c r="CJ165" s="432"/>
      <c r="CK165" s="432"/>
      <c r="CL165" s="432"/>
      <c r="CM165" s="432"/>
      <c r="CN165" s="432"/>
      <c r="CO165" s="432"/>
      <c r="CP165" s="432"/>
      <c r="CQ165" s="432"/>
      <c r="CR165" s="432"/>
      <c r="CS165" s="432"/>
      <c r="CT165" s="432"/>
      <c r="CU165" s="432"/>
      <c r="CV165" s="432"/>
      <c r="CW165" s="432"/>
      <c r="CX165" s="432"/>
      <c r="CY165" s="432"/>
      <c r="CZ165" s="432"/>
      <c r="DA165" s="432"/>
      <c r="DB165" s="432"/>
      <c r="DC165" s="432"/>
      <c r="DD165" s="432"/>
      <c r="DE165" s="432"/>
      <c r="DF165" s="432"/>
      <c r="DG165" s="432"/>
      <c r="DH165" s="432"/>
      <c r="DI165" s="432"/>
      <c r="DJ165" s="432"/>
      <c r="DK165" s="432"/>
      <c r="DL165" s="432"/>
      <c r="DM165" s="432"/>
      <c r="DN165" s="432"/>
      <c r="DO165" s="432"/>
      <c r="DP165" s="432"/>
      <c r="DQ165" s="432"/>
      <c r="DR165" s="432"/>
      <c r="DS165" s="432"/>
      <c r="DT165" s="432"/>
      <c r="DU165" s="432"/>
      <c r="DV165" s="432"/>
      <c r="DW165" s="432"/>
      <c r="DX165" s="432"/>
      <c r="DY165" s="432"/>
      <c r="DZ165" s="432"/>
      <c r="EA165" s="432"/>
      <c r="EB165" s="432"/>
      <c r="EC165" s="432"/>
      <c r="ED165" s="432"/>
      <c r="EE165" s="432"/>
      <c r="EF165" s="432"/>
      <c r="EG165" s="432"/>
      <c r="EH165" s="432"/>
      <c r="EI165" s="432"/>
      <c r="EJ165" s="432"/>
      <c r="EK165" s="432"/>
      <c r="EL165" s="432"/>
      <c r="EM165" s="432"/>
      <c r="EN165" s="432"/>
      <c r="EO165" s="432"/>
      <c r="EP165" s="432"/>
      <c r="EQ165" s="432"/>
      <c r="ER165" s="432"/>
      <c r="ES165" s="432"/>
      <c r="ET165" s="432"/>
      <c r="EU165" s="432"/>
      <c r="EV165" s="432"/>
      <c r="EW165" s="432"/>
      <c r="EX165" s="432"/>
      <c r="EY165" s="432"/>
      <c r="EZ165" s="432"/>
      <c r="FA165" s="432"/>
      <c r="FB165" s="432"/>
      <c r="FC165" s="432"/>
      <c r="FD165" s="432"/>
      <c r="FE165" s="432"/>
      <c r="FF165" s="432"/>
      <c r="FG165" s="432"/>
      <c r="FH165" s="432"/>
      <c r="FI165" s="432"/>
      <c r="FJ165" s="432"/>
      <c r="FK165" s="432"/>
      <c r="FL165" s="432"/>
      <c r="FM165" s="432"/>
      <c r="FN165" s="432"/>
      <c r="FO165" s="432"/>
      <c r="FP165" s="432"/>
      <c r="FQ165" s="432"/>
      <c r="FR165" s="432"/>
      <c r="FS165" s="432"/>
      <c r="FT165" s="432"/>
      <c r="FU165" s="432"/>
      <c r="FV165" s="432"/>
      <c r="FW165" s="432"/>
      <c r="FX165" s="432"/>
      <c r="FY165" s="432"/>
      <c r="FZ165" s="432"/>
      <c r="GA165" s="432"/>
      <c r="GB165" s="432"/>
      <c r="GC165" s="432"/>
      <c r="GD165" s="432"/>
      <c r="GE165" s="432"/>
      <c r="GF165" s="432"/>
      <c r="GG165" s="432"/>
      <c r="GH165" s="432"/>
      <c r="GI165" s="432"/>
      <c r="GJ165" s="432"/>
      <c r="GK165" s="432"/>
      <c r="GL165" s="432"/>
      <c r="GM165" s="432"/>
      <c r="GN165" s="432"/>
      <c r="GO165" s="432"/>
      <c r="GP165" s="432"/>
      <c r="GQ165" s="432"/>
      <c r="GR165" s="432"/>
      <c r="GS165" s="432"/>
      <c r="GT165" s="432"/>
      <c r="GU165" s="432"/>
      <c r="GV165" s="432"/>
      <c r="GW165" s="432"/>
      <c r="GX165" s="432"/>
      <c r="GY165" s="432"/>
      <c r="GZ165" s="432"/>
      <c r="HA165" s="432"/>
      <c r="HB165" s="432"/>
      <c r="HC165" s="432"/>
      <c r="HD165" s="432"/>
      <c r="HE165" s="432"/>
      <c r="HF165" s="432"/>
      <c r="HG165" s="432"/>
      <c r="HH165" s="432"/>
      <c r="HI165" s="432"/>
      <c r="HJ165" s="432"/>
      <c r="HK165" s="432"/>
      <c r="HL165" s="432"/>
      <c r="HM165" s="432"/>
      <c r="HN165" s="432"/>
      <c r="HO165" s="432"/>
      <c r="HP165" s="432"/>
      <c r="HQ165" s="432"/>
      <c r="HR165" s="432"/>
      <c r="HS165" s="432"/>
      <c r="HT165" s="432"/>
      <c r="HU165" s="432"/>
      <c r="HV165" s="432"/>
      <c r="HW165" s="432"/>
      <c r="HX165" s="432"/>
      <c r="HY165" s="432"/>
      <c r="HZ165" s="432"/>
      <c r="IA165" s="432"/>
      <c r="IB165" s="432"/>
      <c r="IC165" s="432"/>
      <c r="ID165" s="432"/>
      <c r="IE165" s="432"/>
      <c r="IF165" s="432"/>
      <c r="IG165" s="432"/>
      <c r="IH165" s="432"/>
      <c r="II165" s="432"/>
      <c r="IJ165" s="432"/>
      <c r="IK165" s="432"/>
      <c r="IL165" s="432"/>
      <c r="IM165" s="432"/>
      <c r="IN165" s="432"/>
      <c r="IO165" s="432"/>
      <c r="IP165" s="432"/>
      <c r="IQ165" s="432"/>
      <c r="IR165" s="432"/>
      <c r="IS165" s="432"/>
    </row>
    <row r="166" spans="4:253" ht="15" customHeight="1">
      <c r="D166" s="417"/>
      <c r="E166" s="438" t="s">
        <v>1541</v>
      </c>
      <c r="F166" s="429"/>
      <c r="G166" s="2919"/>
      <c r="H166" s="1542"/>
      <c r="I166" s="417"/>
      <c r="J166" s="417"/>
      <c r="K166" s="421"/>
      <c r="L166" s="421"/>
      <c r="M166" s="417"/>
      <c r="N166" s="417"/>
      <c r="O166" s="12"/>
      <c r="T166" s="415"/>
      <c r="U166" s="415"/>
      <c r="V166" s="415"/>
      <c r="W166" s="415"/>
      <c r="X166" s="415"/>
      <c r="AB166" s="430"/>
      <c r="AC166" s="430"/>
      <c r="AD166" s="431"/>
      <c r="AE166" s="431"/>
      <c r="AF166" s="431"/>
      <c r="AG166" s="431"/>
      <c r="AH166" s="431"/>
      <c r="AI166" s="431"/>
      <c r="AJ166" s="431"/>
      <c r="AK166" s="431"/>
      <c r="AL166" s="431"/>
      <c r="AM166" s="431"/>
      <c r="AN166" s="431"/>
      <c r="AO166" s="431"/>
      <c r="AP166" s="431"/>
      <c r="AQ166" s="431"/>
      <c r="AR166" s="431"/>
      <c r="AS166" s="431"/>
      <c r="AT166" s="431"/>
      <c r="AU166" s="431"/>
      <c r="AV166" s="431"/>
      <c r="AW166" s="431"/>
      <c r="AX166" s="431"/>
      <c r="AY166" s="431"/>
      <c r="AZ166" s="431"/>
      <c r="BA166" s="431"/>
      <c r="BB166" s="431"/>
      <c r="BC166" s="431"/>
      <c r="BD166" s="431"/>
      <c r="BE166" s="431"/>
      <c r="BF166" s="431"/>
      <c r="BG166" s="431"/>
      <c r="BH166" s="431"/>
      <c r="BI166" s="431"/>
      <c r="BJ166" s="431"/>
      <c r="BK166" s="431"/>
      <c r="BL166" s="431"/>
      <c r="BM166" s="431"/>
      <c r="BN166" s="431"/>
      <c r="BO166" s="431"/>
      <c r="BP166" s="431"/>
      <c r="BQ166" s="431"/>
      <c r="BR166" s="431"/>
      <c r="BS166" s="431"/>
      <c r="BT166" s="432"/>
      <c r="BU166" s="432"/>
      <c r="BV166" s="432"/>
      <c r="BW166" s="432"/>
      <c r="BX166" s="432"/>
      <c r="BY166" s="432"/>
      <c r="BZ166" s="432"/>
      <c r="CA166" s="432"/>
      <c r="CB166" s="432"/>
      <c r="CC166" s="432"/>
      <c r="CD166" s="432"/>
      <c r="CE166" s="432"/>
      <c r="CF166" s="432"/>
      <c r="CG166" s="432"/>
      <c r="CH166" s="432"/>
      <c r="CI166" s="432"/>
      <c r="CJ166" s="432"/>
      <c r="CK166" s="432"/>
      <c r="CL166" s="432"/>
      <c r="CM166" s="432"/>
      <c r="CN166" s="432"/>
      <c r="CO166" s="432"/>
      <c r="CP166" s="432"/>
      <c r="CQ166" s="432"/>
      <c r="CR166" s="432"/>
      <c r="CS166" s="432"/>
      <c r="CT166" s="432"/>
      <c r="CU166" s="432"/>
      <c r="CV166" s="432"/>
      <c r="CW166" s="432"/>
      <c r="CX166" s="432"/>
      <c r="CY166" s="432"/>
      <c r="CZ166" s="432"/>
      <c r="DA166" s="432"/>
      <c r="DB166" s="432"/>
      <c r="DC166" s="432"/>
      <c r="DD166" s="432"/>
      <c r="DE166" s="432"/>
      <c r="DF166" s="432"/>
      <c r="DG166" s="432"/>
      <c r="DH166" s="432"/>
      <c r="DI166" s="432"/>
      <c r="DJ166" s="432"/>
      <c r="DK166" s="432"/>
      <c r="DL166" s="432"/>
      <c r="DM166" s="432"/>
      <c r="DN166" s="432"/>
      <c r="DO166" s="432"/>
      <c r="DP166" s="432"/>
      <c r="DQ166" s="432"/>
      <c r="DR166" s="432"/>
      <c r="DS166" s="432"/>
      <c r="DT166" s="432"/>
      <c r="DU166" s="432"/>
      <c r="DV166" s="432"/>
      <c r="DW166" s="432"/>
      <c r="DX166" s="432"/>
      <c r="DY166" s="432"/>
      <c r="DZ166" s="432"/>
      <c r="EA166" s="432"/>
      <c r="EB166" s="432"/>
      <c r="EC166" s="432"/>
      <c r="ED166" s="432"/>
      <c r="EE166" s="432"/>
      <c r="EF166" s="432"/>
      <c r="EG166" s="432"/>
      <c r="EH166" s="432"/>
      <c r="EI166" s="432"/>
      <c r="EJ166" s="432"/>
      <c r="EK166" s="432"/>
      <c r="EL166" s="432"/>
      <c r="EM166" s="432"/>
      <c r="EN166" s="432"/>
      <c r="EO166" s="432"/>
      <c r="EP166" s="432"/>
      <c r="EQ166" s="432"/>
      <c r="ER166" s="432"/>
      <c r="ES166" s="432"/>
      <c r="ET166" s="432"/>
      <c r="EU166" s="432"/>
      <c r="EV166" s="432"/>
      <c r="EW166" s="432"/>
      <c r="EX166" s="432"/>
      <c r="EY166" s="432"/>
      <c r="EZ166" s="432"/>
      <c r="FA166" s="432"/>
      <c r="FB166" s="432"/>
      <c r="FC166" s="432"/>
      <c r="FD166" s="432"/>
      <c r="FE166" s="432"/>
      <c r="FF166" s="432"/>
      <c r="FG166" s="432"/>
      <c r="FH166" s="432"/>
      <c r="FI166" s="432"/>
      <c r="FJ166" s="432"/>
      <c r="FK166" s="432"/>
      <c r="FL166" s="432"/>
      <c r="FM166" s="432"/>
      <c r="FN166" s="432"/>
      <c r="FO166" s="432"/>
      <c r="FP166" s="432"/>
      <c r="FQ166" s="432"/>
      <c r="FR166" s="432"/>
      <c r="FS166" s="432"/>
      <c r="FT166" s="432"/>
      <c r="FU166" s="432"/>
      <c r="FV166" s="432"/>
      <c r="FW166" s="432"/>
      <c r="FX166" s="432"/>
      <c r="FY166" s="432"/>
      <c r="FZ166" s="432"/>
      <c r="GA166" s="432"/>
      <c r="GB166" s="432"/>
      <c r="GC166" s="432"/>
      <c r="GD166" s="432"/>
      <c r="GE166" s="432"/>
      <c r="GF166" s="432"/>
      <c r="GG166" s="432"/>
      <c r="GH166" s="432"/>
      <c r="GI166" s="432"/>
      <c r="GJ166" s="432"/>
      <c r="GK166" s="432"/>
      <c r="GL166" s="432"/>
      <c r="GM166" s="432"/>
      <c r="GN166" s="432"/>
      <c r="GO166" s="432"/>
      <c r="GP166" s="432"/>
      <c r="GQ166" s="432"/>
      <c r="GR166" s="432"/>
      <c r="GS166" s="432"/>
      <c r="GT166" s="432"/>
      <c r="GU166" s="432"/>
      <c r="GV166" s="432"/>
      <c r="GW166" s="432"/>
      <c r="GX166" s="432"/>
      <c r="GY166" s="432"/>
      <c r="GZ166" s="432"/>
      <c r="HA166" s="432"/>
      <c r="HB166" s="432"/>
      <c r="HC166" s="432"/>
      <c r="HD166" s="432"/>
      <c r="HE166" s="432"/>
      <c r="HF166" s="432"/>
      <c r="HG166" s="432"/>
      <c r="HH166" s="432"/>
      <c r="HI166" s="432"/>
      <c r="HJ166" s="432"/>
      <c r="HK166" s="432"/>
      <c r="HL166" s="432"/>
      <c r="HM166" s="432"/>
      <c r="HN166" s="432"/>
      <c r="HO166" s="432"/>
      <c r="HP166" s="432"/>
      <c r="HQ166" s="432"/>
      <c r="HR166" s="432"/>
      <c r="HS166" s="432"/>
      <c r="HT166" s="432"/>
      <c r="HU166" s="432"/>
      <c r="HV166" s="432"/>
      <c r="HW166" s="432"/>
      <c r="HX166" s="432"/>
      <c r="HY166" s="432"/>
      <c r="HZ166" s="432"/>
      <c r="IA166" s="432"/>
      <c r="IB166" s="432"/>
      <c r="IC166" s="432"/>
      <c r="ID166" s="432"/>
      <c r="IE166" s="432"/>
      <c r="IF166" s="432"/>
      <c r="IG166" s="432"/>
      <c r="IH166" s="432"/>
      <c r="II166" s="432"/>
      <c r="IJ166" s="432"/>
      <c r="IK166" s="432"/>
      <c r="IL166" s="432"/>
      <c r="IM166" s="432"/>
      <c r="IN166" s="432"/>
      <c r="IO166" s="432"/>
      <c r="IP166" s="432"/>
      <c r="IQ166" s="432"/>
      <c r="IR166" s="432"/>
      <c r="IS166" s="432"/>
    </row>
    <row r="167" spans="4:253" ht="15" customHeight="1">
      <c r="D167" s="416"/>
      <c r="E167" s="439"/>
      <c r="F167" s="429"/>
      <c r="G167" s="2918"/>
      <c r="H167" s="1542"/>
      <c r="I167" s="417"/>
      <c r="J167" s="417"/>
      <c r="K167" s="421"/>
      <c r="L167" s="421"/>
      <c r="M167" s="417"/>
      <c r="N167" s="417"/>
      <c r="O167" s="12"/>
      <c r="T167" s="415"/>
      <c r="U167" s="415"/>
      <c r="V167" s="415"/>
      <c r="W167" s="415"/>
      <c r="X167" s="415"/>
      <c r="AB167" s="430"/>
      <c r="AC167" s="430"/>
      <c r="AD167" s="431"/>
      <c r="AE167" s="431"/>
      <c r="AF167" s="431"/>
      <c r="AG167" s="431"/>
      <c r="AH167" s="431"/>
      <c r="AI167" s="431"/>
      <c r="AJ167" s="431"/>
      <c r="AK167" s="431"/>
      <c r="AL167" s="431"/>
      <c r="AM167" s="431"/>
      <c r="AN167" s="431"/>
      <c r="AO167" s="431"/>
      <c r="AP167" s="431"/>
      <c r="AQ167" s="431"/>
      <c r="AR167" s="431"/>
      <c r="AS167" s="431"/>
      <c r="AT167" s="431"/>
      <c r="AU167" s="431"/>
      <c r="AV167" s="431"/>
      <c r="AW167" s="431"/>
      <c r="AX167" s="431"/>
      <c r="AY167" s="431"/>
      <c r="AZ167" s="431"/>
      <c r="BA167" s="431"/>
      <c r="BB167" s="431"/>
      <c r="BC167" s="431"/>
      <c r="BD167" s="431"/>
      <c r="BE167" s="431"/>
      <c r="BF167" s="431"/>
      <c r="BG167" s="431"/>
      <c r="BH167" s="431"/>
      <c r="BI167" s="431"/>
      <c r="BJ167" s="431"/>
      <c r="BK167" s="431"/>
      <c r="BL167" s="431"/>
      <c r="BM167" s="431"/>
      <c r="BN167" s="431"/>
      <c r="BO167" s="431"/>
      <c r="BP167" s="431"/>
      <c r="BQ167" s="431"/>
      <c r="BR167" s="431"/>
      <c r="BS167" s="431"/>
      <c r="BT167" s="432"/>
      <c r="BU167" s="432"/>
      <c r="BV167" s="432"/>
      <c r="BW167" s="432"/>
      <c r="BX167" s="432"/>
      <c r="BY167" s="432"/>
      <c r="BZ167" s="432"/>
      <c r="CA167" s="432"/>
      <c r="CB167" s="432"/>
      <c r="CC167" s="432"/>
      <c r="CD167" s="432"/>
      <c r="CE167" s="432"/>
      <c r="CF167" s="432"/>
      <c r="CG167" s="432"/>
      <c r="CH167" s="432"/>
      <c r="CI167" s="432"/>
      <c r="CJ167" s="432"/>
      <c r="CK167" s="432"/>
      <c r="CL167" s="432"/>
      <c r="CM167" s="432"/>
      <c r="CN167" s="432"/>
      <c r="CO167" s="432"/>
      <c r="CP167" s="432"/>
      <c r="CQ167" s="432"/>
      <c r="CR167" s="432"/>
      <c r="CS167" s="432"/>
      <c r="CT167" s="432"/>
      <c r="CU167" s="432"/>
      <c r="CV167" s="432"/>
      <c r="CW167" s="432"/>
      <c r="CX167" s="432"/>
      <c r="CY167" s="432"/>
      <c r="CZ167" s="432"/>
      <c r="DA167" s="432"/>
      <c r="DB167" s="432"/>
      <c r="DC167" s="432"/>
      <c r="DD167" s="432"/>
      <c r="DE167" s="432"/>
      <c r="DF167" s="432"/>
      <c r="DG167" s="432"/>
      <c r="DH167" s="432"/>
      <c r="DI167" s="432"/>
      <c r="DJ167" s="432"/>
      <c r="DK167" s="432"/>
      <c r="DL167" s="432"/>
      <c r="DM167" s="432"/>
      <c r="DN167" s="432"/>
      <c r="DO167" s="432"/>
      <c r="DP167" s="432"/>
      <c r="DQ167" s="432"/>
      <c r="DR167" s="432"/>
      <c r="DS167" s="432"/>
      <c r="DT167" s="432"/>
      <c r="DU167" s="432"/>
      <c r="DV167" s="432"/>
      <c r="DW167" s="432"/>
      <c r="DX167" s="432"/>
      <c r="DY167" s="432"/>
      <c r="DZ167" s="432"/>
      <c r="EA167" s="432"/>
      <c r="EB167" s="432"/>
      <c r="EC167" s="432"/>
      <c r="ED167" s="432"/>
      <c r="EE167" s="432"/>
      <c r="EF167" s="432"/>
      <c r="EG167" s="432"/>
      <c r="EH167" s="432"/>
      <c r="EI167" s="432"/>
      <c r="EJ167" s="432"/>
      <c r="EK167" s="432"/>
      <c r="EL167" s="432"/>
      <c r="EM167" s="432"/>
      <c r="EN167" s="432"/>
      <c r="EO167" s="432"/>
      <c r="EP167" s="432"/>
      <c r="EQ167" s="432"/>
      <c r="ER167" s="432"/>
      <c r="ES167" s="432"/>
      <c r="ET167" s="432"/>
      <c r="EU167" s="432"/>
      <c r="EV167" s="432"/>
      <c r="EW167" s="432"/>
      <c r="EX167" s="432"/>
      <c r="EY167" s="432"/>
      <c r="EZ167" s="432"/>
      <c r="FA167" s="432"/>
      <c r="FB167" s="432"/>
      <c r="FC167" s="432"/>
      <c r="FD167" s="432"/>
      <c r="FE167" s="432"/>
      <c r="FF167" s="432"/>
      <c r="FG167" s="432"/>
      <c r="FH167" s="432"/>
      <c r="FI167" s="432"/>
      <c r="FJ167" s="432"/>
      <c r="FK167" s="432"/>
      <c r="FL167" s="432"/>
      <c r="FM167" s="432"/>
      <c r="FN167" s="432"/>
      <c r="FO167" s="432"/>
      <c r="FP167" s="432"/>
      <c r="FQ167" s="432"/>
      <c r="FR167" s="432"/>
      <c r="FS167" s="432"/>
      <c r="FT167" s="432"/>
      <c r="FU167" s="432"/>
      <c r="FV167" s="432"/>
      <c r="FW167" s="432"/>
      <c r="FX167" s="432"/>
      <c r="FY167" s="432"/>
      <c r="FZ167" s="432"/>
      <c r="GA167" s="432"/>
      <c r="GB167" s="432"/>
      <c r="GC167" s="432"/>
      <c r="GD167" s="432"/>
      <c r="GE167" s="432"/>
      <c r="GF167" s="432"/>
      <c r="GG167" s="432"/>
      <c r="GH167" s="432"/>
      <c r="GI167" s="432"/>
      <c r="GJ167" s="432"/>
      <c r="GK167" s="432"/>
      <c r="GL167" s="432"/>
      <c r="GM167" s="432"/>
      <c r="GN167" s="432"/>
      <c r="GO167" s="432"/>
      <c r="GP167" s="432"/>
      <c r="GQ167" s="432"/>
      <c r="GR167" s="432"/>
      <c r="GS167" s="432"/>
      <c r="GT167" s="432"/>
      <c r="GU167" s="432"/>
      <c r="GV167" s="432"/>
      <c r="GW167" s="432"/>
      <c r="GX167" s="432"/>
      <c r="GY167" s="432"/>
      <c r="GZ167" s="432"/>
      <c r="HA167" s="432"/>
      <c r="HB167" s="432"/>
      <c r="HC167" s="432"/>
      <c r="HD167" s="432"/>
      <c r="HE167" s="432"/>
      <c r="HF167" s="432"/>
      <c r="HG167" s="432"/>
      <c r="HH167" s="432"/>
      <c r="HI167" s="432"/>
      <c r="HJ167" s="432"/>
      <c r="HK167" s="432"/>
      <c r="HL167" s="432"/>
      <c r="HM167" s="432"/>
      <c r="HN167" s="432"/>
      <c r="HO167" s="432"/>
      <c r="HP167" s="432"/>
      <c r="HQ167" s="432"/>
      <c r="HR167" s="432"/>
      <c r="HS167" s="432"/>
      <c r="HT167" s="432"/>
      <c r="HU167" s="432"/>
      <c r="HV167" s="432"/>
      <c r="HW167" s="432"/>
      <c r="HX167" s="432"/>
      <c r="HY167" s="432"/>
      <c r="HZ167" s="432"/>
      <c r="IA167" s="432"/>
      <c r="IB167" s="432"/>
      <c r="IC167" s="432"/>
      <c r="ID167" s="432"/>
      <c r="IE167" s="432"/>
      <c r="IF167" s="432"/>
      <c r="IG167" s="432"/>
      <c r="IH167" s="432"/>
      <c r="II167" s="432"/>
      <c r="IJ167" s="432"/>
      <c r="IK167" s="432"/>
      <c r="IL167" s="432"/>
      <c r="IM167" s="432"/>
      <c r="IN167" s="432"/>
      <c r="IO167" s="432"/>
      <c r="IP167" s="432"/>
      <c r="IQ167" s="432"/>
      <c r="IR167" s="432"/>
      <c r="IS167" s="432"/>
    </row>
    <row r="168" spans="4:253" ht="15" customHeight="1">
      <c r="D168" s="416"/>
      <c r="E168" s="424" t="s">
        <v>1532</v>
      </c>
      <c r="F168" s="424"/>
      <c r="G168" s="2917" t="s">
        <v>1942</v>
      </c>
      <c r="H168" s="1542"/>
      <c r="I168" s="417"/>
      <c r="J168" s="417"/>
      <c r="K168" s="421"/>
      <c r="L168" s="421"/>
      <c r="M168" s="417"/>
      <c r="N168" s="417"/>
      <c r="O168" s="12"/>
      <c r="T168" s="415"/>
      <c r="U168" s="415"/>
      <c r="V168" s="415"/>
      <c r="W168" s="415"/>
      <c r="X168" s="415"/>
      <c r="AB168" s="430"/>
      <c r="AC168" s="430"/>
      <c r="AD168" s="431"/>
      <c r="AE168" s="431"/>
      <c r="AF168" s="431"/>
      <c r="AG168" s="431"/>
      <c r="AH168" s="431"/>
      <c r="AI168" s="431"/>
      <c r="AJ168" s="431"/>
      <c r="AK168" s="431"/>
      <c r="AL168" s="431"/>
      <c r="AM168" s="431"/>
      <c r="AN168" s="431"/>
      <c r="AO168" s="431"/>
      <c r="AP168" s="431"/>
      <c r="AQ168" s="431"/>
      <c r="AR168" s="431"/>
      <c r="AS168" s="431"/>
      <c r="AT168" s="431"/>
      <c r="AU168" s="431"/>
      <c r="AV168" s="431"/>
      <c r="AW168" s="431"/>
      <c r="AX168" s="431"/>
      <c r="AY168" s="431"/>
      <c r="AZ168" s="431"/>
      <c r="BA168" s="431"/>
      <c r="BB168" s="431"/>
      <c r="BC168" s="431"/>
      <c r="BD168" s="431"/>
      <c r="BE168" s="431"/>
      <c r="BF168" s="431"/>
      <c r="BG168" s="431"/>
      <c r="BH168" s="431"/>
      <c r="BI168" s="431"/>
      <c r="BJ168" s="431"/>
      <c r="BK168" s="431"/>
      <c r="BL168" s="431"/>
      <c r="BM168" s="431"/>
      <c r="BN168" s="431"/>
      <c r="BO168" s="431"/>
      <c r="BP168" s="431"/>
      <c r="BQ168" s="431"/>
      <c r="BR168" s="431"/>
      <c r="BS168" s="431"/>
      <c r="BT168" s="432"/>
      <c r="BU168" s="432"/>
      <c r="BV168" s="432"/>
      <c r="BW168" s="432"/>
      <c r="BX168" s="432"/>
      <c r="BY168" s="432"/>
      <c r="BZ168" s="432"/>
      <c r="CA168" s="432"/>
      <c r="CB168" s="432"/>
      <c r="CC168" s="432"/>
      <c r="CD168" s="432"/>
      <c r="CE168" s="432"/>
      <c r="CF168" s="432"/>
      <c r="CG168" s="432"/>
      <c r="CH168" s="432"/>
      <c r="CI168" s="432"/>
      <c r="CJ168" s="432"/>
      <c r="CK168" s="432"/>
      <c r="CL168" s="432"/>
      <c r="CM168" s="432"/>
      <c r="CN168" s="432"/>
      <c r="CO168" s="432"/>
      <c r="CP168" s="432"/>
      <c r="CQ168" s="432"/>
      <c r="CR168" s="432"/>
      <c r="CS168" s="432"/>
      <c r="CT168" s="432"/>
      <c r="CU168" s="432"/>
      <c r="CV168" s="432"/>
      <c r="CW168" s="432"/>
      <c r="CX168" s="432"/>
      <c r="CY168" s="432"/>
      <c r="CZ168" s="432"/>
      <c r="DA168" s="432"/>
      <c r="DB168" s="432"/>
      <c r="DC168" s="432"/>
      <c r="DD168" s="432"/>
      <c r="DE168" s="432"/>
      <c r="DF168" s="432"/>
      <c r="DG168" s="432"/>
      <c r="DH168" s="432"/>
      <c r="DI168" s="432"/>
      <c r="DJ168" s="432"/>
      <c r="DK168" s="432"/>
      <c r="DL168" s="432"/>
      <c r="DM168" s="432"/>
      <c r="DN168" s="432"/>
      <c r="DO168" s="432"/>
      <c r="DP168" s="432"/>
      <c r="DQ168" s="432"/>
      <c r="DR168" s="432"/>
      <c r="DS168" s="432"/>
      <c r="DT168" s="432"/>
      <c r="DU168" s="432"/>
      <c r="DV168" s="432"/>
      <c r="DW168" s="432"/>
      <c r="DX168" s="432"/>
      <c r="DY168" s="432"/>
      <c r="DZ168" s="432"/>
      <c r="EA168" s="432"/>
      <c r="EB168" s="432"/>
      <c r="EC168" s="432"/>
      <c r="ED168" s="432"/>
      <c r="EE168" s="432"/>
      <c r="EF168" s="432"/>
      <c r="EG168" s="432"/>
      <c r="EH168" s="432"/>
      <c r="EI168" s="432"/>
      <c r="EJ168" s="432"/>
      <c r="EK168" s="432"/>
      <c r="EL168" s="432"/>
      <c r="EM168" s="432"/>
      <c r="EN168" s="432"/>
      <c r="EO168" s="432"/>
      <c r="EP168" s="432"/>
      <c r="EQ168" s="432"/>
      <c r="ER168" s="432"/>
      <c r="ES168" s="432"/>
      <c r="ET168" s="432"/>
      <c r="EU168" s="432"/>
      <c r="EV168" s="432"/>
      <c r="EW168" s="432"/>
      <c r="EX168" s="432"/>
      <c r="EY168" s="432"/>
      <c r="EZ168" s="432"/>
      <c r="FA168" s="432"/>
      <c r="FB168" s="432"/>
      <c r="FC168" s="432"/>
      <c r="FD168" s="432"/>
      <c r="FE168" s="432"/>
      <c r="FF168" s="432"/>
      <c r="FG168" s="432"/>
      <c r="FH168" s="432"/>
      <c r="FI168" s="432"/>
      <c r="FJ168" s="432"/>
      <c r="FK168" s="432"/>
      <c r="FL168" s="432"/>
      <c r="FM168" s="432"/>
      <c r="FN168" s="432"/>
      <c r="FO168" s="432"/>
      <c r="FP168" s="432"/>
      <c r="FQ168" s="432"/>
      <c r="FR168" s="432"/>
      <c r="FS168" s="432"/>
      <c r="FT168" s="432"/>
      <c r="FU168" s="432"/>
      <c r="FV168" s="432"/>
      <c r="FW168" s="432"/>
      <c r="FX168" s="432"/>
      <c r="FY168" s="432"/>
      <c r="FZ168" s="432"/>
      <c r="GA168" s="432"/>
      <c r="GB168" s="432"/>
      <c r="GC168" s="432"/>
      <c r="GD168" s="432"/>
      <c r="GE168" s="432"/>
      <c r="GF168" s="432"/>
      <c r="GG168" s="432"/>
      <c r="GH168" s="432"/>
      <c r="GI168" s="432"/>
      <c r="GJ168" s="432"/>
      <c r="GK168" s="432"/>
      <c r="GL168" s="432"/>
      <c r="GM168" s="432"/>
      <c r="GN168" s="432"/>
      <c r="GO168" s="432"/>
      <c r="GP168" s="432"/>
      <c r="GQ168" s="432"/>
      <c r="GR168" s="432"/>
      <c r="GS168" s="432"/>
      <c r="GT168" s="432"/>
      <c r="GU168" s="432"/>
      <c r="GV168" s="432"/>
      <c r="GW168" s="432"/>
      <c r="GX168" s="432"/>
      <c r="GY168" s="432"/>
      <c r="GZ168" s="432"/>
      <c r="HA168" s="432"/>
      <c r="HB168" s="432"/>
      <c r="HC168" s="432"/>
      <c r="HD168" s="432"/>
      <c r="HE168" s="432"/>
      <c r="HF168" s="432"/>
      <c r="HG168" s="432"/>
      <c r="HH168" s="432"/>
      <c r="HI168" s="432"/>
      <c r="HJ168" s="432"/>
      <c r="HK168" s="432"/>
      <c r="HL168" s="432"/>
      <c r="HM168" s="432"/>
      <c r="HN168" s="432"/>
      <c r="HO168" s="432"/>
      <c r="HP168" s="432"/>
      <c r="HQ168" s="432"/>
      <c r="HR168" s="432"/>
      <c r="HS168" s="432"/>
      <c r="HT168" s="432"/>
      <c r="HU168" s="432"/>
      <c r="HV168" s="432"/>
      <c r="HW168" s="432"/>
      <c r="HX168" s="432"/>
      <c r="HY168" s="432"/>
      <c r="HZ168" s="432"/>
      <c r="IA168" s="432"/>
      <c r="IB168" s="432"/>
      <c r="IC168" s="432"/>
      <c r="ID168" s="432"/>
      <c r="IE168" s="432"/>
      <c r="IF168" s="432"/>
      <c r="IG168" s="432"/>
      <c r="IH168" s="432"/>
      <c r="II168" s="432"/>
      <c r="IJ168" s="432"/>
      <c r="IK168" s="432"/>
      <c r="IL168" s="432"/>
      <c r="IM168" s="432"/>
      <c r="IN168" s="432"/>
      <c r="IO168" s="432"/>
      <c r="IP168" s="432"/>
      <c r="IQ168" s="432"/>
      <c r="IR168" s="432"/>
      <c r="IS168" s="432"/>
    </row>
    <row r="169" spans="4:253" ht="15" customHeight="1">
      <c r="D169" s="416"/>
      <c r="E169" s="426" t="s">
        <v>1534</v>
      </c>
      <c r="F169" s="427"/>
      <c r="G169" s="2914">
        <f>DGEN_FE!G286</f>
        <v>41.666666666666671</v>
      </c>
      <c r="H169" s="1542"/>
      <c r="I169" s="417"/>
      <c r="J169" s="417"/>
      <c r="K169" s="421"/>
      <c r="L169" s="421"/>
      <c r="M169" s="417"/>
      <c r="N169" s="417"/>
      <c r="O169" s="12"/>
      <c r="T169" s="415"/>
      <c r="U169" s="415"/>
      <c r="V169" s="415"/>
      <c r="W169" s="415"/>
      <c r="X169" s="415"/>
      <c r="AB169" s="430"/>
      <c r="AC169" s="430"/>
      <c r="AD169" s="431"/>
      <c r="AE169" s="431"/>
      <c r="AF169" s="431"/>
      <c r="AG169" s="431"/>
      <c r="AH169" s="431"/>
      <c r="AI169" s="431"/>
      <c r="AJ169" s="431"/>
      <c r="AK169" s="431"/>
      <c r="AL169" s="431"/>
      <c r="AM169" s="431"/>
      <c r="AN169" s="431"/>
      <c r="AO169" s="431"/>
      <c r="AP169" s="431"/>
      <c r="AQ169" s="431"/>
      <c r="AR169" s="431"/>
      <c r="AS169" s="431"/>
      <c r="AT169" s="431"/>
      <c r="AU169" s="431"/>
      <c r="AV169" s="431"/>
      <c r="AW169" s="431"/>
      <c r="AX169" s="431"/>
      <c r="AY169" s="431"/>
      <c r="AZ169" s="431"/>
      <c r="BA169" s="431"/>
      <c r="BB169" s="431"/>
      <c r="BC169" s="431"/>
      <c r="BD169" s="431"/>
      <c r="BE169" s="431"/>
      <c r="BF169" s="431"/>
      <c r="BG169" s="431"/>
      <c r="BH169" s="431"/>
      <c r="BI169" s="431"/>
      <c r="BJ169" s="431"/>
      <c r="BK169" s="431"/>
      <c r="BL169" s="431"/>
      <c r="BM169" s="431"/>
      <c r="BN169" s="431"/>
      <c r="BO169" s="431"/>
      <c r="BP169" s="431"/>
      <c r="BQ169" s="431"/>
      <c r="BR169" s="431"/>
      <c r="BS169" s="431"/>
      <c r="BT169" s="432"/>
      <c r="BU169" s="432"/>
      <c r="BV169" s="432"/>
      <c r="BW169" s="432"/>
      <c r="BX169" s="432"/>
      <c r="BY169" s="432"/>
      <c r="BZ169" s="432"/>
      <c r="CA169" s="432"/>
      <c r="CB169" s="432"/>
      <c r="CC169" s="432"/>
      <c r="CD169" s="432"/>
      <c r="CE169" s="432"/>
      <c r="CF169" s="432"/>
      <c r="CG169" s="432"/>
      <c r="CH169" s="432"/>
      <c r="CI169" s="432"/>
      <c r="CJ169" s="432"/>
      <c r="CK169" s="432"/>
      <c r="CL169" s="432"/>
      <c r="CM169" s="432"/>
      <c r="CN169" s="432"/>
      <c r="CO169" s="432"/>
      <c r="CP169" s="432"/>
      <c r="CQ169" s="432"/>
      <c r="CR169" s="432"/>
      <c r="CS169" s="432"/>
      <c r="CT169" s="432"/>
      <c r="CU169" s="432"/>
      <c r="CV169" s="432"/>
      <c r="CW169" s="432"/>
      <c r="CX169" s="432"/>
      <c r="CY169" s="432"/>
      <c r="CZ169" s="432"/>
      <c r="DA169" s="432"/>
      <c r="DB169" s="432"/>
      <c r="DC169" s="432"/>
      <c r="DD169" s="432"/>
      <c r="DE169" s="432"/>
      <c r="DF169" s="432"/>
      <c r="DG169" s="432"/>
      <c r="DH169" s="432"/>
      <c r="DI169" s="432"/>
      <c r="DJ169" s="432"/>
      <c r="DK169" s="432"/>
      <c r="DL169" s="432"/>
      <c r="DM169" s="432"/>
      <c r="DN169" s="432"/>
      <c r="DO169" s="432"/>
      <c r="DP169" s="432"/>
      <c r="DQ169" s="432"/>
      <c r="DR169" s="432"/>
      <c r="DS169" s="432"/>
      <c r="DT169" s="432"/>
      <c r="DU169" s="432"/>
      <c r="DV169" s="432"/>
      <c r="DW169" s="432"/>
      <c r="DX169" s="432"/>
      <c r="DY169" s="432"/>
      <c r="DZ169" s="432"/>
      <c r="EA169" s="432"/>
      <c r="EB169" s="432"/>
      <c r="EC169" s="432"/>
      <c r="ED169" s="432"/>
      <c r="EE169" s="432"/>
      <c r="EF169" s="432"/>
      <c r="EG169" s="432"/>
      <c r="EH169" s="432"/>
      <c r="EI169" s="432"/>
      <c r="EJ169" s="432"/>
      <c r="EK169" s="432"/>
      <c r="EL169" s="432"/>
      <c r="EM169" s="432"/>
      <c r="EN169" s="432"/>
      <c r="EO169" s="432"/>
      <c r="EP169" s="432"/>
      <c r="EQ169" s="432"/>
      <c r="ER169" s="432"/>
      <c r="ES169" s="432"/>
      <c r="ET169" s="432"/>
      <c r="EU169" s="432"/>
      <c r="EV169" s="432"/>
      <c r="EW169" s="432"/>
      <c r="EX169" s="432"/>
      <c r="EY169" s="432"/>
      <c r="EZ169" s="432"/>
      <c r="FA169" s="432"/>
      <c r="FB169" s="432"/>
      <c r="FC169" s="432"/>
      <c r="FD169" s="432"/>
      <c r="FE169" s="432"/>
      <c r="FF169" s="432"/>
      <c r="FG169" s="432"/>
      <c r="FH169" s="432"/>
      <c r="FI169" s="432"/>
      <c r="FJ169" s="432"/>
      <c r="FK169" s="432"/>
      <c r="FL169" s="432"/>
      <c r="FM169" s="432"/>
      <c r="FN169" s="432"/>
      <c r="FO169" s="432"/>
      <c r="FP169" s="432"/>
      <c r="FQ169" s="432"/>
      <c r="FR169" s="432"/>
      <c r="FS169" s="432"/>
      <c r="FT169" s="432"/>
      <c r="FU169" s="432"/>
      <c r="FV169" s="432"/>
      <c r="FW169" s="432"/>
      <c r="FX169" s="432"/>
      <c r="FY169" s="432"/>
      <c r="FZ169" s="432"/>
      <c r="GA169" s="432"/>
      <c r="GB169" s="432"/>
      <c r="GC169" s="432"/>
      <c r="GD169" s="432"/>
      <c r="GE169" s="432"/>
      <c r="GF169" s="432"/>
      <c r="GG169" s="432"/>
      <c r="GH169" s="432"/>
      <c r="GI169" s="432"/>
      <c r="GJ169" s="432"/>
      <c r="GK169" s="432"/>
      <c r="GL169" s="432"/>
      <c r="GM169" s="432"/>
      <c r="GN169" s="432"/>
      <c r="GO169" s="432"/>
      <c r="GP169" s="432"/>
      <c r="GQ169" s="432"/>
      <c r="GR169" s="432"/>
      <c r="GS169" s="432"/>
      <c r="GT169" s="432"/>
      <c r="GU169" s="432"/>
      <c r="GV169" s="432"/>
      <c r="GW169" s="432"/>
      <c r="GX169" s="432"/>
      <c r="GY169" s="432"/>
      <c r="GZ169" s="432"/>
      <c r="HA169" s="432"/>
      <c r="HB169" s="432"/>
      <c r="HC169" s="432"/>
      <c r="HD169" s="432"/>
      <c r="HE169" s="432"/>
      <c r="HF169" s="432"/>
      <c r="HG169" s="432"/>
      <c r="HH169" s="432"/>
      <c r="HI169" s="432"/>
      <c r="HJ169" s="432"/>
      <c r="HK169" s="432"/>
      <c r="HL169" s="432"/>
      <c r="HM169" s="432"/>
      <c r="HN169" s="432"/>
      <c r="HO169" s="432"/>
      <c r="HP169" s="432"/>
      <c r="HQ169" s="432"/>
      <c r="HR169" s="432"/>
      <c r="HS169" s="432"/>
      <c r="HT169" s="432"/>
      <c r="HU169" s="432"/>
      <c r="HV169" s="432"/>
      <c r="HW169" s="432"/>
      <c r="HX169" s="432"/>
      <c r="HY169" s="432"/>
      <c r="HZ169" s="432"/>
      <c r="IA169" s="432"/>
      <c r="IB169" s="432"/>
      <c r="IC169" s="432"/>
      <c r="ID169" s="432"/>
      <c r="IE169" s="432"/>
      <c r="IF169" s="432"/>
      <c r="IG169" s="432"/>
      <c r="IH169" s="432"/>
      <c r="II169" s="432"/>
      <c r="IJ169" s="432"/>
      <c r="IK169" s="432"/>
      <c r="IL169" s="432"/>
      <c r="IM169" s="432"/>
      <c r="IN169" s="432"/>
      <c r="IO169" s="432"/>
      <c r="IP169" s="432"/>
      <c r="IQ169" s="432"/>
      <c r="IR169" s="432"/>
      <c r="IS169" s="432"/>
    </row>
    <row r="170" spans="4:253" ht="15" customHeight="1">
      <c r="D170" s="416"/>
      <c r="E170" s="428" t="s">
        <v>1535</v>
      </c>
      <c r="F170" s="429"/>
      <c r="G170" s="2914">
        <f>DGEN_FE!G287</f>
        <v>111.11166666666668</v>
      </c>
      <c r="H170" s="1542"/>
      <c r="I170" s="417"/>
      <c r="J170" s="417"/>
      <c r="K170" s="421"/>
      <c r="L170" s="421"/>
      <c r="M170" s="417"/>
      <c r="N170" s="417"/>
      <c r="O170" s="12"/>
      <c r="T170" s="415"/>
      <c r="U170" s="415"/>
      <c r="V170" s="415"/>
      <c r="W170" s="415"/>
      <c r="X170" s="415"/>
      <c r="AB170" s="418"/>
      <c r="AC170" s="418"/>
      <c r="AD170" s="419"/>
      <c r="AE170" s="419"/>
      <c r="AF170" s="419" t="s">
        <v>1939</v>
      </c>
      <c r="AG170" s="419">
        <v>11210394</v>
      </c>
      <c r="AH170" s="419" t="e">
        <v>#REF!</v>
      </c>
      <c r="AI170" s="419"/>
      <c r="AJ170" s="419"/>
      <c r="AK170" s="419"/>
      <c r="AL170" s="419"/>
      <c r="AM170" s="419"/>
      <c r="AN170" s="419"/>
      <c r="AO170" s="419"/>
      <c r="AP170" s="419"/>
      <c r="AQ170" s="419"/>
      <c r="AR170" s="419"/>
      <c r="AS170" s="419"/>
      <c r="AT170" s="419"/>
      <c r="AU170" s="419"/>
      <c r="AV170" s="419"/>
      <c r="AW170" s="419"/>
      <c r="AX170" s="419"/>
      <c r="AY170" s="419"/>
      <c r="AZ170" s="419"/>
      <c r="BA170" s="419"/>
      <c r="BB170" s="419"/>
      <c r="BC170" s="419"/>
      <c r="BD170" s="419"/>
      <c r="BE170" s="419"/>
      <c r="BF170" s="419"/>
      <c r="BG170" s="419"/>
      <c r="BH170" s="419"/>
      <c r="BI170" s="419"/>
      <c r="BJ170" s="419"/>
      <c r="BK170" s="419"/>
      <c r="BL170" s="419"/>
      <c r="BM170" s="419"/>
      <c r="BN170" s="419"/>
      <c r="BO170" s="420"/>
      <c r="BP170" s="420"/>
      <c r="BQ170" s="420"/>
      <c r="BR170" s="420"/>
      <c r="BS170" s="420"/>
      <c r="BT170" s="420"/>
      <c r="BU170" s="420"/>
      <c r="BV170" s="420"/>
      <c r="BW170" s="420"/>
      <c r="BX170" s="420"/>
      <c r="BY170" s="420"/>
      <c r="BZ170" s="420"/>
      <c r="CA170" s="420"/>
      <c r="CB170" s="420"/>
      <c r="CC170" s="420"/>
      <c r="CD170" s="420"/>
      <c r="CE170" s="420"/>
      <c r="CF170" s="420"/>
      <c r="CG170" s="420"/>
      <c r="CH170" s="420"/>
      <c r="CI170" s="420"/>
      <c r="CJ170" s="420"/>
      <c r="CK170" s="420"/>
      <c r="CL170" s="420"/>
      <c r="CM170" s="420"/>
      <c r="CN170" s="420"/>
      <c r="CO170" s="420"/>
      <c r="CP170" s="420"/>
      <c r="CQ170" s="420"/>
      <c r="CR170" s="420"/>
      <c r="CS170" s="420"/>
      <c r="CT170" s="420"/>
      <c r="CU170" s="420"/>
      <c r="CV170" s="420"/>
      <c r="CW170" s="420"/>
      <c r="CX170" s="420"/>
      <c r="CY170" s="420"/>
      <c r="CZ170" s="420"/>
      <c r="DA170" s="420"/>
      <c r="DB170" s="420"/>
      <c r="DC170" s="420"/>
      <c r="DD170" s="420"/>
      <c r="DE170" s="420"/>
      <c r="DF170" s="420"/>
      <c r="DG170" s="420"/>
      <c r="DH170" s="420"/>
      <c r="DI170" s="420"/>
      <c r="DJ170" s="420"/>
      <c r="DK170" s="420"/>
      <c r="DL170" s="420"/>
      <c r="DM170" s="420"/>
      <c r="DN170" s="420"/>
      <c r="DO170" s="420"/>
      <c r="DP170" s="420"/>
      <c r="DQ170" s="420"/>
      <c r="DR170" s="420"/>
      <c r="DS170" s="420"/>
      <c r="DT170" s="420"/>
      <c r="DU170" s="420"/>
      <c r="DV170" s="420"/>
      <c r="DW170" s="420"/>
      <c r="DX170" s="420"/>
      <c r="DY170" s="420"/>
      <c r="DZ170" s="420"/>
      <c r="EA170" s="420"/>
      <c r="EB170" s="420"/>
      <c r="EC170" s="420"/>
      <c r="ED170" s="420"/>
      <c r="EE170" s="420"/>
      <c r="EF170" s="420"/>
      <c r="EG170" s="420"/>
      <c r="EH170" s="420"/>
      <c r="EI170" s="420"/>
      <c r="EJ170" s="420"/>
      <c r="EK170" s="420"/>
      <c r="EL170" s="420"/>
      <c r="EM170" s="420"/>
      <c r="EN170" s="420"/>
      <c r="EO170" s="420"/>
      <c r="EP170" s="420"/>
      <c r="EQ170" s="420"/>
      <c r="ER170" s="420"/>
      <c r="ES170" s="420"/>
      <c r="ET170" s="420"/>
      <c r="EU170" s="420"/>
      <c r="EV170" s="420"/>
      <c r="EW170" s="420"/>
      <c r="EX170" s="420"/>
      <c r="EY170" s="420"/>
      <c r="EZ170" s="420"/>
      <c r="FA170" s="420"/>
      <c r="FB170" s="420"/>
      <c r="FC170" s="420"/>
      <c r="FD170" s="420"/>
      <c r="FE170" s="420"/>
      <c r="FF170" s="420"/>
      <c r="FG170" s="420"/>
      <c r="FH170" s="420"/>
      <c r="FI170" s="420"/>
      <c r="FJ170" s="420"/>
      <c r="FK170" s="420"/>
      <c r="FL170" s="420"/>
      <c r="FM170" s="420"/>
      <c r="FN170" s="420"/>
      <c r="FO170" s="420"/>
      <c r="FP170" s="420"/>
      <c r="FQ170" s="420"/>
      <c r="FR170" s="420"/>
      <c r="FS170" s="420"/>
      <c r="FT170" s="420"/>
      <c r="FU170" s="420"/>
      <c r="FV170" s="420"/>
      <c r="FW170" s="420"/>
      <c r="FX170" s="420"/>
      <c r="FY170" s="420"/>
      <c r="FZ170" s="420"/>
      <c r="GA170" s="420"/>
      <c r="GB170" s="420"/>
      <c r="GC170" s="420"/>
      <c r="GD170" s="420"/>
      <c r="GE170" s="420"/>
      <c r="GF170" s="420"/>
      <c r="GG170" s="420"/>
      <c r="GH170" s="420"/>
      <c r="GI170" s="420"/>
      <c r="GJ170" s="420"/>
      <c r="GK170" s="420"/>
      <c r="GL170" s="420"/>
      <c r="GM170" s="420"/>
      <c r="GN170" s="420"/>
      <c r="GO170" s="420"/>
      <c r="GP170" s="420"/>
      <c r="GQ170" s="420"/>
      <c r="GR170" s="420"/>
      <c r="GS170" s="420"/>
      <c r="GT170" s="420"/>
      <c r="GU170" s="420"/>
      <c r="GV170" s="420"/>
      <c r="GW170" s="420"/>
      <c r="GX170" s="420"/>
      <c r="GY170" s="420"/>
      <c r="GZ170" s="420"/>
      <c r="HA170" s="420"/>
      <c r="HB170" s="420"/>
      <c r="HC170" s="420"/>
      <c r="HD170" s="420"/>
      <c r="HE170" s="420"/>
      <c r="HF170" s="420"/>
      <c r="HG170" s="420"/>
      <c r="HH170" s="420"/>
      <c r="HI170" s="420"/>
      <c r="HJ170" s="420"/>
      <c r="HK170" s="420"/>
      <c r="HL170" s="420"/>
      <c r="HM170" s="420"/>
      <c r="HN170" s="420"/>
      <c r="HO170" s="420"/>
      <c r="HP170" s="420"/>
      <c r="HQ170" s="420"/>
      <c r="HR170" s="420"/>
      <c r="HS170" s="420"/>
      <c r="HT170" s="420"/>
      <c r="HU170" s="420"/>
      <c r="HV170" s="420"/>
      <c r="HW170" s="420"/>
      <c r="HX170" s="420"/>
      <c r="HY170" s="420"/>
      <c r="HZ170" s="420"/>
      <c r="IA170" s="420"/>
      <c r="IB170" s="420"/>
      <c r="IC170" s="420"/>
      <c r="ID170" s="420"/>
      <c r="IE170" s="420"/>
      <c r="IF170" s="420"/>
      <c r="IG170" s="420"/>
      <c r="IH170" s="420"/>
      <c r="II170" s="420"/>
      <c r="IJ170" s="420"/>
      <c r="IK170" s="420"/>
      <c r="IL170" s="420"/>
      <c r="IM170" s="420"/>
      <c r="IN170" s="420"/>
      <c r="IO170" s="420"/>
      <c r="IP170" s="420"/>
      <c r="IQ170" s="420"/>
      <c r="IR170" s="420"/>
      <c r="IS170" s="420"/>
    </row>
    <row r="171" spans="4:253" ht="15" customHeight="1">
      <c r="D171" s="416"/>
      <c r="E171" s="428" t="s">
        <v>1536</v>
      </c>
      <c r="F171" s="429"/>
      <c r="G171" s="2914">
        <f>DGEN_FE!G288</f>
        <v>119.44416666666667</v>
      </c>
      <c r="H171" s="1542"/>
      <c r="I171" s="417"/>
      <c r="J171" s="417"/>
      <c r="K171" s="421"/>
      <c r="L171" s="421"/>
      <c r="M171" s="417"/>
      <c r="N171" s="417"/>
      <c r="O171" s="12"/>
      <c r="T171" s="415"/>
      <c r="U171" s="415"/>
      <c r="V171" s="415"/>
      <c r="W171" s="415"/>
      <c r="X171" s="415"/>
      <c r="AB171" s="418"/>
      <c r="AC171" s="418"/>
      <c r="AD171" s="419"/>
      <c r="AE171" s="419"/>
      <c r="AF171" s="419" t="s">
        <v>1939</v>
      </c>
      <c r="AG171" s="419">
        <v>11210395</v>
      </c>
      <c r="AH171" s="419" t="e">
        <v>#REF!</v>
      </c>
      <c r="AI171" s="419"/>
      <c r="AJ171" s="419"/>
      <c r="AK171" s="419"/>
      <c r="AL171" s="419"/>
      <c r="AM171" s="419"/>
      <c r="AN171" s="419"/>
      <c r="AO171" s="419"/>
      <c r="AP171" s="419"/>
      <c r="AQ171" s="419"/>
      <c r="AR171" s="419"/>
      <c r="AS171" s="419"/>
      <c r="AT171" s="419"/>
      <c r="AU171" s="419"/>
      <c r="AV171" s="419"/>
      <c r="AW171" s="419"/>
      <c r="AX171" s="419"/>
      <c r="AY171" s="419"/>
      <c r="AZ171" s="419"/>
      <c r="BA171" s="419"/>
      <c r="BB171" s="419"/>
      <c r="BC171" s="419"/>
      <c r="BD171" s="419"/>
      <c r="BE171" s="419"/>
      <c r="BF171" s="419"/>
      <c r="BG171" s="419"/>
      <c r="BH171" s="419"/>
      <c r="BI171" s="419"/>
      <c r="BJ171" s="419"/>
      <c r="BK171" s="419"/>
      <c r="BL171" s="419"/>
      <c r="BM171" s="419"/>
      <c r="BN171" s="419"/>
      <c r="BO171" s="420"/>
      <c r="BP171" s="420"/>
      <c r="BQ171" s="420"/>
      <c r="BR171" s="420"/>
      <c r="BS171" s="420"/>
      <c r="BT171" s="420"/>
      <c r="BU171" s="420"/>
      <c r="BV171" s="420"/>
      <c r="BW171" s="420"/>
      <c r="BX171" s="420"/>
      <c r="BY171" s="420"/>
      <c r="BZ171" s="420"/>
      <c r="CA171" s="420"/>
      <c r="CB171" s="420"/>
      <c r="CC171" s="420"/>
      <c r="CD171" s="420"/>
      <c r="CE171" s="420"/>
      <c r="CF171" s="420"/>
      <c r="CG171" s="420"/>
      <c r="CH171" s="420"/>
      <c r="CI171" s="420"/>
      <c r="CJ171" s="420"/>
      <c r="CK171" s="420"/>
      <c r="CL171" s="420"/>
      <c r="CM171" s="420"/>
      <c r="CN171" s="420"/>
      <c r="CO171" s="420"/>
      <c r="CP171" s="420"/>
      <c r="CQ171" s="420"/>
      <c r="CR171" s="420"/>
      <c r="CS171" s="420"/>
      <c r="CT171" s="420"/>
      <c r="CU171" s="420"/>
      <c r="CV171" s="420"/>
      <c r="CW171" s="420"/>
      <c r="CX171" s="420"/>
      <c r="CY171" s="420"/>
      <c r="CZ171" s="420"/>
      <c r="DA171" s="420"/>
      <c r="DB171" s="420"/>
      <c r="DC171" s="420"/>
      <c r="DD171" s="420"/>
      <c r="DE171" s="420"/>
      <c r="DF171" s="420"/>
      <c r="DG171" s="420"/>
      <c r="DH171" s="420"/>
      <c r="DI171" s="420"/>
      <c r="DJ171" s="420"/>
      <c r="DK171" s="420"/>
      <c r="DL171" s="420"/>
      <c r="DM171" s="420"/>
      <c r="DN171" s="420"/>
      <c r="DO171" s="420"/>
      <c r="DP171" s="420"/>
      <c r="DQ171" s="420"/>
      <c r="DR171" s="420"/>
      <c r="DS171" s="420"/>
      <c r="DT171" s="420"/>
      <c r="DU171" s="420"/>
      <c r="DV171" s="420"/>
      <c r="DW171" s="420"/>
      <c r="DX171" s="420"/>
      <c r="DY171" s="420"/>
      <c r="DZ171" s="420"/>
      <c r="EA171" s="420"/>
      <c r="EB171" s="420"/>
      <c r="EC171" s="420"/>
      <c r="ED171" s="420"/>
      <c r="EE171" s="420"/>
      <c r="EF171" s="420"/>
      <c r="EG171" s="420"/>
      <c r="EH171" s="420"/>
      <c r="EI171" s="420"/>
      <c r="EJ171" s="420"/>
      <c r="EK171" s="420"/>
      <c r="EL171" s="420"/>
      <c r="EM171" s="420"/>
      <c r="EN171" s="420"/>
      <c r="EO171" s="420"/>
      <c r="EP171" s="420"/>
      <c r="EQ171" s="420"/>
      <c r="ER171" s="420"/>
      <c r="ES171" s="420"/>
      <c r="ET171" s="420"/>
      <c r="EU171" s="420"/>
      <c r="EV171" s="420"/>
      <c r="EW171" s="420"/>
      <c r="EX171" s="420"/>
      <c r="EY171" s="420"/>
      <c r="EZ171" s="420"/>
      <c r="FA171" s="420"/>
      <c r="FB171" s="420"/>
      <c r="FC171" s="420"/>
      <c r="FD171" s="420"/>
      <c r="FE171" s="420"/>
      <c r="FF171" s="420"/>
      <c r="FG171" s="420"/>
      <c r="FH171" s="420"/>
      <c r="FI171" s="420"/>
      <c r="FJ171" s="420"/>
      <c r="FK171" s="420"/>
      <c r="FL171" s="420"/>
      <c r="FM171" s="420"/>
      <c r="FN171" s="420"/>
      <c r="FO171" s="420"/>
      <c r="FP171" s="420"/>
      <c r="FQ171" s="420"/>
      <c r="FR171" s="420"/>
      <c r="FS171" s="420"/>
      <c r="FT171" s="420"/>
      <c r="FU171" s="420"/>
      <c r="FV171" s="420"/>
      <c r="FW171" s="420"/>
      <c r="FX171" s="420"/>
      <c r="FY171" s="420"/>
      <c r="FZ171" s="420"/>
      <c r="GA171" s="420"/>
      <c r="GB171" s="420"/>
      <c r="GC171" s="420"/>
      <c r="GD171" s="420"/>
      <c r="GE171" s="420"/>
      <c r="GF171" s="420"/>
      <c r="GG171" s="420"/>
      <c r="GH171" s="420"/>
      <c r="GI171" s="420"/>
      <c r="GJ171" s="420"/>
      <c r="GK171" s="420"/>
      <c r="GL171" s="420"/>
      <c r="GM171" s="420"/>
      <c r="GN171" s="420"/>
      <c r="GO171" s="420"/>
      <c r="GP171" s="420"/>
      <c r="GQ171" s="420"/>
      <c r="GR171" s="420"/>
      <c r="GS171" s="420"/>
      <c r="GT171" s="420"/>
      <c r="GU171" s="420"/>
      <c r="GV171" s="420"/>
      <c r="GW171" s="420"/>
      <c r="GX171" s="420"/>
      <c r="GY171" s="420"/>
      <c r="GZ171" s="420"/>
      <c r="HA171" s="420"/>
      <c r="HB171" s="420"/>
      <c r="HC171" s="420"/>
      <c r="HD171" s="420"/>
      <c r="HE171" s="420"/>
      <c r="HF171" s="420"/>
      <c r="HG171" s="420"/>
      <c r="HH171" s="420"/>
      <c r="HI171" s="420"/>
      <c r="HJ171" s="420"/>
      <c r="HK171" s="420"/>
      <c r="HL171" s="420"/>
      <c r="HM171" s="420"/>
      <c r="HN171" s="420"/>
      <c r="HO171" s="420"/>
      <c r="HP171" s="420"/>
      <c r="HQ171" s="420"/>
      <c r="HR171" s="420"/>
      <c r="HS171" s="420"/>
      <c r="HT171" s="420"/>
      <c r="HU171" s="420"/>
      <c r="HV171" s="420"/>
      <c r="HW171" s="420"/>
      <c r="HX171" s="420"/>
      <c r="HY171" s="420"/>
      <c r="HZ171" s="420"/>
      <c r="IA171" s="420"/>
      <c r="IB171" s="420"/>
      <c r="IC171" s="420"/>
      <c r="ID171" s="420"/>
      <c r="IE171" s="420"/>
      <c r="IF171" s="420"/>
      <c r="IG171" s="420"/>
      <c r="IH171" s="420"/>
      <c r="II171" s="420"/>
      <c r="IJ171" s="420"/>
      <c r="IK171" s="420"/>
      <c r="IL171" s="420"/>
      <c r="IM171" s="420"/>
      <c r="IN171" s="420"/>
      <c r="IO171" s="420"/>
      <c r="IP171" s="420"/>
      <c r="IQ171" s="420"/>
      <c r="IR171" s="420"/>
      <c r="IS171" s="420"/>
    </row>
    <row r="172" spans="4:253" ht="15" customHeight="1">
      <c r="D172" s="416"/>
      <c r="E172" s="428" t="s">
        <v>1537</v>
      </c>
      <c r="F172" s="429"/>
      <c r="G172" s="2914">
        <f>DGEN_FE!G289</f>
        <v>66.666666666666671</v>
      </c>
      <c r="H172" s="1542"/>
      <c r="I172" s="417"/>
      <c r="J172" s="417"/>
      <c r="K172" s="421"/>
      <c r="L172" s="421"/>
      <c r="M172" s="417"/>
      <c r="N172" s="417"/>
      <c r="O172" s="12"/>
      <c r="T172" s="415"/>
      <c r="U172" s="415"/>
      <c r="V172" s="415"/>
      <c r="W172" s="415"/>
      <c r="X172" s="415"/>
      <c r="AB172" s="418"/>
      <c r="AC172" s="430"/>
      <c r="AD172" s="418"/>
      <c r="AE172" s="418"/>
      <c r="AF172" s="418"/>
      <c r="AG172" s="418"/>
      <c r="AH172" s="418"/>
      <c r="AI172" s="419"/>
      <c r="AJ172" s="419"/>
      <c r="AK172" s="419" t="s">
        <v>1939</v>
      </c>
      <c r="AL172" s="419">
        <v>11210396</v>
      </c>
      <c r="AM172" s="419" t="e">
        <v>#REF!</v>
      </c>
      <c r="AN172" s="419"/>
      <c r="AO172" s="419"/>
      <c r="AP172" s="419"/>
      <c r="AQ172" s="419"/>
      <c r="AR172" s="419"/>
      <c r="AS172" s="419"/>
      <c r="AT172" s="419"/>
      <c r="AU172" s="419"/>
      <c r="AV172" s="419"/>
      <c r="AW172" s="419"/>
      <c r="AX172" s="419"/>
      <c r="AY172" s="419"/>
      <c r="AZ172" s="419"/>
      <c r="BA172" s="419"/>
      <c r="BB172" s="419"/>
      <c r="BC172" s="419"/>
      <c r="BD172" s="419"/>
      <c r="BE172" s="419"/>
      <c r="BF172" s="419"/>
      <c r="BG172" s="419"/>
      <c r="BH172" s="419"/>
      <c r="BI172" s="419"/>
      <c r="BJ172" s="419"/>
      <c r="BK172" s="419"/>
      <c r="BL172" s="419"/>
      <c r="BM172" s="419"/>
      <c r="BN172" s="419"/>
      <c r="BO172" s="419"/>
      <c r="BP172" s="419"/>
      <c r="BQ172" s="419"/>
      <c r="BR172" s="419"/>
      <c r="BS172" s="419"/>
      <c r="BT172" s="420"/>
      <c r="BU172" s="420"/>
      <c r="BV172" s="420"/>
      <c r="BW172" s="420"/>
      <c r="BX172" s="420"/>
      <c r="BY172" s="420"/>
      <c r="BZ172" s="420"/>
      <c r="CA172" s="420"/>
      <c r="CB172" s="420"/>
      <c r="CC172" s="420"/>
      <c r="CD172" s="420"/>
      <c r="CE172" s="420"/>
      <c r="CF172" s="420"/>
      <c r="CG172" s="420"/>
      <c r="CH172" s="420"/>
      <c r="CI172" s="420"/>
      <c r="CJ172" s="420"/>
      <c r="CK172" s="420"/>
      <c r="CL172" s="420"/>
      <c r="CM172" s="420"/>
      <c r="CN172" s="420"/>
      <c r="CO172" s="420"/>
      <c r="CP172" s="420"/>
      <c r="CQ172" s="420"/>
      <c r="CR172" s="420"/>
      <c r="CS172" s="420"/>
      <c r="CT172" s="420"/>
      <c r="CU172" s="420"/>
      <c r="CV172" s="420"/>
      <c r="CW172" s="420"/>
      <c r="CX172" s="420"/>
      <c r="CY172" s="420"/>
      <c r="CZ172" s="420"/>
      <c r="DA172" s="420"/>
      <c r="DB172" s="420"/>
      <c r="DC172" s="420"/>
      <c r="DD172" s="420"/>
      <c r="DE172" s="420"/>
      <c r="DF172" s="420"/>
      <c r="DG172" s="420"/>
      <c r="DH172" s="420"/>
      <c r="DI172" s="420"/>
      <c r="DJ172" s="420"/>
      <c r="DK172" s="420"/>
      <c r="DL172" s="420"/>
      <c r="DM172" s="420"/>
      <c r="DN172" s="420"/>
      <c r="DO172" s="420"/>
      <c r="DP172" s="420"/>
      <c r="DQ172" s="420"/>
      <c r="DR172" s="420"/>
      <c r="DS172" s="420"/>
      <c r="DT172" s="420"/>
      <c r="DU172" s="420"/>
      <c r="DV172" s="420"/>
      <c r="DW172" s="420"/>
      <c r="DX172" s="420"/>
      <c r="DY172" s="420"/>
      <c r="DZ172" s="420"/>
      <c r="EA172" s="420"/>
      <c r="EB172" s="420"/>
      <c r="EC172" s="420"/>
      <c r="ED172" s="420"/>
      <c r="EE172" s="420"/>
      <c r="EF172" s="420"/>
      <c r="EG172" s="420"/>
      <c r="EH172" s="420"/>
      <c r="EI172" s="420"/>
      <c r="EJ172" s="420"/>
      <c r="EK172" s="420"/>
      <c r="EL172" s="420"/>
      <c r="EM172" s="420"/>
      <c r="EN172" s="420"/>
      <c r="EO172" s="420"/>
      <c r="EP172" s="420"/>
      <c r="EQ172" s="420"/>
      <c r="ER172" s="420"/>
      <c r="ES172" s="420"/>
      <c r="ET172" s="420"/>
      <c r="EU172" s="420"/>
      <c r="EV172" s="420"/>
      <c r="EW172" s="420"/>
      <c r="EX172" s="420"/>
      <c r="EY172" s="420"/>
      <c r="EZ172" s="420"/>
      <c r="FA172" s="420"/>
      <c r="FB172" s="420"/>
      <c r="FC172" s="420"/>
      <c r="FD172" s="420"/>
      <c r="FE172" s="420"/>
      <c r="FF172" s="420"/>
      <c r="FG172" s="420"/>
      <c r="FH172" s="420"/>
      <c r="FI172" s="420"/>
      <c r="FJ172" s="420"/>
      <c r="FK172" s="420"/>
      <c r="FL172" s="420"/>
      <c r="FM172" s="420"/>
      <c r="FN172" s="420"/>
      <c r="FO172" s="420"/>
      <c r="FP172" s="420"/>
      <c r="FQ172" s="420"/>
      <c r="FR172" s="420"/>
      <c r="FS172" s="420"/>
      <c r="FT172" s="420"/>
      <c r="FU172" s="420"/>
      <c r="FV172" s="420"/>
      <c r="FW172" s="420"/>
      <c r="FX172" s="420"/>
      <c r="FY172" s="420"/>
      <c r="FZ172" s="420"/>
      <c r="GA172" s="420"/>
      <c r="GB172" s="420"/>
      <c r="GC172" s="420"/>
      <c r="GD172" s="420"/>
      <c r="GE172" s="420"/>
      <c r="GF172" s="420"/>
      <c r="GG172" s="420"/>
      <c r="GH172" s="420"/>
      <c r="GI172" s="420"/>
      <c r="GJ172" s="420"/>
      <c r="GK172" s="420"/>
      <c r="GL172" s="420"/>
      <c r="GM172" s="420"/>
      <c r="GN172" s="420"/>
      <c r="GO172" s="420"/>
      <c r="GP172" s="420"/>
      <c r="GQ172" s="420"/>
      <c r="GR172" s="420"/>
      <c r="GS172" s="420"/>
      <c r="GT172" s="420"/>
      <c r="GU172" s="420"/>
      <c r="GV172" s="420"/>
      <c r="GW172" s="420"/>
      <c r="GX172" s="420"/>
      <c r="GY172" s="420"/>
      <c r="GZ172" s="420"/>
      <c r="HA172" s="420"/>
      <c r="HB172" s="420"/>
      <c r="HC172" s="420"/>
      <c r="HD172" s="420"/>
      <c r="HE172" s="420"/>
      <c r="HF172" s="420"/>
      <c r="HG172" s="420"/>
      <c r="HH172" s="420"/>
      <c r="HI172" s="420"/>
      <c r="HJ172" s="420"/>
      <c r="HK172" s="420"/>
      <c r="HL172" s="420"/>
      <c r="HM172" s="420"/>
      <c r="HN172" s="420"/>
      <c r="HO172" s="420"/>
      <c r="HP172" s="420"/>
      <c r="HQ172" s="420"/>
      <c r="HR172" s="420"/>
      <c r="HS172" s="420"/>
      <c r="HT172" s="420"/>
      <c r="HU172" s="420"/>
      <c r="HV172" s="420"/>
      <c r="HW172" s="420"/>
      <c r="HX172" s="420"/>
      <c r="HY172" s="420"/>
      <c r="HZ172" s="420"/>
      <c r="IA172" s="420"/>
      <c r="IB172" s="420"/>
      <c r="IC172" s="420"/>
      <c r="ID172" s="420"/>
      <c r="IE172" s="420"/>
      <c r="IF172" s="420"/>
      <c r="IG172" s="420"/>
      <c r="IH172" s="420"/>
      <c r="II172" s="420"/>
      <c r="IJ172" s="420"/>
      <c r="IK172" s="420"/>
      <c r="IL172" s="420"/>
      <c r="IM172" s="420"/>
      <c r="IN172" s="420"/>
      <c r="IO172" s="420"/>
      <c r="IP172" s="420"/>
      <c r="IQ172" s="420"/>
      <c r="IR172" s="420"/>
      <c r="IS172" s="420"/>
    </row>
    <row r="173" spans="4:253" ht="15" customHeight="1">
      <c r="D173" s="416"/>
      <c r="E173" s="441" t="s">
        <v>1940</v>
      </c>
      <c r="F173" s="434"/>
      <c r="G173" s="2915">
        <f>DGEN_FE!G290</f>
        <v>0</v>
      </c>
      <c r="H173" s="1542"/>
      <c r="I173" s="417"/>
      <c r="J173" s="417"/>
      <c r="K173" s="421"/>
      <c r="L173" s="421"/>
      <c r="M173" s="417"/>
      <c r="N173" s="417"/>
      <c r="O173" s="12"/>
      <c r="T173" s="415"/>
      <c r="U173" s="415"/>
      <c r="V173" s="415"/>
      <c r="W173" s="415"/>
      <c r="X173" s="415"/>
      <c r="AB173" s="418"/>
      <c r="AC173" s="430"/>
      <c r="AD173" s="418"/>
      <c r="AE173" s="418"/>
      <c r="AF173" s="418"/>
      <c r="AG173" s="418"/>
      <c r="AH173" s="418"/>
      <c r="AI173" s="419"/>
      <c r="AJ173" s="419"/>
      <c r="AK173" s="419" t="s">
        <v>1939</v>
      </c>
      <c r="AL173" s="419">
        <v>11210397</v>
      </c>
      <c r="AM173" s="419" t="e">
        <v>#REF!</v>
      </c>
      <c r="AN173" s="419"/>
      <c r="AO173" s="419"/>
      <c r="AP173" s="419"/>
      <c r="AQ173" s="419"/>
      <c r="AR173" s="419"/>
      <c r="AS173" s="419"/>
      <c r="AT173" s="419"/>
      <c r="AU173" s="419"/>
      <c r="AV173" s="419"/>
      <c r="AW173" s="419"/>
      <c r="AX173" s="419"/>
      <c r="AY173" s="419"/>
      <c r="AZ173" s="419"/>
      <c r="BA173" s="419"/>
      <c r="BB173" s="419"/>
      <c r="BC173" s="419"/>
      <c r="BD173" s="419"/>
      <c r="BE173" s="419"/>
      <c r="BF173" s="419"/>
      <c r="BG173" s="419"/>
      <c r="BH173" s="419"/>
      <c r="BI173" s="419"/>
      <c r="BJ173" s="419"/>
      <c r="BK173" s="419"/>
      <c r="BL173" s="419"/>
      <c r="BM173" s="419"/>
      <c r="BN173" s="419"/>
      <c r="BO173" s="419"/>
      <c r="BP173" s="419"/>
      <c r="BQ173" s="419"/>
      <c r="BR173" s="419"/>
      <c r="BS173" s="419"/>
      <c r="BT173" s="420"/>
      <c r="BU173" s="420"/>
      <c r="BV173" s="420"/>
      <c r="BW173" s="420"/>
      <c r="BX173" s="420"/>
      <c r="BY173" s="420"/>
      <c r="BZ173" s="420"/>
      <c r="CA173" s="420"/>
      <c r="CB173" s="420"/>
      <c r="CC173" s="420"/>
      <c r="CD173" s="420"/>
      <c r="CE173" s="420"/>
      <c r="CF173" s="420"/>
      <c r="CG173" s="420"/>
      <c r="CH173" s="420"/>
      <c r="CI173" s="420"/>
      <c r="CJ173" s="420"/>
      <c r="CK173" s="420"/>
      <c r="CL173" s="420"/>
      <c r="CM173" s="420"/>
      <c r="CN173" s="420"/>
      <c r="CO173" s="420"/>
      <c r="CP173" s="420"/>
      <c r="CQ173" s="420"/>
      <c r="CR173" s="420"/>
      <c r="CS173" s="420"/>
      <c r="CT173" s="420"/>
      <c r="CU173" s="420"/>
      <c r="CV173" s="420"/>
      <c r="CW173" s="420"/>
      <c r="CX173" s="420"/>
      <c r="CY173" s="420"/>
      <c r="CZ173" s="420"/>
      <c r="DA173" s="420"/>
      <c r="DB173" s="420"/>
      <c r="DC173" s="420"/>
      <c r="DD173" s="420"/>
      <c r="DE173" s="420"/>
      <c r="DF173" s="420"/>
      <c r="DG173" s="420"/>
      <c r="DH173" s="420"/>
      <c r="DI173" s="420"/>
      <c r="DJ173" s="420"/>
      <c r="DK173" s="420"/>
      <c r="DL173" s="420"/>
      <c r="DM173" s="420"/>
      <c r="DN173" s="420"/>
      <c r="DO173" s="420"/>
      <c r="DP173" s="420"/>
      <c r="DQ173" s="420"/>
      <c r="DR173" s="420"/>
      <c r="DS173" s="420"/>
      <c r="DT173" s="420"/>
      <c r="DU173" s="420"/>
      <c r="DV173" s="420"/>
      <c r="DW173" s="420"/>
      <c r="DX173" s="420"/>
      <c r="DY173" s="420"/>
      <c r="DZ173" s="420"/>
      <c r="EA173" s="420"/>
      <c r="EB173" s="420"/>
      <c r="EC173" s="420"/>
      <c r="ED173" s="420"/>
      <c r="EE173" s="420"/>
      <c r="EF173" s="420"/>
      <c r="EG173" s="420"/>
      <c r="EH173" s="420"/>
      <c r="EI173" s="420"/>
      <c r="EJ173" s="420"/>
      <c r="EK173" s="420"/>
      <c r="EL173" s="420"/>
      <c r="EM173" s="420"/>
      <c r="EN173" s="420"/>
      <c r="EO173" s="420"/>
      <c r="EP173" s="420"/>
      <c r="EQ173" s="420"/>
      <c r="ER173" s="420"/>
      <c r="ES173" s="420"/>
      <c r="ET173" s="420"/>
      <c r="EU173" s="420"/>
      <c r="EV173" s="420"/>
      <c r="EW173" s="420"/>
      <c r="EX173" s="420"/>
      <c r="EY173" s="420"/>
      <c r="EZ173" s="420"/>
      <c r="FA173" s="420"/>
      <c r="FB173" s="420"/>
      <c r="FC173" s="420"/>
      <c r="FD173" s="420"/>
      <c r="FE173" s="420"/>
      <c r="FF173" s="420"/>
      <c r="FG173" s="420"/>
      <c r="FH173" s="420"/>
      <c r="FI173" s="420"/>
      <c r="FJ173" s="420"/>
      <c r="FK173" s="420"/>
      <c r="FL173" s="420"/>
      <c r="FM173" s="420"/>
      <c r="FN173" s="420"/>
      <c r="FO173" s="420"/>
      <c r="FP173" s="420"/>
      <c r="FQ173" s="420"/>
      <c r="FR173" s="420"/>
      <c r="FS173" s="420"/>
      <c r="FT173" s="420"/>
      <c r="FU173" s="420"/>
      <c r="FV173" s="420"/>
      <c r="FW173" s="420"/>
      <c r="FX173" s="420"/>
      <c r="FY173" s="420"/>
      <c r="FZ173" s="420"/>
      <c r="GA173" s="420"/>
      <c r="GB173" s="420"/>
      <c r="GC173" s="420"/>
      <c r="GD173" s="420"/>
      <c r="GE173" s="420"/>
      <c r="GF173" s="420"/>
      <c r="GG173" s="420"/>
      <c r="GH173" s="420"/>
      <c r="GI173" s="420"/>
      <c r="GJ173" s="420"/>
      <c r="GK173" s="420"/>
      <c r="GL173" s="420"/>
      <c r="GM173" s="420"/>
      <c r="GN173" s="420"/>
      <c r="GO173" s="420"/>
      <c r="GP173" s="420"/>
      <c r="GQ173" s="420"/>
      <c r="GR173" s="420"/>
      <c r="GS173" s="420"/>
      <c r="GT173" s="420"/>
      <c r="GU173" s="420"/>
      <c r="GV173" s="420"/>
      <c r="GW173" s="420"/>
      <c r="GX173" s="420"/>
      <c r="GY173" s="420"/>
      <c r="GZ173" s="420"/>
      <c r="HA173" s="420"/>
      <c r="HB173" s="420"/>
      <c r="HC173" s="420"/>
      <c r="HD173" s="420"/>
      <c r="HE173" s="420"/>
      <c r="HF173" s="420"/>
      <c r="HG173" s="420"/>
      <c r="HH173" s="420"/>
      <c r="HI173" s="420"/>
      <c r="HJ173" s="420"/>
      <c r="HK173" s="420"/>
      <c r="HL173" s="420"/>
      <c r="HM173" s="420"/>
      <c r="HN173" s="420"/>
      <c r="HO173" s="420"/>
      <c r="HP173" s="420"/>
      <c r="HQ173" s="420"/>
      <c r="HR173" s="420"/>
      <c r="HS173" s="420"/>
      <c r="HT173" s="420"/>
      <c r="HU173" s="420"/>
      <c r="HV173" s="420"/>
      <c r="HW173" s="420"/>
      <c r="HX173" s="420"/>
      <c r="HY173" s="420"/>
      <c r="HZ173" s="420"/>
      <c r="IA173" s="420"/>
      <c r="IB173" s="420"/>
      <c r="IC173" s="420"/>
      <c r="ID173" s="420"/>
      <c r="IE173" s="420"/>
      <c r="IF173" s="420"/>
      <c r="IG173" s="420"/>
      <c r="IH173" s="420"/>
      <c r="II173" s="420"/>
      <c r="IJ173" s="420"/>
      <c r="IK173" s="420"/>
      <c r="IL173" s="420"/>
      <c r="IM173" s="420"/>
      <c r="IN173" s="420"/>
      <c r="IO173" s="420"/>
      <c r="IP173" s="420"/>
      <c r="IQ173" s="420"/>
      <c r="IR173" s="420"/>
      <c r="IS173" s="420"/>
    </row>
    <row r="174" spans="4:253" ht="15" customHeight="1">
      <c r="D174" s="416"/>
      <c r="E174" s="428"/>
      <c r="F174" s="429"/>
      <c r="G174" s="422"/>
      <c r="H174" s="422"/>
      <c r="I174" s="422"/>
      <c r="J174" s="422"/>
      <c r="K174" s="422"/>
      <c r="L174" s="422"/>
      <c r="M174" s="422"/>
      <c r="N174" s="422"/>
      <c r="O174" s="422"/>
      <c r="T174" s="415"/>
      <c r="U174" s="415"/>
      <c r="V174" s="415"/>
      <c r="W174" s="415"/>
      <c r="X174" s="415"/>
      <c r="AB174" s="430"/>
      <c r="AC174" s="430"/>
      <c r="AD174" s="431"/>
      <c r="AE174" s="431"/>
      <c r="AF174" s="431"/>
      <c r="AG174" s="431"/>
      <c r="AH174" s="431"/>
      <c r="AI174" s="431"/>
      <c r="AJ174" s="431"/>
      <c r="AK174" s="431"/>
      <c r="AL174" s="431"/>
      <c r="AM174" s="431"/>
      <c r="AN174" s="431"/>
      <c r="AO174" s="431"/>
      <c r="AP174" s="431"/>
      <c r="AQ174" s="431"/>
      <c r="AR174" s="431"/>
      <c r="AS174" s="431"/>
      <c r="AT174" s="431"/>
      <c r="AU174" s="431"/>
      <c r="AV174" s="431"/>
      <c r="AW174" s="431"/>
      <c r="AX174" s="431"/>
      <c r="AY174" s="431"/>
      <c r="AZ174" s="431"/>
      <c r="BA174" s="431"/>
      <c r="BB174" s="431"/>
      <c r="BC174" s="431"/>
      <c r="BD174" s="431"/>
      <c r="BE174" s="431"/>
      <c r="BF174" s="431"/>
      <c r="BG174" s="431"/>
      <c r="BH174" s="431"/>
      <c r="BI174" s="431"/>
      <c r="BJ174" s="431"/>
      <c r="BK174" s="431"/>
      <c r="BL174" s="431"/>
      <c r="BM174" s="431"/>
      <c r="BN174" s="431"/>
      <c r="BO174" s="431"/>
      <c r="BP174" s="431"/>
      <c r="BQ174" s="431"/>
      <c r="BR174" s="431"/>
      <c r="BS174" s="431"/>
      <c r="BT174" s="432"/>
      <c r="BU174" s="432"/>
      <c r="BV174" s="432"/>
      <c r="BW174" s="432"/>
      <c r="BX174" s="432"/>
      <c r="BY174" s="432"/>
      <c r="BZ174" s="432"/>
      <c r="CA174" s="432"/>
      <c r="CB174" s="432"/>
      <c r="CC174" s="432"/>
      <c r="CD174" s="432"/>
      <c r="CE174" s="432"/>
      <c r="CF174" s="432"/>
      <c r="CG174" s="432"/>
      <c r="CH174" s="432"/>
      <c r="CI174" s="432"/>
      <c r="CJ174" s="432"/>
      <c r="CK174" s="432"/>
      <c r="CL174" s="432"/>
      <c r="CM174" s="432"/>
      <c r="CN174" s="432"/>
      <c r="CO174" s="432"/>
      <c r="CP174" s="432"/>
      <c r="CQ174" s="432"/>
      <c r="CR174" s="432"/>
      <c r="CS174" s="432"/>
      <c r="CT174" s="432"/>
      <c r="CU174" s="432"/>
      <c r="CV174" s="432"/>
      <c r="CW174" s="432"/>
      <c r="CX174" s="432"/>
      <c r="CY174" s="432"/>
      <c r="CZ174" s="432"/>
      <c r="DA174" s="432"/>
      <c r="DB174" s="432"/>
      <c r="DC174" s="432"/>
      <c r="DD174" s="432"/>
      <c r="DE174" s="432"/>
      <c r="DF174" s="432"/>
      <c r="DG174" s="432"/>
      <c r="DH174" s="432"/>
      <c r="DI174" s="432"/>
      <c r="DJ174" s="432"/>
      <c r="DK174" s="432"/>
      <c r="DL174" s="432"/>
      <c r="DM174" s="432"/>
      <c r="DN174" s="432"/>
      <c r="DO174" s="432"/>
      <c r="DP174" s="432"/>
      <c r="DQ174" s="432"/>
      <c r="DR174" s="432"/>
      <c r="DS174" s="432"/>
      <c r="DT174" s="432"/>
      <c r="DU174" s="432"/>
      <c r="DV174" s="432"/>
      <c r="DW174" s="432"/>
      <c r="DX174" s="432"/>
      <c r="DY174" s="432"/>
      <c r="DZ174" s="432"/>
      <c r="EA174" s="432"/>
      <c r="EB174" s="432"/>
      <c r="EC174" s="432"/>
      <c r="ED174" s="432"/>
      <c r="EE174" s="432"/>
      <c r="EF174" s="432"/>
      <c r="EG174" s="432"/>
      <c r="EH174" s="432"/>
      <c r="EI174" s="432"/>
      <c r="EJ174" s="432"/>
      <c r="EK174" s="432"/>
      <c r="EL174" s="432"/>
      <c r="EM174" s="432"/>
      <c r="EN174" s="432"/>
      <c r="EO174" s="432"/>
      <c r="EP174" s="432"/>
      <c r="EQ174" s="432"/>
      <c r="ER174" s="432"/>
      <c r="ES174" s="432"/>
      <c r="ET174" s="432"/>
      <c r="EU174" s="432"/>
      <c r="EV174" s="432"/>
      <c r="EW174" s="432"/>
      <c r="EX174" s="432"/>
      <c r="EY174" s="432"/>
      <c r="EZ174" s="432"/>
      <c r="FA174" s="432"/>
      <c r="FB174" s="432"/>
      <c r="FC174" s="432"/>
      <c r="FD174" s="432"/>
      <c r="FE174" s="432"/>
      <c r="FF174" s="432"/>
      <c r="FG174" s="432"/>
      <c r="FH174" s="432"/>
      <c r="FI174" s="432"/>
      <c r="FJ174" s="432"/>
      <c r="FK174" s="432"/>
      <c r="FL174" s="432"/>
      <c r="FM174" s="432"/>
      <c r="FN174" s="432"/>
      <c r="FO174" s="432"/>
      <c r="FP174" s="432"/>
      <c r="FQ174" s="432"/>
      <c r="FR174" s="432"/>
      <c r="FS174" s="432"/>
      <c r="FT174" s="432"/>
      <c r="FU174" s="432"/>
      <c r="FV174" s="432"/>
      <c r="FW174" s="432"/>
      <c r="FX174" s="432"/>
      <c r="FY174" s="432"/>
      <c r="FZ174" s="432"/>
      <c r="GA174" s="432"/>
      <c r="GB174" s="432"/>
      <c r="GC174" s="432"/>
      <c r="GD174" s="432"/>
      <c r="GE174" s="432"/>
      <c r="GF174" s="432"/>
      <c r="GG174" s="432"/>
      <c r="GH174" s="432"/>
      <c r="GI174" s="432"/>
      <c r="GJ174" s="432"/>
      <c r="GK174" s="432"/>
      <c r="GL174" s="432"/>
      <c r="GM174" s="432"/>
      <c r="GN174" s="432"/>
      <c r="GO174" s="432"/>
      <c r="GP174" s="432"/>
      <c r="GQ174" s="432"/>
      <c r="GR174" s="432"/>
      <c r="GS174" s="432"/>
      <c r="GT174" s="432"/>
      <c r="GU174" s="432"/>
      <c r="GV174" s="432"/>
      <c r="GW174" s="432"/>
      <c r="GX174" s="432"/>
      <c r="GY174" s="432"/>
      <c r="GZ174" s="432"/>
      <c r="HA174" s="432"/>
      <c r="HB174" s="432"/>
      <c r="HC174" s="432"/>
      <c r="HD174" s="432"/>
      <c r="HE174" s="432"/>
      <c r="HF174" s="432"/>
      <c r="HG174" s="432"/>
      <c r="HH174" s="432"/>
      <c r="HI174" s="432"/>
      <c r="HJ174" s="432"/>
      <c r="HK174" s="432"/>
      <c r="HL174" s="432"/>
      <c r="HM174" s="432"/>
      <c r="HN174" s="432"/>
      <c r="HO174" s="432"/>
      <c r="HP174" s="432"/>
      <c r="HQ174" s="432"/>
      <c r="HR174" s="432"/>
      <c r="HS174" s="432"/>
      <c r="HT174" s="432"/>
      <c r="HU174" s="432"/>
      <c r="HV174" s="432"/>
      <c r="HW174" s="432"/>
      <c r="HX174" s="432"/>
      <c r="HY174" s="432"/>
      <c r="HZ174" s="432"/>
      <c r="IA174" s="432"/>
      <c r="IB174" s="432"/>
      <c r="IC174" s="432"/>
      <c r="ID174" s="432"/>
      <c r="IE174" s="432"/>
      <c r="IF174" s="432"/>
      <c r="IG174" s="432"/>
      <c r="IH174" s="432"/>
      <c r="II174" s="432"/>
      <c r="IJ174" s="432"/>
      <c r="IK174" s="432"/>
      <c r="IL174" s="432"/>
      <c r="IM174" s="432"/>
      <c r="IN174" s="432"/>
      <c r="IO174" s="432"/>
      <c r="IP174" s="432"/>
      <c r="IQ174" s="432"/>
      <c r="IR174" s="432"/>
      <c r="IS174" s="432"/>
    </row>
    <row r="175" spans="4:253" ht="15" customHeight="1">
      <c r="D175" s="417"/>
      <c r="E175" s="2782" t="s">
        <v>1943</v>
      </c>
      <c r="F175" s="398"/>
      <c r="G175" s="398"/>
      <c r="H175" s="398"/>
      <c r="I175" s="398"/>
      <c r="J175" s="398"/>
      <c r="K175" s="398"/>
      <c r="L175" s="398"/>
      <c r="M175" s="398"/>
      <c r="N175" s="398"/>
      <c r="O175" s="422"/>
      <c r="T175" s="415"/>
      <c r="U175" s="415"/>
      <c r="V175" s="415"/>
      <c r="W175" s="415"/>
      <c r="X175" s="415"/>
      <c r="AB175" s="430"/>
      <c r="AC175" s="430"/>
      <c r="AD175" s="431"/>
      <c r="AE175" s="431"/>
      <c r="AF175" s="431"/>
      <c r="AG175" s="431"/>
      <c r="AH175" s="431"/>
      <c r="AI175" s="431"/>
      <c r="AJ175" s="431"/>
      <c r="AK175" s="431"/>
      <c r="AL175" s="431"/>
      <c r="AM175" s="431"/>
      <c r="AN175" s="431"/>
      <c r="AO175" s="431"/>
      <c r="AP175" s="431"/>
      <c r="AQ175" s="431"/>
      <c r="AR175" s="431"/>
      <c r="AS175" s="431"/>
      <c r="AT175" s="431"/>
      <c r="AU175" s="431"/>
      <c r="AV175" s="431"/>
      <c r="AW175" s="431"/>
      <c r="AX175" s="431"/>
      <c r="AY175" s="431"/>
      <c r="AZ175" s="431"/>
      <c r="BA175" s="431"/>
      <c r="BB175" s="431"/>
      <c r="BC175" s="431"/>
      <c r="BD175" s="431"/>
      <c r="BE175" s="431"/>
      <c r="BF175" s="431"/>
      <c r="BG175" s="431"/>
      <c r="BH175" s="431"/>
      <c r="BI175" s="431"/>
      <c r="BJ175" s="431"/>
      <c r="BK175" s="431"/>
      <c r="BL175" s="431"/>
      <c r="BM175" s="431"/>
      <c r="BN175" s="431"/>
      <c r="BO175" s="431"/>
      <c r="BP175" s="431"/>
      <c r="BQ175" s="431"/>
      <c r="BR175" s="431"/>
      <c r="BS175" s="431"/>
      <c r="BT175" s="432"/>
      <c r="BU175" s="432"/>
      <c r="BV175" s="432"/>
      <c r="BW175" s="432"/>
      <c r="BX175" s="432"/>
      <c r="BY175" s="432"/>
      <c r="BZ175" s="432"/>
      <c r="CA175" s="432"/>
      <c r="CB175" s="432"/>
      <c r="CC175" s="432"/>
      <c r="CD175" s="432"/>
      <c r="CE175" s="432"/>
      <c r="CF175" s="432"/>
      <c r="CG175" s="432"/>
      <c r="CH175" s="432"/>
      <c r="CI175" s="432"/>
      <c r="CJ175" s="432"/>
      <c r="CK175" s="432"/>
      <c r="CL175" s="432"/>
      <c r="CM175" s="432"/>
      <c r="CN175" s="432"/>
      <c r="CO175" s="432"/>
      <c r="CP175" s="432"/>
      <c r="CQ175" s="432"/>
      <c r="CR175" s="432"/>
      <c r="CS175" s="432"/>
      <c r="CT175" s="432"/>
      <c r="CU175" s="432"/>
      <c r="CV175" s="432"/>
      <c r="CW175" s="432"/>
      <c r="CX175" s="432"/>
      <c r="CY175" s="432"/>
      <c r="CZ175" s="432"/>
      <c r="DA175" s="432"/>
      <c r="DB175" s="432"/>
      <c r="DC175" s="432"/>
      <c r="DD175" s="432"/>
      <c r="DE175" s="432"/>
      <c r="DF175" s="432"/>
      <c r="DG175" s="432"/>
      <c r="DH175" s="432"/>
      <c r="DI175" s="432"/>
      <c r="DJ175" s="432"/>
      <c r="DK175" s="432"/>
      <c r="DL175" s="432"/>
      <c r="DM175" s="432"/>
      <c r="DN175" s="432"/>
      <c r="DO175" s="432"/>
      <c r="DP175" s="432"/>
      <c r="DQ175" s="432"/>
      <c r="DR175" s="432"/>
      <c r="DS175" s="432"/>
      <c r="DT175" s="432"/>
      <c r="DU175" s="432"/>
      <c r="DV175" s="432"/>
      <c r="DW175" s="432"/>
      <c r="DX175" s="432"/>
      <c r="DY175" s="432"/>
      <c r="DZ175" s="432"/>
      <c r="EA175" s="432"/>
      <c r="EB175" s="432"/>
      <c r="EC175" s="432"/>
      <c r="ED175" s="432"/>
      <c r="EE175" s="432"/>
      <c r="EF175" s="432"/>
      <c r="EG175" s="432"/>
      <c r="EH175" s="432"/>
      <c r="EI175" s="432"/>
      <c r="EJ175" s="432"/>
      <c r="EK175" s="432"/>
      <c r="EL175" s="432"/>
      <c r="EM175" s="432"/>
      <c r="EN175" s="432"/>
      <c r="EO175" s="432"/>
      <c r="EP175" s="432"/>
      <c r="EQ175" s="432"/>
      <c r="ER175" s="432"/>
      <c r="ES175" s="432"/>
      <c r="ET175" s="432"/>
      <c r="EU175" s="432"/>
      <c r="EV175" s="432"/>
      <c r="EW175" s="432"/>
      <c r="EX175" s="432"/>
      <c r="EY175" s="432"/>
      <c r="EZ175" s="432"/>
      <c r="FA175" s="432"/>
      <c r="FB175" s="432"/>
      <c r="FC175" s="432"/>
      <c r="FD175" s="432"/>
      <c r="FE175" s="432"/>
      <c r="FF175" s="432"/>
      <c r="FG175" s="432"/>
      <c r="FH175" s="432"/>
      <c r="FI175" s="432"/>
      <c r="FJ175" s="432"/>
      <c r="FK175" s="432"/>
      <c r="FL175" s="432"/>
      <c r="FM175" s="432"/>
      <c r="FN175" s="432"/>
      <c r="FO175" s="432"/>
      <c r="FP175" s="432"/>
      <c r="FQ175" s="432"/>
      <c r="FR175" s="432"/>
      <c r="FS175" s="432"/>
      <c r="FT175" s="432"/>
      <c r="FU175" s="432"/>
      <c r="FV175" s="432"/>
      <c r="FW175" s="432"/>
      <c r="FX175" s="432"/>
      <c r="FY175" s="432"/>
      <c r="FZ175" s="432"/>
      <c r="GA175" s="432"/>
      <c r="GB175" s="432"/>
      <c r="GC175" s="432"/>
      <c r="GD175" s="432"/>
      <c r="GE175" s="432"/>
      <c r="GF175" s="432"/>
      <c r="GG175" s="432"/>
      <c r="GH175" s="432"/>
      <c r="GI175" s="432"/>
      <c r="GJ175" s="432"/>
      <c r="GK175" s="432"/>
      <c r="GL175" s="432"/>
      <c r="GM175" s="432"/>
      <c r="GN175" s="432"/>
      <c r="GO175" s="432"/>
      <c r="GP175" s="432"/>
      <c r="GQ175" s="432"/>
      <c r="GR175" s="432"/>
      <c r="GS175" s="432"/>
      <c r="GT175" s="432"/>
      <c r="GU175" s="432"/>
      <c r="GV175" s="432"/>
      <c r="GW175" s="432"/>
      <c r="GX175" s="432"/>
      <c r="GY175" s="432"/>
      <c r="GZ175" s="432"/>
      <c r="HA175" s="432"/>
      <c r="HB175" s="432"/>
      <c r="HC175" s="432"/>
      <c r="HD175" s="432"/>
      <c r="HE175" s="432"/>
      <c r="HF175" s="432"/>
      <c r="HG175" s="432"/>
      <c r="HH175" s="432"/>
      <c r="HI175" s="432"/>
      <c r="HJ175" s="432"/>
      <c r="HK175" s="432"/>
      <c r="HL175" s="432"/>
      <c r="HM175" s="432"/>
      <c r="HN175" s="432"/>
      <c r="HO175" s="432"/>
      <c r="HP175" s="432"/>
      <c r="HQ175" s="432"/>
      <c r="HR175" s="432"/>
      <c r="HS175" s="432"/>
      <c r="HT175" s="432"/>
      <c r="HU175" s="432"/>
      <c r="HV175" s="432"/>
      <c r="HW175" s="432"/>
      <c r="HX175" s="432"/>
      <c r="HY175" s="432"/>
      <c r="HZ175" s="432"/>
      <c r="IA175" s="432"/>
      <c r="IB175" s="432"/>
      <c r="IC175" s="432"/>
      <c r="ID175" s="432"/>
      <c r="IE175" s="432"/>
      <c r="IF175" s="432"/>
      <c r="IG175" s="432"/>
      <c r="IH175" s="432"/>
      <c r="II175" s="432"/>
      <c r="IJ175" s="432"/>
      <c r="IK175" s="432"/>
      <c r="IL175" s="432"/>
      <c r="IM175" s="432"/>
      <c r="IN175" s="432"/>
      <c r="IO175" s="432"/>
      <c r="IP175" s="432"/>
      <c r="IQ175" s="432"/>
      <c r="IR175" s="432"/>
      <c r="IS175" s="432"/>
    </row>
    <row r="176" spans="4:253" ht="15" customHeight="1">
      <c r="D176" s="13"/>
      <c r="E176" s="20"/>
      <c r="F176" s="20"/>
      <c r="G176" s="20"/>
      <c r="H176" s="20"/>
      <c r="I176" s="20"/>
      <c r="J176" s="20"/>
      <c r="K176" s="20"/>
      <c r="L176" s="20"/>
      <c r="M176" s="20"/>
      <c r="N176" s="27"/>
      <c r="O176" s="27"/>
      <c r="T176" s="415"/>
      <c r="U176" s="415"/>
      <c r="V176" s="415"/>
      <c r="W176" s="415"/>
      <c r="X176" s="415"/>
      <c r="AB176" s="430"/>
      <c r="AC176" s="430"/>
      <c r="AD176" s="431"/>
      <c r="AE176" s="431"/>
      <c r="AF176" s="431"/>
      <c r="AG176" s="431"/>
      <c r="AH176" s="431"/>
      <c r="AI176" s="431"/>
      <c r="AJ176" s="431"/>
      <c r="AK176" s="431"/>
      <c r="AL176" s="431"/>
      <c r="AM176" s="431"/>
      <c r="AN176" s="431"/>
      <c r="AO176" s="431"/>
      <c r="AP176" s="431"/>
      <c r="AQ176" s="431"/>
      <c r="AR176" s="431"/>
      <c r="AS176" s="431"/>
      <c r="AT176" s="431"/>
      <c r="AU176" s="431"/>
      <c r="AV176" s="431"/>
      <c r="AW176" s="431"/>
      <c r="AX176" s="431"/>
      <c r="AY176" s="431"/>
      <c r="AZ176" s="431"/>
      <c r="BA176" s="431"/>
      <c r="BB176" s="431"/>
      <c r="BC176" s="431"/>
      <c r="BD176" s="431"/>
      <c r="BE176" s="431"/>
      <c r="BF176" s="431"/>
      <c r="BG176" s="431"/>
      <c r="BH176" s="431"/>
      <c r="BI176" s="431"/>
      <c r="BJ176" s="431"/>
      <c r="BK176" s="431"/>
      <c r="BL176" s="431"/>
      <c r="BM176" s="431"/>
      <c r="BN176" s="431"/>
      <c r="BO176" s="431"/>
      <c r="BP176" s="431"/>
      <c r="BQ176" s="431"/>
      <c r="BR176" s="431"/>
      <c r="BS176" s="431"/>
      <c r="BT176" s="432"/>
      <c r="BU176" s="432"/>
      <c r="BV176" s="432"/>
      <c r="BW176" s="432"/>
      <c r="BX176" s="432"/>
      <c r="BY176" s="432"/>
      <c r="BZ176" s="432"/>
      <c r="CA176" s="432"/>
      <c r="CB176" s="432"/>
      <c r="CC176" s="432"/>
      <c r="CD176" s="432"/>
      <c r="CE176" s="432"/>
      <c r="CF176" s="432"/>
      <c r="CG176" s="432"/>
      <c r="CH176" s="432"/>
      <c r="CI176" s="432"/>
      <c r="CJ176" s="432"/>
      <c r="CK176" s="432"/>
      <c r="CL176" s="432"/>
      <c r="CM176" s="432"/>
      <c r="CN176" s="432"/>
      <c r="CO176" s="432"/>
      <c r="CP176" s="432"/>
      <c r="CQ176" s="432"/>
      <c r="CR176" s="432"/>
      <c r="CS176" s="432"/>
      <c r="CT176" s="432"/>
      <c r="CU176" s="432"/>
      <c r="CV176" s="432"/>
      <c r="CW176" s="432"/>
      <c r="CX176" s="432"/>
      <c r="CY176" s="432"/>
      <c r="CZ176" s="432"/>
      <c r="DA176" s="432"/>
      <c r="DB176" s="432"/>
      <c r="DC176" s="432"/>
      <c r="DD176" s="432"/>
      <c r="DE176" s="432"/>
      <c r="DF176" s="432"/>
      <c r="DG176" s="432"/>
      <c r="DH176" s="432"/>
      <c r="DI176" s="432"/>
      <c r="DJ176" s="432"/>
      <c r="DK176" s="432"/>
      <c r="DL176" s="432"/>
      <c r="DM176" s="432"/>
      <c r="DN176" s="432"/>
      <c r="DO176" s="432"/>
      <c r="DP176" s="432"/>
      <c r="DQ176" s="432"/>
      <c r="DR176" s="432"/>
      <c r="DS176" s="432"/>
      <c r="DT176" s="432"/>
      <c r="DU176" s="432"/>
      <c r="DV176" s="432"/>
      <c r="DW176" s="432"/>
      <c r="DX176" s="432"/>
      <c r="DY176" s="432"/>
      <c r="DZ176" s="432"/>
      <c r="EA176" s="432"/>
      <c r="EB176" s="432"/>
      <c r="EC176" s="432"/>
      <c r="ED176" s="432"/>
      <c r="EE176" s="432"/>
      <c r="EF176" s="432"/>
      <c r="EG176" s="432"/>
      <c r="EH176" s="432"/>
      <c r="EI176" s="432"/>
      <c r="EJ176" s="432"/>
      <c r="EK176" s="432"/>
      <c r="EL176" s="432"/>
      <c r="EM176" s="432"/>
      <c r="EN176" s="432"/>
      <c r="EO176" s="432"/>
      <c r="EP176" s="432"/>
      <c r="EQ176" s="432"/>
      <c r="ER176" s="432"/>
      <c r="ES176" s="432"/>
      <c r="ET176" s="432"/>
      <c r="EU176" s="432"/>
      <c r="EV176" s="432"/>
      <c r="EW176" s="432"/>
      <c r="EX176" s="432"/>
      <c r="EY176" s="432"/>
      <c r="EZ176" s="432"/>
      <c r="FA176" s="432"/>
      <c r="FB176" s="432"/>
      <c r="FC176" s="432"/>
      <c r="FD176" s="432"/>
      <c r="FE176" s="432"/>
      <c r="FF176" s="432"/>
      <c r="FG176" s="432"/>
      <c r="FH176" s="432"/>
      <c r="FI176" s="432"/>
      <c r="FJ176" s="432"/>
      <c r="FK176" s="432"/>
      <c r="FL176" s="432"/>
      <c r="FM176" s="432"/>
      <c r="FN176" s="432"/>
      <c r="FO176" s="432"/>
      <c r="FP176" s="432"/>
      <c r="FQ176" s="432"/>
      <c r="FR176" s="432"/>
      <c r="FS176" s="432"/>
      <c r="FT176" s="432"/>
      <c r="FU176" s="432"/>
      <c r="FV176" s="432"/>
      <c r="FW176" s="432"/>
      <c r="FX176" s="432"/>
      <c r="FY176" s="432"/>
      <c r="FZ176" s="432"/>
      <c r="GA176" s="432"/>
      <c r="GB176" s="432"/>
      <c r="GC176" s="432"/>
      <c r="GD176" s="432"/>
      <c r="GE176" s="432"/>
      <c r="GF176" s="432"/>
      <c r="GG176" s="432"/>
      <c r="GH176" s="432"/>
      <c r="GI176" s="432"/>
      <c r="GJ176" s="432"/>
      <c r="GK176" s="432"/>
      <c r="GL176" s="432"/>
      <c r="GM176" s="432"/>
      <c r="GN176" s="432"/>
      <c r="GO176" s="432"/>
      <c r="GP176" s="432"/>
      <c r="GQ176" s="432"/>
      <c r="GR176" s="432"/>
      <c r="GS176" s="432"/>
      <c r="GT176" s="432"/>
      <c r="GU176" s="432"/>
      <c r="GV176" s="432"/>
      <c r="GW176" s="432"/>
      <c r="GX176" s="432"/>
      <c r="GY176" s="432"/>
      <c r="GZ176" s="432"/>
      <c r="HA176" s="432"/>
      <c r="HB176" s="432"/>
      <c r="HC176" s="432"/>
      <c r="HD176" s="432"/>
      <c r="HE176" s="432"/>
      <c r="HF176" s="432"/>
      <c r="HG176" s="432"/>
      <c r="HH176" s="432"/>
      <c r="HI176" s="432"/>
      <c r="HJ176" s="432"/>
      <c r="HK176" s="432"/>
      <c r="HL176" s="432"/>
      <c r="HM176" s="432"/>
      <c r="HN176" s="432"/>
      <c r="HO176" s="432"/>
      <c r="HP176" s="432"/>
      <c r="HQ176" s="432"/>
      <c r="HR176" s="432"/>
      <c r="HS176" s="432"/>
      <c r="HT176" s="432"/>
      <c r="HU176" s="432"/>
      <c r="HV176" s="432"/>
      <c r="HW176" s="432"/>
      <c r="HX176" s="432"/>
      <c r="HY176" s="432"/>
      <c r="HZ176" s="432"/>
      <c r="IA176" s="432"/>
      <c r="IB176" s="432"/>
      <c r="IC176" s="432"/>
      <c r="ID176" s="432"/>
      <c r="IE176" s="432"/>
      <c r="IF176" s="432"/>
      <c r="IG176" s="432"/>
      <c r="IH176" s="432"/>
      <c r="II176" s="432"/>
      <c r="IJ176" s="432"/>
      <c r="IK176" s="432"/>
      <c r="IL176" s="432"/>
      <c r="IM176" s="432"/>
      <c r="IN176" s="432"/>
      <c r="IO176" s="432"/>
      <c r="IP176" s="432"/>
      <c r="IQ176" s="432"/>
      <c r="IR176" s="432"/>
      <c r="IS176" s="432"/>
    </row>
    <row r="177" spans="4:253" ht="15" customHeight="1">
      <c r="D177" s="25"/>
      <c r="E177" s="28" t="s">
        <v>1503</v>
      </c>
      <c r="F177" s="28"/>
      <c r="G177" s="28"/>
      <c r="H177" s="89" t="s">
        <v>1944</v>
      </c>
      <c r="I177" s="29" t="s">
        <v>698</v>
      </c>
      <c r="J177" s="33"/>
      <c r="K177" s="33"/>
      <c r="L177" s="33"/>
      <c r="M177" s="33"/>
      <c r="N177" s="33"/>
      <c r="O177" s="33"/>
      <c r="T177" s="415"/>
      <c r="U177" s="415"/>
      <c r="V177" s="415"/>
      <c r="W177" s="415"/>
      <c r="X177" s="415"/>
      <c r="AB177" s="430"/>
      <c r="AC177" s="430"/>
      <c r="AD177" s="431"/>
      <c r="AE177" s="431"/>
      <c r="AF177" s="431"/>
      <c r="AG177" s="431"/>
      <c r="AH177" s="431"/>
      <c r="AI177" s="431"/>
      <c r="AJ177" s="431"/>
      <c r="AK177" s="431"/>
      <c r="AL177" s="431"/>
      <c r="AM177" s="431"/>
      <c r="AN177" s="431"/>
      <c r="AO177" s="431"/>
      <c r="AP177" s="431"/>
      <c r="AQ177" s="431"/>
      <c r="AR177" s="431"/>
      <c r="AS177" s="431"/>
      <c r="AT177" s="431"/>
      <c r="AU177" s="431"/>
      <c r="AV177" s="431"/>
      <c r="AW177" s="431"/>
      <c r="AX177" s="431"/>
      <c r="AY177" s="431"/>
      <c r="AZ177" s="431"/>
      <c r="BA177" s="431"/>
      <c r="BB177" s="431"/>
      <c r="BC177" s="431"/>
      <c r="BD177" s="431"/>
      <c r="BE177" s="431"/>
      <c r="BF177" s="431"/>
      <c r="BG177" s="431"/>
      <c r="BH177" s="431"/>
      <c r="BI177" s="431"/>
      <c r="BJ177" s="431"/>
      <c r="BK177" s="431"/>
      <c r="BL177" s="431"/>
      <c r="BM177" s="431"/>
      <c r="BN177" s="431"/>
      <c r="BO177" s="431"/>
      <c r="BP177" s="431"/>
      <c r="BQ177" s="431"/>
      <c r="BR177" s="431"/>
      <c r="BS177" s="431"/>
      <c r="BT177" s="432"/>
      <c r="BU177" s="432"/>
      <c r="BV177" s="432"/>
      <c r="BW177" s="432"/>
      <c r="BX177" s="432"/>
      <c r="BY177" s="432"/>
      <c r="BZ177" s="432"/>
      <c r="CA177" s="432"/>
      <c r="CB177" s="432"/>
      <c r="CC177" s="432"/>
      <c r="CD177" s="432"/>
      <c r="CE177" s="432"/>
      <c r="CF177" s="432"/>
      <c r="CG177" s="432"/>
      <c r="CH177" s="432"/>
      <c r="CI177" s="432"/>
      <c r="CJ177" s="432"/>
      <c r="CK177" s="432"/>
      <c r="CL177" s="432"/>
      <c r="CM177" s="432"/>
      <c r="CN177" s="432"/>
      <c r="CO177" s="432"/>
      <c r="CP177" s="432"/>
      <c r="CQ177" s="432"/>
      <c r="CR177" s="432"/>
      <c r="CS177" s="432"/>
      <c r="CT177" s="432"/>
      <c r="CU177" s="432"/>
      <c r="CV177" s="432"/>
      <c r="CW177" s="432"/>
      <c r="CX177" s="432"/>
      <c r="CY177" s="432"/>
      <c r="CZ177" s="432"/>
      <c r="DA177" s="432"/>
      <c r="DB177" s="432"/>
      <c r="DC177" s="432"/>
      <c r="DD177" s="432"/>
      <c r="DE177" s="432"/>
      <c r="DF177" s="432"/>
      <c r="DG177" s="432"/>
      <c r="DH177" s="432"/>
      <c r="DI177" s="432"/>
      <c r="DJ177" s="432"/>
      <c r="DK177" s="432"/>
      <c r="DL177" s="432"/>
      <c r="DM177" s="432"/>
      <c r="DN177" s="432"/>
      <c r="DO177" s="432"/>
      <c r="DP177" s="432"/>
      <c r="DQ177" s="432"/>
      <c r="DR177" s="432"/>
      <c r="DS177" s="432"/>
      <c r="DT177" s="432"/>
      <c r="DU177" s="432"/>
      <c r="DV177" s="432"/>
      <c r="DW177" s="432"/>
      <c r="DX177" s="432"/>
      <c r="DY177" s="432"/>
      <c r="DZ177" s="432"/>
      <c r="EA177" s="432"/>
      <c r="EB177" s="432"/>
      <c r="EC177" s="432"/>
      <c r="ED177" s="432"/>
      <c r="EE177" s="432"/>
      <c r="EF177" s="432"/>
      <c r="EG177" s="432"/>
      <c r="EH177" s="432"/>
      <c r="EI177" s="432"/>
      <c r="EJ177" s="432"/>
      <c r="EK177" s="432"/>
      <c r="EL177" s="432"/>
      <c r="EM177" s="432"/>
      <c r="EN177" s="432"/>
      <c r="EO177" s="432"/>
      <c r="EP177" s="432"/>
      <c r="EQ177" s="432"/>
      <c r="ER177" s="432"/>
      <c r="ES177" s="432"/>
      <c r="ET177" s="432"/>
      <c r="EU177" s="432"/>
      <c r="EV177" s="432"/>
      <c r="EW177" s="432"/>
      <c r="EX177" s="432"/>
      <c r="EY177" s="432"/>
      <c r="EZ177" s="432"/>
      <c r="FA177" s="432"/>
      <c r="FB177" s="432"/>
      <c r="FC177" s="432"/>
      <c r="FD177" s="432"/>
      <c r="FE177" s="432"/>
      <c r="FF177" s="432"/>
      <c r="FG177" s="432"/>
      <c r="FH177" s="432"/>
      <c r="FI177" s="432"/>
      <c r="FJ177" s="432"/>
      <c r="FK177" s="432"/>
      <c r="FL177" s="432"/>
      <c r="FM177" s="432"/>
      <c r="FN177" s="432"/>
      <c r="FO177" s="432"/>
      <c r="FP177" s="432"/>
      <c r="FQ177" s="432"/>
      <c r="FR177" s="432"/>
      <c r="FS177" s="432"/>
      <c r="FT177" s="432"/>
      <c r="FU177" s="432"/>
      <c r="FV177" s="432"/>
      <c r="FW177" s="432"/>
      <c r="FX177" s="432"/>
      <c r="FY177" s="432"/>
      <c r="FZ177" s="432"/>
      <c r="GA177" s="432"/>
      <c r="GB177" s="432"/>
      <c r="GC177" s="432"/>
      <c r="GD177" s="432"/>
      <c r="GE177" s="432"/>
      <c r="GF177" s="432"/>
      <c r="GG177" s="432"/>
      <c r="GH177" s="432"/>
      <c r="GI177" s="432"/>
      <c r="GJ177" s="432"/>
      <c r="GK177" s="432"/>
      <c r="GL177" s="432"/>
      <c r="GM177" s="432"/>
      <c r="GN177" s="432"/>
      <c r="GO177" s="432"/>
      <c r="GP177" s="432"/>
      <c r="GQ177" s="432"/>
      <c r="GR177" s="432"/>
      <c r="GS177" s="432"/>
      <c r="GT177" s="432"/>
      <c r="GU177" s="432"/>
      <c r="GV177" s="432"/>
      <c r="GW177" s="432"/>
      <c r="GX177" s="432"/>
      <c r="GY177" s="432"/>
      <c r="GZ177" s="432"/>
      <c r="HA177" s="432"/>
      <c r="HB177" s="432"/>
      <c r="HC177" s="432"/>
      <c r="HD177" s="432"/>
      <c r="HE177" s="432"/>
      <c r="HF177" s="432"/>
      <c r="HG177" s="432"/>
      <c r="HH177" s="432"/>
      <c r="HI177" s="432"/>
      <c r="HJ177" s="432"/>
      <c r="HK177" s="432"/>
      <c r="HL177" s="432"/>
      <c r="HM177" s="432"/>
      <c r="HN177" s="432"/>
      <c r="HO177" s="432"/>
      <c r="HP177" s="432"/>
      <c r="HQ177" s="432"/>
      <c r="HR177" s="432"/>
      <c r="HS177" s="432"/>
      <c r="HT177" s="432"/>
      <c r="HU177" s="432"/>
      <c r="HV177" s="432"/>
      <c r="HW177" s="432"/>
      <c r="HX177" s="432"/>
      <c r="HY177" s="432"/>
      <c r="HZ177" s="432"/>
      <c r="IA177" s="432"/>
      <c r="IB177" s="432"/>
      <c r="IC177" s="432"/>
      <c r="ID177" s="432"/>
      <c r="IE177" s="432"/>
      <c r="IF177" s="432"/>
      <c r="IG177" s="432"/>
      <c r="IH177" s="432"/>
      <c r="II177" s="432"/>
      <c r="IJ177" s="432"/>
      <c r="IK177" s="432"/>
      <c r="IL177" s="432"/>
      <c r="IM177" s="432"/>
      <c r="IN177" s="432"/>
      <c r="IO177" s="432"/>
      <c r="IP177" s="432"/>
      <c r="IQ177" s="432"/>
      <c r="IR177" s="432"/>
      <c r="IS177" s="432"/>
    </row>
    <row r="178" spans="4:253" ht="15" customHeight="1">
      <c r="D178" s="25"/>
      <c r="E178" s="30" t="s">
        <v>1945</v>
      </c>
      <c r="F178" s="30"/>
      <c r="G178" s="443"/>
      <c r="H178" s="2718">
        <v>4.8499999999999996</v>
      </c>
      <c r="I178" s="38" t="s">
        <v>1946</v>
      </c>
      <c r="J178" s="38"/>
      <c r="K178" s="38"/>
      <c r="L178" s="38"/>
      <c r="M178" s="38"/>
      <c r="N178" s="38"/>
      <c r="O178" s="38"/>
      <c r="T178" s="415"/>
      <c r="U178" s="415"/>
      <c r="V178" s="415"/>
      <c r="W178" s="415"/>
      <c r="X178" s="415"/>
    </row>
    <row r="179" spans="4:253" ht="15" customHeight="1">
      <c r="D179" s="25"/>
      <c r="E179" s="30" t="s">
        <v>1947</v>
      </c>
      <c r="F179" s="30"/>
      <c r="G179" s="443"/>
      <c r="H179" s="2920">
        <v>0.42</v>
      </c>
      <c r="I179" s="38" t="s">
        <v>788</v>
      </c>
      <c r="J179" s="38"/>
      <c r="K179" s="38"/>
      <c r="L179" s="38"/>
      <c r="M179" s="38"/>
      <c r="N179" s="38"/>
      <c r="O179" s="38"/>
      <c r="T179" s="415"/>
      <c r="U179" s="415"/>
      <c r="V179" s="415"/>
      <c r="W179" s="415"/>
      <c r="X179" s="415"/>
    </row>
    <row r="180" spans="4:253" ht="15" customHeight="1">
      <c r="D180" s="25"/>
      <c r="E180" s="32" t="s">
        <v>1948</v>
      </c>
      <c r="F180" s="32"/>
      <c r="G180" s="444"/>
      <c r="H180" s="1043">
        <v>0.5</v>
      </c>
      <c r="I180" s="39" t="s">
        <v>695</v>
      </c>
      <c r="J180" s="38"/>
      <c r="K180" s="38"/>
      <c r="L180" s="38"/>
      <c r="M180" s="38"/>
      <c r="N180" s="38"/>
      <c r="O180" s="38"/>
      <c r="T180" s="415"/>
      <c r="U180" s="415"/>
      <c r="V180" s="415"/>
      <c r="W180" s="415"/>
      <c r="X180" s="415"/>
    </row>
    <row r="181" spans="4:253" ht="15" customHeight="1">
      <c r="D181" s="25"/>
      <c r="E181" s="38"/>
      <c r="F181" s="38"/>
      <c r="G181" s="38"/>
      <c r="H181" s="38"/>
      <c r="I181" s="38"/>
      <c r="J181" s="38"/>
      <c r="K181" s="38"/>
      <c r="L181" s="38"/>
      <c r="M181" s="38"/>
      <c r="N181" s="38"/>
      <c r="O181" s="38"/>
      <c r="T181" s="415"/>
      <c r="U181" s="415"/>
      <c r="V181" s="415"/>
      <c r="W181" s="415"/>
      <c r="X181" s="415"/>
    </row>
    <row r="182" spans="4:253" ht="15" customHeight="1">
      <c r="D182" s="25"/>
      <c r="E182" s="35"/>
      <c r="F182" s="30"/>
      <c r="G182" s="422"/>
      <c r="H182" s="36"/>
      <c r="I182" s="36"/>
      <c r="J182" s="36"/>
      <c r="K182" s="36"/>
      <c r="L182" s="36"/>
      <c r="M182" s="36"/>
      <c r="N182" s="36"/>
      <c r="O182" s="36"/>
      <c r="T182" s="415"/>
      <c r="U182" s="415"/>
      <c r="V182" s="415"/>
      <c r="W182" s="415"/>
      <c r="X182" s="415"/>
    </row>
    <row r="183" spans="4:253" ht="15" customHeight="1">
      <c r="D183" s="25"/>
      <c r="E183" s="2782" t="s">
        <v>1949</v>
      </c>
      <c r="F183" s="398"/>
      <c r="G183" s="398"/>
      <c r="H183" s="398"/>
      <c r="I183" s="398"/>
      <c r="J183" s="398"/>
      <c r="K183" s="398"/>
      <c r="L183" s="398"/>
      <c r="M183" s="398"/>
      <c r="N183" s="398"/>
      <c r="O183" s="36"/>
      <c r="T183" s="415"/>
      <c r="U183" s="415"/>
      <c r="V183" s="415"/>
      <c r="W183" s="415"/>
      <c r="X183" s="415"/>
    </row>
    <row r="184" spans="4:253" ht="15" customHeight="1">
      <c r="D184" s="13"/>
      <c r="E184" s="26"/>
      <c r="F184" s="20"/>
      <c r="G184" s="20"/>
      <c r="H184" s="20"/>
      <c r="I184" s="20"/>
      <c r="J184" s="20"/>
      <c r="K184" s="20"/>
      <c r="L184" s="20"/>
      <c r="M184" s="20"/>
      <c r="N184" s="27"/>
      <c r="O184" s="27"/>
      <c r="T184" s="415"/>
      <c r="U184" s="415"/>
      <c r="V184" s="415"/>
      <c r="W184" s="415"/>
      <c r="X184" s="415"/>
    </row>
    <row r="185" spans="4:253" ht="15" customHeight="1">
      <c r="D185" s="25"/>
      <c r="E185" s="28" t="s">
        <v>1503</v>
      </c>
      <c r="F185" s="28"/>
      <c r="G185" s="28"/>
      <c r="H185" s="89" t="s">
        <v>1944</v>
      </c>
      <c r="I185" s="29" t="s">
        <v>698</v>
      </c>
      <c r="J185" s="33"/>
      <c r="K185" s="33"/>
      <c r="L185" s="33"/>
      <c r="M185" s="33"/>
      <c r="N185" s="33"/>
      <c r="O185" s="33"/>
      <c r="T185" s="415"/>
      <c r="U185" s="415"/>
      <c r="V185" s="415"/>
      <c r="W185" s="415"/>
      <c r="X185" s="415"/>
    </row>
    <row r="186" spans="4:253" ht="15" customHeight="1">
      <c r="D186" s="25"/>
      <c r="E186" s="30" t="s">
        <v>1950</v>
      </c>
      <c r="F186" s="30"/>
      <c r="G186" s="442"/>
      <c r="H186" s="928">
        <v>750</v>
      </c>
      <c r="I186" s="38" t="s">
        <v>1951</v>
      </c>
      <c r="J186" s="38"/>
      <c r="K186" s="38"/>
      <c r="L186" s="38"/>
      <c r="M186" s="38"/>
      <c r="N186" s="38"/>
      <c r="O186" s="38"/>
      <c r="T186" s="415"/>
      <c r="U186" s="415"/>
      <c r="V186" s="415"/>
      <c r="W186" s="415"/>
      <c r="X186" s="415"/>
    </row>
    <row r="187" spans="4:253" ht="15" customHeight="1">
      <c r="D187" s="25"/>
      <c r="E187" s="30" t="s">
        <v>1945</v>
      </c>
      <c r="F187" s="30"/>
      <c r="G187" s="443"/>
      <c r="H187" s="2920">
        <v>4.8500000000000001E-2</v>
      </c>
      <c r="I187" s="38" t="s">
        <v>1946</v>
      </c>
      <c r="J187" s="38"/>
      <c r="K187" s="38"/>
      <c r="L187" s="38"/>
      <c r="M187" s="38"/>
      <c r="N187" s="38"/>
      <c r="O187" s="38"/>
      <c r="T187" s="415"/>
      <c r="U187" s="415"/>
      <c r="V187" s="415"/>
      <c r="W187" s="415"/>
      <c r="X187" s="415"/>
    </row>
    <row r="188" spans="4:253" ht="15" customHeight="1">
      <c r="D188" s="25"/>
      <c r="E188" s="32" t="s">
        <v>1947</v>
      </c>
      <c r="F188" s="32"/>
      <c r="G188" s="444"/>
      <c r="H188" s="2921">
        <v>0.42</v>
      </c>
      <c r="I188" s="39" t="s">
        <v>788</v>
      </c>
      <c r="J188" s="38"/>
      <c r="K188" s="38"/>
      <c r="L188" s="38"/>
      <c r="M188" s="38"/>
      <c r="N188" s="38"/>
      <c r="O188" s="38"/>
      <c r="T188" s="415"/>
      <c r="U188" s="415"/>
      <c r="V188" s="415"/>
      <c r="W188" s="415"/>
      <c r="X188" s="415"/>
    </row>
    <row r="189" spans="4:253" ht="15" customHeight="1">
      <c r="D189" s="25"/>
      <c r="E189" s="30"/>
      <c r="F189" s="30"/>
      <c r="G189" s="30"/>
      <c r="H189" s="445"/>
      <c r="I189" s="38"/>
      <c r="J189" s="38"/>
      <c r="K189" s="38"/>
      <c r="L189" s="38"/>
      <c r="M189" s="38"/>
      <c r="N189" s="38"/>
      <c r="O189" s="38"/>
      <c r="T189" s="415"/>
      <c r="U189" s="415"/>
      <c r="V189" s="415"/>
      <c r="W189" s="415"/>
      <c r="X189" s="415"/>
    </row>
    <row r="190" spans="4:253" ht="15" customHeight="1">
      <c r="D190" s="25"/>
      <c r="E190" s="2782" t="s">
        <v>1952</v>
      </c>
      <c r="F190" s="398"/>
      <c r="G190" s="398"/>
      <c r="H190" s="398"/>
      <c r="I190" s="398"/>
      <c r="J190" s="398"/>
      <c r="K190" s="398"/>
      <c r="L190" s="398"/>
      <c r="M190" s="398"/>
      <c r="N190" s="398"/>
      <c r="O190" s="38"/>
      <c r="T190" s="415"/>
      <c r="U190" s="415"/>
      <c r="V190" s="415"/>
      <c r="W190" s="415"/>
      <c r="X190" s="415"/>
    </row>
    <row r="191" spans="4:253" ht="15" customHeight="1">
      <c r="D191" s="13"/>
      <c r="E191" s="26"/>
      <c r="F191" s="20"/>
      <c r="G191" s="20"/>
      <c r="H191" s="20"/>
      <c r="I191" s="20"/>
      <c r="J191" s="20"/>
      <c r="K191" s="20"/>
      <c r="L191" s="20"/>
      <c r="M191" s="20"/>
      <c r="N191" s="27"/>
      <c r="O191" s="38"/>
      <c r="T191" s="415"/>
      <c r="U191" s="415"/>
      <c r="V191" s="415"/>
      <c r="W191" s="415"/>
      <c r="X191" s="415"/>
    </row>
    <row r="192" spans="4:253" ht="15" customHeight="1">
      <c r="D192" s="25"/>
      <c r="E192" s="28" t="s">
        <v>1503</v>
      </c>
      <c r="F192" s="28"/>
      <c r="G192" s="28"/>
      <c r="H192" s="89" t="s">
        <v>1944</v>
      </c>
      <c r="I192" s="28" t="s">
        <v>698</v>
      </c>
      <c r="J192" s="33"/>
      <c r="K192" s="33"/>
      <c r="L192" s="33"/>
      <c r="M192" s="33"/>
      <c r="N192" s="33"/>
      <c r="O192" s="38"/>
      <c r="P192" s="415"/>
      <c r="T192" s="415"/>
      <c r="U192" s="415"/>
      <c r="V192" s="415"/>
      <c r="W192" s="415"/>
      <c r="X192" s="415"/>
    </row>
    <row r="193" spans="4:25" ht="15" customHeight="1">
      <c r="D193" s="25"/>
      <c r="E193" s="30" t="s">
        <v>1926</v>
      </c>
      <c r="F193" s="30"/>
      <c r="G193" s="30"/>
      <c r="H193" s="719">
        <v>0</v>
      </c>
      <c r="I193" s="30" t="s">
        <v>1953</v>
      </c>
      <c r="J193" s="33"/>
      <c r="K193" s="33"/>
      <c r="L193" s="33"/>
      <c r="M193" s="33"/>
      <c r="N193" s="33"/>
      <c r="O193" s="38"/>
      <c r="P193" s="415"/>
      <c r="T193" s="415"/>
      <c r="U193" s="415"/>
      <c r="V193" s="415"/>
      <c r="W193" s="415"/>
      <c r="X193" s="415"/>
    </row>
    <row r="194" spans="4:25" ht="15" customHeight="1">
      <c r="D194" s="25"/>
      <c r="E194" s="30" t="s">
        <v>577</v>
      </c>
      <c r="F194" s="30"/>
      <c r="G194" s="30"/>
      <c r="H194" s="719">
        <v>0</v>
      </c>
      <c r="I194" s="30" t="s">
        <v>1953</v>
      </c>
      <c r="J194" s="38"/>
      <c r="K194" s="38"/>
      <c r="L194" s="38"/>
      <c r="M194" s="38"/>
      <c r="N194" s="38"/>
      <c r="O194" s="38"/>
      <c r="P194" s="415"/>
      <c r="T194" s="415"/>
      <c r="U194" s="415"/>
      <c r="V194" s="415"/>
      <c r="W194" s="415"/>
      <c r="X194" s="415"/>
    </row>
    <row r="195" spans="4:25" ht="15" customHeight="1">
      <c r="D195" s="25"/>
      <c r="E195" s="30" t="s">
        <v>1927</v>
      </c>
      <c r="F195" s="30"/>
      <c r="G195" s="30"/>
      <c r="H195" s="719">
        <v>0</v>
      </c>
      <c r="I195" s="30" t="s">
        <v>1953</v>
      </c>
      <c r="J195" s="38"/>
      <c r="K195" s="38"/>
      <c r="L195" s="38"/>
      <c r="M195" s="38"/>
      <c r="N195" s="38"/>
      <c r="O195" s="38"/>
      <c r="P195" s="415"/>
      <c r="T195" s="415"/>
      <c r="U195" s="415"/>
      <c r="V195" s="415"/>
      <c r="W195" s="415"/>
      <c r="X195" s="415"/>
    </row>
    <row r="196" spans="4:25" ht="15" customHeight="1">
      <c r="D196" s="25"/>
      <c r="E196" s="446" t="s">
        <v>933</v>
      </c>
      <c r="F196" s="337"/>
      <c r="G196" s="337"/>
      <c r="H196" s="720">
        <v>0</v>
      </c>
      <c r="I196" s="337" t="s">
        <v>1953</v>
      </c>
      <c r="J196" s="38"/>
      <c r="K196" s="38"/>
      <c r="L196" s="38"/>
      <c r="M196" s="38"/>
      <c r="N196" s="38"/>
      <c r="O196" s="38"/>
      <c r="P196" s="415"/>
      <c r="T196" s="415"/>
      <c r="U196" s="415"/>
      <c r="V196" s="415"/>
      <c r="W196" s="415"/>
      <c r="X196" s="415"/>
    </row>
    <row r="197" spans="4:25" ht="15" customHeight="1">
      <c r="D197" s="25"/>
      <c r="E197" s="405" t="s">
        <v>934</v>
      </c>
      <c r="F197" s="30"/>
      <c r="G197" s="30"/>
      <c r="H197" s="719">
        <v>0</v>
      </c>
      <c r="I197" s="30" t="s">
        <v>1953</v>
      </c>
      <c r="J197" s="38"/>
      <c r="K197" s="38"/>
      <c r="L197" s="38"/>
      <c r="M197" s="38"/>
      <c r="N197" s="38"/>
      <c r="O197" s="38"/>
      <c r="P197" s="415"/>
      <c r="T197" s="415"/>
      <c r="U197" s="415"/>
      <c r="V197" s="415"/>
      <c r="W197" s="415"/>
      <c r="X197" s="415"/>
    </row>
    <row r="198" spans="4:25" ht="15" customHeight="1">
      <c r="D198" s="25"/>
      <c r="E198" s="405" t="s">
        <v>935</v>
      </c>
      <c r="F198" s="30"/>
      <c r="G198" s="30"/>
      <c r="H198" s="719">
        <v>0</v>
      </c>
      <c r="I198" s="30" t="s">
        <v>1953</v>
      </c>
      <c r="J198" s="38"/>
      <c r="K198" s="38"/>
      <c r="L198" s="38"/>
      <c r="M198" s="38"/>
      <c r="N198" s="38"/>
      <c r="O198" s="38"/>
      <c r="P198" s="415"/>
      <c r="T198" s="415"/>
      <c r="U198" s="415"/>
      <c r="V198" s="415"/>
      <c r="W198" s="415"/>
      <c r="X198" s="415"/>
    </row>
    <row r="199" spans="4:25" ht="15" customHeight="1">
      <c r="D199" s="25"/>
      <c r="E199" s="406" t="s">
        <v>1928</v>
      </c>
      <c r="F199" s="32"/>
      <c r="G199" s="32"/>
      <c r="H199" s="721">
        <v>0</v>
      </c>
      <c r="I199" s="32" t="s">
        <v>1953</v>
      </c>
      <c r="J199" s="38"/>
      <c r="K199" s="38"/>
      <c r="L199" s="38"/>
      <c r="M199" s="38"/>
      <c r="N199" s="38"/>
      <c r="O199" s="38"/>
      <c r="P199" s="415"/>
      <c r="T199" s="415"/>
      <c r="U199" s="415"/>
      <c r="V199" s="415"/>
      <c r="W199" s="415"/>
      <c r="X199" s="415"/>
    </row>
    <row r="200" spans="4:25" ht="15" customHeight="1">
      <c r="D200" s="25"/>
      <c r="E200" s="405"/>
      <c r="F200" s="30"/>
      <c r="G200" s="30"/>
      <c r="H200" s="719"/>
      <c r="I200" s="30"/>
      <c r="J200" s="38"/>
      <c r="K200" s="38"/>
      <c r="L200" s="38"/>
      <c r="M200" s="38"/>
      <c r="N200" s="38"/>
      <c r="O200" s="38"/>
      <c r="P200" s="415"/>
      <c r="T200" s="415"/>
      <c r="U200" s="415"/>
      <c r="V200" s="415"/>
      <c r="W200" s="415"/>
      <c r="X200" s="415"/>
    </row>
    <row r="201" spans="4:25" ht="15" customHeight="1">
      <c r="D201" s="25"/>
      <c r="E201" s="2782" t="s">
        <v>1954</v>
      </c>
      <c r="F201" s="398"/>
      <c r="G201" s="398"/>
      <c r="H201" s="398"/>
      <c r="I201" s="398"/>
      <c r="J201" s="398"/>
      <c r="K201" s="398"/>
      <c r="L201" s="398"/>
      <c r="M201" s="398"/>
      <c r="N201" s="398"/>
      <c r="O201" s="38"/>
      <c r="P201" s="415"/>
      <c r="T201" s="415"/>
      <c r="U201" s="415"/>
      <c r="V201" s="415"/>
      <c r="W201" s="415"/>
      <c r="X201" s="415"/>
    </row>
    <row r="202" spans="4:25" ht="15" customHeight="1">
      <c r="D202" s="40"/>
      <c r="E202" s="40"/>
      <c r="F202" s="40"/>
      <c r="G202" s="40"/>
      <c r="H202" s="40"/>
      <c r="I202" s="40"/>
      <c r="J202" s="40"/>
      <c r="K202" s="40"/>
      <c r="L202" s="40"/>
      <c r="M202" s="40"/>
      <c r="N202" s="40"/>
      <c r="O202" s="40"/>
      <c r="P202" s="415"/>
      <c r="U202" s="415"/>
      <c r="V202" s="415"/>
      <c r="W202" s="415"/>
      <c r="X202" s="415"/>
      <c r="Y202" s="415"/>
    </row>
    <row r="203" spans="4:25" ht="15" customHeight="1">
      <c r="D203" s="25"/>
      <c r="E203" s="35" t="s">
        <v>1955</v>
      </c>
      <c r="F203" s="40"/>
      <c r="G203" s="40"/>
      <c r="H203" s="40"/>
      <c r="I203" s="40"/>
      <c r="J203" s="40"/>
      <c r="K203" s="40"/>
      <c r="L203" s="40"/>
      <c r="M203" s="40"/>
      <c r="N203" s="40"/>
      <c r="O203" s="38"/>
      <c r="P203" s="415"/>
      <c r="U203" s="415"/>
      <c r="V203" s="415"/>
      <c r="W203" s="415"/>
      <c r="X203" s="415"/>
      <c r="Y203" s="415"/>
    </row>
    <row r="204" spans="4:25" ht="15" customHeight="1">
      <c r="D204" s="25"/>
      <c r="E204" s="424" t="s">
        <v>1532</v>
      </c>
      <c r="F204" s="1535" t="s">
        <v>1956</v>
      </c>
      <c r="G204" s="1536" t="s">
        <v>1957</v>
      </c>
      <c r="H204" s="1536" t="s">
        <v>1958</v>
      </c>
      <c r="I204" s="1536" t="s">
        <v>1959</v>
      </c>
      <c r="J204" s="975" t="s">
        <v>1960</v>
      </c>
      <c r="K204" s="38"/>
      <c r="L204" s="38"/>
      <c r="M204" s="38"/>
      <c r="N204" s="38"/>
      <c r="O204" s="38"/>
      <c r="P204" s="415"/>
      <c r="U204" s="415"/>
      <c r="V204" s="415"/>
      <c r="W204" s="415"/>
      <c r="X204" s="415"/>
      <c r="Y204" s="415"/>
    </row>
    <row r="205" spans="4:25" ht="15" customHeight="1">
      <c r="D205" s="25"/>
      <c r="E205" s="426" t="s">
        <v>1534</v>
      </c>
      <c r="F205" s="1537">
        <v>0.4</v>
      </c>
      <c r="G205" s="1537">
        <v>0.38</v>
      </c>
      <c r="H205" s="1537">
        <v>0</v>
      </c>
      <c r="I205" s="1533">
        <v>1</v>
      </c>
      <c r="J205" s="1540">
        <f>H205*G205*F205*44/12*I205</f>
        <v>0</v>
      </c>
      <c r="K205" s="38"/>
      <c r="L205" s="38"/>
      <c r="M205" s="38"/>
      <c r="N205" s="38"/>
      <c r="O205" s="38"/>
      <c r="P205" s="415"/>
      <c r="U205" s="415"/>
      <c r="V205" s="415"/>
      <c r="W205" s="415"/>
      <c r="X205" s="415"/>
      <c r="Y205" s="415"/>
    </row>
    <row r="206" spans="4:25" ht="15" customHeight="1">
      <c r="D206" s="40"/>
      <c r="E206" s="428" t="s">
        <v>1535</v>
      </c>
      <c r="F206" s="1538">
        <v>0.9</v>
      </c>
      <c r="G206" s="1538">
        <v>0.46</v>
      </c>
      <c r="H206" s="1538">
        <v>0.01</v>
      </c>
      <c r="I206" s="1532">
        <v>1</v>
      </c>
      <c r="J206" s="1540">
        <f>H206*G206*F206*44/12*I206</f>
        <v>1.5180000000000001E-2</v>
      </c>
      <c r="K206" s="38"/>
      <c r="L206" s="38"/>
      <c r="M206" s="38"/>
      <c r="N206" s="38"/>
      <c r="O206" s="38"/>
      <c r="P206" s="415"/>
      <c r="U206" s="415"/>
      <c r="V206" s="415"/>
      <c r="W206" s="415"/>
      <c r="X206" s="415"/>
      <c r="Y206" s="415"/>
    </row>
    <row r="207" spans="4:25" ht="15" customHeight="1">
      <c r="D207" s="40"/>
      <c r="E207" s="428" t="s">
        <v>1536</v>
      </c>
      <c r="F207" s="1538">
        <v>0.85</v>
      </c>
      <c r="G207" s="1538">
        <v>0.5</v>
      </c>
      <c r="H207" s="1538">
        <v>0</v>
      </c>
      <c r="I207" s="1532">
        <v>1</v>
      </c>
      <c r="J207" s="1540">
        <f>H207*G207*F207*44/12*I207</f>
        <v>0</v>
      </c>
      <c r="K207" s="38"/>
      <c r="L207" s="38"/>
      <c r="M207" s="38"/>
      <c r="N207" s="38"/>
      <c r="O207" s="38"/>
      <c r="P207" s="415"/>
      <c r="T207" s="415"/>
      <c r="U207" s="415"/>
      <c r="V207" s="415"/>
      <c r="W207" s="415"/>
      <c r="X207" s="415"/>
    </row>
    <row r="208" spans="4:25" ht="15" customHeight="1">
      <c r="D208" s="40"/>
      <c r="E208" s="428" t="s">
        <v>1537</v>
      </c>
      <c r="F208" s="1538">
        <v>0.8</v>
      </c>
      <c r="G208" s="1538">
        <v>0.5</v>
      </c>
      <c r="H208" s="1538">
        <v>0.2</v>
      </c>
      <c r="I208" s="1532">
        <v>1</v>
      </c>
      <c r="J208" s="1540">
        <f>H208*G208*F208*44/12*I208</f>
        <v>0.29333333333333339</v>
      </c>
      <c r="K208" s="38"/>
      <c r="L208" s="38"/>
      <c r="M208" s="38"/>
      <c r="N208" s="38"/>
      <c r="O208" s="38"/>
      <c r="P208" s="415"/>
      <c r="T208" s="415"/>
      <c r="U208" s="415"/>
      <c r="V208" s="415"/>
      <c r="W208" s="415"/>
      <c r="X208" s="415"/>
    </row>
    <row r="209" spans="4:23" ht="15" customHeight="1">
      <c r="D209" s="40"/>
      <c r="E209" s="441" t="s">
        <v>1940</v>
      </c>
      <c r="F209" s="1539">
        <v>1</v>
      </c>
      <c r="G209" s="1539">
        <v>0.39</v>
      </c>
      <c r="H209" s="1539">
        <v>1</v>
      </c>
      <c r="I209" s="1534">
        <v>1</v>
      </c>
      <c r="J209" s="1540">
        <f>H209*G209*F209*44/12*I209</f>
        <v>1.43</v>
      </c>
      <c r="K209" s="38"/>
      <c r="L209" s="38"/>
      <c r="M209" s="38"/>
      <c r="N209" s="38"/>
      <c r="O209" s="38"/>
      <c r="P209" s="415"/>
      <c r="S209" s="415"/>
      <c r="T209" s="415"/>
      <c r="U209" s="415"/>
      <c r="V209" s="415"/>
      <c r="W209" s="415"/>
    </row>
    <row r="210" spans="4:23" ht="15" customHeight="1">
      <c r="D210" s="40"/>
      <c r="E210" s="1082" t="s">
        <v>1961</v>
      </c>
      <c r="F210" s="414"/>
      <c r="G210" s="40"/>
      <c r="H210" s="1083" t="s">
        <v>1962</v>
      </c>
      <c r="I210" s="1083"/>
      <c r="J210" s="1084">
        <f>SUM(J206+J208+J209)/3</f>
        <v>0.57950444444444449</v>
      </c>
      <c r="K210" s="38"/>
      <c r="L210" s="38"/>
      <c r="M210" s="38"/>
      <c r="N210" s="38"/>
      <c r="O210" s="38"/>
      <c r="P210" s="415"/>
      <c r="S210" s="415"/>
      <c r="T210" s="415"/>
      <c r="U210" s="415"/>
      <c r="V210" s="415"/>
      <c r="W210" s="415"/>
    </row>
    <row r="211" spans="4:23" ht="15" customHeight="1">
      <c r="D211" s="40"/>
      <c r="E211" s="40"/>
      <c r="F211" s="40"/>
      <c r="G211" s="40"/>
      <c r="H211" s="40"/>
      <c r="I211" s="40"/>
      <c r="J211" s="40"/>
      <c r="K211" s="40"/>
      <c r="L211" s="40"/>
      <c r="M211" s="40"/>
      <c r="N211" s="40"/>
      <c r="O211" s="40"/>
      <c r="P211" s="415"/>
      <c r="S211" s="415"/>
      <c r="T211" s="415"/>
      <c r="U211" s="415"/>
      <c r="V211" s="415"/>
      <c r="W211" s="415"/>
    </row>
    <row r="212" spans="4:23" ht="15" customHeight="1">
      <c r="D212" s="40"/>
      <c r="E212" s="1088" t="s">
        <v>1963</v>
      </c>
      <c r="F212" s="414"/>
      <c r="G212" s="40"/>
      <c r="H212" s="40"/>
      <c r="I212" s="30"/>
      <c r="J212" s="38"/>
      <c r="K212" s="38"/>
      <c r="L212" s="38"/>
      <c r="M212" s="38"/>
      <c r="N212" s="38"/>
      <c r="O212" s="38"/>
      <c r="P212" s="415"/>
      <c r="S212" s="415"/>
      <c r="T212" s="415"/>
      <c r="U212" s="415"/>
      <c r="V212" s="415"/>
      <c r="W212" s="415"/>
    </row>
    <row r="213" spans="4:23" ht="15" customHeight="1">
      <c r="D213" s="40"/>
      <c r="E213" s="424" t="s">
        <v>1964</v>
      </c>
      <c r="F213" s="1101" t="s">
        <v>1965</v>
      </c>
      <c r="G213" s="1107" t="s">
        <v>1966</v>
      </c>
      <c r="H213" s="40"/>
      <c r="I213" s="30"/>
      <c r="J213" s="38"/>
      <c r="K213" s="38"/>
      <c r="L213" s="38"/>
      <c r="M213" s="38"/>
      <c r="N213" s="38"/>
      <c r="O213" s="38"/>
      <c r="P213" s="415"/>
      <c r="S213" s="415"/>
      <c r="T213" s="415"/>
      <c r="U213" s="415"/>
      <c r="V213" s="415"/>
      <c r="W213" s="415"/>
    </row>
    <row r="214" spans="4:23" ht="15" customHeight="1">
      <c r="D214" s="40"/>
      <c r="E214" s="1529" t="s">
        <v>695</v>
      </c>
      <c r="F214" s="1526">
        <v>0.2</v>
      </c>
      <c r="G214" s="1102">
        <f>F214/UNIDAD_Gg_A_T*UNIDAD_KG_A_T</f>
        <v>2.0000000000000002E-7</v>
      </c>
      <c r="H214" s="1527"/>
      <c r="I214" s="90"/>
      <c r="J214" s="38"/>
      <c r="K214" s="38"/>
      <c r="L214" s="38"/>
      <c r="M214" s="38"/>
      <c r="N214" s="38"/>
      <c r="O214" s="38"/>
      <c r="P214" s="415"/>
      <c r="S214" s="415"/>
      <c r="T214" s="415"/>
      <c r="U214" s="415"/>
      <c r="V214" s="415"/>
      <c r="W214" s="415"/>
    </row>
    <row r="215" spans="4:23" ht="15" customHeight="1">
      <c r="D215" s="40"/>
      <c r="E215" s="1528"/>
      <c r="F215" s="1023"/>
      <c r="G215" s="1527"/>
      <c r="H215" s="1527"/>
      <c r="I215" s="90"/>
      <c r="J215" s="38"/>
      <c r="K215" s="38"/>
      <c r="L215" s="38"/>
      <c r="M215" s="38"/>
      <c r="N215" s="38"/>
      <c r="O215" s="38"/>
      <c r="S215" s="415"/>
      <c r="T215" s="415"/>
      <c r="U215" s="415"/>
      <c r="V215" s="415"/>
      <c r="W215" s="415"/>
    </row>
    <row r="216" spans="4:23" ht="15" customHeight="1">
      <c r="D216" s="40"/>
      <c r="E216" s="1088" t="s">
        <v>1963</v>
      </c>
      <c r="F216" s="1103"/>
      <c r="G216" s="40"/>
      <c r="H216" s="40"/>
      <c r="I216" s="30"/>
      <c r="J216" s="38"/>
      <c r="K216" s="38"/>
      <c r="L216" s="38"/>
      <c r="M216" s="38"/>
      <c r="N216" s="38"/>
      <c r="O216" s="40"/>
      <c r="S216" s="415"/>
      <c r="T216" s="415"/>
      <c r="U216" s="415"/>
      <c r="V216" s="415"/>
      <c r="W216" s="415"/>
    </row>
    <row r="217" spans="4:23" ht="15" customHeight="1">
      <c r="D217" s="40"/>
      <c r="E217" s="424" t="s">
        <v>1964</v>
      </c>
      <c r="F217" s="1104" t="s">
        <v>1967</v>
      </c>
      <c r="G217" s="1108" t="s">
        <v>1968</v>
      </c>
      <c r="H217" s="30"/>
      <c r="I217" s="38"/>
      <c r="J217" s="38"/>
      <c r="K217" s="38"/>
      <c r="L217" s="38"/>
      <c r="M217" s="38"/>
      <c r="N217" s="38"/>
      <c r="O217" s="40"/>
      <c r="S217" s="415"/>
      <c r="T217" s="415"/>
      <c r="U217" s="415"/>
      <c r="V217" s="415"/>
      <c r="W217" s="415"/>
    </row>
    <row r="218" spans="4:23" ht="15" customHeight="1">
      <c r="D218" s="25"/>
      <c r="E218" s="1094" t="s">
        <v>1616</v>
      </c>
      <c r="F218" s="1106">
        <v>47</v>
      </c>
      <c r="G218" s="1102">
        <f>F218/UNIDAD_G_A_T*UNIDAD_KG_A_T</f>
        <v>4.6999999999999997E-8</v>
      </c>
      <c r="H218" s="30"/>
      <c r="I218" s="38"/>
      <c r="J218" s="38"/>
      <c r="K218" s="38"/>
      <c r="L218" s="38"/>
      <c r="M218" s="38"/>
      <c r="N218" s="38"/>
      <c r="O218" s="40"/>
      <c r="S218" s="415"/>
      <c r="T218" s="415"/>
      <c r="U218" s="415"/>
      <c r="V218" s="415"/>
      <c r="W218" s="415"/>
    </row>
    <row r="219" spans="4:23" ht="15" customHeight="1">
      <c r="D219" s="25"/>
      <c r="E219" s="35"/>
      <c r="F219" s="1105"/>
      <c r="G219" s="40"/>
      <c r="H219" s="40"/>
      <c r="I219" s="40"/>
      <c r="J219" s="40"/>
      <c r="K219" s="40"/>
      <c r="L219" s="40"/>
      <c r="M219" s="40"/>
      <c r="N219" s="40"/>
      <c r="O219" s="40"/>
      <c r="Q219" s="415"/>
      <c r="R219" s="415"/>
      <c r="S219" s="415"/>
    </row>
    <row r="220" spans="4:23" ht="15" customHeight="1">
      <c r="Q220" s="415"/>
      <c r="R220" s="415"/>
      <c r="S220" s="415"/>
    </row>
    <row r="221" spans="4:23" ht="15" customHeight="1">
      <c r="D221" s="1018" t="s">
        <v>51</v>
      </c>
      <c r="E221" s="336"/>
      <c r="F221" s="336"/>
      <c r="G221" s="336"/>
      <c r="H221" s="336"/>
      <c r="I221" s="336"/>
      <c r="J221" s="336"/>
      <c r="K221" s="336"/>
      <c r="L221" s="336"/>
      <c r="M221" s="336"/>
      <c r="N221" s="336"/>
      <c r="O221" s="336"/>
      <c r="Q221" s="415"/>
      <c r="R221" s="415"/>
      <c r="S221" s="415"/>
      <c r="T221" s="415"/>
    </row>
    <row r="222" spans="4:23" ht="15" customHeight="1">
      <c r="D222" s="40"/>
      <c r="E222" s="19"/>
      <c r="F222" s="40"/>
      <c r="G222" s="40"/>
      <c r="H222" s="40"/>
      <c r="I222" s="40"/>
      <c r="J222" s="40"/>
      <c r="K222" s="40"/>
      <c r="L222" s="40"/>
      <c r="M222" s="40"/>
      <c r="N222" s="40"/>
      <c r="O222" s="40"/>
      <c r="Q222" s="415"/>
      <c r="R222" s="415"/>
      <c r="S222" s="415"/>
      <c r="T222" s="415"/>
    </row>
    <row r="223" spans="4:23" ht="15" customHeight="1">
      <c r="D223" s="40"/>
      <c r="E223" s="398" t="s">
        <v>1969</v>
      </c>
      <c r="F223" s="398"/>
      <c r="G223" s="1808"/>
      <c r="H223" s="1808"/>
      <c r="I223" s="1808"/>
      <c r="J223" s="1808"/>
      <c r="K223" s="1808"/>
      <c r="L223" s="1808"/>
      <c r="M223" s="1808"/>
      <c r="N223" s="1808"/>
      <c r="O223" s="40"/>
      <c r="Q223" s="415"/>
      <c r="R223" s="415"/>
      <c r="S223" s="415"/>
      <c r="T223" s="415"/>
    </row>
    <row r="224" spans="4:23" ht="15" customHeight="1">
      <c r="D224" s="40"/>
      <c r="E224" s="40"/>
      <c r="F224" s="40"/>
      <c r="G224" s="40"/>
      <c r="H224" s="40"/>
      <c r="I224" s="40"/>
      <c r="J224" s="40"/>
      <c r="K224" s="40"/>
      <c r="L224" s="40"/>
      <c r="M224" s="40"/>
      <c r="N224" s="40"/>
      <c r="O224" s="1729"/>
      <c r="Q224" s="415"/>
      <c r="R224" s="415"/>
      <c r="S224" s="415"/>
      <c r="T224" s="415"/>
    </row>
    <row r="225" spans="4:24" ht="15" customHeight="1">
      <c r="D225" s="448"/>
      <c r="E225" s="1809" t="s">
        <v>1970</v>
      </c>
      <c r="F225" s="1809"/>
      <c r="G225" s="1832"/>
      <c r="H225" s="1832"/>
      <c r="I225" s="1832"/>
      <c r="J225" s="1832"/>
      <c r="K225" s="1832"/>
      <c r="L225" s="1832"/>
      <c r="M225" s="1832"/>
      <c r="N225" s="1832"/>
      <c r="O225" s="40"/>
      <c r="S225" s="415"/>
      <c r="T225" s="415"/>
      <c r="U225" s="415"/>
      <c r="V225" s="415"/>
      <c r="W225" s="415"/>
    </row>
    <row r="226" spans="4:24" ht="15" customHeight="1">
      <c r="D226" s="448"/>
      <c r="E226" s="447"/>
      <c r="F226" s="447"/>
      <c r="G226" s="447"/>
      <c r="H226" s="447"/>
      <c r="I226" s="447"/>
      <c r="J226" s="447"/>
      <c r="K226" s="447"/>
      <c r="L226" s="447"/>
      <c r="M226" s="447"/>
      <c r="N226" s="448" t="s">
        <v>803</v>
      </c>
      <c r="O226" s="1729"/>
      <c r="P226" s="1068"/>
      <c r="T226" s="415"/>
      <c r="U226" s="415"/>
      <c r="V226" s="415"/>
      <c r="W226" s="415"/>
      <c r="X226" s="415"/>
    </row>
    <row r="227" spans="4:24" ht="15" customHeight="1">
      <c r="D227" s="448"/>
      <c r="E227" s="945" t="s">
        <v>869</v>
      </c>
      <c r="F227" s="1710"/>
      <c r="G227" s="1710">
        <v>2018</v>
      </c>
      <c r="H227" s="1710">
        <v>2020</v>
      </c>
      <c r="I227" s="1710">
        <v>2025</v>
      </c>
      <c r="J227" s="1710">
        <v>2030</v>
      </c>
      <c r="K227" s="1710">
        <v>2035</v>
      </c>
      <c r="L227" s="1710">
        <v>2040</v>
      </c>
      <c r="M227" s="1710">
        <v>2045</v>
      </c>
      <c r="N227" s="1710">
        <v>2050</v>
      </c>
      <c r="O227" s="40"/>
      <c r="T227" s="415"/>
      <c r="U227" s="415"/>
      <c r="V227" s="415"/>
      <c r="W227" s="415"/>
      <c r="X227" s="415"/>
    </row>
    <row r="228" spans="4:24" ht="15" customHeight="1">
      <c r="D228" s="448"/>
      <c r="E228" s="1711" t="s">
        <v>1926</v>
      </c>
      <c r="F228" s="1712"/>
      <c r="G228" s="1833"/>
      <c r="H228" s="1833"/>
      <c r="I228" s="1833"/>
      <c r="J228" s="1833"/>
      <c r="K228" s="1833"/>
      <c r="L228" s="1833"/>
      <c r="M228" s="1833"/>
      <c r="N228" s="1833"/>
      <c r="O228" s="1729"/>
      <c r="T228" s="415"/>
      <c r="U228" s="415"/>
      <c r="V228" s="415"/>
      <c r="W228" s="415"/>
      <c r="X228" s="415"/>
    </row>
    <row r="229" spans="4:24" ht="15" customHeight="1">
      <c r="D229" s="448"/>
      <c r="E229" s="1720" t="s">
        <v>1931</v>
      </c>
      <c r="F229" s="1731"/>
      <c r="G229" s="1834" cm="1">
        <f t="array" ref="G229:N229">(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ALTO</f>
        <v>129.41749956505157</v>
      </c>
      <c r="H229" s="1834">
        <v>139.85821152004374</v>
      </c>
      <c r="I229" s="1834">
        <v>166.38434541596897</v>
      </c>
      <c r="J229" s="1834">
        <v>193.79673642916839</v>
      </c>
      <c r="K229" s="1834">
        <v>193.79673642916839</v>
      </c>
      <c r="L229" s="1834">
        <v>193.79673642916839</v>
      </c>
      <c r="M229" s="1834">
        <v>193.79673642916839</v>
      </c>
      <c r="N229" s="1834">
        <v>193.79673642916839</v>
      </c>
      <c r="O229" s="40"/>
      <c r="T229" s="415"/>
      <c r="U229" s="415"/>
      <c r="V229" s="415"/>
      <c r="W229" s="415"/>
      <c r="X229" s="415"/>
    </row>
    <row r="230" spans="4:24" ht="15" customHeight="1">
      <c r="D230" s="448"/>
      <c r="E230" s="1720" t="s">
        <v>1932</v>
      </c>
      <c r="F230" s="1732"/>
      <c r="G230" s="1838">
        <f t="shared" ref="G230:N230" si="3">((F448*((COSTOS_CAPITAL_RESIDUOS_SOLIDOS_TRATAMIENTO_RESIDUOS_RELLENO_USD_TON+COSTOS_CAPITAL_RESIDUOS_SOLIDOS_QUEMA_BIOGAS_USD_M3)/COSTOS_VIDA_UTIL_RESIDUOS_SOLIDOS_QUEMA_BIOGAS)*COSTOS_2019_US_dolares_MMCOP)*COSTOS_ALTO)/((($G$131*$G$142)+($G$132*$G$143)+($G$133*$G$144)+($G$134*$G$145)+($G$135*$G$146))+(($G$131*$G$151)+($G$132*$G$152)+($G$133*$G$153)+($G$134*$G$154)+($G$135*$G$155))+(($G$131*$G$160)+($G$132*$G$161)+($G$133*$G$162)+($G$134*$G$163)+($G$135*$G$164))+(($G$131*$G$169)+($G$132*$G$170)+($G$133*$G$171)+($G$134*$G$172)+($G$135*$G$173)))</f>
        <v>7.8995392863985039</v>
      </c>
      <c r="H230" s="1838">
        <f t="shared" si="3"/>
        <v>8.5368318824046128</v>
      </c>
      <c r="I230" s="1838">
        <f t="shared" si="3"/>
        <v>10.155965597175552</v>
      </c>
      <c r="J230" s="1838">
        <f t="shared" si="3"/>
        <v>11.829195728113447</v>
      </c>
      <c r="K230" s="1838">
        <f t="shared" si="3"/>
        <v>11.829195728113447</v>
      </c>
      <c r="L230" s="1838">
        <f t="shared" si="3"/>
        <v>11.829195728113447</v>
      </c>
      <c r="M230" s="1838">
        <f t="shared" si="3"/>
        <v>11.829195728113447</v>
      </c>
      <c r="N230" s="1838">
        <f t="shared" si="3"/>
        <v>11.829195728113447</v>
      </c>
      <c r="O230" s="1729"/>
      <c r="T230" s="415"/>
      <c r="U230" s="415"/>
      <c r="V230" s="415"/>
      <c r="W230" s="415"/>
      <c r="X230" s="415"/>
    </row>
    <row r="231" spans="4:24" ht="15" customHeight="1">
      <c r="D231" s="448"/>
      <c r="E231" s="1721" t="s">
        <v>1933</v>
      </c>
      <c r="F231" s="1733"/>
      <c r="G231" s="1839">
        <f>((F449)*((COSTOS_CAPITAL_RESIDUOS_SOLIDOS_APROVECHAMIENTO_BIOGAS/COSTOS_VIDA_UTIL_RESIDUOS_SOLIDOS_TRATAMIENTO_APROVECHAMIENTO_BIOGAS)*COSTOS_2019_US_dolares_MMCOP)*COSTOS_ALTO)/((($G$131*$G$143)+($G$132*$G$142)+($G$133*$G$144)+($G$134*$G$145)+($G$135*$G$146))+(($G$131*$G$151)+($G$132*$G$152)+($G$133*$G$153)+($G$134*$G$154)+($G$135*$G$155))+(($G$131*$G$160)+($G$132*$G$161)+($G$133*$G$162)+($G$134*$G$163)+($G$135*$G$164))+(($G$131*$G$169)+($G$132*$G$170)+($G$133*$G$171)+($G$134*$G$172)+($G$135*$G$173)))</f>
        <v>99.074591168864245</v>
      </c>
      <c r="H231" s="1839">
        <f t="shared" ref="H231:N231" si="4">(($F$19*H19*H59*H117)*((COSTOS_CAPITAL_RESIDUOS_SOLIDOS_APROVECHAMIENTO_BIOGAS/COSTOS_VIDA_UTIL_RESIDUOS_SOLIDOS_TRATAMIENTO_APROVECHAMIENTO_BIOGAS)*COSTOS_2019_US_dolares_MMCOP)*COSTOS_ALTO)/((($G$131*$G$143)+($G$132*$G$142)+($G$133*$G$144)+($G$134*$G$145)+($G$135*$G$146))+(($G$131*$G$151)+($G$132*$G$152)+($G$133*$G$153)+($G$134*$G$154)+($G$135*$G$155))+(($G$131*$G$160)+($G$132*$G$161)+($G$133*$G$162)+($G$134*$G$163)+($G$135*$G$164))+(($G$131*$G$169)+($G$132*$G$170)+($G$133*$G$171)+($G$134*$G$172)+($G$135*$G$173)))</f>
        <v>101.23483432738838</v>
      </c>
      <c r="I231" s="1839">
        <f t="shared" si="4"/>
        <v>110.09408232421295</v>
      </c>
      <c r="J231" s="1839">
        <f t="shared" si="4"/>
        <v>116.18727452420575</v>
      </c>
      <c r="K231" s="1839">
        <f t="shared" si="4"/>
        <v>104.14208943055534</v>
      </c>
      <c r="L231" s="1839">
        <f t="shared" si="4"/>
        <v>92.096904336904956</v>
      </c>
      <c r="M231" s="1839">
        <f t="shared" si="4"/>
        <v>80.051719243254595</v>
      </c>
      <c r="N231" s="1839">
        <f t="shared" si="4"/>
        <v>68.006534149604207</v>
      </c>
      <c r="O231" s="40"/>
      <c r="T231" s="415"/>
      <c r="U231" s="415"/>
      <c r="V231" s="415"/>
      <c r="W231" s="415"/>
      <c r="X231" s="415"/>
    </row>
    <row r="232" spans="4:24" ht="15" customHeight="1">
      <c r="D232" s="448"/>
      <c r="E232" s="1713" t="s">
        <v>577</v>
      </c>
      <c r="F232" s="1714"/>
      <c r="G232" s="1714"/>
      <c r="H232" s="1714"/>
      <c r="I232" s="1714"/>
      <c r="J232" s="1714"/>
      <c r="K232" s="1714"/>
      <c r="L232" s="1714"/>
      <c r="M232" s="1714"/>
      <c r="N232" s="1714"/>
      <c r="O232" s="1729"/>
      <c r="T232" s="415"/>
      <c r="U232" s="415"/>
      <c r="V232" s="415"/>
      <c r="W232" s="415"/>
      <c r="X232" s="415"/>
    </row>
    <row r="233" spans="4:24" ht="15" customHeight="1">
      <c r="D233" s="448"/>
      <c r="E233" s="1715" t="s">
        <v>1927</v>
      </c>
      <c r="F233" s="452"/>
      <c r="G233" s="452"/>
      <c r="H233" s="452"/>
      <c r="I233" s="452"/>
      <c r="J233" s="452"/>
      <c r="K233" s="452"/>
      <c r="L233" s="452"/>
      <c r="M233" s="452"/>
      <c r="N233" s="452"/>
      <c r="O233" s="40"/>
      <c r="T233" s="415"/>
      <c r="U233" s="415"/>
      <c r="V233" s="415"/>
      <c r="W233" s="415"/>
      <c r="X233" s="415"/>
    </row>
    <row r="234" spans="4:24" ht="15" customHeight="1">
      <c r="D234" s="448"/>
      <c r="E234" s="30" t="s">
        <v>933</v>
      </c>
      <c r="F234" s="1716"/>
      <c r="G234" s="1830" cm="1">
        <f t="array" ref="G234:N234">(_xlfn.ANCHORARRAY($F$433)*COSTOS_CAPITAL_RESIDUOS_SOLIDOS_TMB_COMPOSTAJE_USD_TON/COSTOS_VIDA_UTIL_RESIDUOS_SOLIDOS_TMB_COMPOSTAJE*COSTOS_2019_US_dolares_MMCOP)*COSTOS_ALTO</f>
        <v>0</v>
      </c>
      <c r="H234" s="1830">
        <v>0</v>
      </c>
      <c r="I234" s="1830">
        <v>0</v>
      </c>
      <c r="J234" s="1830">
        <v>0</v>
      </c>
      <c r="K234" s="1830">
        <v>0</v>
      </c>
      <c r="L234" s="1830">
        <v>0</v>
      </c>
      <c r="M234" s="1830">
        <v>0</v>
      </c>
      <c r="N234" s="1830">
        <v>0</v>
      </c>
      <c r="O234" s="1729"/>
      <c r="P234" s="653"/>
      <c r="Q234" s="2795"/>
      <c r="T234" s="415"/>
      <c r="U234" s="415"/>
      <c r="V234" s="415"/>
      <c r="W234" s="415"/>
      <c r="X234" s="415"/>
    </row>
    <row r="235" spans="4:24" ht="15" customHeight="1">
      <c r="D235" s="448"/>
      <c r="E235" s="30" t="s">
        <v>934</v>
      </c>
      <c r="F235" s="1716"/>
      <c r="G235" s="1830" cm="1">
        <f t="array" ref="G235:N235">(_xlfn.ANCHORARRAY($F$434)*COSTOS_CAPITAL_RESIDUOS_SOLIDOS_CDM_USD_TON/COSTOS_VIDA_UTIL_RESIDUOS_SOLIDOS_CDM*COSTOS_2019_US_dolares_MMCOP)*COSTOS_ALTO</f>
        <v>0</v>
      </c>
      <c r="H235" s="1830">
        <v>0</v>
      </c>
      <c r="I235" s="1830">
        <v>0</v>
      </c>
      <c r="J235" s="1830">
        <v>0</v>
      </c>
      <c r="K235" s="1830">
        <v>0</v>
      </c>
      <c r="L235" s="1830">
        <v>0</v>
      </c>
      <c r="M235" s="1830">
        <v>0</v>
      </c>
      <c r="N235" s="1830">
        <v>0</v>
      </c>
      <c r="O235" s="40"/>
      <c r="T235" s="415"/>
      <c r="U235" s="415"/>
      <c r="V235" s="415"/>
      <c r="W235" s="415"/>
      <c r="X235" s="415"/>
    </row>
    <row r="236" spans="4:24" ht="15" customHeight="1">
      <c r="D236" s="448"/>
      <c r="E236" s="32" t="s">
        <v>935</v>
      </c>
      <c r="F236" s="1717"/>
      <c r="G236" s="1831" cm="1">
        <f t="array" ref="G236:N236">(_xlfn.ANCHORARRAY($F$435)*COSTOS_CAPITAL_RESIDUOS_SOLIDOS_INCINERACION_USD_TON/COSTOS_VIDA_UTIL_RESIDUOS_SOLIDOS_INCINERACION*COSTOS_2019_US_dolares_MMCOP)*COSTOS_ALTO</f>
        <v>0</v>
      </c>
      <c r="H236" s="1831">
        <v>0</v>
      </c>
      <c r="I236" s="1831">
        <v>0</v>
      </c>
      <c r="J236" s="1831">
        <v>0</v>
      </c>
      <c r="K236" s="1831">
        <v>0</v>
      </c>
      <c r="L236" s="1831">
        <v>0</v>
      </c>
      <c r="M236" s="1831">
        <v>0</v>
      </c>
      <c r="N236" s="1831">
        <v>0</v>
      </c>
      <c r="O236" s="1729"/>
      <c r="T236" s="415"/>
      <c r="U236" s="415"/>
      <c r="V236" s="415"/>
      <c r="W236" s="415"/>
      <c r="X236" s="415"/>
    </row>
    <row r="237" spans="4:24" ht="15" customHeight="1">
      <c r="D237" s="448"/>
      <c r="E237" s="1718" t="s">
        <v>84</v>
      </c>
      <c r="F237" s="1719"/>
      <c r="G237" s="1835" cm="1">
        <f t="array" ref="G237:N237">(_xlfn.ANCHORARRAY($F$436)*COSTOS_CAPITAL_RESIDUOS_SOLIDOS_RECICLADO_USD_TON/COSTOS_VIDA_UTIL_RESIDUOS_SOLIDOS_RECICLADO*COSTOS_2019_US_dolares_MMCOP)*COSTOS_ALTO</f>
        <v>1.2752963098469912</v>
      </c>
      <c r="H237" s="1835">
        <v>1.3781803979581519</v>
      </c>
      <c r="I237" s="1835">
        <v>1.6395722559810053</v>
      </c>
      <c r="J237" s="1835">
        <v>1.9096974030492659</v>
      </c>
      <c r="K237" s="1835">
        <v>1.9096974030492659</v>
      </c>
      <c r="L237" s="1835">
        <v>1.9096974030492659</v>
      </c>
      <c r="M237" s="1835">
        <v>1.9096974030492659</v>
      </c>
      <c r="N237" s="1835">
        <v>1.9096974030492659</v>
      </c>
      <c r="O237" s="40"/>
      <c r="T237" s="415"/>
      <c r="U237" s="415"/>
      <c r="V237" s="415"/>
      <c r="W237" s="415"/>
      <c r="X237" s="415"/>
    </row>
    <row r="238" spans="4:24" ht="15" customHeight="1">
      <c r="D238" s="448"/>
      <c r="E238" s="2684" t="s">
        <v>1714</v>
      </c>
      <c r="F238" s="2685"/>
      <c r="G238" s="2686">
        <f t="shared" ref="G238:N238" si="5">SUM(G228:G237)</f>
        <v>237.66692633016132</v>
      </c>
      <c r="H238" s="2686">
        <f t="shared" si="5"/>
        <v>251.00805812779487</v>
      </c>
      <c r="I238" s="2686">
        <f t="shared" si="5"/>
        <v>288.27396559333846</v>
      </c>
      <c r="J238" s="2686">
        <f t="shared" si="5"/>
        <v>323.72290408453688</v>
      </c>
      <c r="K238" s="2686">
        <f t="shared" si="5"/>
        <v>311.67771899088649</v>
      </c>
      <c r="L238" s="2686">
        <f t="shared" si="5"/>
        <v>299.6325338972361</v>
      </c>
      <c r="M238" s="2686">
        <f t="shared" si="5"/>
        <v>287.58734880358571</v>
      </c>
      <c r="N238" s="2686">
        <f t="shared" si="5"/>
        <v>275.54216370993532</v>
      </c>
      <c r="O238" s="40"/>
      <c r="T238" s="415"/>
      <c r="U238" s="415"/>
      <c r="V238" s="415"/>
      <c r="W238" s="415"/>
      <c r="X238" s="415"/>
    </row>
    <row r="239" spans="4:24" ht="15" customHeight="1">
      <c r="D239" s="40"/>
      <c r="E239" s="19"/>
      <c r="F239" s="40"/>
      <c r="G239" s="40"/>
      <c r="H239" s="40"/>
      <c r="I239" s="40"/>
      <c r="J239" s="40"/>
      <c r="K239" s="40"/>
      <c r="L239" s="40"/>
      <c r="M239" s="40"/>
      <c r="N239" s="40"/>
      <c r="O239" s="1729"/>
      <c r="T239" s="415"/>
      <c r="U239" s="415"/>
      <c r="V239" s="415"/>
      <c r="W239" s="415"/>
      <c r="X239" s="415"/>
    </row>
    <row r="240" spans="4:24" ht="15" customHeight="1">
      <c r="D240" s="448"/>
      <c r="E240" s="1809" t="s">
        <v>1971</v>
      </c>
      <c r="F240" s="1809"/>
      <c r="G240" s="1832"/>
      <c r="H240" s="1832"/>
      <c r="I240" s="1832"/>
      <c r="J240" s="1832"/>
      <c r="K240" s="1832"/>
      <c r="L240" s="1832"/>
      <c r="M240" s="1832"/>
      <c r="N240" s="1832"/>
      <c r="O240" s="40"/>
      <c r="T240" s="415"/>
      <c r="U240" s="415"/>
      <c r="V240" s="415"/>
      <c r="W240" s="415"/>
      <c r="X240" s="415"/>
    </row>
    <row r="241" spans="4:24" ht="15" customHeight="1">
      <c r="D241" s="448"/>
      <c r="E241" s="447"/>
      <c r="F241" s="447"/>
      <c r="G241" s="447"/>
      <c r="H241" s="447"/>
      <c r="I241" s="447"/>
      <c r="J241" s="447"/>
      <c r="K241" s="447"/>
      <c r="L241" s="447"/>
      <c r="M241" s="447"/>
      <c r="N241" s="448" t="s">
        <v>803</v>
      </c>
      <c r="O241" s="1729"/>
      <c r="T241" s="415"/>
      <c r="U241" s="415"/>
      <c r="V241" s="415"/>
      <c r="W241" s="415"/>
      <c r="X241" s="415"/>
    </row>
    <row r="242" spans="4:24" ht="15" customHeight="1">
      <c r="D242" s="448"/>
      <c r="E242" s="945" t="s">
        <v>869</v>
      </c>
      <c r="F242" s="1710"/>
      <c r="G242" s="1710">
        <v>2018</v>
      </c>
      <c r="H242" s="1710">
        <v>2020</v>
      </c>
      <c r="I242" s="1710">
        <v>2025</v>
      </c>
      <c r="J242" s="1710">
        <v>2030</v>
      </c>
      <c r="K242" s="1710">
        <v>2035</v>
      </c>
      <c r="L242" s="1710">
        <v>2040</v>
      </c>
      <c r="M242" s="1710">
        <v>2045</v>
      </c>
      <c r="N242" s="1710">
        <v>2050</v>
      </c>
      <c r="O242" s="40"/>
      <c r="T242" s="415"/>
      <c r="U242" s="415"/>
      <c r="V242" s="415"/>
      <c r="W242" s="415"/>
      <c r="X242" s="415"/>
    </row>
    <row r="243" spans="4:24" ht="15" customHeight="1">
      <c r="D243" s="448"/>
      <c r="E243" s="1730" t="s">
        <v>1972</v>
      </c>
      <c r="F243" s="1712"/>
      <c r="G243" s="1833" cm="1">
        <f t="array" ref="G243:N243">INDEX(ST_RESIDUOS_SISTEMA_AUTORIZADO,0)*COSTOS_COSTOS_OPERACION_MANTENIMIENTO_RESIDUOS_SOLIDOS_DISPOSICION_Y_TRANSPORTE_USD_TON*COSTOS_2019_US_dolares_MMCOP</f>
        <v>24.537096442172345</v>
      </c>
      <c r="H243" s="1836">
        <v>26.5166181994739</v>
      </c>
      <c r="I243" s="1836">
        <v>31.545878599572521</v>
      </c>
      <c r="J243" s="1836">
        <v>36.743170188901381</v>
      </c>
      <c r="K243" s="1836">
        <v>36.743170188901381</v>
      </c>
      <c r="L243" s="1836">
        <v>36.743170188901381</v>
      </c>
      <c r="M243" s="1836">
        <v>36.743170188901381</v>
      </c>
      <c r="N243" s="1836">
        <v>36.743170188901381</v>
      </c>
      <c r="O243" s="1729"/>
      <c r="T243" s="415"/>
      <c r="U243" s="415"/>
      <c r="V243" s="415"/>
      <c r="W243" s="415"/>
      <c r="X243" s="415"/>
    </row>
    <row r="244" spans="4:24" ht="15" customHeight="1">
      <c r="D244" s="448"/>
      <c r="E244" s="1711" t="s">
        <v>1926</v>
      </c>
      <c r="F244" s="944"/>
      <c r="G244" s="944"/>
      <c r="H244" s="1837"/>
      <c r="I244" s="1837"/>
      <c r="J244" s="1837"/>
      <c r="K244" s="1837"/>
      <c r="L244" s="1837"/>
      <c r="M244" s="1837"/>
      <c r="N244" s="1837"/>
      <c r="O244" s="40"/>
      <c r="T244" s="415"/>
      <c r="U244" s="415"/>
      <c r="V244" s="415"/>
      <c r="W244" s="415"/>
      <c r="X244" s="415"/>
    </row>
    <row r="245" spans="4:24" ht="15" customHeight="1">
      <c r="D245" s="448"/>
      <c r="E245" s="1720" t="s">
        <v>1931</v>
      </c>
      <c r="F245" s="1731"/>
      <c r="G245" s="1834" cm="1">
        <f t="array" ref="G245:N245">(INDEX(ST_RESIDUOS_SISTEMA_AUTORIZADO,0)*INDEX(ST_TIPO_GESTION,RELLENO_SANITARIO_CONTROLADO,0)*INDEX(SF_RELLENO_SANITARIO_CAPTACION_APROVECHAMIENTO,SIN_CAPTACION,0)*(COSTOS_COSTOS_OPERACION_MANTENIMIENTO_RESIDUOS_SOLIDOS_TRATEMIENTO_RESIDUOS_EN_RELLENO_USD_TON)*COSTOS_2019_US_dolares_MMCOP)*COSTOS_ALTO</f>
        <v>1.1388739961724537</v>
      </c>
      <c r="H245" s="1834">
        <v>1.2307522613763848</v>
      </c>
      <c r="I245" s="1834">
        <v>1.4641822396605269</v>
      </c>
      <c r="J245" s="1834">
        <v>1.7054112805766819</v>
      </c>
      <c r="K245" s="1834">
        <v>1.7054112805766819</v>
      </c>
      <c r="L245" s="1834">
        <v>1.7054112805766819</v>
      </c>
      <c r="M245" s="1834">
        <v>1.7054112805766819</v>
      </c>
      <c r="N245" s="1834">
        <v>1.7054112805766819</v>
      </c>
      <c r="O245" s="1729"/>
      <c r="T245" s="415"/>
      <c r="U245" s="415"/>
      <c r="V245" s="415"/>
      <c r="W245" s="415"/>
      <c r="X245" s="415"/>
    </row>
    <row r="246" spans="4:24" ht="15" customHeight="1">
      <c r="D246" s="448"/>
      <c r="E246" s="1720" t="s">
        <v>1932</v>
      </c>
      <c r="F246" s="1732"/>
      <c r="G246" s="1838" cm="1">
        <f t="array" ref="G246:N246">(_xlfn.ANCHORARRAY(F504)*UNIDAD_MT_A_T/DENSIDAD_CH4_M3_A_KG*(COSTOS_COSTOS_OPERACION_MANTENIMIENTO_RESIDUOS_SOLIDOS_QUEMA_BIOGAS_USD_TON)*COSTOS_2019_US_dolares_MMCOP)*COSTOS_ALTO</f>
        <v>14.498478936921735</v>
      </c>
      <c r="H246" s="1838">
        <v>15.740471481853984</v>
      </c>
      <c r="I246" s="1838">
        <v>18.944874907324699</v>
      </c>
      <c r="J246" s="1838">
        <v>22.327816658649809</v>
      </c>
      <c r="K246" s="1838">
        <v>22.596420792891159</v>
      </c>
      <c r="L246" s="1838">
        <v>22.872196521531258</v>
      </c>
      <c r="M246" s="1838">
        <v>23.155434947631868</v>
      </c>
      <c r="N246" s="1838">
        <v>23.446443145281791</v>
      </c>
      <c r="O246" s="40"/>
      <c r="T246" s="415"/>
      <c r="U246" s="415"/>
      <c r="V246" s="415"/>
      <c r="W246" s="415"/>
      <c r="X246" s="415"/>
    </row>
    <row r="247" spans="4:24" ht="15" customHeight="1">
      <c r="D247" s="448"/>
      <c r="E247" s="1721" t="s">
        <v>1933</v>
      </c>
      <c r="F247" s="1733"/>
      <c r="G247" s="1839" cm="1">
        <f t="array" ref="G247:N247">(_xlfn.ANCHORARRAY(F505)*UNIDAD_MT_A_T/DENSIDAD_CH4_M3_A_KG*(COSTOS_OPERACION_MANTENIMIENTO_RESIDUOS_SOLIDOS_APROVECHAMIENTO_BIOGAS_USD_TON)*COSTOS_2019_US_dolares_MMCOP)*COSTOS_ALTO</f>
        <v>1172.272460220451</v>
      </c>
      <c r="H247" s="1839">
        <v>1272.693591468603</v>
      </c>
      <c r="I247" s="1839">
        <v>1531.7851764175095</v>
      </c>
      <c r="J247" s="1839">
        <v>1805.3124524070806</v>
      </c>
      <c r="K247" s="1839">
        <v>1827.0304016238517</v>
      </c>
      <c r="L247" s="1839">
        <v>1849.328209089623</v>
      </c>
      <c r="M247" s="1839">
        <v>1872.2294119012072</v>
      </c>
      <c r="N247" s="1839">
        <v>1895.7588384905475</v>
      </c>
      <c r="O247" s="1729"/>
      <c r="T247" s="415"/>
      <c r="U247" s="415"/>
      <c r="V247" s="415"/>
      <c r="W247" s="415"/>
      <c r="X247" s="415"/>
    </row>
    <row r="248" spans="4:24" ht="15" customHeight="1">
      <c r="D248" s="448"/>
      <c r="E248" s="1713" t="s">
        <v>577</v>
      </c>
      <c r="F248" s="1714"/>
      <c r="G248" s="1714"/>
      <c r="H248" s="1714"/>
      <c r="I248" s="1714"/>
      <c r="J248" s="1714"/>
      <c r="K248" s="1714"/>
      <c r="L248" s="1714"/>
      <c r="M248" s="1714"/>
      <c r="N248" s="1714"/>
      <c r="O248" s="40"/>
      <c r="T248" s="415"/>
      <c r="U248" s="415"/>
      <c r="V248" s="415"/>
      <c r="W248" s="415"/>
      <c r="X248" s="415"/>
    </row>
    <row r="249" spans="4:24" ht="15" customHeight="1">
      <c r="D249" s="448"/>
      <c r="E249" s="1715" t="s">
        <v>1927</v>
      </c>
      <c r="F249" s="452"/>
      <c r="G249" s="452"/>
      <c r="H249" s="452"/>
      <c r="I249" s="452"/>
      <c r="J249" s="452"/>
      <c r="K249" s="452"/>
      <c r="L249" s="452"/>
      <c r="M249" s="452"/>
      <c r="N249" s="452"/>
      <c r="O249" s="1729"/>
      <c r="T249" s="415"/>
      <c r="U249" s="415"/>
      <c r="V249" s="415"/>
      <c r="W249" s="415"/>
      <c r="X249" s="415"/>
    </row>
    <row r="250" spans="4:24" ht="15" customHeight="1">
      <c r="D250" s="448"/>
      <c r="E250" s="30" t="s">
        <v>933</v>
      </c>
      <c r="F250" s="1716"/>
      <c r="G250" s="1830" cm="1">
        <f t="array" ref="G250:N250">(_xlfn.ANCHORARRAY($F$433)*COSTOS_COSTOS_OPERACION_MANTENIMIENTO_RESIDUOS_SOLIDOS_TMB_COMPOSTAJE_USD_TON*COSTOS_2019_US_dolares_MMCOP)*COSTOS_ALTO</f>
        <v>0</v>
      </c>
      <c r="H250" s="1830">
        <v>0</v>
      </c>
      <c r="I250" s="1830">
        <v>0</v>
      </c>
      <c r="J250" s="1830">
        <v>0</v>
      </c>
      <c r="K250" s="1830">
        <v>0</v>
      </c>
      <c r="L250" s="1830">
        <v>0</v>
      </c>
      <c r="M250" s="1830">
        <v>0</v>
      </c>
      <c r="N250" s="1830">
        <v>0</v>
      </c>
      <c r="O250" s="40"/>
      <c r="T250" s="415"/>
      <c r="U250" s="415"/>
      <c r="V250" s="415"/>
      <c r="W250" s="415"/>
      <c r="X250" s="415"/>
    </row>
    <row r="251" spans="4:24" ht="15" customHeight="1">
      <c r="D251" s="448"/>
      <c r="E251" s="30" t="s">
        <v>934</v>
      </c>
      <c r="F251" s="1716"/>
      <c r="G251" s="1830" cm="1">
        <f t="array" ref="G251:N251">(_xlfn.ANCHORARRAY($F$434)*COSTOS_COSTOS_OPERACION_MANTENIMIENTO_RESIDUOS_SOLIDOS_CDR_USD_TON*COSTOS_2019_US_dolares_MMCOP)*COSTOS_ALTO</f>
        <v>0</v>
      </c>
      <c r="H251" s="1830">
        <v>0</v>
      </c>
      <c r="I251" s="1830">
        <v>0</v>
      </c>
      <c r="J251" s="1830">
        <v>0</v>
      </c>
      <c r="K251" s="1830">
        <v>0</v>
      </c>
      <c r="L251" s="1830">
        <v>0</v>
      </c>
      <c r="M251" s="1830">
        <v>0</v>
      </c>
      <c r="N251" s="1830">
        <v>0</v>
      </c>
      <c r="O251" s="1729"/>
      <c r="T251" s="415"/>
      <c r="U251" s="415"/>
      <c r="V251" s="415"/>
      <c r="W251" s="415"/>
      <c r="X251" s="415"/>
    </row>
    <row r="252" spans="4:24" ht="15" customHeight="1">
      <c r="D252" s="448"/>
      <c r="E252" s="32" t="s">
        <v>935</v>
      </c>
      <c r="F252" s="1717"/>
      <c r="G252" s="1831" cm="1">
        <f t="array" ref="G252:N252">(_xlfn.ANCHORARRAY($F$435)*COSTOS_COSTOS_OPERACION_MANTENIMIENTO_RESIDUOS_SOLIDOS_INCINERACION_USD_TON*COSTOS_2019_US_dolares_MMCOP)*COSTOS_ALTO</f>
        <v>0</v>
      </c>
      <c r="H252" s="1831">
        <v>0</v>
      </c>
      <c r="I252" s="1831">
        <v>0</v>
      </c>
      <c r="J252" s="1831">
        <v>0</v>
      </c>
      <c r="K252" s="1831">
        <v>0</v>
      </c>
      <c r="L252" s="1831">
        <v>0</v>
      </c>
      <c r="M252" s="1831">
        <v>0</v>
      </c>
      <c r="N252" s="1831">
        <v>0</v>
      </c>
      <c r="O252" s="40"/>
      <c r="T252" s="415"/>
      <c r="U252" s="415"/>
      <c r="V252" s="415"/>
      <c r="W252" s="415"/>
      <c r="X252" s="415"/>
    </row>
    <row r="253" spans="4:24" ht="15" customHeight="1">
      <c r="D253" s="448"/>
      <c r="E253" s="1718" t="s">
        <v>84</v>
      </c>
      <c r="F253" s="1719"/>
      <c r="G253" s="1835" cm="1">
        <f t="array" ref="G253:N253">(_xlfn.ANCHORARRAY($F$436)*COSTOS_COSTOS_OPERACION_MANTENIMIENTO_RESIDUOS_SOLIDOS_RECICLADO_USD_TON*COSTOS_2019_US_dolares_MMCOP)*COSTOS_ALTO</f>
        <v>11.902765558571918</v>
      </c>
      <c r="H253" s="1835">
        <v>12.863017047609416</v>
      </c>
      <c r="I253" s="1835">
        <v>15.302674389156051</v>
      </c>
      <c r="J253" s="1835">
        <v>17.823842428459812</v>
      </c>
      <c r="K253" s="1835">
        <v>17.823842428459812</v>
      </c>
      <c r="L253" s="1835">
        <v>17.823842428459812</v>
      </c>
      <c r="M253" s="1835">
        <v>17.823842428459812</v>
      </c>
      <c r="N253" s="1835">
        <v>17.823842428459812</v>
      </c>
      <c r="O253" s="1729"/>
      <c r="T253" s="415"/>
      <c r="U253" s="415"/>
      <c r="V253" s="415"/>
      <c r="W253" s="415"/>
      <c r="X253" s="415"/>
    </row>
    <row r="254" spans="4:24" ht="15" customHeight="1">
      <c r="D254" s="448"/>
      <c r="E254" s="2684" t="s">
        <v>1714</v>
      </c>
      <c r="F254" s="2685"/>
      <c r="G254" s="2686">
        <f t="shared" ref="G254:N254" si="6">SUM(G244:G253)</f>
        <v>1199.8125787121171</v>
      </c>
      <c r="H254" s="2686">
        <f t="shared" si="6"/>
        <v>1302.5278322594429</v>
      </c>
      <c r="I254" s="2686">
        <f t="shared" si="6"/>
        <v>1567.4969079536509</v>
      </c>
      <c r="J254" s="2686">
        <f t="shared" si="6"/>
        <v>1847.1695227747668</v>
      </c>
      <c r="K254" s="2686">
        <f t="shared" si="6"/>
        <v>1869.1560761257795</v>
      </c>
      <c r="L254" s="2686">
        <f t="shared" si="6"/>
        <v>1891.7296593201906</v>
      </c>
      <c r="M254" s="2686">
        <f t="shared" si="6"/>
        <v>1914.9141005578756</v>
      </c>
      <c r="N254" s="2686">
        <f t="shared" si="6"/>
        <v>1938.7345353448659</v>
      </c>
      <c r="O254" s="1729"/>
      <c r="T254" s="415"/>
      <c r="U254" s="415"/>
      <c r="V254" s="415"/>
      <c r="W254" s="415"/>
      <c r="X254" s="415"/>
    </row>
    <row r="255" spans="4:24" ht="15" customHeight="1">
      <c r="D255" s="40"/>
      <c r="E255" s="19"/>
      <c r="F255" s="40"/>
      <c r="G255" s="40"/>
      <c r="H255" s="40"/>
      <c r="I255" s="40"/>
      <c r="J255" s="40"/>
      <c r="K255" s="40"/>
      <c r="L255" s="40"/>
      <c r="M255" s="40"/>
      <c r="N255" s="40"/>
      <c r="O255" s="40"/>
      <c r="T255" s="415"/>
      <c r="U255" s="415"/>
      <c r="V255" s="415"/>
      <c r="W255" s="415"/>
      <c r="X255" s="415"/>
    </row>
    <row r="256" spans="4:24" ht="15" customHeight="1">
      <c r="D256" s="40"/>
      <c r="E256" s="398" t="s">
        <v>1973</v>
      </c>
      <c r="F256" s="1808"/>
      <c r="G256" s="1808"/>
      <c r="H256" s="1808"/>
      <c r="I256" s="1808"/>
      <c r="J256" s="1808"/>
      <c r="K256" s="1808"/>
      <c r="L256" s="1808"/>
      <c r="M256" s="1808"/>
      <c r="N256" s="1808"/>
      <c r="O256" s="1729"/>
      <c r="T256" s="415"/>
      <c r="U256" s="415"/>
      <c r="V256" s="415"/>
      <c r="W256" s="415"/>
      <c r="X256" s="415"/>
    </row>
    <row r="257" spans="4:24" ht="15" customHeight="1">
      <c r="D257" s="40"/>
      <c r="E257" s="19"/>
      <c r="F257" s="40"/>
      <c r="G257" s="40"/>
      <c r="H257" s="40"/>
      <c r="I257" s="40"/>
      <c r="J257" s="40"/>
      <c r="K257" s="40"/>
      <c r="L257" s="40"/>
      <c r="M257" s="40"/>
      <c r="N257" s="40"/>
      <c r="O257" s="40"/>
      <c r="T257" s="415"/>
      <c r="U257" s="415"/>
      <c r="V257" s="415"/>
      <c r="W257" s="415"/>
      <c r="X257" s="415"/>
    </row>
    <row r="258" spans="4:24" ht="15" customHeight="1">
      <c r="D258" s="1727"/>
      <c r="E258" s="1809" t="s">
        <v>1974</v>
      </c>
      <c r="F258" s="1809"/>
      <c r="G258" s="1809"/>
      <c r="H258" s="1809"/>
      <c r="I258" s="1809"/>
      <c r="J258" s="1809"/>
      <c r="K258" s="1809"/>
      <c r="L258" s="1809"/>
      <c r="M258" s="1809"/>
      <c r="N258" s="1809"/>
      <c r="O258" s="1729"/>
      <c r="T258" s="415"/>
      <c r="U258" s="415"/>
      <c r="V258" s="415"/>
      <c r="W258" s="415"/>
      <c r="X258" s="415"/>
    </row>
    <row r="259" spans="4:24" ht="15" customHeight="1">
      <c r="D259" s="1727"/>
      <c r="E259" s="447"/>
      <c r="F259" s="447"/>
      <c r="G259" s="447"/>
      <c r="H259" s="447"/>
      <c r="I259" s="447"/>
      <c r="J259" s="447"/>
      <c r="K259" s="447"/>
      <c r="L259" s="447"/>
      <c r="M259" s="447"/>
      <c r="N259" s="448" t="s">
        <v>803</v>
      </c>
      <c r="O259" s="40"/>
      <c r="T259" s="415"/>
      <c r="U259" s="415"/>
      <c r="V259" s="415"/>
      <c r="W259" s="415"/>
      <c r="X259" s="415"/>
    </row>
    <row r="260" spans="4:24" ht="15" customHeight="1">
      <c r="D260" s="1728"/>
      <c r="E260" s="945" t="s">
        <v>869</v>
      </c>
      <c r="F260" s="1710"/>
      <c r="G260" s="1710">
        <v>2018</v>
      </c>
      <c r="H260" s="1710">
        <v>2020</v>
      </c>
      <c r="I260" s="1710">
        <v>2025</v>
      </c>
      <c r="J260" s="1710">
        <v>2030</v>
      </c>
      <c r="K260" s="1710">
        <v>2035</v>
      </c>
      <c r="L260" s="1710">
        <v>2040</v>
      </c>
      <c r="M260" s="1710">
        <v>2045</v>
      </c>
      <c r="N260" s="1710">
        <v>2050</v>
      </c>
      <c r="O260" s="1729"/>
      <c r="T260" s="415"/>
      <c r="U260" s="415"/>
      <c r="V260" s="415"/>
      <c r="W260" s="415"/>
      <c r="X260" s="415"/>
    </row>
    <row r="261" spans="4:24" ht="15" customHeight="1">
      <c r="D261" s="1728"/>
      <c r="E261" s="1711" t="s">
        <v>1926</v>
      </c>
      <c r="F261" s="1833"/>
      <c r="G261" s="1833"/>
      <c r="H261" s="1833"/>
      <c r="I261" s="1833"/>
      <c r="J261" s="1833"/>
      <c r="K261" s="1833"/>
      <c r="L261" s="1833"/>
      <c r="M261" s="1833"/>
      <c r="N261" s="1833"/>
      <c r="O261" s="40"/>
      <c r="T261" s="415"/>
      <c r="U261" s="415"/>
      <c r="V261" s="415"/>
      <c r="W261" s="415"/>
      <c r="X261" s="415"/>
    </row>
    <row r="262" spans="4:24" ht="15" customHeight="1">
      <c r="D262" s="1728"/>
      <c r="E262" s="1720" t="s">
        <v>1931</v>
      </c>
      <c r="F262" s="1834"/>
      <c r="G262" s="1834" cm="1">
        <f t="array" ref="G262:N262">(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MEDIO</f>
        <v>103.53399965204126</v>
      </c>
      <c r="H262" s="1834">
        <v>111.886569216035</v>
      </c>
      <c r="I262" s="1834">
        <v>133.10747633277518</v>
      </c>
      <c r="J262" s="1834">
        <v>155.03738914333474</v>
      </c>
      <c r="K262" s="1834">
        <v>155.03738914333474</v>
      </c>
      <c r="L262" s="1834">
        <v>155.03738914333474</v>
      </c>
      <c r="M262" s="1834">
        <v>155.03738914333474</v>
      </c>
      <c r="N262" s="1834">
        <v>155.03738914333474</v>
      </c>
      <c r="O262" s="1729"/>
      <c r="T262" s="415"/>
      <c r="U262" s="415"/>
      <c r="V262" s="415"/>
      <c r="W262" s="415"/>
      <c r="X262" s="415"/>
    </row>
    <row r="263" spans="4:24" ht="15" customHeight="1">
      <c r="D263" s="1728"/>
      <c r="E263" s="1720" t="s">
        <v>1932</v>
      </c>
      <c r="F263" s="933"/>
      <c r="G263" s="933">
        <f t="shared" ref="G263:N263" si="7">((F448*((COSTOS_CAPITAL_RESIDUOS_SOLIDOS_TRATAMIENTO_RESIDUOS_RELLENO_USD_TON+COSTOS_CAPITAL_RESIDUOS_SOLIDOS_QUEMA_BIOGAS_USD_M3)/COSTOS_VIDA_UTIL_RESIDUOS_SOLIDOS_QUEMA_BIOGAS)*COSTOS_2019_US_dolares_MMCOP)*COSTOS_MEDIO)/((($G$131*$G$142)+($G$132*$G$143)+($G$133*$G$144)+($G$134*$G$145)+($G$135*$G$146))+(($G$131*$G$151)+($G$132*$G$152)+($G$133*$G$153)+($G$134*$G$154)+($G$135*$G$155))+(($G$131*$G$160)+($G$132*$G$161)+($G$133*$G$162)+($G$134*$G$163)+($G$135*$G$164))+(($G$131*$G$169)+($G$132*$G$170)+($G$133*$G$171)+($G$134*$G$172)+($G$135*$G$173)))</f>
        <v>6.3196314291188029</v>
      </c>
      <c r="H263" s="933">
        <f t="shared" si="7"/>
        <v>6.8294655059236904</v>
      </c>
      <c r="I263" s="933">
        <f t="shared" si="7"/>
        <v>8.1247724777404411</v>
      </c>
      <c r="J263" s="933">
        <f t="shared" si="7"/>
        <v>9.4633565824907571</v>
      </c>
      <c r="K263" s="933">
        <f t="shared" si="7"/>
        <v>9.4633565824907571</v>
      </c>
      <c r="L263" s="933">
        <f t="shared" si="7"/>
        <v>9.4633565824907571</v>
      </c>
      <c r="M263" s="933">
        <f t="shared" si="7"/>
        <v>9.4633565824907571</v>
      </c>
      <c r="N263" s="933">
        <f t="shared" si="7"/>
        <v>9.4633565824907571</v>
      </c>
      <c r="O263" s="40"/>
      <c r="T263" s="415"/>
      <c r="U263" s="415"/>
      <c r="V263" s="415"/>
      <c r="W263" s="415"/>
      <c r="X263" s="415"/>
    </row>
    <row r="264" spans="4:24" ht="15" customHeight="1">
      <c r="D264" s="1728"/>
      <c r="E264" s="1721" t="s">
        <v>1933</v>
      </c>
      <c r="F264" s="929"/>
      <c r="G264" s="929">
        <f t="shared" ref="G264:N264" si="8">((F449)*((COSTOS_CAPITAL_RESIDUOS_SOLIDOS_APROVECHAMIENTO_BIOGAS/COSTOS_VIDA_UTIL_RESIDUOS_SOLIDOS_TRATAMIENTO_APROVECHAMIENTO_BIOGAS)*COSTOS_2019_US_dolares_MMCOP)*COSTOS_MEDIO)/((($G$131*$G$143)+($G$132*$G$142)+($G$133*$G$144)+($G$134*$G$145)+($G$135*$G$146))+(($G$131*$G$151)+($G$132*$G$152)+($G$133*$G$153)+($G$134*$G$154)+($G$135*$G$155))+(($G$131*$G$160)+($G$132*$G$161)+($G$133*$G$162)+($G$134*$G$163)+($G$135*$G$164))+(($G$131*$G$169)+($G$132*$G$170)+($G$133*$G$171)+($G$134*$G$172)+($G$135*$G$173)))</f>
        <v>79.259672935091388</v>
      </c>
      <c r="H264" s="929">
        <f t="shared" si="8"/>
        <v>85.6539195983583</v>
      </c>
      <c r="I264" s="929">
        <f t="shared" si="8"/>
        <v>101.89942506623886</v>
      </c>
      <c r="J264" s="929">
        <f t="shared" si="8"/>
        <v>118.68770449813223</v>
      </c>
      <c r="K264" s="929">
        <f t="shared" si="8"/>
        <v>118.68770449813223</v>
      </c>
      <c r="L264" s="929">
        <f t="shared" si="8"/>
        <v>118.68770449813223</v>
      </c>
      <c r="M264" s="929">
        <f t="shared" si="8"/>
        <v>118.68770449813223</v>
      </c>
      <c r="N264" s="929">
        <f t="shared" si="8"/>
        <v>118.68770449813223</v>
      </c>
      <c r="O264" s="1729"/>
      <c r="T264" s="415"/>
      <c r="U264" s="415"/>
      <c r="V264" s="415"/>
      <c r="W264" s="415"/>
      <c r="X264" s="415"/>
    </row>
    <row r="265" spans="4:24" ht="15" customHeight="1">
      <c r="D265" s="1727"/>
      <c r="E265" s="1713" t="s">
        <v>577</v>
      </c>
      <c r="F265" s="1714"/>
      <c r="G265" s="1714"/>
      <c r="H265" s="1714"/>
      <c r="I265" s="1714"/>
      <c r="J265" s="1714"/>
      <c r="K265" s="1714"/>
      <c r="L265" s="1714"/>
      <c r="M265" s="1714"/>
      <c r="N265" s="1714"/>
      <c r="O265" s="40"/>
      <c r="T265" s="415"/>
      <c r="U265" s="415"/>
      <c r="V265" s="415"/>
      <c r="W265" s="415"/>
      <c r="X265" s="415"/>
    </row>
    <row r="266" spans="4:24" ht="15" customHeight="1">
      <c r="D266" s="1727"/>
      <c r="E266" s="1715" t="s">
        <v>1927</v>
      </c>
      <c r="F266" s="452"/>
      <c r="G266" s="452"/>
      <c r="H266" s="452"/>
      <c r="I266" s="452"/>
      <c r="J266" s="452"/>
      <c r="K266" s="452"/>
      <c r="L266" s="452"/>
      <c r="M266" s="452"/>
      <c r="N266" s="452"/>
      <c r="O266" s="1729"/>
      <c r="T266" s="415"/>
      <c r="U266" s="415"/>
      <c r="V266" s="415"/>
      <c r="W266" s="415"/>
      <c r="X266" s="415"/>
    </row>
    <row r="267" spans="4:24" ht="15" customHeight="1">
      <c r="D267" s="1728"/>
      <c r="E267" s="30" t="s">
        <v>933</v>
      </c>
      <c r="F267" s="1716"/>
      <c r="G267" s="1830" cm="1">
        <f t="array" ref="G267:N267">(_xlfn.ANCHORARRAY($F$433)*COSTOS_CAPITAL_RESIDUOS_SOLIDOS_TMB_COMPOSTAJE_USD_TON/COSTOS_VIDA_UTIL_RESIDUOS_SOLIDOS_TMB_COMPOSTAJE*COSTOS_2019_US_dolares_MMCOP)*COSTOS_MEDIO</f>
        <v>0</v>
      </c>
      <c r="H267" s="1830">
        <v>0</v>
      </c>
      <c r="I267" s="1830">
        <v>0</v>
      </c>
      <c r="J267" s="1830">
        <v>0</v>
      </c>
      <c r="K267" s="1830">
        <v>0</v>
      </c>
      <c r="L267" s="1830">
        <v>0</v>
      </c>
      <c r="M267" s="1830">
        <v>0</v>
      </c>
      <c r="N267" s="1830">
        <v>0</v>
      </c>
      <c r="O267" s="40"/>
      <c r="T267" s="415"/>
      <c r="U267" s="415"/>
      <c r="V267" s="415"/>
      <c r="W267" s="415"/>
      <c r="X267" s="415"/>
    </row>
    <row r="268" spans="4:24" ht="15" customHeight="1">
      <c r="D268" s="1728"/>
      <c r="E268" s="30" t="s">
        <v>934</v>
      </c>
      <c r="F268" s="1716"/>
      <c r="G268" s="1830" cm="1">
        <f t="array" ref="G268:N268">(_xlfn.ANCHORARRAY($F$434)*COSTOS_CAPITAL_RESIDUOS_SOLIDOS_CDM_USD_TON/COSTOS_VIDA_UTIL_RESIDUOS_SOLIDOS_CDM*COSTOS_2019_US_dolares_MMCOP)*COSTOS_MEDIO</f>
        <v>0</v>
      </c>
      <c r="H268" s="1830">
        <v>0</v>
      </c>
      <c r="I268" s="1830">
        <v>0</v>
      </c>
      <c r="J268" s="1830">
        <v>0</v>
      </c>
      <c r="K268" s="1830">
        <v>0</v>
      </c>
      <c r="L268" s="1830">
        <v>0</v>
      </c>
      <c r="M268" s="1830">
        <v>0</v>
      </c>
      <c r="N268" s="1830">
        <v>0</v>
      </c>
      <c r="O268" s="1729"/>
      <c r="T268" s="415"/>
      <c r="U268" s="415"/>
      <c r="V268" s="415"/>
      <c r="W268" s="415"/>
      <c r="X268" s="415"/>
    </row>
    <row r="269" spans="4:24" ht="15" customHeight="1">
      <c r="D269" s="1727"/>
      <c r="E269" s="32" t="s">
        <v>935</v>
      </c>
      <c r="F269" s="1717"/>
      <c r="G269" s="1831" cm="1">
        <f t="array" ref="G269:N269">(_xlfn.ANCHORARRAY($F$435)*COSTOS_CAPITAL_RESIDUOS_SOLIDOS_INCINERACION_USD_TON/COSTOS_VIDA_UTIL_RESIDUOS_SOLIDOS_INCINERACION*COSTOS_2019_US_dolares_MMCOP)*COSTOS_MEDIO</f>
        <v>0</v>
      </c>
      <c r="H269" s="1831">
        <v>0</v>
      </c>
      <c r="I269" s="1831">
        <v>0</v>
      </c>
      <c r="J269" s="1831">
        <v>0</v>
      </c>
      <c r="K269" s="1831">
        <v>0</v>
      </c>
      <c r="L269" s="1831">
        <v>0</v>
      </c>
      <c r="M269" s="1831">
        <v>0</v>
      </c>
      <c r="N269" s="1831">
        <v>0</v>
      </c>
      <c r="O269" s="40"/>
      <c r="T269" s="415"/>
      <c r="U269" s="415"/>
      <c r="V269" s="415"/>
      <c r="W269" s="415"/>
      <c r="X269" s="415"/>
    </row>
    <row r="270" spans="4:24" ht="15" customHeight="1">
      <c r="D270" s="1727"/>
      <c r="E270" s="1718" t="s">
        <v>84</v>
      </c>
      <c r="F270" s="1835"/>
      <c r="G270" s="1835" cm="1">
        <f t="array" ref="G270:N270">(_xlfn.ANCHORARRAY($F$436)*COSTOS_CAPITAL_RESIDUOS_SOLIDOS_RECICLADO_USD_TON/COSTOS_VIDA_UTIL_RESIDUOS_SOLIDOS_RECICLADO*COSTOS_2019_US_dolares_MMCOP)*COSTOS_MEDIO</f>
        <v>1.0202370478775931</v>
      </c>
      <c r="H270" s="1835">
        <v>1.1025443183665216</v>
      </c>
      <c r="I270" s="1835">
        <v>1.3116578047848044</v>
      </c>
      <c r="J270" s="1835">
        <v>1.5277579224394129</v>
      </c>
      <c r="K270" s="1835">
        <v>1.5277579224394129</v>
      </c>
      <c r="L270" s="1835">
        <v>1.5277579224394129</v>
      </c>
      <c r="M270" s="1835">
        <v>1.5277579224394129</v>
      </c>
      <c r="N270" s="1835">
        <v>1.5277579224394129</v>
      </c>
      <c r="O270" s="1729"/>
      <c r="T270" s="415"/>
      <c r="U270" s="415"/>
      <c r="V270" s="415"/>
      <c r="W270" s="415"/>
      <c r="X270" s="415"/>
    </row>
    <row r="271" spans="4:24" ht="15" customHeight="1">
      <c r="D271" s="1727"/>
      <c r="E271" s="2684" t="s">
        <v>1714</v>
      </c>
      <c r="F271" s="2685"/>
      <c r="G271" s="2686">
        <f t="shared" ref="G271:N271" si="9">SUM(G261:G270)</f>
        <v>190.13354106412905</v>
      </c>
      <c r="H271" s="2686">
        <f t="shared" si="9"/>
        <v>205.4724986386835</v>
      </c>
      <c r="I271" s="2686">
        <f t="shared" si="9"/>
        <v>244.44333168153926</v>
      </c>
      <c r="J271" s="2686">
        <f t="shared" si="9"/>
        <v>284.71620814639715</v>
      </c>
      <c r="K271" s="2686">
        <f t="shared" si="9"/>
        <v>284.71620814639715</v>
      </c>
      <c r="L271" s="2686">
        <f t="shared" si="9"/>
        <v>284.71620814639715</v>
      </c>
      <c r="M271" s="2686">
        <f t="shared" si="9"/>
        <v>284.71620814639715</v>
      </c>
      <c r="N271" s="2686">
        <f t="shared" si="9"/>
        <v>284.71620814639715</v>
      </c>
      <c r="O271" s="1729"/>
    </row>
    <row r="272" spans="4:24" ht="15" customHeight="1">
      <c r="D272" s="40"/>
      <c r="E272" s="19"/>
      <c r="F272" s="40"/>
      <c r="G272" s="40"/>
      <c r="H272" s="40"/>
      <c r="I272" s="40"/>
      <c r="J272" s="40"/>
      <c r="K272" s="40"/>
      <c r="L272" s="40"/>
      <c r="M272" s="40"/>
      <c r="N272" s="40"/>
      <c r="O272" s="40"/>
    </row>
    <row r="273" spans="4:15" ht="15" customHeight="1">
      <c r="D273" s="1727"/>
      <c r="E273" s="1809" t="s">
        <v>1975</v>
      </c>
      <c r="F273" s="1832"/>
      <c r="G273" s="1832"/>
      <c r="H273" s="1832"/>
      <c r="I273" s="1832"/>
      <c r="J273" s="1832"/>
      <c r="K273" s="1832"/>
      <c r="L273" s="1832"/>
      <c r="M273" s="1832"/>
      <c r="N273" s="1832"/>
      <c r="O273" s="1729"/>
    </row>
    <row r="274" spans="4:15" ht="15" customHeight="1">
      <c r="D274" s="1727"/>
      <c r="E274" s="447"/>
      <c r="F274" s="447"/>
      <c r="G274" s="447"/>
      <c r="H274" s="447"/>
      <c r="I274" s="447"/>
      <c r="J274" s="447"/>
      <c r="K274" s="447"/>
      <c r="L274" s="447"/>
      <c r="M274" s="447"/>
      <c r="N274" s="448" t="s">
        <v>803</v>
      </c>
      <c r="O274" s="40"/>
    </row>
    <row r="275" spans="4:15" ht="15" customHeight="1">
      <c r="D275" s="1727"/>
      <c r="E275" s="945" t="s">
        <v>869</v>
      </c>
      <c r="F275" s="1710"/>
      <c r="G275" s="1710">
        <v>2018</v>
      </c>
      <c r="H275" s="1710">
        <v>2020</v>
      </c>
      <c r="I275" s="1710">
        <v>2025</v>
      </c>
      <c r="J275" s="1710">
        <v>2030</v>
      </c>
      <c r="K275" s="1710">
        <v>2035</v>
      </c>
      <c r="L275" s="1710">
        <v>2040</v>
      </c>
      <c r="M275" s="1710">
        <v>2045</v>
      </c>
      <c r="N275" s="1710">
        <v>2050</v>
      </c>
      <c r="O275" s="1729"/>
    </row>
    <row r="276" spans="4:15" ht="15" customHeight="1">
      <c r="D276" s="1727"/>
      <c r="E276" s="451" t="s">
        <v>1976</v>
      </c>
      <c r="F276" s="1840"/>
      <c r="G276" s="2794" cm="1">
        <f t="array" ref="G276:N276">INDEX(ST_RESIDUOS_SISTEMA_AUTORIZADO,0)*COSTOS_COSTOS_OPERACION_MANTENIMIENTO_RESIDUOS_SOLIDOS_DISPOSICION_Y_TRANSPORTE_USD_TON*COSTOS_2019_US_dolares_MMCOP*COSTOS_MEDIO</f>
        <v>19.629677153737877</v>
      </c>
      <c r="H276" s="2794">
        <v>21.213294559579122</v>
      </c>
      <c r="I276" s="2794">
        <v>25.236702879658019</v>
      </c>
      <c r="J276" s="2794">
        <v>29.394536151121105</v>
      </c>
      <c r="K276" s="2794">
        <v>29.394536151121105</v>
      </c>
      <c r="L276" s="2794">
        <v>29.394536151121105</v>
      </c>
      <c r="M276" s="2794">
        <v>29.394536151121105</v>
      </c>
      <c r="N276" s="2794">
        <v>29.394536151121105</v>
      </c>
      <c r="O276" s="40"/>
    </row>
    <row r="277" spans="4:15" ht="15" customHeight="1">
      <c r="D277" s="1727"/>
      <c r="E277" s="1711" t="s">
        <v>1926</v>
      </c>
      <c r="F277" s="1833"/>
      <c r="G277" s="1833"/>
      <c r="H277" s="1833"/>
      <c r="I277" s="1833"/>
      <c r="J277" s="1833"/>
      <c r="K277" s="1833"/>
      <c r="L277" s="1833"/>
      <c r="M277" s="1833"/>
      <c r="N277" s="1833"/>
      <c r="O277" s="1729"/>
    </row>
    <row r="278" spans="4:15" ht="15" customHeight="1">
      <c r="D278" s="1727"/>
      <c r="E278" s="1720" t="s">
        <v>1931</v>
      </c>
      <c r="F278" s="1834"/>
      <c r="G278" s="1834" cm="1">
        <f t="array" ref="G278:N278">(INDEX(ST_RESIDUOS_SISTEMA_AUTORIZADO,0)*INDEX(ST_TIPO_GESTION,RELLENO_SANITARIO_CONTROLADO,0)*INDEX(SF_RELLENO_SANITARIO_CAPTACION_APROVECHAMIENTO,SIN_CAPTACION,0)*(COSTOS_COSTOS_OPERACION_MANTENIMIENTO_RESIDUOS_SOLIDOS_TRATEMIENTO_RESIDUOS_EN_RELLENO_USD_TON)*COSTOS_2019_US_dolares_MMCOP)*COSTOS_MEDIO</f>
        <v>0.91109919693796293</v>
      </c>
      <c r="H278" s="1834">
        <v>0.98460180910110795</v>
      </c>
      <c r="I278" s="1834">
        <v>1.1713457917284216</v>
      </c>
      <c r="J278" s="1834">
        <v>1.3643290244613455</v>
      </c>
      <c r="K278" s="1834">
        <v>1.3643290244613455</v>
      </c>
      <c r="L278" s="1834">
        <v>1.3643290244613455</v>
      </c>
      <c r="M278" s="1834">
        <v>1.3643290244613455</v>
      </c>
      <c r="N278" s="1834">
        <v>1.3643290244613455</v>
      </c>
      <c r="O278" s="40"/>
    </row>
    <row r="279" spans="4:15" ht="15" customHeight="1">
      <c r="D279" s="1727"/>
      <c r="E279" s="1720" t="s">
        <v>1932</v>
      </c>
      <c r="F279" s="933"/>
      <c r="G279" s="933" cm="1">
        <f t="array" ref="G279:N279">(_xlfn.ANCHORARRAY(F504)*UNIDAD_MT_A_T/DENSIDAD_CH4_M3_A_KG*(COSTOS_COSTOS_OPERACION_MANTENIMIENTO_RESIDUOS_SOLIDOS_QUEMA_BIOGAS_USD_TON)*COSTOS_2019_US_dolares_MMCOP)*COSTOS_MEDIO</f>
        <v>11.59878314953739</v>
      </c>
      <c r="H279" s="933">
        <v>12.592377185483187</v>
      </c>
      <c r="I279" s="933">
        <v>15.15589992585976</v>
      </c>
      <c r="J279" s="933">
        <v>17.862253326919848</v>
      </c>
      <c r="K279" s="933">
        <v>18.077136634312929</v>
      </c>
      <c r="L279" s="933">
        <v>18.297757217225008</v>
      </c>
      <c r="M279" s="933">
        <v>18.524347958105494</v>
      </c>
      <c r="N279" s="933">
        <v>18.757154516225434</v>
      </c>
      <c r="O279" s="1729"/>
    </row>
    <row r="280" spans="4:15" ht="15" customHeight="1">
      <c r="D280" s="1727"/>
      <c r="E280" s="1721" t="s">
        <v>1933</v>
      </c>
      <c r="F280" s="1839"/>
      <c r="G280" s="1839" cm="1">
        <f t="array" ref="G280:N280">(_xlfn.ANCHORARRAY(F505)*UNIDAD_MT_A_T/DENSIDAD_CH4_M3_A_KG*(COSTOS_OPERACION_MANTENIMIENTO_RESIDUOS_SOLIDOS_APROVECHAMIENTO_BIOGAS_USD_TON)*COSTOS_2019_US_dolares_MMCOP)*COSTOS_MEDIO</f>
        <v>937.81796817636086</v>
      </c>
      <c r="H280" s="1839">
        <v>1018.1548731748825</v>
      </c>
      <c r="I280" s="1839">
        <v>1225.4281411340078</v>
      </c>
      <c r="J280" s="1839">
        <v>1444.2499619256646</v>
      </c>
      <c r="K280" s="1839">
        <v>1461.6243212990814</v>
      </c>
      <c r="L280" s="1839">
        <v>1479.4625672716984</v>
      </c>
      <c r="M280" s="1839">
        <v>1497.7835295209659</v>
      </c>
      <c r="N280" s="1839">
        <v>1516.6070707924382</v>
      </c>
      <c r="O280" s="40"/>
    </row>
    <row r="281" spans="4:15" ht="15" customHeight="1">
      <c r="D281" s="1727"/>
      <c r="E281" s="1713" t="s">
        <v>577</v>
      </c>
      <c r="F281" s="1714"/>
      <c r="G281" s="1714"/>
      <c r="H281" s="1714"/>
      <c r="I281" s="1714"/>
      <c r="J281" s="1714"/>
      <c r="K281" s="1714"/>
      <c r="L281" s="1714"/>
      <c r="M281" s="1714"/>
      <c r="N281" s="1714"/>
      <c r="O281" s="1729"/>
    </row>
    <row r="282" spans="4:15" ht="15" customHeight="1">
      <c r="D282" s="1727"/>
      <c r="E282" s="1715" t="s">
        <v>1927</v>
      </c>
      <c r="F282" s="452"/>
      <c r="G282" s="452"/>
      <c r="H282" s="452"/>
      <c r="I282" s="452"/>
      <c r="J282" s="452"/>
      <c r="K282" s="452"/>
      <c r="L282" s="452"/>
      <c r="M282" s="452"/>
      <c r="N282" s="452"/>
      <c r="O282" s="40"/>
    </row>
    <row r="283" spans="4:15" ht="15" customHeight="1">
      <c r="D283" s="1727"/>
      <c r="E283" s="30" t="s">
        <v>933</v>
      </c>
      <c r="F283" s="1830"/>
      <c r="G283" s="1830" cm="1">
        <f t="array" ref="G283:N283">(_xlfn.ANCHORARRAY($F$433)*COSTOS_COSTOS_OPERACION_MANTENIMIENTO_RESIDUOS_SOLIDOS_TMB_COMPOSTAJE_USD_TON*COSTOS_2019_US_dolares_MMCOP)*COSTOS_MEDIO</f>
        <v>0</v>
      </c>
      <c r="H283" s="1830">
        <v>0</v>
      </c>
      <c r="I283" s="1830">
        <v>0</v>
      </c>
      <c r="J283" s="1830">
        <v>0</v>
      </c>
      <c r="K283" s="1830">
        <v>0</v>
      </c>
      <c r="L283" s="1830">
        <v>0</v>
      </c>
      <c r="M283" s="1830">
        <v>0</v>
      </c>
      <c r="N283" s="1830">
        <v>0</v>
      </c>
      <c r="O283" s="1729"/>
    </row>
    <row r="284" spans="4:15" ht="15" customHeight="1">
      <c r="D284" s="1727"/>
      <c r="E284" s="30" t="s">
        <v>934</v>
      </c>
      <c r="F284" s="1830"/>
      <c r="G284" s="1830" cm="1">
        <f t="array" ref="G284:N284">(_xlfn.ANCHORARRAY($F$434)*COSTOS_COSTOS_OPERACION_MANTENIMIENTO_RESIDUOS_SOLIDOS_CDR_USD_TON*COSTOS_2019_US_dolares_MMCOP)*COSTOS_MEDIO</f>
        <v>0</v>
      </c>
      <c r="H284" s="1830">
        <v>0</v>
      </c>
      <c r="I284" s="1830">
        <v>0</v>
      </c>
      <c r="J284" s="1830">
        <v>0</v>
      </c>
      <c r="K284" s="1830">
        <v>0</v>
      </c>
      <c r="L284" s="1830">
        <v>0</v>
      </c>
      <c r="M284" s="1830">
        <v>0</v>
      </c>
      <c r="N284" s="1830">
        <v>0</v>
      </c>
      <c r="O284" s="40"/>
    </row>
    <row r="285" spans="4:15" ht="15" customHeight="1">
      <c r="D285" s="1727"/>
      <c r="E285" s="32" t="s">
        <v>935</v>
      </c>
      <c r="F285" s="1831"/>
      <c r="G285" s="1831" cm="1">
        <f t="array" ref="G285:N285">(_xlfn.ANCHORARRAY($F$435)*COSTOS_COSTOS_OPERACION_MANTENIMIENTO_RESIDUOS_SOLIDOS_INCINERACION_USD_TON*COSTOS_2019_US_dolares_MMCOP)*COSTOS_MEDIO</f>
        <v>0</v>
      </c>
      <c r="H285" s="1831">
        <v>0</v>
      </c>
      <c r="I285" s="1831">
        <v>0</v>
      </c>
      <c r="J285" s="1831">
        <v>0</v>
      </c>
      <c r="K285" s="1831">
        <v>0</v>
      </c>
      <c r="L285" s="1831">
        <v>0</v>
      </c>
      <c r="M285" s="1831">
        <v>0</v>
      </c>
      <c r="N285" s="1831">
        <v>0</v>
      </c>
      <c r="O285" s="1729"/>
    </row>
    <row r="286" spans="4:15" ht="15" customHeight="1">
      <c r="D286" s="1727"/>
      <c r="E286" s="1718" t="s">
        <v>84</v>
      </c>
      <c r="F286" s="1835"/>
      <c r="G286" s="1835" cm="1">
        <f t="array" ref="G286:N286">(_xlfn.ANCHORARRAY($F$436)*COSTOS_COSTOS_OPERACION_MANTENIMIENTO_RESIDUOS_SOLIDOS_RECICLADO_USD_TON*COSTOS_2019_US_dolares_MMCOP)*COSTOS_ALTO</f>
        <v>11.902765558571918</v>
      </c>
      <c r="H286" s="1835">
        <v>12.863017047609416</v>
      </c>
      <c r="I286" s="1835">
        <v>15.302674389156051</v>
      </c>
      <c r="J286" s="1835">
        <v>17.823842428459812</v>
      </c>
      <c r="K286" s="1835">
        <v>17.823842428459812</v>
      </c>
      <c r="L286" s="1835">
        <v>17.823842428459812</v>
      </c>
      <c r="M286" s="1835">
        <v>17.823842428459812</v>
      </c>
      <c r="N286" s="1835">
        <v>17.823842428459812</v>
      </c>
      <c r="O286" s="40"/>
    </row>
    <row r="287" spans="4:15" ht="15" customHeight="1">
      <c r="D287" s="1727"/>
      <c r="E287" s="2684" t="s">
        <v>1714</v>
      </c>
      <c r="F287" s="2685"/>
      <c r="G287" s="2686">
        <f t="shared" ref="G287:N287" si="10">SUM(G277:G286)</f>
        <v>962.23061608140813</v>
      </c>
      <c r="H287" s="2686">
        <f t="shared" si="10"/>
        <v>1044.5948692170762</v>
      </c>
      <c r="I287" s="2686">
        <f t="shared" si="10"/>
        <v>1257.0580612407518</v>
      </c>
      <c r="J287" s="2686">
        <f t="shared" si="10"/>
        <v>1481.3003867055056</v>
      </c>
      <c r="K287" s="2686">
        <f t="shared" si="10"/>
        <v>1498.8896293863154</v>
      </c>
      <c r="L287" s="2686">
        <f t="shared" si="10"/>
        <v>1516.9484959418446</v>
      </c>
      <c r="M287" s="2686">
        <f t="shared" si="10"/>
        <v>1535.4960489319926</v>
      </c>
      <c r="N287" s="2686">
        <f t="shared" si="10"/>
        <v>1554.5523967615848</v>
      </c>
      <c r="O287" s="40"/>
    </row>
    <row r="288" spans="4:15" ht="15" customHeight="1">
      <c r="D288" s="1727"/>
      <c r="E288" s="1730"/>
      <c r="F288" s="1841"/>
      <c r="G288" s="1841"/>
      <c r="H288" s="1842"/>
      <c r="I288" s="1842"/>
      <c r="J288" s="1842"/>
      <c r="K288" s="1842"/>
      <c r="L288" s="1842"/>
      <c r="M288" s="1842"/>
      <c r="N288" s="1842"/>
      <c r="O288" s="1729"/>
    </row>
    <row r="289" spans="1:16" ht="15" customHeight="1">
      <c r="D289" s="1727"/>
      <c r="E289" s="398" t="s">
        <v>1977</v>
      </c>
      <c r="F289" s="1808"/>
      <c r="G289" s="1808"/>
      <c r="H289" s="1808"/>
      <c r="I289" s="1808"/>
      <c r="J289" s="1808"/>
      <c r="K289" s="1808"/>
      <c r="L289" s="1808"/>
      <c r="M289" s="1808"/>
      <c r="N289" s="1808"/>
      <c r="O289" s="40"/>
    </row>
    <row r="290" spans="1:16" ht="15" customHeight="1">
      <c r="D290" s="1727"/>
      <c r="E290" s="40"/>
      <c r="F290" s="40"/>
      <c r="G290" s="40"/>
      <c r="H290" s="40"/>
      <c r="I290" s="40"/>
      <c r="J290" s="40"/>
      <c r="K290" s="40"/>
      <c r="L290" s="40"/>
      <c r="M290" s="40"/>
      <c r="N290" s="40"/>
      <c r="O290" s="1729"/>
    </row>
    <row r="291" spans="1:16" ht="15" customHeight="1">
      <c r="D291" s="1727"/>
      <c r="E291" s="1809" t="s">
        <v>1978</v>
      </c>
      <c r="F291" s="1832"/>
      <c r="G291" s="1832"/>
      <c r="H291" s="1832"/>
      <c r="I291" s="1832"/>
      <c r="J291" s="1832"/>
      <c r="K291" s="1832"/>
      <c r="L291" s="1832"/>
      <c r="M291" s="1832"/>
      <c r="N291" s="1832"/>
      <c r="O291" s="40"/>
    </row>
    <row r="292" spans="1:16" s="469" customFormat="1" ht="15" customHeight="1">
      <c r="A292" s="663"/>
      <c r="B292" s="667"/>
      <c r="C292" s="3"/>
      <c r="D292" s="1727"/>
      <c r="E292" s="447"/>
      <c r="F292" s="447"/>
      <c r="G292" s="447"/>
      <c r="H292" s="447"/>
      <c r="I292" s="447"/>
      <c r="J292" s="447"/>
      <c r="K292" s="447"/>
      <c r="L292" s="447"/>
      <c r="M292" s="447"/>
      <c r="N292" s="448" t="s">
        <v>803</v>
      </c>
      <c r="O292" s="1729"/>
      <c r="P292" s="3"/>
    </row>
    <row r="293" spans="1:16" s="469" customFormat="1" ht="15" customHeight="1">
      <c r="A293" s="663"/>
      <c r="B293" s="667"/>
      <c r="C293" s="3"/>
      <c r="D293" s="1727"/>
      <c r="E293" s="945" t="s">
        <v>869</v>
      </c>
      <c r="F293" s="1710"/>
      <c r="G293" s="1710">
        <v>2018</v>
      </c>
      <c r="H293" s="1710">
        <v>2020</v>
      </c>
      <c r="I293" s="1710">
        <v>2025</v>
      </c>
      <c r="J293" s="1710">
        <v>2030</v>
      </c>
      <c r="K293" s="1710">
        <v>2035</v>
      </c>
      <c r="L293" s="1710">
        <v>2040</v>
      </c>
      <c r="M293" s="1710">
        <v>2045</v>
      </c>
      <c r="N293" s="1710">
        <v>2050</v>
      </c>
      <c r="O293" s="40"/>
      <c r="P293" s="3"/>
    </row>
    <row r="294" spans="1:16" s="469" customFormat="1" ht="15" customHeight="1">
      <c r="A294" s="663"/>
      <c r="B294" s="667"/>
      <c r="C294" s="3"/>
      <c r="D294" s="1727"/>
      <c r="E294" s="1711" t="s">
        <v>1926</v>
      </c>
      <c r="F294" s="1833"/>
      <c r="G294" s="1833"/>
      <c r="H294" s="1833"/>
      <c r="I294" s="1833"/>
      <c r="J294" s="1833"/>
      <c r="K294" s="1833"/>
      <c r="L294" s="1833"/>
      <c r="M294" s="1833"/>
      <c r="N294" s="1833"/>
      <c r="O294" s="1729"/>
      <c r="P294" s="3"/>
    </row>
    <row r="295" spans="1:16" s="469" customFormat="1" ht="15" customHeight="1">
      <c r="A295" s="663"/>
      <c r="B295" s="667"/>
      <c r="C295" s="3"/>
      <c r="D295" s="1727"/>
      <c r="E295" s="1720" t="s">
        <v>1931</v>
      </c>
      <c r="F295" s="1834"/>
      <c r="G295" s="1834" cm="1">
        <f t="array" ref="G295:N295">(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BAJO</f>
        <v>90.592249695536097</v>
      </c>
      <c r="H295" s="1834">
        <v>97.900748064030608</v>
      </c>
      <c r="I295" s="1834">
        <v>116.46904179117827</v>
      </c>
      <c r="J295" s="1834">
        <v>135.65771550041785</v>
      </c>
      <c r="K295" s="1834">
        <v>135.65771550041785</v>
      </c>
      <c r="L295" s="1834">
        <v>135.65771550041785</v>
      </c>
      <c r="M295" s="1834">
        <v>135.65771550041785</v>
      </c>
      <c r="N295" s="1834">
        <v>135.65771550041785</v>
      </c>
      <c r="O295" s="40"/>
      <c r="P295" s="3"/>
    </row>
    <row r="296" spans="1:16" ht="15" customHeight="1">
      <c r="D296" s="1727"/>
      <c r="E296" s="1720" t="s">
        <v>1932</v>
      </c>
      <c r="F296" s="1838"/>
      <c r="G296" s="1838">
        <f t="shared" ref="G296:N296" si="11">((F448*((COSTOS_CAPITAL_RESIDUOS_SOLIDOS_TRATAMIENTO_RESIDUOS_RELLENO_USD_TON+COSTOS_CAPITAL_RESIDUOS_SOLIDOS_QUEMA_BIOGAS_USD_M3)/COSTOS_VIDA_UTIL_RESIDUOS_SOLIDOS_QUEMA_BIOGAS)*COSTOS_2019_US_dolares_MMCOP)*COSTOS_BAJO)/((($G$131*$G$142)+($G$132*$G$143)+($G$133*$G$144)+($G$134*$G$145)+($G$135*$G$146))+(($G$131*$G$151)+($G$132*$G$152)+($G$133*$G$153)+($G$134*$G$154)+($G$135*$G$155))+(($G$131*$G$160)+($G$132*$G$161)+($G$133*$G$162)+($G$134*$G$163)+($G$135*$G$164))+(($G$131*$G$169)+($G$132*$G$170)+($G$133*$G$171)+($G$134*$G$172)+($G$135*$G$173)))</f>
        <v>5.529677500478952</v>
      </c>
      <c r="H296" s="1838">
        <f t="shared" si="11"/>
        <v>5.9757823176832288</v>
      </c>
      <c r="I296" s="1838">
        <f t="shared" si="11"/>
        <v>7.1091759180228848</v>
      </c>
      <c r="J296" s="1838">
        <f t="shared" si="11"/>
        <v>8.2804370096794138</v>
      </c>
      <c r="K296" s="1838">
        <f t="shared" si="11"/>
        <v>8.2804370096794138</v>
      </c>
      <c r="L296" s="1838">
        <f t="shared" si="11"/>
        <v>8.2804370096794138</v>
      </c>
      <c r="M296" s="1838">
        <f t="shared" si="11"/>
        <v>8.2804370096794138</v>
      </c>
      <c r="N296" s="1838">
        <f t="shared" si="11"/>
        <v>8.2804370096794138</v>
      </c>
      <c r="O296" s="1729"/>
    </row>
    <row r="297" spans="1:16" ht="15" customHeight="1">
      <c r="D297" s="1727"/>
      <c r="E297" s="1721" t="s">
        <v>1933</v>
      </c>
      <c r="F297" s="1839"/>
      <c r="G297" s="1839">
        <f t="shared" ref="G297:N297" si="12">((F449)*((COSTOS_CAPITAL_RESIDUOS_SOLIDOS_APROVECHAMIENTO_BIOGAS/COSTOS_VIDA_UTIL_RESIDUOS_SOLIDOS_TRATAMIENTO_APROVECHAMIENTO_BIOGAS)*COSTOS_2019_US_dolares_MMCOP)*COSTOS_BAJO)/((($G$131*$G$143)+($G$132*$G$142)+($G$133*$G$144)+($G$134*$G$145)+($G$135*$G$146))+(($G$131*$G$151)+($G$132*$G$152)+($G$133*$G$153)+($G$134*$G$154)+($G$135*$G$155))+(($G$131*$G$160)+($G$132*$G$161)+($G$133*$G$162)+($G$134*$G$163)+($G$135*$G$164))+(($G$131*$G$169)+($G$132*$G$170)+($G$133*$G$171)+($G$134*$G$172)+($G$135*$G$173)))</f>
        <v>69.352213818204973</v>
      </c>
      <c r="H297" s="1839">
        <f t="shared" si="12"/>
        <v>74.947179648563505</v>
      </c>
      <c r="I297" s="1839">
        <f t="shared" si="12"/>
        <v>89.161996932958985</v>
      </c>
      <c r="J297" s="1839">
        <f t="shared" si="12"/>
        <v>103.8517414358657</v>
      </c>
      <c r="K297" s="1839">
        <f t="shared" si="12"/>
        <v>103.8517414358657</v>
      </c>
      <c r="L297" s="1839">
        <f t="shared" si="12"/>
        <v>103.8517414358657</v>
      </c>
      <c r="M297" s="1839">
        <f t="shared" si="12"/>
        <v>103.8517414358657</v>
      </c>
      <c r="N297" s="1839">
        <f t="shared" si="12"/>
        <v>103.8517414358657</v>
      </c>
      <c r="O297" s="40"/>
    </row>
    <row r="298" spans="1:16" ht="15" customHeight="1">
      <c r="D298" s="1727"/>
      <c r="E298" s="1713" t="s">
        <v>577</v>
      </c>
      <c r="F298" s="1714"/>
      <c r="G298" s="1714"/>
      <c r="H298" s="1714"/>
      <c r="I298" s="1714"/>
      <c r="J298" s="1714"/>
      <c r="K298" s="1714"/>
      <c r="L298" s="1714"/>
      <c r="M298" s="1714"/>
      <c r="N298" s="1714"/>
      <c r="O298" s="1729"/>
    </row>
    <row r="299" spans="1:16" ht="15" customHeight="1">
      <c r="D299" s="1727"/>
      <c r="E299" s="1715" t="s">
        <v>1927</v>
      </c>
      <c r="F299" s="452"/>
      <c r="G299" s="452"/>
      <c r="H299" s="452"/>
      <c r="I299" s="452"/>
      <c r="J299" s="452"/>
      <c r="K299" s="452"/>
      <c r="L299" s="452"/>
      <c r="M299" s="452"/>
      <c r="N299" s="452"/>
      <c r="O299" s="40"/>
    </row>
    <row r="300" spans="1:16" s="469" customFormat="1" ht="15" customHeight="1">
      <c r="A300" s="663"/>
      <c r="B300" s="667"/>
      <c r="D300" s="1727"/>
      <c r="E300" s="30" t="s">
        <v>933</v>
      </c>
      <c r="F300" s="1830"/>
      <c r="G300" s="1830" cm="1">
        <f t="array" ref="G300:N300">(_xlfn.ANCHORARRAY($F$433)*COSTOS_CAPITAL_RESIDUOS_SOLIDOS_TMB_COMPOSTAJE_USD_TON/COSTOS_VIDA_UTIL_RESIDUOS_SOLIDOS_TMB_COMPOSTAJE*COSTOS_2019_US_dolares_MMCOP)*COSTOS_BAJO</f>
        <v>0</v>
      </c>
      <c r="H300" s="1830">
        <v>0</v>
      </c>
      <c r="I300" s="1830">
        <v>0</v>
      </c>
      <c r="J300" s="1830">
        <v>0</v>
      </c>
      <c r="K300" s="1830">
        <v>0</v>
      </c>
      <c r="L300" s="1830">
        <v>0</v>
      </c>
      <c r="M300" s="1830">
        <v>0</v>
      </c>
      <c r="N300" s="1830">
        <v>0</v>
      </c>
      <c r="O300" s="1729"/>
      <c r="P300" s="3"/>
    </row>
    <row r="301" spans="1:16" s="469" customFormat="1" ht="15" customHeight="1">
      <c r="A301" s="663"/>
      <c r="B301" s="667"/>
      <c r="D301" s="1727"/>
      <c r="E301" s="30" t="s">
        <v>934</v>
      </c>
      <c r="F301" s="1830"/>
      <c r="G301" s="1830" cm="1">
        <f t="array" ref="G301:N301">(_xlfn.ANCHORARRAY($F$434)*COSTOS_CAPITAL_RESIDUOS_SOLIDOS_CDM_USD_TON/COSTOS_VIDA_UTIL_RESIDUOS_SOLIDOS_CDM*COSTOS_2019_US_dolares_MMCOP)*COSTOS_BAJO</f>
        <v>0</v>
      </c>
      <c r="H301" s="1830">
        <v>0</v>
      </c>
      <c r="I301" s="1830">
        <v>0</v>
      </c>
      <c r="J301" s="1830">
        <v>0</v>
      </c>
      <c r="K301" s="1830">
        <v>0</v>
      </c>
      <c r="L301" s="1830">
        <v>0</v>
      </c>
      <c r="M301" s="1830">
        <v>0</v>
      </c>
      <c r="N301" s="1830">
        <v>0</v>
      </c>
      <c r="O301" s="40"/>
      <c r="P301" s="3"/>
    </row>
    <row r="302" spans="1:16" s="469" customFormat="1" ht="15" customHeight="1">
      <c r="A302" s="663"/>
      <c r="B302" s="667"/>
      <c r="D302" s="1727"/>
      <c r="E302" s="32" t="s">
        <v>935</v>
      </c>
      <c r="F302" s="1831"/>
      <c r="G302" s="1831" cm="1">
        <f t="array" ref="G302:N302">(_xlfn.ANCHORARRAY($F$435)*COSTOS_CAPITAL_RESIDUOS_SOLIDOS_INCINERACION_USD_TON/COSTOS_VIDA_UTIL_RESIDUOS_SOLIDOS_INCINERACION*COSTOS_2019_US_dolares_MMCOP)*COSTOS_BAJO</f>
        <v>0</v>
      </c>
      <c r="H302" s="1831">
        <v>0</v>
      </c>
      <c r="I302" s="1831">
        <v>0</v>
      </c>
      <c r="J302" s="1831">
        <v>0</v>
      </c>
      <c r="K302" s="1831">
        <v>0</v>
      </c>
      <c r="L302" s="1831">
        <v>0</v>
      </c>
      <c r="M302" s="1831">
        <v>0</v>
      </c>
      <c r="N302" s="1831">
        <v>0</v>
      </c>
      <c r="O302" s="1729"/>
      <c r="P302" s="3"/>
    </row>
    <row r="303" spans="1:16" s="469" customFormat="1" ht="15" customHeight="1">
      <c r="A303" s="663"/>
      <c r="B303" s="667"/>
      <c r="D303" s="1727"/>
      <c r="E303" s="1718" t="s">
        <v>84</v>
      </c>
      <c r="F303" s="1835"/>
      <c r="G303" s="1835" cm="1">
        <f t="array" ref="G303:N303">(_xlfn.ANCHORARRAY($F$436)*COSTOS_CAPITAL_RESIDUOS_SOLIDOS_RECICLADO_USD_TON/COSTOS_VIDA_UTIL_RESIDUOS_SOLIDOS_RECICLADO*COSTOS_2019_US_dolares_MMCOP)*COSTOS_BAJO</f>
        <v>0.89270741689289379</v>
      </c>
      <c r="H303" s="1835">
        <v>0.96472627857070625</v>
      </c>
      <c r="I303" s="1835">
        <v>1.1477005791867037</v>
      </c>
      <c r="J303" s="1835">
        <v>1.336788182134486</v>
      </c>
      <c r="K303" s="1835">
        <v>1.336788182134486</v>
      </c>
      <c r="L303" s="1835">
        <v>1.336788182134486</v>
      </c>
      <c r="M303" s="1835">
        <v>1.336788182134486</v>
      </c>
      <c r="N303" s="1835">
        <v>1.336788182134486</v>
      </c>
      <c r="O303" s="40"/>
      <c r="P303" s="3"/>
    </row>
    <row r="304" spans="1:16" ht="15" customHeight="1">
      <c r="D304" s="1727"/>
      <c r="E304" s="2684" t="s">
        <v>1714</v>
      </c>
      <c r="F304" s="2685"/>
      <c r="G304" s="2686">
        <f t="shared" ref="G304:N304" si="13">SUM(G294:G303)</f>
        <v>166.36684843111294</v>
      </c>
      <c r="H304" s="2686">
        <f t="shared" si="13"/>
        <v>179.78843630884805</v>
      </c>
      <c r="I304" s="2686">
        <f t="shared" si="13"/>
        <v>213.88791522134684</v>
      </c>
      <c r="J304" s="2686">
        <f t="shared" si="13"/>
        <v>249.12668212809746</v>
      </c>
      <c r="K304" s="2686">
        <f t="shared" si="13"/>
        <v>249.12668212809746</v>
      </c>
      <c r="L304" s="2686">
        <f t="shared" si="13"/>
        <v>249.12668212809746</v>
      </c>
      <c r="M304" s="2686">
        <f t="shared" si="13"/>
        <v>249.12668212809746</v>
      </c>
      <c r="N304" s="2686">
        <f t="shared" si="13"/>
        <v>249.12668212809746</v>
      </c>
      <c r="O304" s="40"/>
    </row>
    <row r="305" spans="4:15" ht="15" customHeight="1">
      <c r="D305" s="1727"/>
      <c r="E305" s="451"/>
      <c r="F305" s="449"/>
      <c r="G305" s="449"/>
      <c r="H305" s="1843"/>
      <c r="I305" s="1843"/>
      <c r="J305" s="1843"/>
      <c r="K305" s="1843"/>
      <c r="L305" s="1843"/>
      <c r="M305" s="1843"/>
      <c r="N305" s="1843"/>
      <c r="O305" s="1729"/>
    </row>
    <row r="306" spans="4:15" ht="15" customHeight="1">
      <c r="D306" s="1727"/>
      <c r="E306" s="1809" t="s">
        <v>1979</v>
      </c>
      <c r="F306" s="1832"/>
      <c r="G306" s="1832"/>
      <c r="H306" s="1832"/>
      <c r="I306" s="1832"/>
      <c r="J306" s="1832"/>
      <c r="K306" s="1832"/>
      <c r="L306" s="1832"/>
      <c r="M306" s="1832"/>
      <c r="N306" s="1832"/>
      <c r="O306" s="40"/>
    </row>
    <row r="307" spans="4:15" ht="15" customHeight="1">
      <c r="D307" s="1727"/>
      <c r="E307" s="447"/>
      <c r="F307" s="447"/>
      <c r="G307" s="447"/>
      <c r="H307" s="447"/>
      <c r="I307" s="447"/>
      <c r="J307" s="447"/>
      <c r="K307" s="447"/>
      <c r="L307" s="447"/>
      <c r="M307" s="447"/>
      <c r="N307" s="448" t="s">
        <v>803</v>
      </c>
      <c r="O307" s="1729"/>
    </row>
    <row r="308" spans="4:15" ht="15" customHeight="1">
      <c r="D308" s="1727"/>
      <c r="E308" s="945" t="s">
        <v>869</v>
      </c>
      <c r="F308" s="1710"/>
      <c r="G308" s="1710">
        <v>2018</v>
      </c>
      <c r="H308" s="1710">
        <v>2020</v>
      </c>
      <c r="I308" s="1710">
        <v>2025</v>
      </c>
      <c r="J308" s="1710">
        <v>2030</v>
      </c>
      <c r="K308" s="1710">
        <v>2035</v>
      </c>
      <c r="L308" s="1710">
        <v>2040</v>
      </c>
      <c r="M308" s="1710">
        <v>2045</v>
      </c>
      <c r="N308" s="1710">
        <v>2050</v>
      </c>
      <c r="O308" s="40"/>
    </row>
    <row r="309" spans="4:15" ht="15" customHeight="1">
      <c r="D309" s="1727"/>
      <c r="E309" s="451" t="s">
        <v>1976</v>
      </c>
      <c r="F309" s="1840"/>
      <c r="G309" s="1840" cm="1">
        <f t="array" ref="G309:N309">INDEX(ST_RESIDUOS_SISTEMA_AUTORIZADO,0)*COSTOS_COSTOS_OPERACION_MANTENIMIENTO_RESIDUOS_SOLIDOS_DISPOSICION_Y_TRANSPORTE_USD_TON*COSTOS_2019_US_dolares_MMCOP*COSTOS_BAJO</f>
        <v>17.175967509520639</v>
      </c>
      <c r="H309" s="1840">
        <v>18.56163273963173</v>
      </c>
      <c r="I309" s="1840">
        <v>22.082115019700765</v>
      </c>
      <c r="J309" s="1840">
        <v>25.720219132230966</v>
      </c>
      <c r="K309" s="1840">
        <v>25.720219132230966</v>
      </c>
      <c r="L309" s="1840">
        <v>25.720219132230966</v>
      </c>
      <c r="M309" s="1840">
        <v>25.720219132230966</v>
      </c>
      <c r="N309" s="1840">
        <v>25.720219132230966</v>
      </c>
      <c r="O309" s="1729"/>
    </row>
    <row r="310" spans="4:15" ht="15" customHeight="1">
      <c r="D310" s="1727"/>
      <c r="E310" s="1711" t="s">
        <v>1926</v>
      </c>
      <c r="F310" s="1833"/>
      <c r="G310" s="1833"/>
      <c r="H310" s="1833"/>
      <c r="I310" s="1833"/>
      <c r="J310" s="1833"/>
      <c r="K310" s="1833"/>
      <c r="L310" s="1833"/>
      <c r="M310" s="1833"/>
      <c r="N310" s="1833"/>
      <c r="O310" s="40"/>
    </row>
    <row r="311" spans="4:15" ht="15" customHeight="1">
      <c r="D311" s="1727"/>
      <c r="E311" s="1720" t="s">
        <v>1931</v>
      </c>
      <c r="F311" s="1834"/>
      <c r="G311" s="1834" cm="1">
        <f t="array" ref="G311:N311">(INDEX(ST_RESIDUOS_SISTEMA_AUTORIZADO,0)*INDEX(ST_TIPO_GESTION,RELLENO_SANITARIO_CONTROLADO,0)*INDEX(SF_RELLENO_SANITARIO_CAPTACION_APROVECHAMIENTO,SIN_CAPTACION,0)*(COSTOS_COSTOS_OPERACION_MANTENIMIENTO_RESIDUOS_SOLIDOS_TRATEMIENTO_RESIDUOS_EN_RELLENO_USD_TON)*COSTOS_2019_US_dolares_MMCOP)*COSTOS_BAJO</f>
        <v>0.79721179732071756</v>
      </c>
      <c r="H311" s="1834">
        <v>0.86152658296346929</v>
      </c>
      <c r="I311" s="1834">
        <v>1.0249275677623688</v>
      </c>
      <c r="J311" s="1834">
        <v>1.1937878964036772</v>
      </c>
      <c r="K311" s="1834">
        <v>1.1937878964036772</v>
      </c>
      <c r="L311" s="1834">
        <v>1.1937878964036772</v>
      </c>
      <c r="M311" s="1834">
        <v>1.1937878964036772</v>
      </c>
      <c r="N311" s="1834">
        <v>1.1937878964036772</v>
      </c>
      <c r="O311" s="1729"/>
    </row>
    <row r="312" spans="4:15" ht="15" customHeight="1">
      <c r="D312" s="1727"/>
      <c r="E312" s="1720" t="s">
        <v>1932</v>
      </c>
      <c r="F312" s="1838"/>
      <c r="G312" s="1838" cm="1">
        <f t="array" ref="G312:N312">(_xlfn.ANCHORARRAY(F504)*UNIDAD_MT_A_T/DENSIDAD_CH4_M3_A_KG*(COSTOS_COSTOS_OPERACION_MANTENIMIENTO_RESIDUOS_SOLIDOS_QUEMA_BIOGAS_USD_TON)*COSTOS_2019_US_dolares_MMCOP)*COSTOS_BAJO</f>
        <v>10.148935255845213</v>
      </c>
      <c r="H312" s="1838">
        <v>11.018330037297789</v>
      </c>
      <c r="I312" s="1838">
        <v>13.261412435127289</v>
      </c>
      <c r="J312" s="1838">
        <v>15.629471661054865</v>
      </c>
      <c r="K312" s="1838">
        <v>15.81749455502381</v>
      </c>
      <c r="L312" s="1838">
        <v>16.010537565071878</v>
      </c>
      <c r="M312" s="1838">
        <v>16.208804463342307</v>
      </c>
      <c r="N312" s="1838">
        <v>16.412510201697252</v>
      </c>
      <c r="O312" s="40"/>
    </row>
    <row r="313" spans="4:15" ht="15" customHeight="1">
      <c r="D313" s="1727"/>
      <c r="E313" s="1721" t="s">
        <v>1933</v>
      </c>
      <c r="F313" s="1839"/>
      <c r="G313" s="1839" cm="1">
        <f t="array" ref="G313:N313">(_xlfn.ANCHORARRAY(F505)*UNIDAD_MT_A_T/DENSIDAD_CH4_M3_A_KG*(COSTOS_OPERACION_MANTENIMIENTO_RESIDUOS_SOLIDOS_APROVECHAMIENTO_BIOGAS_USD_TON)*COSTOS_2019_US_dolares_MMCOP)*COSTOS_BAJO</f>
        <v>820.59072215431559</v>
      </c>
      <c r="H313" s="1839">
        <v>890.88551402802204</v>
      </c>
      <c r="I313" s="1839">
        <v>1072.2496234922567</v>
      </c>
      <c r="J313" s="1839">
        <v>1263.7187166849565</v>
      </c>
      <c r="K313" s="1839">
        <v>1278.9212811366961</v>
      </c>
      <c r="L313" s="1839">
        <v>1294.529746362736</v>
      </c>
      <c r="M313" s="1839">
        <v>1310.5605883308449</v>
      </c>
      <c r="N313" s="1839">
        <v>1327.0311869433831</v>
      </c>
      <c r="O313" s="1729"/>
    </row>
    <row r="314" spans="4:15" ht="15" customHeight="1">
      <c r="D314" s="1727"/>
      <c r="E314" s="1713" t="s">
        <v>577</v>
      </c>
      <c r="F314" s="1714"/>
      <c r="G314" s="1714"/>
      <c r="H314" s="1714"/>
      <c r="I314" s="1714"/>
      <c r="J314" s="1714"/>
      <c r="K314" s="1714"/>
      <c r="L314" s="1714"/>
      <c r="M314" s="1714"/>
      <c r="N314" s="1714"/>
      <c r="O314" s="40"/>
    </row>
    <row r="315" spans="4:15" ht="15" customHeight="1">
      <c r="D315" s="1727"/>
      <c r="E315" s="1715" t="s">
        <v>1927</v>
      </c>
      <c r="F315" s="452"/>
      <c r="G315" s="452"/>
      <c r="H315" s="452"/>
      <c r="I315" s="452"/>
      <c r="J315" s="452"/>
      <c r="K315" s="452"/>
      <c r="L315" s="452"/>
      <c r="M315" s="452"/>
      <c r="N315" s="452"/>
      <c r="O315" s="1729"/>
    </row>
    <row r="316" spans="4:15" ht="15" customHeight="1">
      <c r="D316" s="1727"/>
      <c r="E316" s="30" t="s">
        <v>933</v>
      </c>
      <c r="F316" s="1830"/>
      <c r="G316" s="1830" cm="1">
        <f t="array" ref="G316:N316">(_xlfn.ANCHORARRAY($F$433)*COSTOS_COSTOS_OPERACION_MANTENIMIENTO_RESIDUOS_SOLIDOS_TMB_COMPOSTAJE_USD_TON*COSTOS_2019_US_dolares_MMCOP)*COSTOS_BAJO</f>
        <v>0</v>
      </c>
      <c r="H316" s="1830">
        <v>0</v>
      </c>
      <c r="I316" s="1830">
        <v>0</v>
      </c>
      <c r="J316" s="1830">
        <v>0</v>
      </c>
      <c r="K316" s="1830">
        <v>0</v>
      </c>
      <c r="L316" s="1830">
        <v>0</v>
      </c>
      <c r="M316" s="1830">
        <v>0</v>
      </c>
      <c r="N316" s="1830">
        <v>0</v>
      </c>
      <c r="O316" s="40"/>
    </row>
    <row r="317" spans="4:15" ht="15" customHeight="1">
      <c r="D317" s="1727"/>
      <c r="E317" s="30" t="s">
        <v>934</v>
      </c>
      <c r="F317" s="1830"/>
      <c r="G317" s="1830" cm="1">
        <f t="array" ref="G317:N317">(_xlfn.ANCHORARRAY($F$434)*COSTOS_COSTOS_OPERACION_MANTENIMIENTO_RESIDUOS_SOLIDOS_CDR_USD_TON*COSTOS_2019_US_dolares_MMCOP)*COSTOS_BAJO</f>
        <v>0</v>
      </c>
      <c r="H317" s="1830">
        <v>0</v>
      </c>
      <c r="I317" s="1830">
        <v>0</v>
      </c>
      <c r="J317" s="1830">
        <v>0</v>
      </c>
      <c r="K317" s="1830">
        <v>0</v>
      </c>
      <c r="L317" s="1830">
        <v>0</v>
      </c>
      <c r="M317" s="1830">
        <v>0</v>
      </c>
      <c r="N317" s="1830">
        <v>0</v>
      </c>
      <c r="O317" s="1729"/>
    </row>
    <row r="318" spans="4:15" ht="15" customHeight="1">
      <c r="D318" s="1727"/>
      <c r="E318" s="32" t="s">
        <v>935</v>
      </c>
      <c r="F318" s="1831"/>
      <c r="G318" s="1831" cm="1">
        <f t="array" ref="G318:N318">(_xlfn.ANCHORARRAY($F$435)*COSTOS_COSTOS_OPERACION_MANTENIMIENTO_RESIDUOS_SOLIDOS_INCINERACION_USD_TON*COSTOS_2019_US_dolares_MMCOP)*COSTOS_BAJO</f>
        <v>0</v>
      </c>
      <c r="H318" s="1831">
        <v>0</v>
      </c>
      <c r="I318" s="1831">
        <v>0</v>
      </c>
      <c r="J318" s="1831">
        <v>0</v>
      </c>
      <c r="K318" s="1831">
        <v>0</v>
      </c>
      <c r="L318" s="1831">
        <v>0</v>
      </c>
      <c r="M318" s="1831">
        <v>0</v>
      </c>
      <c r="N318" s="1831">
        <v>0</v>
      </c>
      <c r="O318" s="40"/>
    </row>
    <row r="319" spans="4:15" ht="15" customHeight="1">
      <c r="D319" s="1727"/>
      <c r="E319" s="1718" t="s">
        <v>84</v>
      </c>
      <c r="F319" s="1835"/>
      <c r="G319" s="1835" cm="1">
        <f t="array" ref="G319:N319">(_xlfn.ANCHORARRAY($F$436)*COSTOS_COSTOS_OPERACION_MANTENIMIENTO_RESIDUOS_SOLIDOS_RECICLADO_USD_TON*COSTOS_2019_US_dolares_MMCOP)*COSTOS_BAJO</f>
        <v>8.3319358910003416</v>
      </c>
      <c r="H319" s="1835">
        <v>9.0041119333265911</v>
      </c>
      <c r="I319" s="1835">
        <v>10.711872072409236</v>
      </c>
      <c r="J319" s="1835">
        <v>12.476689699921868</v>
      </c>
      <c r="K319" s="1835">
        <v>12.476689699921868</v>
      </c>
      <c r="L319" s="1835">
        <v>12.476689699921868</v>
      </c>
      <c r="M319" s="1835">
        <v>12.476689699921868</v>
      </c>
      <c r="N319" s="1835">
        <v>12.476689699921868</v>
      </c>
      <c r="O319" s="1729"/>
    </row>
    <row r="320" spans="4:15" ht="15" customHeight="1">
      <c r="D320" s="1727"/>
      <c r="E320" s="2684" t="s">
        <v>1714</v>
      </c>
      <c r="F320" s="2685"/>
      <c r="G320" s="2686">
        <f t="shared" ref="G320:N320" si="14">SUM(G310:G319)</f>
        <v>839.86880509848174</v>
      </c>
      <c r="H320" s="2686">
        <f t="shared" si="14"/>
        <v>911.76948258160996</v>
      </c>
      <c r="I320" s="2686">
        <f t="shared" si="14"/>
        <v>1097.2478355675555</v>
      </c>
      <c r="J320" s="2686">
        <f t="shared" si="14"/>
        <v>1293.0186659423371</v>
      </c>
      <c r="K320" s="2686">
        <f t="shared" si="14"/>
        <v>1308.4092532880454</v>
      </c>
      <c r="L320" s="2686">
        <f t="shared" si="14"/>
        <v>1324.2107615241334</v>
      </c>
      <c r="M320" s="2686">
        <f t="shared" si="14"/>
        <v>1340.4398703905129</v>
      </c>
      <c r="N320" s="2686">
        <f t="shared" si="14"/>
        <v>1357.114174741406</v>
      </c>
      <c r="O320" s="1729"/>
    </row>
    <row r="321" spans="4:15" ht="15" customHeight="1">
      <c r="D321" s="1727"/>
      <c r="E321" s="19"/>
      <c r="F321" s="40"/>
      <c r="G321" s="40"/>
      <c r="H321" s="40"/>
      <c r="I321" s="40"/>
      <c r="J321" s="40"/>
      <c r="K321" s="40"/>
      <c r="L321" s="40"/>
      <c r="M321" s="40"/>
      <c r="N321" s="1729"/>
      <c r="O321" s="40"/>
    </row>
    <row r="322" spans="4:15" ht="15" customHeight="1">
      <c r="D322" s="453"/>
      <c r="E322" s="454"/>
      <c r="F322" s="415"/>
      <c r="G322" s="415"/>
      <c r="H322" s="455"/>
      <c r="I322" s="456"/>
      <c r="J322" s="456"/>
      <c r="K322" s="456"/>
      <c r="L322" s="456"/>
      <c r="M322" s="457"/>
      <c r="N322" s="458"/>
      <c r="O322" s="458"/>
    </row>
    <row r="323" spans="4:15" ht="15" customHeight="1">
      <c r="D323" s="48" t="s">
        <v>52</v>
      </c>
      <c r="E323" s="49"/>
      <c r="F323" s="49"/>
      <c r="G323" s="49"/>
      <c r="H323" s="49"/>
      <c r="I323" s="49"/>
      <c r="J323" s="49"/>
      <c r="K323" s="49"/>
      <c r="L323" s="49"/>
      <c r="M323" s="49"/>
      <c r="N323" s="49"/>
      <c r="O323" s="49"/>
    </row>
    <row r="324" spans="4:15" ht="15" customHeight="1">
      <c r="D324" s="50"/>
      <c r="E324" s="50"/>
      <c r="F324" s="50"/>
      <c r="G324" s="50"/>
      <c r="H324" s="50"/>
      <c r="I324" s="50"/>
      <c r="J324" s="50"/>
      <c r="K324" s="50"/>
      <c r="L324" s="50"/>
      <c r="M324" s="50"/>
      <c r="N324" s="50"/>
      <c r="O324" s="50"/>
    </row>
    <row r="325" spans="4:15" ht="15" customHeight="1">
      <c r="D325" s="50"/>
      <c r="E325" s="48" t="s">
        <v>1896</v>
      </c>
      <c r="F325" s="48"/>
      <c r="G325" s="48"/>
      <c r="H325" s="48"/>
      <c r="I325" s="48"/>
      <c r="J325" s="48"/>
      <c r="K325" s="48"/>
      <c r="L325" s="48"/>
      <c r="M325" s="48"/>
      <c r="N325" s="48"/>
      <c r="O325" s="52"/>
    </row>
    <row r="326" spans="4:15" ht="15" customHeight="1">
      <c r="D326" s="50"/>
      <c r="E326" s="52"/>
      <c r="F326" s="52"/>
      <c r="G326" s="50"/>
      <c r="H326" s="50"/>
      <c r="I326" s="52"/>
      <c r="J326" s="52"/>
      <c r="K326" s="50"/>
      <c r="L326" s="52"/>
      <c r="M326" s="52"/>
      <c r="N326" s="50"/>
      <c r="O326" s="50"/>
    </row>
    <row r="327" spans="4:15" ht="15" customHeight="1">
      <c r="D327" s="50"/>
      <c r="E327" s="50"/>
      <c r="F327" s="50"/>
      <c r="G327" s="50"/>
      <c r="H327" s="50"/>
      <c r="I327" s="50"/>
      <c r="J327" s="50"/>
      <c r="K327" s="50"/>
      <c r="L327" s="50"/>
      <c r="M327" s="50"/>
      <c r="N327" s="52" t="s">
        <v>9</v>
      </c>
      <c r="O327" s="52"/>
    </row>
    <row r="328" spans="4:15" ht="15" customHeight="1">
      <c r="D328" s="50"/>
      <c r="E328" s="459" t="s">
        <v>699</v>
      </c>
      <c r="F328" s="460"/>
      <c r="G328" s="459">
        <v>2018</v>
      </c>
      <c r="H328" s="459" t="s">
        <v>322</v>
      </c>
      <c r="I328" s="459" t="s">
        <v>323</v>
      </c>
      <c r="J328" s="459" t="s">
        <v>324</v>
      </c>
      <c r="K328" s="459" t="s">
        <v>325</v>
      </c>
      <c r="L328" s="459" t="s">
        <v>326</v>
      </c>
      <c r="M328" s="459" t="s">
        <v>327</v>
      </c>
      <c r="N328" s="459" t="s">
        <v>328</v>
      </c>
      <c r="O328" s="461"/>
    </row>
    <row r="329" spans="4:15" ht="15" customHeight="1">
      <c r="D329" s="50"/>
      <c r="E329" s="462" t="s">
        <v>1980</v>
      </c>
      <c r="F329" s="463"/>
      <c r="G329" s="1608"/>
      <c r="H329" s="1608"/>
      <c r="I329" s="1608"/>
      <c r="J329" s="1608"/>
      <c r="K329" s="1608"/>
      <c r="L329" s="1608"/>
      <c r="M329" s="1608"/>
      <c r="N329" s="1608"/>
      <c r="O329" s="124"/>
    </row>
    <row r="330" spans="4:15" ht="15" customHeight="1">
      <c r="D330" s="50"/>
      <c r="E330" s="50" t="s">
        <v>1926</v>
      </c>
      <c r="F330" s="50"/>
      <c r="G330" s="1609" cm="1">
        <f t="array" ref="G330:N330">_xlfn.ANCHORARRAY(F547)</f>
        <v>0</v>
      </c>
      <c r="H330" s="1609">
        <v>0</v>
      </c>
      <c r="I330" s="1609">
        <v>0</v>
      </c>
      <c r="J330" s="1609">
        <v>0</v>
      </c>
      <c r="K330" s="1609">
        <v>0</v>
      </c>
      <c r="L330" s="1609">
        <v>0</v>
      </c>
      <c r="M330" s="1609">
        <v>0</v>
      </c>
      <c r="N330" s="1609">
        <v>0</v>
      </c>
      <c r="O330" s="124"/>
    </row>
    <row r="331" spans="4:15" ht="15" customHeight="1">
      <c r="D331" s="50"/>
      <c r="E331" s="50" t="s">
        <v>577</v>
      </c>
      <c r="F331" s="50"/>
      <c r="G331" s="1609" cm="1">
        <f t="array" ref="G331:N331">_xlfn.ANCHORARRAY(F548)</f>
        <v>0</v>
      </c>
      <c r="H331" s="1609">
        <v>0</v>
      </c>
      <c r="I331" s="1609">
        <v>0</v>
      </c>
      <c r="J331" s="1609">
        <v>0</v>
      </c>
      <c r="K331" s="1609">
        <v>0</v>
      </c>
      <c r="L331" s="1609">
        <v>0</v>
      </c>
      <c r="M331" s="1609">
        <v>0</v>
      </c>
      <c r="N331" s="1609">
        <v>0</v>
      </c>
      <c r="O331" s="124"/>
    </row>
    <row r="332" spans="4:15" ht="15" customHeight="1">
      <c r="D332" s="50"/>
      <c r="E332" s="1117" t="s">
        <v>1927</v>
      </c>
      <c r="F332" s="1117"/>
      <c r="G332" s="1610"/>
      <c r="H332" s="1610"/>
      <c r="I332" s="1610"/>
      <c r="J332" s="1610"/>
      <c r="K332" s="1610"/>
      <c r="L332" s="1610"/>
      <c r="M332" s="1610"/>
      <c r="N332" s="1610"/>
      <c r="O332" s="124"/>
    </row>
    <row r="333" spans="4:15" ht="15" customHeight="1">
      <c r="D333" s="465"/>
      <c r="E333" s="465" t="s">
        <v>933</v>
      </c>
      <c r="F333" s="465"/>
      <c r="G333" s="1612" cm="1">
        <f t="array" ref="G333:N333">_xlfn.ANCHORARRAY(F550)</f>
        <v>0</v>
      </c>
      <c r="H333" s="1612">
        <v>0</v>
      </c>
      <c r="I333" s="1612">
        <v>0</v>
      </c>
      <c r="J333" s="1612">
        <v>0</v>
      </c>
      <c r="K333" s="1612">
        <v>0</v>
      </c>
      <c r="L333" s="1612">
        <v>0</v>
      </c>
      <c r="M333" s="1612">
        <v>0</v>
      </c>
      <c r="N333" s="1612">
        <v>0</v>
      </c>
      <c r="O333" s="468"/>
    </row>
    <row r="334" spans="4:15" ht="15" customHeight="1">
      <c r="D334" s="465"/>
      <c r="E334" s="465" t="s">
        <v>934</v>
      </c>
      <c r="F334" s="465"/>
      <c r="G334" s="1612" cm="1">
        <f t="array" ref="G334:N334">_xlfn.ANCHORARRAY(F551)</f>
        <v>0</v>
      </c>
      <c r="H334" s="1612">
        <v>0</v>
      </c>
      <c r="I334" s="1612">
        <v>0</v>
      </c>
      <c r="J334" s="1612">
        <v>0</v>
      </c>
      <c r="K334" s="1612">
        <v>0</v>
      </c>
      <c r="L334" s="1612">
        <v>0</v>
      </c>
      <c r="M334" s="1612">
        <v>0</v>
      </c>
      <c r="N334" s="1612">
        <v>0</v>
      </c>
      <c r="O334" s="468"/>
    </row>
    <row r="335" spans="4:15" ht="15" customHeight="1">
      <c r="D335" s="465"/>
      <c r="E335" s="465" t="s">
        <v>935</v>
      </c>
      <c r="F335" s="465"/>
      <c r="G335" s="1612" cm="1">
        <f t="array" ref="G335:N335">_xlfn.ANCHORARRAY(F552)</f>
        <v>0</v>
      </c>
      <c r="H335" s="1612">
        <v>0</v>
      </c>
      <c r="I335" s="1612">
        <v>0</v>
      </c>
      <c r="J335" s="1612">
        <v>0</v>
      </c>
      <c r="K335" s="1612">
        <v>0</v>
      </c>
      <c r="L335" s="1612">
        <v>0</v>
      </c>
      <c r="M335" s="1612">
        <v>0</v>
      </c>
      <c r="N335" s="1612">
        <v>0</v>
      </c>
      <c r="O335" s="468"/>
    </row>
    <row r="336" spans="4:15" ht="15" customHeight="1">
      <c r="D336" s="465"/>
      <c r="E336" s="471" t="s">
        <v>1928</v>
      </c>
      <c r="F336" s="471"/>
      <c r="G336" s="1613" cm="1">
        <f t="array" ref="G336:N336">_xlfn.ANCHORARRAY(F553)</f>
        <v>0</v>
      </c>
      <c r="H336" s="1613">
        <v>0</v>
      </c>
      <c r="I336" s="1613">
        <v>0</v>
      </c>
      <c r="J336" s="1613">
        <v>0</v>
      </c>
      <c r="K336" s="1613">
        <v>0</v>
      </c>
      <c r="L336" s="1613">
        <v>0</v>
      </c>
      <c r="M336" s="1613">
        <v>0</v>
      </c>
      <c r="N336" s="1613">
        <v>0</v>
      </c>
      <c r="O336" s="468"/>
    </row>
    <row r="337" spans="4:15" ht="15" customHeight="1">
      <c r="D337" s="465"/>
      <c r="E337" s="473" t="s">
        <v>1981</v>
      </c>
      <c r="F337" s="473"/>
      <c r="G337" s="1611">
        <f>SUM(G330:G336)</f>
        <v>0</v>
      </c>
      <c r="H337" s="1611">
        <f t="shared" ref="H337:N337" si="15">SUM(H330:H336)</f>
        <v>0</v>
      </c>
      <c r="I337" s="1611">
        <f t="shared" si="15"/>
        <v>0</v>
      </c>
      <c r="J337" s="1611">
        <f t="shared" si="15"/>
        <v>0</v>
      </c>
      <c r="K337" s="1611">
        <f t="shared" si="15"/>
        <v>0</v>
      </c>
      <c r="L337" s="1611">
        <f t="shared" si="15"/>
        <v>0</v>
      </c>
      <c r="M337" s="1611">
        <f t="shared" si="15"/>
        <v>0</v>
      </c>
      <c r="N337" s="1611">
        <f t="shared" si="15"/>
        <v>0</v>
      </c>
      <c r="O337" s="468"/>
    </row>
    <row r="338" spans="4:15" ht="15" customHeight="1">
      <c r="D338" s="50"/>
      <c r="E338" s="51" t="s">
        <v>1982</v>
      </c>
      <c r="F338" s="50"/>
      <c r="G338" s="124"/>
      <c r="H338" s="124"/>
      <c r="I338" s="124"/>
      <c r="J338" s="124"/>
      <c r="K338" s="124"/>
      <c r="L338" s="124"/>
      <c r="M338" s="124"/>
      <c r="N338" s="124"/>
      <c r="O338" s="124"/>
    </row>
    <row r="339" spans="4:15" ht="15" customHeight="1">
      <c r="D339" s="50"/>
      <c r="E339" s="50" t="s">
        <v>1926</v>
      </c>
      <c r="F339" s="50"/>
      <c r="G339" s="3413" cm="1">
        <f t="array" ref="G339:N339">_xlfn.ANCHORARRAY(F541)</f>
        <v>8.2983241269553848E-12</v>
      </c>
      <c r="H339" s="124">
        <v>9.009188814620217E-12</v>
      </c>
      <c r="I339" s="124">
        <v>1.0843255572503704E-11</v>
      </c>
      <c r="J339" s="124">
        <v>1.2779510215300475E-11</v>
      </c>
      <c r="K339" s="124">
        <v>1.2933248009276829E-11</v>
      </c>
      <c r="L339" s="124">
        <v>1.309109052451993E-11</v>
      </c>
      <c r="M339" s="124">
        <v>1.3253204376270684E-11</v>
      </c>
      <c r="N339" s="124">
        <v>1.341976532091919E-11</v>
      </c>
      <c r="O339" s="124"/>
    </row>
    <row r="340" spans="4:15" ht="15" customHeight="1">
      <c r="D340" s="50"/>
      <c r="E340" s="50" t="s">
        <v>577</v>
      </c>
      <c r="F340" s="50"/>
      <c r="G340" s="124"/>
      <c r="H340" s="124"/>
      <c r="I340" s="124"/>
      <c r="J340" s="124"/>
      <c r="K340" s="124"/>
      <c r="L340" s="124"/>
      <c r="M340" s="124"/>
      <c r="N340" s="124"/>
      <c r="O340" s="124"/>
    </row>
    <row r="341" spans="4:15" ht="15" customHeight="1">
      <c r="D341" s="50"/>
      <c r="E341" s="50" t="s">
        <v>1927</v>
      </c>
      <c r="F341" s="50"/>
      <c r="G341" s="124"/>
      <c r="H341" s="124"/>
      <c r="I341" s="124"/>
      <c r="J341" s="124"/>
      <c r="K341" s="124"/>
      <c r="L341" s="124"/>
      <c r="M341" s="124"/>
      <c r="N341" s="124"/>
      <c r="O341" s="124"/>
    </row>
    <row r="342" spans="4:15" ht="15" customHeight="1">
      <c r="D342" s="465"/>
      <c r="E342" s="466" t="s">
        <v>933</v>
      </c>
      <c r="F342" s="466"/>
      <c r="G342" s="467">
        <v>0</v>
      </c>
      <c r="H342" s="467">
        <v>0</v>
      </c>
      <c r="I342" s="467">
        <v>0</v>
      </c>
      <c r="J342" s="467">
        <v>0</v>
      </c>
      <c r="K342" s="467">
        <v>0</v>
      </c>
      <c r="L342" s="467">
        <v>0</v>
      </c>
      <c r="M342" s="467">
        <v>0</v>
      </c>
      <c r="N342" s="467">
        <v>0</v>
      </c>
      <c r="O342" s="468"/>
    </row>
    <row r="343" spans="4:15" ht="15" customHeight="1">
      <c r="D343" s="465"/>
      <c r="E343" s="465" t="s">
        <v>935</v>
      </c>
      <c r="F343" s="465"/>
      <c r="G343" s="470" cm="1">
        <f t="array" ref="G343:N343">_xlfn.ANCHORARRAY(F542)</f>
        <v>0</v>
      </c>
      <c r="H343" s="470">
        <v>0</v>
      </c>
      <c r="I343" s="470">
        <v>0</v>
      </c>
      <c r="J343" s="470">
        <v>0</v>
      </c>
      <c r="K343" s="470">
        <v>0</v>
      </c>
      <c r="L343" s="470">
        <v>0</v>
      </c>
      <c r="M343" s="470">
        <v>0</v>
      </c>
      <c r="N343" s="470">
        <v>0</v>
      </c>
      <c r="O343" s="468"/>
    </row>
    <row r="344" spans="4:15" ht="15" customHeight="1">
      <c r="D344" s="465"/>
      <c r="E344" s="471" t="s">
        <v>1928</v>
      </c>
      <c r="F344" s="471"/>
      <c r="G344" s="472">
        <v>0</v>
      </c>
      <c r="H344" s="472">
        <v>0</v>
      </c>
      <c r="I344" s="472">
        <v>0</v>
      </c>
      <c r="J344" s="472">
        <v>0</v>
      </c>
      <c r="K344" s="472">
        <v>0</v>
      </c>
      <c r="L344" s="472">
        <v>0</v>
      </c>
      <c r="M344" s="472">
        <v>0</v>
      </c>
      <c r="N344" s="472">
        <v>0</v>
      </c>
      <c r="O344" s="468"/>
    </row>
    <row r="345" spans="4:15" ht="15" customHeight="1">
      <c r="D345" s="50"/>
      <c r="E345" s="473" t="s">
        <v>1983</v>
      </c>
      <c r="F345" s="473"/>
      <c r="G345" s="1614">
        <f>SUM(G339:G344)</f>
        <v>8.2983241269553848E-12</v>
      </c>
      <c r="H345" s="1614">
        <f t="shared" ref="H345:N345" si="16">SUM(H339:H344)</f>
        <v>9.009188814620217E-12</v>
      </c>
      <c r="I345" s="1614">
        <f t="shared" si="16"/>
        <v>1.0843255572503704E-11</v>
      </c>
      <c r="J345" s="1614">
        <f t="shared" si="16"/>
        <v>1.2779510215300475E-11</v>
      </c>
      <c r="K345" s="1614">
        <f t="shared" si="16"/>
        <v>1.2933248009276829E-11</v>
      </c>
      <c r="L345" s="1614">
        <f t="shared" si="16"/>
        <v>1.309109052451993E-11</v>
      </c>
      <c r="M345" s="1614">
        <f t="shared" si="16"/>
        <v>1.3253204376270684E-11</v>
      </c>
      <c r="N345" s="1614">
        <f t="shared" si="16"/>
        <v>1.341976532091919E-11</v>
      </c>
      <c r="O345" s="474"/>
    </row>
    <row r="346" spans="4:15" ht="15" customHeight="1">
      <c r="D346" s="50"/>
      <c r="E346" s="1130" t="s">
        <v>1746</v>
      </c>
      <c r="F346" s="55"/>
      <c r="G346" s="1615" cm="1">
        <f t="array" ref="G346:N346">G337:N337-G345:N345</f>
        <v>-8.2983241269553848E-12</v>
      </c>
      <c r="H346" s="1615">
        <v>-9.009188814620217E-12</v>
      </c>
      <c r="I346" s="1615">
        <v>-1.0843255572503704E-11</v>
      </c>
      <c r="J346" s="1615">
        <v>-1.2779510215300475E-11</v>
      </c>
      <c r="K346" s="1615">
        <v>-1.2933248009276829E-11</v>
      </c>
      <c r="L346" s="1615">
        <v>-1.309109052451993E-11</v>
      </c>
      <c r="M346" s="1615">
        <v>-1.3253204376270684E-11</v>
      </c>
      <c r="N346" s="1615">
        <v>-1.341976532091919E-11</v>
      </c>
      <c r="O346" s="474"/>
    </row>
    <row r="347" spans="4:15" ht="15" customHeight="1">
      <c r="D347" s="50"/>
      <c r="E347" s="1130" t="s">
        <v>1984</v>
      </c>
      <c r="F347" s="55"/>
      <c r="G347" s="1615" cm="1">
        <f t="array" ref="G347:N347">IF(SALIDA_RESIDUOS_BALANCE_TOTAL&lt;0,ABS(SALIDA_RESIDUOS_BALANCE_TOTAL),0)</f>
        <v>8.2983241269553848E-12</v>
      </c>
      <c r="H347" s="1615">
        <v>9.009188814620217E-12</v>
      </c>
      <c r="I347" s="1615">
        <v>1.0843255572503704E-11</v>
      </c>
      <c r="J347" s="1615">
        <v>1.2779510215300475E-11</v>
      </c>
      <c r="K347" s="1615">
        <v>1.2933248009276829E-11</v>
      </c>
      <c r="L347" s="1615">
        <v>1.309109052451993E-11</v>
      </c>
      <c r="M347" s="1615">
        <v>1.3253204376270684E-11</v>
      </c>
      <c r="N347" s="1615">
        <v>1.341976532091919E-11</v>
      </c>
      <c r="O347" s="474"/>
    </row>
    <row r="348" spans="4:15" ht="15" customHeight="1">
      <c r="D348" s="50"/>
      <c r="E348" s="50"/>
      <c r="F348" s="50"/>
      <c r="G348" s="50"/>
      <c r="H348" s="50"/>
      <c r="I348" s="50"/>
      <c r="J348" s="50"/>
      <c r="K348" s="50"/>
      <c r="L348" s="50"/>
      <c r="M348" s="50"/>
      <c r="N348" s="50"/>
      <c r="O348" s="50"/>
    </row>
    <row r="349" spans="4:15" ht="15" customHeight="1">
      <c r="D349" s="415"/>
      <c r="E349" s="415"/>
      <c r="F349" s="415"/>
      <c r="G349" s="415"/>
      <c r="H349" s="415"/>
      <c r="I349" s="415"/>
      <c r="J349" s="415"/>
      <c r="K349" s="415"/>
      <c r="L349" s="415"/>
      <c r="M349" s="415"/>
      <c r="N349" s="415"/>
      <c r="O349" s="415"/>
    </row>
    <row r="350" spans="4:15" ht="15" customHeight="1">
      <c r="D350" s="475" t="s">
        <v>1671</v>
      </c>
      <c r="E350" s="476"/>
      <c r="F350" s="476"/>
      <c r="G350" s="476"/>
      <c r="H350" s="476"/>
      <c r="I350" s="476"/>
      <c r="J350" s="476"/>
      <c r="K350" s="476"/>
      <c r="L350" s="476"/>
      <c r="M350" s="476"/>
      <c r="N350" s="476"/>
      <c r="O350" s="476"/>
    </row>
    <row r="351" spans="4:15" ht="15" customHeight="1">
      <c r="D351" s="477"/>
      <c r="E351" s="477"/>
      <c r="F351" s="477"/>
      <c r="G351" s="477"/>
      <c r="H351" s="477"/>
      <c r="I351" s="477"/>
      <c r="J351" s="477"/>
      <c r="K351" s="477"/>
      <c r="L351" s="477"/>
      <c r="M351" s="477"/>
      <c r="N351" s="477"/>
      <c r="O351" s="477"/>
    </row>
    <row r="352" spans="4:15" ht="15" customHeight="1">
      <c r="D352" s="477"/>
      <c r="E352" s="475" t="s">
        <v>1985</v>
      </c>
      <c r="F352" s="475"/>
      <c r="G352" s="475"/>
      <c r="H352" s="475"/>
      <c r="I352" s="475"/>
      <c r="J352" s="475"/>
      <c r="K352" s="475"/>
      <c r="L352" s="475"/>
      <c r="M352" s="475"/>
      <c r="N352" s="475"/>
      <c r="O352" s="477"/>
    </row>
    <row r="353" spans="1:16" ht="15" customHeight="1">
      <c r="D353" s="477"/>
      <c r="E353" s="478"/>
      <c r="F353" s="477"/>
      <c r="G353" s="477"/>
      <c r="H353" s="477"/>
      <c r="I353" s="477"/>
      <c r="J353" s="477"/>
      <c r="K353" s="477"/>
      <c r="L353" s="477"/>
      <c r="M353" s="477"/>
      <c r="N353" s="477"/>
      <c r="O353" s="477"/>
    </row>
    <row r="354" spans="1:16" ht="15" customHeight="1">
      <c r="D354" s="477"/>
      <c r="E354" s="477"/>
      <c r="F354" s="477"/>
      <c r="G354" s="477"/>
      <c r="H354" s="477"/>
      <c r="I354" s="477"/>
      <c r="J354" s="477"/>
      <c r="K354" s="477"/>
      <c r="L354" s="477"/>
      <c r="M354" s="477"/>
      <c r="N354" s="479" t="s">
        <v>29</v>
      </c>
      <c r="O354" s="477"/>
    </row>
    <row r="355" spans="1:16" ht="15" customHeight="1">
      <c r="D355" s="477"/>
      <c r="E355" s="1149" t="s">
        <v>1986</v>
      </c>
      <c r="F355" s="480"/>
      <c r="G355" s="480">
        <v>2018</v>
      </c>
      <c r="H355" s="480" t="s">
        <v>322</v>
      </c>
      <c r="I355" s="480" t="s">
        <v>323</v>
      </c>
      <c r="J355" s="480" t="s">
        <v>324</v>
      </c>
      <c r="K355" s="480" t="s">
        <v>325</v>
      </c>
      <c r="L355" s="480" t="s">
        <v>326</v>
      </c>
      <c r="M355" s="480" t="s">
        <v>327</v>
      </c>
      <c r="N355" s="480">
        <v>2050</v>
      </c>
      <c r="O355" s="477"/>
    </row>
    <row r="356" spans="1:16" ht="15" customHeight="1">
      <c r="D356" s="477"/>
      <c r="E356" s="1109" t="s">
        <v>1926</v>
      </c>
      <c r="F356" s="1110"/>
      <c r="G356" s="1110"/>
      <c r="H356" s="1110"/>
      <c r="I356" s="1110"/>
      <c r="J356" s="1110"/>
      <c r="K356" s="1110"/>
      <c r="L356" s="1110"/>
      <c r="M356" s="1110"/>
      <c r="N356" s="1110"/>
      <c r="O356" s="477"/>
    </row>
    <row r="357" spans="1:16" ht="15" customHeight="1">
      <c r="D357" s="477"/>
      <c r="E357" s="487" t="s">
        <v>1931</v>
      </c>
      <c r="F357" s="481"/>
      <c r="G357" s="2051"/>
      <c r="H357" s="2051"/>
      <c r="I357" s="2051"/>
      <c r="J357" s="2051"/>
      <c r="K357" s="2051"/>
      <c r="L357" s="2051"/>
      <c r="M357" s="2051"/>
      <c r="N357" s="2051"/>
      <c r="O357" s="477"/>
    </row>
    <row r="358" spans="1:16" ht="15" customHeight="1">
      <c r="D358" s="477"/>
      <c r="E358" s="485" t="s">
        <v>1987</v>
      </c>
      <c r="F358" s="481"/>
      <c r="G358" s="2112">
        <v>0</v>
      </c>
      <c r="H358" s="2112">
        <v>0</v>
      </c>
      <c r="I358" s="2112">
        <v>0</v>
      </c>
      <c r="J358" s="2112">
        <v>0</v>
      </c>
      <c r="K358" s="2112">
        <v>0</v>
      </c>
      <c r="L358" s="2112">
        <v>0</v>
      </c>
      <c r="M358" s="2112">
        <v>0</v>
      </c>
      <c r="N358" s="2112">
        <v>0</v>
      </c>
      <c r="O358" s="477"/>
    </row>
    <row r="359" spans="1:16" ht="15" customHeight="1">
      <c r="D359" s="477"/>
      <c r="E359" s="485" t="s">
        <v>695</v>
      </c>
      <c r="F359" s="481"/>
      <c r="G359" s="2051" cm="1">
        <f t="array" ref="G359:N359">((_xlfn.ANCHORARRAY(F503)))</f>
        <v>2.7148689966565919E-3</v>
      </c>
      <c r="H359" s="2051">
        <v>2.9474345691545764E-3</v>
      </c>
      <c r="I359" s="2051">
        <v>3.5474654793238103E-3</v>
      </c>
      <c r="J359" s="2051">
        <v>4.1809280458540944E-3</v>
      </c>
      <c r="K359" s="2051">
        <v>4.2312247038413381E-3</v>
      </c>
      <c r="L359" s="2051">
        <v>4.2828642571332894E-3</v>
      </c>
      <c r="M359" s="2051">
        <v>4.3359012153568258E-3</v>
      </c>
      <c r="N359" s="2100">
        <v>4.3903930787453889E-3</v>
      </c>
      <c r="O359" s="477"/>
      <c r="P359" s="653"/>
    </row>
    <row r="360" spans="1:16" ht="15" customHeight="1">
      <c r="D360" s="477"/>
      <c r="E360" s="485" t="s">
        <v>1616</v>
      </c>
      <c r="F360" s="481"/>
      <c r="G360" s="2051">
        <v>0</v>
      </c>
      <c r="H360" s="2051">
        <v>0</v>
      </c>
      <c r="I360" s="2051">
        <v>0</v>
      </c>
      <c r="J360" s="2051">
        <v>0</v>
      </c>
      <c r="K360" s="2051">
        <v>0</v>
      </c>
      <c r="L360" s="2051">
        <v>0</v>
      </c>
      <c r="M360" s="2051">
        <v>0</v>
      </c>
      <c r="N360" s="2100">
        <v>0</v>
      </c>
      <c r="O360" s="477"/>
    </row>
    <row r="361" spans="1:16" ht="15" customHeight="1">
      <c r="D361" s="477"/>
      <c r="E361" s="1075" t="s">
        <v>1988</v>
      </c>
      <c r="F361" s="1075"/>
      <c r="G361" s="2113" cm="1">
        <f t="array" ref="G361:N361">G358:N358+(G359:N359*PCG_CH4)+(G360:N360*PCG_N2O)</f>
        <v>7.6016331906384571E-2</v>
      </c>
      <c r="H361" s="2113">
        <v>8.252816793632814E-2</v>
      </c>
      <c r="I361" s="2113">
        <v>9.9329033421066693E-2</v>
      </c>
      <c r="J361" s="2113">
        <v>0.11706598528391464</v>
      </c>
      <c r="K361" s="2113">
        <v>0.11847429170755747</v>
      </c>
      <c r="L361" s="2113">
        <v>0.1199201991997321</v>
      </c>
      <c r="M361" s="2113">
        <v>0.12140523402999112</v>
      </c>
      <c r="N361" s="2113">
        <v>0.12293100620487089</v>
      </c>
      <c r="O361" s="477"/>
    </row>
    <row r="362" spans="1:16" ht="15" customHeight="1">
      <c r="D362" s="477"/>
      <c r="E362" s="483" t="s">
        <v>1989</v>
      </c>
      <c r="F362" s="481"/>
      <c r="G362" s="2051"/>
      <c r="H362" s="2051"/>
      <c r="I362" s="2051"/>
      <c r="J362" s="2051"/>
      <c r="K362" s="2051"/>
      <c r="L362" s="2051"/>
      <c r="M362" s="2051"/>
      <c r="N362" s="2051"/>
      <c r="O362" s="477"/>
    </row>
    <row r="363" spans="1:16" s="2" customFormat="1" ht="15" customHeight="1">
      <c r="A363" s="663"/>
      <c r="B363" s="667"/>
      <c r="D363" s="477"/>
      <c r="E363" s="485" t="s">
        <v>694</v>
      </c>
      <c r="F363" s="481"/>
      <c r="G363" s="2112">
        <v>0</v>
      </c>
      <c r="H363" s="2112">
        <v>0</v>
      </c>
      <c r="I363" s="2112">
        <v>0</v>
      </c>
      <c r="J363" s="2112">
        <v>0</v>
      </c>
      <c r="K363" s="2112">
        <v>0</v>
      </c>
      <c r="L363" s="2112">
        <v>0</v>
      </c>
      <c r="M363" s="2112">
        <v>0</v>
      </c>
      <c r="N363" s="2112">
        <v>0</v>
      </c>
      <c r="O363" s="477"/>
      <c r="P363" s="3"/>
    </row>
    <row r="364" spans="1:16" ht="15" customHeight="1">
      <c r="D364" s="477"/>
      <c r="E364" s="485" t="s">
        <v>695</v>
      </c>
      <c r="F364" s="481"/>
      <c r="G364" s="2112" cm="1">
        <f t="array" ref="G364:N364">_xlfn.ANCHORARRAY(F504)</f>
        <v>2.3077879798861924E-2</v>
      </c>
      <c r="H364" s="2112">
        <v>2.5054815088952052E-2</v>
      </c>
      <c r="I364" s="2112">
        <v>3.0155407875396136E-2</v>
      </c>
      <c r="J364" s="2112">
        <v>3.5540188130159064E-2</v>
      </c>
      <c r="K364" s="2112">
        <v>3.5967737388979133E-2</v>
      </c>
      <c r="L364" s="2112">
        <v>3.6406701996555477E-2</v>
      </c>
      <c r="M364" s="2112">
        <v>3.685754531469989E-2</v>
      </c>
      <c r="N364" s="2112">
        <v>3.7320756127024894E-2</v>
      </c>
      <c r="O364" s="477"/>
    </row>
    <row r="365" spans="1:16" ht="15" customHeight="1">
      <c r="D365" s="477"/>
      <c r="E365" s="485" t="s">
        <v>1616</v>
      </c>
      <c r="F365" s="481"/>
      <c r="G365" s="2051">
        <v>0</v>
      </c>
      <c r="H365" s="2051">
        <v>0</v>
      </c>
      <c r="I365" s="2051">
        <v>0</v>
      </c>
      <c r="J365" s="2051">
        <v>0</v>
      </c>
      <c r="K365" s="2051">
        <v>0</v>
      </c>
      <c r="L365" s="2051">
        <v>0</v>
      </c>
      <c r="M365" s="2051">
        <v>0</v>
      </c>
      <c r="N365" s="2100">
        <v>0</v>
      </c>
      <c r="O365" s="477"/>
    </row>
    <row r="366" spans="1:16" ht="15" customHeight="1">
      <c r="D366" s="477"/>
      <c r="E366" s="1075" t="s">
        <v>1988</v>
      </c>
      <c r="F366" s="1075"/>
      <c r="G366" s="2113" cm="1">
        <f t="array" ref="G366">G363+(G364*PCG_CH4)+(G365*PCG_N2O)</f>
        <v>0.64618063436813389</v>
      </c>
      <c r="H366" s="2113">
        <f t="shared" ref="H366:N366" si="17">H363+(H364*PCG_CH4)+(H365*PCG_N2O)</f>
        <v>0.70153482249065746</v>
      </c>
      <c r="I366" s="2113">
        <f t="shared" si="17"/>
        <v>0.8443514205110918</v>
      </c>
      <c r="J366" s="2113">
        <f t="shared" si="17"/>
        <v>0.99512526764445375</v>
      </c>
      <c r="K366" s="2113">
        <f t="shared" si="17"/>
        <v>1.0070966468914158</v>
      </c>
      <c r="L366" s="2113">
        <f t="shared" si="17"/>
        <v>1.0193876559035533</v>
      </c>
      <c r="M366" s="2113">
        <f t="shared" si="17"/>
        <v>1.032011268811597</v>
      </c>
      <c r="N366" s="2113">
        <f t="shared" si="17"/>
        <v>1.044981171556697</v>
      </c>
      <c r="O366" s="477"/>
    </row>
    <row r="367" spans="1:16" ht="15" customHeight="1">
      <c r="D367" s="477"/>
      <c r="E367" s="483" t="s">
        <v>577</v>
      </c>
      <c r="F367" s="484"/>
      <c r="G367" s="1531"/>
      <c r="H367" s="1531"/>
      <c r="I367" s="1531"/>
      <c r="J367" s="1531"/>
      <c r="K367" s="1531"/>
      <c r="L367" s="1531"/>
      <c r="M367" s="1531"/>
      <c r="N367" s="1531"/>
      <c r="O367" s="477"/>
    </row>
    <row r="368" spans="1:16" s="2" customFormat="1" ht="15" customHeight="1">
      <c r="A368" s="663"/>
      <c r="B368" s="667"/>
      <c r="D368" s="477"/>
      <c r="E368" s="485" t="s">
        <v>694</v>
      </c>
      <c r="F368" s="481"/>
      <c r="G368" s="2112">
        <v>0</v>
      </c>
      <c r="H368" s="2112">
        <v>0</v>
      </c>
      <c r="I368" s="2112">
        <v>0</v>
      </c>
      <c r="J368" s="2112">
        <v>0</v>
      </c>
      <c r="K368" s="2112">
        <v>0</v>
      </c>
      <c r="L368" s="2112">
        <v>0</v>
      </c>
      <c r="M368" s="2112">
        <v>0</v>
      </c>
      <c r="N368" s="2112">
        <v>0</v>
      </c>
      <c r="O368" s="477"/>
      <c r="P368" s="3"/>
    </row>
    <row r="369" spans="1:15" ht="15" customHeight="1">
      <c r="D369" s="477"/>
      <c r="E369" s="485" t="s">
        <v>695</v>
      </c>
      <c r="F369" s="481"/>
      <c r="G369" s="2051" cm="1">
        <f t="array" ref="G369:N369">((F516:M516))</f>
        <v>3.9967404502015116E-4</v>
      </c>
      <c r="H369" s="2051">
        <v>4.3391158031454895E-4</v>
      </c>
      <c r="I369" s="2051">
        <v>5.2224614868591414E-4</v>
      </c>
      <c r="J369" s="2051">
        <v>6.1550241506407055E-4</v>
      </c>
      <c r="K369" s="2051">
        <v>6.229069228961291E-4</v>
      </c>
      <c r="L369" s="2051">
        <v>6.3050912733864355E-4</v>
      </c>
      <c r="M369" s="2051">
        <v>6.383170531188084E-4</v>
      </c>
      <c r="N369" s="2100">
        <v>6.4633916523103687E-4</v>
      </c>
      <c r="O369" s="477"/>
    </row>
    <row r="370" spans="1:15" ht="15" customHeight="1">
      <c r="D370" s="477"/>
      <c r="E370" s="485" t="s">
        <v>1616</v>
      </c>
      <c r="F370" s="481"/>
      <c r="G370" s="2051">
        <v>0</v>
      </c>
      <c r="H370" s="2051">
        <v>0</v>
      </c>
      <c r="I370" s="2051">
        <v>0</v>
      </c>
      <c r="J370" s="2051">
        <v>0</v>
      </c>
      <c r="K370" s="2051">
        <v>0</v>
      </c>
      <c r="L370" s="2051">
        <v>0</v>
      </c>
      <c r="M370" s="2051">
        <v>0</v>
      </c>
      <c r="N370" s="2100">
        <v>0</v>
      </c>
      <c r="O370" s="477"/>
    </row>
    <row r="371" spans="1:15" ht="15" customHeight="1">
      <c r="D371" s="477"/>
      <c r="E371" s="1123" t="s">
        <v>1988</v>
      </c>
      <c r="F371" s="1123"/>
      <c r="G371" s="2051" cm="1">
        <f t="array" ref="G371">G368+(G369*PCG_CH4)+(G370*PCG_N2O)</f>
        <v>1.1190873260564232E-2</v>
      </c>
      <c r="H371" s="2051">
        <f>H368+(H369*PCG_CH4)+(H370*PCG_N2O)</f>
        <v>1.2149524248807371E-2</v>
      </c>
      <c r="I371" s="2051">
        <f t="shared" ref="I371:N371" si="18">I368+(I369*PCG_CH4)+(I370*PCG_N2O)</f>
        <v>1.4622892163205597E-2</v>
      </c>
      <c r="J371" s="2051">
        <f t="shared" si="18"/>
        <v>1.7234067621793976E-2</v>
      </c>
      <c r="K371" s="2051">
        <f t="shared" si="18"/>
        <v>1.7441393841091616E-2</v>
      </c>
      <c r="L371" s="2051">
        <f t="shared" si="18"/>
        <v>1.7654255565482019E-2</v>
      </c>
      <c r="M371" s="2051">
        <f t="shared" si="18"/>
        <v>1.7872877487326636E-2</v>
      </c>
      <c r="N371" s="2051">
        <f t="shared" si="18"/>
        <v>1.8097496626469034E-2</v>
      </c>
      <c r="O371" s="477"/>
    </row>
    <row r="372" spans="1:15" ht="15" customHeight="1">
      <c r="D372" s="477"/>
      <c r="E372" s="1112" t="s">
        <v>1927</v>
      </c>
      <c r="F372" s="1111"/>
      <c r="G372" s="2053"/>
      <c r="H372" s="2053"/>
      <c r="I372" s="2053"/>
      <c r="J372" s="2053"/>
      <c r="K372" s="2053"/>
      <c r="L372" s="2053"/>
      <c r="M372" s="2053"/>
      <c r="N372" s="2053"/>
      <c r="O372" s="477"/>
    </row>
    <row r="373" spans="1:15" ht="15" customHeight="1">
      <c r="D373" s="477"/>
      <c r="E373" s="487" t="s">
        <v>933</v>
      </c>
      <c r="F373" s="481"/>
      <c r="G373" s="2051"/>
      <c r="H373" s="2051"/>
      <c r="I373" s="2051"/>
      <c r="J373" s="2051"/>
      <c r="K373" s="2051"/>
      <c r="L373" s="2051"/>
      <c r="M373" s="2051"/>
      <c r="N373" s="2051"/>
      <c r="O373" s="477"/>
    </row>
    <row r="374" spans="1:15" ht="15" customHeight="1">
      <c r="D374" s="477"/>
      <c r="E374" s="485" t="s">
        <v>694</v>
      </c>
      <c r="F374" s="481"/>
      <c r="G374" s="2112">
        <v>0</v>
      </c>
      <c r="H374" s="2112">
        <v>0</v>
      </c>
      <c r="I374" s="2112">
        <v>0</v>
      </c>
      <c r="J374" s="2112">
        <v>0</v>
      </c>
      <c r="K374" s="2112">
        <v>0</v>
      </c>
      <c r="L374" s="2112">
        <v>0</v>
      </c>
      <c r="M374" s="2112">
        <v>0</v>
      </c>
      <c r="N374" s="2112">
        <v>0</v>
      </c>
      <c r="O374" s="477"/>
    </row>
    <row r="375" spans="1:15" ht="15" customHeight="1">
      <c r="D375" s="477"/>
      <c r="E375" s="485" t="s">
        <v>695</v>
      </c>
      <c r="F375" s="481"/>
      <c r="G375" s="2051" cm="1">
        <f t="array" ref="G375:N375">_xlfn.ANCHORARRAY(F522)</f>
        <v>0</v>
      </c>
      <c r="H375" s="2051">
        <v>0</v>
      </c>
      <c r="I375" s="2051">
        <v>0</v>
      </c>
      <c r="J375" s="2051">
        <v>0</v>
      </c>
      <c r="K375" s="2051">
        <v>0</v>
      </c>
      <c r="L375" s="2051">
        <v>0</v>
      </c>
      <c r="M375" s="2051">
        <v>0</v>
      </c>
      <c r="N375" s="2100">
        <v>0</v>
      </c>
      <c r="O375" s="477"/>
    </row>
    <row r="376" spans="1:15" s="2" customFormat="1" ht="15" customHeight="1">
      <c r="A376" s="663"/>
      <c r="B376" s="667"/>
      <c r="D376" s="477"/>
      <c r="E376" s="485" t="s">
        <v>1616</v>
      </c>
      <c r="F376" s="481"/>
      <c r="G376" s="2051" cm="1">
        <f t="array" ref="G376:N376">_xlfn.ANCHORARRAY(F523)</f>
        <v>0</v>
      </c>
      <c r="H376" s="2051">
        <v>0</v>
      </c>
      <c r="I376" s="2051">
        <v>0</v>
      </c>
      <c r="J376" s="2051">
        <v>0</v>
      </c>
      <c r="K376" s="2051">
        <v>0</v>
      </c>
      <c r="L376" s="2051">
        <v>0</v>
      </c>
      <c r="M376" s="2051">
        <v>0</v>
      </c>
      <c r="N376" s="2100">
        <v>0</v>
      </c>
      <c r="O376" s="477"/>
    </row>
    <row r="377" spans="1:15" ht="15" customHeight="1">
      <c r="D377" s="477"/>
      <c r="E377" s="1075" t="s">
        <v>1988</v>
      </c>
      <c r="F377" s="486"/>
      <c r="G377" s="2113">
        <f t="shared" ref="G377:N377" si="19">G374+(G375*PCG_CH4)+(G376*PCG_N2O)</f>
        <v>0</v>
      </c>
      <c r="H377" s="2113">
        <f t="shared" si="19"/>
        <v>0</v>
      </c>
      <c r="I377" s="2113">
        <f>I374+(I375*PCG_CH4)+(I376*PCG_N2O)</f>
        <v>0</v>
      </c>
      <c r="J377" s="2113">
        <f t="shared" si="19"/>
        <v>0</v>
      </c>
      <c r="K377" s="2113">
        <f>K374+(K375*PCG_CH4)+(K376*PCG_N2O)</f>
        <v>0</v>
      </c>
      <c r="L377" s="2113">
        <f t="shared" si="19"/>
        <v>0</v>
      </c>
      <c r="M377" s="2113">
        <f t="shared" si="19"/>
        <v>0</v>
      </c>
      <c r="N377" s="2113">
        <f t="shared" si="19"/>
        <v>0</v>
      </c>
      <c r="O377" s="477"/>
    </row>
    <row r="378" spans="1:15" ht="15" customHeight="1">
      <c r="D378" s="477"/>
      <c r="E378" s="487" t="s">
        <v>1928</v>
      </c>
      <c r="F378" s="482"/>
      <c r="G378" s="1171"/>
      <c r="H378" s="1171"/>
      <c r="I378" s="1171"/>
      <c r="J378" s="1171"/>
      <c r="K378" s="1171"/>
      <c r="L378" s="1171"/>
      <c r="M378" s="1171"/>
      <c r="N378" s="1171"/>
      <c r="O378" s="477"/>
    </row>
    <row r="379" spans="1:15" ht="15" customHeight="1">
      <c r="D379" s="477"/>
      <c r="E379" s="485" t="s">
        <v>694</v>
      </c>
      <c r="F379" s="482"/>
      <c r="G379" s="2112">
        <v>0</v>
      </c>
      <c r="H379" s="2112">
        <v>0</v>
      </c>
      <c r="I379" s="2112">
        <v>0</v>
      </c>
      <c r="J379" s="2112">
        <v>0</v>
      </c>
      <c r="K379" s="2112">
        <v>0</v>
      </c>
      <c r="L379" s="2112">
        <v>0</v>
      </c>
      <c r="M379" s="2112">
        <v>0</v>
      </c>
      <c r="N379" s="2112">
        <v>0</v>
      </c>
      <c r="O379" s="477"/>
    </row>
    <row r="380" spans="1:15" ht="15" customHeight="1">
      <c r="D380" s="477"/>
      <c r="E380" s="485" t="s">
        <v>695</v>
      </c>
      <c r="F380" s="482"/>
      <c r="G380" s="2112">
        <v>0</v>
      </c>
      <c r="H380" s="2112">
        <v>0</v>
      </c>
      <c r="I380" s="2112">
        <v>0</v>
      </c>
      <c r="J380" s="2112">
        <v>0</v>
      </c>
      <c r="K380" s="2112">
        <v>0</v>
      </c>
      <c r="L380" s="2112">
        <v>0</v>
      </c>
      <c r="M380" s="2112">
        <v>0</v>
      </c>
      <c r="N380" s="2112">
        <v>0</v>
      </c>
      <c r="O380" s="477"/>
    </row>
    <row r="381" spans="1:15" ht="15" customHeight="1">
      <c r="D381" s="477"/>
      <c r="E381" s="485" t="s">
        <v>1616</v>
      </c>
      <c r="F381" s="482"/>
      <c r="G381" s="2112">
        <v>0</v>
      </c>
      <c r="H381" s="2112">
        <v>0</v>
      </c>
      <c r="I381" s="2112">
        <v>0</v>
      </c>
      <c r="J381" s="2112">
        <v>0</v>
      </c>
      <c r="K381" s="2112">
        <v>0</v>
      </c>
      <c r="L381" s="2112">
        <v>0</v>
      </c>
      <c r="M381" s="2112">
        <v>0</v>
      </c>
      <c r="N381" s="2112">
        <v>0</v>
      </c>
      <c r="O381" s="477"/>
    </row>
    <row r="382" spans="1:15" ht="15" customHeight="1">
      <c r="D382" s="477"/>
      <c r="E382" s="1075" t="s">
        <v>1988</v>
      </c>
      <c r="F382" s="486"/>
      <c r="G382" s="2112">
        <v>0</v>
      </c>
      <c r="H382" s="2112">
        <v>0</v>
      </c>
      <c r="I382" s="2112">
        <v>0</v>
      </c>
      <c r="J382" s="2112">
        <v>0</v>
      </c>
      <c r="K382" s="2112">
        <v>0</v>
      </c>
      <c r="L382" s="2112">
        <v>0</v>
      </c>
      <c r="M382" s="2112">
        <v>0</v>
      </c>
      <c r="N382" s="2112">
        <v>0</v>
      </c>
      <c r="O382" s="477"/>
    </row>
    <row r="383" spans="1:15" ht="15" customHeight="1">
      <c r="D383" s="477"/>
      <c r="E383" s="1129" t="s">
        <v>1990</v>
      </c>
      <c r="F383" s="488"/>
      <c r="G383" s="1127">
        <f t="shared" ref="G383:N383" si="20">G361+G366+G371+G377+G382</f>
        <v>0.73338783953508269</v>
      </c>
      <c r="H383" s="1127">
        <f t="shared" si="20"/>
        <v>0.7962125146757929</v>
      </c>
      <c r="I383" s="1127">
        <f t="shared" si="20"/>
        <v>0.95830334609536405</v>
      </c>
      <c r="J383" s="1127">
        <f t="shared" si="20"/>
        <v>1.1294253205501623</v>
      </c>
      <c r="K383" s="1127">
        <f t="shared" si="20"/>
        <v>1.1430123324400647</v>
      </c>
      <c r="L383" s="1127">
        <f t="shared" si="20"/>
        <v>1.1569621106687673</v>
      </c>
      <c r="M383" s="1127">
        <f t="shared" si="20"/>
        <v>1.1712893803289148</v>
      </c>
      <c r="N383" s="1127">
        <f t="shared" si="20"/>
        <v>1.1860096743880371</v>
      </c>
      <c r="O383" s="477"/>
    </row>
    <row r="384" spans="1:15" ht="15" customHeight="1">
      <c r="D384" s="477"/>
      <c r="E384" s="482"/>
      <c r="F384" s="482"/>
      <c r="G384" s="482"/>
      <c r="H384" s="482"/>
      <c r="I384" s="482"/>
      <c r="J384" s="482"/>
      <c r="K384" s="482"/>
      <c r="L384" s="482"/>
      <c r="M384" s="482"/>
      <c r="N384" s="543"/>
      <c r="O384" s="477"/>
    </row>
    <row r="385" spans="1:16" ht="15" customHeight="1">
      <c r="D385" s="477"/>
      <c r="E385" s="475" t="s">
        <v>1991</v>
      </c>
      <c r="F385" s="475"/>
      <c r="G385" s="475"/>
      <c r="H385" s="475"/>
      <c r="I385" s="475"/>
      <c r="J385" s="475"/>
      <c r="K385" s="475"/>
      <c r="L385" s="475"/>
      <c r="M385" s="475"/>
      <c r="N385" s="475"/>
      <c r="O385" s="477"/>
    </row>
    <row r="386" spans="1:16" ht="15" customHeight="1">
      <c r="D386" s="477"/>
      <c r="E386" s="478" t="s">
        <v>33</v>
      </c>
      <c r="F386" s="477"/>
      <c r="G386" s="477"/>
      <c r="H386" s="477"/>
      <c r="I386" s="477"/>
      <c r="J386" s="477"/>
      <c r="K386" s="477"/>
      <c r="L386" s="477"/>
      <c r="M386" s="477"/>
      <c r="N386" s="477"/>
      <c r="O386" s="477"/>
    </row>
    <row r="387" spans="1:16" ht="15" customHeight="1">
      <c r="D387" s="477"/>
      <c r="E387" s="477"/>
      <c r="F387" s="477"/>
      <c r="G387" s="477"/>
      <c r="H387" s="477"/>
      <c r="I387" s="477"/>
      <c r="J387" s="477"/>
      <c r="K387" s="477"/>
      <c r="L387" s="477"/>
      <c r="M387" s="477"/>
      <c r="N387" s="479" t="s">
        <v>29</v>
      </c>
      <c r="O387" s="477"/>
      <c r="P387" s="1068"/>
    </row>
    <row r="388" spans="1:16" ht="15" customHeight="1">
      <c r="D388" s="477"/>
      <c r="E388" s="1147" t="s">
        <v>1986</v>
      </c>
      <c r="F388" s="480"/>
      <c r="G388" s="480">
        <v>2018</v>
      </c>
      <c r="H388" s="480" t="s">
        <v>322</v>
      </c>
      <c r="I388" s="480" t="s">
        <v>323</v>
      </c>
      <c r="J388" s="480" t="s">
        <v>324</v>
      </c>
      <c r="K388" s="480" t="s">
        <v>325</v>
      </c>
      <c r="L388" s="480" t="s">
        <v>326</v>
      </c>
      <c r="M388" s="480" t="s">
        <v>327</v>
      </c>
      <c r="N388" s="480">
        <v>2050</v>
      </c>
      <c r="O388" s="477"/>
    </row>
    <row r="389" spans="1:16" ht="15" customHeight="1">
      <c r="D389" s="477"/>
      <c r="E389" s="1061" t="s">
        <v>1926</v>
      </c>
      <c r="F389" s="484"/>
      <c r="G389" s="1531"/>
      <c r="H389" s="1531"/>
      <c r="I389" s="1531"/>
      <c r="J389" s="1531"/>
      <c r="K389" s="1531"/>
      <c r="L389" s="1531"/>
      <c r="M389" s="1531"/>
      <c r="N389" s="1531"/>
      <c r="O389" s="477"/>
    </row>
    <row r="390" spans="1:16" ht="15" customHeight="1">
      <c r="D390" s="477"/>
      <c r="E390" s="487" t="e" cm="1">
        <f t="array" ref="E390">-APROVECHAMIENTO energético del biogás</f>
        <v>#VALUE!</v>
      </c>
      <c r="F390" s="481"/>
      <c r="G390" s="1881"/>
      <c r="H390" s="1881"/>
      <c r="I390" s="1881"/>
      <c r="J390" s="1881"/>
      <c r="K390" s="1881"/>
      <c r="L390" s="1881"/>
      <c r="M390" s="1881"/>
      <c r="N390" s="1881"/>
      <c r="O390" s="477"/>
    </row>
    <row r="391" spans="1:16" ht="15" customHeight="1">
      <c r="D391" s="477"/>
      <c r="E391" s="482" t="s">
        <v>694</v>
      </c>
      <c r="F391" s="481"/>
      <c r="G391" s="1881">
        <v>0</v>
      </c>
      <c r="H391" s="1881">
        <v>0</v>
      </c>
      <c r="I391" s="1881">
        <v>0</v>
      </c>
      <c r="J391" s="1881">
        <v>0</v>
      </c>
      <c r="K391" s="1881">
        <v>0</v>
      </c>
      <c r="L391" s="1881">
        <v>0</v>
      </c>
      <c r="M391" s="1881">
        <v>0</v>
      </c>
      <c r="N391" s="1881">
        <v>0</v>
      </c>
      <c r="O391" s="477"/>
    </row>
    <row r="392" spans="1:16" ht="15" customHeight="1">
      <c r="D392" s="477"/>
      <c r="E392" s="482" t="s">
        <v>695</v>
      </c>
      <c r="F392" s="481"/>
      <c r="G392" s="1881" cm="1">
        <f t="array" ref="G392:N392">_xlfn.ANCHORARRAY(F505)</f>
        <v>4.0737968222657765E-3</v>
      </c>
      <c r="H392" s="1881">
        <v>4.4227731048700133E-3</v>
      </c>
      <c r="I392" s="1881">
        <v>5.3231495201294578E-3</v>
      </c>
      <c r="J392" s="1881">
        <v>6.2736918091804011E-3</v>
      </c>
      <c r="K392" s="1881">
        <v>6.3491644620897545E-3</v>
      </c>
      <c r="L392" s="1881">
        <v>6.4266521966224498E-3</v>
      </c>
      <c r="M392" s="1881">
        <v>6.5062368072021023E-3</v>
      </c>
      <c r="N392" s="1881">
        <v>6.588004575807163E-3</v>
      </c>
      <c r="O392" s="477"/>
    </row>
    <row r="393" spans="1:16" s="2" customFormat="1" ht="15" customHeight="1">
      <c r="A393" s="663"/>
      <c r="B393" s="667"/>
      <c r="C393" s="3"/>
      <c r="D393" s="477"/>
      <c r="E393" s="482" t="s">
        <v>1616</v>
      </c>
      <c r="F393" s="481"/>
      <c r="G393" s="1881">
        <v>0</v>
      </c>
      <c r="H393" s="1881">
        <v>0</v>
      </c>
      <c r="I393" s="1881">
        <v>0</v>
      </c>
      <c r="J393" s="1881">
        <v>0</v>
      </c>
      <c r="K393" s="1881">
        <v>0</v>
      </c>
      <c r="L393" s="1881">
        <v>0</v>
      </c>
      <c r="M393" s="1881">
        <v>0</v>
      </c>
      <c r="N393" s="1881">
        <v>0</v>
      </c>
      <c r="O393" s="477"/>
      <c r="P393" s="3"/>
    </row>
    <row r="394" spans="1:16" ht="15" customHeight="1">
      <c r="C394" s="2"/>
      <c r="D394" s="477"/>
      <c r="E394" s="1125" t="s">
        <v>1988</v>
      </c>
      <c r="F394" s="486"/>
      <c r="G394" s="1888">
        <f>G391+(G392*PCG_CH4)+(G393*PCG_N2O)</f>
        <v>0.11406631102344174</v>
      </c>
      <c r="H394" s="1888">
        <f t="shared" ref="H394:N394" si="21">H391+(H392*PCG_CH4)+(H393*PCG_N2O)</f>
        <v>0.12383764693636037</v>
      </c>
      <c r="I394" s="1888">
        <f t="shared" si="21"/>
        <v>0.14904818656362481</v>
      </c>
      <c r="J394" s="1888">
        <f t="shared" si="21"/>
        <v>0.17566337065705123</v>
      </c>
      <c r="K394" s="1888">
        <f t="shared" si="21"/>
        <v>0.17777660493851313</v>
      </c>
      <c r="L394" s="1888">
        <f t="shared" si="21"/>
        <v>0.17994626150542858</v>
      </c>
      <c r="M394" s="1888">
        <f t="shared" si="21"/>
        <v>0.18217463060165887</v>
      </c>
      <c r="N394" s="1888">
        <f t="shared" si="21"/>
        <v>0.18446412812260057</v>
      </c>
      <c r="O394" s="477"/>
      <c r="P394" s="2"/>
    </row>
    <row r="395" spans="1:16" ht="15" customHeight="1">
      <c r="D395" s="477"/>
      <c r="E395" s="487" t="s">
        <v>935</v>
      </c>
      <c r="F395" s="482"/>
      <c r="G395" s="1889"/>
      <c r="H395" s="1889"/>
      <c r="I395" s="1889"/>
      <c r="J395" s="1889"/>
      <c r="K395" s="1889"/>
      <c r="L395" s="1889"/>
      <c r="M395" s="1889"/>
      <c r="N395" s="1889"/>
      <c r="O395" s="477"/>
    </row>
    <row r="396" spans="1:16" ht="15" customHeight="1">
      <c r="D396" s="477"/>
      <c r="E396" s="485" t="s">
        <v>694</v>
      </c>
      <c r="F396" s="482"/>
      <c r="G396" s="1171" cm="1">
        <f t="array" ref="G396:N396">_xlfn.ANCHORARRAY(F531)</f>
        <v>0</v>
      </c>
      <c r="H396" s="1171">
        <v>0</v>
      </c>
      <c r="I396" s="1171">
        <v>0</v>
      </c>
      <c r="J396" s="1171">
        <v>0</v>
      </c>
      <c r="K396" s="1171">
        <v>0</v>
      </c>
      <c r="L396" s="1171">
        <v>0</v>
      </c>
      <c r="M396" s="1171">
        <v>0</v>
      </c>
      <c r="N396" s="1171">
        <v>0</v>
      </c>
      <c r="O396" s="477"/>
    </row>
    <row r="397" spans="1:16" ht="15" customHeight="1">
      <c r="D397" s="477"/>
      <c r="E397" s="485" t="s">
        <v>695</v>
      </c>
      <c r="F397" s="482"/>
      <c r="G397" s="1171" cm="1">
        <f t="array" ref="G397:N397">_xlfn.ANCHORARRAY(F532)</f>
        <v>0</v>
      </c>
      <c r="H397" s="1171">
        <v>0</v>
      </c>
      <c r="I397" s="1171">
        <v>0</v>
      </c>
      <c r="J397" s="1171">
        <v>0</v>
      </c>
      <c r="K397" s="1171">
        <v>0</v>
      </c>
      <c r="L397" s="1171">
        <v>0</v>
      </c>
      <c r="M397" s="1171">
        <v>0</v>
      </c>
      <c r="N397" s="1171">
        <v>0</v>
      </c>
      <c r="O397" s="477"/>
    </row>
    <row r="398" spans="1:16" ht="15" customHeight="1">
      <c r="D398" s="477"/>
      <c r="E398" s="485" t="s">
        <v>1616</v>
      </c>
      <c r="F398" s="482"/>
      <c r="G398" s="1171" cm="1">
        <f t="array" ref="G398:N398">_xlfn.ANCHORARRAY(F533)</f>
        <v>0</v>
      </c>
      <c r="H398" s="2124">
        <v>0</v>
      </c>
      <c r="I398" s="2124">
        <v>0</v>
      </c>
      <c r="J398" s="2124">
        <v>0</v>
      </c>
      <c r="K398" s="2124">
        <v>0</v>
      </c>
      <c r="L398" s="2124">
        <v>0</v>
      </c>
      <c r="M398" s="2124">
        <v>0</v>
      </c>
      <c r="N398" s="2124">
        <v>0</v>
      </c>
      <c r="O398" s="477"/>
    </row>
    <row r="399" spans="1:16" ht="15" customHeight="1">
      <c r="D399" s="477"/>
      <c r="E399" s="1075" t="s">
        <v>1988</v>
      </c>
      <c r="F399" s="486"/>
      <c r="G399" s="2125">
        <f>G396+(G397*PCG_CH4)+(G398*PCG_N2O)</f>
        <v>0</v>
      </c>
      <c r="H399" s="2125">
        <f t="shared" ref="H399:N399" si="22">H396+(H397*PCG_CH4)+(H398*PCG_N2O)</f>
        <v>0</v>
      </c>
      <c r="I399" s="2125">
        <f t="shared" si="22"/>
        <v>0</v>
      </c>
      <c r="J399" s="2125">
        <f t="shared" si="22"/>
        <v>0</v>
      </c>
      <c r="K399" s="2125">
        <f t="shared" si="22"/>
        <v>0</v>
      </c>
      <c r="L399" s="2125">
        <f t="shared" si="22"/>
        <v>0</v>
      </c>
      <c r="M399" s="2125">
        <f t="shared" si="22"/>
        <v>0</v>
      </c>
      <c r="N399" s="2125">
        <f t="shared" si="22"/>
        <v>0</v>
      </c>
      <c r="O399" s="477"/>
    </row>
    <row r="400" spans="1:16" s="2" customFormat="1" ht="15" customHeight="1">
      <c r="A400" s="663"/>
      <c r="B400" s="667"/>
      <c r="C400" s="3"/>
      <c r="D400" s="477"/>
      <c r="E400" s="1128" t="s">
        <v>1992</v>
      </c>
      <c r="F400" s="1124"/>
      <c r="G400" s="1890">
        <f>G394+G399</f>
        <v>0.11406631102344174</v>
      </c>
      <c r="H400" s="1890">
        <f t="shared" ref="H400:N400" si="23">H394+H399</f>
        <v>0.12383764693636037</v>
      </c>
      <c r="I400" s="1890">
        <f t="shared" si="23"/>
        <v>0.14904818656362481</v>
      </c>
      <c r="J400" s="1890">
        <f t="shared" si="23"/>
        <v>0.17566337065705123</v>
      </c>
      <c r="K400" s="1890">
        <f t="shared" si="23"/>
        <v>0.17777660493851313</v>
      </c>
      <c r="L400" s="1890">
        <f t="shared" si="23"/>
        <v>0.17994626150542858</v>
      </c>
      <c r="M400" s="1890">
        <f t="shared" si="23"/>
        <v>0.18217463060165887</v>
      </c>
      <c r="N400" s="1890">
        <f t="shared" si="23"/>
        <v>0.18446412812260057</v>
      </c>
      <c r="O400" s="477"/>
      <c r="P400" s="3"/>
    </row>
    <row r="401" spans="1:18" s="2" customFormat="1" ht="15" customHeight="1">
      <c r="A401" s="663"/>
      <c r="B401" s="667"/>
      <c r="D401" s="477"/>
      <c r="E401" s="482"/>
      <c r="F401" s="482"/>
      <c r="G401" s="482"/>
      <c r="H401" s="482"/>
      <c r="I401" s="482"/>
      <c r="J401" s="482"/>
      <c r="K401" s="482"/>
      <c r="L401" s="482"/>
      <c r="M401" s="482"/>
      <c r="N401" s="543"/>
      <c r="O401" s="477"/>
    </row>
    <row r="402" spans="1:18" ht="15" customHeight="1">
      <c r="C402" s="2"/>
      <c r="D402" s="477"/>
      <c r="E402" s="477"/>
      <c r="F402" s="477"/>
      <c r="G402" s="477"/>
      <c r="H402" s="477"/>
      <c r="I402" s="477"/>
      <c r="J402" s="477"/>
      <c r="K402" s="477"/>
      <c r="L402" s="477"/>
      <c r="M402" s="477"/>
      <c r="N402" s="477"/>
      <c r="O402" s="477"/>
      <c r="P402" s="2"/>
    </row>
    <row r="403" spans="1:18" ht="15" customHeight="1">
      <c r="D403" s="415"/>
      <c r="E403" s="415"/>
      <c r="F403" s="415"/>
      <c r="G403" s="415"/>
      <c r="H403" s="415"/>
      <c r="I403" s="415"/>
      <c r="J403" s="415"/>
      <c r="K403" s="415"/>
      <c r="L403" s="415"/>
      <c r="M403" s="415"/>
      <c r="N403" s="415"/>
      <c r="O403" s="415"/>
      <c r="Q403" s="653"/>
      <c r="R403" s="653"/>
    </row>
    <row r="404" spans="1:18" ht="15" customHeight="1">
      <c r="D404" s="489" t="s">
        <v>797</v>
      </c>
      <c r="E404" s="490"/>
      <c r="F404" s="490"/>
      <c r="G404" s="490"/>
      <c r="H404" s="490"/>
      <c r="I404" s="490"/>
      <c r="J404" s="490"/>
      <c r="K404" s="490"/>
      <c r="L404" s="490"/>
      <c r="M404" s="490"/>
      <c r="N404" s="490"/>
      <c r="O404" s="490"/>
      <c r="P404" s="653"/>
    </row>
    <row r="405" spans="1:18" ht="15" customHeight="1">
      <c r="D405" s="491"/>
      <c r="E405" s="491"/>
      <c r="F405" s="491"/>
      <c r="G405" s="491"/>
      <c r="H405" s="491"/>
      <c r="I405" s="491"/>
      <c r="J405" s="491"/>
      <c r="K405" s="491"/>
      <c r="L405" s="491"/>
      <c r="M405" s="491"/>
      <c r="N405" s="491"/>
      <c r="O405" s="491"/>
    </row>
    <row r="406" spans="1:18" ht="15" customHeight="1">
      <c r="D406" s="491"/>
      <c r="E406" s="492" t="s">
        <v>1993</v>
      </c>
      <c r="F406" s="491"/>
      <c r="G406" s="491"/>
      <c r="H406" s="491"/>
      <c r="I406" s="491"/>
      <c r="J406" s="491"/>
      <c r="K406" s="491"/>
      <c r="L406" s="491"/>
      <c r="M406" s="491"/>
      <c r="N406" s="491"/>
      <c r="O406" s="491"/>
    </row>
    <row r="407" spans="1:18" s="2" customFormat="1" ht="15" customHeight="1">
      <c r="A407" s="663"/>
      <c r="B407" s="667"/>
      <c r="C407" s="3"/>
      <c r="D407" s="491"/>
      <c r="E407" s="491"/>
      <c r="F407" s="491"/>
      <c r="G407" s="491"/>
      <c r="H407" s="491"/>
      <c r="I407" s="491"/>
      <c r="J407" s="491"/>
      <c r="K407" s="491"/>
      <c r="L407" s="491"/>
      <c r="M407" s="491"/>
      <c r="N407" s="493" t="s">
        <v>803</v>
      </c>
      <c r="O407" s="492"/>
      <c r="P407" s="3"/>
    </row>
    <row r="408" spans="1:18" s="2" customFormat="1" ht="15" customHeight="1">
      <c r="A408" s="663"/>
      <c r="B408" s="667"/>
      <c r="D408" s="491"/>
      <c r="E408" s="494" t="s">
        <v>699</v>
      </c>
      <c r="F408" s="494"/>
      <c r="G408" s="494">
        <v>2018</v>
      </c>
      <c r="H408" s="494" t="s">
        <v>322</v>
      </c>
      <c r="I408" s="494" t="s">
        <v>323</v>
      </c>
      <c r="J408" s="494" t="s">
        <v>324</v>
      </c>
      <c r="K408" s="494" t="s">
        <v>325</v>
      </c>
      <c r="L408" s="494" t="s">
        <v>326</v>
      </c>
      <c r="M408" s="494" t="s">
        <v>327</v>
      </c>
      <c r="N408" s="494" t="s">
        <v>328</v>
      </c>
      <c r="O408" s="495"/>
      <c r="Q408" s="3"/>
    </row>
    <row r="409" spans="1:18" ht="15" customHeight="1">
      <c r="C409" s="2"/>
      <c r="D409" s="491"/>
      <c r="E409" s="1813" t="s">
        <v>1994</v>
      </c>
      <c r="F409" s="546"/>
      <c r="G409" s="2680" cm="1">
        <f t="array" ref="G409:N409">G238:N238</f>
        <v>237.66692633016132</v>
      </c>
      <c r="H409" s="2680">
        <v>251.00805812779487</v>
      </c>
      <c r="I409" s="2680">
        <v>288.27396559333846</v>
      </c>
      <c r="J409" s="2680">
        <v>323.72290408453688</v>
      </c>
      <c r="K409" s="2680">
        <v>311.67771899088649</v>
      </c>
      <c r="L409" s="2680">
        <v>299.6325338972361</v>
      </c>
      <c r="M409" s="2680">
        <v>287.58734880358571</v>
      </c>
      <c r="N409" s="2680">
        <v>275.54216370993532</v>
      </c>
      <c r="O409" s="496"/>
      <c r="P409" s="2"/>
    </row>
    <row r="410" spans="1:18" ht="15" customHeight="1">
      <c r="D410" s="491"/>
      <c r="E410" s="1814" t="s">
        <v>1995</v>
      </c>
      <c r="F410" s="491"/>
      <c r="G410" s="2681" cm="1">
        <f t="array" ref="G410:N410">G271:N271</f>
        <v>190.13354106412905</v>
      </c>
      <c r="H410" s="2681">
        <v>205.4724986386835</v>
      </c>
      <c r="I410" s="2681">
        <v>244.44333168153926</v>
      </c>
      <c r="J410" s="2681">
        <v>284.71620814639715</v>
      </c>
      <c r="K410" s="2681">
        <v>284.71620814639715</v>
      </c>
      <c r="L410" s="2681">
        <v>284.71620814639715</v>
      </c>
      <c r="M410" s="2681">
        <v>284.71620814639715</v>
      </c>
      <c r="N410" s="2681">
        <v>284.71620814639715</v>
      </c>
      <c r="O410" s="496"/>
      <c r="Q410" s="653"/>
      <c r="R410" s="653"/>
    </row>
    <row r="411" spans="1:18" ht="15" customHeight="1">
      <c r="D411" s="491"/>
      <c r="E411" s="1815" t="s">
        <v>1996</v>
      </c>
      <c r="F411" s="547"/>
      <c r="G411" s="2682" cm="1">
        <f t="array" ref="G411:N411">G304:N304</f>
        <v>166.36684843111294</v>
      </c>
      <c r="H411" s="2682">
        <v>179.78843630884805</v>
      </c>
      <c r="I411" s="2682">
        <v>213.88791522134684</v>
      </c>
      <c r="J411" s="2682">
        <v>249.12668212809746</v>
      </c>
      <c r="K411" s="2682">
        <v>249.12668212809746</v>
      </c>
      <c r="L411" s="2682">
        <v>249.12668212809746</v>
      </c>
      <c r="M411" s="2682">
        <v>249.12668212809746</v>
      </c>
      <c r="N411" s="2682">
        <v>249.12668212809746</v>
      </c>
      <c r="O411" s="496"/>
      <c r="P411" s="653"/>
    </row>
    <row r="412" spans="1:18" ht="15" customHeight="1">
      <c r="D412" s="491"/>
      <c r="E412" s="1814" t="s">
        <v>1997</v>
      </c>
      <c r="F412" s="491"/>
      <c r="G412" s="2681" cm="1">
        <f t="array" ref="G412:N412">G254:N254</f>
        <v>1199.8125787121171</v>
      </c>
      <c r="H412" s="2681">
        <v>1302.5278322594429</v>
      </c>
      <c r="I412" s="2681">
        <v>1567.4969079536509</v>
      </c>
      <c r="J412" s="2681">
        <v>1847.1695227747668</v>
      </c>
      <c r="K412" s="2681">
        <v>1869.1560761257795</v>
      </c>
      <c r="L412" s="2681">
        <v>1891.7296593201906</v>
      </c>
      <c r="M412" s="2681">
        <v>1914.9141005578756</v>
      </c>
      <c r="N412" s="2681">
        <v>1938.7345353448659</v>
      </c>
      <c r="O412" s="496"/>
    </row>
    <row r="413" spans="1:18" ht="15" customHeight="1">
      <c r="D413" s="491"/>
      <c r="E413" s="1814" t="s">
        <v>1998</v>
      </c>
      <c r="F413" s="491"/>
      <c r="G413" s="2681" cm="1">
        <f t="array" ref="G413:N413">G287:N287</f>
        <v>962.23061608140813</v>
      </c>
      <c r="H413" s="2681">
        <v>1044.5948692170762</v>
      </c>
      <c r="I413" s="2681">
        <v>1257.0580612407518</v>
      </c>
      <c r="J413" s="2681">
        <v>1481.3003867055056</v>
      </c>
      <c r="K413" s="2681">
        <v>1498.8896293863154</v>
      </c>
      <c r="L413" s="2681">
        <v>1516.9484959418446</v>
      </c>
      <c r="M413" s="2681">
        <v>1535.4960489319926</v>
      </c>
      <c r="N413" s="2681">
        <v>1554.5523967615848</v>
      </c>
      <c r="O413" s="496"/>
    </row>
    <row r="414" spans="1:18" s="2" customFormat="1" ht="15" customHeight="1">
      <c r="A414" s="663"/>
      <c r="B414" s="667"/>
      <c r="C414" s="3"/>
      <c r="D414" s="491"/>
      <c r="E414" s="1815" t="s">
        <v>1999</v>
      </c>
      <c r="F414" s="547"/>
      <c r="G414" s="2682" cm="1">
        <f t="array" ref="G414:N414">G320:N320</f>
        <v>839.86880509848174</v>
      </c>
      <c r="H414" s="2682">
        <v>911.76948258160996</v>
      </c>
      <c r="I414" s="2682">
        <v>1097.2478355675555</v>
      </c>
      <c r="J414" s="2682">
        <v>1293.0186659423371</v>
      </c>
      <c r="K414" s="2682">
        <v>1308.4092532880454</v>
      </c>
      <c r="L414" s="2682">
        <v>1324.2107615241334</v>
      </c>
      <c r="M414" s="2682">
        <v>1340.4398703905129</v>
      </c>
      <c r="N414" s="2682">
        <v>1357.114174741406</v>
      </c>
      <c r="O414" s="496"/>
      <c r="P414" s="3"/>
    </row>
    <row r="415" spans="1:18" s="2" customFormat="1" ht="15" customHeight="1">
      <c r="A415" s="663"/>
      <c r="B415" s="667"/>
      <c r="D415" s="491"/>
      <c r="E415" s="491"/>
      <c r="F415" s="491"/>
      <c r="G415" s="491"/>
      <c r="H415" s="491"/>
      <c r="I415" s="491"/>
      <c r="J415" s="491"/>
      <c r="K415" s="491"/>
      <c r="L415" s="491"/>
      <c r="M415" s="491"/>
      <c r="N415" s="491"/>
      <c r="O415" s="491"/>
      <c r="Q415" s="3"/>
    </row>
    <row r="416" spans="1:18" ht="15" customHeight="1">
      <c r="C416" s="2"/>
      <c r="P416" s="2"/>
    </row>
    <row r="417" spans="1:18" ht="15" customHeight="1">
      <c r="Q417" s="653"/>
      <c r="R417" s="653"/>
    </row>
    <row r="418" spans="1:18" ht="15" customHeight="1">
      <c r="E418" s="636" t="s">
        <v>2000</v>
      </c>
      <c r="P418" s="653"/>
    </row>
    <row r="419" spans="1:18" ht="15" customHeight="1">
      <c r="D419" s="2"/>
      <c r="E419" s="2" t="s">
        <v>2001</v>
      </c>
    </row>
    <row r="420" spans="1:18" ht="15" customHeight="1">
      <c r="M420" s="554" t="s">
        <v>2002</v>
      </c>
    </row>
    <row r="421" spans="1:18" s="2" customFormat="1" ht="15" customHeight="1">
      <c r="A421" s="663"/>
      <c r="B421" s="667"/>
      <c r="C421" s="3"/>
      <c r="E421" s="611" t="s">
        <v>2003</v>
      </c>
      <c r="F421" s="611">
        <v>2018</v>
      </c>
      <c r="G421" s="611">
        <v>2020</v>
      </c>
      <c r="H421" s="611">
        <v>2025</v>
      </c>
      <c r="I421" s="611">
        <v>2030</v>
      </c>
      <c r="J421" s="611">
        <v>2035</v>
      </c>
      <c r="K421" s="611">
        <v>2040</v>
      </c>
      <c r="L421" s="611">
        <v>2045</v>
      </c>
      <c r="M421" s="611">
        <v>2050</v>
      </c>
      <c r="P421" s="3"/>
    </row>
    <row r="422" spans="1:18" s="2" customFormat="1" ht="15" customHeight="1">
      <c r="A422" s="663"/>
      <c r="B422" s="667"/>
      <c r="D422" s="3"/>
      <c r="E422" s="625" t="s">
        <v>2004</v>
      </c>
      <c r="F422" s="639" cm="1">
        <f t="array" ref="F422:M422">ST_RESIDUOS_SISTEMA_AUTORIZADO</f>
        <v>668780.78667789407</v>
      </c>
      <c r="G422" s="639">
        <v>722734.44501779403</v>
      </c>
      <c r="H422" s="639">
        <v>859811.4922027688</v>
      </c>
      <c r="I422" s="639">
        <v>1001468.381635365</v>
      </c>
      <c r="J422" s="639">
        <v>1001468.381635365</v>
      </c>
      <c r="K422" s="639">
        <v>1001468.381635365</v>
      </c>
      <c r="L422" s="639">
        <v>1001468.381635365</v>
      </c>
      <c r="M422" s="639">
        <v>1001468.381635365</v>
      </c>
      <c r="N422" s="3"/>
      <c r="O422" s="3"/>
    </row>
    <row r="423" spans="1:18" ht="15" customHeight="1">
      <c r="C423" s="2"/>
      <c r="E423" s="625" t="s">
        <v>1925</v>
      </c>
      <c r="F423" s="639" cm="1">
        <f t="array" ref="F423:M423">ST_RESIDUOS_SISTEMA_NO_AUTORIZADO</f>
        <v>15044.148575576353</v>
      </c>
      <c r="G423" s="639">
        <v>11562.069364740744</v>
      </c>
      <c r="H423" s="639">
        <v>13754.983150422424</v>
      </c>
      <c r="I423" s="639">
        <v>16021.163755074198</v>
      </c>
      <c r="J423" s="639">
        <v>16021.163755074198</v>
      </c>
      <c r="K423" s="639">
        <v>16021.163755074198</v>
      </c>
      <c r="L423" s="639">
        <v>16021.163755074198</v>
      </c>
      <c r="M423" s="639">
        <v>16021.163755074198</v>
      </c>
      <c r="P423" s="2"/>
    </row>
    <row r="424" spans="1:18" ht="15" customHeight="1">
      <c r="E424" s="637"/>
      <c r="F424" s="638"/>
      <c r="G424" s="638"/>
      <c r="H424" s="638"/>
      <c r="I424" s="638"/>
      <c r="J424" s="638"/>
      <c r="K424" s="638"/>
      <c r="L424" s="638"/>
      <c r="M424" s="638"/>
      <c r="Q424" s="653"/>
      <c r="R424" s="653"/>
    </row>
    <row r="425" spans="1:18" ht="15" customHeight="1">
      <c r="P425" s="653"/>
    </row>
    <row r="426" spans="1:18" ht="15" customHeight="1">
      <c r="E426" s="636" t="s">
        <v>2005</v>
      </c>
    </row>
    <row r="427" spans="1:18" ht="15" customHeight="1">
      <c r="D427" s="2"/>
      <c r="E427" s="2" t="s">
        <v>2006</v>
      </c>
    </row>
    <row r="428" spans="1:18" s="2" customFormat="1" ht="15" customHeight="1">
      <c r="A428" s="663"/>
      <c r="B428" s="667"/>
      <c r="C428" s="3"/>
      <c r="D428" s="3"/>
      <c r="E428" s="3"/>
      <c r="F428" s="3"/>
      <c r="G428" s="3"/>
      <c r="H428" s="3"/>
      <c r="I428" s="3"/>
      <c r="J428" s="3"/>
      <c r="K428" s="3"/>
      <c r="L428" s="3"/>
      <c r="M428" s="554" t="s">
        <v>2002</v>
      </c>
      <c r="N428" s="3"/>
      <c r="O428" s="3"/>
      <c r="P428" s="3"/>
    </row>
    <row r="429" spans="1:18" ht="15" customHeight="1">
      <c r="C429" s="2"/>
      <c r="D429" s="2"/>
      <c r="E429" s="626" t="s">
        <v>2003</v>
      </c>
      <c r="F429" s="611">
        <v>2018</v>
      </c>
      <c r="G429" s="611">
        <v>2020</v>
      </c>
      <c r="H429" s="611">
        <v>2025</v>
      </c>
      <c r="I429" s="611">
        <v>2030</v>
      </c>
      <c r="J429" s="611">
        <v>2035</v>
      </c>
      <c r="K429" s="611">
        <v>2040</v>
      </c>
      <c r="L429" s="611">
        <v>2045</v>
      </c>
      <c r="M429" s="611">
        <v>2050</v>
      </c>
      <c r="N429" s="2"/>
      <c r="O429" s="2"/>
      <c r="P429" s="2"/>
    </row>
    <row r="430" spans="1:18" ht="15" customHeight="1">
      <c r="E430" s="627" t="s">
        <v>1926</v>
      </c>
      <c r="F430" s="639" cm="1">
        <f t="array" ref="F430:M430">SISTEMA_AUTORIZADO*INDEX(ST_TIPO_GESTION,RELLENO_SANITARIO_CONTROLADO,0)</f>
        <v>642096.43328944605</v>
      </c>
      <c r="G430" s="639">
        <v>693897.34066158405</v>
      </c>
      <c r="H430" s="639">
        <v>825505.01366387832</v>
      </c>
      <c r="I430" s="639">
        <v>961509.79320811387</v>
      </c>
      <c r="J430" s="639">
        <v>961509.79320811387</v>
      </c>
      <c r="K430" s="639">
        <v>961509.79320811387</v>
      </c>
      <c r="L430" s="639">
        <v>961509.79320811387</v>
      </c>
      <c r="M430" s="639">
        <v>961509.79320811387</v>
      </c>
    </row>
    <row r="431" spans="1:18" s="415" customFormat="1" ht="15" customHeight="1">
      <c r="A431" s="663"/>
      <c r="B431" s="667"/>
      <c r="C431" s="3"/>
      <c r="D431" s="3"/>
      <c r="E431" s="625" t="s">
        <v>577</v>
      </c>
      <c r="F431" s="639" cm="1">
        <f t="array" ref="F431:M431">SISTEMA_AUTORIZADO*INDEX(ST_TIPO_GESTION,CELDA_DE_CONTINGENCIA,0)</f>
        <v>11302.395294856409</v>
      </c>
      <c r="G431" s="639">
        <v>12214.212120800717</v>
      </c>
      <c r="H431" s="639">
        <v>14530.814218226791</v>
      </c>
      <c r="I431" s="639">
        <v>16924.815649637665</v>
      </c>
      <c r="J431" s="639">
        <v>16924.815649637665</v>
      </c>
      <c r="K431" s="639">
        <v>16924.815649637665</v>
      </c>
      <c r="L431" s="639">
        <v>16924.815649637665</v>
      </c>
      <c r="M431" s="639">
        <v>16924.815649637665</v>
      </c>
      <c r="N431" s="3"/>
      <c r="O431" s="3"/>
      <c r="P431" s="3"/>
    </row>
    <row r="432" spans="1:18" s="609" customFormat="1" ht="15" customHeight="1">
      <c r="A432" s="663"/>
      <c r="B432" s="667"/>
      <c r="C432" s="415"/>
      <c r="D432" s="3"/>
      <c r="E432" s="625" t="s">
        <v>1927</v>
      </c>
      <c r="F432" s="639" cm="1">
        <f t="array" ref="F432:M432">SISTEMA_AUTORIZADO*INDEX(ST_TIPO_GESTION,PLANTA_DE_TRATAMIENTO,0)</f>
        <v>668.78078667789407</v>
      </c>
      <c r="G432" s="639">
        <v>722.73444501779409</v>
      </c>
      <c r="H432" s="639">
        <v>859.81149220276882</v>
      </c>
      <c r="I432" s="639">
        <v>1001.4683816353649</v>
      </c>
      <c r="J432" s="639">
        <v>1001.4683816353649</v>
      </c>
      <c r="K432" s="639">
        <v>1001.4683816353649</v>
      </c>
      <c r="L432" s="639">
        <v>1001.4683816353649</v>
      </c>
      <c r="M432" s="639">
        <v>1001.4683816353649</v>
      </c>
      <c r="N432" s="3"/>
      <c r="O432" s="3"/>
      <c r="P432" s="415"/>
    </row>
    <row r="433" spans="1:16" s="609" customFormat="1" ht="15" customHeight="1">
      <c r="A433" s="663"/>
      <c r="B433" s="667"/>
      <c r="D433" s="3"/>
      <c r="E433" s="634" t="s">
        <v>933</v>
      </c>
      <c r="F433" s="639" cm="1">
        <f t="array" ref="F433:M433">SISTEMA_AUTORIZADO*INDEX(ST_TIPO_GESTION,TRATAMIENTO_MECANICOBIOLOGICO,0)</f>
        <v>0</v>
      </c>
      <c r="G433" s="639">
        <v>0</v>
      </c>
      <c r="H433" s="639">
        <v>0</v>
      </c>
      <c r="I433" s="639">
        <v>0</v>
      </c>
      <c r="J433" s="639">
        <v>0</v>
      </c>
      <c r="K433" s="639">
        <v>0</v>
      </c>
      <c r="L433" s="639">
        <v>0</v>
      </c>
      <c r="M433" s="639">
        <v>0</v>
      </c>
      <c r="N433" s="3"/>
      <c r="O433" s="3"/>
    </row>
    <row r="434" spans="1:16" s="415" customFormat="1" ht="15" customHeight="1">
      <c r="A434" s="663"/>
      <c r="B434" s="667"/>
      <c r="C434" s="609"/>
      <c r="D434" s="3"/>
      <c r="E434" s="634" t="s">
        <v>934</v>
      </c>
      <c r="F434" s="639" cm="1">
        <f t="array" ref="F434:M434">SISTEMA_AUTORIZADO*INDEX(ST_TIPO_GESTION,COMBUSTIBLE_DERIVADO_RESIDUOS,0)</f>
        <v>0</v>
      </c>
      <c r="G434" s="639">
        <v>0</v>
      </c>
      <c r="H434" s="639">
        <v>0</v>
      </c>
      <c r="I434" s="639">
        <v>0</v>
      </c>
      <c r="J434" s="639">
        <v>0</v>
      </c>
      <c r="K434" s="639">
        <v>0</v>
      </c>
      <c r="L434" s="639">
        <v>0</v>
      </c>
      <c r="M434" s="639">
        <v>0</v>
      </c>
      <c r="N434" s="3"/>
      <c r="O434" s="3"/>
      <c r="P434" s="609"/>
    </row>
    <row r="435" spans="1:16" s="415" customFormat="1" ht="15" customHeight="1">
      <c r="A435" s="663"/>
      <c r="B435" s="667"/>
      <c r="D435" s="3"/>
      <c r="E435" s="634" t="s">
        <v>935</v>
      </c>
      <c r="F435" s="639" cm="1">
        <f t="array" ref="F435:M435">INDEX(SISTEMA_AUTORIZADO,1,0)*INDEX(ST_TIPO_GESTION,INCINERACION,0)</f>
        <v>0</v>
      </c>
      <c r="G435" s="639">
        <v>0</v>
      </c>
      <c r="H435" s="639">
        <v>0</v>
      </c>
      <c r="I435" s="639">
        <v>0</v>
      </c>
      <c r="J435" s="639">
        <v>0</v>
      </c>
      <c r="K435" s="639">
        <v>0</v>
      </c>
      <c r="L435" s="639">
        <v>0</v>
      </c>
      <c r="M435" s="639">
        <v>0</v>
      </c>
      <c r="N435" s="3"/>
      <c r="O435" s="3"/>
    </row>
    <row r="436" spans="1:16" s="415" customFormat="1" ht="15" customHeight="1">
      <c r="A436" s="663"/>
      <c r="B436" s="667"/>
      <c r="D436" s="3"/>
      <c r="E436" s="637" t="s">
        <v>84</v>
      </c>
      <c r="F436" s="1518" cm="1">
        <f t="array" ref="F436:M436">SISTEMA_AUTORIZADO*INDEX(ST_TIPO_GESTION,RECICLADO,0)</f>
        <v>57515.147654298882</v>
      </c>
      <c r="G436" s="1519">
        <v>62155.16227153028</v>
      </c>
      <c r="H436" s="1519">
        <v>73943.788329438117</v>
      </c>
      <c r="I436" s="1519">
        <v>86126.280820641376</v>
      </c>
      <c r="J436" s="1519">
        <v>86126.280820641376</v>
      </c>
      <c r="K436" s="1519">
        <v>86126.280820641376</v>
      </c>
      <c r="L436" s="1519">
        <v>86126.280820641376</v>
      </c>
      <c r="M436" s="1519">
        <v>86126.280820641376</v>
      </c>
      <c r="N436" s="3"/>
      <c r="O436" s="3"/>
    </row>
    <row r="437" spans="1:16" s="609" customFormat="1" ht="15" customHeight="1">
      <c r="A437" s="663"/>
      <c r="B437" s="667"/>
      <c r="C437" s="415"/>
      <c r="D437" s="3"/>
      <c r="E437" s="3"/>
      <c r="F437" s="3"/>
      <c r="G437" s="3"/>
      <c r="H437" s="3"/>
      <c r="I437" s="3"/>
      <c r="J437" s="3"/>
      <c r="K437" s="3"/>
      <c r="L437" s="3"/>
      <c r="M437" s="3"/>
      <c r="N437" s="3"/>
      <c r="O437" s="3"/>
      <c r="P437" s="415"/>
    </row>
    <row r="438" spans="1:16" s="415" customFormat="1" ht="15" customHeight="1">
      <c r="A438" s="663"/>
      <c r="B438" s="667"/>
      <c r="C438" s="609"/>
      <c r="D438" s="3"/>
      <c r="E438" s="3"/>
      <c r="F438" s="3"/>
      <c r="G438" s="3"/>
      <c r="H438" s="3"/>
      <c r="I438" s="3"/>
      <c r="J438" s="3"/>
      <c r="K438" s="3"/>
      <c r="L438" s="3"/>
      <c r="M438" s="3"/>
      <c r="N438" s="3"/>
      <c r="O438" s="3"/>
      <c r="P438" s="609"/>
    </row>
    <row r="439" spans="1:16" s="415" customFormat="1" ht="15" customHeight="1">
      <c r="A439" s="663"/>
      <c r="B439" s="667"/>
      <c r="D439" s="2"/>
      <c r="E439" s="2" t="s">
        <v>2007</v>
      </c>
      <c r="F439" s="3"/>
      <c r="G439" s="3"/>
      <c r="H439" s="3"/>
      <c r="I439" s="3"/>
      <c r="J439" s="3"/>
      <c r="K439" s="3"/>
      <c r="L439" s="3"/>
      <c r="M439" s="3"/>
      <c r="N439" s="3"/>
      <c r="O439" s="3"/>
    </row>
    <row r="440" spans="1:16" s="415" customFormat="1" ht="15" customHeight="1">
      <c r="A440" s="663"/>
      <c r="B440" s="667"/>
      <c r="D440" s="3"/>
      <c r="E440" s="3"/>
      <c r="F440" s="3"/>
      <c r="G440" s="3"/>
      <c r="H440" s="3"/>
      <c r="I440" s="3"/>
      <c r="J440" s="3"/>
      <c r="K440" s="3"/>
      <c r="L440" s="3"/>
      <c r="M440" s="3"/>
      <c r="N440" s="3"/>
      <c r="O440" s="3"/>
    </row>
    <row r="441" spans="1:16" s="609" customFormat="1" ht="15" customHeight="1">
      <c r="A441" s="663"/>
      <c r="B441" s="667"/>
      <c r="C441" s="415"/>
      <c r="D441" s="3"/>
      <c r="E441" s="636" t="s">
        <v>2008</v>
      </c>
      <c r="F441" s="3"/>
      <c r="G441" s="3"/>
      <c r="H441" s="3"/>
      <c r="I441" s="3"/>
      <c r="J441" s="3"/>
      <c r="K441" s="3"/>
      <c r="L441" s="3"/>
      <c r="M441" s="3"/>
      <c r="N441" s="3"/>
      <c r="O441" s="3"/>
      <c r="P441" s="415"/>
    </row>
    <row r="442" spans="1:16" s="415" customFormat="1" ht="15" customHeight="1">
      <c r="A442" s="663"/>
      <c r="B442" s="667"/>
      <c r="C442" s="609"/>
      <c r="D442" s="2"/>
      <c r="E442" s="2" t="s">
        <v>2006</v>
      </c>
      <c r="F442" s="3"/>
      <c r="G442" s="3"/>
      <c r="H442" s="3"/>
      <c r="I442" s="3"/>
      <c r="J442" s="3"/>
      <c r="K442" s="3"/>
      <c r="L442" s="3"/>
      <c r="M442" s="3"/>
      <c r="N442" s="3"/>
      <c r="O442" s="3"/>
      <c r="P442" s="609"/>
    </row>
    <row r="443" spans="1:16" s="415" customFormat="1" ht="15" customHeight="1">
      <c r="A443" s="663"/>
      <c r="B443" s="667"/>
      <c r="D443" s="2"/>
      <c r="E443" s="2"/>
      <c r="F443" s="3"/>
      <c r="G443" s="3"/>
      <c r="H443" s="3"/>
      <c r="I443" s="3"/>
      <c r="J443" s="3"/>
      <c r="K443" s="3"/>
      <c r="L443" s="3"/>
      <c r="M443" s="3"/>
      <c r="N443" s="3"/>
      <c r="O443" s="3"/>
    </row>
    <row r="444" spans="1:16" s="415" customFormat="1" ht="15" customHeight="1">
      <c r="A444" s="663"/>
      <c r="B444" s="667"/>
      <c r="D444" s="3"/>
      <c r="E444" s="640" t="s">
        <v>2009</v>
      </c>
      <c r="F444" s="641"/>
      <c r="G444" s="641"/>
      <c r="H444" s="641"/>
      <c r="I444" s="641"/>
      <c r="J444" s="641"/>
      <c r="K444" s="641"/>
      <c r="L444" s="641"/>
      <c r="M444" s="641"/>
      <c r="N444" s="3"/>
      <c r="O444" s="3"/>
    </row>
    <row r="445" spans="1:16" s="609" customFormat="1">
      <c r="A445" s="663"/>
      <c r="B445" s="667"/>
      <c r="C445" s="415"/>
      <c r="D445" s="3"/>
      <c r="E445" s="3"/>
      <c r="F445" s="3"/>
      <c r="G445" s="3"/>
      <c r="H445" s="3"/>
      <c r="I445" s="3"/>
      <c r="J445" s="3"/>
      <c r="K445" s="3"/>
      <c r="L445" s="3"/>
      <c r="M445" s="554" t="s">
        <v>2002</v>
      </c>
      <c r="N445" s="3"/>
      <c r="O445" s="3"/>
      <c r="P445" s="415"/>
    </row>
    <row r="446" spans="1:16" s="415" customFormat="1" ht="15" customHeight="1">
      <c r="A446" s="663"/>
      <c r="B446" s="667"/>
      <c r="C446" s="609"/>
      <c r="D446" s="2"/>
      <c r="E446" s="611" t="s">
        <v>2010</v>
      </c>
      <c r="F446" s="611">
        <v>2018</v>
      </c>
      <c r="G446" s="611">
        <v>2020</v>
      </c>
      <c r="H446" s="611">
        <v>2025</v>
      </c>
      <c r="I446" s="611">
        <v>2030</v>
      </c>
      <c r="J446" s="611">
        <v>2035</v>
      </c>
      <c r="K446" s="611">
        <v>2040</v>
      </c>
      <c r="L446" s="611">
        <v>2045</v>
      </c>
      <c r="M446" s="611">
        <v>2050</v>
      </c>
      <c r="N446" s="2"/>
      <c r="O446" s="2"/>
      <c r="P446" s="609"/>
    </row>
    <row r="447" spans="1:16" s="415" customFormat="1" ht="15" customHeight="1">
      <c r="A447" s="663"/>
      <c r="B447" s="667"/>
      <c r="D447" s="3"/>
      <c r="E447" s="625" t="s">
        <v>1931</v>
      </c>
      <c r="F447" s="639" cm="1">
        <f t="array" ref="F447:M447">INDEX(CANTIDAD_RESIDUOS_TIPO_GESTION,RELLENO_SANITARIO_CONTROLADO,0)*INDEX(SF_RELLENO_SANITARIO_CAPTACION_APROVECHAMIENTO,SIN_CAPTACION,0)</f>
        <v>58366.565786010644</v>
      </c>
      <c r="G447" s="639">
        <v>63075.268266137988</v>
      </c>
      <c r="H447" s="639">
        <v>75038.40574204654</v>
      </c>
      <c r="I447" s="639">
        <v>87401.24020261754</v>
      </c>
      <c r="J447" s="639">
        <v>87401.24020261754</v>
      </c>
      <c r="K447" s="639">
        <v>87401.24020261754</v>
      </c>
      <c r="L447" s="639">
        <v>87401.24020261754</v>
      </c>
      <c r="M447" s="639">
        <v>87401.24020261754</v>
      </c>
      <c r="N447" s="3"/>
      <c r="O447" s="653"/>
    </row>
    <row r="448" spans="1:16" s="415" customFormat="1" ht="15" customHeight="1">
      <c r="A448" s="663"/>
      <c r="B448" s="667"/>
      <c r="D448" s="3"/>
      <c r="E448" s="625" t="s">
        <v>1932</v>
      </c>
      <c r="F448" s="639" cm="1">
        <f t="array" ref="F448:M448">INDEX(CANTIDAD_RESIDUOS_TIPO_GESTION,RELLENO_SANITARIO_CONTROLADO,0)*INDEX(SF_RELLENO_SANITARIO_CAPTACION_APROVECHAMIENTO,QUEMA_BIOGAS,0)</f>
        <v>496147.91400275502</v>
      </c>
      <c r="G448" s="639">
        <v>536174.47512920608</v>
      </c>
      <c r="H448" s="639">
        <v>637867.72405807883</v>
      </c>
      <c r="I448" s="639">
        <v>742958.61721190962</v>
      </c>
      <c r="J448" s="639">
        <v>742958.61721190962</v>
      </c>
      <c r="K448" s="639">
        <v>742958.61721190962</v>
      </c>
      <c r="L448" s="639">
        <v>742958.61721190962</v>
      </c>
      <c r="M448" s="639">
        <v>742958.61721190962</v>
      </c>
      <c r="N448" s="3"/>
      <c r="O448" s="653"/>
    </row>
    <row r="449" spans="1:16" ht="15" customHeight="1">
      <c r="C449" s="415"/>
      <c r="E449" s="1090" t="s">
        <v>1933</v>
      </c>
      <c r="F449" s="1139" cm="1">
        <f t="array" ref="F449:M449">INDEX(CANTIDAD_RESIDUOS_TIPO_GESTION,RELLENO_SANITARIO_CONTROLADO,0)*INDEX(SF_RELLENO_SANITARIO_CAPTACION_APROVECHAMIENTO,APROVECHAMIENTO,0)</f>
        <v>87581.953500680436</v>
      </c>
      <c r="G449" s="1139">
        <v>94647.59726624006</v>
      </c>
      <c r="H449" s="1139">
        <v>112598.883863753</v>
      </c>
      <c r="I449" s="1139">
        <v>131149.93579358672</v>
      </c>
      <c r="J449" s="1139">
        <v>131149.93579358672</v>
      </c>
      <c r="K449" s="1139">
        <v>131149.93579358672</v>
      </c>
      <c r="L449" s="1139">
        <v>131149.93579358672</v>
      </c>
      <c r="M449" s="1139">
        <v>131149.93579358672</v>
      </c>
      <c r="P449" s="415"/>
    </row>
    <row r="450" spans="1:16" ht="15" customHeight="1">
      <c r="E450" s="625"/>
      <c r="F450" s="639"/>
      <c r="G450" s="639"/>
      <c r="H450" s="639"/>
      <c r="I450" s="639"/>
      <c r="J450" s="639"/>
      <c r="K450" s="639"/>
      <c r="L450" s="639"/>
      <c r="M450" s="639"/>
    </row>
    <row r="451" spans="1:16"/>
    <row r="452" spans="1:16" ht="15" customHeight="1">
      <c r="E452" s="645" t="s">
        <v>2011</v>
      </c>
      <c r="F452" s="642"/>
      <c r="G452" s="643"/>
      <c r="H452" s="643"/>
      <c r="I452" s="643"/>
      <c r="J452" s="643"/>
      <c r="K452" s="643"/>
      <c r="L452" s="643"/>
      <c r="M452" s="655" t="s">
        <v>2012</v>
      </c>
    </row>
    <row r="453" spans="1:16" ht="15" customHeight="1">
      <c r="D453" s="2"/>
      <c r="E453" s="1672" t="s">
        <v>2013</v>
      </c>
      <c r="F453" s="611">
        <v>2018</v>
      </c>
      <c r="G453" s="611">
        <v>2020</v>
      </c>
      <c r="H453" s="611">
        <v>2025</v>
      </c>
      <c r="I453" s="611">
        <v>2030</v>
      </c>
      <c r="J453" s="611">
        <v>2035</v>
      </c>
      <c r="K453" s="611">
        <v>2040</v>
      </c>
      <c r="L453" s="611">
        <v>2045</v>
      </c>
      <c r="M453" s="611">
        <v>2050</v>
      </c>
      <c r="N453" s="2"/>
    </row>
    <row r="454" spans="1:16" s="609" customFormat="1" ht="15" customHeight="1">
      <c r="A454" s="663"/>
      <c r="B454" s="667"/>
      <c r="C454" s="3"/>
      <c r="D454" s="2"/>
      <c r="E454" s="644" t="s">
        <v>2014</v>
      </c>
      <c r="F454" s="644"/>
      <c r="G454" s="644"/>
      <c r="H454" s="644"/>
      <c r="I454" s="644"/>
      <c r="J454" s="644"/>
      <c r="K454" s="644"/>
      <c r="L454" s="644"/>
      <c r="M454" s="644"/>
      <c r="N454" s="2"/>
      <c r="O454" s="3"/>
      <c r="P454" s="3"/>
    </row>
    <row r="455" spans="1:16" s="609" customFormat="1" ht="15" customHeight="1">
      <c r="A455" s="663"/>
      <c r="B455" s="667"/>
      <c r="D455" s="3"/>
      <c r="E455" s="646" t="s">
        <v>1534</v>
      </c>
      <c r="F455" s="639" cm="1">
        <f t="array" ref="F455:M455">INDEX(CANTIDAD_RESIDUOS_TIPO_GESTION,RELLENO_SANITARIO_CONTROLADO,0)*INDEX(SF_CARACTERIZACION_RESIDUOS,MATERIA_ORGANICA,0)*ZONA_CLIMATICA_EXCESIVAMENTE_HUMEDO*INDEX(GENERACION_METANO_ZONA_CLIMATICA_1,MATERIA_ORGANICA,0)</f>
        <v>1644204.5409377718</v>
      </c>
      <c r="G455" s="639">
        <v>1781255.7915893409</v>
      </c>
      <c r="H455" s="639">
        <v>2132435.2125631953</v>
      </c>
      <c r="I455" s="639">
        <v>2499701.2794295009</v>
      </c>
      <c r="J455" s="639">
        <v>2516061.3231781758</v>
      </c>
      <c r="K455" s="639">
        <v>2532858.1718123858</v>
      </c>
      <c r="L455" s="639">
        <v>2550109.5557324421</v>
      </c>
      <c r="M455" s="639">
        <v>2567834.1780962148</v>
      </c>
      <c r="N455" s="3"/>
      <c r="O455" s="3"/>
      <c r="P455" s="3"/>
    </row>
    <row r="456" spans="1:16" s="609" customFormat="1" ht="15" customHeight="1">
      <c r="A456" s="663"/>
      <c r="B456" s="667"/>
      <c r="D456" s="3"/>
      <c r="E456" s="646" t="s">
        <v>1535</v>
      </c>
      <c r="F456" s="639" cm="1">
        <f t="array" ref="F456:M456">INDEX(CANTIDAD_RESIDUOS_TIPO_GESTION,RELLENO_SANITARIO_CONTROLADO,0)*INDEX(SF_CARACTERIZACION_RESIDUOS,PAPEL,0)*ZONA_CLIMATICA_EXCESIVAMENTE_HUMEDO*INDEX(GENERACION_METANO_ZONA_CLIMATICA_1,PAPEL,0)</f>
        <v>713088.21619191545</v>
      </c>
      <c r="G456" s="639">
        <v>764715.63237952325</v>
      </c>
      <c r="H456" s="639">
        <v>891889.933353603</v>
      </c>
      <c r="I456" s="639">
        <v>1017482.3093143849</v>
      </c>
      <c r="J456" s="639">
        <v>995570.25006531144</v>
      </c>
      <c r="K456" s="639">
        <v>973073.14992764604</v>
      </c>
      <c r="L456" s="639">
        <v>949967.26143542235</v>
      </c>
      <c r="M456" s="639">
        <v>926227.53424588509</v>
      </c>
      <c r="N456" s="653"/>
      <c r="O456" s="3"/>
      <c r="P456" s="3"/>
    </row>
    <row r="457" spans="1:16" s="609" customFormat="1" ht="15" customHeight="1">
      <c r="A457" s="663"/>
      <c r="B457" s="667"/>
      <c r="D457" s="3"/>
      <c r="E457" s="646" t="s">
        <v>1536</v>
      </c>
      <c r="F457" s="639" cm="1">
        <f t="array" ref="F457:M457">INDEX(CANTIDAD_RESIDUOS_TIPO_GESTION,RELLENO_SANITARIO_CONTROLADO,0)*INDEX(SF_CARACTERIZACION_RESIDUOS,MADERA,0)*ZONA_CLIMATICA_EXCESIVAMENTE_HUMEDO*INDEX(GENERACION_METANO_ZONA_CLIMATICA_1,MADERA,0)</f>
        <v>58142.595291133752</v>
      </c>
      <c r="G457" s="639">
        <v>68864.483723766854</v>
      </c>
      <c r="H457" s="639">
        <v>100185.89709010099</v>
      </c>
      <c r="I457" s="639">
        <v>138513.67230286091</v>
      </c>
      <c r="J457" s="639">
        <v>160910.43333293809</v>
      </c>
      <c r="K457" s="639">
        <v>183905.17654377085</v>
      </c>
      <c r="L457" s="639">
        <v>207522.17470289272</v>
      </c>
      <c r="M457" s="639">
        <v>231787.03227467759</v>
      </c>
      <c r="N457" s="3"/>
      <c r="O457" s="3"/>
      <c r="P457" s="3"/>
    </row>
    <row r="458" spans="1:16" s="415" customFormat="1">
      <c r="A458" s="663"/>
      <c r="B458" s="667"/>
      <c r="C458" s="609"/>
      <c r="D458" s="3"/>
      <c r="E458" s="646" t="s">
        <v>1537</v>
      </c>
      <c r="F458" s="639" cm="1">
        <f t="array" ref="F458:M458">INDEX(CANTIDAD_RESIDUOS_TIPO_GESTION,RELLENO_SANITARIO_CONTROLADO,0)*INDEX(SF_CARACTERIZACION_RESIDUOS,TEXTILES,0)*ZONA_CLIMATICA_EXCESIVAMENTE_HUMEDO*INDEX(GENERACION_METANO_ZONA_CLIMATICA_1,TEXTILES,0)</f>
        <v>73443.449061203486</v>
      </c>
      <c r="G458" s="639">
        <v>87249.322555422637</v>
      </c>
      <c r="H458" s="639">
        <v>127657.52989721828</v>
      </c>
      <c r="I458" s="639">
        <v>177203.40438605042</v>
      </c>
      <c r="J458" s="639">
        <v>206468.53966609339</v>
      </c>
      <c r="K458" s="639">
        <v>236515.03924213286</v>
      </c>
      <c r="L458" s="639">
        <v>267374.61956747808</v>
      </c>
      <c r="M458" s="639">
        <v>299080.73718134337</v>
      </c>
      <c r="N458" s="3"/>
      <c r="O458" s="3"/>
      <c r="P458" s="3"/>
    </row>
    <row r="459" spans="1:16" s="415" customFormat="1" ht="15" customHeight="1">
      <c r="A459" s="663"/>
      <c r="B459" s="667"/>
      <c r="D459" s="3"/>
      <c r="E459" s="647" t="s">
        <v>1538</v>
      </c>
      <c r="F459" s="639" cm="1">
        <f t="array" ref="F459:M459">INDEX(CANTIDAD_RESIDUOS_TIPO_GESTION,RELLENO_SANITARIO_CONTROLADO,0)*INDEX(SF_CARACTERIZACION_RESIDUOS,RESIDUOS_SOLIDOS,0)*ZONA_CLIMATICA_EXCESIVAMENTE_HUMEDO*INDEX(GENERACION_METANO_ZONA_CLIMATICA_1,RESIDUOS_SOLIDOS,0)</f>
        <v>0</v>
      </c>
      <c r="G459" s="639">
        <v>0</v>
      </c>
      <c r="H459" s="639">
        <v>0</v>
      </c>
      <c r="I459" s="639">
        <v>0</v>
      </c>
      <c r="J459" s="639">
        <v>0</v>
      </c>
      <c r="K459" s="639">
        <v>0</v>
      </c>
      <c r="L459" s="639">
        <v>0</v>
      </c>
      <c r="M459" s="639">
        <v>0</v>
      </c>
      <c r="N459" s="3"/>
      <c r="O459" s="3"/>
      <c r="P459" s="3"/>
    </row>
    <row r="460" spans="1:16" s="415" customFormat="1" ht="15" customHeight="1">
      <c r="A460" s="663"/>
      <c r="B460" s="667"/>
      <c r="D460" s="2"/>
      <c r="E460" s="654" t="s">
        <v>1714</v>
      </c>
      <c r="F460" s="1520">
        <f>SUM(F455:F459)</f>
        <v>2488878.8014820246</v>
      </c>
      <c r="G460" s="1520">
        <f t="shared" ref="G460:M460" si="24">SUM(G455:G459)</f>
        <v>2702085.2302480536</v>
      </c>
      <c r="H460" s="1520">
        <f t="shared" si="24"/>
        <v>3252168.5729041174</v>
      </c>
      <c r="I460" s="1520">
        <f t="shared" si="24"/>
        <v>3832900.6654327973</v>
      </c>
      <c r="J460" s="1520">
        <f t="shared" si="24"/>
        <v>3879010.5462425188</v>
      </c>
      <c r="K460" s="1520">
        <f t="shared" si="24"/>
        <v>3926351.5375259356</v>
      </c>
      <c r="L460" s="1520">
        <f t="shared" si="24"/>
        <v>3974973.6114382348</v>
      </c>
      <c r="M460" s="1520">
        <f t="shared" si="24"/>
        <v>4024929.4817981208</v>
      </c>
      <c r="N460" s="2"/>
      <c r="O460" s="3"/>
      <c r="P460" s="3"/>
    </row>
    <row r="461" spans="1:16" s="415" customFormat="1" ht="15" customHeight="1">
      <c r="A461" s="663"/>
      <c r="B461" s="667"/>
      <c r="D461" s="2"/>
      <c r="E461" s="644" t="s">
        <v>2015</v>
      </c>
      <c r="F461" s="1521"/>
      <c r="G461" s="1521"/>
      <c r="H461" s="1521"/>
      <c r="I461" s="1521"/>
      <c r="J461" s="1521"/>
      <c r="K461" s="1521"/>
      <c r="L461" s="1521"/>
      <c r="M461" s="1521"/>
      <c r="N461" s="2"/>
      <c r="O461" s="2"/>
      <c r="P461" s="3"/>
    </row>
    <row r="462" spans="1:16" ht="15" customHeight="1">
      <c r="C462" s="415"/>
      <c r="E462" s="646" t="s">
        <v>1534</v>
      </c>
      <c r="F462" s="639" cm="1">
        <f t="array" ref="F462:M462">INDEX(CANTIDAD_RESIDUOS_TIPO_GESTION,RELLENO_SANITARIO_CONTROLADO,0)*INDEX(SF_CARACTERIZACION_RESIDUOS,MATERIA_ORGANICA,0)*ZONA_CLIMATICA_HUMEDO*INDEX(GENERACION_METANO_ZONA_CLIMATICA_2,MATERIA_ORGANICA,0)</f>
        <v>9371965.8833452966</v>
      </c>
      <c r="G462" s="639">
        <v>10153158.012059242</v>
      </c>
      <c r="H462" s="639">
        <v>12154880.711610213</v>
      </c>
      <c r="I462" s="639">
        <v>14248297.292748153</v>
      </c>
      <c r="J462" s="639">
        <v>14341549.542115601</v>
      </c>
      <c r="K462" s="639">
        <v>14437291.579330597</v>
      </c>
      <c r="L462" s="639">
        <v>14535624.467674917</v>
      </c>
      <c r="M462" s="639">
        <v>14636654.815148421</v>
      </c>
    </row>
    <row r="463" spans="1:16" ht="15" customHeight="1">
      <c r="E463" s="646" t="s">
        <v>1535</v>
      </c>
      <c r="F463" s="639" cm="1">
        <f t="array" ref="F463:M463">INDEX(CANTIDAD_RESIDUOS_TIPO_GESTION,RELLENO_SANITARIO_CONTROLADO,0)*INDEX(SF_CARACTERIZACION_RESIDUOS,PAPEL,0)*ZONA_CLIMATICA_HUMEDO*INDEX(GENERACION_METANO_ZONA_CLIMATICA_2,PAPEL,0)</f>
        <v>4064602.8322939184</v>
      </c>
      <c r="G463" s="639">
        <v>4358879.1045632819</v>
      </c>
      <c r="H463" s="639">
        <v>5083772.6201155363</v>
      </c>
      <c r="I463" s="639">
        <v>5799649.1630919939</v>
      </c>
      <c r="J463" s="639">
        <v>5674750.4253722737</v>
      </c>
      <c r="K463" s="639">
        <v>5546516.9545875806</v>
      </c>
      <c r="L463" s="639">
        <v>5414813.3901819065</v>
      </c>
      <c r="M463" s="639">
        <v>5279496.9452015441</v>
      </c>
      <c r="N463" s="653"/>
      <c r="O463" s="653"/>
    </row>
    <row r="464" spans="1:16" ht="15" customHeight="1">
      <c r="E464" s="646" t="s">
        <v>1536</v>
      </c>
      <c r="F464" s="639" cm="1">
        <f t="array" ref="F464:M464">INDEX(CANTIDAD_RESIDUOS_TIPO_GESTION,RELLENO_SANITARIO_CONTROLADO,0)*INDEX(SF_CARACTERIZACION_RESIDUOS,MADERA,0)*ZONA_CLIMATICA_HUMEDO*INDEX(GENERACION_METANO_ZONA_CLIMATICA_2,MADERA,0)</f>
        <v>331412.79315946234</v>
      </c>
      <c r="G464" s="639">
        <v>392527.55722547101</v>
      </c>
      <c r="H464" s="639">
        <v>571059.61341357557</v>
      </c>
      <c r="I464" s="639">
        <v>789527.93212630705</v>
      </c>
      <c r="J464" s="639">
        <v>917189.46999774699</v>
      </c>
      <c r="K464" s="639">
        <v>1048259.5062994937</v>
      </c>
      <c r="L464" s="639">
        <v>1182876.3958064883</v>
      </c>
      <c r="M464" s="639">
        <v>1321186.0839656622</v>
      </c>
    </row>
    <row r="465" spans="4:15">
      <c r="E465" s="646" t="s">
        <v>1537</v>
      </c>
      <c r="F465" s="639" cm="1">
        <f t="array" ref="F465:M465">INDEX(CANTIDAD_RESIDUOS_TIPO_GESTION,RELLENO_SANITARIO_CONTROLADO,0)*INDEX(SF_CARACTERIZACION_RESIDUOS,TEXTILES,0)*ZONA_CLIMATICA_HUMEDO*INDEX(GENERACION_METANO_ZONA_CLIMATICA_2,TEXTILES,0)</f>
        <v>418627.65964885982</v>
      </c>
      <c r="G465" s="639">
        <v>497321.138565909</v>
      </c>
      <c r="H465" s="639">
        <v>727647.92041414406</v>
      </c>
      <c r="I465" s="639">
        <v>1010059.4050004871</v>
      </c>
      <c r="J465" s="639">
        <v>1176870.676096732</v>
      </c>
      <c r="K465" s="639">
        <v>1348135.723680157</v>
      </c>
      <c r="L465" s="639">
        <v>1524035.3315346248</v>
      </c>
      <c r="M465" s="639">
        <v>1704760.2019336571</v>
      </c>
    </row>
    <row r="466" spans="4:15" ht="15" customHeight="1">
      <c r="E466" s="647" t="s">
        <v>1538</v>
      </c>
      <c r="F466" s="639" cm="1">
        <f t="array" ref="F466:M466">INDEX(CANTIDAD_RESIDUOS_TIPO_GESTION,RELLENO_SANITARIO_CONTROLADO,0)*INDEX(SF_CARACTERIZACION_RESIDUOS,RESIDUOS_SOLIDOS,0)*ZONA_CLIMATICA_HUMEDO*INDEX(GENERACION_METANO_ZONA_CLIMATICA_2,RESIDUOS_SOLIDOS,0)</f>
        <v>0</v>
      </c>
      <c r="G466" s="639">
        <v>0</v>
      </c>
      <c r="H466" s="639">
        <v>0</v>
      </c>
      <c r="I466" s="639">
        <v>0</v>
      </c>
      <c r="J466" s="639">
        <v>0</v>
      </c>
      <c r="K466" s="639">
        <v>0</v>
      </c>
      <c r="L466" s="639">
        <v>0</v>
      </c>
      <c r="M466" s="639">
        <v>0</v>
      </c>
    </row>
    <row r="467" spans="4:15" ht="15" customHeight="1">
      <c r="D467" s="2"/>
      <c r="E467" s="654" t="s">
        <v>1714</v>
      </c>
      <c r="F467" s="1520">
        <f t="shared" ref="F467:M467" si="25">SUM(F462:F466)</f>
        <v>14186609.168447537</v>
      </c>
      <c r="G467" s="1520">
        <f t="shared" si="25"/>
        <v>15401885.812413903</v>
      </c>
      <c r="H467" s="1520">
        <f t="shared" si="25"/>
        <v>18537360.865553468</v>
      </c>
      <c r="I467" s="1520">
        <f t="shared" si="25"/>
        <v>21847533.79296694</v>
      </c>
      <c r="J467" s="1520">
        <f t="shared" si="25"/>
        <v>22110360.113582358</v>
      </c>
      <c r="K467" s="1520">
        <f t="shared" si="25"/>
        <v>22380203.763897829</v>
      </c>
      <c r="L467" s="1520">
        <f t="shared" si="25"/>
        <v>22657349.585197937</v>
      </c>
      <c r="M467" s="1520">
        <f t="shared" si="25"/>
        <v>22942098.046249285</v>
      </c>
      <c r="N467" s="2"/>
      <c r="O467" s="2"/>
    </row>
    <row r="468" spans="4:15" ht="15" customHeight="1">
      <c r="D468" s="2"/>
      <c r="E468" s="644" t="s">
        <v>2016</v>
      </c>
      <c r="F468" s="1521"/>
      <c r="G468" s="1521"/>
      <c r="H468" s="1521"/>
      <c r="I468" s="1521"/>
      <c r="J468" s="1521"/>
      <c r="K468" s="1521"/>
      <c r="L468" s="1521"/>
      <c r="M468" s="1521"/>
      <c r="N468" s="2"/>
      <c r="O468" s="2"/>
    </row>
    <row r="469" spans="4:15" ht="15" customHeight="1">
      <c r="E469" s="646" t="s">
        <v>1534</v>
      </c>
      <c r="F469" s="639" cm="1">
        <f t="array" ref="F469:M469">INDEX(CANTIDAD_RESIDUOS_TIPO_GESTION,RELLENO_SANITARIO_CONTROLADO,0)*INDEX(SF_CARACTERIZACION_RESIDUOS,MATERIA_ORGANICA,0)*ZONA_CLIMATICA_MODERADAMENTE_HUMEDO*INDEX(GENERACION_METANO_ZONA_CLIMATICA_3,MATERIA_ORGANICA,0)</f>
        <v>3946090.8982506515</v>
      </c>
      <c r="G469" s="639">
        <v>4275013.8998144176</v>
      </c>
      <c r="H469" s="639">
        <v>5117844.5101516685</v>
      </c>
      <c r="I469" s="639">
        <v>5999283.0706308018</v>
      </c>
      <c r="J469" s="639">
        <v>6038547.1756276209</v>
      </c>
      <c r="K469" s="639">
        <v>6078859.6123497244</v>
      </c>
      <c r="L469" s="639">
        <v>6120262.9337578602</v>
      </c>
      <c r="M469" s="639">
        <v>6162802.0274309143</v>
      </c>
    </row>
    <row r="470" spans="4:15" ht="15" customHeight="1">
      <c r="E470" s="646" t="s">
        <v>1535</v>
      </c>
      <c r="F470" s="639" cm="1">
        <f t="array" ref="F470:M470">INDEX(CANTIDAD_RESIDUOS_TIPO_GESTION,RELLENO_SANITARIO_CONTROLADO,0)*INDEX(SF_CARACTERIZACION_RESIDUOS,PAPEL,0)*ZONA_CLIMATICA_MODERADAMENTE_HUMEDO*INDEX(GENERACION_METANO_ZONA_CLIMATICA_3,PAPEL,0)</f>
        <v>1711411.7188605969</v>
      </c>
      <c r="G470" s="639">
        <v>1835317.5177108559</v>
      </c>
      <c r="H470" s="639">
        <v>2140535.840048647</v>
      </c>
      <c r="I470" s="639">
        <v>2441957.5423545237</v>
      </c>
      <c r="J470" s="639">
        <v>2389368.6001567468</v>
      </c>
      <c r="K470" s="639">
        <v>2335375.5598263498</v>
      </c>
      <c r="L470" s="639">
        <v>2279921.4274450131</v>
      </c>
      <c r="M470" s="639">
        <v>2222946.0821901239</v>
      </c>
      <c r="N470" s="653"/>
      <c r="O470" s="653"/>
    </row>
    <row r="471" spans="4:15" ht="15" customHeight="1">
      <c r="E471" s="646" t="s">
        <v>1536</v>
      </c>
      <c r="F471" s="639" cm="1">
        <f t="array" ref="F471:M471">INDEX(CANTIDAD_RESIDUOS_TIPO_GESTION,RELLENO_SANITARIO_CONTROLADO,0)*INDEX(SF_CARACTERIZACION_RESIDUOS,MADERA,0)*ZONA_CLIMATICA_MODERADAMENTE_HUMEDO*INDEX(GENERACION_METANO_ZONA_CLIMATICA_3,MADERA,0)</f>
        <v>139542.22869872098</v>
      </c>
      <c r="G471" s="639">
        <v>165274.76093704044</v>
      </c>
      <c r="H471" s="639">
        <v>240446.15301624234</v>
      </c>
      <c r="I471" s="639">
        <v>332432.81352686614</v>
      </c>
      <c r="J471" s="639">
        <v>386185.03999905143</v>
      </c>
      <c r="K471" s="639">
        <v>441372.42370505002</v>
      </c>
      <c r="L471" s="639">
        <v>498053.21928694245</v>
      </c>
      <c r="M471" s="639">
        <v>556288.87745922618</v>
      </c>
    </row>
    <row r="472" spans="4:15">
      <c r="E472" s="646" t="s">
        <v>1537</v>
      </c>
      <c r="F472" s="639" cm="1">
        <f t="array" ref="F472:M472">INDEX(CANTIDAD_RESIDUOS_TIPO_GESTION,RELLENO_SANITARIO_CONTROLADO,0)*INDEX(SF_CARACTERIZACION_RESIDUOS,TEXTILES,0)*ZONA_CLIMATICA_MODERADAMENTE_HUMEDO*INDEX(GENERACION_METANO_ZONA_CLIMATICA_3,TEXTILES,0)</f>
        <v>176264.27774688834</v>
      </c>
      <c r="G472" s="639">
        <v>209398.37413301435</v>
      </c>
      <c r="H472" s="639">
        <v>306378.07175332383</v>
      </c>
      <c r="I472" s="639">
        <v>425288.17052652093</v>
      </c>
      <c r="J472" s="639">
        <v>495524.49519862415</v>
      </c>
      <c r="K472" s="639">
        <v>567636.09418111877</v>
      </c>
      <c r="L472" s="639">
        <v>641699.08696194727</v>
      </c>
      <c r="M472" s="639">
        <v>717793.769235224</v>
      </c>
    </row>
    <row r="473" spans="4:15" ht="15" customHeight="1">
      <c r="E473" s="647" t="s">
        <v>1538</v>
      </c>
      <c r="F473" s="639" cm="1">
        <f t="array" ref="F473:M473">INDEX(CANTIDAD_RESIDUOS_TIPO_GESTION,RELLENO_SANITARIO_CONTROLADO,0)*INDEX(SF_CARACTERIZACION_RESIDUOS,RESIDUOS_SOLIDOS,0)*ZONA_CLIMATICA_MODERADAMENTE_HUMEDO*INDEX(GENERACION_METANO_ZONA_CLIMATICA_3,RESIDUOS_SOLIDOS,0)</f>
        <v>0</v>
      </c>
      <c r="G473" s="639">
        <v>0</v>
      </c>
      <c r="H473" s="639">
        <v>0</v>
      </c>
      <c r="I473" s="639">
        <v>0</v>
      </c>
      <c r="J473" s="639">
        <v>0</v>
      </c>
      <c r="K473" s="639">
        <v>0</v>
      </c>
      <c r="L473" s="639">
        <v>0</v>
      </c>
      <c r="M473" s="639">
        <v>0</v>
      </c>
    </row>
    <row r="474" spans="4:15" ht="15" customHeight="1">
      <c r="D474" s="2"/>
      <c r="E474" s="654" t="s">
        <v>1714</v>
      </c>
      <c r="F474" s="1520">
        <f t="shared" ref="F474:M474" si="26">SUM(F469:F473)</f>
        <v>5973309.1235568579</v>
      </c>
      <c r="G474" s="1520">
        <f t="shared" si="26"/>
        <v>6485004.5525953285</v>
      </c>
      <c r="H474" s="1520">
        <f t="shared" si="26"/>
        <v>7805204.5749698821</v>
      </c>
      <c r="I474" s="1520">
        <f t="shared" si="26"/>
        <v>9198961.5970387142</v>
      </c>
      <c r="J474" s="1520">
        <f t="shared" si="26"/>
        <v>9309625.3109820429</v>
      </c>
      <c r="K474" s="1520">
        <f t="shared" si="26"/>
        <v>9423243.6900622435</v>
      </c>
      <c r="L474" s="1520">
        <f t="shared" si="26"/>
        <v>9539936.6674517635</v>
      </c>
      <c r="M474" s="1520">
        <f t="shared" si="26"/>
        <v>9659830.7563154884</v>
      </c>
      <c r="N474" s="2"/>
      <c r="O474" s="2"/>
    </row>
    <row r="475" spans="4:15" ht="15" customHeight="1">
      <c r="D475" s="2"/>
      <c r="E475" s="644" t="s">
        <v>2017</v>
      </c>
      <c r="F475" s="1521"/>
      <c r="G475" s="1521"/>
      <c r="H475" s="1521"/>
      <c r="I475" s="1521"/>
      <c r="J475" s="1521"/>
      <c r="K475" s="1521"/>
      <c r="L475" s="1521"/>
      <c r="M475" s="1521"/>
      <c r="N475" s="2"/>
      <c r="O475" s="2"/>
    </row>
    <row r="476" spans="4:15" ht="15" customHeight="1">
      <c r="E476" s="646" t="s">
        <v>1534</v>
      </c>
      <c r="F476" s="639" cm="1">
        <f t="array" ref="F476:M476">INDEX(CANTIDAD_RESIDUOS_TIPO_GESTION,RELLENO_SANITARIO_CONTROLADO,0)*INDEX(SF_CARACTERIZACION_RESIDUOS,MATERIA_ORGANICA,0)*ZONA_CLIMATICA_MODERADAMENTE_SECO*INDEX(GENERACION_METANO_ZONA_CLIMATICA_4,MATERIA_ORGANICA,0)</f>
        <v>1479784.0868439942</v>
      </c>
      <c r="G476" s="639">
        <v>1603130.2124304064</v>
      </c>
      <c r="H476" s="639">
        <v>1919191.6913068756</v>
      </c>
      <c r="I476" s="639">
        <v>2249731.1514865509</v>
      </c>
      <c r="J476" s="639">
        <v>2264455.1908603581</v>
      </c>
      <c r="K476" s="639">
        <v>2279572.3546311469</v>
      </c>
      <c r="L476" s="639">
        <v>2295098.6001591971</v>
      </c>
      <c r="M476" s="639">
        <v>2311050.7602865929</v>
      </c>
    </row>
    <row r="477" spans="4:15" ht="15" customHeight="1">
      <c r="E477" s="646" t="s">
        <v>1535</v>
      </c>
      <c r="F477" s="639" cm="1">
        <f t="array" ref="F477:M477">INDEX(CANTIDAD_RESIDUOS_TIPO_GESTION,RELLENO_SANITARIO_CONTROLADO,0)*INDEX(SF_CARACTERIZACION_RESIDUOS,PAPEL,0)*ZONA_CLIMATICA_MODERADAMENTE_SECO*INDEX(GENERACION_METANO_ZONA_CLIMATICA_4,PAPEL,0)</f>
        <v>641779.39457272389</v>
      </c>
      <c r="G477" s="639">
        <v>688244.06914157083</v>
      </c>
      <c r="H477" s="639">
        <v>802700.94001824269</v>
      </c>
      <c r="I477" s="639">
        <v>915734.07838294643</v>
      </c>
      <c r="J477" s="639">
        <v>896013.22505878017</v>
      </c>
      <c r="K477" s="639">
        <v>875765.83493488119</v>
      </c>
      <c r="L477" s="639">
        <v>854970.5352918799</v>
      </c>
      <c r="M477" s="639">
        <v>833604.7808212965</v>
      </c>
      <c r="N477" s="653"/>
      <c r="O477" s="653"/>
    </row>
    <row r="478" spans="4:15" ht="15" customHeight="1">
      <c r="E478" s="646" t="s">
        <v>1536</v>
      </c>
      <c r="F478" s="639" cm="1">
        <f t="array" ref="F478:M478">INDEX(CANTIDAD_RESIDUOS_TIPO_GESTION,RELLENO_SANITARIO_CONTROLADO,0)*INDEX(SF_CARACTERIZACION_RESIDUOS,MADERA,0)*ZONA_CLIMATICA_MODERADAMENTE_SECO*INDEX(GENERACION_METANO_ZONA_CLIMATICA_4,MADERA,0)</f>
        <v>52328.335762020368</v>
      </c>
      <c r="G478" s="639">
        <v>61978.035351390165</v>
      </c>
      <c r="H478" s="639">
        <v>90167.307381090883</v>
      </c>
      <c r="I478" s="639">
        <v>124662.30507257482</v>
      </c>
      <c r="J478" s="639">
        <v>144819.38999964428</v>
      </c>
      <c r="K478" s="639">
        <v>165514.65888939376</v>
      </c>
      <c r="L478" s="639">
        <v>186769.9572326034</v>
      </c>
      <c r="M478" s="639">
        <v>208608.32904720982</v>
      </c>
    </row>
    <row r="479" spans="4:15" ht="15" customHeight="1">
      <c r="E479" s="646" t="s">
        <v>1537</v>
      </c>
      <c r="F479" s="639" cm="1">
        <f t="array" ref="F479:M479">INDEX(CANTIDAD_RESIDUOS_TIPO_GESTION,RELLENO_SANITARIO_CONTROLADO,0)*INDEX(SF_CARACTERIZACION_RESIDUOS,TEXTILES,0)*ZONA_CLIMATICA_MODERADAMENTE_SECO*INDEX(GENERACION_METANO_ZONA_CLIMATICA_4,TEXTILES,0)</f>
        <v>66099.104155083129</v>
      </c>
      <c r="G479" s="639">
        <v>78524.390299880382</v>
      </c>
      <c r="H479" s="639">
        <v>114891.77690749645</v>
      </c>
      <c r="I479" s="639">
        <v>159483.06394744536</v>
      </c>
      <c r="J479" s="639">
        <v>185821.68569948402</v>
      </c>
      <c r="K479" s="639">
        <v>212863.53531791954</v>
      </c>
      <c r="L479" s="639">
        <v>240637.15761073021</v>
      </c>
      <c r="M479" s="639">
        <v>269172.663463209</v>
      </c>
    </row>
    <row r="480" spans="4:15" ht="15" customHeight="1">
      <c r="E480" s="647" t="s">
        <v>1538</v>
      </c>
      <c r="F480" s="639" cm="1">
        <f t="array" ref="F480:M480">INDEX(CANTIDAD_RESIDUOS_TIPO_GESTION,RELLENO_SANITARIO_CONTROLADO,0)*INDEX(SF_CARACTERIZACION_RESIDUOS,RESIDUOS_SOLIDOS,0)*ZONA_CLIMATICA_MODERADAMENTE_SECO*INDEX(GENERACION_METANO_ZONA_CLIMATICA_4,RESIDUOS_SOLIDOS,0)</f>
        <v>0</v>
      </c>
      <c r="G480" s="639">
        <v>0</v>
      </c>
      <c r="H480" s="639">
        <v>0</v>
      </c>
      <c r="I480" s="639">
        <v>0</v>
      </c>
      <c r="J480" s="639">
        <v>0</v>
      </c>
      <c r="K480" s="639">
        <v>0</v>
      </c>
      <c r="L480" s="639">
        <v>0</v>
      </c>
      <c r="M480" s="639">
        <v>0</v>
      </c>
    </row>
    <row r="481" spans="4:16" ht="15" customHeight="1">
      <c r="D481" s="2"/>
      <c r="E481" s="1063" t="s">
        <v>1714</v>
      </c>
      <c r="F481" s="1133">
        <f t="shared" ref="F481:M481" si="27">SUM(F476:F480)</f>
        <v>2239990.9213338215</v>
      </c>
      <c r="G481" s="1133">
        <f t="shared" si="27"/>
        <v>2431876.7072232477</v>
      </c>
      <c r="H481" s="1133">
        <f t="shared" si="27"/>
        <v>2926951.7156137056</v>
      </c>
      <c r="I481" s="1133">
        <f t="shared" si="27"/>
        <v>3449610.5988895176</v>
      </c>
      <c r="J481" s="1133">
        <f t="shared" si="27"/>
        <v>3491109.4916182663</v>
      </c>
      <c r="K481" s="1133">
        <f t="shared" si="27"/>
        <v>3533716.3837733418</v>
      </c>
      <c r="L481" s="1133">
        <f t="shared" si="27"/>
        <v>3577476.2502944106</v>
      </c>
      <c r="M481" s="1133">
        <f t="shared" si="27"/>
        <v>3622436.5336183077</v>
      </c>
      <c r="N481" s="2"/>
      <c r="O481" s="2"/>
    </row>
    <row r="484" spans="4:16" ht="15" customHeight="1">
      <c r="D484" s="415"/>
      <c r="E484" s="645" t="s">
        <v>2018</v>
      </c>
      <c r="F484" s="643"/>
      <c r="G484" s="643"/>
      <c r="H484" s="643"/>
      <c r="I484" s="643"/>
      <c r="J484" s="643"/>
      <c r="K484" s="643"/>
      <c r="L484" s="643"/>
      <c r="M484" s="648" t="s">
        <v>1705</v>
      </c>
      <c r="N484" s="415"/>
      <c r="O484" s="415"/>
    </row>
    <row r="485" spans="4:16" ht="15" customHeight="1">
      <c r="D485" s="609"/>
      <c r="E485" s="649" t="s">
        <v>2019</v>
      </c>
      <c r="F485" s="649">
        <v>2018</v>
      </c>
      <c r="G485" s="649">
        <v>2020</v>
      </c>
      <c r="H485" s="649">
        <v>2025</v>
      </c>
      <c r="I485" s="649">
        <v>2030</v>
      </c>
      <c r="J485" s="649">
        <v>2035</v>
      </c>
      <c r="K485" s="649">
        <v>2040</v>
      </c>
      <c r="L485" s="649">
        <v>2045</v>
      </c>
      <c r="M485" s="649">
        <v>2050</v>
      </c>
      <c r="N485" s="609"/>
      <c r="O485" s="609"/>
    </row>
    <row r="486" spans="4:16" ht="15" customHeight="1">
      <c r="D486" s="609"/>
      <c r="E486" s="650" t="s">
        <v>2014</v>
      </c>
      <c r="F486" s="1522"/>
      <c r="G486" s="1522"/>
      <c r="H486" s="1522"/>
      <c r="I486" s="1522"/>
      <c r="J486" s="1522"/>
      <c r="K486" s="1522"/>
      <c r="L486" s="1522"/>
      <c r="M486" s="1522"/>
      <c r="N486" s="609"/>
      <c r="O486" s="609"/>
    </row>
    <row r="487" spans="4:16" ht="15" customHeight="1">
      <c r="D487" s="415"/>
      <c r="E487" s="651" t="s">
        <v>1931</v>
      </c>
      <c r="F487" s="1317" cm="1">
        <f t="array" ref="F487:M487">INDEX(METANO_GENERADO_ZONA_CLIMATICA_1,1,0)*INDEX(SF_RELLENO_SANITARIO_CAPTACION_APROVECHAMIENTO,SIN_CAPTACION,0)*DENSIDAD_CH4_M3_A_KG*UNIDAD_KG_A_T*UNIDAD_T_A_MT</f>
        <v>2.7148689966565923E-4</v>
      </c>
      <c r="G487" s="1317">
        <v>2.9474345691545765E-4</v>
      </c>
      <c r="H487" s="1317">
        <v>3.5474654793238113E-4</v>
      </c>
      <c r="I487" s="1317">
        <v>4.1809280458540943E-4</v>
      </c>
      <c r="J487" s="1317">
        <v>4.2312247038413388E-4</v>
      </c>
      <c r="K487" s="1317">
        <v>4.2828642571332901E-4</v>
      </c>
      <c r="L487" s="1317">
        <v>4.3359012153568259E-4</v>
      </c>
      <c r="M487" s="1317">
        <v>4.3903930787453902E-4</v>
      </c>
      <c r="N487" s="415"/>
      <c r="O487" s="415"/>
    </row>
    <row r="488" spans="4:16" ht="15" customHeight="1">
      <c r="D488" s="415"/>
      <c r="E488" s="651" t="s">
        <v>1932</v>
      </c>
      <c r="F488" s="1317" cm="1">
        <f t="array" ref="F488:M488">INDEX(METANO_GENERADO_ZONA_CLIMATICA_1,1,0)*INDEX(SF_RELLENO_SANITARIO_CAPTACION_APROVECHAMIENTO,QUEMA_BIOGAS,0)*DENSIDAD_CH4_M3_A_KG*UNIDAD_KG_A_MT</f>
        <v>2.3077879798861925E-3</v>
      </c>
      <c r="G488" s="1317">
        <v>2.5054815088952054E-3</v>
      </c>
      <c r="H488" s="1317">
        <v>3.015540787539614E-3</v>
      </c>
      <c r="I488" s="1317">
        <v>3.5540188130159071E-3</v>
      </c>
      <c r="J488" s="1317">
        <v>3.5967737388979139E-3</v>
      </c>
      <c r="K488" s="1317">
        <v>3.640670199655549E-3</v>
      </c>
      <c r="L488" s="1317">
        <v>3.6857545314699894E-3</v>
      </c>
      <c r="M488" s="1317">
        <v>3.7320756127024899E-3</v>
      </c>
      <c r="N488" s="415"/>
      <c r="O488" s="415"/>
    </row>
    <row r="489" spans="4:16" ht="15" customHeight="1">
      <c r="D489" s="415"/>
      <c r="E489" s="651" t="s">
        <v>1933</v>
      </c>
      <c r="F489" s="1317" cm="1">
        <f t="array" ref="F489:M489">INDEX(METANO_GENERADO_ZONA_CLIMATICA_1,1,0)*INDEX(SF_RELLENO_SANITARIO_CAPTACION_APROVECHAMIENTO,APROVECHAMIENTO,0)*DENSIDAD_CH4_M3_A_KG*UNIDAD_KG_A_T*UNIDAD_T_A_MT</f>
        <v>4.0737968222657767E-4</v>
      </c>
      <c r="G489" s="1317">
        <v>4.4227731048700138E-4</v>
      </c>
      <c r="H489" s="1317">
        <v>5.3231495201294589E-4</v>
      </c>
      <c r="I489" s="1317">
        <v>6.2736918091804022E-4</v>
      </c>
      <c r="J489" s="1317">
        <v>6.3491644620897549E-4</v>
      </c>
      <c r="K489" s="1317">
        <v>6.4266521966224505E-4</v>
      </c>
      <c r="L489" s="1317">
        <v>6.5062368072021036E-4</v>
      </c>
      <c r="M489" s="1317">
        <v>6.5880045758071645E-4</v>
      </c>
      <c r="N489" s="415"/>
      <c r="O489" s="415"/>
    </row>
    <row r="490" spans="4:16" ht="15" customHeight="1">
      <c r="D490" s="609"/>
      <c r="E490" s="650" t="s">
        <v>2015</v>
      </c>
      <c r="F490" s="2110"/>
      <c r="G490" s="2110"/>
      <c r="H490" s="2110" t="s">
        <v>33</v>
      </c>
      <c r="I490" s="2110"/>
      <c r="J490" s="2110"/>
      <c r="K490" s="2110"/>
      <c r="L490" s="2110"/>
      <c r="M490" s="2110"/>
      <c r="N490" s="609"/>
      <c r="O490" s="609"/>
    </row>
    <row r="491" spans="4:16" ht="15" customHeight="1">
      <c r="D491" s="415"/>
      <c r="E491" s="651" t="s">
        <v>1931</v>
      </c>
      <c r="F491" s="1317" cm="1">
        <f t="array" ref="F491:M491">INDEX(METANO_GENERADO_ZONA_CLIMATICA_2,1,0)*INDEX(SF_RELLENO_SANITARIO_CAPTACION_APROVECHAMIENTO,SIN_CAPTACION,0)*DENSIDAD_CH4_M3_A_KG*UNIDAD_KG_A_T*UNIDAD_T_A_MT</f>
        <v>1.5474753280942573E-3</v>
      </c>
      <c r="G491" s="1317">
        <v>1.6800377044181086E-3</v>
      </c>
      <c r="H491" s="1317">
        <v>2.0220553232145719E-3</v>
      </c>
      <c r="I491" s="1317">
        <v>2.3831289861368336E-3</v>
      </c>
      <c r="J491" s="1317">
        <v>2.4117980811895635E-3</v>
      </c>
      <c r="K491" s="1317">
        <v>2.4412326265659747E-3</v>
      </c>
      <c r="L491" s="1317">
        <v>2.4714636927533908E-3</v>
      </c>
      <c r="M491" s="1317">
        <v>2.5025240548848717E-3</v>
      </c>
      <c r="N491" s="415"/>
      <c r="O491" s="2127"/>
    </row>
    <row r="492" spans="4:16" ht="15" customHeight="1">
      <c r="D492" s="415"/>
      <c r="E492" s="651" t="s">
        <v>1932</v>
      </c>
      <c r="F492" s="1317" cm="1">
        <f t="array" ref="F492:M492">INDEX(METANO_GENERADO_ZONA_CLIMATICA_2,1,0)*INDEX(SF_RELLENO_SANITARIO_CAPTACION_APROVECHAMIENTO,QUEMA_BIOGAS,0)*DENSIDAD_CH4_M3_A_KG*UNIDAD_KG_A_T*UNIDAD_T_A_MT</f>
        <v>1.3154391485351295E-2</v>
      </c>
      <c r="G492" s="1317">
        <v>1.4281244600702668E-2</v>
      </c>
      <c r="H492" s="1317">
        <v>1.7188582488975795E-2</v>
      </c>
      <c r="I492" s="1317">
        <v>2.0257907234190665E-2</v>
      </c>
      <c r="J492" s="1317">
        <v>2.0501610311718106E-2</v>
      </c>
      <c r="K492" s="1317">
        <v>2.0751820138036618E-2</v>
      </c>
      <c r="L492" s="1317">
        <v>2.1008800829378935E-2</v>
      </c>
      <c r="M492" s="1317">
        <v>2.1272830992404186E-2</v>
      </c>
      <c r="N492" s="415"/>
      <c r="O492" s="415"/>
      <c r="P492" s="2126"/>
    </row>
    <row r="493" spans="4:16" ht="15" customHeight="1">
      <c r="D493" s="415"/>
      <c r="E493" s="651" t="s">
        <v>1933</v>
      </c>
      <c r="F493" s="1317" cm="1">
        <f t="array" ref="F493:M493">INDEX(METANO_GENERADO_ZONA_CLIMATICA_2,1,0)*INDEX(SF_RELLENO_SANITARIO_CAPTACION_APROVECHAMIENTO,APROVECHAMIENTO,0)*DENSIDAD_CH4_M3_A_KG*UNIDAD_KG_A_T*UNIDAD_T_A_MT</f>
        <v>2.3220641886914925E-3</v>
      </c>
      <c r="G493" s="1317">
        <v>2.520980669775907E-3</v>
      </c>
      <c r="H493" s="1317">
        <v>3.0341952264737911E-3</v>
      </c>
      <c r="I493" s="1317">
        <v>3.5760043312328279E-3</v>
      </c>
      <c r="J493" s="1317">
        <v>3.6190237433911601E-3</v>
      </c>
      <c r="K493" s="1317">
        <v>3.6631917520747958E-3</v>
      </c>
      <c r="L493" s="1317">
        <v>3.7085549801051977E-3</v>
      </c>
      <c r="M493" s="1317">
        <v>3.7551626082100828E-3</v>
      </c>
      <c r="N493" s="415"/>
      <c r="O493" s="415"/>
    </row>
    <row r="494" spans="4:16" ht="15" customHeight="1">
      <c r="D494" s="609"/>
      <c r="E494" s="650" t="s">
        <v>2016</v>
      </c>
      <c r="F494" s="2110"/>
      <c r="G494" s="2110"/>
      <c r="H494" s="2110"/>
      <c r="I494" s="2110"/>
      <c r="J494" s="2110"/>
      <c r="K494" s="2110"/>
      <c r="L494" s="2110"/>
      <c r="M494" s="2110"/>
      <c r="N494" s="609"/>
      <c r="O494" s="609"/>
    </row>
    <row r="495" spans="4:16" ht="15" customHeight="1">
      <c r="D495" s="415"/>
      <c r="E495" s="651" t="s">
        <v>1931</v>
      </c>
      <c r="F495" s="1317" cm="1">
        <f t="array" ref="F495:M495">INDEX(METANO_GENERADO_ZONA_CLIMATICA_3,1,0)*INDEX(SF_RELLENO_SANITARIO_CAPTACION_APROVECHAMIENTO,SIN_CAPTACION,0)*DENSIDAD_CH4_M3_A_KG*UNIDAD_KG_A_T*UNIDAD_T_A_MT</f>
        <v>6.5156855919758195E-4</v>
      </c>
      <c r="G495" s="1317">
        <v>7.0738429659709826E-4</v>
      </c>
      <c r="H495" s="1317">
        <v>8.5139171503771454E-4</v>
      </c>
      <c r="I495" s="1317">
        <v>1.0034227310049828E-3</v>
      </c>
      <c r="J495" s="1317">
        <v>1.0154939289219211E-3</v>
      </c>
      <c r="K495" s="1317">
        <v>1.0278874217119894E-3</v>
      </c>
      <c r="L495" s="1317">
        <v>1.0406162916856382E-3</v>
      </c>
      <c r="M495" s="1317">
        <v>1.0536943388988933E-3</v>
      </c>
      <c r="N495" s="415"/>
      <c r="O495" s="415"/>
    </row>
    <row r="496" spans="4:16" ht="15" customHeight="1">
      <c r="D496" s="415"/>
      <c r="E496" s="651" t="s">
        <v>1932</v>
      </c>
      <c r="F496" s="1317" cm="1">
        <f t="array" ref="F496:M496">INDEX(METANO_GENERADO_ZONA_CLIMATICA_3,1,0)*INDEX(SF_RELLENO_SANITARIO_CAPTACION_APROVECHAMIENTO,QUEMA_BIOGAS,0)*DENSIDAD_CH4_M3_A_KG*UNIDAD_KG_A_T*UNIDAD_T_A_MT</f>
        <v>5.5386911517268612E-3</v>
      </c>
      <c r="G496" s="1317">
        <v>6.0131556213484927E-3</v>
      </c>
      <c r="H496" s="1317">
        <v>7.2372978900950742E-3</v>
      </c>
      <c r="I496" s="1317">
        <v>8.5296451512381771E-3</v>
      </c>
      <c r="J496" s="1317">
        <v>8.63225697335499E-3</v>
      </c>
      <c r="K496" s="1317">
        <v>8.7376084791733147E-3</v>
      </c>
      <c r="L496" s="1317">
        <v>8.8458108755279739E-3</v>
      </c>
      <c r="M496" s="1317">
        <v>8.9569814704859741E-3</v>
      </c>
      <c r="N496" s="415"/>
      <c r="O496" s="415"/>
    </row>
    <row r="497" spans="4:15" ht="15" customHeight="1">
      <c r="D497" s="415"/>
      <c r="E497" s="651" t="s">
        <v>1933</v>
      </c>
      <c r="F497" s="1317" cm="1">
        <f t="array" ref="F497:M497">INDEX(METANO_GENERADO_ZONA_CLIMATICA_3,1,0)*INDEX(SF_RELLENO_SANITARIO_CAPTACION_APROVECHAMIENTO,APROVECHAMIENTO,0)*DENSIDAD_CH4_M3_A_KG*UNIDAD_KG_A_T*UNIDAD_T_A_MT</f>
        <v>9.7771123734378658E-4</v>
      </c>
      <c r="G497" s="1317">
        <v>1.0614655451688033E-3</v>
      </c>
      <c r="H497" s="1317">
        <v>1.2775558848310701E-3</v>
      </c>
      <c r="I497" s="1317">
        <v>1.5056860342032967E-3</v>
      </c>
      <c r="J497" s="1317">
        <v>1.5237994709015406E-3</v>
      </c>
      <c r="K497" s="1317">
        <v>1.542396527189388E-3</v>
      </c>
      <c r="L497" s="1317">
        <v>1.5614968337285045E-3</v>
      </c>
      <c r="M497" s="1317">
        <v>1.5811210981937188E-3</v>
      </c>
      <c r="N497" s="415"/>
      <c r="O497" s="415"/>
    </row>
    <row r="498" spans="4:15" ht="15" customHeight="1">
      <c r="D498" s="609"/>
      <c r="E498" s="650" t="s">
        <v>2017</v>
      </c>
      <c r="F498" s="2110"/>
      <c r="G498" s="2110"/>
      <c r="H498" s="2110"/>
      <c r="I498" s="2110"/>
      <c r="J498" s="2110"/>
      <c r="K498" s="2110"/>
      <c r="L498" s="2110"/>
      <c r="M498" s="2110"/>
      <c r="N498" s="609"/>
      <c r="O498" s="609"/>
    </row>
    <row r="499" spans="4:15" ht="15" customHeight="1">
      <c r="D499" s="415"/>
      <c r="E499" s="651" t="s">
        <v>1931</v>
      </c>
      <c r="F499" s="1317" cm="1">
        <f t="array" ref="F499:M499">INDEX(METANO_GENERADO_ZONA_CLIMATICA_4,1,0)*INDEX(SF_RELLENO_SANITARIO_CAPTACION_APROVECHAMIENTO,SIN_CAPTACION,0)*DENSIDAD_CH4_M3_A_KG*UNIDAD_KG_A_T*UNIDAD_T_A_MT</f>
        <v>2.4433820969909319E-4</v>
      </c>
      <c r="G499" s="1317">
        <v>2.6526911122391186E-4</v>
      </c>
      <c r="H499" s="1317">
        <v>3.1927189313914298E-4</v>
      </c>
      <c r="I499" s="1317">
        <v>3.7628352412686852E-4</v>
      </c>
      <c r="J499" s="1317">
        <v>3.8081022334572043E-4</v>
      </c>
      <c r="K499" s="1317">
        <v>3.854577831419961E-4</v>
      </c>
      <c r="L499" s="1317">
        <v>3.9023110938211426E-4</v>
      </c>
      <c r="M499" s="1317">
        <v>3.9513537708708494E-4</v>
      </c>
      <c r="N499" s="415"/>
      <c r="O499" s="415"/>
    </row>
    <row r="500" spans="4:15" ht="15" customHeight="1">
      <c r="D500" s="415"/>
      <c r="E500" s="651" t="s">
        <v>1932</v>
      </c>
      <c r="F500" s="1317" cm="1">
        <f t="array" ref="F500:M500">INDEX(METANO_GENERADO_ZONA_CLIMATICA_4,1,0)*INDEX(SF_RELLENO_SANITARIO_CAPTACION_APROVECHAMIENTO,QUEMA_BIOGAS,0)*DENSIDAD_CH4_M3_A_KG*UNIDAD_KG_A_T*UNIDAD_T_A_MT</f>
        <v>2.0770091818975728E-3</v>
      </c>
      <c r="G500" s="1317">
        <v>2.2549333580056843E-3</v>
      </c>
      <c r="H500" s="1317">
        <v>2.7139867087856524E-3</v>
      </c>
      <c r="I500" s="1317">
        <v>3.198616931714316E-3</v>
      </c>
      <c r="J500" s="1317">
        <v>3.237096365008121E-3</v>
      </c>
      <c r="K500" s="1317">
        <v>3.2766031796899937E-3</v>
      </c>
      <c r="L500" s="1317">
        <v>3.3171790783229891E-3</v>
      </c>
      <c r="M500" s="1317">
        <v>3.3588680514322396E-3</v>
      </c>
      <c r="N500" s="415"/>
      <c r="O500" s="415"/>
    </row>
    <row r="501" spans="4:15" ht="15" customHeight="1">
      <c r="D501" s="415"/>
      <c r="E501" s="651" t="s">
        <v>1933</v>
      </c>
      <c r="F501" s="1541" cm="1">
        <f t="array" ref="F501:M501">INDEX(METANO_GENERADO_ZONA_CLIMATICA_4,1,0)*INDEX(SF_RELLENO_SANITARIO_CAPTACION_APROVECHAMIENTO,APROVECHAMIENTO,0)*DENSIDAD_CH4_M3_A_KG*UNIDAD_KG_A_T*UNIDAD_T_A_MT</f>
        <v>3.6664171400391981E-4</v>
      </c>
      <c r="G501" s="1541">
        <v>3.9804957943830114E-4</v>
      </c>
      <c r="H501" s="1541">
        <v>4.7908345681165133E-4</v>
      </c>
      <c r="I501" s="1541">
        <v>5.6463226282623617E-4</v>
      </c>
      <c r="J501" s="1541">
        <v>5.7142480158807777E-4</v>
      </c>
      <c r="K501" s="1541">
        <v>5.7839869769602047E-4</v>
      </c>
      <c r="L501" s="1541">
        <v>5.855613126481892E-4</v>
      </c>
      <c r="M501" s="1541">
        <v>5.9292041182264449E-4</v>
      </c>
      <c r="N501" s="415"/>
      <c r="O501" s="415"/>
    </row>
    <row r="502" spans="4:15" ht="15" customHeight="1">
      <c r="E502" s="1523" t="s">
        <v>2020</v>
      </c>
      <c r="F502" s="1524"/>
      <c r="G502" s="1524"/>
      <c r="H502" s="1524"/>
      <c r="I502" s="1524"/>
      <c r="J502" s="1524"/>
      <c r="K502" s="1524"/>
      <c r="L502" s="1524"/>
      <c r="M502" s="1524"/>
    </row>
    <row r="503" spans="4:15" ht="15" customHeight="1">
      <c r="E503" s="651" t="s">
        <v>1931</v>
      </c>
      <c r="F503" s="1306" cm="1">
        <f t="array" ref="F503:M503">_xlfn.ANCHORARRAY(F487)+_xlfn.ANCHORARRAY(F491)+_xlfn.ANCHORARRAY(F495)+_xlfn.ANCHORARRAY(F499)</f>
        <v>2.7148689966565919E-3</v>
      </c>
      <c r="G503" s="1306">
        <v>2.9474345691545764E-3</v>
      </c>
      <c r="H503" s="1306">
        <v>3.5474654793238103E-3</v>
      </c>
      <c r="I503" s="1306">
        <v>4.1809280458540944E-3</v>
      </c>
      <c r="J503" s="1306">
        <v>4.2312247038413381E-3</v>
      </c>
      <c r="K503" s="1306">
        <v>4.2828642571332894E-3</v>
      </c>
      <c r="L503" s="1306">
        <v>4.3359012153568258E-3</v>
      </c>
      <c r="M503" s="1306">
        <v>4.3903930787453889E-3</v>
      </c>
      <c r="O503" s="653"/>
    </row>
    <row r="504" spans="4:15" ht="15" customHeight="1">
      <c r="E504" s="651" t="s">
        <v>1932</v>
      </c>
      <c r="F504" s="1306" cm="1">
        <f t="array" ref="F504:M504">_xlfn.ANCHORARRAY(F488)+_xlfn.ANCHORARRAY(F492)+_xlfn.ANCHORARRAY(F496)+_xlfn.ANCHORARRAY(F500)</f>
        <v>2.3077879798861924E-2</v>
      </c>
      <c r="G504" s="1306">
        <v>2.5054815088952052E-2</v>
      </c>
      <c r="H504" s="1306">
        <v>3.0155407875396136E-2</v>
      </c>
      <c r="I504" s="1306">
        <v>3.5540188130159064E-2</v>
      </c>
      <c r="J504" s="1306">
        <v>3.5967737388979133E-2</v>
      </c>
      <c r="K504" s="1306">
        <v>3.6406701996555477E-2</v>
      </c>
      <c r="L504" s="1306">
        <v>3.685754531469989E-2</v>
      </c>
      <c r="M504" s="1306">
        <v>3.7320756127024894E-2</v>
      </c>
      <c r="O504" s="653"/>
    </row>
    <row r="505" spans="4:15" ht="15" customHeight="1">
      <c r="E505" s="1283" t="s">
        <v>1933</v>
      </c>
      <c r="F505" s="981" cm="1">
        <f t="array" ref="F505:M505">_xlfn.ANCHORARRAY(F489)+_xlfn.ANCHORARRAY(F493)+_xlfn.ANCHORARRAY(F497)+_xlfn.ANCHORARRAY(F501)</f>
        <v>4.0737968222657765E-3</v>
      </c>
      <c r="G505" s="981">
        <v>4.4227731048700133E-3</v>
      </c>
      <c r="H505" s="981">
        <v>5.3231495201294578E-3</v>
      </c>
      <c r="I505" s="981">
        <v>6.2736918091804011E-3</v>
      </c>
      <c r="J505" s="981">
        <v>6.3491644620897545E-3</v>
      </c>
      <c r="K505" s="981">
        <v>6.4266521966224498E-3</v>
      </c>
      <c r="L505" s="981">
        <v>6.5062368072021023E-3</v>
      </c>
      <c r="M505" s="981">
        <v>6.588004575807163E-3</v>
      </c>
      <c r="O505" s="653"/>
    </row>
    <row r="506" spans="4:15" ht="15" customHeight="1">
      <c r="F506" s="639"/>
      <c r="G506" s="639"/>
      <c r="H506" s="639"/>
      <c r="I506" s="639"/>
      <c r="J506" s="639"/>
      <c r="K506" s="639"/>
      <c r="L506" s="639"/>
      <c r="M506" s="639"/>
    </row>
    <row r="507" spans="4:15" ht="15" customHeight="1">
      <c r="D507" s="609"/>
    </row>
    <row r="508" spans="4:15" ht="15" customHeight="1">
      <c r="D508" s="609"/>
      <c r="E508" s="640" t="s">
        <v>2021</v>
      </c>
      <c r="F508" s="641"/>
      <c r="G508" s="641"/>
      <c r="H508" s="641"/>
      <c r="I508" s="641"/>
      <c r="J508" s="641"/>
      <c r="K508" s="641"/>
      <c r="L508" s="641"/>
      <c r="M508" s="641"/>
    </row>
    <row r="509" spans="4:15" ht="15" customHeight="1">
      <c r="D509" s="609"/>
      <c r="E509" s="2"/>
    </row>
    <row r="510" spans="4:15" ht="15" customHeight="1">
      <c r="D510" s="609"/>
      <c r="E510" s="636" t="s">
        <v>2022</v>
      </c>
      <c r="M510" s="648" t="s">
        <v>1705</v>
      </c>
    </row>
    <row r="511" spans="4:15" ht="15" customHeight="1">
      <c r="D511" s="415"/>
      <c r="E511" s="649" t="s">
        <v>2019</v>
      </c>
      <c r="F511" s="649">
        <v>2018</v>
      </c>
      <c r="G511" s="649">
        <v>2020</v>
      </c>
      <c r="H511" s="649">
        <v>2025</v>
      </c>
      <c r="I511" s="649">
        <v>2030</v>
      </c>
      <c r="J511" s="649">
        <v>2035</v>
      </c>
      <c r="K511" s="649">
        <v>2040</v>
      </c>
      <c r="L511" s="649">
        <v>2045</v>
      </c>
      <c r="M511" s="649">
        <v>2050</v>
      </c>
    </row>
    <row r="512" spans="4:15" ht="15" customHeight="1">
      <c r="D512" s="415"/>
      <c r="E512" s="415" t="s">
        <v>2014</v>
      </c>
      <c r="F512" s="1317" cm="1">
        <f t="array" ref="F512:M512">((((INDEX(CANTIDAD_RESIDUOS_TIPO_GESTION,CELDA_DE_CONTINGENCIA,0)*(INDEX(GENERACION_METANO_ZONA_CLIMATICA_1,MATERIA_ORGANICA,0)*INDEX(SF_CARACTERIZACION_RESIDUOS,MATERIA_ORGANICA,0)*ZONA_CLIMATICA_EXCESIVAMENTE_HUMEDO))
+(INDEX(CANTIDAD_RESIDUOS_TIPO_GESTION,CELDA_DE_CONTINGENCIA,0)*(INDEX(GENERACION_METANO_ZONA_CLIMATICA_1,PAPEL,0)*INDEX(SF_CARACTERIZACION_RESIDUOS,PAPEL,0)*ZONA_CLIMATICA_EXCESIVAMENTE_HUMEDO))
+(INDEX(CANTIDAD_RESIDUOS_TIPO_GESTION,CELDA_DE_CONTINGENCIA,0)*(INDEX(GENERACION_METANO_ZONA_CLIMATICA_1,MADERA,0)*INDEX(SF_CARACTERIZACION_RESIDUOS,MADERA,0)*ZONA_CLIMATICA_EXCESIVAMENTE_HUMEDO))
+(INDEX(CANTIDAD_RESIDUOS_TIPO_GESTION,CELDA_DE_CONTINGENCIA,0)*(INDEX(GENERACION_METANO_ZONA_CLIMATICA_1,TEXTILES,0)*INDEX(SF_CARACTERIZACION_RESIDUOS,TEXTILES,0)*ZONA_CLIMATICA_EXCESIVAMENTE_HUMEDO)))
+(INDEX(CANTIDAD_RESIDUOS_TIPO_GESTION,CELDA_DE_CONTINGENCIA,0)*(INDEX(GENERACION_METANO_ZONA_CLIMATICA_1,RESIDUOS_SOLIDOS,0)*INDEX(SF_CARACTERIZACION_RESIDUOS,RESIDUOS_SOLIDOS,0)*ZONA_CLIMATICA_EXCESIVAMENTE_HUMEDO))))*DENSIDAD_CH4_M3_A_KG*UNIDAD_KG_A_T*UNIDAD_T_A_MT</f>
        <v>5.2572088422097129E-5</v>
      </c>
      <c r="G512" s="1317">
        <v>5.7075605113457475E-5</v>
      </c>
      <c r="H512" s="1317">
        <v>6.8694905383288716E-5</v>
      </c>
      <c r="I512" s="1317">
        <v>8.0961593057990967E-5</v>
      </c>
      <c r="J512" s="1317">
        <v>8.193556283491124E-5</v>
      </c>
      <c r="K512" s="1317">
        <v>8.2935537111786232E-5</v>
      </c>
      <c r="L512" s="1317">
        <v>8.3962571440440994E-5</v>
      </c>
      <c r="M512" s="1317">
        <v>8.5017779284309814E-5</v>
      </c>
    </row>
    <row r="513" spans="4:14" ht="15" customHeight="1">
      <c r="D513" s="415"/>
      <c r="E513" s="415" t="s">
        <v>2015</v>
      </c>
      <c r="F513" s="1317" cm="1">
        <f t="array" ref="F513:M513">((INDEX(CANTIDAD_RESIDUOS_TIPO_GESTION,CELDA_DE_CONTINGENCIA,0)*(INDEX(GENERACION_METANO_ZONA_CLIMATICA_2,MATERIA_ORGANICA,0)*INDEX(SF_CARACTERIZACION_RESIDUOS,MATERIA_ORGANICA,0)*ZONA_CLIMATICA_HUMEDO))+(INDEX(CANTIDAD_RESIDUOS_TIPO_GESTION,CELDA_DE_CONTINGENCIA,0)*(INDEX(GENERACION_METANO_ZONA_CLIMATICA_2,PAPEL,0)*INDEX(SF_CARACTERIZACION_RESIDUOS,PAPEL,0)*ZONA_CLIMATICA_HUMEDO))+(INDEX(CANTIDAD_RESIDUOS_TIPO_GESTION,CELDA_DE_CONTINGENCIA,0)*(INDEX(GENERACION_METANO_ZONA_CLIMATICA_2,MADERA,0)*INDEX(SF_CARACTERIZACION_RESIDUOS,MADERA,0)*ZONA_CLIMATICA_HUMEDO))+(INDEX(CANTIDAD_RESIDUOS_TIPO_GESTION,CELDA_DE_CONTINGENCIA,0)*(INDEX(GENERACION_METANO_ZONA_CLIMATICA_2,TEXTILES,0)*INDEX(SF_CARACTERIZACION_RESIDUOS,TEXTILES,0)*ZONA_CLIMATICA_HUMEDO))+(INDEX(CANTIDAD_RESIDUOS_TIPO_GESTION,CELDA_DE_CONTINGENCIA,0)*(INDEX(GENERACION_METANO_ZONA_CLIMATICA_2,RESIDUOS_SOLIDOS,0)*INDEX(SF_CARACTERIZACION_RESIDUOS,RESIDUOS_SOLIDOS,0)*ZONA_CLIMATICA_HUMEDO)))*DENSIDAD_CH4_M3_A_KG*UNIDAD_KG_A_T*UNIDAD_T_A_MT</f>
        <v>2.9966090400595358E-4</v>
      </c>
      <c r="G513" s="1317">
        <v>3.253309491467075E-4</v>
      </c>
      <c r="H513" s="1317">
        <v>3.9156096068474562E-4</v>
      </c>
      <c r="I513" s="1317">
        <v>4.6148108043054842E-4</v>
      </c>
      <c r="J513" s="1317">
        <v>4.6703270815899394E-4</v>
      </c>
      <c r="K513" s="1317">
        <v>4.7273256153718135E-4</v>
      </c>
      <c r="L513" s="1317">
        <v>4.7858665721051352E-4</v>
      </c>
      <c r="M513" s="1317">
        <v>4.8460134192056595E-4</v>
      </c>
    </row>
    <row r="514" spans="4:14" ht="15" customHeight="1">
      <c r="D514" s="415"/>
      <c r="E514" s="415" t="s">
        <v>2016</v>
      </c>
      <c r="F514" s="1317" cm="1">
        <f t="array" ref="F514:M514">((INDEX(CANTIDAD_RESIDUOS_TIPO_GESTION,CELDA_DE_CONTINGENCIA,0)*(INDEX(GENERACION_METANO_ZONA_CLIMATICA_3,MATERIA_ORGANICA,0)*INDEX(SF_CARACTERIZACION_RESIDUOS,MATERIA_ORGANICA,0)*ZONA_CLIMATICA_MODERADAMENTE_HUMEDO))+(INDEX(CANTIDAD_RESIDUOS_TIPO_GESTION,CELDA_DE_CONTINGENCIA,0)*(INDEX(GENERACION_METANO_ZONA_CLIMATICA_3,PAPEL,0)*INDEX(SF_CARACTERIZACION_RESIDUOS,PAPEL,0)*ZONA_CLIMATICA_MODERADAMENTE_HUMEDO))+(INDEX(CANTIDAD_RESIDUOS_TIPO_GESTION,CELDA_DE_CONTINGENCIA,0)*(INDEX(GENERACION_METANO_ZONA_CLIMATICA_3,MADERA,0)*INDEX(SF_CARACTERIZACION_RESIDUOS,MADERA,0)*ZONA_CLIMATICA_MODERADAMENTE_HUMEDO))+(INDEX(CANTIDAD_RESIDUOS_TIPO_GESTION,CELDA_DE_CONTINGENCIA,0)*(INDEX(GENERACION_METANO_ZONA_CLIMATICA_3,TEXTILES,0)*INDEX(SF_CARACTERIZACION_RESIDUOS,TEXTILES,0)*ZONA_CLIMATICA_MODERADAMENTE_HUMEDO))+(INDEX(CANTIDAD_RESIDUOS_TIPO_GESTION,CELDA_DE_CONTINGENCIA,0)*(INDEX(GENERACION_METANO_ZONA_CLIMATICA_3,RESIDUOS_SOLIDOS,0)*INDEX(SF_CARACTERIZACION_RESIDUOS,RESIDUOS_SOLIDOS,0)*ZONA_CLIMATICA_MODERADAMENTE_HUMEDO)))*DENSIDAD_CH4_M3_A_KG*UNIDAD_KG_A_T*UNIDAD_KG_A_T*UNIDAD_T_A_MT</f>
        <v>1.2617301221303309E-7</v>
      </c>
      <c r="G514" s="1317">
        <v>1.369814522722979E-7</v>
      </c>
      <c r="H514" s="1317">
        <v>1.6486777291989293E-7</v>
      </c>
      <c r="I514" s="1317">
        <v>1.9430782333917829E-7</v>
      </c>
      <c r="J514" s="1317">
        <v>1.9664535080378688E-7</v>
      </c>
      <c r="K514" s="1317">
        <v>1.9904528906828691E-7</v>
      </c>
      <c r="L514" s="1317">
        <v>2.0151017145705834E-7</v>
      </c>
      <c r="M514" s="1317">
        <v>2.0404267028234357E-7</v>
      </c>
    </row>
    <row r="515" spans="4:14" ht="15" customHeight="1">
      <c r="E515" s="415" t="s">
        <v>2017</v>
      </c>
      <c r="F515" s="1317" cm="1">
        <f t="array" ref="F515:M515">((INDEX(CANTIDAD_RESIDUOS_TIPO_GESTION,CELDA_DE_CONTINGENCIA,0)*(INDEX(GENERACION_METANO_ZONA_CLIMATICA_4,MATERIA_ORGANICA,0)*INDEX(SF_CARACTERIZACION_RESIDUOS,MATERIA_ORGANICA,0)*ZONA_CLIMATICA_MODERADAMENTE_SECO))+(INDEX(CANTIDAD_RESIDUOS_TIPO_GESTION,CELDA_DE_CONTINGENCIA,0)*(INDEX(GENERACION_METANO_ZONA_CLIMATICA_4,PAPEL,0)*INDEX(SF_CARACTERIZACION_RESIDUOS,PAPEL,0)*ZONA_CLIMATICA_MODERADAMENTE_SECO))+(INDEX(CANTIDAD_RESIDUOS_TIPO_GESTION,CELDA_DE_CONTINGENCIA,0)*(INDEX(GENERACION_METANO_ZONA_CLIMATICA_4,MADERA,0)*INDEX(SF_CARACTERIZACION_RESIDUOS,MADERA,0)*ZONA_CLIMATICA_MODERADAMENTE_SECO))+(INDEX(CANTIDAD_RESIDUOS_TIPO_GESTION,CELDA_DE_CONTINGENCIA,0)*(INDEX(GENERACION_METANO_ZONA_CLIMATICA_4,TEXTILES,0)*INDEX(SF_CARACTERIZACION_RESIDUOS,TEXTILES,0)*ZONA_CLIMATICA_MODERADAMENTE_SECO))+(INDEX(CANTIDAD_RESIDUOS_TIPO_GESTION,CELDA_DE_CONTINGENCIA,0)*(INDEX(GENERACION_METANO_ZONA_CLIMATICA_4,RESIDUOS_SOLIDOS,0)*INDEX(SF_CARACTERIZACION_RESIDUOS,RESIDUOS_SOLIDOS,0)*ZONA_CLIMATICA_MODERADAMENTE_SECO)))*DENSIDAD_CH4_M3_A_KG*UNIDAD_KG_A_T*UNIDAD_T_A_MT</f>
        <v>4.7314879579887408E-5</v>
      </c>
      <c r="G515" s="1317">
        <v>5.1368044602111724E-5</v>
      </c>
      <c r="H515" s="1317">
        <v>6.1825414844959842E-5</v>
      </c>
      <c r="I515" s="1317">
        <v>7.2865433752191853E-5</v>
      </c>
      <c r="J515" s="1317">
        <v>7.3742006551420091E-5</v>
      </c>
      <c r="K515" s="1317">
        <v>7.4641983400607602E-5</v>
      </c>
      <c r="L515" s="1317">
        <v>7.5566314296396866E-5</v>
      </c>
      <c r="M515" s="1317">
        <v>7.6516001355878853E-5</v>
      </c>
    </row>
    <row r="516" spans="4:14" ht="15" customHeight="1">
      <c r="E516" s="1062" t="s">
        <v>1626</v>
      </c>
      <c r="F516" s="1525">
        <f>SUM(F512:F515)</f>
        <v>3.9967404502015116E-4</v>
      </c>
      <c r="G516" s="1525">
        <f t="shared" ref="G516:M516" si="28">SUM(G512:G515)</f>
        <v>4.3391158031454895E-4</v>
      </c>
      <c r="H516" s="1525">
        <f t="shared" si="28"/>
        <v>5.2224614868591414E-4</v>
      </c>
      <c r="I516" s="1525">
        <f t="shared" si="28"/>
        <v>6.1550241506407055E-4</v>
      </c>
      <c r="J516" s="1525">
        <f t="shared" si="28"/>
        <v>6.229069228961291E-4</v>
      </c>
      <c r="K516" s="1525">
        <f t="shared" si="28"/>
        <v>6.3050912733864355E-4</v>
      </c>
      <c r="L516" s="1525">
        <f t="shared" si="28"/>
        <v>6.383170531188084E-4</v>
      </c>
      <c r="M516" s="1525">
        <f t="shared" si="28"/>
        <v>6.4633916523103687E-4</v>
      </c>
    </row>
    <row r="517" spans="4:14" ht="15" customHeight="1">
      <c r="E517" s="651"/>
      <c r="F517" s="652"/>
      <c r="G517" s="652"/>
      <c r="H517" s="652"/>
      <c r="I517" s="652"/>
      <c r="J517" s="652"/>
      <c r="K517" s="652"/>
      <c r="L517" s="652"/>
      <c r="M517" s="652"/>
    </row>
    <row r="518" spans="4:14" ht="15" customHeight="1">
      <c r="E518" s="640" t="s">
        <v>2023</v>
      </c>
      <c r="F518" s="641"/>
      <c r="G518" s="641"/>
      <c r="H518" s="641"/>
      <c r="I518" s="641"/>
      <c r="J518" s="641"/>
      <c r="K518" s="641"/>
      <c r="L518" s="641"/>
      <c r="M518" s="641"/>
    </row>
    <row r="519" spans="4:14" ht="15" customHeight="1">
      <c r="E519" s="2"/>
    </row>
    <row r="520" spans="4:14" ht="15" customHeight="1">
      <c r="E520" s="636" t="s">
        <v>2024</v>
      </c>
      <c r="M520" s="648" t="s">
        <v>2025</v>
      </c>
    </row>
    <row r="521" spans="4:14" ht="15" customHeight="1">
      <c r="E521" s="649"/>
      <c r="F521" s="649">
        <v>2018</v>
      </c>
      <c r="G521" s="649">
        <v>2020</v>
      </c>
      <c r="H521" s="649">
        <v>2025</v>
      </c>
      <c r="I521" s="649">
        <v>2030</v>
      </c>
      <c r="J521" s="649">
        <v>2035</v>
      </c>
      <c r="K521" s="649">
        <v>2040</v>
      </c>
      <c r="L521" s="649">
        <v>2045</v>
      </c>
      <c r="M521" s="649">
        <v>2050</v>
      </c>
    </row>
    <row r="522" spans="4:14" ht="15" customHeight="1">
      <c r="E522" s="415" t="s">
        <v>695</v>
      </c>
      <c r="F522" s="652" cm="1">
        <f t="array" ref="F522:M522">INDEX(CANTIDAD_RESIDUOS_TIPO_GESTION,TRATAMIENTO_MECANICOBIOLOGICO,0)*FE_RES_SOL_TMB_CH4*UNIDAD_KG_A_MT</f>
        <v>0</v>
      </c>
      <c r="G522" s="652">
        <v>0</v>
      </c>
      <c r="H522" s="652">
        <v>0</v>
      </c>
      <c r="I522" s="652">
        <v>0</v>
      </c>
      <c r="J522" s="652">
        <v>0</v>
      </c>
      <c r="K522" s="652">
        <v>0</v>
      </c>
      <c r="L522" s="652">
        <v>0</v>
      </c>
      <c r="M522" s="652">
        <v>0</v>
      </c>
    </row>
    <row r="523" spans="4:14" ht="15" customHeight="1">
      <c r="E523" s="3" t="s">
        <v>1616</v>
      </c>
      <c r="F523" s="652" cm="1">
        <f t="array" ref="F523:M523">INDEX(CANTIDAD_RESIDUOS_TIPO_GESTION,TRATAMIENTO_MECANICOBIOLOGICO,0)*FE_RES_SOL_TMB_N2O*UNIDAD_KG_A_MT</f>
        <v>0</v>
      </c>
      <c r="G523" s="639">
        <v>0</v>
      </c>
      <c r="H523" s="639">
        <v>0</v>
      </c>
      <c r="I523" s="639">
        <v>0</v>
      </c>
      <c r="J523" s="639">
        <v>0</v>
      </c>
      <c r="K523" s="639">
        <v>0</v>
      </c>
      <c r="L523" s="639">
        <v>0</v>
      </c>
      <c r="M523" s="639">
        <v>0</v>
      </c>
    </row>
    <row r="524" spans="4:14" ht="15" customHeight="1">
      <c r="E524" s="1062" t="s">
        <v>1626</v>
      </c>
      <c r="F524" s="1113">
        <f t="shared" ref="F524:M524" si="29">SUM(F522:F522)</f>
        <v>0</v>
      </c>
      <c r="G524" s="1113">
        <f t="shared" si="29"/>
        <v>0</v>
      </c>
      <c r="H524" s="1113">
        <f t="shared" si="29"/>
        <v>0</v>
      </c>
      <c r="I524" s="1113">
        <f t="shared" si="29"/>
        <v>0</v>
      </c>
      <c r="J524" s="1113">
        <f t="shared" si="29"/>
        <v>0</v>
      </c>
      <c r="K524" s="1113">
        <f t="shared" si="29"/>
        <v>0</v>
      </c>
      <c r="L524" s="1113">
        <f t="shared" si="29"/>
        <v>0</v>
      </c>
      <c r="M524" s="1113">
        <f t="shared" si="29"/>
        <v>0</v>
      </c>
      <c r="N524" s="517"/>
    </row>
    <row r="525" spans="4:14" ht="15" customHeight="1">
      <c r="N525" s="517"/>
    </row>
    <row r="526" spans="4:14" ht="15" customHeight="1">
      <c r="N526" s="517"/>
    </row>
    <row r="527" spans="4:14" ht="15" customHeight="1">
      <c r="E527" s="640" t="s">
        <v>2026</v>
      </c>
      <c r="F527" s="641"/>
      <c r="G527" s="641"/>
      <c r="H527" s="641"/>
      <c r="I527" s="641"/>
      <c r="J527" s="641"/>
      <c r="K527" s="641"/>
      <c r="L527" s="641"/>
      <c r="M527" s="641"/>
      <c r="N527" s="517"/>
    </row>
    <row r="528" spans="4:14" ht="15" customHeight="1">
      <c r="E528" s="2"/>
      <c r="N528" s="517"/>
    </row>
    <row r="529" spans="4:13" ht="15" customHeight="1">
      <c r="E529" s="1074" t="s">
        <v>2024</v>
      </c>
      <c r="F529" s="415"/>
      <c r="G529" s="415"/>
      <c r="H529" s="415"/>
      <c r="I529" s="415"/>
      <c r="J529" s="415"/>
      <c r="K529" s="415"/>
      <c r="L529" s="415"/>
      <c r="M529" s="648" t="s">
        <v>2027</v>
      </c>
    </row>
    <row r="530" spans="4:13" ht="15" customHeight="1">
      <c r="E530" s="649"/>
      <c r="F530" s="649">
        <v>2018</v>
      </c>
      <c r="G530" s="649">
        <v>2020</v>
      </c>
      <c r="H530" s="649">
        <v>2025</v>
      </c>
      <c r="I530" s="649">
        <v>2030</v>
      </c>
      <c r="J530" s="649">
        <v>2035</v>
      </c>
      <c r="K530" s="649">
        <v>2040</v>
      </c>
      <c r="L530" s="649">
        <v>2045</v>
      </c>
      <c r="M530" s="649">
        <v>2050</v>
      </c>
    </row>
    <row r="531" spans="4:13" ht="15" customHeight="1">
      <c r="E531" s="415" t="s">
        <v>694</v>
      </c>
      <c r="F531" s="1317" cm="1">
        <f t="array" ref="F531:M531">INDEX(CANTIDAD_RESIDUOS_TIPO_GESTION,INCINERACION,0)*FE_INCINERACION_RSM*UNIDAD_T_A_MT</f>
        <v>0</v>
      </c>
      <c r="G531" s="1541">
        <v>0</v>
      </c>
      <c r="H531" s="1541">
        <v>0</v>
      </c>
      <c r="I531" s="1541">
        <v>0</v>
      </c>
      <c r="J531" s="1541">
        <v>0</v>
      </c>
      <c r="K531" s="1541">
        <v>0</v>
      </c>
      <c r="L531" s="1541">
        <v>0</v>
      </c>
      <c r="M531" s="1541">
        <v>0</v>
      </c>
    </row>
    <row r="532" spans="4:13" ht="15" customHeight="1">
      <c r="E532" s="415" t="s">
        <v>695</v>
      </c>
      <c r="F532" s="1317" cm="1">
        <f t="array" ref="F532:M532">INDEX(ST_RESIDUOS_SISTEMA_AUTORIZADO,0)*INDEX(ST_TIPO_GESTION,INCINERACION,0)*FE_INCINERACION_CH4*UNIDAD_T_A_MT</f>
        <v>0</v>
      </c>
      <c r="G532" s="1317">
        <v>0</v>
      </c>
      <c r="H532" s="1317">
        <v>0</v>
      </c>
      <c r="I532" s="1317">
        <v>0</v>
      </c>
      <c r="J532" s="1317">
        <v>0</v>
      </c>
      <c r="K532" s="1317">
        <v>0</v>
      </c>
      <c r="L532" s="1317">
        <v>0</v>
      </c>
      <c r="M532" s="1317">
        <v>0</v>
      </c>
    </row>
    <row r="533" spans="4:13" ht="15" customHeight="1">
      <c r="D533" s="2"/>
      <c r="E533" s="415" t="s">
        <v>1616</v>
      </c>
      <c r="F533" s="1317" cm="1">
        <f t="array" ref="F533:M533">INDEX(ST_RESIDUOS_SISTEMA_AUTORIZADO,0)*INDEX(ST_TIPO_GESTION,INCINERACION,0)*FE_INCINERACION_N2O*UNIDAD_T_A_MT</f>
        <v>0</v>
      </c>
      <c r="G533" s="1317">
        <v>0</v>
      </c>
      <c r="H533" s="1317">
        <v>0</v>
      </c>
      <c r="I533" s="1317">
        <v>0</v>
      </c>
      <c r="J533" s="1317">
        <v>0</v>
      </c>
      <c r="K533" s="1317">
        <v>0</v>
      </c>
      <c r="L533" s="1317">
        <v>0</v>
      </c>
      <c r="M533" s="1317">
        <v>0</v>
      </c>
    </row>
    <row r="534" spans="4:13" ht="15" customHeight="1">
      <c r="E534" s="1062" t="s">
        <v>1626</v>
      </c>
      <c r="F534" s="1113">
        <f t="shared" ref="F534:M534" si="30">SUM(F532:F532)</f>
        <v>0</v>
      </c>
      <c r="G534" s="1113">
        <f t="shared" si="30"/>
        <v>0</v>
      </c>
      <c r="H534" s="1113">
        <f t="shared" si="30"/>
        <v>0</v>
      </c>
      <c r="I534" s="1113">
        <f t="shared" si="30"/>
        <v>0</v>
      </c>
      <c r="J534" s="1113">
        <f t="shared" si="30"/>
        <v>0</v>
      </c>
      <c r="K534" s="1113">
        <f t="shared" si="30"/>
        <v>0</v>
      </c>
      <c r="L534" s="1113">
        <f t="shared" si="30"/>
        <v>0</v>
      </c>
      <c r="M534" s="1113">
        <f t="shared" si="30"/>
        <v>0</v>
      </c>
    </row>
    <row r="537" spans="4:13" ht="15" customHeight="1">
      <c r="E537" s="2" t="s">
        <v>2028</v>
      </c>
    </row>
    <row r="539" spans="4:13" ht="15" customHeight="1">
      <c r="E539" s="2" t="s">
        <v>2029</v>
      </c>
      <c r="M539" s="554" t="s">
        <v>9</v>
      </c>
    </row>
    <row r="540" spans="4:13" ht="15" customHeight="1">
      <c r="E540" s="649"/>
      <c r="F540" s="649">
        <v>2018</v>
      </c>
      <c r="G540" s="649">
        <v>2020</v>
      </c>
      <c r="H540" s="649">
        <v>2025</v>
      </c>
      <c r="I540" s="649">
        <v>2030</v>
      </c>
      <c r="J540" s="649">
        <v>2035</v>
      </c>
      <c r="K540" s="649">
        <v>2040</v>
      </c>
      <c r="L540" s="649">
        <v>2045</v>
      </c>
      <c r="M540" s="649">
        <v>2050</v>
      </c>
    </row>
    <row r="541" spans="4:13" ht="15" customHeight="1">
      <c r="E541" s="3" t="s">
        <v>2030</v>
      </c>
      <c r="F541" s="955" cm="1">
        <f t="array" ref="F541:M541">_xlfn.ANCHORARRAY(F505)*SF_POTENCIAL_ELECTRICO_RELLENO_SANITARIO_CH4_KWH_M3*SF_EFICIENCIA_MOTOR_GENERADOR*UNIDAD_KWH_A_TWH</f>
        <v>8.2983241269553848E-12</v>
      </c>
      <c r="G541" s="955">
        <v>9.009188814620217E-12</v>
      </c>
      <c r="H541" s="955">
        <v>1.0843255572503704E-11</v>
      </c>
      <c r="I541" s="955">
        <v>1.2779510215300475E-11</v>
      </c>
      <c r="J541" s="955">
        <v>1.2933248009276829E-11</v>
      </c>
      <c r="K541" s="955">
        <v>1.309109052451993E-11</v>
      </c>
      <c r="L541" s="955">
        <v>1.3253204376270684E-11</v>
      </c>
      <c r="M541" s="955">
        <v>1.341976532091919E-11</v>
      </c>
    </row>
    <row r="542" spans="4:13" ht="15" customHeight="1">
      <c r="E542" s="3" t="s">
        <v>2031</v>
      </c>
      <c r="F542" s="955" cm="1">
        <f t="array" ref="F542:M542">_xlfn.ANCHORARRAY(F435)*H186*H188*UNIDAD_KWH_A_TWH</f>
        <v>0</v>
      </c>
      <c r="G542" s="955">
        <v>0</v>
      </c>
      <c r="H542" s="955">
        <v>0</v>
      </c>
      <c r="I542" s="955">
        <v>0</v>
      </c>
      <c r="J542" s="955">
        <v>0</v>
      </c>
      <c r="K542" s="955">
        <v>0</v>
      </c>
      <c r="L542" s="955">
        <v>0</v>
      </c>
      <c r="M542" s="955">
        <v>0</v>
      </c>
    </row>
    <row r="543" spans="4:13" ht="15" customHeight="1">
      <c r="E543" s="1062" t="s">
        <v>1626</v>
      </c>
      <c r="F543" s="1113">
        <f>SUM(F541:F542)</f>
        <v>8.2983241269553848E-12</v>
      </c>
      <c r="G543" s="1113">
        <f t="shared" ref="G543:M543" si="31">SUM(G541:G542)</f>
        <v>9.009188814620217E-12</v>
      </c>
      <c r="H543" s="1113">
        <f t="shared" si="31"/>
        <v>1.0843255572503704E-11</v>
      </c>
      <c r="I543" s="1113">
        <f t="shared" si="31"/>
        <v>1.2779510215300475E-11</v>
      </c>
      <c r="J543" s="1113">
        <f t="shared" si="31"/>
        <v>1.2933248009276829E-11</v>
      </c>
      <c r="K543" s="1113">
        <f t="shared" si="31"/>
        <v>1.309109052451993E-11</v>
      </c>
      <c r="L543" s="1113">
        <f t="shared" si="31"/>
        <v>1.3253204376270684E-11</v>
      </c>
      <c r="M543" s="1113">
        <f t="shared" si="31"/>
        <v>1.341976532091919E-11</v>
      </c>
    </row>
    <row r="545" spans="5:13" ht="15" customHeight="1">
      <c r="E545" s="71" t="s">
        <v>2032</v>
      </c>
      <c r="F545" s="72"/>
      <c r="G545" s="72"/>
      <c r="H545" s="72"/>
      <c r="I545" s="72"/>
      <c r="J545" s="72"/>
      <c r="K545" s="72"/>
      <c r="L545" s="72"/>
      <c r="M545" s="554" t="s">
        <v>9</v>
      </c>
    </row>
    <row r="546" spans="5:13" ht="15" customHeight="1">
      <c r="E546" s="1114" t="s">
        <v>2003</v>
      </c>
      <c r="F546" s="1115">
        <v>2018</v>
      </c>
      <c r="G546" s="1115">
        <v>2020</v>
      </c>
      <c r="H546" s="1115">
        <v>2025</v>
      </c>
      <c r="I546" s="1115">
        <v>2030</v>
      </c>
      <c r="J546" s="1115">
        <v>2035</v>
      </c>
      <c r="K546" s="1115">
        <v>2040</v>
      </c>
      <c r="L546" s="1115">
        <v>2045</v>
      </c>
      <c r="M546" s="649">
        <v>2050</v>
      </c>
    </row>
    <row r="547" spans="5:13" ht="15" customHeight="1">
      <c r="E547" s="627" t="s">
        <v>1926</v>
      </c>
      <c r="F547" s="1602" cm="1">
        <f t="array" ref="F547:M547">_xlfn.ANCHORARRAY(F449)*H193/1000</f>
        <v>0</v>
      </c>
      <c r="G547" s="1602">
        <v>0</v>
      </c>
      <c r="H547" s="1602">
        <v>0</v>
      </c>
      <c r="I547" s="1602">
        <v>0</v>
      </c>
      <c r="J547" s="1602">
        <v>0</v>
      </c>
      <c r="K547" s="1602">
        <v>0</v>
      </c>
      <c r="L547" s="1602">
        <v>0</v>
      </c>
      <c r="M547" s="1603">
        <v>0</v>
      </c>
    </row>
    <row r="548" spans="5:13" ht="15" customHeight="1">
      <c r="E548" s="625" t="s">
        <v>577</v>
      </c>
      <c r="F548" s="1604" cm="1">
        <f t="array" ref="F548:M548">_xlfn.ANCHORARRAY(F431)*H194/1000</f>
        <v>0</v>
      </c>
      <c r="G548" s="1604">
        <v>0</v>
      </c>
      <c r="H548" s="1604">
        <v>0</v>
      </c>
      <c r="I548" s="1604">
        <v>0</v>
      </c>
      <c r="J548" s="1604">
        <v>0</v>
      </c>
      <c r="K548" s="1604">
        <v>0</v>
      </c>
      <c r="L548" s="1604">
        <v>0</v>
      </c>
      <c r="M548" s="1604">
        <v>0</v>
      </c>
    </row>
    <row r="549" spans="5:13" ht="15" customHeight="1">
      <c r="E549" s="625" t="s">
        <v>1927</v>
      </c>
      <c r="F549" s="1604"/>
      <c r="G549" s="1604"/>
      <c r="H549" s="1604"/>
      <c r="I549" s="1604"/>
      <c r="J549" s="1604"/>
      <c r="K549" s="1604"/>
      <c r="L549" s="1604"/>
      <c r="M549" s="1604"/>
    </row>
    <row r="550" spans="5:13" ht="15" customHeight="1">
      <c r="E550" s="634" t="s">
        <v>933</v>
      </c>
      <c r="F550" s="1605" cm="1">
        <f t="array" ref="F550:M550">_xlfn.ANCHORARRAY(F433)*H196/1000</f>
        <v>0</v>
      </c>
      <c r="G550" s="1605">
        <v>0</v>
      </c>
      <c r="H550" s="1605">
        <v>0</v>
      </c>
      <c r="I550" s="1605">
        <v>0</v>
      </c>
      <c r="J550" s="1605">
        <v>0</v>
      </c>
      <c r="K550" s="1605">
        <v>0</v>
      </c>
      <c r="L550" s="1605">
        <v>0</v>
      </c>
      <c r="M550" s="1605">
        <v>0</v>
      </c>
    </row>
    <row r="551" spans="5:13" ht="15" customHeight="1">
      <c r="E551" s="634" t="s">
        <v>934</v>
      </c>
      <c r="F551" s="1605" cm="1">
        <f t="array" ref="F551:M551">_xlfn.ANCHORARRAY(F434)*H197/1000</f>
        <v>0</v>
      </c>
      <c r="G551" s="1605">
        <v>0</v>
      </c>
      <c r="H551" s="1605">
        <v>0</v>
      </c>
      <c r="I551" s="1605">
        <v>0</v>
      </c>
      <c r="J551" s="1605">
        <v>0</v>
      </c>
      <c r="K551" s="1605">
        <v>0</v>
      </c>
      <c r="L551" s="1605">
        <v>0</v>
      </c>
      <c r="M551" s="1605">
        <v>0</v>
      </c>
    </row>
    <row r="552" spans="5:13" ht="15" customHeight="1">
      <c r="E552" s="634" t="s">
        <v>935</v>
      </c>
      <c r="F552" s="1606" cm="1">
        <f t="array" ref="F552:M552">_xlfn.ANCHORARRAY(F435)*H198/1000</f>
        <v>0</v>
      </c>
      <c r="G552" s="1606">
        <v>0</v>
      </c>
      <c r="H552" s="1606">
        <v>0</v>
      </c>
      <c r="I552" s="1606">
        <v>0</v>
      </c>
      <c r="J552" s="1606">
        <v>0</v>
      </c>
      <c r="K552" s="1606">
        <v>0</v>
      </c>
      <c r="L552" s="1606">
        <v>0</v>
      </c>
      <c r="M552" s="1606">
        <v>0</v>
      </c>
    </row>
    <row r="553" spans="5:13" ht="15" customHeight="1">
      <c r="E553" s="1116" t="s">
        <v>84</v>
      </c>
      <c r="F553" s="1604" cm="1">
        <f t="array" ref="F553:M553">_xlfn.ANCHORARRAY(F436)*H199/1000</f>
        <v>0</v>
      </c>
      <c r="G553" s="1604">
        <v>0</v>
      </c>
      <c r="H553" s="1604">
        <v>0</v>
      </c>
      <c r="I553" s="1604">
        <v>0</v>
      </c>
      <c r="J553" s="1604">
        <v>0</v>
      </c>
      <c r="K553" s="1604">
        <v>0</v>
      </c>
      <c r="L553" s="1604">
        <v>0</v>
      </c>
      <c r="M553" s="1604">
        <v>0</v>
      </c>
    </row>
    <row r="554" spans="5:13" ht="15" customHeight="1">
      <c r="E554" s="1062" t="s">
        <v>1626</v>
      </c>
      <c r="F554" s="1607">
        <f>SUM(F547:F552)</f>
        <v>0</v>
      </c>
      <c r="G554" s="1607">
        <f t="shared" ref="G554:M554" si="32">SUM(G547:G552)</f>
        <v>0</v>
      </c>
      <c r="H554" s="1607">
        <f t="shared" si="32"/>
        <v>0</v>
      </c>
      <c r="I554" s="1607">
        <f t="shared" si="32"/>
        <v>0</v>
      </c>
      <c r="J554" s="1607">
        <f t="shared" si="32"/>
        <v>0</v>
      </c>
      <c r="K554" s="1607">
        <f t="shared" si="32"/>
        <v>0</v>
      </c>
      <c r="L554" s="1607">
        <f t="shared" si="32"/>
        <v>0</v>
      </c>
      <c r="M554" s="1607">
        <f t="shared" si="32"/>
        <v>0</v>
      </c>
    </row>
  </sheetData>
  <sheetProtection algorithmName="SHA-512" hashValue="5hkntQfN4USH5b0TgqDtre+JdnaGm7MpuwVBSj8UKFUVtVG3CHaPJdQz2Z0k11qzUunmCg2YahvkwfmQOGNHkg==" saltValue="RjfloobhQ4TSaynB+E/r2g==" spinCount="100000" sheet="1" objects="1" scenarios="1"/>
  <mergeCells count="3">
    <mergeCell ref="D129:E129"/>
    <mergeCell ref="N7:N8"/>
    <mergeCell ref="E7:G8"/>
  </mergeCells>
  <pageMargins left="0.7" right="0.7" top="0.75" bottom="0.75" header="0.3" footer="0.3"/>
  <pageSetup paperSize="9" orientation="portrait" r:id="rId1"/>
  <customProperties>
    <customPr name="_pios_id" r:id="rId2"/>
  </customProperties>
  <ignoredErrors>
    <ignoredError sqref="H408:N408" numberStoredAsText="1"/>
  </ignoredErrors>
  <drawing r:id="rId3"/>
  <legacyDrawing r:id="rId4"/>
  <mc:AlternateContent xmlns:mc="http://schemas.openxmlformats.org/markup-compatibility/2006">
    <mc:Choice Requires="x14">
      <controls>
        <mc:AlternateContent xmlns:mc="http://schemas.openxmlformats.org/markup-compatibility/2006">
          <mc:Choice Requires="x14">
            <control shapeId="33793" r:id="rId5" name="Spinner 1">
              <controlPr defaultSize="0" autoPict="0">
                <anchor moveWithCells="1" sizeWithCells="1">
                  <from>
                    <xdr:col>14</xdr:col>
                    <xdr:colOff>38100</xdr:colOff>
                    <xdr:row>6</xdr:row>
                    <xdr:rowOff>47625</xdr:rowOff>
                  </from>
                  <to>
                    <xdr:col>14</xdr:col>
                    <xdr:colOff>228600</xdr:colOff>
                    <xdr:row>7</xdr:row>
                    <xdr:rowOff>152400</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F83B4-02EB-4525-9F4B-98987198324C}">
  <sheetPr codeName="Hoja21"/>
  <dimension ref="A4:Z359"/>
  <sheetViews>
    <sheetView zoomScale="80" zoomScaleNormal="80" workbookViewId="0">
      <selection activeCell="I28" sqref="I28"/>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50.28515625" style="3" customWidth="1"/>
    <col min="6" max="6" width="18.85546875" style="3" customWidth="1"/>
    <col min="7" max="13" width="12.28515625" style="3" customWidth="1"/>
    <col min="14" max="14" width="5.7109375" style="3" customWidth="1"/>
    <col min="15" max="15" width="20.28515625" style="3" customWidth="1"/>
    <col min="16" max="16" width="18" style="3" bestFit="1" customWidth="1"/>
    <col min="17" max="21" width="16.85546875" style="3" bestFit="1" customWidth="1"/>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4" spans="1:14" ht="15" customHeight="1">
      <c r="D4" s="8" t="s">
        <v>1622</v>
      </c>
      <c r="E4" s="5"/>
      <c r="F4" s="5"/>
      <c r="G4" s="5"/>
      <c r="H4" s="5"/>
      <c r="I4" s="5"/>
      <c r="J4" s="5"/>
      <c r="K4" s="5"/>
      <c r="L4" s="5"/>
      <c r="M4" s="5"/>
      <c r="N4" s="5"/>
    </row>
    <row r="5" spans="1:14" ht="15" customHeight="1">
      <c r="A5" s="1559"/>
      <c r="D5" s="6"/>
      <c r="E5" s="6"/>
      <c r="F5" s="6"/>
      <c r="G5" s="6"/>
      <c r="H5" s="6"/>
      <c r="I5" s="6"/>
      <c r="J5" s="6"/>
      <c r="K5" s="6"/>
      <c r="L5" s="6"/>
      <c r="M5" s="6"/>
      <c r="N5" s="6"/>
    </row>
    <row r="6" spans="1:14" ht="15" customHeight="1">
      <c r="D6" s="6"/>
      <c r="E6" s="126" t="s">
        <v>1623</v>
      </c>
      <c r="F6" s="127"/>
      <c r="G6" s="127"/>
      <c r="H6" s="127"/>
      <c r="I6" s="127"/>
      <c r="J6" s="127"/>
      <c r="K6" s="127"/>
      <c r="L6" s="127"/>
      <c r="M6" s="179" t="s">
        <v>879</v>
      </c>
      <c r="N6" s="397"/>
    </row>
    <row r="7" spans="1:14" ht="15" customHeight="1">
      <c r="D7" s="6"/>
      <c r="E7" s="3913" t="s">
        <v>133</v>
      </c>
      <c r="F7" s="3913"/>
      <c r="G7" s="3913"/>
      <c r="H7" s="126"/>
      <c r="I7" s="126"/>
      <c r="J7" s="126"/>
      <c r="K7" s="126"/>
      <c r="L7" s="126"/>
      <c r="M7" s="3922">
        <f>TRAYECTORIA_APROVECHAMIENTO_BIOGAS</f>
        <v>1</v>
      </c>
      <c r="N7" s="6"/>
    </row>
    <row r="8" spans="1:14" ht="15" customHeight="1">
      <c r="D8" s="6"/>
      <c r="E8" s="3927"/>
      <c r="F8" s="3927"/>
      <c r="G8" s="3927"/>
      <c r="H8" s="1572"/>
      <c r="I8" s="1572"/>
      <c r="J8" s="1572"/>
      <c r="K8" s="1572"/>
      <c r="L8" s="1572"/>
      <c r="M8" s="3926"/>
      <c r="N8" s="6"/>
    </row>
    <row r="9" spans="1:14" ht="15" customHeight="1">
      <c r="D9" s="6"/>
      <c r="E9" s="3912" t="s">
        <v>250</v>
      </c>
      <c r="F9" s="3912"/>
      <c r="G9" s="3912"/>
      <c r="H9" s="1166"/>
      <c r="I9" s="1166"/>
      <c r="J9" s="1166"/>
      <c r="K9" s="1166"/>
      <c r="L9" s="1166"/>
      <c r="M9" s="3925">
        <f>TRAYECTORIA_AUMENTO_TRAT_AGUA</f>
        <v>1</v>
      </c>
      <c r="N9" s="6"/>
    </row>
    <row r="10" spans="1:14" ht="15" customHeight="1">
      <c r="D10" s="6"/>
      <c r="E10" s="3924"/>
      <c r="F10" s="3924"/>
      <c r="G10" s="3924"/>
      <c r="H10" s="1566"/>
      <c r="I10" s="1566"/>
      <c r="J10" s="1566"/>
      <c r="K10" s="1566"/>
      <c r="L10" s="1566"/>
      <c r="M10" s="3923"/>
      <c r="N10" s="6"/>
    </row>
    <row r="11" spans="1:14" ht="15" customHeight="1">
      <c r="D11" s="6"/>
      <c r="E11" s="6"/>
      <c r="F11" s="6"/>
      <c r="G11" s="6"/>
      <c r="H11" s="6"/>
      <c r="I11" s="6"/>
      <c r="J11" s="6"/>
      <c r="K11" s="6"/>
      <c r="L11" s="6"/>
      <c r="M11" s="6"/>
      <c r="N11" s="6"/>
    </row>
    <row r="13" spans="1:14" ht="15" customHeight="1">
      <c r="D13" s="335" t="s">
        <v>1190</v>
      </c>
      <c r="E13" s="336"/>
      <c r="F13" s="336"/>
      <c r="G13" s="336"/>
      <c r="H13" s="336"/>
      <c r="I13" s="336"/>
      <c r="J13" s="336"/>
      <c r="K13" s="336"/>
      <c r="L13" s="336"/>
      <c r="M13" s="336"/>
      <c r="N13" s="336"/>
    </row>
    <row r="14" spans="1:14" ht="15" customHeight="1">
      <c r="D14" s="13"/>
      <c r="E14" s="19"/>
      <c r="F14" s="20"/>
      <c r="G14" s="21"/>
      <c r="H14" s="20"/>
      <c r="I14" s="22"/>
      <c r="J14" s="20"/>
      <c r="K14" s="22"/>
      <c r="L14" s="22"/>
      <c r="M14" s="22"/>
      <c r="N14" s="20"/>
    </row>
    <row r="15" spans="1:14" ht="15" customHeight="1">
      <c r="D15" s="416"/>
      <c r="E15" s="2782" t="s">
        <v>2033</v>
      </c>
      <c r="F15" s="497"/>
      <c r="G15" s="498"/>
      <c r="H15" s="498"/>
      <c r="I15" s="498"/>
      <c r="J15" s="498"/>
      <c r="K15" s="498"/>
      <c r="L15" s="497"/>
      <c r="M15" s="498"/>
      <c r="N15" s="417"/>
    </row>
    <row r="16" spans="1:14" ht="15" customHeight="1">
      <c r="D16" s="416"/>
      <c r="E16" s="421"/>
      <c r="F16" s="421"/>
      <c r="G16" s="417"/>
      <c r="H16" s="417"/>
      <c r="I16" s="417"/>
      <c r="J16" s="417"/>
      <c r="K16" s="417"/>
      <c r="L16" s="421"/>
      <c r="M16" s="417"/>
      <c r="N16" s="417"/>
    </row>
    <row r="17" spans="4:16" ht="15" customHeight="1">
      <c r="D17" s="416"/>
      <c r="E17" s="499" t="s">
        <v>1726</v>
      </c>
      <c r="F17" s="421"/>
      <c r="G17" s="417"/>
      <c r="H17" s="417"/>
      <c r="I17" s="417"/>
      <c r="J17" s="417"/>
      <c r="K17" s="417"/>
      <c r="L17" s="421"/>
      <c r="M17" s="417"/>
      <c r="N17" s="417"/>
    </row>
    <row r="18" spans="4:16" ht="15" customHeight="1">
      <c r="D18" s="416"/>
      <c r="E18" s="421"/>
      <c r="F18" s="417"/>
      <c r="G18" s="417"/>
      <c r="H18" s="417"/>
      <c r="I18" s="417"/>
      <c r="J18" s="417"/>
      <c r="K18" s="417"/>
      <c r="L18" s="417"/>
      <c r="M18" s="500" t="s">
        <v>734</v>
      </c>
      <c r="N18" s="12"/>
    </row>
    <row r="19" spans="4:16" ht="15" customHeight="1">
      <c r="D19" s="416"/>
      <c r="E19" s="501" t="s">
        <v>1503</v>
      </c>
      <c r="F19" s="501">
        <v>2018</v>
      </c>
      <c r="G19" s="501">
        <v>2020</v>
      </c>
      <c r="H19" s="501">
        <v>2025</v>
      </c>
      <c r="I19" s="501">
        <v>2030</v>
      </c>
      <c r="J19" s="501">
        <v>2035</v>
      </c>
      <c r="K19" s="501">
        <v>2040</v>
      </c>
      <c r="L19" s="501">
        <v>2045</v>
      </c>
      <c r="M19" s="501">
        <v>2050</v>
      </c>
      <c r="N19" s="12"/>
    </row>
    <row r="20" spans="4:16" ht="15" customHeight="1">
      <c r="D20" s="502"/>
      <c r="E20" s="503" t="s">
        <v>2034</v>
      </c>
      <c r="F20" s="3084">
        <v>180787031.76156992</v>
      </c>
      <c r="G20" s="3084"/>
      <c r="H20" s="3085"/>
      <c r="I20" s="3085"/>
      <c r="J20" s="3085"/>
      <c r="K20" s="3085"/>
      <c r="L20" s="3085"/>
      <c r="M20" s="3085"/>
      <c r="N20" s="12"/>
      <c r="P20" s="1068"/>
    </row>
    <row r="21" spans="4:16" ht="15" customHeight="1">
      <c r="D21" s="416"/>
      <c r="E21" s="504" t="s">
        <v>2035</v>
      </c>
      <c r="F21" s="3086">
        <v>0</v>
      </c>
      <c r="G21" s="3086">
        <v>0</v>
      </c>
      <c r="H21" s="3087">
        <v>0</v>
      </c>
      <c r="I21" s="3087">
        <v>0</v>
      </c>
      <c r="J21" s="3087">
        <v>0</v>
      </c>
      <c r="K21" s="3087">
        <v>0</v>
      </c>
      <c r="L21" s="3087">
        <v>0</v>
      </c>
      <c r="M21" s="3087">
        <v>0</v>
      </c>
      <c r="N21" s="12"/>
      <c r="P21" s="1068"/>
    </row>
    <row r="22" spans="4:16" ht="15" customHeight="1">
      <c r="D22" s="416"/>
      <c r="E22" s="504" t="s">
        <v>2036</v>
      </c>
      <c r="F22" s="3086">
        <v>0.42849999999999999</v>
      </c>
      <c r="G22" s="3086">
        <v>0.42849999999999999</v>
      </c>
      <c r="H22" s="3087">
        <v>0.42849999999999999</v>
      </c>
      <c r="I22" s="3087">
        <v>0.42849999999999999</v>
      </c>
      <c r="J22" s="3087">
        <v>0.42849999999999999</v>
      </c>
      <c r="K22" s="3087">
        <v>0.42849999999999999</v>
      </c>
      <c r="L22" s="3087">
        <v>0.42849999999999999</v>
      </c>
      <c r="M22" s="3087">
        <v>0.42849999999999999</v>
      </c>
      <c r="N22" s="12"/>
    </row>
    <row r="23" spans="4:16" ht="15" customHeight="1">
      <c r="D23" s="416"/>
      <c r="E23" s="505" t="s">
        <v>2037</v>
      </c>
      <c r="F23" s="3088">
        <v>0.57150000000000001</v>
      </c>
      <c r="G23" s="3088">
        <v>0.57150000000000001</v>
      </c>
      <c r="H23" s="3088">
        <v>0.57150000000000001</v>
      </c>
      <c r="I23" s="3088">
        <v>0.57150000000000001</v>
      </c>
      <c r="J23" s="3088">
        <v>0.57150000000000001</v>
      </c>
      <c r="K23" s="3088">
        <v>0.57150000000000001</v>
      </c>
      <c r="L23" s="3088">
        <v>0.57150000000000001</v>
      </c>
      <c r="M23" s="3088">
        <v>0.57150000000000001</v>
      </c>
      <c r="N23" s="12"/>
    </row>
    <row r="24" spans="4:16" ht="15" customHeight="1">
      <c r="D24" s="416"/>
      <c r="E24" s="506"/>
      <c r="F24" s="509"/>
      <c r="G24" s="509"/>
      <c r="H24" s="509"/>
      <c r="I24" s="509"/>
      <c r="J24" s="509"/>
      <c r="K24" s="508"/>
      <c r="L24" s="508"/>
      <c r="M24" s="508"/>
      <c r="N24" s="12"/>
    </row>
    <row r="25" spans="4:16" ht="15" customHeight="1">
      <c r="D25" s="416"/>
      <c r="E25" s="499" t="s">
        <v>1729</v>
      </c>
      <c r="F25" s="509"/>
      <c r="G25" s="509"/>
      <c r="H25" s="509"/>
      <c r="I25" s="509"/>
      <c r="J25" s="509"/>
      <c r="K25" s="508"/>
      <c r="L25" s="508"/>
      <c r="M25" s="508"/>
      <c r="N25" s="12"/>
    </row>
    <row r="26" spans="4:16" ht="15" customHeight="1">
      <c r="D26" s="416"/>
      <c r="E26" s="421"/>
      <c r="F26" s="508"/>
      <c r="G26" s="508"/>
      <c r="H26" s="508"/>
      <c r="I26" s="508"/>
      <c r="J26" s="508"/>
      <c r="K26" s="508"/>
      <c r="L26" s="508"/>
      <c r="M26" s="500" t="s">
        <v>734</v>
      </c>
      <c r="N26" s="12"/>
    </row>
    <row r="27" spans="4:16" ht="15" customHeight="1">
      <c r="D27" s="416"/>
      <c r="E27" s="501" t="s">
        <v>1503</v>
      </c>
      <c r="F27" s="510">
        <v>2018</v>
      </c>
      <c r="G27" s="510">
        <v>2020</v>
      </c>
      <c r="H27" s="510">
        <v>2025</v>
      </c>
      <c r="I27" s="510">
        <v>2030</v>
      </c>
      <c r="J27" s="510">
        <v>2035</v>
      </c>
      <c r="K27" s="510">
        <v>2040</v>
      </c>
      <c r="L27" s="510">
        <v>2045</v>
      </c>
      <c r="M27" s="510">
        <v>2050</v>
      </c>
      <c r="N27" s="12"/>
    </row>
    <row r="28" spans="4:16" ht="15" customHeight="1">
      <c r="D28" s="502"/>
      <c r="E28" s="503" t="s">
        <v>2034</v>
      </c>
      <c r="F28" s="3084">
        <v>180787031.76156992</v>
      </c>
      <c r="G28" s="3089"/>
      <c r="H28" s="3089"/>
      <c r="I28" s="3089"/>
      <c r="J28" s="3089"/>
      <c r="K28" s="3089"/>
      <c r="L28" s="3089"/>
      <c r="M28" s="3089"/>
      <c r="N28" s="12"/>
    </row>
    <row r="29" spans="4:16" ht="15" customHeight="1">
      <c r="D29" s="416"/>
      <c r="E29" s="504" t="s">
        <v>2035</v>
      </c>
      <c r="F29" s="3087">
        <v>0</v>
      </c>
      <c r="G29" s="3087">
        <v>3.1250000000000002E-3</v>
      </c>
      <c r="H29" s="3087">
        <v>2.1875000000000002E-2</v>
      </c>
      <c r="I29" s="3087">
        <v>3.7500000000000006E-2</v>
      </c>
      <c r="J29" s="3087">
        <v>5.3125000000000006E-2</v>
      </c>
      <c r="K29" s="3087">
        <v>6.8750000000000006E-2</v>
      </c>
      <c r="L29" s="3087">
        <v>8.4375000000000006E-2</v>
      </c>
      <c r="M29" s="3087">
        <v>0.05</v>
      </c>
      <c r="N29" s="12"/>
    </row>
    <row r="30" spans="4:16" ht="15" customHeight="1">
      <c r="D30" s="416"/>
      <c r="E30" s="504" t="s">
        <v>2036</v>
      </c>
      <c r="F30" s="3087">
        <v>0.42849999999999999</v>
      </c>
      <c r="G30" s="3087">
        <v>0.44484374999999998</v>
      </c>
      <c r="H30" s="3087">
        <v>0.48570312500000001</v>
      </c>
      <c r="I30" s="3087">
        <v>0.52656249999999993</v>
      </c>
      <c r="J30" s="3087">
        <v>0.56742187499999996</v>
      </c>
      <c r="K30" s="3087">
        <v>0.60828125</v>
      </c>
      <c r="L30" s="3087">
        <v>0.64914062499999992</v>
      </c>
      <c r="M30" s="3090">
        <v>0.69</v>
      </c>
      <c r="N30" s="12"/>
    </row>
    <row r="31" spans="4:16" ht="15" customHeight="1">
      <c r="D31" s="416"/>
      <c r="E31" s="505" t="s">
        <v>2037</v>
      </c>
      <c r="F31" s="3088">
        <v>0.57150000000000001</v>
      </c>
      <c r="G31" s="3088">
        <v>0.55203124999999997</v>
      </c>
      <c r="H31" s="3088">
        <v>0.49242187500000001</v>
      </c>
      <c r="I31" s="3088">
        <v>0.43593750000000009</v>
      </c>
      <c r="J31" s="3088">
        <v>0.37945312500000006</v>
      </c>
      <c r="K31" s="3088">
        <v>0.32296875000000003</v>
      </c>
      <c r="L31" s="3088">
        <v>0.26648437500000011</v>
      </c>
      <c r="M31" s="3088">
        <v>0.26</v>
      </c>
      <c r="N31" s="12"/>
    </row>
    <row r="32" spans="4:16" ht="15" customHeight="1">
      <c r="D32" s="416"/>
      <c r="E32" s="506"/>
      <c r="F32" s="509"/>
      <c r="G32" s="509"/>
      <c r="H32" s="509"/>
      <c r="I32" s="509"/>
      <c r="J32" s="509"/>
      <c r="K32" s="508"/>
      <c r="L32" s="508"/>
      <c r="M32" s="508"/>
      <c r="N32" s="12"/>
    </row>
    <row r="33" spans="4:16" ht="15" customHeight="1">
      <c r="D33" s="416"/>
      <c r="E33" s="499" t="s">
        <v>1730</v>
      </c>
      <c r="F33" s="509"/>
      <c r="G33" s="509"/>
      <c r="H33" s="509"/>
      <c r="I33" s="509"/>
      <c r="J33" s="509"/>
      <c r="K33" s="508"/>
      <c r="L33" s="508"/>
      <c r="M33" s="508"/>
      <c r="N33" s="12"/>
    </row>
    <row r="34" spans="4:16" ht="15" customHeight="1">
      <c r="D34" s="416"/>
      <c r="E34" s="421"/>
      <c r="F34" s="508"/>
      <c r="G34" s="508"/>
      <c r="H34" s="508"/>
      <c r="I34" s="508"/>
      <c r="J34" s="508"/>
      <c r="K34" s="508"/>
      <c r="L34" s="508"/>
      <c r="M34" s="500" t="s">
        <v>734</v>
      </c>
      <c r="N34" s="12"/>
    </row>
    <row r="35" spans="4:16" ht="15" customHeight="1">
      <c r="D35" s="416"/>
      <c r="E35" s="501" t="s">
        <v>1503</v>
      </c>
      <c r="F35" s="510">
        <v>2018</v>
      </c>
      <c r="G35" s="510">
        <v>2020</v>
      </c>
      <c r="H35" s="510">
        <v>2025</v>
      </c>
      <c r="I35" s="510">
        <v>2030</v>
      </c>
      <c r="J35" s="510">
        <v>2035</v>
      </c>
      <c r="K35" s="510">
        <v>2040</v>
      </c>
      <c r="L35" s="510">
        <v>2045</v>
      </c>
      <c r="M35" s="510">
        <v>2050</v>
      </c>
      <c r="N35" s="12"/>
    </row>
    <row r="36" spans="4:16" ht="15" customHeight="1">
      <c r="D36" s="502"/>
      <c r="E36" s="503" t="s">
        <v>2034</v>
      </c>
      <c r="F36" s="3084">
        <v>180787031.76156992</v>
      </c>
      <c r="G36" s="3089"/>
      <c r="H36" s="3089"/>
      <c r="I36" s="3089"/>
      <c r="J36" s="3089"/>
      <c r="K36" s="3089"/>
      <c r="L36" s="3089"/>
      <c r="M36" s="3089"/>
      <c r="N36" s="12"/>
    </row>
    <row r="37" spans="4:16" ht="15" customHeight="1">
      <c r="D37" s="416"/>
      <c r="E37" s="504" t="s">
        <v>2035</v>
      </c>
      <c r="F37" s="3087">
        <v>0</v>
      </c>
      <c r="G37" s="3087">
        <v>6.2500000000000003E-3</v>
      </c>
      <c r="H37" s="3087">
        <v>2.1875000000000002E-2</v>
      </c>
      <c r="I37" s="3087">
        <v>3.7500000000000006E-2</v>
      </c>
      <c r="J37" s="3087">
        <v>5.3125000000000006E-2</v>
      </c>
      <c r="K37" s="3087">
        <v>6.8750000000000006E-2</v>
      </c>
      <c r="L37" s="3087">
        <v>8.4375000000000006E-2</v>
      </c>
      <c r="M37" s="3087">
        <v>0.1</v>
      </c>
      <c r="N37" s="12"/>
    </row>
    <row r="38" spans="4:16" ht="15" customHeight="1">
      <c r="D38" s="416"/>
      <c r="E38" s="504" t="s">
        <v>2036</v>
      </c>
      <c r="F38" s="3090">
        <v>0.42849999999999999</v>
      </c>
      <c r="G38" s="3086">
        <v>0.44484374999999998</v>
      </c>
      <c r="H38" s="3086">
        <v>0.48570312500000001</v>
      </c>
      <c r="I38" s="3086">
        <v>0.52656249999999993</v>
      </c>
      <c r="J38" s="3086">
        <v>0.56742187499999996</v>
      </c>
      <c r="K38" s="3086">
        <v>0.60828125</v>
      </c>
      <c r="L38" s="3086">
        <v>0.69976562499999995</v>
      </c>
      <c r="M38" s="3086">
        <v>0.75</v>
      </c>
      <c r="N38" s="12"/>
    </row>
    <row r="39" spans="4:16" ht="15" customHeight="1">
      <c r="D39" s="416"/>
      <c r="E39" s="505" t="s">
        <v>2037</v>
      </c>
      <c r="F39" s="3088">
        <v>0.57150000000000001</v>
      </c>
      <c r="G39" s="3088">
        <v>0.54890625000000004</v>
      </c>
      <c r="H39" s="3088">
        <v>0.49242187500000001</v>
      </c>
      <c r="I39" s="3088">
        <v>0.43593750000000009</v>
      </c>
      <c r="J39" s="3088">
        <v>0.37945312500000006</v>
      </c>
      <c r="K39" s="3088">
        <v>0.32296875000000003</v>
      </c>
      <c r="L39" s="3088">
        <v>0.21585937500000008</v>
      </c>
      <c r="M39" s="3088">
        <v>0.15000000000000002</v>
      </c>
      <c r="N39" s="12"/>
    </row>
    <row r="40" spans="4:16" ht="15" customHeight="1">
      <c r="D40" s="416"/>
      <c r="E40" s="506"/>
      <c r="F40" s="509"/>
      <c r="G40" s="509"/>
      <c r="H40" s="509"/>
      <c r="I40" s="509"/>
      <c r="J40" s="509"/>
      <c r="K40" s="508"/>
      <c r="L40" s="508"/>
      <c r="M40" s="508"/>
      <c r="N40" s="12"/>
    </row>
    <row r="41" spans="4:16" ht="15" customHeight="1">
      <c r="D41" s="416"/>
      <c r="E41" s="499" t="s">
        <v>1731</v>
      </c>
      <c r="F41" s="509"/>
      <c r="G41" s="509"/>
      <c r="H41" s="509"/>
      <c r="I41" s="509"/>
      <c r="J41" s="509"/>
      <c r="K41" s="508"/>
      <c r="L41" s="508"/>
      <c r="M41" s="508"/>
      <c r="N41" s="12"/>
    </row>
    <row r="42" spans="4:16" ht="15" customHeight="1">
      <c r="D42" s="416"/>
      <c r="E42" s="421"/>
      <c r="F42" s="508"/>
      <c r="G42" s="508"/>
      <c r="H42" s="508"/>
      <c r="I42" s="508"/>
      <c r="J42" s="508"/>
      <c r="K42" s="508"/>
      <c r="L42" s="508"/>
      <c r="M42" s="500" t="s">
        <v>734</v>
      </c>
      <c r="N42" s="12"/>
    </row>
    <row r="43" spans="4:16" ht="15" customHeight="1">
      <c r="D43" s="416"/>
      <c r="E43" s="501" t="s">
        <v>1503</v>
      </c>
      <c r="F43" s="510">
        <v>2018</v>
      </c>
      <c r="G43" s="510">
        <v>2020</v>
      </c>
      <c r="H43" s="510">
        <v>2025</v>
      </c>
      <c r="I43" s="510">
        <v>2030</v>
      </c>
      <c r="J43" s="510">
        <v>2035</v>
      </c>
      <c r="K43" s="510">
        <v>2040</v>
      </c>
      <c r="L43" s="510">
        <v>2045</v>
      </c>
      <c r="M43" s="510">
        <v>2050</v>
      </c>
      <c r="N43" s="12"/>
      <c r="P43" s="2029"/>
    </row>
    <row r="44" spans="4:16" ht="15" customHeight="1">
      <c r="D44" s="502"/>
      <c r="E44" s="503" t="s">
        <v>2034</v>
      </c>
      <c r="F44" s="3084">
        <v>180787031.76156992</v>
      </c>
      <c r="G44" s="3089"/>
      <c r="H44" s="3089"/>
      <c r="I44" s="3089"/>
      <c r="J44" s="3089"/>
      <c r="K44" s="3089"/>
      <c r="L44" s="3089"/>
      <c r="M44" s="3089"/>
      <c r="N44" s="12"/>
    </row>
    <row r="45" spans="4:16" ht="15" customHeight="1">
      <c r="D45" s="416"/>
      <c r="E45" s="504" t="s">
        <v>2035</v>
      </c>
      <c r="F45" s="3087">
        <v>0</v>
      </c>
      <c r="G45" s="3087">
        <v>1.6666666666666666E-2</v>
      </c>
      <c r="H45" s="3087">
        <v>5.8333333333333334E-2</v>
      </c>
      <c r="I45" s="3087">
        <v>0.1</v>
      </c>
      <c r="J45" s="3087">
        <v>0.1</v>
      </c>
      <c r="K45" s="3087">
        <v>0.1</v>
      </c>
      <c r="L45" s="3087">
        <v>0.1</v>
      </c>
      <c r="M45" s="3087">
        <v>0.1</v>
      </c>
      <c r="N45" s="12"/>
    </row>
    <row r="46" spans="4:16" ht="15" customHeight="1">
      <c r="D46" s="416"/>
      <c r="E46" s="504" t="s">
        <v>2036</v>
      </c>
      <c r="F46" s="3090">
        <v>0.42849999999999999</v>
      </c>
      <c r="G46" s="3086">
        <v>0.47139999999999999</v>
      </c>
      <c r="H46" s="3086">
        <v>0.59660000000000002</v>
      </c>
      <c r="I46" s="3086">
        <v>0.69</v>
      </c>
      <c r="J46" s="3086">
        <v>0.71799999999999997</v>
      </c>
      <c r="K46" s="3086">
        <v>0.75</v>
      </c>
      <c r="L46" s="3086">
        <v>0.77500000000000002</v>
      </c>
      <c r="M46" s="3086">
        <v>0.8</v>
      </c>
      <c r="N46" s="12"/>
    </row>
    <row r="47" spans="4:16" ht="15" customHeight="1">
      <c r="D47" s="416"/>
      <c r="E47" s="505" t="s">
        <v>2037</v>
      </c>
      <c r="F47" s="3088">
        <v>0.57150000000000001</v>
      </c>
      <c r="G47" s="3088">
        <v>0.51193333333333335</v>
      </c>
      <c r="H47" s="3088">
        <v>0.34506666666666663</v>
      </c>
      <c r="I47" s="3088">
        <v>0.21000000000000008</v>
      </c>
      <c r="J47" s="3088">
        <v>0.18200000000000005</v>
      </c>
      <c r="K47" s="3088">
        <v>0.15000000000000002</v>
      </c>
      <c r="L47" s="3088">
        <v>0.125</v>
      </c>
      <c r="M47" s="3088">
        <v>9.9999999999999978E-2</v>
      </c>
      <c r="N47" s="12"/>
    </row>
    <row r="48" spans="4:16" ht="15" customHeight="1">
      <c r="D48" s="416"/>
      <c r="E48" s="506"/>
      <c r="F48" s="506"/>
      <c r="G48" s="509"/>
      <c r="H48" s="509"/>
      <c r="I48" s="509"/>
      <c r="J48" s="509"/>
      <c r="K48" s="509"/>
      <c r="L48" s="509"/>
      <c r="M48" s="508"/>
      <c r="N48" s="417"/>
    </row>
    <row r="49" spans="1:24" ht="15" customHeight="1">
      <c r="D49" s="507"/>
      <c r="E49" s="2782" t="s">
        <v>2038</v>
      </c>
      <c r="F49" s="3091"/>
      <c r="G49" s="3091"/>
      <c r="H49" s="3091"/>
      <c r="I49" s="3091"/>
      <c r="J49" s="3091"/>
      <c r="K49" s="3091"/>
      <c r="L49" s="3091"/>
      <c r="M49" s="3091"/>
      <c r="N49" s="508"/>
    </row>
    <row r="50" spans="1:24" s="415" customFormat="1" ht="15" customHeight="1">
      <c r="A50" s="663"/>
      <c r="B50" s="667"/>
      <c r="D50" s="507"/>
      <c r="E50" s="503"/>
      <c r="F50" s="503"/>
      <c r="G50" s="509"/>
      <c r="H50" s="509"/>
      <c r="I50" s="509"/>
      <c r="J50" s="509"/>
      <c r="K50" s="509"/>
      <c r="L50" s="509"/>
      <c r="M50" s="508"/>
      <c r="N50" s="508"/>
      <c r="O50" s="3"/>
      <c r="P50" s="3"/>
      <c r="Q50" s="3"/>
      <c r="R50" s="3"/>
      <c r="S50" s="3"/>
      <c r="T50" s="3"/>
      <c r="U50" s="3"/>
      <c r="V50" s="3"/>
      <c r="W50" s="3"/>
      <c r="X50" s="3"/>
    </row>
    <row r="51" spans="1:24" s="415" customFormat="1" ht="15" customHeight="1">
      <c r="A51" s="663"/>
      <c r="B51" s="667"/>
      <c r="D51" s="507"/>
      <c r="E51" s="499" t="s">
        <v>1726</v>
      </c>
      <c r="F51" s="503"/>
      <c r="G51" s="509"/>
      <c r="H51" s="509"/>
      <c r="I51" s="509"/>
      <c r="J51" s="509"/>
      <c r="K51" s="509"/>
      <c r="L51" s="509"/>
      <c r="M51" s="508"/>
      <c r="N51" s="508"/>
      <c r="O51" s="3"/>
      <c r="P51" s="3"/>
      <c r="Q51" s="3"/>
      <c r="R51" s="3"/>
      <c r="S51" s="3"/>
      <c r="T51" s="3"/>
      <c r="U51" s="3"/>
      <c r="V51" s="3"/>
      <c r="W51" s="3"/>
      <c r="X51" s="3"/>
    </row>
    <row r="52" spans="1:24" s="415" customFormat="1" ht="15" customHeight="1">
      <c r="A52" s="663"/>
      <c r="B52" s="667"/>
      <c r="D52" s="507"/>
      <c r="E52" s="503"/>
      <c r="F52" s="508"/>
      <c r="G52" s="508"/>
      <c r="H52" s="508"/>
      <c r="I52" s="508"/>
      <c r="J52" s="503"/>
      <c r="K52" s="508"/>
      <c r="L52" s="508"/>
      <c r="M52" s="500" t="s">
        <v>734</v>
      </c>
      <c r="N52" s="447"/>
      <c r="O52" s="1068"/>
      <c r="P52" s="3"/>
      <c r="Q52" s="3"/>
      <c r="R52" s="3"/>
      <c r="S52" s="3"/>
      <c r="T52" s="3"/>
      <c r="U52" s="3"/>
      <c r="V52" s="3"/>
      <c r="W52" s="3"/>
      <c r="X52" s="3"/>
    </row>
    <row r="53" spans="1:24" s="415" customFormat="1" ht="15" customHeight="1">
      <c r="A53" s="663"/>
      <c r="B53" s="667"/>
      <c r="D53" s="507"/>
      <c r="E53" s="510" t="s">
        <v>869</v>
      </c>
      <c r="F53" s="510">
        <v>2018</v>
      </c>
      <c r="G53" s="510">
        <v>2020</v>
      </c>
      <c r="H53" s="510">
        <v>2025</v>
      </c>
      <c r="I53" s="510">
        <v>2030</v>
      </c>
      <c r="J53" s="510">
        <v>2035</v>
      </c>
      <c r="K53" s="510">
        <v>2040</v>
      </c>
      <c r="L53" s="510">
        <v>2045</v>
      </c>
      <c r="M53" s="510">
        <v>2050</v>
      </c>
      <c r="N53" s="447"/>
      <c r="O53" s="3"/>
      <c r="P53" s="3"/>
      <c r="Q53" s="3"/>
      <c r="R53" s="3"/>
      <c r="S53" s="3"/>
      <c r="T53" s="3"/>
      <c r="U53" s="3"/>
      <c r="V53" s="3"/>
      <c r="W53" s="3"/>
      <c r="X53" s="3"/>
    </row>
    <row r="54" spans="1:24" s="415" customFormat="1" ht="15" customHeight="1">
      <c r="A54" s="663"/>
      <c r="B54" s="667"/>
      <c r="D54" s="511"/>
      <c r="E54" s="503" t="s">
        <v>2039</v>
      </c>
      <c r="F54" s="3092">
        <v>6321800</v>
      </c>
      <c r="G54" s="3092">
        <v>6321800</v>
      </c>
      <c r="H54" s="3092">
        <v>6321800</v>
      </c>
      <c r="I54" s="3092">
        <v>6321800</v>
      </c>
      <c r="J54" s="3092">
        <v>6321800</v>
      </c>
      <c r="K54" s="3092">
        <v>6321800</v>
      </c>
      <c r="L54" s="3092">
        <v>6321800</v>
      </c>
      <c r="M54" s="3092">
        <v>6321800</v>
      </c>
      <c r="N54" s="447"/>
      <c r="O54" s="3"/>
      <c r="P54" s="3"/>
      <c r="Q54" s="3"/>
      <c r="R54" s="3"/>
      <c r="S54" s="3"/>
      <c r="T54" s="3"/>
      <c r="U54" s="3"/>
      <c r="V54" s="3"/>
      <c r="W54" s="3"/>
      <c r="X54" s="3"/>
    </row>
    <row r="55" spans="1:24" s="415" customFormat="1" ht="15" customHeight="1">
      <c r="A55" s="663"/>
      <c r="B55" s="667"/>
      <c r="D55" s="507"/>
      <c r="E55" s="512" t="s">
        <v>2035</v>
      </c>
      <c r="F55" s="3090">
        <v>8.8999999999999968E-2</v>
      </c>
      <c r="G55" s="3090">
        <v>8.8999999999999968E-2</v>
      </c>
      <c r="H55" s="3090">
        <v>8.8999999999999968E-2</v>
      </c>
      <c r="I55" s="3090">
        <v>8.8999999999999968E-2</v>
      </c>
      <c r="J55" s="3090">
        <v>8.8999999999999968E-2</v>
      </c>
      <c r="K55" s="3090">
        <v>8.8999999999999968E-2</v>
      </c>
      <c r="L55" s="3090">
        <v>8.8999999999999968E-2</v>
      </c>
      <c r="M55" s="3090">
        <v>8.8999999999999968E-2</v>
      </c>
      <c r="N55" s="447"/>
      <c r="O55" s="3"/>
      <c r="P55" s="3"/>
      <c r="Q55" s="3"/>
      <c r="R55" s="3"/>
      <c r="S55" s="3"/>
      <c r="T55" s="3"/>
      <c r="U55" s="3"/>
      <c r="V55" s="3"/>
      <c r="W55" s="3"/>
      <c r="X55" s="3"/>
    </row>
    <row r="56" spans="1:24" s="415" customFormat="1" ht="15" customHeight="1">
      <c r="A56" s="663"/>
      <c r="B56" s="667"/>
      <c r="D56" s="507"/>
      <c r="E56" s="513" t="s">
        <v>2036</v>
      </c>
      <c r="F56" s="3088">
        <v>0.91100000000000003</v>
      </c>
      <c r="G56" s="3088">
        <v>0.91100000000000003</v>
      </c>
      <c r="H56" s="3088">
        <v>0.91100000000000003</v>
      </c>
      <c r="I56" s="3088">
        <v>0.91100000000000003</v>
      </c>
      <c r="J56" s="3088">
        <v>0.91100000000000003</v>
      </c>
      <c r="K56" s="3088">
        <v>0.91100000000000003</v>
      </c>
      <c r="L56" s="3088">
        <v>0.91100000000000003</v>
      </c>
      <c r="M56" s="3088">
        <v>0.91100000000000003</v>
      </c>
      <c r="N56" s="447"/>
      <c r="O56" s="980"/>
      <c r="P56" s="3"/>
      <c r="Q56" s="3"/>
      <c r="R56" s="3"/>
      <c r="S56" s="3"/>
      <c r="T56" s="3"/>
      <c r="U56" s="3"/>
      <c r="V56" s="3"/>
      <c r="W56" s="3"/>
      <c r="X56" s="3"/>
    </row>
    <row r="57" spans="1:24" s="415" customFormat="1" ht="15" customHeight="1">
      <c r="A57" s="663"/>
      <c r="B57" s="667"/>
      <c r="D57" s="514"/>
      <c r="E57" s="515"/>
      <c r="F57" s="509"/>
      <c r="G57" s="509"/>
      <c r="H57" s="509"/>
      <c r="I57" s="509"/>
      <c r="J57" s="509"/>
      <c r="K57" s="508"/>
      <c r="L57" s="508"/>
      <c r="M57" s="508"/>
      <c r="N57" s="516"/>
      <c r="O57" s="3"/>
      <c r="P57" s="3"/>
      <c r="Q57" s="3"/>
      <c r="R57" s="3"/>
      <c r="S57" s="3"/>
      <c r="T57" s="3"/>
      <c r="U57" s="3"/>
      <c r="V57" s="3"/>
      <c r="W57" s="3"/>
      <c r="X57" s="3"/>
    </row>
    <row r="58" spans="1:24" s="517" customFormat="1" ht="15" customHeight="1">
      <c r="A58" s="663"/>
      <c r="B58" s="667"/>
      <c r="D58" s="514"/>
      <c r="E58" s="499" t="s">
        <v>1729</v>
      </c>
      <c r="F58" s="509"/>
      <c r="G58" s="509"/>
      <c r="H58" s="509"/>
      <c r="I58" s="509"/>
      <c r="J58" s="509"/>
      <c r="K58" s="508"/>
      <c r="L58" s="508"/>
      <c r="M58" s="508"/>
      <c r="N58" s="516"/>
      <c r="O58" s="3"/>
      <c r="P58" s="3"/>
      <c r="Q58" s="3"/>
      <c r="R58" s="3"/>
      <c r="S58" s="3"/>
      <c r="T58" s="3"/>
      <c r="U58" s="3"/>
      <c r="V58" s="3"/>
      <c r="W58" s="3"/>
      <c r="X58" s="3"/>
    </row>
    <row r="59" spans="1:24" s="517" customFormat="1" ht="15" customHeight="1">
      <c r="A59" s="663"/>
      <c r="B59" s="667"/>
      <c r="D59" s="416"/>
      <c r="E59" s="421"/>
      <c r="F59" s="508"/>
      <c r="G59" s="508"/>
      <c r="H59" s="508"/>
      <c r="I59" s="503"/>
      <c r="J59" s="508"/>
      <c r="K59" s="508"/>
      <c r="L59" s="508"/>
      <c r="M59" s="500" t="s">
        <v>734</v>
      </c>
      <c r="N59" s="12"/>
      <c r="O59" s="980"/>
      <c r="P59" s="3"/>
      <c r="Q59" s="3"/>
      <c r="R59" s="3"/>
      <c r="S59" s="3"/>
      <c r="T59" s="3"/>
      <c r="U59" s="3"/>
      <c r="V59" s="3"/>
      <c r="W59" s="3"/>
      <c r="X59" s="3"/>
    </row>
    <row r="60" spans="1:24" ht="15" customHeight="1">
      <c r="D60" s="416"/>
      <c r="E60" s="501" t="s">
        <v>1503</v>
      </c>
      <c r="F60" s="510">
        <v>2018</v>
      </c>
      <c r="G60" s="501">
        <v>2020</v>
      </c>
      <c r="H60" s="501">
        <v>2025</v>
      </c>
      <c r="I60" s="501">
        <v>2030</v>
      </c>
      <c r="J60" s="501">
        <v>2035</v>
      </c>
      <c r="K60" s="501">
        <v>2040</v>
      </c>
      <c r="L60" s="501">
        <v>2045</v>
      </c>
      <c r="M60" s="501">
        <v>2050</v>
      </c>
      <c r="N60" s="12"/>
      <c r="P60" s="1543"/>
    </row>
    <row r="61" spans="1:24" ht="15" customHeight="1">
      <c r="D61" s="502"/>
      <c r="E61" s="503" t="s">
        <v>2039</v>
      </c>
      <c r="F61" s="3092">
        <v>6321800</v>
      </c>
      <c r="G61" s="3843">
        <v>6321800</v>
      </c>
      <c r="H61" s="3843">
        <v>6321800</v>
      </c>
      <c r="I61" s="3843">
        <v>6321800</v>
      </c>
      <c r="J61" s="3843">
        <v>6321800</v>
      </c>
      <c r="K61" s="3843">
        <v>6321800</v>
      </c>
      <c r="L61" s="3843">
        <v>6321800</v>
      </c>
      <c r="M61" s="3843">
        <v>6321800</v>
      </c>
      <c r="N61" s="12"/>
    </row>
    <row r="62" spans="1:24" ht="15" customHeight="1">
      <c r="D62" s="416"/>
      <c r="E62" s="512" t="s">
        <v>2035</v>
      </c>
      <c r="F62" s="1544">
        <v>8.8999999999999968E-2</v>
      </c>
      <c r="G62" s="1544">
        <v>8.8999999999999968E-2</v>
      </c>
      <c r="H62" s="1544">
        <v>8.8999999999999968E-2</v>
      </c>
      <c r="I62" s="1544">
        <v>8.8999999999999968E-2</v>
      </c>
      <c r="J62" s="1544">
        <v>8.8999999999999968E-2</v>
      </c>
      <c r="K62" s="1544">
        <v>8.8999999999999968E-2</v>
      </c>
      <c r="L62" s="1544">
        <v>8.8999999999999968E-2</v>
      </c>
      <c r="M62" s="1544">
        <v>8.8999999999999968E-2</v>
      </c>
      <c r="N62" s="12"/>
    </row>
    <row r="63" spans="1:24" ht="15" customHeight="1">
      <c r="D63" s="416"/>
      <c r="E63" s="513" t="s">
        <v>2036</v>
      </c>
      <c r="F63" s="1545">
        <v>0.91100000000000003</v>
      </c>
      <c r="G63" s="1545">
        <v>0.91100000000000003</v>
      </c>
      <c r="H63" s="1545">
        <v>0.91100000000000003</v>
      </c>
      <c r="I63" s="1545">
        <v>0.91100000000000003</v>
      </c>
      <c r="J63" s="1545">
        <v>0.91100000000000003</v>
      </c>
      <c r="K63" s="1545">
        <v>0.91100000000000003</v>
      </c>
      <c r="L63" s="1545">
        <v>0.91100000000000003</v>
      </c>
      <c r="M63" s="1545">
        <v>0.91100000000000003</v>
      </c>
      <c r="N63" s="12"/>
    </row>
    <row r="64" spans="1:24" ht="15" customHeight="1">
      <c r="D64" s="416"/>
      <c r="E64" s="518"/>
      <c r="F64" s="519"/>
      <c r="G64" s="519"/>
      <c r="H64" s="519"/>
      <c r="I64" s="519"/>
      <c r="J64" s="519"/>
      <c r="K64" s="417"/>
      <c r="L64" s="417"/>
      <c r="M64" s="417"/>
      <c r="N64" s="12"/>
    </row>
    <row r="65" spans="4:14" ht="15" customHeight="1">
      <c r="D65" s="416"/>
      <c r="E65" s="499" t="s">
        <v>1730</v>
      </c>
      <c r="F65" s="519"/>
      <c r="G65" s="519"/>
      <c r="H65" s="519"/>
      <c r="I65" s="519"/>
      <c r="J65" s="519"/>
      <c r="K65" s="417"/>
      <c r="L65" s="417"/>
      <c r="M65" s="417"/>
      <c r="N65" s="12"/>
    </row>
    <row r="66" spans="4:14" ht="15" customHeight="1">
      <c r="D66" s="416"/>
      <c r="E66" s="421"/>
      <c r="F66" s="417"/>
      <c r="G66" s="417"/>
      <c r="H66" s="417"/>
      <c r="I66" s="421"/>
      <c r="J66" s="417"/>
      <c r="K66" s="417"/>
      <c r="L66" s="417"/>
      <c r="M66" s="500" t="s">
        <v>734</v>
      </c>
      <c r="N66" s="12"/>
    </row>
    <row r="67" spans="4:14" ht="15" customHeight="1">
      <c r="D67" s="416"/>
      <c r="E67" s="501" t="s">
        <v>1503</v>
      </c>
      <c r="F67" s="510">
        <v>2018</v>
      </c>
      <c r="G67" s="501">
        <v>2020</v>
      </c>
      <c r="H67" s="501">
        <v>2025</v>
      </c>
      <c r="I67" s="501">
        <v>2030</v>
      </c>
      <c r="J67" s="501">
        <v>2035</v>
      </c>
      <c r="K67" s="501">
        <v>2040</v>
      </c>
      <c r="L67" s="501">
        <v>2045</v>
      </c>
      <c r="M67" s="501">
        <v>2050</v>
      </c>
      <c r="N67" s="12"/>
    </row>
    <row r="68" spans="4:14" ht="15" customHeight="1">
      <c r="D68" s="502"/>
      <c r="E68" s="503" t="s">
        <v>2039</v>
      </c>
      <c r="F68" s="3092">
        <v>6321800</v>
      </c>
      <c r="G68" s="3843">
        <v>6321800</v>
      </c>
      <c r="H68" s="3843">
        <v>6321800</v>
      </c>
      <c r="I68" s="3843">
        <v>6321800</v>
      </c>
      <c r="J68" s="3843">
        <v>6321800</v>
      </c>
      <c r="K68" s="3843">
        <v>6321800</v>
      </c>
      <c r="L68" s="3843">
        <v>6321800</v>
      </c>
      <c r="M68" s="3843">
        <v>6321800</v>
      </c>
      <c r="N68" s="12"/>
    </row>
    <row r="69" spans="4:14" ht="15" customHeight="1">
      <c r="D69" s="416"/>
      <c r="E69" s="512" t="s">
        <v>2035</v>
      </c>
      <c r="F69" s="1544">
        <v>8.8999999999999968E-2</v>
      </c>
      <c r="G69" s="1544">
        <v>8.8999999999999968E-2</v>
      </c>
      <c r="H69" s="1544">
        <v>8.8999999999999968E-2</v>
      </c>
      <c r="I69" s="1544">
        <v>8.8999999999999968E-2</v>
      </c>
      <c r="J69" s="1544">
        <v>8.8999999999999968E-2</v>
      </c>
      <c r="K69" s="1544">
        <v>8.8999999999999968E-2</v>
      </c>
      <c r="L69" s="1544">
        <v>8.8999999999999968E-2</v>
      </c>
      <c r="M69" s="1544">
        <v>8.8999999999999968E-2</v>
      </c>
      <c r="N69" s="12"/>
    </row>
    <row r="70" spans="4:14" ht="15" customHeight="1">
      <c r="D70" s="416"/>
      <c r="E70" s="513" t="s">
        <v>2036</v>
      </c>
      <c r="F70" s="1545">
        <v>0.91100000000000003</v>
      </c>
      <c r="G70" s="1545">
        <v>0.91100000000000003</v>
      </c>
      <c r="H70" s="1545">
        <v>0.91100000000000003</v>
      </c>
      <c r="I70" s="1545">
        <v>0.91100000000000003</v>
      </c>
      <c r="J70" s="1545">
        <v>0.91100000000000003</v>
      </c>
      <c r="K70" s="1545">
        <v>0.91100000000000003</v>
      </c>
      <c r="L70" s="1545">
        <v>0.91100000000000003</v>
      </c>
      <c r="M70" s="1545">
        <v>0.91100000000000003</v>
      </c>
      <c r="N70" s="12"/>
    </row>
    <row r="71" spans="4:14" ht="15" customHeight="1">
      <c r="D71" s="416"/>
      <c r="E71" s="518"/>
      <c r="F71" s="519"/>
      <c r="G71" s="519"/>
      <c r="H71" s="519"/>
      <c r="I71" s="519"/>
      <c r="J71" s="519"/>
      <c r="K71" s="417"/>
      <c r="L71" s="417"/>
      <c r="M71" s="417"/>
      <c r="N71" s="12"/>
    </row>
    <row r="72" spans="4:14" ht="15" customHeight="1">
      <c r="D72" s="416"/>
      <c r="E72" s="499" t="s">
        <v>1731</v>
      </c>
      <c r="F72" s="519"/>
      <c r="G72" s="519"/>
      <c r="H72" s="519"/>
      <c r="I72" s="519"/>
      <c r="J72" s="519"/>
      <c r="K72" s="417"/>
      <c r="L72" s="417"/>
      <c r="M72" s="417"/>
      <c r="N72" s="12"/>
    </row>
    <row r="73" spans="4:14" ht="15" customHeight="1">
      <c r="D73" s="416"/>
      <c r="E73" s="421"/>
      <c r="F73" s="417"/>
      <c r="G73" s="417"/>
      <c r="H73" s="417"/>
      <c r="I73" s="421"/>
      <c r="J73" s="417"/>
      <c r="K73" s="417"/>
      <c r="L73" s="417"/>
      <c r="M73" s="500" t="s">
        <v>734</v>
      </c>
      <c r="N73" s="12"/>
    </row>
    <row r="74" spans="4:14" ht="15" customHeight="1">
      <c r="D74" s="416"/>
      <c r="E74" s="501" t="s">
        <v>1503</v>
      </c>
      <c r="F74" s="510">
        <v>2018</v>
      </c>
      <c r="G74" s="501">
        <v>2020</v>
      </c>
      <c r="H74" s="501">
        <v>2025</v>
      </c>
      <c r="I74" s="501">
        <v>2030</v>
      </c>
      <c r="J74" s="501">
        <v>2035</v>
      </c>
      <c r="K74" s="501">
        <v>2040</v>
      </c>
      <c r="L74" s="501">
        <v>2045</v>
      </c>
      <c r="M74" s="501">
        <v>2050</v>
      </c>
      <c r="N74" s="12"/>
    </row>
    <row r="75" spans="4:14" ht="15" customHeight="1">
      <c r="D75" s="502"/>
      <c r="E75" s="503" t="s">
        <v>2039</v>
      </c>
      <c r="F75" s="3092">
        <v>6321800</v>
      </c>
      <c r="G75" s="3843">
        <v>6321800</v>
      </c>
      <c r="H75" s="3843">
        <v>6321800</v>
      </c>
      <c r="I75" s="3843">
        <v>6321800</v>
      </c>
      <c r="J75" s="3843">
        <v>6321800</v>
      </c>
      <c r="K75" s="3843">
        <v>6321800</v>
      </c>
      <c r="L75" s="3843">
        <v>6321800</v>
      </c>
      <c r="M75" s="3843">
        <v>6321800</v>
      </c>
      <c r="N75" s="12"/>
    </row>
    <row r="76" spans="4:14" ht="15" customHeight="1">
      <c r="D76" s="416"/>
      <c r="E76" s="512" t="s">
        <v>2035</v>
      </c>
      <c r="F76" s="1544">
        <v>8.8999999999999968E-2</v>
      </c>
      <c r="G76" s="1544">
        <v>8.8999999999999968E-2</v>
      </c>
      <c r="H76" s="1544">
        <v>8.8999999999999968E-2</v>
      </c>
      <c r="I76" s="1544">
        <v>8.8999999999999968E-2</v>
      </c>
      <c r="J76" s="1544">
        <v>8.8999999999999968E-2</v>
      </c>
      <c r="K76" s="1544">
        <v>8.8999999999999968E-2</v>
      </c>
      <c r="L76" s="1544">
        <v>8.8999999999999968E-2</v>
      </c>
      <c r="M76" s="1544">
        <v>8.8999999999999968E-2</v>
      </c>
      <c r="N76" s="12"/>
    </row>
    <row r="77" spans="4:14" ht="15" customHeight="1">
      <c r="D77" s="416"/>
      <c r="E77" s="513" t="s">
        <v>2036</v>
      </c>
      <c r="F77" s="1545">
        <v>0.91100000000000003</v>
      </c>
      <c r="G77" s="1545">
        <v>0.91100000000000003</v>
      </c>
      <c r="H77" s="1545">
        <v>0.91100000000000003</v>
      </c>
      <c r="I77" s="1545">
        <v>0.91100000000000003</v>
      </c>
      <c r="J77" s="1545">
        <v>0.91100000000000003</v>
      </c>
      <c r="K77" s="1545">
        <v>0.91100000000000003</v>
      </c>
      <c r="L77" s="1545">
        <v>0.91100000000000003</v>
      </c>
      <c r="M77" s="1545">
        <v>0.91100000000000003</v>
      </c>
      <c r="N77" s="12"/>
    </row>
    <row r="78" spans="4:14" ht="15" customHeight="1">
      <c r="D78" s="416"/>
      <c r="E78" s="518"/>
      <c r="F78" s="518"/>
      <c r="G78" s="519"/>
      <c r="H78" s="519"/>
      <c r="I78" s="519"/>
      <c r="J78" s="519"/>
      <c r="K78" s="519"/>
      <c r="L78" s="519"/>
      <c r="M78" s="417"/>
      <c r="N78" s="417"/>
    </row>
    <row r="79" spans="4:14" ht="15" customHeight="1">
      <c r="D79" s="417"/>
      <c r="E79" s="2782" t="s">
        <v>2040</v>
      </c>
      <c r="F79" s="497"/>
      <c r="G79" s="497"/>
      <c r="H79" s="497"/>
      <c r="I79" s="497"/>
      <c r="J79" s="497"/>
      <c r="K79" s="497"/>
      <c r="L79" s="497"/>
      <c r="M79" s="497"/>
      <c r="N79" s="417"/>
    </row>
    <row r="80" spans="4:14" ht="15" customHeight="1">
      <c r="D80" s="13"/>
      <c r="E80" s="26"/>
      <c r="F80" s="20"/>
      <c r="G80" s="20"/>
      <c r="H80" s="20"/>
      <c r="I80" s="20"/>
      <c r="J80" s="20"/>
      <c r="K80" s="20"/>
      <c r="L80" s="20"/>
      <c r="M80" s="27" t="s">
        <v>788</v>
      </c>
      <c r="N80" s="12"/>
    </row>
    <row r="81" spans="1:24" ht="15" customHeight="1">
      <c r="D81" s="25"/>
      <c r="E81" s="520" t="s">
        <v>879</v>
      </c>
      <c r="F81" s="29">
        <v>2018</v>
      </c>
      <c r="G81" s="29">
        <v>2020</v>
      </c>
      <c r="H81" s="29">
        <v>2025</v>
      </c>
      <c r="I81" s="29">
        <v>2030</v>
      </c>
      <c r="J81" s="29">
        <v>2035</v>
      </c>
      <c r="K81" s="29">
        <v>2040</v>
      </c>
      <c r="L81" s="29">
        <v>2045</v>
      </c>
      <c r="M81" s="29">
        <v>2050</v>
      </c>
      <c r="N81" s="12"/>
    </row>
    <row r="82" spans="1:24" ht="15" customHeight="1">
      <c r="D82" s="25"/>
      <c r="E82" s="412">
        <v>1</v>
      </c>
      <c r="F82" s="1550">
        <v>0.5</v>
      </c>
      <c r="G82" s="1550">
        <v>0.5</v>
      </c>
      <c r="H82" s="1550">
        <v>0.5</v>
      </c>
      <c r="I82" s="1550">
        <v>0.5</v>
      </c>
      <c r="J82" s="1550">
        <v>0.5</v>
      </c>
      <c r="K82" s="1550">
        <v>0.5</v>
      </c>
      <c r="L82" s="1550">
        <v>0.5</v>
      </c>
      <c r="M82" s="1550">
        <v>0.5</v>
      </c>
      <c r="N82" s="12"/>
    </row>
    <row r="83" spans="1:24" ht="15" customHeight="1">
      <c r="D83" s="25"/>
      <c r="E83" s="90">
        <v>2</v>
      </c>
      <c r="F83" s="722">
        <v>0.5</v>
      </c>
      <c r="G83" s="722">
        <v>0.5</v>
      </c>
      <c r="H83" s="722">
        <v>0.5</v>
      </c>
      <c r="I83" s="722">
        <v>0.5</v>
      </c>
      <c r="J83" s="722">
        <v>0.5</v>
      </c>
      <c r="K83" s="722">
        <v>0.5</v>
      </c>
      <c r="L83" s="722">
        <v>0.5</v>
      </c>
      <c r="M83" s="722">
        <v>0.5</v>
      </c>
      <c r="N83" s="12"/>
    </row>
    <row r="84" spans="1:24" ht="15" customHeight="1">
      <c r="D84" s="25"/>
      <c r="E84" s="90">
        <v>3</v>
      </c>
      <c r="F84" s="722">
        <v>0.5</v>
      </c>
      <c r="G84" s="722">
        <v>0.5</v>
      </c>
      <c r="H84" s="722">
        <v>0.5</v>
      </c>
      <c r="I84" s="722">
        <v>0.5</v>
      </c>
      <c r="J84" s="722">
        <v>0.5</v>
      </c>
      <c r="K84" s="722">
        <v>0.5</v>
      </c>
      <c r="L84" s="722">
        <v>0.5</v>
      </c>
      <c r="M84" s="722">
        <v>0.5</v>
      </c>
      <c r="N84" s="12"/>
    </row>
    <row r="85" spans="1:24" ht="15" customHeight="1">
      <c r="D85" s="25"/>
      <c r="E85" s="91">
        <v>4</v>
      </c>
      <c r="F85" s="714">
        <v>0.5</v>
      </c>
      <c r="G85" s="714">
        <v>0.5</v>
      </c>
      <c r="H85" s="714">
        <v>0.5</v>
      </c>
      <c r="I85" s="714">
        <v>0.5</v>
      </c>
      <c r="J85" s="714">
        <v>0.5</v>
      </c>
      <c r="K85" s="714">
        <v>0.5</v>
      </c>
      <c r="L85" s="714">
        <v>0.5</v>
      </c>
      <c r="M85" s="714">
        <v>0.5</v>
      </c>
      <c r="N85" s="12"/>
    </row>
    <row r="86" spans="1:24" ht="15" customHeight="1">
      <c r="D86" s="521"/>
      <c r="E86" s="522"/>
      <c r="F86" s="523"/>
      <c r="G86" s="523"/>
      <c r="H86" s="524"/>
      <c r="I86" s="525"/>
      <c r="J86" s="525"/>
      <c r="K86" s="525"/>
      <c r="L86" s="525"/>
      <c r="M86" s="525"/>
      <c r="N86" s="525"/>
    </row>
    <row r="87" spans="1:24" s="517" customFormat="1" ht="15" customHeight="1">
      <c r="A87" s="663"/>
      <c r="B87" s="667"/>
      <c r="D87" s="417"/>
      <c r="E87" s="2782" t="s">
        <v>2041</v>
      </c>
      <c r="F87" s="497"/>
      <c r="G87" s="497"/>
      <c r="H87" s="497"/>
      <c r="I87" s="497"/>
      <c r="J87" s="497"/>
      <c r="K87" s="497"/>
      <c r="L87" s="497"/>
      <c r="M87" s="497"/>
      <c r="N87" s="417"/>
      <c r="O87" s="3"/>
      <c r="P87" s="3"/>
      <c r="Q87" s="3"/>
      <c r="R87" s="3"/>
      <c r="S87" s="3"/>
      <c r="T87" s="3"/>
      <c r="U87" s="3"/>
      <c r="V87" s="3"/>
      <c r="W87" s="3"/>
      <c r="X87" s="3"/>
    </row>
    <row r="88" spans="1:24" ht="15" customHeight="1">
      <c r="D88" s="13"/>
      <c r="E88" s="26"/>
      <c r="F88" s="20"/>
      <c r="G88" s="20"/>
      <c r="H88" s="20"/>
      <c r="I88" s="20"/>
      <c r="J88" s="20"/>
      <c r="K88" s="20"/>
      <c r="L88" s="20"/>
      <c r="M88" s="27" t="s">
        <v>788</v>
      </c>
      <c r="N88" s="12"/>
    </row>
    <row r="89" spans="1:24" ht="15" customHeight="1">
      <c r="D89" s="25"/>
      <c r="E89" s="520" t="s">
        <v>879</v>
      </c>
      <c r="F89" s="29">
        <v>2018</v>
      </c>
      <c r="G89" s="29">
        <v>2020</v>
      </c>
      <c r="H89" s="29">
        <v>2025</v>
      </c>
      <c r="I89" s="29">
        <v>2030</v>
      </c>
      <c r="J89" s="29">
        <v>2035</v>
      </c>
      <c r="K89" s="29">
        <v>2040</v>
      </c>
      <c r="L89" s="29">
        <v>2045</v>
      </c>
      <c r="M89" s="29">
        <v>2050</v>
      </c>
      <c r="N89" s="12"/>
    </row>
    <row r="90" spans="1:24" ht="15" customHeight="1">
      <c r="D90" s="25"/>
      <c r="E90" s="412">
        <v>1</v>
      </c>
      <c r="F90" s="1550">
        <v>0.5</v>
      </c>
      <c r="G90" s="1550">
        <v>0.5</v>
      </c>
      <c r="H90" s="1550">
        <v>0.5</v>
      </c>
      <c r="I90" s="1550">
        <v>0.5</v>
      </c>
      <c r="J90" s="1550">
        <v>0.5</v>
      </c>
      <c r="K90" s="1550">
        <v>0.5</v>
      </c>
      <c r="L90" s="1550">
        <v>0.5</v>
      </c>
      <c r="M90" s="1550">
        <v>0.5</v>
      </c>
      <c r="N90" s="12"/>
    </row>
    <row r="91" spans="1:24" ht="15" customHeight="1">
      <c r="D91" s="25"/>
      <c r="E91" s="90">
        <v>2</v>
      </c>
      <c r="F91" s="722">
        <v>0.5</v>
      </c>
      <c r="G91" s="722">
        <v>0.5</v>
      </c>
      <c r="H91" s="722">
        <v>0.5</v>
      </c>
      <c r="I91" s="722">
        <v>0.5</v>
      </c>
      <c r="J91" s="722">
        <v>0.5</v>
      </c>
      <c r="K91" s="722">
        <v>0.5</v>
      </c>
      <c r="L91" s="722">
        <v>0.5</v>
      </c>
      <c r="M91" s="722">
        <v>0.5</v>
      </c>
      <c r="N91" s="12"/>
    </row>
    <row r="92" spans="1:24" s="415" customFormat="1" ht="15" customHeight="1">
      <c r="A92" s="663"/>
      <c r="B92" s="667"/>
      <c r="D92" s="25"/>
      <c r="E92" s="90">
        <v>3</v>
      </c>
      <c r="F92" s="722">
        <v>0.5</v>
      </c>
      <c r="G92" s="722">
        <v>0.5</v>
      </c>
      <c r="H92" s="722">
        <v>0.5</v>
      </c>
      <c r="I92" s="722">
        <v>0.5</v>
      </c>
      <c r="J92" s="722">
        <v>0.5</v>
      </c>
      <c r="K92" s="722">
        <v>0.5</v>
      </c>
      <c r="L92" s="722">
        <v>0.5</v>
      </c>
      <c r="M92" s="722">
        <v>0.5</v>
      </c>
      <c r="N92" s="12"/>
      <c r="O92" s="3"/>
      <c r="P92" s="3"/>
      <c r="Q92" s="3"/>
      <c r="R92" s="3"/>
      <c r="S92" s="3"/>
      <c r="T92" s="3"/>
      <c r="U92" s="3"/>
      <c r="V92" s="3"/>
      <c r="W92" s="3"/>
      <c r="X92" s="3"/>
    </row>
    <row r="93" spans="1:24" s="415" customFormat="1" ht="15" customHeight="1">
      <c r="A93" s="663"/>
      <c r="B93" s="667"/>
      <c r="C93" s="3"/>
      <c r="D93" s="25"/>
      <c r="E93" s="91">
        <v>4</v>
      </c>
      <c r="F93" s="714">
        <v>0.5</v>
      </c>
      <c r="G93" s="714">
        <v>0.5</v>
      </c>
      <c r="H93" s="714">
        <v>0.5</v>
      </c>
      <c r="I93" s="714">
        <v>0.5</v>
      </c>
      <c r="J93" s="714">
        <v>0.5</v>
      </c>
      <c r="K93" s="714">
        <v>0.5</v>
      </c>
      <c r="L93" s="714">
        <v>0.5</v>
      </c>
      <c r="M93" s="714">
        <v>0.5</v>
      </c>
      <c r="N93" s="12"/>
      <c r="O93" s="3"/>
      <c r="P93" s="3"/>
      <c r="Q93" s="3"/>
      <c r="R93" s="3"/>
      <c r="S93" s="3"/>
      <c r="T93" s="3"/>
      <c r="U93" s="3"/>
      <c r="V93" s="3"/>
      <c r="W93" s="3"/>
      <c r="X93" s="3"/>
    </row>
    <row r="94" spans="1:24" s="415" customFormat="1" ht="15" customHeight="1">
      <c r="A94" s="663"/>
      <c r="B94" s="667"/>
      <c r="C94" s="3"/>
      <c r="D94" s="533"/>
      <c r="E94" s="522"/>
      <c r="F94" s="523"/>
      <c r="G94" s="523"/>
      <c r="H94" s="524"/>
      <c r="I94" s="525"/>
      <c r="J94" s="525"/>
      <c r="K94" s="525"/>
      <c r="L94" s="525"/>
      <c r="M94" s="525"/>
      <c r="N94" s="525"/>
      <c r="O94" s="3"/>
      <c r="P94" s="3"/>
      <c r="Q94" s="3"/>
      <c r="R94" s="3"/>
      <c r="S94" s="3"/>
      <c r="T94" s="3"/>
      <c r="U94" s="3"/>
      <c r="V94" s="3"/>
      <c r="W94" s="3"/>
      <c r="X94" s="3"/>
    </row>
    <row r="96" spans="1:24" ht="15" customHeight="1">
      <c r="D96" s="526" t="s">
        <v>996</v>
      </c>
      <c r="E96" s="527"/>
      <c r="F96" s="527"/>
      <c r="G96" s="527"/>
      <c r="H96" s="527"/>
      <c r="I96" s="527"/>
      <c r="J96" s="527"/>
      <c r="K96" s="527"/>
      <c r="L96" s="527"/>
      <c r="M96" s="527"/>
      <c r="N96" s="527"/>
    </row>
    <row r="97" spans="1:24" s="415" customFormat="1" ht="15" customHeight="1">
      <c r="A97" s="663"/>
      <c r="B97" s="667"/>
      <c r="D97" s="1548"/>
      <c r="E97" s="146"/>
      <c r="F97" s="146"/>
      <c r="G97" s="146"/>
      <c r="H97" s="146"/>
      <c r="I97" s="146"/>
      <c r="J97" s="146"/>
      <c r="K97" s="146"/>
      <c r="L97" s="146"/>
      <c r="M97" s="146"/>
      <c r="N97" s="146"/>
      <c r="O97" s="3"/>
      <c r="P97" s="3"/>
      <c r="Q97" s="3"/>
      <c r="R97" s="3"/>
      <c r="S97" s="3"/>
      <c r="T97" s="3"/>
      <c r="U97" s="3"/>
      <c r="V97" s="3"/>
      <c r="W97" s="3"/>
      <c r="X97" s="3"/>
    </row>
    <row r="98" spans="1:24" s="415" customFormat="1" ht="15" customHeight="1">
      <c r="A98" s="663"/>
      <c r="B98" s="667"/>
      <c r="D98" s="12"/>
      <c r="E98" s="2782" t="s">
        <v>1218</v>
      </c>
      <c r="F98" s="497"/>
      <c r="G98" s="497"/>
      <c r="H98" s="497"/>
      <c r="I98" s="497"/>
      <c r="J98" s="497"/>
      <c r="K98" s="497"/>
      <c r="L98" s="497"/>
      <c r="M98" s="497"/>
      <c r="N98" s="12"/>
      <c r="O98" s="3"/>
      <c r="P98" s="3"/>
      <c r="Q98" s="3"/>
      <c r="R98" s="3"/>
      <c r="S98" s="3"/>
      <c r="T98" s="3"/>
      <c r="U98" s="3"/>
      <c r="V98" s="3"/>
      <c r="W98" s="3"/>
      <c r="X98" s="3"/>
    </row>
    <row r="99" spans="1:24" s="415" customFormat="1" ht="15" customHeight="1">
      <c r="A99" s="663"/>
      <c r="B99" s="667"/>
      <c r="D99" s="368"/>
      <c r="E99" s="286"/>
      <c r="F99" s="368"/>
      <c r="G99" s="368"/>
      <c r="H99" s="12"/>
      <c r="I99" s="12"/>
      <c r="J99" s="12"/>
      <c r="K99" s="12"/>
      <c r="L99" s="12"/>
      <c r="M99" s="12"/>
      <c r="N99" s="12"/>
      <c r="O99" s="3"/>
      <c r="P99" s="3"/>
      <c r="Q99" s="3"/>
      <c r="R99" s="3"/>
      <c r="S99" s="3"/>
      <c r="T99" s="3"/>
      <c r="U99" s="3"/>
      <c r="V99" s="3"/>
      <c r="W99" s="3"/>
      <c r="X99" s="3"/>
    </row>
    <row r="100" spans="1:24" s="415" customFormat="1" ht="15" customHeight="1">
      <c r="A100" s="663"/>
      <c r="B100" s="667"/>
      <c r="C100" s="3"/>
      <c r="D100" s="1549"/>
      <c r="E100" s="528" t="s">
        <v>1503</v>
      </c>
      <c r="F100" s="529"/>
      <c r="G100" s="530" t="s">
        <v>2042</v>
      </c>
      <c r="H100" s="12"/>
      <c r="I100" s="12"/>
      <c r="J100" s="12"/>
      <c r="K100" s="12"/>
      <c r="L100" s="12"/>
      <c r="M100" s="12"/>
      <c r="N100" s="12"/>
      <c r="O100" s="3"/>
      <c r="P100" s="3"/>
      <c r="Q100" s="3"/>
      <c r="R100" s="3"/>
      <c r="S100" s="3"/>
      <c r="T100" s="3"/>
      <c r="U100" s="3"/>
      <c r="V100" s="3"/>
      <c r="W100" s="3"/>
      <c r="X100" s="3"/>
    </row>
    <row r="101" spans="1:24" ht="15" customHeight="1">
      <c r="D101" s="1549"/>
      <c r="E101" s="531" t="s">
        <v>1547</v>
      </c>
      <c r="F101" s="532"/>
      <c r="G101" s="1071">
        <f>DGEN_FE!G307</f>
        <v>0.63510238532738594</v>
      </c>
      <c r="H101" s="12"/>
      <c r="I101" s="12"/>
      <c r="J101" s="12"/>
      <c r="K101" s="12"/>
      <c r="L101" s="12"/>
      <c r="M101" s="12"/>
      <c r="N101" s="12"/>
    </row>
    <row r="102" spans="1:24" s="415" customFormat="1" ht="15" customHeight="1">
      <c r="A102" s="663"/>
      <c r="B102" s="667"/>
      <c r="D102" s="12"/>
      <c r="E102" s="12"/>
      <c r="F102" s="12"/>
      <c r="G102" s="12"/>
      <c r="H102" s="12"/>
      <c r="I102" s="12"/>
      <c r="J102" s="12"/>
      <c r="K102" s="12"/>
      <c r="L102" s="12"/>
      <c r="M102" s="12"/>
      <c r="N102" s="12"/>
      <c r="O102" s="3"/>
      <c r="P102" s="3"/>
      <c r="Q102" s="3"/>
      <c r="R102" s="3"/>
      <c r="S102" s="3"/>
      <c r="T102" s="3"/>
      <c r="U102" s="3"/>
      <c r="V102" s="3"/>
      <c r="W102" s="3"/>
      <c r="X102" s="3"/>
    </row>
    <row r="103" spans="1:24" s="415" customFormat="1" ht="15" customHeight="1">
      <c r="A103" s="663"/>
      <c r="B103" s="667"/>
      <c r="D103" s="12"/>
      <c r="E103" s="2782" t="s">
        <v>1220</v>
      </c>
      <c r="F103" s="497"/>
      <c r="G103" s="497"/>
      <c r="H103" s="497"/>
      <c r="I103" s="497"/>
      <c r="J103" s="497"/>
      <c r="K103" s="497"/>
      <c r="L103" s="497"/>
      <c r="M103" s="497"/>
      <c r="N103" s="12"/>
      <c r="O103" s="3"/>
      <c r="P103" s="3"/>
      <c r="Q103" s="3"/>
      <c r="R103" s="3"/>
      <c r="S103" s="3"/>
      <c r="T103" s="3"/>
      <c r="U103" s="3"/>
      <c r="V103" s="3"/>
      <c r="W103" s="3"/>
      <c r="X103" s="3"/>
    </row>
    <row r="104" spans="1:24" s="415" customFormat="1" ht="15" customHeight="1">
      <c r="A104" s="663"/>
      <c r="B104" s="667"/>
      <c r="D104" s="368"/>
      <c r="E104" s="286"/>
      <c r="F104" s="368"/>
      <c r="G104" s="368"/>
      <c r="H104" s="12"/>
      <c r="I104" s="12"/>
      <c r="J104" s="12"/>
      <c r="K104" s="12"/>
      <c r="L104" s="12"/>
      <c r="M104" s="12"/>
      <c r="N104" s="12"/>
      <c r="O104" s="3"/>
      <c r="P104" s="3"/>
      <c r="Q104" s="3"/>
      <c r="R104" s="3"/>
      <c r="S104" s="3"/>
      <c r="T104" s="3"/>
      <c r="U104" s="3"/>
      <c r="V104" s="3"/>
      <c r="W104" s="3"/>
      <c r="X104" s="3"/>
    </row>
    <row r="105" spans="1:24" s="415" customFormat="1" ht="15" customHeight="1">
      <c r="A105" s="663"/>
      <c r="B105" s="667"/>
      <c r="C105" s="3"/>
      <c r="D105" s="1549"/>
      <c r="E105" s="528" t="s">
        <v>1503</v>
      </c>
      <c r="F105" s="529"/>
      <c r="G105" s="530" t="s">
        <v>2043</v>
      </c>
      <c r="H105" s="12"/>
      <c r="I105" s="12"/>
      <c r="J105" s="12"/>
      <c r="K105" s="12"/>
      <c r="L105" s="12"/>
      <c r="M105" s="12"/>
      <c r="N105" s="12"/>
      <c r="O105" s="3"/>
      <c r="P105" s="3"/>
      <c r="Q105" s="3"/>
      <c r="R105" s="3"/>
      <c r="S105" s="3"/>
      <c r="T105" s="3"/>
      <c r="U105" s="3"/>
      <c r="V105" s="3"/>
      <c r="W105" s="3"/>
      <c r="X105" s="3"/>
    </row>
    <row r="106" spans="1:24" ht="15" customHeight="1">
      <c r="D106" s="1549"/>
      <c r="E106" s="531" t="s">
        <v>1547</v>
      </c>
      <c r="F106" s="532"/>
      <c r="G106" s="1078">
        <f>DGEN_FE!G312</f>
        <v>0.47618787771265902</v>
      </c>
      <c r="H106" s="12"/>
      <c r="I106" s="12"/>
      <c r="J106" s="12"/>
      <c r="K106" s="12"/>
      <c r="L106" s="12"/>
      <c r="M106" s="12"/>
      <c r="N106" s="12"/>
    </row>
    <row r="107" spans="1:24" ht="15" customHeight="1">
      <c r="C107" s="415"/>
      <c r="D107" s="12"/>
      <c r="E107" s="12"/>
      <c r="F107" s="12"/>
      <c r="G107" s="12"/>
      <c r="H107" s="12"/>
      <c r="I107" s="12"/>
      <c r="J107" s="12"/>
      <c r="K107" s="12"/>
      <c r="L107" s="12"/>
      <c r="M107" s="12"/>
      <c r="N107" s="12"/>
    </row>
    <row r="108" spans="1:24" s="415" customFormat="1" ht="15" customHeight="1">
      <c r="A108" s="663"/>
      <c r="B108" s="667"/>
      <c r="D108" s="12"/>
      <c r="E108" s="2782" t="s">
        <v>1221</v>
      </c>
      <c r="F108" s="497"/>
      <c r="G108" s="497"/>
      <c r="H108" s="497"/>
      <c r="I108" s="497"/>
      <c r="J108" s="497"/>
      <c r="K108" s="497"/>
      <c r="L108" s="497"/>
      <c r="M108" s="497"/>
      <c r="N108" s="12"/>
      <c r="O108" s="3"/>
      <c r="P108" s="3"/>
      <c r="Q108" s="3"/>
      <c r="R108" s="3"/>
      <c r="S108" s="3"/>
      <c r="T108" s="3"/>
      <c r="U108" s="3"/>
      <c r="V108" s="3"/>
      <c r="W108" s="3"/>
      <c r="X108" s="3"/>
    </row>
    <row r="109" spans="1:24" s="415" customFormat="1" ht="15" customHeight="1">
      <c r="A109" s="663"/>
      <c r="B109" s="667"/>
      <c r="D109" s="368"/>
      <c r="E109" s="286"/>
      <c r="F109" s="368"/>
      <c r="G109" s="368"/>
      <c r="H109" s="12"/>
      <c r="I109" s="12"/>
      <c r="J109" s="12"/>
      <c r="K109" s="12"/>
      <c r="L109" s="12"/>
      <c r="M109" s="12"/>
      <c r="N109" s="12"/>
      <c r="O109" s="3"/>
      <c r="P109" s="3"/>
      <c r="Q109" s="3"/>
      <c r="R109" s="3"/>
      <c r="S109" s="3"/>
      <c r="T109" s="3"/>
      <c r="U109" s="3"/>
      <c r="V109" s="3"/>
      <c r="W109" s="3"/>
      <c r="X109" s="3"/>
    </row>
    <row r="110" spans="1:24" s="415" customFormat="1" ht="15" customHeight="1">
      <c r="A110" s="663"/>
      <c r="B110" s="667"/>
      <c r="D110" s="1549"/>
      <c r="E110" s="528" t="s">
        <v>1503</v>
      </c>
      <c r="F110" s="529"/>
      <c r="G110" s="530" t="s">
        <v>2042</v>
      </c>
      <c r="H110" s="12"/>
      <c r="I110" s="12"/>
      <c r="J110" s="12"/>
      <c r="K110" s="12"/>
      <c r="L110" s="12"/>
      <c r="M110" s="12"/>
      <c r="N110" s="12"/>
      <c r="O110" s="3"/>
      <c r="P110" s="3"/>
      <c r="Q110" s="3"/>
      <c r="R110" s="3"/>
      <c r="S110" s="3"/>
      <c r="T110" s="3"/>
      <c r="U110" s="3"/>
      <c r="V110" s="3"/>
      <c r="W110" s="3"/>
      <c r="X110" s="3"/>
    </row>
    <row r="111" spans="1:24" s="415" customFormat="1" ht="15" customHeight="1">
      <c r="A111" s="663"/>
      <c r="B111" s="667"/>
      <c r="C111" s="3"/>
      <c r="D111" s="1549"/>
      <c r="E111" s="531" t="s">
        <v>1550</v>
      </c>
      <c r="F111" s="532"/>
      <c r="G111" s="1072">
        <f>DGEN_FE!G317</f>
        <v>0.63510238532738594</v>
      </c>
      <c r="H111" s="12"/>
      <c r="I111" s="12"/>
      <c r="J111" s="12"/>
      <c r="K111" s="12"/>
      <c r="L111" s="12"/>
      <c r="M111" s="12"/>
      <c r="N111" s="12"/>
      <c r="O111" s="3"/>
      <c r="P111" s="3"/>
      <c r="Q111" s="3"/>
      <c r="R111" s="3"/>
      <c r="S111" s="3"/>
      <c r="T111" s="3"/>
      <c r="U111" s="3"/>
      <c r="V111" s="3"/>
      <c r="W111" s="3"/>
      <c r="X111" s="3"/>
    </row>
    <row r="112" spans="1:24" s="517" customFormat="1" ht="15" customHeight="1">
      <c r="A112" s="663"/>
      <c r="B112" s="667"/>
      <c r="C112" s="415"/>
      <c r="D112" s="1549"/>
      <c r="E112" s="360"/>
      <c r="F112" s="449"/>
      <c r="G112" s="1073"/>
      <c r="H112" s="12"/>
      <c r="I112" s="12"/>
      <c r="J112" s="12"/>
      <c r="K112" s="12"/>
      <c r="L112" s="12"/>
      <c r="M112" s="12"/>
      <c r="N112" s="12"/>
      <c r="O112" s="3"/>
      <c r="P112" s="3"/>
      <c r="Q112" s="3"/>
      <c r="R112" s="3"/>
      <c r="S112" s="3"/>
      <c r="T112" s="3"/>
      <c r="U112" s="3"/>
      <c r="V112" s="3"/>
      <c r="W112" s="3"/>
      <c r="X112" s="3"/>
    </row>
    <row r="113" spans="1:26" ht="15" customHeight="1">
      <c r="C113" s="415"/>
      <c r="D113" s="12"/>
      <c r="E113" s="2782" t="s">
        <v>1222</v>
      </c>
      <c r="F113" s="497"/>
      <c r="G113" s="497"/>
      <c r="H113" s="497"/>
      <c r="I113" s="497"/>
      <c r="J113" s="497"/>
      <c r="K113" s="497"/>
      <c r="L113" s="497"/>
      <c r="M113" s="497"/>
      <c r="N113" s="12"/>
      <c r="Y113" s="415"/>
      <c r="Z113" s="415"/>
    </row>
    <row r="114" spans="1:26" ht="15" customHeight="1">
      <c r="C114" s="415"/>
      <c r="D114" s="368"/>
      <c r="E114" s="286"/>
      <c r="F114" s="368"/>
      <c r="G114" s="368"/>
      <c r="H114" s="12"/>
      <c r="I114" s="12"/>
      <c r="J114" s="12"/>
      <c r="K114" s="12"/>
      <c r="L114" s="12"/>
      <c r="M114" s="12"/>
      <c r="N114" s="12"/>
      <c r="Y114" s="415"/>
      <c r="Z114" s="415"/>
    </row>
    <row r="115" spans="1:26" ht="15" customHeight="1">
      <c r="C115" s="415"/>
      <c r="D115" s="1549"/>
      <c r="E115" s="528" t="s">
        <v>1503</v>
      </c>
      <c r="F115" s="529"/>
      <c r="G115" s="530" t="s">
        <v>2043</v>
      </c>
      <c r="H115" s="12"/>
      <c r="I115" s="12"/>
      <c r="J115" s="12"/>
      <c r="K115" s="12"/>
      <c r="L115" s="12"/>
      <c r="M115" s="12"/>
      <c r="N115" s="12"/>
      <c r="Y115" s="415"/>
      <c r="Z115" s="415"/>
    </row>
    <row r="116" spans="1:26" ht="15" customHeight="1">
      <c r="C116" s="415"/>
      <c r="D116" s="1549"/>
      <c r="E116" s="531" t="s">
        <v>1550</v>
      </c>
      <c r="F116" s="532"/>
      <c r="G116" s="1076">
        <f>DGEN_FE!G322</f>
        <v>0.47618787771265902</v>
      </c>
      <c r="H116" s="12"/>
      <c r="I116" s="12"/>
      <c r="J116" s="12"/>
      <c r="K116" s="12"/>
      <c r="L116" s="12"/>
      <c r="M116" s="12"/>
      <c r="N116" s="12"/>
      <c r="Y116" s="415"/>
      <c r="Z116" s="415"/>
    </row>
    <row r="117" spans="1:26" ht="15" customHeight="1">
      <c r="D117" s="1549"/>
      <c r="E117" s="360"/>
      <c r="F117" s="449"/>
      <c r="G117" s="1070"/>
      <c r="H117" s="12"/>
      <c r="I117" s="12"/>
      <c r="J117" s="12"/>
      <c r="K117" s="12"/>
      <c r="L117" s="12"/>
      <c r="M117" s="12"/>
      <c r="N117" s="12"/>
      <c r="Y117" s="415"/>
      <c r="Z117" s="415"/>
    </row>
    <row r="118" spans="1:26" s="517" customFormat="1" ht="15" customHeight="1">
      <c r="A118" s="663"/>
      <c r="B118" s="667"/>
      <c r="C118" s="415"/>
      <c r="D118" s="12"/>
      <c r="E118" s="2783" t="s">
        <v>1223</v>
      </c>
      <c r="F118" s="497"/>
      <c r="G118" s="497"/>
      <c r="H118" s="497"/>
      <c r="I118" s="497"/>
      <c r="J118" s="497"/>
      <c r="K118" s="497"/>
      <c r="L118" s="497"/>
      <c r="M118" s="497"/>
      <c r="N118" s="12"/>
      <c r="O118" s="3"/>
      <c r="P118" s="3"/>
      <c r="Q118" s="3"/>
      <c r="R118" s="3"/>
      <c r="S118" s="3"/>
      <c r="T118" s="3"/>
      <c r="U118" s="3"/>
      <c r="V118" s="3"/>
      <c r="W118" s="3"/>
      <c r="X118" s="3"/>
    </row>
    <row r="119" spans="1:26" s="517" customFormat="1" ht="15" customHeight="1">
      <c r="A119" s="663"/>
      <c r="B119" s="667"/>
      <c r="C119" s="415"/>
      <c r="D119" s="368"/>
      <c r="E119" s="286"/>
      <c r="F119" s="368"/>
      <c r="G119" s="368"/>
      <c r="H119" s="12"/>
      <c r="I119" s="12"/>
      <c r="J119" s="12"/>
      <c r="K119" s="12"/>
      <c r="L119" s="12"/>
      <c r="M119" s="12"/>
      <c r="N119" s="12"/>
      <c r="O119" s="3"/>
      <c r="P119" s="3"/>
      <c r="Q119" s="3"/>
      <c r="R119" s="3"/>
      <c r="S119" s="3"/>
      <c r="T119" s="3"/>
      <c r="U119" s="3"/>
      <c r="V119" s="3"/>
      <c r="W119" s="3"/>
      <c r="X119" s="3"/>
    </row>
    <row r="120" spans="1:26" ht="15" customHeight="1">
      <c r="C120" s="415"/>
      <c r="D120" s="1549"/>
      <c r="E120" s="528" t="s">
        <v>1503</v>
      </c>
      <c r="F120" s="529"/>
      <c r="G120" s="530" t="s">
        <v>2044</v>
      </c>
      <c r="H120" s="12"/>
      <c r="I120" s="12"/>
      <c r="J120" s="12"/>
      <c r="K120" s="12"/>
      <c r="L120" s="12"/>
      <c r="M120" s="12"/>
      <c r="N120" s="12"/>
      <c r="Y120" s="415"/>
      <c r="Z120" s="415"/>
    </row>
    <row r="121" spans="1:26" s="415" customFormat="1" ht="15" customHeight="1">
      <c r="A121" s="663"/>
      <c r="B121" s="667"/>
      <c r="D121" s="1549"/>
      <c r="E121" s="531" t="s">
        <v>1547</v>
      </c>
      <c r="F121" s="532"/>
      <c r="G121" s="723">
        <v>0.6</v>
      </c>
      <c r="H121" s="12"/>
      <c r="I121" s="12"/>
      <c r="J121" s="12"/>
      <c r="K121" s="12"/>
      <c r="L121" s="12"/>
      <c r="M121" s="12"/>
      <c r="N121" s="12"/>
      <c r="O121" s="3"/>
      <c r="P121" s="3"/>
      <c r="Q121" s="3"/>
      <c r="R121" s="3"/>
      <c r="S121" s="3"/>
      <c r="T121" s="3"/>
      <c r="U121" s="3"/>
      <c r="V121" s="3"/>
      <c r="W121" s="3"/>
      <c r="X121" s="3"/>
    </row>
    <row r="122" spans="1:26" s="415" customFormat="1" ht="15" customHeight="1">
      <c r="A122" s="663"/>
      <c r="B122" s="667"/>
      <c r="D122" s="1549"/>
      <c r="E122" s="360"/>
      <c r="F122" s="449"/>
      <c r="G122" s="1547"/>
      <c r="H122" s="12"/>
      <c r="I122" s="12"/>
      <c r="J122" s="12"/>
      <c r="K122" s="12"/>
      <c r="L122" s="12"/>
      <c r="M122" s="12"/>
      <c r="N122" s="12"/>
      <c r="O122" s="3"/>
      <c r="P122" s="3"/>
      <c r="Q122" s="3"/>
      <c r="R122" s="3"/>
      <c r="S122" s="3"/>
      <c r="T122" s="3"/>
      <c r="U122" s="3"/>
      <c r="V122" s="3"/>
      <c r="W122" s="3"/>
      <c r="X122" s="3"/>
    </row>
    <row r="123" spans="1:26" s="415" customFormat="1" ht="15" customHeight="1">
      <c r="A123" s="663"/>
      <c r="B123" s="667"/>
      <c r="C123" s="517"/>
      <c r="D123" s="12"/>
      <c r="E123" s="2783" t="s">
        <v>1224</v>
      </c>
      <c r="F123" s="497"/>
      <c r="G123" s="497"/>
      <c r="H123" s="497"/>
      <c r="I123" s="497"/>
      <c r="J123" s="497"/>
      <c r="K123" s="497"/>
      <c r="L123" s="497"/>
      <c r="M123" s="497"/>
      <c r="N123" s="12"/>
      <c r="O123" s="3"/>
      <c r="P123" s="3"/>
      <c r="Q123" s="3"/>
      <c r="R123" s="3"/>
      <c r="S123" s="3"/>
      <c r="T123" s="3"/>
      <c r="U123" s="3"/>
      <c r="V123" s="3"/>
      <c r="W123" s="3"/>
      <c r="X123" s="3"/>
    </row>
    <row r="124" spans="1:26" s="415" customFormat="1" ht="15" customHeight="1">
      <c r="A124" s="663"/>
      <c r="B124" s="667"/>
      <c r="C124" s="3"/>
      <c r="D124" s="368"/>
      <c r="E124" s="286"/>
      <c r="F124" s="368"/>
      <c r="G124" s="368"/>
      <c r="H124" s="12"/>
      <c r="I124" s="12"/>
      <c r="J124" s="12"/>
      <c r="K124" s="12"/>
      <c r="L124" s="12"/>
      <c r="M124" s="12"/>
      <c r="N124" s="12"/>
      <c r="O124" s="3"/>
      <c r="P124" s="3"/>
      <c r="Q124" s="3"/>
      <c r="R124" s="3"/>
      <c r="S124" s="3"/>
      <c r="T124" s="3"/>
      <c r="U124" s="3"/>
      <c r="V124" s="3"/>
      <c r="W124" s="3"/>
      <c r="X124" s="3"/>
    </row>
    <row r="125" spans="1:26" s="415" customFormat="1" ht="15" customHeight="1">
      <c r="A125" s="663"/>
      <c r="B125" s="667"/>
      <c r="C125" s="517"/>
      <c r="D125" s="1549"/>
      <c r="E125" s="528" t="s">
        <v>1503</v>
      </c>
      <c r="F125" s="529"/>
      <c r="G125" s="530" t="s">
        <v>2044</v>
      </c>
      <c r="H125" s="12"/>
      <c r="I125" s="12"/>
      <c r="J125" s="12"/>
      <c r="K125" s="12"/>
      <c r="L125" s="12"/>
      <c r="M125" s="12"/>
      <c r="N125" s="12"/>
      <c r="O125" s="3"/>
      <c r="P125" s="3"/>
      <c r="Q125" s="3"/>
      <c r="R125" s="3"/>
      <c r="S125" s="3"/>
      <c r="T125" s="3"/>
      <c r="U125" s="3"/>
      <c r="V125" s="3"/>
      <c r="W125" s="3"/>
      <c r="X125" s="3"/>
    </row>
    <row r="126" spans="1:26" s="415" customFormat="1" ht="15" customHeight="1">
      <c r="A126" s="663"/>
      <c r="B126" s="667"/>
      <c r="C126" s="3"/>
      <c r="D126" s="1549"/>
      <c r="E126" s="531" t="s">
        <v>1547</v>
      </c>
      <c r="F126" s="532"/>
      <c r="G126" s="723">
        <f>GENERACION_CH4_KG_DBO_TRATADO*0.1</f>
        <v>0.06</v>
      </c>
      <c r="H126" s="12"/>
      <c r="I126" s="12"/>
      <c r="J126" s="12"/>
      <c r="K126" s="12"/>
      <c r="L126" s="12"/>
      <c r="M126" s="12"/>
      <c r="N126" s="12"/>
      <c r="O126" s="3"/>
      <c r="P126" s="3"/>
      <c r="Q126" s="3"/>
      <c r="R126" s="3"/>
      <c r="S126" s="3"/>
      <c r="T126" s="3"/>
      <c r="U126" s="3"/>
      <c r="V126" s="3"/>
      <c r="W126" s="3"/>
      <c r="X126" s="3"/>
    </row>
    <row r="127" spans="1:26" s="415" customFormat="1" ht="15" customHeight="1">
      <c r="A127" s="663"/>
      <c r="B127" s="667"/>
      <c r="C127" s="3"/>
      <c r="D127" s="12"/>
      <c r="E127" s="12"/>
      <c r="F127" s="12"/>
      <c r="G127" s="12"/>
      <c r="H127" s="12"/>
      <c r="I127" s="12"/>
      <c r="J127" s="12"/>
      <c r="K127" s="12"/>
      <c r="L127" s="12"/>
      <c r="M127" s="12"/>
      <c r="N127" s="447"/>
      <c r="O127" s="3"/>
      <c r="P127" s="3"/>
      <c r="Q127" s="3"/>
      <c r="R127" s="3"/>
      <c r="S127" s="3"/>
      <c r="T127" s="3"/>
      <c r="U127" s="3"/>
      <c r="V127" s="3"/>
      <c r="W127" s="3"/>
      <c r="X127" s="3"/>
    </row>
    <row r="128" spans="1:26" ht="15" customHeight="1">
      <c r="D128" s="533"/>
      <c r="E128" s="2782" t="s">
        <v>2045</v>
      </c>
      <c r="F128" s="497"/>
      <c r="G128" s="497"/>
      <c r="H128" s="497"/>
      <c r="I128" s="497"/>
      <c r="J128" s="497"/>
      <c r="K128" s="497"/>
      <c r="L128" s="497"/>
      <c r="M128" s="497"/>
      <c r="N128" s="402"/>
    </row>
    <row r="129" spans="1:24" ht="15" customHeight="1">
      <c r="D129" s="20"/>
      <c r="E129" s="26"/>
      <c r="F129" s="20"/>
      <c r="G129" s="20"/>
      <c r="H129" s="20"/>
      <c r="I129" s="20"/>
      <c r="J129" s="20"/>
      <c r="K129" s="20"/>
      <c r="L129" s="20"/>
      <c r="M129" s="20"/>
      <c r="N129" s="27"/>
    </row>
    <row r="130" spans="1:24" ht="15" customHeight="1">
      <c r="C130" s="517"/>
      <c r="D130" s="40"/>
      <c r="E130" s="28" t="s">
        <v>1503</v>
      </c>
      <c r="F130" s="28"/>
      <c r="G130" s="28"/>
      <c r="H130" s="89" t="s">
        <v>1944</v>
      </c>
      <c r="I130" s="29" t="s">
        <v>698</v>
      </c>
      <c r="J130" s="33"/>
      <c r="K130" s="33"/>
      <c r="L130" s="33"/>
      <c r="M130" s="33"/>
      <c r="N130" s="33"/>
    </row>
    <row r="131" spans="1:24" s="415" customFormat="1" ht="15" customHeight="1">
      <c r="A131" s="663"/>
      <c r="B131" s="667"/>
      <c r="C131" s="3"/>
      <c r="D131" s="40"/>
      <c r="E131" s="30" t="s">
        <v>1950</v>
      </c>
      <c r="F131" s="30"/>
      <c r="G131" s="442"/>
      <c r="H131" s="2762">
        <v>1</v>
      </c>
      <c r="I131" s="1134" t="s">
        <v>2046</v>
      </c>
      <c r="J131" s="38"/>
      <c r="K131" s="38"/>
      <c r="L131" s="38"/>
      <c r="M131" s="38"/>
      <c r="N131" s="38"/>
      <c r="O131" s="3"/>
      <c r="P131" s="3"/>
      <c r="Q131" s="3"/>
      <c r="R131" s="3"/>
      <c r="S131" s="3"/>
      <c r="T131" s="3"/>
      <c r="U131" s="3"/>
      <c r="V131" s="3"/>
      <c r="W131" s="3"/>
      <c r="X131" s="3"/>
    </row>
    <row r="132" spans="1:24" s="415" customFormat="1" ht="15" customHeight="1">
      <c r="A132" s="663"/>
      <c r="B132" s="667"/>
      <c r="D132" s="40"/>
      <c r="E132" s="30" t="s">
        <v>1945</v>
      </c>
      <c r="F132" s="30"/>
      <c r="G132" s="443"/>
      <c r="H132" s="2762">
        <v>1</v>
      </c>
      <c r="I132" s="38" t="s">
        <v>1946</v>
      </c>
      <c r="J132" s="38"/>
      <c r="K132" s="38"/>
      <c r="L132" s="38"/>
      <c r="M132" s="38"/>
      <c r="N132" s="38"/>
      <c r="O132" s="3"/>
      <c r="P132" s="3"/>
      <c r="Q132" s="3"/>
      <c r="R132" s="3"/>
      <c r="S132" s="3"/>
      <c r="T132" s="3"/>
      <c r="U132" s="3"/>
      <c r="V132" s="3"/>
      <c r="W132" s="3"/>
      <c r="X132" s="3"/>
    </row>
    <row r="133" spans="1:24" s="415" customFormat="1" ht="15" customHeight="1">
      <c r="A133" s="663"/>
      <c r="B133" s="667"/>
      <c r="D133" s="40"/>
      <c r="E133" s="32" t="s">
        <v>1947</v>
      </c>
      <c r="F133" s="32"/>
      <c r="G133" s="444"/>
      <c r="H133" s="2763">
        <v>0</v>
      </c>
      <c r="I133" s="39" t="s">
        <v>788</v>
      </c>
      <c r="J133" s="38"/>
      <c r="K133" s="38"/>
      <c r="L133" s="38"/>
      <c r="M133" s="38"/>
      <c r="N133" s="38"/>
      <c r="O133" s="3"/>
      <c r="P133" s="3"/>
      <c r="Q133" s="3"/>
      <c r="R133" s="3"/>
      <c r="S133" s="3"/>
      <c r="T133" s="3"/>
      <c r="U133" s="3"/>
      <c r="V133" s="3"/>
      <c r="W133" s="3"/>
      <c r="X133" s="3"/>
    </row>
    <row r="134" spans="1:24" s="415" customFormat="1" ht="15" customHeight="1">
      <c r="A134" s="663"/>
      <c r="B134" s="667"/>
      <c r="D134" s="533"/>
      <c r="E134" s="451"/>
      <c r="F134" s="449"/>
      <c r="G134" s="534"/>
      <c r="H134" s="402"/>
      <c r="I134" s="402"/>
      <c r="J134" s="402"/>
      <c r="K134" s="402"/>
      <c r="L134" s="402"/>
      <c r="M134" s="402"/>
      <c r="N134" s="402"/>
      <c r="O134" s="3"/>
      <c r="P134" s="3"/>
      <c r="Q134" s="3"/>
      <c r="R134" s="3"/>
      <c r="S134" s="3"/>
      <c r="T134" s="3"/>
      <c r="U134" s="3"/>
      <c r="V134" s="3"/>
      <c r="W134" s="3"/>
      <c r="X134" s="3"/>
    </row>
    <row r="135" spans="1:24" s="415" customFormat="1" ht="15" customHeight="1">
      <c r="A135" s="663"/>
      <c r="B135" s="667"/>
      <c r="D135" s="533"/>
      <c r="E135" s="2782" t="s">
        <v>1952</v>
      </c>
      <c r="F135" s="497"/>
      <c r="G135" s="497"/>
      <c r="H135" s="497"/>
      <c r="I135" s="497"/>
      <c r="J135" s="497"/>
      <c r="K135" s="497"/>
      <c r="L135" s="497"/>
      <c r="M135" s="497"/>
      <c r="N135" s="402"/>
      <c r="O135" s="3"/>
      <c r="P135" s="3"/>
      <c r="Q135" s="3"/>
      <c r="R135" s="3"/>
      <c r="S135" s="3"/>
      <c r="T135" s="3"/>
      <c r="U135" s="3"/>
      <c r="V135" s="3"/>
      <c r="W135" s="3"/>
      <c r="X135" s="3"/>
    </row>
    <row r="136" spans="1:24" s="415" customFormat="1" ht="15" customHeight="1">
      <c r="A136" s="663"/>
      <c r="B136" s="667"/>
      <c r="D136" s="20"/>
      <c r="E136" s="26"/>
      <c r="F136" s="20"/>
      <c r="G136" s="20"/>
      <c r="H136" s="20"/>
      <c r="I136" s="20"/>
      <c r="J136" s="20"/>
      <c r="K136" s="20"/>
      <c r="L136" s="20"/>
      <c r="M136" s="20"/>
      <c r="N136" s="27"/>
      <c r="O136" s="3"/>
      <c r="P136" s="3"/>
      <c r="Q136" s="3"/>
      <c r="R136" s="3"/>
      <c r="S136" s="3"/>
      <c r="T136" s="3"/>
      <c r="U136" s="3"/>
      <c r="V136" s="3"/>
      <c r="W136" s="3"/>
      <c r="X136" s="3"/>
    </row>
    <row r="137" spans="1:24" s="415" customFormat="1" ht="15" customHeight="1">
      <c r="A137" s="663"/>
      <c r="B137" s="667"/>
      <c r="D137" s="40"/>
      <c r="E137" s="28" t="s">
        <v>1503</v>
      </c>
      <c r="F137" s="28"/>
      <c r="G137" s="28"/>
      <c r="H137" s="89" t="s">
        <v>1944</v>
      </c>
      <c r="I137" s="339" t="s">
        <v>698</v>
      </c>
      <c r="J137" s="33"/>
      <c r="K137" s="33"/>
      <c r="L137" s="33"/>
      <c r="M137" s="33"/>
      <c r="N137" s="33"/>
      <c r="O137" s="3"/>
      <c r="P137" s="3"/>
      <c r="Q137" s="3"/>
      <c r="R137" s="3"/>
      <c r="S137" s="3"/>
      <c r="T137" s="3"/>
      <c r="U137" s="3"/>
      <c r="V137" s="3"/>
      <c r="W137" s="3"/>
      <c r="X137" s="3"/>
    </row>
    <row r="138" spans="1:24" s="415" customFormat="1" ht="15" customHeight="1">
      <c r="A138" s="663"/>
      <c r="B138" s="667"/>
      <c r="D138" s="40"/>
      <c r="E138" s="337" t="s">
        <v>2047</v>
      </c>
      <c r="F138" s="337"/>
      <c r="G138" s="442"/>
      <c r="H138" s="724">
        <v>0</v>
      </c>
      <c r="I138" s="535" t="s">
        <v>1946</v>
      </c>
      <c r="J138" s="38"/>
      <c r="K138" s="38"/>
      <c r="L138" s="38"/>
      <c r="M138" s="38"/>
      <c r="N138" s="38"/>
      <c r="O138" s="3"/>
      <c r="P138" s="3"/>
      <c r="Q138" s="3"/>
      <c r="R138" s="3"/>
      <c r="S138" s="3"/>
      <c r="T138" s="3"/>
      <c r="U138" s="3"/>
      <c r="V138" s="3"/>
      <c r="W138" s="3"/>
      <c r="X138" s="3"/>
    </row>
    <row r="139" spans="1:24" s="415" customFormat="1" ht="15" customHeight="1">
      <c r="A139" s="663"/>
      <c r="B139" s="667"/>
      <c r="D139" s="40"/>
      <c r="E139" s="32" t="s">
        <v>2048</v>
      </c>
      <c r="F139" s="32"/>
      <c r="G139" s="444"/>
      <c r="H139" s="725">
        <v>0</v>
      </c>
      <c r="I139" s="39" t="s">
        <v>1946</v>
      </c>
      <c r="J139" s="38"/>
      <c r="K139" s="38"/>
      <c r="L139" s="38"/>
      <c r="M139" s="38"/>
      <c r="N139" s="38"/>
      <c r="O139" s="3"/>
      <c r="P139" s="3"/>
      <c r="Q139" s="3"/>
      <c r="R139" s="3"/>
      <c r="S139" s="3"/>
      <c r="T139" s="3"/>
      <c r="U139" s="3"/>
      <c r="V139" s="3"/>
      <c r="W139" s="3"/>
      <c r="X139" s="3"/>
    </row>
    <row r="140" spans="1:24" s="415" customFormat="1" ht="15" customHeight="1">
      <c r="A140" s="663"/>
      <c r="B140" s="667"/>
      <c r="D140" s="533"/>
      <c r="E140" s="451"/>
      <c r="F140" s="449"/>
      <c r="G140" s="534"/>
      <c r="H140" s="402"/>
      <c r="I140" s="414"/>
      <c r="J140" s="402"/>
      <c r="K140" s="402"/>
      <c r="L140" s="402"/>
      <c r="M140" s="402"/>
      <c r="N140" s="402"/>
      <c r="P140" s="3"/>
      <c r="Q140" s="3"/>
      <c r="R140" s="3"/>
      <c r="S140" s="3"/>
      <c r="T140" s="3"/>
      <c r="U140" s="3"/>
      <c r="V140" s="3"/>
      <c r="W140" s="3"/>
      <c r="X140" s="3"/>
    </row>
    <row r="141" spans="1:24" s="415" customFormat="1" ht="15" customHeight="1">
      <c r="A141" s="663"/>
      <c r="B141" s="667"/>
      <c r="D141" s="40"/>
      <c r="E141" s="360"/>
      <c r="F141" s="368"/>
      <c r="G141" s="368"/>
      <c r="H141" s="368"/>
      <c r="I141" s="368"/>
      <c r="J141" s="368"/>
      <c r="K141" s="368"/>
      <c r="L141" s="368"/>
      <c r="M141" s="368"/>
      <c r="N141" s="536"/>
      <c r="P141" s="3"/>
      <c r="Q141" s="3"/>
      <c r="R141" s="3"/>
      <c r="S141" s="3"/>
      <c r="T141" s="3"/>
      <c r="U141" s="3"/>
      <c r="V141" s="3"/>
      <c r="W141" s="3"/>
      <c r="X141" s="3"/>
    </row>
    <row r="142" spans="1:24" s="415" customFormat="1" ht="15" customHeight="1">
      <c r="A142" s="663"/>
      <c r="B142" s="667"/>
      <c r="P142" s="3"/>
      <c r="Q142" s="3"/>
      <c r="R142" s="3"/>
      <c r="S142" s="3"/>
      <c r="T142" s="3"/>
      <c r="U142" s="3"/>
      <c r="V142" s="3"/>
      <c r="W142" s="3"/>
      <c r="X142" s="3"/>
    </row>
    <row r="143" spans="1:24" s="415" customFormat="1" ht="15" customHeight="1">
      <c r="A143" s="663"/>
      <c r="B143" s="667"/>
      <c r="D143" s="1018" t="s">
        <v>51</v>
      </c>
      <c r="E143" s="336"/>
      <c r="F143" s="336"/>
      <c r="G143" s="336"/>
      <c r="H143" s="336"/>
      <c r="I143" s="336"/>
      <c r="J143" s="336"/>
      <c r="K143" s="336"/>
      <c r="L143" s="336"/>
      <c r="M143" s="336"/>
      <c r="N143" s="336"/>
      <c r="P143" s="3"/>
      <c r="Q143" s="3"/>
      <c r="R143" s="3"/>
      <c r="S143" s="3"/>
      <c r="T143" s="3"/>
      <c r="U143" s="3"/>
      <c r="V143" s="3"/>
      <c r="W143" s="3"/>
      <c r="X143" s="3"/>
    </row>
    <row r="144" spans="1:24" s="415" customFormat="1" ht="15" customHeight="1">
      <c r="A144" s="663"/>
      <c r="B144" s="667"/>
      <c r="C144" s="3"/>
      <c r="D144" s="40"/>
      <c r="E144" s="360"/>
      <c r="F144" s="368"/>
      <c r="G144" s="368"/>
      <c r="H144" s="368"/>
      <c r="I144" s="368"/>
      <c r="J144" s="368"/>
      <c r="K144" s="368"/>
      <c r="L144" s="368"/>
      <c r="M144" s="368"/>
      <c r="N144" s="536"/>
      <c r="P144" s="3"/>
      <c r="Q144" s="3"/>
      <c r="R144" s="3"/>
      <c r="S144" s="3"/>
      <c r="T144" s="3"/>
      <c r="U144" s="3"/>
      <c r="V144" s="3"/>
      <c r="W144" s="3"/>
      <c r="X144" s="3"/>
    </row>
    <row r="145" spans="1:24" s="415" customFormat="1" ht="15" customHeight="1">
      <c r="A145" s="663"/>
      <c r="B145" s="667"/>
      <c r="C145" s="3"/>
      <c r="D145" s="40"/>
      <c r="E145" s="398" t="s">
        <v>2049</v>
      </c>
      <c r="F145" s="1808"/>
      <c r="G145" s="1808"/>
      <c r="H145" s="1808"/>
      <c r="I145" s="1808"/>
      <c r="J145" s="1808"/>
      <c r="K145" s="1808"/>
      <c r="L145" s="1808"/>
      <c r="M145" s="1808"/>
      <c r="N145" s="536"/>
      <c r="P145" s="3"/>
      <c r="Q145" s="3"/>
      <c r="R145" s="3"/>
      <c r="S145" s="3"/>
      <c r="T145" s="3"/>
      <c r="U145" s="3"/>
      <c r="V145" s="3"/>
      <c r="W145" s="3"/>
      <c r="X145" s="3"/>
    </row>
    <row r="146" spans="1:24" s="415" customFormat="1" ht="15" customHeight="1">
      <c r="A146" s="663"/>
      <c r="B146" s="667"/>
      <c r="C146" s="3"/>
      <c r="D146" s="40"/>
      <c r="E146" s="360"/>
      <c r="F146" s="368"/>
      <c r="G146" s="368"/>
      <c r="H146" s="368"/>
      <c r="I146" s="368"/>
      <c r="J146" s="368"/>
      <c r="K146" s="368"/>
      <c r="L146" s="368"/>
      <c r="M146" s="368"/>
      <c r="N146" s="536"/>
      <c r="P146" s="3"/>
      <c r="Q146" s="3"/>
      <c r="R146" s="3"/>
      <c r="S146" s="3"/>
      <c r="T146" s="3"/>
      <c r="U146" s="3"/>
      <c r="V146" s="3"/>
      <c r="W146" s="3"/>
      <c r="X146" s="3"/>
    </row>
    <row r="147" spans="1:24" s="415" customFormat="1" ht="15" customHeight="1">
      <c r="A147" s="663"/>
      <c r="B147" s="667"/>
      <c r="D147" s="40"/>
      <c r="E147" s="1809" t="s">
        <v>1970</v>
      </c>
      <c r="F147" s="1809"/>
      <c r="G147" s="1809"/>
      <c r="H147" s="1809"/>
      <c r="I147" s="1809"/>
      <c r="J147" s="1809"/>
      <c r="K147" s="1809"/>
      <c r="L147" s="1809"/>
      <c r="M147" s="1809"/>
      <c r="N147" s="536"/>
      <c r="P147" s="3"/>
      <c r="Q147" s="3"/>
      <c r="R147" s="3"/>
      <c r="S147" s="3"/>
      <c r="T147" s="3"/>
      <c r="U147" s="3"/>
      <c r="V147" s="3"/>
      <c r="W147" s="3"/>
      <c r="X147" s="3"/>
    </row>
    <row r="148" spans="1:24" ht="15" customHeight="1">
      <c r="C148" s="415"/>
      <c r="D148" s="40"/>
      <c r="E148" s="360"/>
      <c r="F148" s="368"/>
      <c r="G148" s="368"/>
      <c r="H148" s="368"/>
      <c r="I148" s="368"/>
      <c r="J148" s="368"/>
      <c r="K148" s="368"/>
      <c r="L148" s="368"/>
      <c r="M148" s="1800" t="s">
        <v>803</v>
      </c>
      <c r="N148" s="536"/>
      <c r="O148" s="1801"/>
    </row>
    <row r="149" spans="1:24" s="415" customFormat="1" ht="15" customHeight="1">
      <c r="A149" s="663"/>
      <c r="B149" s="667"/>
      <c r="D149" s="40"/>
      <c r="E149" s="501" t="s">
        <v>2050</v>
      </c>
      <c r="F149" s="510">
        <v>2018</v>
      </c>
      <c r="G149" s="510">
        <v>2020</v>
      </c>
      <c r="H149" s="510">
        <v>2025</v>
      </c>
      <c r="I149" s="510">
        <v>2030</v>
      </c>
      <c r="J149" s="510">
        <v>2035</v>
      </c>
      <c r="K149" s="510">
        <v>2040</v>
      </c>
      <c r="L149" s="510">
        <v>2045</v>
      </c>
      <c r="M149" s="510">
        <v>2050</v>
      </c>
      <c r="N149" s="536"/>
      <c r="O149" s="1801"/>
      <c r="P149" s="3"/>
      <c r="Q149" s="3"/>
      <c r="R149" s="3"/>
      <c r="S149" s="3"/>
      <c r="T149" s="3"/>
      <c r="U149" s="3"/>
      <c r="V149" s="3"/>
      <c r="W149" s="3"/>
      <c r="X149" s="3"/>
    </row>
    <row r="150" spans="1:24" s="415" customFormat="1" ht="15" customHeight="1">
      <c r="A150" s="663"/>
      <c r="B150" s="667"/>
      <c r="D150" s="40"/>
      <c r="E150" s="1799" t="s">
        <v>2051</v>
      </c>
      <c r="F150" s="1822" cm="1">
        <f t="array" ref="F150:M150">(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ALTO</f>
        <v>1.2302651717735833</v>
      </c>
      <c r="G150" s="1822">
        <v>1.2302651717735833</v>
      </c>
      <c r="H150" s="1822">
        <v>1.2302651717735833</v>
      </c>
      <c r="I150" s="1822">
        <v>1.2302651717735833</v>
      </c>
      <c r="J150" s="1822">
        <v>1.2302651717735833</v>
      </c>
      <c r="K150" s="1822">
        <v>1.2302651717735833</v>
      </c>
      <c r="L150" s="1822">
        <v>1.2302651717735833</v>
      </c>
      <c r="M150" s="1822">
        <v>1.2302651717735833</v>
      </c>
      <c r="N150" s="536"/>
      <c r="O150" s="3"/>
      <c r="P150" s="3"/>
      <c r="Q150" s="3"/>
      <c r="R150" s="3"/>
      <c r="S150" s="3"/>
      <c r="T150" s="3"/>
      <c r="U150" s="3"/>
      <c r="V150" s="3"/>
      <c r="W150" s="3"/>
      <c r="X150" s="3"/>
    </row>
    <row r="151" spans="1:24" s="415" customFormat="1" ht="15" customHeight="1">
      <c r="A151" s="663"/>
      <c r="B151" s="667"/>
      <c r="D151" s="40"/>
      <c r="E151" s="513" t="s">
        <v>2052</v>
      </c>
      <c r="F151" s="1823" cm="1">
        <f t="array" ref="F151:M151">(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ALTO</f>
        <v>8.9809357539471577</v>
      </c>
      <c r="G151" s="1823">
        <v>8.9809357539471577</v>
      </c>
      <c r="H151" s="1823">
        <v>8.9809357539471577</v>
      </c>
      <c r="I151" s="1823">
        <v>8.9809357539471577</v>
      </c>
      <c r="J151" s="1823">
        <v>8.9809357539471577</v>
      </c>
      <c r="K151" s="1823">
        <v>8.9809357539471577</v>
      </c>
      <c r="L151" s="1823">
        <v>8.9809357539471577</v>
      </c>
      <c r="M151" s="1823">
        <v>8.9809357539471577</v>
      </c>
      <c r="N151" s="536"/>
      <c r="O151" s="3"/>
      <c r="P151" s="3"/>
      <c r="Q151" s="3"/>
      <c r="R151" s="3"/>
      <c r="S151" s="3"/>
      <c r="T151" s="3"/>
      <c r="U151" s="3"/>
      <c r="V151" s="3"/>
      <c r="W151" s="3"/>
      <c r="X151" s="3"/>
    </row>
    <row r="152" spans="1:24" s="415" customFormat="1" ht="15" customHeight="1">
      <c r="A152" s="663"/>
      <c r="B152" s="667"/>
      <c r="D152" s="40"/>
      <c r="E152" s="360"/>
      <c r="F152" s="368"/>
      <c r="G152" s="368"/>
      <c r="H152" s="368"/>
      <c r="I152" s="368"/>
      <c r="J152" s="368"/>
      <c r="K152" s="368"/>
      <c r="L152" s="368"/>
      <c r="M152" s="368"/>
      <c r="N152" s="536"/>
      <c r="O152" s="3"/>
      <c r="P152" s="3"/>
      <c r="Q152" s="3"/>
      <c r="R152" s="3"/>
      <c r="S152" s="3"/>
      <c r="T152" s="3"/>
      <c r="U152" s="3"/>
      <c r="V152" s="3"/>
      <c r="W152" s="3"/>
      <c r="X152" s="3"/>
    </row>
    <row r="153" spans="1:24" s="415" customFormat="1" ht="15" customHeight="1">
      <c r="A153" s="663"/>
      <c r="B153" s="667"/>
      <c r="D153" s="40"/>
      <c r="E153" s="1809" t="s">
        <v>1971</v>
      </c>
      <c r="F153" s="1809"/>
      <c r="G153" s="1809"/>
      <c r="H153" s="1809"/>
      <c r="I153" s="1809"/>
      <c r="J153" s="1809"/>
      <c r="K153" s="1809"/>
      <c r="L153" s="1809"/>
      <c r="M153" s="1809"/>
      <c r="N153" s="536"/>
      <c r="O153" s="3"/>
      <c r="P153" s="3"/>
      <c r="Q153" s="3"/>
      <c r="R153" s="3"/>
      <c r="S153" s="3"/>
      <c r="T153" s="3"/>
      <c r="U153" s="3"/>
      <c r="V153" s="3"/>
      <c r="W153" s="3"/>
      <c r="X153" s="3"/>
    </row>
    <row r="154" spans="1:24" s="415" customFormat="1" ht="15" customHeight="1">
      <c r="A154" s="663"/>
      <c r="B154" s="667"/>
      <c r="D154" s="40"/>
      <c r="E154" s="360"/>
      <c r="F154" s="368"/>
      <c r="G154" s="368"/>
      <c r="H154" s="368"/>
      <c r="I154" s="368"/>
      <c r="J154" s="368"/>
      <c r="K154" s="368"/>
      <c r="L154" s="368"/>
      <c r="M154" s="1800" t="s">
        <v>803</v>
      </c>
      <c r="N154" s="536"/>
      <c r="O154" s="3"/>
      <c r="P154" s="3"/>
      <c r="Q154" s="3"/>
      <c r="R154" s="3"/>
      <c r="S154" s="3"/>
      <c r="T154" s="3"/>
      <c r="U154" s="3"/>
      <c r="V154" s="3"/>
      <c r="W154" s="3"/>
      <c r="X154" s="3"/>
    </row>
    <row r="155" spans="1:24" s="415" customFormat="1" ht="15" customHeight="1">
      <c r="A155" s="663"/>
      <c r="B155" s="667"/>
      <c r="D155" s="40"/>
      <c r="E155" s="501" t="s">
        <v>2050</v>
      </c>
      <c r="F155" s="510">
        <v>2018</v>
      </c>
      <c r="G155" s="510">
        <v>2020</v>
      </c>
      <c r="H155" s="510">
        <v>2025</v>
      </c>
      <c r="I155" s="510">
        <v>2030</v>
      </c>
      <c r="J155" s="510">
        <v>2035</v>
      </c>
      <c r="K155" s="510">
        <v>2040</v>
      </c>
      <c r="L155" s="510">
        <v>2045</v>
      </c>
      <c r="M155" s="510">
        <v>2050</v>
      </c>
      <c r="N155" s="536"/>
      <c r="O155" s="3"/>
      <c r="P155" s="3"/>
      <c r="Q155" s="3"/>
      <c r="R155" s="3"/>
      <c r="S155" s="3"/>
      <c r="T155" s="3"/>
      <c r="U155" s="3"/>
      <c r="V155" s="3"/>
      <c r="W155" s="3"/>
      <c r="X155" s="3"/>
    </row>
    <row r="156" spans="1:24" s="415" customFormat="1" ht="15" customHeight="1">
      <c r="A156" s="663"/>
      <c r="B156" s="667"/>
      <c r="D156" s="40"/>
      <c r="E156" s="1799" t="s">
        <v>2051</v>
      </c>
      <c r="F156" s="1822" cm="1">
        <f t="array" ref="F156:M156">(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ALTO</f>
        <v>3.6907955153207497</v>
      </c>
      <c r="G156" s="1822">
        <v>3.6907955153207497</v>
      </c>
      <c r="H156" s="1822">
        <v>3.6907955153207497</v>
      </c>
      <c r="I156" s="1822">
        <v>3.6907955153207497</v>
      </c>
      <c r="J156" s="1822">
        <v>3.6907955153207497</v>
      </c>
      <c r="K156" s="1822">
        <v>3.6907955153207497</v>
      </c>
      <c r="L156" s="1822">
        <v>3.6907955153207497</v>
      </c>
      <c r="M156" s="1822">
        <v>3.6907955153207497</v>
      </c>
      <c r="N156" s="536"/>
      <c r="O156" s="3"/>
      <c r="P156" s="3"/>
      <c r="Q156" s="3"/>
      <c r="R156" s="3"/>
      <c r="S156" s="3"/>
      <c r="T156" s="3"/>
      <c r="U156" s="3"/>
      <c r="V156" s="3"/>
      <c r="W156" s="3"/>
      <c r="X156" s="3"/>
    </row>
    <row r="157" spans="1:24" s="415" customFormat="1" ht="15" customHeight="1">
      <c r="A157" s="663"/>
      <c r="B157" s="667"/>
      <c r="D157" s="40"/>
      <c r="E157" s="513" t="s">
        <v>2052</v>
      </c>
      <c r="F157" s="1823" cm="1">
        <f t="array" ref="F157:M157">(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ALTO</f>
        <v>2460.5303435471669</v>
      </c>
      <c r="G157" s="1823">
        <v>2460.5303435471669</v>
      </c>
      <c r="H157" s="1823">
        <v>2460.5303435471669</v>
      </c>
      <c r="I157" s="1823">
        <v>2460.5303435471669</v>
      </c>
      <c r="J157" s="1823">
        <v>2460.5303435471669</v>
      </c>
      <c r="K157" s="1823">
        <v>2460.5303435471669</v>
      </c>
      <c r="L157" s="1823">
        <v>2460.5303435471669</v>
      </c>
      <c r="M157" s="1823">
        <v>2460.5303435471669</v>
      </c>
      <c r="N157" s="536"/>
      <c r="O157" s="3"/>
      <c r="P157" s="3"/>
      <c r="Q157" s="3"/>
      <c r="R157" s="3"/>
      <c r="S157" s="3"/>
      <c r="T157" s="3"/>
      <c r="U157" s="3"/>
      <c r="V157" s="3"/>
      <c r="W157" s="3"/>
      <c r="X157" s="3"/>
    </row>
    <row r="158" spans="1:24" s="415" customFormat="1" ht="15" customHeight="1">
      <c r="A158" s="663"/>
      <c r="B158" s="667"/>
      <c r="D158" s="40"/>
      <c r="E158" s="360"/>
      <c r="F158" s="964"/>
      <c r="G158" s="964"/>
      <c r="H158" s="964"/>
      <c r="I158" s="964"/>
      <c r="J158" s="964"/>
      <c r="K158" s="964"/>
      <c r="L158" s="964"/>
      <c r="M158" s="964"/>
      <c r="N158" s="536"/>
      <c r="O158" s="3"/>
      <c r="P158" s="3"/>
      <c r="Q158" s="3"/>
      <c r="R158" s="3"/>
      <c r="S158" s="3"/>
      <c r="T158" s="3"/>
      <c r="U158" s="3"/>
      <c r="V158" s="3"/>
      <c r="W158" s="3"/>
      <c r="X158" s="3"/>
    </row>
    <row r="159" spans="1:24" s="415" customFormat="1" ht="15" customHeight="1">
      <c r="A159" s="663"/>
      <c r="B159" s="667"/>
      <c r="D159" s="40"/>
      <c r="E159" s="398" t="s">
        <v>2053</v>
      </c>
      <c r="F159" s="1808"/>
      <c r="G159" s="1808"/>
      <c r="H159" s="1808"/>
      <c r="I159" s="1808"/>
      <c r="J159" s="1808"/>
      <c r="K159" s="1808"/>
      <c r="L159" s="1808"/>
      <c r="M159" s="1808"/>
      <c r="N159" s="536"/>
      <c r="O159" s="3"/>
      <c r="P159" s="3"/>
      <c r="Q159" s="3"/>
      <c r="R159" s="3"/>
      <c r="S159" s="3"/>
      <c r="T159" s="3"/>
      <c r="U159" s="3"/>
      <c r="V159" s="3"/>
      <c r="W159" s="3"/>
      <c r="X159" s="3"/>
    </row>
    <row r="160" spans="1:24" ht="15" customHeight="1">
      <c r="C160" s="415"/>
      <c r="D160" s="40"/>
      <c r="E160" s="360"/>
      <c r="F160" s="368"/>
      <c r="G160" s="368"/>
      <c r="H160" s="368"/>
      <c r="I160" s="368"/>
      <c r="J160" s="368"/>
      <c r="K160" s="368"/>
      <c r="L160" s="368"/>
      <c r="M160" s="368"/>
      <c r="N160" s="536"/>
    </row>
    <row r="161" spans="1:24" ht="15" customHeight="1">
      <c r="C161" s="415"/>
      <c r="D161" s="40"/>
      <c r="E161" s="1809" t="s">
        <v>1970</v>
      </c>
      <c r="F161" s="1809"/>
      <c r="G161" s="1809"/>
      <c r="H161" s="1809"/>
      <c r="I161" s="1809"/>
      <c r="J161" s="1809"/>
      <c r="K161" s="1809"/>
      <c r="L161" s="1809"/>
      <c r="M161" s="1809"/>
      <c r="N161" s="536"/>
    </row>
    <row r="162" spans="1:24" ht="15" customHeight="1">
      <c r="C162" s="415"/>
      <c r="D162" s="40"/>
      <c r="E162" s="360"/>
      <c r="F162" s="368"/>
      <c r="G162" s="368"/>
      <c r="H162" s="368"/>
      <c r="I162" s="368"/>
      <c r="J162" s="368"/>
      <c r="K162" s="368"/>
      <c r="L162" s="368"/>
      <c r="M162" s="1800" t="s">
        <v>803</v>
      </c>
      <c r="N162" s="536"/>
    </row>
    <row r="163" spans="1:24" ht="15" customHeight="1">
      <c r="C163" s="415"/>
      <c r="D163" s="40"/>
      <c r="E163" s="501" t="s">
        <v>2050</v>
      </c>
      <c r="F163" s="510">
        <v>2018</v>
      </c>
      <c r="G163" s="510">
        <v>2020</v>
      </c>
      <c r="H163" s="510">
        <v>2025</v>
      </c>
      <c r="I163" s="510">
        <v>2030</v>
      </c>
      <c r="J163" s="510">
        <v>2035</v>
      </c>
      <c r="K163" s="510">
        <v>2040</v>
      </c>
      <c r="L163" s="510">
        <v>2045</v>
      </c>
      <c r="M163" s="510">
        <v>2050</v>
      </c>
      <c r="N163" s="536"/>
    </row>
    <row r="164" spans="1:24" ht="15" customHeight="1">
      <c r="D164" s="40"/>
      <c r="E164" s="1799" t="s">
        <v>2051</v>
      </c>
      <c r="F164" s="1822" cm="1">
        <f t="array" ref="F164:M164">(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MEDIO</f>
        <v>0.98421213741886671</v>
      </c>
      <c r="G164" s="1822">
        <v>0.98421213741886671</v>
      </c>
      <c r="H164" s="1822">
        <v>0.98421213741886671</v>
      </c>
      <c r="I164" s="1822">
        <v>0.98421213741886671</v>
      </c>
      <c r="J164" s="1822">
        <v>0.98421213741886671</v>
      </c>
      <c r="K164" s="1822">
        <v>0.98421213741886671</v>
      </c>
      <c r="L164" s="1822">
        <v>0.98421213741886671</v>
      </c>
      <c r="M164" s="1822">
        <v>0.98421213741886671</v>
      </c>
      <c r="N164" s="536"/>
    </row>
    <row r="165" spans="1:24" ht="15" customHeight="1">
      <c r="C165" s="415"/>
      <c r="D165" s="40"/>
      <c r="E165" s="513" t="s">
        <v>2052</v>
      </c>
      <c r="F165" s="1823" cm="1">
        <f t="array" ref="F165:M165">(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MEDIO</f>
        <v>7.1847486031577263</v>
      </c>
      <c r="G165" s="1823">
        <v>7.1847486031577263</v>
      </c>
      <c r="H165" s="1823">
        <v>7.1847486031577263</v>
      </c>
      <c r="I165" s="1823">
        <v>7.1847486031577263</v>
      </c>
      <c r="J165" s="1823">
        <v>7.1847486031577263</v>
      </c>
      <c r="K165" s="1823">
        <v>7.1847486031577263</v>
      </c>
      <c r="L165" s="1823">
        <v>7.1847486031577263</v>
      </c>
      <c r="M165" s="1823">
        <v>7.1847486031577263</v>
      </c>
      <c r="N165" s="536"/>
    </row>
    <row r="166" spans="1:24" ht="15" customHeight="1">
      <c r="C166" s="415"/>
      <c r="D166" s="40"/>
      <c r="E166" s="360"/>
      <c r="F166" s="964"/>
      <c r="G166" s="964"/>
      <c r="H166" s="964"/>
      <c r="I166" s="964"/>
      <c r="J166" s="964"/>
      <c r="K166" s="964"/>
      <c r="L166" s="964"/>
      <c r="M166" s="964"/>
      <c r="N166" s="536"/>
    </row>
    <row r="167" spans="1:24" ht="15" customHeight="1">
      <c r="C167" s="415"/>
      <c r="D167" s="40"/>
      <c r="E167" s="1809" t="s">
        <v>1971</v>
      </c>
      <c r="F167" s="1809"/>
      <c r="G167" s="1809"/>
      <c r="H167" s="1809"/>
      <c r="I167" s="1809"/>
      <c r="J167" s="1809"/>
      <c r="K167" s="1809"/>
      <c r="L167" s="1809"/>
      <c r="M167" s="1809"/>
      <c r="N167" s="536"/>
    </row>
    <row r="168" spans="1:24" ht="15" customHeight="1">
      <c r="C168" s="415"/>
      <c r="D168" s="40"/>
      <c r="E168" s="360"/>
      <c r="F168" s="368"/>
      <c r="G168" s="368"/>
      <c r="H168" s="368"/>
      <c r="I168" s="368"/>
      <c r="J168" s="368"/>
      <c r="K168" s="368"/>
      <c r="L168" s="368"/>
      <c r="M168" s="1800" t="s">
        <v>803</v>
      </c>
      <c r="N168" s="536"/>
    </row>
    <row r="169" spans="1:24" ht="15" customHeight="1">
      <c r="C169" s="415"/>
      <c r="D169" s="40"/>
      <c r="E169" s="501" t="s">
        <v>2050</v>
      </c>
      <c r="F169" s="510">
        <v>2018</v>
      </c>
      <c r="G169" s="510">
        <v>2020</v>
      </c>
      <c r="H169" s="510">
        <v>2025</v>
      </c>
      <c r="I169" s="510">
        <v>2030</v>
      </c>
      <c r="J169" s="510">
        <v>2035</v>
      </c>
      <c r="K169" s="510">
        <v>2040</v>
      </c>
      <c r="L169" s="510">
        <v>2045</v>
      </c>
      <c r="M169" s="510">
        <v>2050</v>
      </c>
      <c r="N169" s="536"/>
    </row>
    <row r="170" spans="1:24" s="2" customFormat="1" ht="15" customHeight="1">
      <c r="A170" s="663"/>
      <c r="B170" s="667"/>
      <c r="C170" s="415"/>
      <c r="D170" s="40"/>
      <c r="E170" s="1799" t="s">
        <v>2051</v>
      </c>
      <c r="F170" s="1822" cm="1">
        <f t="array" ref="F170:M170">(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MEDIO</f>
        <v>2.9526364122566</v>
      </c>
      <c r="G170" s="1822">
        <v>2.9526364122566</v>
      </c>
      <c r="H170" s="1822">
        <v>2.9526364122566</v>
      </c>
      <c r="I170" s="1822">
        <v>2.9526364122566</v>
      </c>
      <c r="J170" s="1822">
        <v>2.9526364122566</v>
      </c>
      <c r="K170" s="1822">
        <v>2.9526364122566</v>
      </c>
      <c r="L170" s="1822">
        <v>2.9526364122566</v>
      </c>
      <c r="M170" s="1822">
        <v>2.9526364122566</v>
      </c>
      <c r="N170" s="536"/>
      <c r="O170" s="3"/>
      <c r="P170" s="3"/>
      <c r="Q170" s="3"/>
      <c r="R170" s="3"/>
      <c r="S170" s="3"/>
      <c r="T170" s="3"/>
      <c r="U170" s="3"/>
      <c r="V170" s="3"/>
      <c r="W170" s="3"/>
      <c r="X170" s="3"/>
    </row>
    <row r="171" spans="1:24" ht="15" customHeight="1">
      <c r="C171" s="415"/>
      <c r="D171" s="40"/>
      <c r="E171" s="513" t="s">
        <v>2052</v>
      </c>
      <c r="F171" s="1823" cm="1">
        <f t="array" ref="F171:M171">(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MEDIO</f>
        <v>1968.4242748377337</v>
      </c>
      <c r="G171" s="1823">
        <v>1968.4242748377337</v>
      </c>
      <c r="H171" s="1823">
        <v>1968.4242748377337</v>
      </c>
      <c r="I171" s="1823">
        <v>1968.4242748377337</v>
      </c>
      <c r="J171" s="1823">
        <v>1968.4242748377337</v>
      </c>
      <c r="K171" s="1823">
        <v>1968.4242748377337</v>
      </c>
      <c r="L171" s="1823">
        <v>1968.4242748377337</v>
      </c>
      <c r="M171" s="1823">
        <v>1968.4242748377337</v>
      </c>
      <c r="N171" s="1404"/>
    </row>
    <row r="172" spans="1:24" ht="15" customHeight="1">
      <c r="C172" s="415"/>
      <c r="D172" s="40"/>
      <c r="E172" s="360"/>
      <c r="F172" s="368"/>
      <c r="G172" s="368"/>
      <c r="H172" s="368"/>
      <c r="I172" s="368"/>
      <c r="J172" s="368"/>
      <c r="K172" s="368"/>
      <c r="L172" s="368"/>
      <c r="M172" s="368"/>
      <c r="N172" s="536"/>
    </row>
    <row r="173" spans="1:24" ht="15" customHeight="1">
      <c r="C173" s="415"/>
      <c r="D173" s="40"/>
      <c r="E173" s="398" t="s">
        <v>1977</v>
      </c>
      <c r="F173" s="1808"/>
      <c r="G173" s="1808"/>
      <c r="H173" s="1808"/>
      <c r="I173" s="1808"/>
      <c r="J173" s="1808"/>
      <c r="K173" s="1808"/>
      <c r="L173" s="1808"/>
      <c r="M173" s="1808"/>
      <c r="N173" s="536"/>
    </row>
    <row r="174" spans="1:24" ht="15" customHeight="1">
      <c r="C174" s="415"/>
      <c r="D174" s="40"/>
      <c r="E174" s="40"/>
      <c r="F174" s="1549"/>
      <c r="G174" s="1549"/>
      <c r="H174" s="1549"/>
      <c r="I174" s="1549"/>
      <c r="J174" s="1549"/>
      <c r="K174" s="1549"/>
      <c r="L174" s="1549"/>
      <c r="M174" s="1549"/>
      <c r="N174" s="40"/>
    </row>
    <row r="175" spans="1:24" ht="15" customHeight="1">
      <c r="C175" s="415"/>
      <c r="D175" s="40"/>
      <c r="E175" s="1809" t="s">
        <v>1970</v>
      </c>
      <c r="F175" s="1809"/>
      <c r="G175" s="1809"/>
      <c r="H175" s="1809"/>
      <c r="I175" s="1809"/>
      <c r="J175" s="1809"/>
      <c r="K175" s="1809"/>
      <c r="L175" s="1809"/>
      <c r="M175" s="1809"/>
      <c r="N175" s="536"/>
    </row>
    <row r="176" spans="1:24" ht="15" customHeight="1">
      <c r="D176" s="40"/>
      <c r="E176" s="360"/>
      <c r="F176" s="368"/>
      <c r="G176" s="368"/>
      <c r="H176" s="368"/>
      <c r="I176" s="368"/>
      <c r="J176" s="368"/>
      <c r="K176" s="368"/>
      <c r="L176" s="368"/>
      <c r="M176" s="1800" t="s">
        <v>803</v>
      </c>
      <c r="N176" s="536"/>
    </row>
    <row r="177" spans="1:24" ht="15" customHeight="1">
      <c r="D177" s="40"/>
      <c r="E177" s="501" t="s">
        <v>2050</v>
      </c>
      <c r="F177" s="510">
        <v>2018</v>
      </c>
      <c r="G177" s="510">
        <v>2020</v>
      </c>
      <c r="H177" s="510">
        <v>2025</v>
      </c>
      <c r="I177" s="510">
        <v>2030</v>
      </c>
      <c r="J177" s="510">
        <v>2035</v>
      </c>
      <c r="K177" s="510">
        <v>2040</v>
      </c>
      <c r="L177" s="510">
        <v>2045</v>
      </c>
      <c r="M177" s="510">
        <v>2050</v>
      </c>
      <c r="N177" s="536"/>
    </row>
    <row r="178" spans="1:24" s="2" customFormat="1" ht="15" customHeight="1">
      <c r="A178" s="663"/>
      <c r="B178" s="667"/>
      <c r="C178" s="3"/>
      <c r="D178" s="40"/>
      <c r="E178" s="1799" t="s">
        <v>2051</v>
      </c>
      <c r="F178" s="1810" cm="1">
        <f t="array" ref="F178:M178">(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BAJO</f>
        <v>0.86118562024150824</v>
      </c>
      <c r="G178" s="1810">
        <v>0.86118562024150824</v>
      </c>
      <c r="H178" s="1810">
        <v>0.86118562024150824</v>
      </c>
      <c r="I178" s="1810">
        <v>0.86118562024150824</v>
      </c>
      <c r="J178" s="1810">
        <v>0.86118562024150824</v>
      </c>
      <c r="K178" s="1810">
        <v>0.86118562024150824</v>
      </c>
      <c r="L178" s="1810">
        <v>0.86118562024150824</v>
      </c>
      <c r="M178" s="1810">
        <v>0.86118562024150824</v>
      </c>
      <c r="N178" s="536"/>
      <c r="O178" s="3"/>
      <c r="P178" s="3"/>
      <c r="Q178" s="3"/>
      <c r="R178" s="3"/>
      <c r="S178" s="3"/>
      <c r="T178" s="3"/>
      <c r="U178" s="3"/>
      <c r="V178" s="3"/>
      <c r="W178" s="3"/>
      <c r="X178" s="3"/>
    </row>
    <row r="179" spans="1:24" s="2" customFormat="1" ht="15" customHeight="1">
      <c r="A179" s="663"/>
      <c r="B179" s="667"/>
      <c r="C179" s="3"/>
      <c r="D179" s="40"/>
      <c r="E179" s="513" t="s">
        <v>2052</v>
      </c>
      <c r="F179" s="1811" cm="1">
        <f t="array" ref="F179:M179">(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BAJO</f>
        <v>6.2866550277630102</v>
      </c>
      <c r="G179" s="1811">
        <v>6.2866550277630102</v>
      </c>
      <c r="H179" s="1811">
        <v>6.2866550277630102</v>
      </c>
      <c r="I179" s="1811">
        <v>6.2866550277630102</v>
      </c>
      <c r="J179" s="1811">
        <v>6.2866550277630102</v>
      </c>
      <c r="K179" s="1811">
        <v>6.2866550277630102</v>
      </c>
      <c r="L179" s="1811">
        <v>6.2866550277630102</v>
      </c>
      <c r="M179" s="1811">
        <v>6.2866550277630102</v>
      </c>
      <c r="N179" s="536"/>
      <c r="O179" s="3"/>
      <c r="P179" s="3"/>
      <c r="Q179" s="3"/>
      <c r="R179" s="3"/>
      <c r="S179" s="3"/>
      <c r="T179" s="3"/>
      <c r="U179" s="3"/>
      <c r="V179" s="3"/>
      <c r="W179" s="3"/>
      <c r="X179" s="3"/>
    </row>
    <row r="180" spans="1:24" ht="15" customHeight="1">
      <c r="D180" s="40"/>
      <c r="E180" s="360"/>
      <c r="F180" s="368"/>
      <c r="G180" s="368"/>
      <c r="H180" s="368"/>
      <c r="I180" s="368"/>
      <c r="J180" s="368"/>
      <c r="K180" s="368"/>
      <c r="L180" s="368"/>
      <c r="M180" s="368"/>
      <c r="N180" s="536"/>
    </row>
    <row r="181" spans="1:24" ht="15" customHeight="1">
      <c r="D181" s="40"/>
      <c r="E181" s="1809" t="s">
        <v>1971</v>
      </c>
      <c r="F181" s="1809"/>
      <c r="G181" s="1809"/>
      <c r="H181" s="1809"/>
      <c r="I181" s="1809"/>
      <c r="J181" s="1809"/>
      <c r="K181" s="1809"/>
      <c r="L181" s="1809"/>
      <c r="M181" s="1809"/>
      <c r="N181" s="536"/>
    </row>
    <row r="182" spans="1:24" ht="15" customHeight="1">
      <c r="D182" s="40"/>
      <c r="E182" s="360"/>
      <c r="F182" s="368"/>
      <c r="G182" s="368"/>
      <c r="H182" s="368"/>
      <c r="I182" s="368"/>
      <c r="J182" s="368"/>
      <c r="K182" s="368"/>
      <c r="L182" s="368"/>
      <c r="M182" s="1800" t="s">
        <v>803</v>
      </c>
      <c r="N182" s="536"/>
    </row>
    <row r="183" spans="1:24" ht="15" customHeight="1">
      <c r="D183" s="40"/>
      <c r="E183" s="501" t="s">
        <v>2050</v>
      </c>
      <c r="F183" s="510">
        <v>2018</v>
      </c>
      <c r="G183" s="510">
        <v>2020</v>
      </c>
      <c r="H183" s="510">
        <v>2025</v>
      </c>
      <c r="I183" s="510">
        <v>2030</v>
      </c>
      <c r="J183" s="510">
        <v>2035</v>
      </c>
      <c r="K183" s="510">
        <v>2040</v>
      </c>
      <c r="L183" s="510">
        <v>2045</v>
      </c>
      <c r="M183" s="510">
        <v>2050</v>
      </c>
      <c r="N183" s="536"/>
    </row>
    <row r="184" spans="1:24" ht="15" customHeight="1">
      <c r="D184" s="40"/>
      <c r="E184" s="1799" t="s">
        <v>2051</v>
      </c>
      <c r="F184" s="1810" cm="1">
        <f t="array" ref="F184:M184">(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BAJO</f>
        <v>2.5835568607245247</v>
      </c>
      <c r="G184" s="1810">
        <v>2.5835568607245247</v>
      </c>
      <c r="H184" s="1810">
        <v>2.5835568607245247</v>
      </c>
      <c r="I184" s="1810">
        <v>2.5835568607245247</v>
      </c>
      <c r="J184" s="1810">
        <v>2.5835568607245247</v>
      </c>
      <c r="K184" s="1810">
        <v>2.5835568607245247</v>
      </c>
      <c r="L184" s="1810">
        <v>2.5835568607245247</v>
      </c>
      <c r="M184" s="1810">
        <v>2.5835568607245247</v>
      </c>
      <c r="N184" s="536"/>
    </row>
    <row r="185" spans="1:24" ht="15" customHeight="1">
      <c r="D185" s="40"/>
      <c r="E185" s="513" t="s">
        <v>2052</v>
      </c>
      <c r="F185" s="1811" cm="1">
        <f t="array" ref="F185:M185">(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BAJO</f>
        <v>1722.3712404830167</v>
      </c>
      <c r="G185" s="1811">
        <v>1722.3712404830167</v>
      </c>
      <c r="H185" s="1811">
        <v>1722.3712404830167</v>
      </c>
      <c r="I185" s="1811">
        <v>1722.3712404830167</v>
      </c>
      <c r="J185" s="1811">
        <v>1722.3712404830167</v>
      </c>
      <c r="K185" s="1811">
        <v>1722.3712404830167</v>
      </c>
      <c r="L185" s="1811">
        <v>1722.3712404830167</v>
      </c>
      <c r="M185" s="1811">
        <v>1722.3712404830167</v>
      </c>
      <c r="N185" s="536"/>
    </row>
    <row r="186" spans="1:24" s="2" customFormat="1" ht="15" customHeight="1">
      <c r="A186" s="663"/>
      <c r="B186" s="667"/>
      <c r="D186" s="40"/>
      <c r="E186" s="360"/>
      <c r="F186" s="368"/>
      <c r="G186" s="368"/>
      <c r="H186" s="368"/>
      <c r="I186" s="368"/>
      <c r="J186" s="368"/>
      <c r="K186" s="368"/>
      <c r="L186" s="368"/>
      <c r="M186" s="368"/>
      <c r="N186" s="536"/>
      <c r="O186" s="3"/>
      <c r="P186" s="3"/>
      <c r="Q186" s="3"/>
      <c r="R186" s="3"/>
      <c r="S186" s="3"/>
      <c r="T186" s="3"/>
      <c r="U186" s="3"/>
      <c r="V186" s="3"/>
      <c r="W186" s="3"/>
      <c r="X186" s="3"/>
    </row>
    <row r="187" spans="1:24" s="2" customFormat="1" ht="15" customHeight="1">
      <c r="A187" s="663"/>
      <c r="B187" s="667"/>
      <c r="C187" s="3"/>
      <c r="D187" s="537"/>
      <c r="E187" s="537"/>
      <c r="F187" s="537"/>
      <c r="G187" s="537"/>
      <c r="H187" s="537"/>
      <c r="I187" s="537"/>
      <c r="J187" s="537"/>
      <c r="K187" s="537"/>
      <c r="L187" s="537"/>
      <c r="M187" s="537"/>
      <c r="N187" s="537"/>
      <c r="O187" s="3"/>
      <c r="P187" s="3"/>
      <c r="Q187" s="3"/>
      <c r="R187" s="3"/>
      <c r="S187" s="3"/>
      <c r="T187" s="3"/>
      <c r="U187" s="3"/>
      <c r="V187" s="3"/>
      <c r="W187" s="3"/>
      <c r="X187" s="3"/>
    </row>
    <row r="188" spans="1:24" ht="15" customHeight="1">
      <c r="D188" s="99" t="s">
        <v>52</v>
      </c>
      <c r="E188" s="49"/>
      <c r="F188" s="49"/>
      <c r="G188" s="49"/>
      <c r="H188" s="49"/>
      <c r="I188" s="49"/>
      <c r="J188" s="49"/>
      <c r="K188" s="49"/>
      <c r="L188" s="49"/>
      <c r="M188" s="49"/>
      <c r="N188" s="49"/>
    </row>
    <row r="189" spans="1:24" ht="15" customHeight="1">
      <c r="D189" s="50"/>
      <c r="E189" s="50"/>
      <c r="F189" s="50"/>
      <c r="G189" s="50"/>
      <c r="H189" s="50"/>
      <c r="I189" s="50"/>
      <c r="J189" s="50"/>
      <c r="K189" s="50"/>
      <c r="L189" s="50"/>
      <c r="M189" s="50"/>
      <c r="N189" s="50"/>
    </row>
    <row r="190" spans="1:24" ht="15" customHeight="1">
      <c r="D190" s="50"/>
      <c r="E190" s="48" t="s">
        <v>1896</v>
      </c>
      <c r="F190" s="48"/>
      <c r="G190" s="48"/>
      <c r="H190" s="48"/>
      <c r="I190" s="48"/>
      <c r="J190" s="48"/>
      <c r="K190" s="48"/>
      <c r="L190" s="48"/>
      <c r="M190" s="48"/>
      <c r="N190" s="50"/>
    </row>
    <row r="191" spans="1:24" ht="15" customHeight="1">
      <c r="D191" s="50"/>
      <c r="E191" s="538"/>
      <c r="F191" s="538"/>
      <c r="G191" s="538"/>
      <c r="H191" s="538"/>
      <c r="I191" s="538"/>
      <c r="J191" s="538"/>
      <c r="K191" s="538"/>
      <c r="L191" s="538"/>
      <c r="M191" s="538"/>
      <c r="N191" s="50"/>
    </row>
    <row r="192" spans="1:24" ht="15" customHeight="1">
      <c r="D192" s="50"/>
      <c r="E192" s="50"/>
      <c r="F192" s="50"/>
      <c r="G192" s="50"/>
      <c r="H192" s="50"/>
      <c r="I192" s="50"/>
      <c r="J192" s="50"/>
      <c r="K192" s="50"/>
      <c r="L192" s="50"/>
      <c r="M192" s="52" t="s">
        <v>9</v>
      </c>
      <c r="N192" s="52"/>
    </row>
    <row r="193" spans="3:14" ht="15" customHeight="1">
      <c r="D193" s="50"/>
      <c r="E193" s="1032" t="s">
        <v>699</v>
      </c>
      <c r="F193" s="459">
        <v>2018</v>
      </c>
      <c r="G193" s="459" t="s">
        <v>322</v>
      </c>
      <c r="H193" s="459" t="s">
        <v>323</v>
      </c>
      <c r="I193" s="459" t="s">
        <v>324</v>
      </c>
      <c r="J193" s="459" t="s">
        <v>325</v>
      </c>
      <c r="K193" s="459" t="s">
        <v>326</v>
      </c>
      <c r="L193" s="459" t="s">
        <v>327</v>
      </c>
      <c r="M193" s="459" t="s">
        <v>328</v>
      </c>
      <c r="N193" s="461"/>
    </row>
    <row r="194" spans="3:14" ht="15" customHeight="1">
      <c r="C194" s="2"/>
      <c r="D194" s="50"/>
      <c r="E194" s="101" t="s">
        <v>2054</v>
      </c>
      <c r="F194" s="124" cm="1">
        <f t="array" ref="F194:M194">_xlfn.ANCHORARRAY(F357)</f>
        <v>0</v>
      </c>
      <c r="G194" s="124">
        <v>0</v>
      </c>
      <c r="H194" s="124">
        <v>0</v>
      </c>
      <c r="I194" s="124">
        <v>0</v>
      </c>
      <c r="J194" s="124">
        <v>0</v>
      </c>
      <c r="K194" s="124">
        <v>0</v>
      </c>
      <c r="L194" s="124">
        <v>0</v>
      </c>
      <c r="M194" s="124">
        <v>0</v>
      </c>
      <c r="N194" s="124"/>
    </row>
    <row r="195" spans="3:14" ht="15" customHeight="1">
      <c r="C195" s="2"/>
      <c r="D195" s="50"/>
      <c r="E195" s="101" t="s">
        <v>2055</v>
      </c>
      <c r="F195" s="124" cm="1">
        <f t="array" ref="F195:M195">_xlfn.ANCHORARRAY(F358)</f>
        <v>0</v>
      </c>
      <c r="G195" s="124">
        <v>0</v>
      </c>
      <c r="H195" s="124">
        <v>0</v>
      </c>
      <c r="I195" s="124">
        <v>0</v>
      </c>
      <c r="J195" s="124">
        <v>0</v>
      </c>
      <c r="K195" s="124">
        <v>0</v>
      </c>
      <c r="L195" s="124">
        <v>0</v>
      </c>
      <c r="M195" s="124">
        <v>0</v>
      </c>
      <c r="N195" s="124"/>
    </row>
    <row r="196" spans="3:14" ht="15" customHeight="1">
      <c r="D196" s="50"/>
      <c r="E196" s="1146" t="s">
        <v>1717</v>
      </c>
      <c r="F196" s="570" cm="1">
        <f t="array" ref="F196">SUM(SALIDA_DEMANDA_RES_AGU_DOMESTICAS+SALIDA_DEMANDA_RES_AGU_INDUSTRIALES)</f>
        <v>0</v>
      </c>
      <c r="G196" s="570"/>
      <c r="H196" s="570"/>
      <c r="I196" s="570"/>
      <c r="J196" s="570"/>
      <c r="K196" s="570"/>
      <c r="L196" s="570"/>
      <c r="M196" s="570"/>
      <c r="N196" s="124"/>
    </row>
    <row r="197" spans="3:14" ht="15" customHeight="1">
      <c r="D197" s="50"/>
      <c r="E197" s="101" t="s">
        <v>2056</v>
      </c>
      <c r="F197" s="124" cm="1">
        <f t="array" ref="F197:M197">_xlfn.ANCHORARRAY(F348)</f>
        <v>0</v>
      </c>
      <c r="G197" s="124">
        <v>0</v>
      </c>
      <c r="H197" s="124">
        <v>0</v>
      </c>
      <c r="I197" s="124">
        <v>0</v>
      </c>
      <c r="J197" s="124">
        <v>0</v>
      </c>
      <c r="K197" s="124">
        <v>0</v>
      </c>
      <c r="L197" s="124">
        <v>0</v>
      </c>
      <c r="M197" s="124">
        <v>0</v>
      </c>
      <c r="N197" s="124"/>
    </row>
    <row r="198" spans="3:14" ht="15" customHeight="1">
      <c r="D198" s="50"/>
      <c r="E198" s="101" t="s">
        <v>2057</v>
      </c>
      <c r="F198" s="124" cm="1">
        <f t="array" ref="F198:M198">_xlfn.ANCHORARRAY(F352)</f>
        <v>0</v>
      </c>
      <c r="G198" s="124">
        <v>0</v>
      </c>
      <c r="H198" s="124">
        <v>0</v>
      </c>
      <c r="I198" s="124">
        <v>0</v>
      </c>
      <c r="J198" s="124">
        <v>0</v>
      </c>
      <c r="K198" s="124">
        <v>0</v>
      </c>
      <c r="L198" s="124">
        <v>0</v>
      </c>
      <c r="M198" s="124">
        <v>0</v>
      </c>
      <c r="N198" s="124"/>
    </row>
    <row r="199" spans="3:14" ht="15" customHeight="1">
      <c r="D199" s="50"/>
      <c r="E199" s="1146" t="s">
        <v>2058</v>
      </c>
      <c r="F199" s="570" cm="1">
        <f t="array" ref="F199:M199">SALIDA_GENERACION_RES_AGU_DOMESTICAS+SALIDA_GENERACION_RES_AGU_INDUSTRIALES</f>
        <v>0</v>
      </c>
      <c r="G199" s="570">
        <v>0</v>
      </c>
      <c r="H199" s="570">
        <v>0</v>
      </c>
      <c r="I199" s="570">
        <v>0</v>
      </c>
      <c r="J199" s="570">
        <v>0</v>
      </c>
      <c r="K199" s="570">
        <v>0</v>
      </c>
      <c r="L199" s="570">
        <v>0</v>
      </c>
      <c r="M199" s="570">
        <v>0</v>
      </c>
      <c r="N199" s="124"/>
    </row>
    <row r="200" spans="3:14" ht="15" customHeight="1">
      <c r="D200" s="50"/>
      <c r="E200" s="103"/>
      <c r="F200" s="464"/>
      <c r="G200" s="464"/>
      <c r="H200" s="464"/>
      <c r="I200" s="464"/>
      <c r="J200" s="464"/>
      <c r="K200" s="464"/>
      <c r="L200" s="464"/>
      <c r="M200" s="464"/>
      <c r="N200" s="464"/>
    </row>
    <row r="201" spans="3:14" ht="15" customHeight="1">
      <c r="D201" s="50"/>
      <c r="E201" s="103"/>
      <c r="F201" s="464"/>
      <c r="G201" s="464"/>
      <c r="H201" s="464"/>
      <c r="I201" s="464"/>
      <c r="J201" s="464"/>
      <c r="K201" s="464"/>
      <c r="L201" s="464"/>
      <c r="M201" s="52" t="s">
        <v>9</v>
      </c>
      <c r="N201" s="464"/>
    </row>
    <row r="202" spans="3:14" ht="15" customHeight="1">
      <c r="C202" s="2"/>
      <c r="D202" s="50"/>
      <c r="E202" s="1130" t="s">
        <v>2059</v>
      </c>
      <c r="F202" s="2065">
        <v>0</v>
      </c>
      <c r="G202" s="2065">
        <v>0</v>
      </c>
      <c r="H202" s="2065">
        <v>0</v>
      </c>
      <c r="I202" s="2065">
        <v>0</v>
      </c>
      <c r="J202" s="2065">
        <v>0</v>
      </c>
      <c r="K202" s="2065">
        <v>0</v>
      </c>
      <c r="L202" s="2065">
        <v>0</v>
      </c>
      <c r="M202" s="2065">
        <v>0</v>
      </c>
      <c r="N202" s="474"/>
    </row>
    <row r="203" spans="3:14" ht="15" customHeight="1">
      <c r="C203" s="2"/>
      <c r="D203" s="50"/>
      <c r="E203" s="1130" t="s">
        <v>2060</v>
      </c>
      <c r="F203" s="2065" cm="1">
        <f t="array" ref="F203:M203">IF(F202:M202&lt;0,F202:M202,0)</f>
        <v>0</v>
      </c>
      <c r="G203" s="2065">
        <v>0</v>
      </c>
      <c r="H203" s="2065">
        <v>0</v>
      </c>
      <c r="I203" s="2065">
        <v>0</v>
      </c>
      <c r="J203" s="2065">
        <v>0</v>
      </c>
      <c r="K203" s="2065">
        <v>0</v>
      </c>
      <c r="L203" s="2065">
        <v>0</v>
      </c>
      <c r="M203" s="2065">
        <v>0</v>
      </c>
      <c r="N203" s="474"/>
    </row>
    <row r="204" spans="3:14" ht="15" customHeight="1">
      <c r="D204" s="538"/>
      <c r="E204" s="538"/>
      <c r="F204" s="538"/>
      <c r="G204" s="538"/>
      <c r="H204" s="538"/>
      <c r="I204" s="538"/>
      <c r="J204" s="538"/>
      <c r="K204" s="538"/>
      <c r="L204" s="538"/>
      <c r="M204" s="538"/>
      <c r="N204" s="538"/>
    </row>
    <row r="205" spans="3:14" ht="15" customHeight="1">
      <c r="D205" s="517"/>
      <c r="E205" s="517"/>
      <c r="F205" s="517"/>
      <c r="G205" s="517"/>
      <c r="H205" s="517"/>
      <c r="I205" s="517"/>
      <c r="J205" s="517"/>
      <c r="K205" s="517"/>
      <c r="L205" s="517"/>
      <c r="M205" s="517"/>
      <c r="N205" s="517"/>
    </row>
    <row r="206" spans="3:14" ht="15" customHeight="1">
      <c r="D206" s="539" t="s">
        <v>1671</v>
      </c>
      <c r="E206" s="540"/>
      <c r="F206" s="540"/>
      <c r="G206" s="540"/>
      <c r="H206" s="540"/>
      <c r="I206" s="540"/>
      <c r="J206" s="540"/>
      <c r="K206" s="540"/>
      <c r="L206" s="540"/>
      <c r="M206" s="540"/>
      <c r="N206" s="540"/>
    </row>
    <row r="207" spans="3:14" ht="15" customHeight="1">
      <c r="D207" s="477"/>
      <c r="E207" s="477"/>
      <c r="F207" s="477"/>
      <c r="G207" s="477"/>
      <c r="H207" s="477"/>
      <c r="I207" s="477"/>
      <c r="J207" s="477"/>
      <c r="K207" s="477"/>
      <c r="L207" s="477"/>
      <c r="M207" s="477"/>
      <c r="N207" s="477"/>
    </row>
    <row r="208" spans="3:14" ht="15" customHeight="1">
      <c r="D208" s="477"/>
      <c r="E208" s="475" t="s">
        <v>2061</v>
      </c>
      <c r="F208" s="475"/>
      <c r="G208" s="475"/>
      <c r="H208" s="475"/>
      <c r="I208" s="475"/>
      <c r="J208" s="475"/>
      <c r="K208" s="475"/>
      <c r="L208" s="475"/>
      <c r="M208" s="475"/>
      <c r="N208" s="477"/>
    </row>
    <row r="209" spans="4:14" ht="15" customHeight="1">
      <c r="D209" s="477"/>
      <c r="E209" s="478"/>
      <c r="F209" s="477"/>
      <c r="G209" s="477"/>
      <c r="H209" s="477"/>
      <c r="I209" s="477"/>
      <c r="J209" s="477"/>
      <c r="K209" s="477"/>
      <c r="L209" s="477"/>
      <c r="M209" s="477"/>
      <c r="N209" s="477"/>
    </row>
    <row r="210" spans="4:14" ht="15" customHeight="1">
      <c r="D210" s="477"/>
      <c r="E210" s="541" t="s">
        <v>2062</v>
      </c>
      <c r="F210" s="477"/>
      <c r="G210" s="477"/>
      <c r="H210" s="477"/>
      <c r="I210" s="477"/>
      <c r="J210" s="477"/>
      <c r="K210" s="477"/>
      <c r="L210" s="479"/>
      <c r="M210" s="479" t="s">
        <v>2063</v>
      </c>
      <c r="N210" s="477"/>
    </row>
    <row r="211" spans="4:14" ht="15" customHeight="1">
      <c r="D211" s="477"/>
      <c r="E211" s="1033" t="s">
        <v>2064</v>
      </c>
      <c r="F211" s="480">
        <v>2018</v>
      </c>
      <c r="G211" s="480" t="s">
        <v>322</v>
      </c>
      <c r="H211" s="480" t="s">
        <v>323</v>
      </c>
      <c r="I211" s="480" t="s">
        <v>324</v>
      </c>
      <c r="J211" s="480" t="s">
        <v>325</v>
      </c>
      <c r="K211" s="480" t="s">
        <v>326</v>
      </c>
      <c r="L211" s="480" t="s">
        <v>327</v>
      </c>
      <c r="M211" s="480">
        <v>2050</v>
      </c>
      <c r="N211" s="477"/>
    </row>
    <row r="212" spans="4:14" ht="15" customHeight="1">
      <c r="D212" s="477"/>
      <c r="E212" s="542" t="s">
        <v>694</v>
      </c>
      <c r="F212" s="1171">
        <v>0</v>
      </c>
      <c r="G212" s="1171">
        <v>0</v>
      </c>
      <c r="H212" s="1171">
        <v>0</v>
      </c>
      <c r="I212" s="1171">
        <v>0</v>
      </c>
      <c r="J212" s="1171">
        <v>0</v>
      </c>
      <c r="K212" s="1171">
        <v>0</v>
      </c>
      <c r="L212" s="1171">
        <v>0</v>
      </c>
      <c r="M212" s="1171">
        <v>0</v>
      </c>
      <c r="N212" s="477"/>
    </row>
    <row r="213" spans="4:14" ht="15" customHeight="1">
      <c r="D213" s="477"/>
      <c r="E213" s="542" t="s">
        <v>695</v>
      </c>
      <c r="F213" s="1171" cm="1">
        <f t="array" ref="F213:M213">F304:M304</f>
        <v>1.6235878191651114E-2</v>
      </c>
      <c r="G213" s="1171">
        <v>1.6235878191651114E-2</v>
      </c>
      <c r="H213" s="1171">
        <v>1.6235878191651114E-2</v>
      </c>
      <c r="I213" s="1171">
        <v>1.6235878191651114E-2</v>
      </c>
      <c r="J213" s="1171">
        <v>1.6235878191651114E-2</v>
      </c>
      <c r="K213" s="1171">
        <v>1.6235878191651114E-2</v>
      </c>
      <c r="L213" s="1171">
        <v>1.6235878191651114E-2</v>
      </c>
      <c r="M213" s="1171">
        <v>1.6235878191651114E-2</v>
      </c>
      <c r="N213" s="477"/>
    </row>
    <row r="214" spans="4:14" ht="15" customHeight="1">
      <c r="D214" s="477"/>
      <c r="E214" s="542" t="s">
        <v>2065</v>
      </c>
      <c r="F214" s="1171">
        <v>0</v>
      </c>
      <c r="G214" s="1171">
        <v>0</v>
      </c>
      <c r="H214" s="1171">
        <v>0</v>
      </c>
      <c r="I214" s="1171">
        <v>0</v>
      </c>
      <c r="J214" s="1171">
        <v>0</v>
      </c>
      <c r="K214" s="1171">
        <v>0</v>
      </c>
      <c r="L214" s="1171">
        <v>0</v>
      </c>
      <c r="M214" s="1171">
        <v>0</v>
      </c>
      <c r="N214" s="477"/>
    </row>
    <row r="215" spans="4:14" ht="15" customHeight="1">
      <c r="D215" s="477"/>
      <c r="E215" s="1129" t="s">
        <v>2066</v>
      </c>
      <c r="F215" s="1530" cm="1">
        <f t="array" ref="F215:M215">(F212:M212*PCG_CO2)+(_xlfn.ANCHORARRAY(F213)*PCG_CH4)+(F214:M214*PCG_N2O)</f>
        <v>0.45460458936623116</v>
      </c>
      <c r="G215" s="1530">
        <v>0.45460458936623116</v>
      </c>
      <c r="H215" s="1530">
        <v>0.45460458936623116</v>
      </c>
      <c r="I215" s="1530">
        <v>0.45460458936623116</v>
      </c>
      <c r="J215" s="1530">
        <v>0.45460458936623116</v>
      </c>
      <c r="K215" s="1530">
        <v>0.45460458936623116</v>
      </c>
      <c r="L215" s="1530">
        <v>0.45460458936623116</v>
      </c>
      <c r="M215" s="1530">
        <v>0.45460458936623116</v>
      </c>
      <c r="N215" s="477"/>
    </row>
    <row r="216" spans="4:14" ht="15" customHeight="1">
      <c r="D216" s="477"/>
      <c r="E216" s="541"/>
      <c r="F216" s="482"/>
      <c r="G216" s="482"/>
      <c r="H216" s="482"/>
      <c r="I216" s="482"/>
      <c r="J216" s="482"/>
      <c r="K216" s="482"/>
      <c r="L216" s="482"/>
      <c r="M216" s="543"/>
      <c r="N216" s="477"/>
    </row>
    <row r="217" spans="4:14" ht="15" customHeight="1">
      <c r="D217" s="477"/>
      <c r="E217" s="541" t="s">
        <v>580</v>
      </c>
      <c r="F217" s="482"/>
      <c r="G217" s="482"/>
      <c r="H217" s="482"/>
      <c r="I217" s="482"/>
      <c r="J217" s="482"/>
      <c r="K217" s="482"/>
      <c r="L217" s="482"/>
      <c r="M217" s="479" t="s">
        <v>2063</v>
      </c>
      <c r="N217" s="477"/>
    </row>
    <row r="218" spans="4:14" ht="15" customHeight="1">
      <c r="D218" s="477"/>
      <c r="E218" s="480" t="s">
        <v>2067</v>
      </c>
      <c r="F218" s="480">
        <v>2018</v>
      </c>
      <c r="G218" s="480" t="s">
        <v>322</v>
      </c>
      <c r="H218" s="480" t="s">
        <v>323</v>
      </c>
      <c r="I218" s="480" t="s">
        <v>324</v>
      </c>
      <c r="J218" s="480" t="s">
        <v>325</v>
      </c>
      <c r="K218" s="480" t="s">
        <v>326</v>
      </c>
      <c r="L218" s="480" t="s">
        <v>327</v>
      </c>
      <c r="M218" s="480">
        <v>2050</v>
      </c>
      <c r="N218" s="477"/>
    </row>
    <row r="219" spans="4:14" ht="15" customHeight="1">
      <c r="D219" s="477"/>
      <c r="E219" s="542" t="s">
        <v>694</v>
      </c>
      <c r="F219" s="1126">
        <v>0</v>
      </c>
      <c r="G219" s="1126">
        <v>0</v>
      </c>
      <c r="H219" s="1126">
        <v>0</v>
      </c>
      <c r="I219" s="1126">
        <v>0</v>
      </c>
      <c r="J219" s="1126">
        <v>0</v>
      </c>
      <c r="K219" s="1126">
        <v>0</v>
      </c>
      <c r="L219" s="1126">
        <v>0</v>
      </c>
      <c r="M219" s="1126">
        <v>0</v>
      </c>
      <c r="N219" s="477"/>
    </row>
    <row r="220" spans="4:14" ht="15" customHeight="1">
      <c r="D220" s="477"/>
      <c r="E220" s="542" t="s">
        <v>695</v>
      </c>
      <c r="F220" s="1126" cm="1">
        <f t="array" ref="F220:M220">F343:M343*UNIDAD_T_A_MT</f>
        <v>1.901064166199955E-10</v>
      </c>
      <c r="G220" s="1126">
        <v>1.901064166199955E-10</v>
      </c>
      <c r="H220" s="1126">
        <v>1.901064166199955E-10</v>
      </c>
      <c r="I220" s="1126">
        <v>1.901064166199955E-10</v>
      </c>
      <c r="J220" s="1126">
        <v>1.901064166199955E-10</v>
      </c>
      <c r="K220" s="1126">
        <v>1.901064166199955E-10</v>
      </c>
      <c r="L220" s="1126">
        <v>1.901064166199955E-10</v>
      </c>
      <c r="M220" s="1126">
        <v>1.901064166199955E-10</v>
      </c>
      <c r="N220" s="477"/>
    </row>
    <row r="221" spans="4:14" ht="15" customHeight="1">
      <c r="D221" s="477"/>
      <c r="E221" s="542" t="s">
        <v>2065</v>
      </c>
      <c r="F221" s="1126">
        <v>0</v>
      </c>
      <c r="G221" s="1126">
        <v>0</v>
      </c>
      <c r="H221" s="1126">
        <v>0</v>
      </c>
      <c r="I221" s="1126">
        <v>0</v>
      </c>
      <c r="J221" s="1126">
        <v>0</v>
      </c>
      <c r="K221" s="1126">
        <v>0</v>
      </c>
      <c r="L221" s="1126">
        <v>0</v>
      </c>
      <c r="M221" s="1126">
        <v>0</v>
      </c>
      <c r="N221" s="477"/>
    </row>
    <row r="222" spans="4:14" ht="15" customHeight="1">
      <c r="D222" s="477"/>
      <c r="E222" s="1129" t="s">
        <v>2068</v>
      </c>
      <c r="F222" s="1127" cm="1">
        <f t="array" ref="F222:M222">(F219:M219*PCG_CO2)+(_xlfn.ANCHORARRAY(F220)*PCG_CH4)+(F221:M221*PCG_N2O)</f>
        <v>5.3229796653598738E-9</v>
      </c>
      <c r="G222" s="1127">
        <v>5.3229796653598738E-9</v>
      </c>
      <c r="H222" s="1127">
        <v>5.3229796653598738E-9</v>
      </c>
      <c r="I222" s="1127">
        <v>5.3229796653598738E-9</v>
      </c>
      <c r="J222" s="1127">
        <v>5.3229796653598738E-9</v>
      </c>
      <c r="K222" s="1127">
        <v>5.3229796653598738E-9</v>
      </c>
      <c r="L222" s="1127">
        <v>5.3229796653598738E-9</v>
      </c>
      <c r="M222" s="1127">
        <v>5.3229796653598738E-9</v>
      </c>
      <c r="N222" s="477"/>
    </row>
    <row r="223" spans="4:14" ht="15" customHeight="1">
      <c r="D223" s="477"/>
      <c r="E223" s="479"/>
      <c r="F223" s="1131"/>
      <c r="G223" s="1131"/>
      <c r="H223" s="1131"/>
      <c r="I223" s="1131"/>
      <c r="J223" s="1131"/>
      <c r="K223" s="1131"/>
      <c r="L223" s="1131"/>
      <c r="M223" s="1131"/>
      <c r="N223" s="477"/>
    </row>
    <row r="224" spans="4:14" ht="15" customHeight="1">
      <c r="D224" s="477"/>
      <c r="E224" s="479"/>
      <c r="F224" s="1131"/>
      <c r="G224" s="1131"/>
      <c r="H224" s="1131"/>
      <c r="I224" s="1131"/>
      <c r="J224" s="1131"/>
      <c r="K224" s="1131"/>
      <c r="L224" s="1131"/>
      <c r="M224" s="479" t="s">
        <v>35</v>
      </c>
      <c r="N224" s="477"/>
    </row>
    <row r="225" spans="4:14" ht="15" customHeight="1">
      <c r="D225" s="477"/>
      <c r="E225" s="1129" t="s">
        <v>2069</v>
      </c>
      <c r="F225" s="1127">
        <f>F215+F222</f>
        <v>0.45460459468921083</v>
      </c>
      <c r="G225" s="1127">
        <f t="shared" ref="G225:M225" si="0">G215+G222</f>
        <v>0.45460459468921083</v>
      </c>
      <c r="H225" s="1127">
        <f t="shared" si="0"/>
        <v>0.45460459468921083</v>
      </c>
      <c r="I225" s="1127">
        <f t="shared" si="0"/>
        <v>0.45460459468921083</v>
      </c>
      <c r="J225" s="1127">
        <f t="shared" si="0"/>
        <v>0.45460459468921083</v>
      </c>
      <c r="K225" s="1127">
        <f t="shared" si="0"/>
        <v>0.45460459468921083</v>
      </c>
      <c r="L225" s="1127">
        <f t="shared" si="0"/>
        <v>0.45460459468921083</v>
      </c>
      <c r="M225" s="1127">
        <f t="shared" si="0"/>
        <v>0.45460459468921083</v>
      </c>
      <c r="N225" s="477"/>
    </row>
    <row r="226" spans="4:14" ht="15" customHeight="1">
      <c r="D226" s="477"/>
      <c r="E226" s="479"/>
      <c r="F226" s="1131"/>
      <c r="G226" s="1131"/>
      <c r="H226" s="1131"/>
      <c r="I226" s="1131"/>
      <c r="J226" s="1131"/>
      <c r="K226" s="1131"/>
      <c r="L226" s="1131"/>
      <c r="M226" s="1131"/>
      <c r="N226" s="477"/>
    </row>
    <row r="227" spans="4:14" ht="15" customHeight="1">
      <c r="D227" s="477"/>
      <c r="E227" s="541"/>
      <c r="F227" s="482"/>
      <c r="G227" s="482"/>
      <c r="H227" s="482"/>
      <c r="I227" s="482"/>
      <c r="J227" s="482"/>
      <c r="K227" s="482"/>
      <c r="L227" s="482"/>
      <c r="M227" s="543"/>
      <c r="N227" s="477"/>
    </row>
    <row r="228" spans="4:14" ht="15" customHeight="1">
      <c r="D228" s="477"/>
      <c r="E228" s="475" t="s">
        <v>2070</v>
      </c>
      <c r="F228" s="475"/>
      <c r="G228" s="475"/>
      <c r="H228" s="475"/>
      <c r="I228" s="475"/>
      <c r="J228" s="475"/>
      <c r="K228" s="475"/>
      <c r="L228" s="475"/>
      <c r="M228" s="475"/>
      <c r="N228" s="477"/>
    </row>
    <row r="229" spans="4:14" ht="15" customHeight="1">
      <c r="D229" s="477"/>
      <c r="E229" s="478"/>
      <c r="F229" s="477"/>
      <c r="G229" s="477"/>
      <c r="H229" s="477"/>
      <c r="I229" s="477"/>
      <c r="J229" s="477"/>
      <c r="K229" s="477"/>
      <c r="L229" s="477"/>
      <c r="M229" s="477"/>
      <c r="N229" s="477"/>
    </row>
    <row r="230" spans="4:14" ht="15" customHeight="1">
      <c r="D230" s="477"/>
      <c r="E230" s="541" t="s">
        <v>2062</v>
      </c>
      <c r="F230" s="477"/>
      <c r="G230" s="477"/>
      <c r="H230" s="477"/>
      <c r="I230" s="477"/>
      <c r="J230" s="477"/>
      <c r="K230" s="477"/>
      <c r="L230" s="479"/>
      <c r="M230" s="479" t="s">
        <v>2063</v>
      </c>
      <c r="N230" s="477"/>
    </row>
    <row r="231" spans="4:14" ht="15" customHeight="1">
      <c r="D231" s="477"/>
      <c r="E231" s="1033" t="s">
        <v>2064</v>
      </c>
      <c r="F231" s="480">
        <v>2018</v>
      </c>
      <c r="G231" s="480" t="s">
        <v>322</v>
      </c>
      <c r="H231" s="480" t="s">
        <v>323</v>
      </c>
      <c r="I231" s="480" t="s">
        <v>324</v>
      </c>
      <c r="J231" s="480" t="s">
        <v>325</v>
      </c>
      <c r="K231" s="480" t="s">
        <v>326</v>
      </c>
      <c r="L231" s="480" t="s">
        <v>327</v>
      </c>
      <c r="M231" s="480">
        <v>2050</v>
      </c>
      <c r="N231" s="477"/>
    </row>
    <row r="232" spans="4:14" ht="15" customHeight="1">
      <c r="D232" s="477"/>
      <c r="E232" s="542" t="s">
        <v>694</v>
      </c>
      <c r="F232" s="1171">
        <v>0</v>
      </c>
      <c r="G232" s="1171">
        <v>0</v>
      </c>
      <c r="H232" s="1171">
        <v>0</v>
      </c>
      <c r="I232" s="1171">
        <v>0</v>
      </c>
      <c r="J232" s="1171">
        <v>0</v>
      </c>
      <c r="K232" s="1171">
        <v>0</v>
      </c>
      <c r="L232" s="1171">
        <v>0</v>
      </c>
      <c r="M232" s="1171">
        <v>0</v>
      </c>
      <c r="N232" s="477"/>
    </row>
    <row r="233" spans="4:14" ht="15" customHeight="1">
      <c r="D233" s="477"/>
      <c r="E233" s="542" t="s">
        <v>695</v>
      </c>
      <c r="F233" s="1171" cm="1">
        <f t="array" ref="F233:M233">F296:M296</f>
        <v>1.6235878191651114E-2</v>
      </c>
      <c r="G233" s="1171">
        <v>1.6235878191651114E-2</v>
      </c>
      <c r="H233" s="1171">
        <v>1.6235878191651114E-2</v>
      </c>
      <c r="I233" s="1171">
        <v>1.6235878191651114E-2</v>
      </c>
      <c r="J233" s="1171">
        <v>1.6235878191651114E-2</v>
      </c>
      <c r="K233" s="1171">
        <v>1.6235878191651114E-2</v>
      </c>
      <c r="L233" s="1171">
        <v>1.6235878191651114E-2</v>
      </c>
      <c r="M233" s="1171">
        <v>1.6235878191651114E-2</v>
      </c>
      <c r="N233" s="477"/>
    </row>
    <row r="234" spans="4:14" ht="15" customHeight="1">
      <c r="D234" s="477"/>
      <c r="E234" s="542" t="s">
        <v>2065</v>
      </c>
      <c r="F234" s="1171" cm="1">
        <f t="array" ref="F234:M234">F295:M295</f>
        <v>1.4759889265137365E-3</v>
      </c>
      <c r="G234" s="1171">
        <v>1.4759889265137365E-3</v>
      </c>
      <c r="H234" s="1171">
        <v>1.4759889265137365E-3</v>
      </c>
      <c r="I234" s="1171">
        <v>1.4759889265137365E-3</v>
      </c>
      <c r="J234" s="1171">
        <v>1.4759889265137365E-3</v>
      </c>
      <c r="K234" s="1171">
        <v>1.4759889265137365E-3</v>
      </c>
      <c r="L234" s="1171">
        <v>1.4759889265137365E-3</v>
      </c>
      <c r="M234" s="1171">
        <v>1.4759889265137365E-3</v>
      </c>
      <c r="N234" s="477"/>
    </row>
    <row r="235" spans="4:14" ht="15" customHeight="1">
      <c r="D235" s="477"/>
      <c r="E235" s="1129" t="s">
        <v>1990</v>
      </c>
      <c r="F235" s="1127" cm="1">
        <f t="array" ref="F235:M235">(F232:M232*PCG_CO2)+(_xlfn.ANCHORARRAY(F233)*PCG_CH4)+(_xlfn.ANCHORARRAY(F234)*PCG_N2O)</f>
        <v>0.8457416548923713</v>
      </c>
      <c r="G235" s="1127">
        <v>0.8457416548923713</v>
      </c>
      <c r="H235" s="1127">
        <v>0.8457416548923713</v>
      </c>
      <c r="I235" s="1127">
        <v>0.8457416548923713</v>
      </c>
      <c r="J235" s="1127">
        <v>0.8457416548923713</v>
      </c>
      <c r="K235" s="1127">
        <v>0.8457416548923713</v>
      </c>
      <c r="L235" s="1127">
        <v>0.8457416548923713</v>
      </c>
      <c r="M235" s="1127">
        <v>0.8457416548923713</v>
      </c>
      <c r="N235" s="477"/>
    </row>
    <row r="236" spans="4:14" ht="15" customHeight="1">
      <c r="D236" s="477"/>
      <c r="E236" s="541"/>
      <c r="F236" s="482"/>
      <c r="G236" s="482"/>
      <c r="H236" s="482"/>
      <c r="I236" s="482"/>
      <c r="J236" s="482"/>
      <c r="K236" s="482"/>
      <c r="L236" s="482"/>
      <c r="M236" s="543"/>
      <c r="N236" s="477"/>
    </row>
    <row r="237" spans="4:14" ht="15" customHeight="1">
      <c r="D237" s="477"/>
      <c r="E237" s="541" t="s">
        <v>580</v>
      </c>
      <c r="F237" s="482"/>
      <c r="G237" s="482"/>
      <c r="H237" s="482"/>
      <c r="I237" s="482"/>
      <c r="J237" s="482"/>
      <c r="K237" s="482"/>
      <c r="L237" s="482"/>
      <c r="M237" s="479" t="s">
        <v>2063</v>
      </c>
      <c r="N237" s="477"/>
    </row>
    <row r="238" spans="4:14" ht="15" customHeight="1">
      <c r="D238" s="477"/>
      <c r="E238" s="480" t="s">
        <v>2067</v>
      </c>
      <c r="F238" s="480">
        <v>2018</v>
      </c>
      <c r="G238" s="480" t="s">
        <v>322</v>
      </c>
      <c r="H238" s="480" t="s">
        <v>323</v>
      </c>
      <c r="I238" s="480" t="s">
        <v>324</v>
      </c>
      <c r="J238" s="480" t="s">
        <v>325</v>
      </c>
      <c r="K238" s="480" t="s">
        <v>326</v>
      </c>
      <c r="L238" s="480" t="s">
        <v>327</v>
      </c>
      <c r="M238" s="480">
        <v>2050</v>
      </c>
      <c r="N238" s="477"/>
    </row>
    <row r="239" spans="4:14" ht="15" customHeight="1">
      <c r="D239" s="477"/>
      <c r="E239" s="542" t="s">
        <v>694</v>
      </c>
      <c r="F239" s="1171">
        <v>0</v>
      </c>
      <c r="G239" s="1171">
        <v>0</v>
      </c>
      <c r="H239" s="1171">
        <v>0</v>
      </c>
      <c r="I239" s="1171">
        <v>0</v>
      </c>
      <c r="J239" s="1171">
        <v>0</v>
      </c>
      <c r="K239" s="1171">
        <v>0</v>
      </c>
      <c r="L239" s="1171">
        <v>0</v>
      </c>
      <c r="M239" s="1171">
        <v>0</v>
      </c>
      <c r="N239" s="477"/>
    </row>
    <row r="240" spans="4:14" ht="15" customHeight="1">
      <c r="D240" s="477"/>
      <c r="E240" s="542" t="s">
        <v>695</v>
      </c>
      <c r="F240" s="1171" cm="1">
        <f t="array" ref="F240:M240">F335:M335</f>
        <v>1.901064166199955E-4</v>
      </c>
      <c r="G240" s="1171">
        <v>1.901064166199955E-4</v>
      </c>
      <c r="H240" s="1171">
        <v>1.901064166199955E-4</v>
      </c>
      <c r="I240" s="1171">
        <v>1.901064166199955E-4</v>
      </c>
      <c r="J240" s="1171">
        <v>1.901064166199955E-4</v>
      </c>
      <c r="K240" s="1171">
        <v>1.901064166199955E-4</v>
      </c>
      <c r="L240" s="1171">
        <v>1.901064166199955E-4</v>
      </c>
      <c r="M240" s="1171">
        <v>1.901064166199955E-4</v>
      </c>
      <c r="N240" s="477"/>
    </row>
    <row r="241" spans="4:14" ht="15" customHeight="1">
      <c r="D241" s="477"/>
      <c r="E241" s="542" t="s">
        <v>2065</v>
      </c>
      <c r="F241" s="1171">
        <v>0</v>
      </c>
      <c r="G241" s="1171">
        <v>0</v>
      </c>
      <c r="H241" s="1171">
        <v>0</v>
      </c>
      <c r="I241" s="1171">
        <v>0</v>
      </c>
      <c r="J241" s="1171">
        <v>0</v>
      </c>
      <c r="K241" s="1171">
        <v>0</v>
      </c>
      <c r="L241" s="1171">
        <v>0</v>
      </c>
      <c r="M241" s="1171">
        <v>0</v>
      </c>
      <c r="N241" s="477"/>
    </row>
    <row r="242" spans="4:14" ht="15" customHeight="1">
      <c r="D242" s="477"/>
      <c r="E242" s="1129" t="s">
        <v>1990</v>
      </c>
      <c r="F242" s="1530" cm="1">
        <f t="array" ref="F242:M242">(F239:M239*PCG_CO2)+(_xlfn.ANCHORARRAY(F240)*PCG_CH4)+(F241:M241*PCG_N2O)</f>
        <v>5.3229796653598742E-3</v>
      </c>
      <c r="G242" s="1530">
        <v>5.3229796653598742E-3</v>
      </c>
      <c r="H242" s="1530">
        <v>5.3229796653598742E-3</v>
      </c>
      <c r="I242" s="1530">
        <v>5.3229796653598742E-3</v>
      </c>
      <c r="J242" s="1530">
        <v>5.3229796653598742E-3</v>
      </c>
      <c r="K242" s="1530">
        <v>5.3229796653598742E-3</v>
      </c>
      <c r="L242" s="1530">
        <v>5.3229796653598742E-3</v>
      </c>
      <c r="M242" s="1530">
        <v>5.3229796653598742E-3</v>
      </c>
      <c r="N242" s="477"/>
    </row>
    <row r="243" spans="4:14" ht="15" customHeight="1">
      <c r="D243" s="477"/>
      <c r="E243" s="479"/>
      <c r="F243" s="1131"/>
      <c r="G243" s="1131"/>
      <c r="H243" s="1131"/>
      <c r="I243" s="1131"/>
      <c r="J243" s="1131"/>
      <c r="K243" s="1131"/>
      <c r="L243" s="1131"/>
      <c r="M243" s="1131"/>
      <c r="N243" s="477"/>
    </row>
    <row r="244" spans="4:14" ht="15" customHeight="1">
      <c r="D244" s="477"/>
      <c r="E244" s="479"/>
      <c r="F244" s="1131"/>
      <c r="G244" s="1131"/>
      <c r="H244" s="1131"/>
      <c r="I244" s="1131"/>
      <c r="J244" s="1131"/>
      <c r="K244" s="1131"/>
      <c r="L244" s="1131"/>
      <c r="M244" s="479" t="s">
        <v>35</v>
      </c>
      <c r="N244" s="477"/>
    </row>
    <row r="245" spans="4:14" ht="15" customHeight="1">
      <c r="D245" s="477"/>
      <c r="E245" s="1129" t="s">
        <v>2071</v>
      </c>
      <c r="F245" s="1127">
        <f>F235+F242</f>
        <v>0.85106463455773118</v>
      </c>
      <c r="G245" s="1127">
        <f t="shared" ref="G245:M245" si="1">G235+G242</f>
        <v>0.85106463455773118</v>
      </c>
      <c r="H245" s="1127">
        <f t="shared" si="1"/>
        <v>0.85106463455773118</v>
      </c>
      <c r="I245" s="1127">
        <f t="shared" si="1"/>
        <v>0.85106463455773118</v>
      </c>
      <c r="J245" s="1127">
        <f t="shared" si="1"/>
        <v>0.85106463455773118</v>
      </c>
      <c r="K245" s="1127">
        <f t="shared" si="1"/>
        <v>0.85106463455773118</v>
      </c>
      <c r="L245" s="1127">
        <f t="shared" si="1"/>
        <v>0.85106463455773118</v>
      </c>
      <c r="M245" s="1127">
        <f t="shared" si="1"/>
        <v>0.85106463455773118</v>
      </c>
      <c r="N245" s="477"/>
    </row>
    <row r="246" spans="4:14" ht="15" customHeight="1">
      <c r="D246" s="477"/>
      <c r="E246" s="477"/>
      <c r="F246" s="477"/>
      <c r="G246" s="477"/>
      <c r="H246" s="477"/>
      <c r="I246" s="477"/>
      <c r="J246" s="477"/>
      <c r="K246" s="477"/>
      <c r="L246" s="477"/>
      <c r="M246" s="477"/>
      <c r="N246" s="477"/>
    </row>
    <row r="247" spans="4:14" ht="15" customHeight="1">
      <c r="D247" s="517"/>
      <c r="E247" s="517"/>
      <c r="F247" s="517"/>
      <c r="G247" s="517"/>
      <c r="H247" s="517"/>
      <c r="I247" s="517"/>
      <c r="J247" s="517"/>
      <c r="K247" s="517"/>
      <c r="L247" s="517"/>
      <c r="M247" s="517"/>
      <c r="N247" s="517"/>
    </row>
    <row r="248" spans="4:14" ht="15" customHeight="1">
      <c r="D248" s="544" t="s">
        <v>797</v>
      </c>
      <c r="E248" s="490"/>
      <c r="F248" s="490"/>
      <c r="G248" s="490"/>
      <c r="H248" s="490"/>
      <c r="I248" s="490"/>
      <c r="J248" s="490"/>
      <c r="K248" s="490"/>
      <c r="L248" s="490"/>
      <c r="M248" s="490"/>
      <c r="N248" s="490"/>
    </row>
    <row r="249" spans="4:14" ht="15" customHeight="1">
      <c r="D249" s="491"/>
      <c r="E249" s="491"/>
      <c r="F249" s="491"/>
      <c r="G249" s="491"/>
      <c r="H249" s="491"/>
      <c r="I249" s="491"/>
      <c r="J249" s="491"/>
      <c r="K249" s="491"/>
      <c r="L249" s="491"/>
      <c r="M249" s="491"/>
      <c r="N249" s="491"/>
    </row>
    <row r="250" spans="4:14" ht="15" customHeight="1">
      <c r="D250" s="491"/>
      <c r="E250" s="492" t="s">
        <v>1687</v>
      </c>
      <c r="F250" s="491"/>
      <c r="G250" s="491"/>
      <c r="H250" s="491"/>
      <c r="I250" s="491"/>
      <c r="J250" s="491"/>
      <c r="K250" s="491"/>
      <c r="L250" s="491"/>
      <c r="M250" s="491"/>
      <c r="N250" s="491"/>
    </row>
    <row r="251" spans="4:14" ht="15" customHeight="1">
      <c r="D251" s="491"/>
      <c r="E251" s="491"/>
      <c r="F251" s="491"/>
      <c r="G251" s="491"/>
      <c r="H251" s="491"/>
      <c r="I251" s="491"/>
      <c r="J251" s="491"/>
      <c r="K251" s="491"/>
      <c r="L251" s="491"/>
      <c r="M251" s="492" t="s">
        <v>803</v>
      </c>
      <c r="N251" s="492"/>
    </row>
    <row r="252" spans="4:14" ht="15" customHeight="1">
      <c r="D252" s="491"/>
      <c r="E252" s="1812" t="s">
        <v>699</v>
      </c>
      <c r="F252" s="545">
        <v>2018</v>
      </c>
      <c r="G252" s="545" t="s">
        <v>322</v>
      </c>
      <c r="H252" s="545" t="s">
        <v>323</v>
      </c>
      <c r="I252" s="545" t="s">
        <v>324</v>
      </c>
      <c r="J252" s="545" t="s">
        <v>325</v>
      </c>
      <c r="K252" s="545" t="s">
        <v>326</v>
      </c>
      <c r="L252" s="545" t="s">
        <v>327</v>
      </c>
      <c r="M252" s="545" t="s">
        <v>328</v>
      </c>
      <c r="N252" s="495"/>
    </row>
    <row r="253" spans="4:14" ht="15" customHeight="1">
      <c r="D253" s="491"/>
      <c r="E253" s="1813" t="s">
        <v>1994</v>
      </c>
      <c r="F253" s="1817" cm="1">
        <f t="array" ref="F253:M253">_xlfn.ANCHORARRAY(F150)+_xlfn.ANCHORARRAY(F151)</f>
        <v>10.211200925720741</v>
      </c>
      <c r="G253" s="1817">
        <v>10.211200925720741</v>
      </c>
      <c r="H253" s="1817">
        <v>10.211200925720741</v>
      </c>
      <c r="I253" s="1817">
        <v>10.211200925720741</v>
      </c>
      <c r="J253" s="1817">
        <v>10.211200925720741</v>
      </c>
      <c r="K253" s="1817">
        <v>10.211200925720741</v>
      </c>
      <c r="L253" s="1817">
        <v>10.211200925720741</v>
      </c>
      <c r="M253" s="1817">
        <v>10.211200925720741</v>
      </c>
      <c r="N253" s="496"/>
    </row>
    <row r="254" spans="4:14" ht="15" customHeight="1">
      <c r="D254" s="491"/>
      <c r="E254" s="1814" t="s">
        <v>1995</v>
      </c>
      <c r="F254" s="1820" cm="1">
        <f t="array" ref="F254:M254">_xlfn.ANCHORARRAY(F165)+_xlfn.ANCHORARRAY(F164)</f>
        <v>8.1689607405765923</v>
      </c>
      <c r="G254" s="1820">
        <v>8.1689607405765923</v>
      </c>
      <c r="H254" s="1820">
        <v>8.1689607405765923</v>
      </c>
      <c r="I254" s="1820">
        <v>8.1689607405765923</v>
      </c>
      <c r="J254" s="1820">
        <v>8.1689607405765923</v>
      </c>
      <c r="K254" s="1820">
        <v>8.1689607405765923</v>
      </c>
      <c r="L254" s="1820">
        <v>8.1689607405765923</v>
      </c>
      <c r="M254" s="1820">
        <v>8.1689607405765923</v>
      </c>
      <c r="N254" s="496"/>
    </row>
    <row r="255" spans="4:14" ht="15" customHeight="1">
      <c r="D255" s="491"/>
      <c r="E255" s="1815" t="s">
        <v>1996</v>
      </c>
      <c r="F255" s="1819" cm="1">
        <f t="array" ref="F255:M255">_xlfn.ANCHORARRAY(F178)+_xlfn.ANCHORARRAY(F179)</f>
        <v>7.147840648004518</v>
      </c>
      <c r="G255" s="1819">
        <v>7.147840648004518</v>
      </c>
      <c r="H255" s="1819">
        <v>7.147840648004518</v>
      </c>
      <c r="I255" s="1819">
        <v>7.147840648004518</v>
      </c>
      <c r="J255" s="1819">
        <v>7.147840648004518</v>
      </c>
      <c r="K255" s="1819">
        <v>7.147840648004518</v>
      </c>
      <c r="L255" s="1819">
        <v>7.147840648004518</v>
      </c>
      <c r="M255" s="1819">
        <v>7.147840648004518</v>
      </c>
      <c r="N255" s="496"/>
    </row>
    <row r="256" spans="4:14" ht="15" customHeight="1">
      <c r="D256" s="491"/>
      <c r="E256" s="1814" t="s">
        <v>1997</v>
      </c>
      <c r="F256" s="1818" cm="1">
        <f t="array" ref="F256:M256">_xlfn.ANCHORARRAY(F156)+_xlfn.ANCHORARRAY(F157)</f>
        <v>2464.2211390624875</v>
      </c>
      <c r="G256" s="1818">
        <v>2464.2211390624875</v>
      </c>
      <c r="H256" s="1818">
        <v>2464.2211390624875</v>
      </c>
      <c r="I256" s="1818">
        <v>2464.2211390624875</v>
      </c>
      <c r="J256" s="1818">
        <v>2464.2211390624875</v>
      </c>
      <c r="K256" s="1818">
        <v>2464.2211390624875</v>
      </c>
      <c r="L256" s="1818">
        <v>2464.2211390624875</v>
      </c>
      <c r="M256" s="1818">
        <v>2464.2211390624875</v>
      </c>
      <c r="N256" s="496"/>
    </row>
    <row r="257" spans="4:14" ht="15" customHeight="1">
      <c r="D257" s="491"/>
      <c r="E257" s="1814" t="s">
        <v>1998</v>
      </c>
      <c r="F257" s="1818" cm="1">
        <f t="array" ref="F257:M257">_xlfn.ANCHORARRAY(F170)+_xlfn.ANCHORARRAY(F171)</f>
        <v>1971.3769112499904</v>
      </c>
      <c r="G257" s="1818">
        <v>1971.3769112499904</v>
      </c>
      <c r="H257" s="1818">
        <v>1971.3769112499904</v>
      </c>
      <c r="I257" s="1818">
        <v>1971.3769112499904</v>
      </c>
      <c r="J257" s="1818">
        <v>1971.3769112499904</v>
      </c>
      <c r="K257" s="1818">
        <v>1971.3769112499904</v>
      </c>
      <c r="L257" s="1818">
        <v>1971.3769112499904</v>
      </c>
      <c r="M257" s="1818">
        <v>1971.3769112499904</v>
      </c>
      <c r="N257" s="496"/>
    </row>
    <row r="258" spans="4:14" ht="15" customHeight="1">
      <c r="D258" s="491"/>
      <c r="E258" s="1815" t="s">
        <v>1999</v>
      </c>
      <c r="F258" s="1819" cm="1">
        <f t="array" ref="F258:M258">_xlfn.ANCHORARRAY(F184)+_xlfn.ANCHORARRAY(F185)</f>
        <v>1724.9547973437411</v>
      </c>
      <c r="G258" s="1819">
        <v>1724.9547973437411</v>
      </c>
      <c r="H258" s="1819">
        <v>1724.9547973437411</v>
      </c>
      <c r="I258" s="1819">
        <v>1724.9547973437411</v>
      </c>
      <c r="J258" s="1819">
        <v>1724.9547973437411</v>
      </c>
      <c r="K258" s="1819">
        <v>1724.9547973437411</v>
      </c>
      <c r="L258" s="1819">
        <v>1724.9547973437411</v>
      </c>
      <c r="M258" s="1819">
        <v>1724.9547973437411</v>
      </c>
      <c r="N258" s="496"/>
    </row>
    <row r="259" spans="4:14" ht="15" customHeight="1">
      <c r="D259" s="548"/>
      <c r="E259" s="1816"/>
      <c r="F259" s="548"/>
      <c r="G259" s="548"/>
      <c r="H259" s="548"/>
      <c r="I259" s="548"/>
      <c r="J259" s="548"/>
      <c r="K259" s="548"/>
      <c r="L259" s="548"/>
      <c r="M259" s="548"/>
      <c r="N259" s="548"/>
    </row>
    <row r="261" spans="4:14" ht="15" customHeight="1">
      <c r="D261" s="2" t="s">
        <v>1893</v>
      </c>
    </row>
    <row r="262" spans="4:14" ht="15" customHeight="1">
      <c r="D262" s="3">
        <v>1</v>
      </c>
      <c r="E262" s="3" t="s">
        <v>2072</v>
      </c>
    </row>
    <row r="263" spans="4:14" ht="15" customHeight="1">
      <c r="D263" s="3">
        <v>2</v>
      </c>
      <c r="E263" s="3" t="s">
        <v>2073</v>
      </c>
    </row>
    <row r="264" spans="4:14" ht="15" customHeight="1">
      <c r="D264" s="3">
        <v>3</v>
      </c>
      <c r="E264" s="3" t="s">
        <v>2074</v>
      </c>
    </row>
    <row r="267" spans="4:14" ht="15" customHeight="1">
      <c r="D267" s="2">
        <v>1</v>
      </c>
      <c r="E267" s="2" t="s">
        <v>2075</v>
      </c>
    </row>
    <row r="268" spans="4:14" ht="15" customHeight="1">
      <c r="M268" s="659" t="s">
        <v>734</v>
      </c>
    </row>
    <row r="269" spans="4:14" ht="15" customHeight="1">
      <c r="D269" s="2"/>
      <c r="E269" s="626" t="s">
        <v>2003</v>
      </c>
      <c r="F269" s="611">
        <v>2018</v>
      </c>
      <c r="G269" s="611">
        <v>2020</v>
      </c>
      <c r="H269" s="611">
        <v>2025</v>
      </c>
      <c r="I269" s="611">
        <v>2030</v>
      </c>
      <c r="J269" s="611">
        <v>2035</v>
      </c>
      <c r="K269" s="611">
        <v>2040</v>
      </c>
      <c r="L269" s="611">
        <v>2045</v>
      </c>
      <c r="M269" s="611">
        <v>2050</v>
      </c>
      <c r="N269" s="2"/>
    </row>
    <row r="270" spans="4:14" ht="15" customHeight="1">
      <c r="E270" s="658" t="s">
        <v>2076</v>
      </c>
      <c r="F270" s="1821" cm="1">
        <f t="array" ref="F270:M270">ST_AGUAS_DOMESTICAS_REUTILIZADAS</f>
        <v>0</v>
      </c>
      <c r="G270" s="1821">
        <v>0</v>
      </c>
      <c r="H270" s="1821">
        <v>0</v>
      </c>
      <c r="I270" s="1821">
        <v>0</v>
      </c>
      <c r="J270" s="1821">
        <v>0</v>
      </c>
      <c r="K270" s="1821">
        <v>0</v>
      </c>
      <c r="L270" s="1821">
        <v>0</v>
      </c>
      <c r="M270" s="1821">
        <v>0</v>
      </c>
    </row>
    <row r="271" spans="4:14" ht="15" customHeight="1">
      <c r="E271" s="657" t="s">
        <v>2077</v>
      </c>
      <c r="F271" s="1479" cm="1">
        <f t="array" ref="F271:M271">ST_AGUAS_DOMESTICAS_TRATADAS</f>
        <v>77467243.109832704</v>
      </c>
      <c r="G271" s="1479">
        <v>77467243.109832704</v>
      </c>
      <c r="H271" s="1479">
        <v>77467243.109832704</v>
      </c>
      <c r="I271" s="1479">
        <v>77467243.109832704</v>
      </c>
      <c r="J271" s="1479">
        <v>77467243.109832704</v>
      </c>
      <c r="K271" s="1479">
        <v>77467243.109832704</v>
      </c>
      <c r="L271" s="1479">
        <v>77467243.109832704</v>
      </c>
      <c r="M271" s="1479">
        <v>77467243.109832704</v>
      </c>
    </row>
    <row r="272" spans="4:14" ht="15" customHeight="1">
      <c r="E272" s="1135" t="s">
        <v>2078</v>
      </c>
      <c r="F272" s="1044" cm="1">
        <f t="array" ref="F272:M272">ST_AGUAS_DOMESTICAS_NO_TRATADAS</f>
        <v>103319788.65173721</v>
      </c>
      <c r="G272" s="1044">
        <v>103319788.65173721</v>
      </c>
      <c r="H272" s="1044">
        <v>103319788.65173721</v>
      </c>
      <c r="I272" s="1044">
        <v>103319788.65173721</v>
      </c>
      <c r="J272" s="1044">
        <v>103319788.65173721</v>
      </c>
      <c r="K272" s="1044">
        <v>103319788.65173721</v>
      </c>
      <c r="L272" s="1044">
        <v>103319788.65173721</v>
      </c>
      <c r="M272" s="1044">
        <v>103319788.65173721</v>
      </c>
    </row>
    <row r="274" spans="5:13" ht="15" customHeight="1">
      <c r="E274" s="2" t="s">
        <v>2079</v>
      </c>
    </row>
    <row r="275" spans="5:13" ht="15" customHeight="1">
      <c r="E275" s="2"/>
      <c r="M275" s="659" t="s">
        <v>2080</v>
      </c>
    </row>
    <row r="276" spans="5:13" ht="15" customHeight="1">
      <c r="E276" s="626" t="s">
        <v>2003</v>
      </c>
      <c r="F276" s="611">
        <v>2018</v>
      </c>
      <c r="G276" s="611">
        <v>2020</v>
      </c>
      <c r="H276" s="611">
        <v>2025</v>
      </c>
      <c r="I276" s="611">
        <v>2030</v>
      </c>
      <c r="J276" s="611">
        <v>2035</v>
      </c>
      <c r="K276" s="611">
        <v>2040</v>
      </c>
      <c r="L276" s="611">
        <v>2045</v>
      </c>
      <c r="M276" s="611">
        <v>2050</v>
      </c>
    </row>
    <row r="277" spans="5:13" ht="15" customHeight="1">
      <c r="E277" s="658" t="s">
        <v>2076</v>
      </c>
      <c r="F277" s="955"/>
      <c r="G277" s="955"/>
      <c r="H277" s="955"/>
      <c r="I277" s="955"/>
      <c r="J277" s="955"/>
      <c r="K277" s="955"/>
      <c r="L277" s="955"/>
      <c r="M277" s="955"/>
    </row>
    <row r="278" spans="5:13" ht="15" customHeight="1">
      <c r="E278" s="657" t="s">
        <v>2077</v>
      </c>
      <c r="F278" s="955" cm="1">
        <f t="array" ref="F278:M278">ST_AGUAS_DOMESTICAS_TRATADAS*GENERACIÓN_DBO_AGUA_DOMESTICA_TRATADA</f>
        <v>49199630.883791253</v>
      </c>
      <c r="G278" s="955">
        <v>49199630.883791253</v>
      </c>
      <c r="H278" s="955">
        <v>49199630.883791253</v>
      </c>
      <c r="I278" s="955">
        <v>49199630.883791253</v>
      </c>
      <c r="J278" s="955">
        <v>49199630.883791253</v>
      </c>
      <c r="K278" s="955">
        <v>49199630.883791253</v>
      </c>
      <c r="L278" s="955">
        <v>49199630.883791253</v>
      </c>
      <c r="M278" s="955">
        <v>49199630.883791253</v>
      </c>
    </row>
    <row r="279" spans="5:13" ht="15" customHeight="1">
      <c r="E279" s="657" t="s">
        <v>2078</v>
      </c>
      <c r="F279" s="955" cm="1">
        <f t="array" ref="F279:M279">ST_AGUAS_DOMESTICAS_NO_TRATADAS*GENERACIÓN_DBO_AGUA_DOMESTICA_NO_TRATADA</f>
        <v>49199630.883791216</v>
      </c>
      <c r="G279" s="955">
        <v>49199630.883791216</v>
      </c>
      <c r="H279" s="955">
        <v>49199630.883791216</v>
      </c>
      <c r="I279" s="955">
        <v>49199630.883791216</v>
      </c>
      <c r="J279" s="955">
        <v>49199630.883791216</v>
      </c>
      <c r="K279" s="955">
        <v>49199630.883791216</v>
      </c>
      <c r="L279" s="955">
        <v>49199630.883791216</v>
      </c>
      <c r="M279" s="955">
        <v>49199630.883791216</v>
      </c>
    </row>
    <row r="280" spans="5:13" ht="15" customHeight="1">
      <c r="E280" s="1143" t="s">
        <v>338</v>
      </c>
      <c r="F280" s="555">
        <f>SUM(F277:F279)</f>
        <v>98399261.767582476</v>
      </c>
      <c r="G280" s="555">
        <f t="shared" ref="G280:M280" si="2">SUM(G277:G279)</f>
        <v>98399261.767582476</v>
      </c>
      <c r="H280" s="555">
        <f t="shared" si="2"/>
        <v>98399261.767582476</v>
      </c>
      <c r="I280" s="555">
        <f t="shared" si="2"/>
        <v>98399261.767582476</v>
      </c>
      <c r="J280" s="555">
        <f t="shared" si="2"/>
        <v>98399261.767582476</v>
      </c>
      <c r="K280" s="555">
        <f t="shared" si="2"/>
        <v>98399261.767582476</v>
      </c>
      <c r="L280" s="555">
        <f t="shared" si="2"/>
        <v>98399261.767582476</v>
      </c>
      <c r="M280" s="555">
        <f t="shared" si="2"/>
        <v>98399261.767582476</v>
      </c>
    </row>
    <row r="281" spans="5:13" ht="15" customHeight="1">
      <c r="E281" s="1067"/>
      <c r="F281" s="1068"/>
      <c r="G281" s="1068"/>
      <c r="H281" s="1068"/>
      <c r="I281" s="1068"/>
      <c r="J281" s="1068"/>
      <c r="K281" s="1068"/>
      <c r="L281" s="1068"/>
      <c r="M281" s="1068"/>
    </row>
    <row r="282" spans="5:13" ht="15" customHeight="1">
      <c r="E282" s="2" t="s">
        <v>2081</v>
      </c>
    </row>
    <row r="283" spans="5:13" ht="15" customHeight="1">
      <c r="E283" s="2"/>
      <c r="M283" s="659" t="s">
        <v>1705</v>
      </c>
    </row>
    <row r="284" spans="5:13" ht="15" customHeight="1">
      <c r="E284" s="626" t="s">
        <v>2003</v>
      </c>
      <c r="F284" s="611">
        <v>2018</v>
      </c>
      <c r="G284" s="611">
        <v>2020</v>
      </c>
      <c r="H284" s="611">
        <v>2025</v>
      </c>
      <c r="I284" s="611">
        <v>2030</v>
      </c>
      <c r="J284" s="611">
        <v>2035</v>
      </c>
      <c r="K284" s="611">
        <v>2040</v>
      </c>
      <c r="L284" s="611">
        <v>2045</v>
      </c>
      <c r="M284" s="611">
        <v>2050</v>
      </c>
    </row>
    <row r="285" spans="5:13" ht="15" customHeight="1">
      <c r="E285" s="658" t="s">
        <v>2076</v>
      </c>
      <c r="F285" s="980">
        <v>0</v>
      </c>
      <c r="G285" s="980">
        <v>0</v>
      </c>
      <c r="H285" s="980">
        <v>0</v>
      </c>
      <c r="I285" s="980">
        <v>0</v>
      </c>
      <c r="J285" s="980">
        <v>0</v>
      </c>
      <c r="K285" s="980">
        <v>0</v>
      </c>
      <c r="L285" s="980">
        <v>0</v>
      </c>
      <c r="M285" s="980">
        <v>0</v>
      </c>
    </row>
    <row r="286" spans="5:13" ht="15" customHeight="1">
      <c r="E286" s="657" t="s">
        <v>2077</v>
      </c>
      <c r="F286" s="980" cm="1">
        <f t="array" ref="F286:M286">_xlfn.ANCHORARRAY($F$278)*GENERACION_CH4_KG_DBO_TRATADO*UNIDAD_KG_A_MT</f>
        <v>2.9519778530274755E-2</v>
      </c>
      <c r="G286" s="980">
        <v>2.9519778530274755E-2</v>
      </c>
      <c r="H286" s="980">
        <v>2.9519778530274755E-2</v>
      </c>
      <c r="I286" s="980">
        <v>2.9519778530274755E-2</v>
      </c>
      <c r="J286" s="980">
        <v>2.9519778530274755E-2</v>
      </c>
      <c r="K286" s="980">
        <v>2.9519778530274755E-2</v>
      </c>
      <c r="L286" s="980">
        <v>2.9519778530274755E-2</v>
      </c>
      <c r="M286" s="980">
        <v>2.9519778530274755E-2</v>
      </c>
    </row>
    <row r="287" spans="5:13" ht="15" customHeight="1">
      <c r="E287" s="657" t="s">
        <v>2078</v>
      </c>
      <c r="F287" s="980" cm="1">
        <f t="array" ref="F287:M287">_xlfn.ANCHORARRAY($F$279)*GENERACION_CH4_KG_DBO_NO_TRATADO*UNIDAD_KG_A_MT</f>
        <v>2.951977853027473E-3</v>
      </c>
      <c r="G287" s="980">
        <v>2.951977853027473E-3</v>
      </c>
      <c r="H287" s="980">
        <v>2.951977853027473E-3</v>
      </c>
      <c r="I287" s="980">
        <v>2.951977853027473E-3</v>
      </c>
      <c r="J287" s="980">
        <v>2.951977853027473E-3</v>
      </c>
      <c r="K287" s="980">
        <v>2.951977853027473E-3</v>
      </c>
      <c r="L287" s="980">
        <v>2.951977853027473E-3</v>
      </c>
      <c r="M287" s="980">
        <v>2.951977853027473E-3</v>
      </c>
    </row>
    <row r="288" spans="5:13" ht="15" customHeight="1">
      <c r="E288" s="1143" t="s">
        <v>338</v>
      </c>
      <c r="F288" s="561">
        <f t="shared" ref="F288:M288" si="3">SUM(F285:F287)</f>
        <v>3.2471756383302228E-2</v>
      </c>
      <c r="G288" s="561">
        <f t="shared" si="3"/>
        <v>3.2471756383302228E-2</v>
      </c>
      <c r="H288" s="561">
        <f t="shared" si="3"/>
        <v>3.2471756383302228E-2</v>
      </c>
      <c r="I288" s="561">
        <f t="shared" si="3"/>
        <v>3.2471756383302228E-2</v>
      </c>
      <c r="J288" s="561">
        <f t="shared" si="3"/>
        <v>3.2471756383302228E-2</v>
      </c>
      <c r="K288" s="561">
        <f t="shared" si="3"/>
        <v>3.2471756383302228E-2</v>
      </c>
      <c r="L288" s="561">
        <f t="shared" si="3"/>
        <v>3.2471756383302228E-2</v>
      </c>
      <c r="M288" s="561">
        <f t="shared" si="3"/>
        <v>3.2471756383302228E-2</v>
      </c>
    </row>
    <row r="289" spans="5:14" ht="15" customHeight="1">
      <c r="E289" s="1067"/>
      <c r="F289" s="552"/>
      <c r="G289" s="552"/>
      <c r="H289" s="552"/>
      <c r="I289" s="552"/>
      <c r="J289" s="552"/>
      <c r="K289" s="552"/>
      <c r="L289" s="552"/>
      <c r="M289" s="552"/>
    </row>
    <row r="290" spans="5:14" ht="15" customHeight="1">
      <c r="E290" s="2" t="s">
        <v>2082</v>
      </c>
    </row>
    <row r="291" spans="5:14" ht="15" customHeight="1">
      <c r="E291" s="1069"/>
      <c r="M291" s="659" t="s">
        <v>1705</v>
      </c>
    </row>
    <row r="292" spans="5:14" ht="15" customHeight="1">
      <c r="E292" s="626" t="s">
        <v>2003</v>
      </c>
      <c r="F292" s="611">
        <v>2018</v>
      </c>
      <c r="G292" s="611">
        <v>2020</v>
      </c>
      <c r="H292" s="611">
        <v>2025</v>
      </c>
      <c r="I292" s="611">
        <v>2030</v>
      </c>
      <c r="J292" s="611">
        <v>2035</v>
      </c>
      <c r="K292" s="611">
        <v>2040</v>
      </c>
      <c r="L292" s="611">
        <v>2045</v>
      </c>
      <c r="M292" s="611">
        <v>2050</v>
      </c>
    </row>
    <row r="293" spans="5:14" ht="15" customHeight="1">
      <c r="E293" s="658" t="s">
        <v>2076</v>
      </c>
      <c r="F293" s="980">
        <v>0</v>
      </c>
      <c r="G293" s="980">
        <v>0</v>
      </c>
      <c r="H293" s="980">
        <v>0</v>
      </c>
      <c r="I293" s="980">
        <v>0</v>
      </c>
      <c r="J293" s="980">
        <v>0</v>
      </c>
      <c r="K293" s="980">
        <v>0</v>
      </c>
      <c r="L293" s="980">
        <v>0</v>
      </c>
      <c r="M293" s="980">
        <v>0</v>
      </c>
    </row>
    <row r="294" spans="5:14" ht="15" customHeight="1">
      <c r="E294" s="657" t="s">
        <v>2077</v>
      </c>
      <c r="F294" s="980" cm="1">
        <f t="array" ref="F294:M294">_xlfn.ANCHORARRAY($F$278)*GENERACION_CH4_KG_DBO_TRATADO*UNIDAD_KG_A_MT*INDEX(ST_ESTACIONES_CON_EXTRACCION_BIOGAS_ARD,0,0)</f>
        <v>1.4759889265137377E-2</v>
      </c>
      <c r="G294" s="980">
        <v>1.4759889265137377E-2</v>
      </c>
      <c r="H294" s="980">
        <v>1.4759889265137377E-2</v>
      </c>
      <c r="I294" s="980">
        <v>1.4759889265137377E-2</v>
      </c>
      <c r="J294" s="980">
        <v>1.4759889265137377E-2</v>
      </c>
      <c r="K294" s="980">
        <v>1.4759889265137377E-2</v>
      </c>
      <c r="L294" s="980">
        <v>1.4759889265137377E-2</v>
      </c>
      <c r="M294" s="980">
        <v>1.4759889265137377E-2</v>
      </c>
    </row>
    <row r="295" spans="5:14" ht="15" customHeight="1">
      <c r="E295" s="657" t="s">
        <v>2078</v>
      </c>
      <c r="F295" s="980" cm="1">
        <f t="array" ref="F295:M295">_xlfn.ANCHORARRAY($F$279)*GENERACION_CH4_KG_DBO_NO_TRATADO*UNIDAD_KG_A_MT*INDEX(ST_ESTACIONES_CON_EXTRACCION_BIOGAS_ARD,0,0)</f>
        <v>1.4759889265137365E-3</v>
      </c>
      <c r="G295" s="980">
        <v>1.4759889265137365E-3</v>
      </c>
      <c r="H295" s="980">
        <v>1.4759889265137365E-3</v>
      </c>
      <c r="I295" s="980">
        <v>1.4759889265137365E-3</v>
      </c>
      <c r="J295" s="980">
        <v>1.4759889265137365E-3</v>
      </c>
      <c r="K295" s="980">
        <v>1.4759889265137365E-3</v>
      </c>
      <c r="L295" s="980">
        <v>1.4759889265137365E-3</v>
      </c>
      <c r="M295" s="980">
        <v>1.4759889265137365E-3</v>
      </c>
    </row>
    <row r="296" spans="5:14" ht="15" customHeight="1">
      <c r="E296" s="1143" t="s">
        <v>338</v>
      </c>
      <c r="F296" s="561">
        <f>SUM(F293:F295)</f>
        <v>1.6235878191651114E-2</v>
      </c>
      <c r="G296" s="561">
        <f t="shared" ref="G296:M296" si="4">SUM(G293:G295)</f>
        <v>1.6235878191651114E-2</v>
      </c>
      <c r="H296" s="561">
        <f t="shared" si="4"/>
        <v>1.6235878191651114E-2</v>
      </c>
      <c r="I296" s="561">
        <f t="shared" si="4"/>
        <v>1.6235878191651114E-2</v>
      </c>
      <c r="J296" s="561">
        <f t="shared" si="4"/>
        <v>1.6235878191651114E-2</v>
      </c>
      <c r="K296" s="561">
        <f t="shared" si="4"/>
        <v>1.6235878191651114E-2</v>
      </c>
      <c r="L296" s="561">
        <f t="shared" si="4"/>
        <v>1.6235878191651114E-2</v>
      </c>
      <c r="M296" s="561">
        <f t="shared" si="4"/>
        <v>1.6235878191651114E-2</v>
      </c>
    </row>
    <row r="298" spans="5:14" ht="15" customHeight="1">
      <c r="E298" s="2" t="s">
        <v>2083</v>
      </c>
    </row>
    <row r="299" spans="5:14" ht="15" customHeight="1">
      <c r="E299" s="2"/>
      <c r="M299" s="659" t="s">
        <v>695</v>
      </c>
    </row>
    <row r="300" spans="5:14" ht="15" customHeight="1">
      <c r="E300" s="626" t="s">
        <v>2003</v>
      </c>
      <c r="F300" s="611">
        <v>2018</v>
      </c>
      <c r="G300" s="611">
        <v>2020</v>
      </c>
      <c r="H300" s="611">
        <v>2025</v>
      </c>
      <c r="I300" s="611">
        <v>2030</v>
      </c>
      <c r="J300" s="611">
        <v>2035</v>
      </c>
      <c r="K300" s="611">
        <v>2040</v>
      </c>
      <c r="L300" s="611">
        <v>2045</v>
      </c>
      <c r="M300" s="611">
        <v>2050</v>
      </c>
    </row>
    <row r="301" spans="5:14" ht="15" customHeight="1">
      <c r="E301" s="658" t="s">
        <v>2076</v>
      </c>
      <c r="F301" s="980">
        <v>0</v>
      </c>
      <c r="G301" s="980">
        <v>0</v>
      </c>
      <c r="H301" s="980">
        <v>0</v>
      </c>
      <c r="I301" s="980">
        <v>0</v>
      </c>
      <c r="J301" s="980">
        <v>0</v>
      </c>
      <c r="K301" s="980">
        <v>0</v>
      </c>
      <c r="L301" s="980">
        <v>0</v>
      </c>
      <c r="M301" s="980">
        <v>0</v>
      </c>
    </row>
    <row r="302" spans="5:14" ht="15" customHeight="1">
      <c r="E302" s="657" t="s">
        <v>2077</v>
      </c>
      <c r="F302" s="980" cm="1">
        <f t="array" ref="F302:M302">_xlfn.ANCHORARRAY($F$278)*GENERACION_CH4_KG_DBO_TRATADO*UNIDAD_KG_A_MT*(1-INDEX(ST_ESTACIONES_CON_EXTRACCION_BIOGAS_ARD,0,0))</f>
        <v>1.4759889265137377E-2</v>
      </c>
      <c r="G302" s="980">
        <v>1.4759889265137377E-2</v>
      </c>
      <c r="H302" s="980">
        <v>1.4759889265137377E-2</v>
      </c>
      <c r="I302" s="980">
        <v>1.4759889265137377E-2</v>
      </c>
      <c r="J302" s="980">
        <v>1.4759889265137377E-2</v>
      </c>
      <c r="K302" s="980">
        <v>1.4759889265137377E-2</v>
      </c>
      <c r="L302" s="980">
        <v>1.4759889265137377E-2</v>
      </c>
      <c r="M302" s="980">
        <v>1.4759889265137377E-2</v>
      </c>
    </row>
    <row r="303" spans="5:14" ht="15" customHeight="1">
      <c r="E303" s="657" t="s">
        <v>2078</v>
      </c>
      <c r="F303" s="980" cm="1">
        <f t="array" ref="F303:M303">_xlfn.ANCHORARRAY($F$279)*GENERACION_CH4_KG_DBO_NO_TRATADO*UNIDAD_KG_A_MT*(1-INDEX(ST_ESTACIONES_CON_EXTRACCION_BIOGAS_ARD,0,0))</f>
        <v>1.4759889265137365E-3</v>
      </c>
      <c r="G303" s="980">
        <v>1.4759889265137365E-3</v>
      </c>
      <c r="H303" s="980">
        <v>1.4759889265137365E-3</v>
      </c>
      <c r="I303" s="980">
        <v>1.4759889265137365E-3</v>
      </c>
      <c r="J303" s="980">
        <v>1.4759889265137365E-3</v>
      </c>
      <c r="K303" s="980">
        <v>1.4759889265137365E-3</v>
      </c>
      <c r="L303" s="980">
        <v>1.4759889265137365E-3</v>
      </c>
      <c r="M303" s="980">
        <v>1.4759889265137365E-3</v>
      </c>
      <c r="N303" s="2"/>
    </row>
    <row r="304" spans="5:14" ht="15" customHeight="1">
      <c r="E304" s="1143" t="s">
        <v>338</v>
      </c>
      <c r="F304" s="561">
        <f t="shared" ref="F304:M304" si="5">SUM(F301:F303)</f>
        <v>1.6235878191651114E-2</v>
      </c>
      <c r="G304" s="561">
        <f t="shared" si="5"/>
        <v>1.6235878191651114E-2</v>
      </c>
      <c r="H304" s="561">
        <f t="shared" si="5"/>
        <v>1.6235878191651114E-2</v>
      </c>
      <c r="I304" s="561">
        <f t="shared" si="5"/>
        <v>1.6235878191651114E-2</v>
      </c>
      <c r="J304" s="561">
        <f t="shared" si="5"/>
        <v>1.6235878191651114E-2</v>
      </c>
      <c r="K304" s="561">
        <f t="shared" si="5"/>
        <v>1.6235878191651114E-2</v>
      </c>
      <c r="L304" s="561">
        <f t="shared" si="5"/>
        <v>1.6235878191651114E-2</v>
      </c>
      <c r="M304" s="561">
        <f t="shared" si="5"/>
        <v>1.6235878191651114E-2</v>
      </c>
      <c r="N304" s="2"/>
    </row>
    <row r="305" spans="4:14" ht="15" customHeight="1">
      <c r="E305" s="1067"/>
      <c r="F305" s="552"/>
      <c r="G305" s="552"/>
      <c r="H305" s="552"/>
      <c r="I305" s="552"/>
      <c r="J305" s="552"/>
      <c r="K305" s="552"/>
      <c r="L305" s="552"/>
      <c r="M305" s="552"/>
      <c r="N305" s="2"/>
    </row>
    <row r="306" spans="4:14" ht="15" customHeight="1">
      <c r="D306" s="2">
        <v>2</v>
      </c>
      <c r="E306" s="2" t="s">
        <v>2084</v>
      </c>
    </row>
    <row r="307" spans="4:14" ht="15" customHeight="1">
      <c r="M307" s="659" t="s">
        <v>734</v>
      </c>
    </row>
    <row r="308" spans="4:14" ht="15" customHeight="1">
      <c r="D308" s="2"/>
      <c r="E308" s="626" t="s">
        <v>2003</v>
      </c>
      <c r="F308" s="611">
        <v>2018</v>
      </c>
      <c r="G308" s="611">
        <v>2020</v>
      </c>
      <c r="H308" s="611">
        <v>2025</v>
      </c>
      <c r="I308" s="611">
        <v>2030</v>
      </c>
      <c r="J308" s="611">
        <v>2035</v>
      </c>
      <c r="K308" s="611">
        <v>2040</v>
      </c>
      <c r="L308" s="611">
        <v>2045</v>
      </c>
      <c r="M308" s="611">
        <v>2050</v>
      </c>
    </row>
    <row r="309" spans="4:14" ht="15" customHeight="1">
      <c r="D309" s="2"/>
      <c r="E309" s="1137" t="s">
        <v>2039</v>
      </c>
      <c r="F309" s="642" cm="1">
        <f t="array" ref="F309:M309">_xlfn.ANCHORARRAY(F310)+_xlfn.ANCHORARRAY(F311)</f>
        <v>6321800</v>
      </c>
      <c r="G309" s="642">
        <v>6321800</v>
      </c>
      <c r="H309" s="642">
        <v>6321800</v>
      </c>
      <c r="I309" s="642">
        <v>6321800</v>
      </c>
      <c r="J309" s="642">
        <v>6321800</v>
      </c>
      <c r="K309" s="642">
        <v>6321800</v>
      </c>
      <c r="L309" s="642">
        <v>6321800</v>
      </c>
      <c r="M309" s="642">
        <v>6321800</v>
      </c>
    </row>
    <row r="310" spans="4:14" ht="15" customHeight="1">
      <c r="E310" s="1138" t="s">
        <v>2035</v>
      </c>
      <c r="F310" s="660" cm="1">
        <f t="array" ref="F310:M310">INDEX(ST_AGUAS_RESIDUALES_INDUSTRIALES_REUTILIZADAS,0,0)</f>
        <v>562640.19999999984</v>
      </c>
      <c r="G310" s="660">
        <v>562640.19999999984</v>
      </c>
      <c r="H310" s="660">
        <v>562640.19999999984</v>
      </c>
      <c r="I310" s="660">
        <v>562640.19999999984</v>
      </c>
      <c r="J310" s="660">
        <v>562640.19999999984</v>
      </c>
      <c r="K310" s="660">
        <v>562640.19999999984</v>
      </c>
      <c r="L310" s="660">
        <v>562640.19999999984</v>
      </c>
      <c r="M310" s="660">
        <v>562640.19999999984</v>
      </c>
    </row>
    <row r="311" spans="4:14" ht="15" customHeight="1">
      <c r="E311" s="1136" t="s">
        <v>2036</v>
      </c>
      <c r="F311" s="1139" cm="1">
        <f t="array" ref="F311:M311">INDEX(ST_AGUAS_RESIDUALES_INDUSTRIALES_TRATADAS,0,0)</f>
        <v>5759159.7999999998</v>
      </c>
      <c r="G311" s="1139">
        <v>5759159.7999999998</v>
      </c>
      <c r="H311" s="1139">
        <v>5759159.7999999998</v>
      </c>
      <c r="I311" s="1139">
        <v>5759159.7999999998</v>
      </c>
      <c r="J311" s="1139">
        <v>5759159.7999999998</v>
      </c>
      <c r="K311" s="1139">
        <v>5759159.7999999998</v>
      </c>
      <c r="L311" s="1139">
        <v>5759159.7999999998</v>
      </c>
      <c r="M311" s="1139">
        <v>5759159.7999999998</v>
      </c>
    </row>
    <row r="313" spans="4:14" ht="15" customHeight="1">
      <c r="E313" s="2" t="s">
        <v>1221</v>
      </c>
    </row>
    <row r="314" spans="4:14" ht="15" customHeight="1">
      <c r="E314" s="2"/>
      <c r="M314" s="659" t="s">
        <v>2085</v>
      </c>
    </row>
    <row r="315" spans="4:14" ht="15" customHeight="1">
      <c r="E315" s="626" t="s">
        <v>2003</v>
      </c>
      <c r="F315" s="611">
        <v>2018</v>
      </c>
      <c r="G315" s="611">
        <v>2020</v>
      </c>
      <c r="H315" s="611">
        <v>2025</v>
      </c>
      <c r="I315" s="611">
        <v>2030</v>
      </c>
      <c r="J315" s="611">
        <v>2035</v>
      </c>
      <c r="K315" s="611">
        <v>2040</v>
      </c>
      <c r="L315" s="611">
        <v>2045</v>
      </c>
      <c r="M315" s="611">
        <v>2050</v>
      </c>
    </row>
    <row r="316" spans="4:14" ht="15" customHeight="1">
      <c r="E316" s="1137" t="s">
        <v>2039</v>
      </c>
      <c r="F316" s="1479">
        <v>0</v>
      </c>
      <c r="G316" s="1479">
        <v>0</v>
      </c>
      <c r="H316" s="1479">
        <v>0</v>
      </c>
      <c r="I316" s="1479">
        <v>0</v>
      </c>
      <c r="J316" s="1479">
        <v>0</v>
      </c>
      <c r="K316" s="1479">
        <v>0</v>
      </c>
      <c r="L316" s="1479">
        <v>0</v>
      </c>
      <c r="M316" s="1479">
        <v>0</v>
      </c>
    </row>
    <row r="317" spans="4:14" ht="15" customHeight="1">
      <c r="E317" s="1138" t="s">
        <v>2035</v>
      </c>
      <c r="F317" s="1480" cm="1">
        <f t="array" ref="F317:M317">INDEX(ST_AGUAS_RESIDUALES_INDUSTRIALES_REUTILIZADAS,0,0)*GENERACIÓN_DBO_AGUA_INDUSTRIAL_NO_TRATADA</f>
        <v>267922.44275382592</v>
      </c>
      <c r="G317" s="1480">
        <v>267922.44275382592</v>
      </c>
      <c r="H317" s="1480">
        <v>267922.44275382592</v>
      </c>
      <c r="I317" s="1480">
        <v>267922.44275382592</v>
      </c>
      <c r="J317" s="1480">
        <v>267922.44275382592</v>
      </c>
      <c r="K317" s="1480">
        <v>267922.44275382592</v>
      </c>
      <c r="L317" s="1480">
        <v>267922.44275382592</v>
      </c>
      <c r="M317" s="1480">
        <v>267922.44275382592</v>
      </c>
    </row>
    <row r="318" spans="4:14" ht="15" customHeight="1">
      <c r="E318" s="1136" t="s">
        <v>2036</v>
      </c>
      <c r="F318" s="1044" cm="1">
        <f t="array" ref="F318:M318">(INDEX(ST_AGUAS_RESIDUALES_INDUSTRIALES_TRATADAS,0,0)*GENERACIÓN_DBO_AGUA_INDUSTRIAL_TRATADA)</f>
        <v>3657656.1264615906</v>
      </c>
      <c r="G318" s="1044">
        <v>3657656.1264615906</v>
      </c>
      <c r="H318" s="1044">
        <v>3657656.1264615906</v>
      </c>
      <c r="I318" s="1044">
        <v>3657656.1264615906</v>
      </c>
      <c r="J318" s="1044">
        <v>3657656.1264615906</v>
      </c>
      <c r="K318" s="1044">
        <v>3657656.1264615906</v>
      </c>
      <c r="L318" s="1044">
        <v>3657656.1264615906</v>
      </c>
      <c r="M318" s="1044">
        <v>3657656.1264615906</v>
      </c>
    </row>
    <row r="319" spans="4:14" ht="15" customHeight="1">
      <c r="E319" s="1143" t="s">
        <v>338</v>
      </c>
      <c r="F319" s="1132">
        <f>SUM(F316:F318)</f>
        <v>3925578.5692154164</v>
      </c>
      <c r="G319" s="1132">
        <f t="shared" ref="G319:M319" si="6">SUM(G316:G318)</f>
        <v>3925578.5692154164</v>
      </c>
      <c r="H319" s="1132">
        <f t="shared" si="6"/>
        <v>3925578.5692154164</v>
      </c>
      <c r="I319" s="1132">
        <f t="shared" si="6"/>
        <v>3925578.5692154164</v>
      </c>
      <c r="J319" s="1132">
        <f t="shared" si="6"/>
        <v>3925578.5692154164</v>
      </c>
      <c r="K319" s="1132">
        <f t="shared" si="6"/>
        <v>3925578.5692154164</v>
      </c>
      <c r="L319" s="1132">
        <f t="shared" si="6"/>
        <v>3925578.5692154164</v>
      </c>
      <c r="M319" s="1132">
        <f t="shared" si="6"/>
        <v>3925578.5692154164</v>
      </c>
    </row>
    <row r="321" spans="5:13" ht="15" customHeight="1">
      <c r="E321" s="2" t="s">
        <v>2086</v>
      </c>
    </row>
    <row r="322" spans="5:13" ht="15" customHeight="1">
      <c r="E322" s="2"/>
      <c r="M322" s="659" t="s">
        <v>1705</v>
      </c>
    </row>
    <row r="323" spans="5:13" ht="15" customHeight="1">
      <c r="E323" s="626" t="s">
        <v>2003</v>
      </c>
      <c r="F323" s="611">
        <v>2018</v>
      </c>
      <c r="G323" s="611">
        <v>2020</v>
      </c>
      <c r="H323" s="611">
        <v>2025</v>
      </c>
      <c r="I323" s="611">
        <v>2030</v>
      </c>
      <c r="J323" s="611">
        <v>2035</v>
      </c>
      <c r="K323" s="611">
        <v>2040</v>
      </c>
      <c r="L323" s="611">
        <v>2045</v>
      </c>
      <c r="M323" s="611">
        <v>2050</v>
      </c>
    </row>
    <row r="324" spans="5:13" ht="15" customHeight="1">
      <c r="E324" s="1137" t="s">
        <v>2039</v>
      </c>
      <c r="F324" s="1306">
        <v>0</v>
      </c>
      <c r="G324" s="1306">
        <v>0</v>
      </c>
      <c r="H324" s="1306">
        <v>0</v>
      </c>
      <c r="I324" s="1306">
        <v>0</v>
      </c>
      <c r="J324" s="1306">
        <v>0</v>
      </c>
      <c r="K324" s="1306">
        <v>0</v>
      </c>
      <c r="L324" s="1306">
        <v>0</v>
      </c>
      <c r="M324" s="1306">
        <v>0</v>
      </c>
    </row>
    <row r="325" spans="5:13" ht="15" customHeight="1">
      <c r="E325" s="1138" t="s">
        <v>2035</v>
      </c>
      <c r="F325" s="1546" cm="1">
        <f t="array" ref="F325:M325">_xlfn.ANCHORARRAY($F$317)*GENERACION_CH4_KG_DBO_TRATADO*UNIDAD_KG_A_MT</f>
        <v>1.6075346565229556E-4</v>
      </c>
      <c r="G325" s="1546">
        <v>1.6075346565229556E-4</v>
      </c>
      <c r="H325" s="1546">
        <v>1.6075346565229556E-4</v>
      </c>
      <c r="I325" s="1546">
        <v>1.6075346565229556E-4</v>
      </c>
      <c r="J325" s="1546">
        <v>1.6075346565229556E-4</v>
      </c>
      <c r="K325" s="1546">
        <v>1.6075346565229556E-4</v>
      </c>
      <c r="L325" s="1546">
        <v>1.6075346565229556E-4</v>
      </c>
      <c r="M325" s="1546">
        <v>1.6075346565229556E-4</v>
      </c>
    </row>
    <row r="326" spans="5:13" ht="15" customHeight="1">
      <c r="E326" s="1136" t="s">
        <v>2036</v>
      </c>
      <c r="F326" s="981" cm="1">
        <f t="array" ref="F326:M326">_xlfn.ANCHORARRAY($F$318)*GENERACION_CH4_KG_DBO_NO_TRATADO*UNIDAD_KG_A_MT</f>
        <v>2.1945936758769544E-4</v>
      </c>
      <c r="G326" s="981">
        <v>2.1945936758769544E-4</v>
      </c>
      <c r="H326" s="981">
        <v>2.1945936758769544E-4</v>
      </c>
      <c r="I326" s="981">
        <v>2.1945936758769544E-4</v>
      </c>
      <c r="J326" s="981">
        <v>2.1945936758769544E-4</v>
      </c>
      <c r="K326" s="981">
        <v>2.1945936758769544E-4</v>
      </c>
      <c r="L326" s="981">
        <v>2.1945936758769544E-4</v>
      </c>
      <c r="M326" s="981">
        <v>2.1945936758769544E-4</v>
      </c>
    </row>
    <row r="327" spans="5:13" ht="15" customHeight="1">
      <c r="E327" s="1143" t="s">
        <v>338</v>
      </c>
      <c r="F327" s="1133">
        <f>SUM(F324:F326)</f>
        <v>3.80212833239991E-4</v>
      </c>
      <c r="G327" s="1133">
        <f t="shared" ref="G327:M327" si="7">SUM(G324:G326)</f>
        <v>3.80212833239991E-4</v>
      </c>
      <c r="H327" s="1133">
        <f t="shared" si="7"/>
        <v>3.80212833239991E-4</v>
      </c>
      <c r="I327" s="1133">
        <f t="shared" si="7"/>
        <v>3.80212833239991E-4</v>
      </c>
      <c r="J327" s="1133">
        <f t="shared" si="7"/>
        <v>3.80212833239991E-4</v>
      </c>
      <c r="K327" s="1133">
        <f t="shared" si="7"/>
        <v>3.80212833239991E-4</v>
      </c>
      <c r="L327" s="1133">
        <f t="shared" si="7"/>
        <v>3.80212833239991E-4</v>
      </c>
      <c r="M327" s="1133">
        <f t="shared" si="7"/>
        <v>3.80212833239991E-4</v>
      </c>
    </row>
    <row r="328" spans="5:13" ht="15" customHeight="1">
      <c r="E328" s="1067"/>
      <c r="F328" s="642"/>
      <c r="G328" s="642"/>
      <c r="H328" s="642"/>
      <c r="I328" s="642"/>
      <c r="J328" s="642"/>
      <c r="K328" s="642"/>
      <c r="L328" s="642"/>
      <c r="M328" s="642"/>
    </row>
    <row r="329" spans="5:13" ht="15" customHeight="1">
      <c r="E329" s="2" t="s">
        <v>2082</v>
      </c>
    </row>
    <row r="330" spans="5:13" ht="15" customHeight="1">
      <c r="E330" s="1069"/>
      <c r="M330" s="659" t="s">
        <v>1705</v>
      </c>
    </row>
    <row r="331" spans="5:13" ht="15" customHeight="1">
      <c r="E331" s="626" t="s">
        <v>2003</v>
      </c>
      <c r="F331" s="611">
        <v>2018</v>
      </c>
      <c r="G331" s="611">
        <v>2020</v>
      </c>
      <c r="H331" s="611">
        <v>2025</v>
      </c>
      <c r="I331" s="611">
        <v>2030</v>
      </c>
      <c r="J331" s="611">
        <v>2035</v>
      </c>
      <c r="K331" s="611">
        <v>2040</v>
      </c>
      <c r="L331" s="611">
        <v>2045</v>
      </c>
      <c r="M331" s="611">
        <v>2050</v>
      </c>
    </row>
    <row r="332" spans="5:13" ht="15" customHeight="1">
      <c r="E332" s="1137" t="s">
        <v>2039</v>
      </c>
      <c r="F332" s="1306">
        <v>0</v>
      </c>
      <c r="G332" s="1306">
        <v>0</v>
      </c>
      <c r="H332" s="1306">
        <v>0</v>
      </c>
      <c r="I332" s="1306">
        <v>0</v>
      </c>
      <c r="J332" s="1306">
        <v>0</v>
      </c>
      <c r="K332" s="1306">
        <v>0</v>
      </c>
      <c r="L332" s="1306">
        <v>0</v>
      </c>
      <c r="M332" s="1306">
        <v>0</v>
      </c>
    </row>
    <row r="333" spans="5:13" ht="15" customHeight="1">
      <c r="E333" s="1138" t="s">
        <v>2035</v>
      </c>
      <c r="F333" s="1546" cm="1">
        <f t="array" ref="F333:M333">_xlfn.ANCHORARRAY($F$317)*GENERACION_CH4_KG_DBO_TRATADO*UNIDAD_KG_A_MT*INDEX(ST_ESTACIONES_CON_EXTRACCIÓN_DE_BIOGÁS_INDUSTRIAL,0,0)</f>
        <v>8.0376732826147778E-5</v>
      </c>
      <c r="G333" s="1546">
        <v>8.0376732826147778E-5</v>
      </c>
      <c r="H333" s="1546">
        <v>8.0376732826147778E-5</v>
      </c>
      <c r="I333" s="1546">
        <v>8.0376732826147778E-5</v>
      </c>
      <c r="J333" s="1546">
        <v>8.0376732826147778E-5</v>
      </c>
      <c r="K333" s="1546">
        <v>8.0376732826147778E-5</v>
      </c>
      <c r="L333" s="1546">
        <v>8.0376732826147778E-5</v>
      </c>
      <c r="M333" s="1546">
        <v>8.0376732826147778E-5</v>
      </c>
    </row>
    <row r="334" spans="5:13" ht="15" customHeight="1">
      <c r="E334" s="1136" t="s">
        <v>2036</v>
      </c>
      <c r="F334" s="981" cm="1">
        <f t="array" ref="F334:M334">_xlfn.ANCHORARRAY($F$318)*GENERACION_CH4_KG_DBO_NO_TRATADO*UNIDAD_KG_A_MT*INDEX(ST_ESTACIONES_CON_EXTRACCIÓN_DE_BIOGÁS_INDUSTRIAL,0,0)</f>
        <v>1.0972968379384772E-4</v>
      </c>
      <c r="G334" s="981">
        <v>1.0972968379384772E-4</v>
      </c>
      <c r="H334" s="981">
        <v>1.0972968379384772E-4</v>
      </c>
      <c r="I334" s="981">
        <v>1.0972968379384772E-4</v>
      </c>
      <c r="J334" s="981">
        <v>1.0972968379384772E-4</v>
      </c>
      <c r="K334" s="981">
        <v>1.0972968379384772E-4</v>
      </c>
      <c r="L334" s="981">
        <v>1.0972968379384772E-4</v>
      </c>
      <c r="M334" s="981">
        <v>1.0972968379384772E-4</v>
      </c>
    </row>
    <row r="335" spans="5:13" ht="15" customHeight="1">
      <c r="E335" s="1143" t="s">
        <v>338</v>
      </c>
      <c r="F335" s="1327">
        <f t="shared" ref="F335:M335" si="8">SUM(F332:F334)</f>
        <v>1.901064166199955E-4</v>
      </c>
      <c r="G335" s="1327">
        <f t="shared" si="8"/>
        <v>1.901064166199955E-4</v>
      </c>
      <c r="H335" s="1327">
        <f t="shared" si="8"/>
        <v>1.901064166199955E-4</v>
      </c>
      <c r="I335" s="1327">
        <f t="shared" si="8"/>
        <v>1.901064166199955E-4</v>
      </c>
      <c r="J335" s="1327">
        <f t="shared" si="8"/>
        <v>1.901064166199955E-4</v>
      </c>
      <c r="K335" s="1327">
        <f t="shared" si="8"/>
        <v>1.901064166199955E-4</v>
      </c>
      <c r="L335" s="1327">
        <f t="shared" si="8"/>
        <v>1.901064166199955E-4</v>
      </c>
      <c r="M335" s="1327">
        <f t="shared" si="8"/>
        <v>1.901064166199955E-4</v>
      </c>
    </row>
    <row r="336" spans="5:13" ht="15" customHeight="1">
      <c r="E336" s="1144"/>
    </row>
    <row r="337" spans="4:13" ht="15" customHeight="1">
      <c r="E337" s="2" t="s">
        <v>2083</v>
      </c>
    </row>
    <row r="338" spans="4:13" ht="15" customHeight="1">
      <c r="E338" s="1069"/>
      <c r="M338" s="659" t="s">
        <v>1705</v>
      </c>
    </row>
    <row r="339" spans="4:13" ht="15" customHeight="1">
      <c r="E339" s="626" t="s">
        <v>2003</v>
      </c>
      <c r="F339" s="611">
        <v>2018</v>
      </c>
      <c r="G339" s="611">
        <v>2020</v>
      </c>
      <c r="H339" s="611">
        <v>2025</v>
      </c>
      <c r="I339" s="611">
        <v>2030</v>
      </c>
      <c r="J339" s="611">
        <v>2035</v>
      </c>
      <c r="K339" s="611">
        <v>2040</v>
      </c>
      <c r="L339" s="611">
        <v>2045</v>
      </c>
      <c r="M339" s="611">
        <v>2050</v>
      </c>
    </row>
    <row r="340" spans="4:13" ht="15" customHeight="1">
      <c r="E340" s="1137" t="s">
        <v>2039</v>
      </c>
      <c r="F340" s="1306">
        <v>0</v>
      </c>
      <c r="G340" s="1306">
        <v>0</v>
      </c>
      <c r="H340" s="1306">
        <v>0</v>
      </c>
      <c r="I340" s="1306">
        <v>0</v>
      </c>
      <c r="J340" s="1306">
        <v>0</v>
      </c>
      <c r="K340" s="1306">
        <v>0</v>
      </c>
      <c r="L340" s="1306">
        <v>0</v>
      </c>
      <c r="M340" s="1306">
        <v>0</v>
      </c>
    </row>
    <row r="341" spans="4:13" ht="15" customHeight="1">
      <c r="E341" s="1138" t="s">
        <v>2035</v>
      </c>
      <c r="F341" s="1546" cm="1">
        <f t="array" ref="F341:M341">_xlfn.ANCHORARRAY($F$317)*GENERACION_CH4_KG_DBO_TRATADO*UNIDAD_KG_A_MT*(1-INDEX(ST_ESTACIONES_CON_EXTRACCIÓN_DE_BIOGÁS_INDUSTRIAL,0,0))</f>
        <v>8.0376732826147778E-5</v>
      </c>
      <c r="G341" s="1546">
        <v>8.0376732826147778E-5</v>
      </c>
      <c r="H341" s="1546">
        <v>8.0376732826147778E-5</v>
      </c>
      <c r="I341" s="1546">
        <v>8.0376732826147778E-5</v>
      </c>
      <c r="J341" s="1546">
        <v>8.0376732826147778E-5</v>
      </c>
      <c r="K341" s="1546">
        <v>8.0376732826147778E-5</v>
      </c>
      <c r="L341" s="1546">
        <v>8.0376732826147778E-5</v>
      </c>
      <c r="M341" s="1546">
        <v>8.0376732826147778E-5</v>
      </c>
    </row>
    <row r="342" spans="4:13" ht="15" customHeight="1">
      <c r="E342" s="1136" t="s">
        <v>2036</v>
      </c>
      <c r="F342" s="981" cm="1">
        <f t="array" ref="F342:M342">_xlfn.ANCHORARRAY($F$318)*GENERACION_CH4_KG_DBO_NO_TRATADO*UNIDAD_KG_A_MT*(1-INDEX(ST_ESTACIONES_CON_EXTRACCIÓN_DE_BIOGÁS_INDUSTRIAL,0,0))</f>
        <v>1.0972968379384772E-4</v>
      </c>
      <c r="G342" s="981">
        <v>1.0972968379384772E-4</v>
      </c>
      <c r="H342" s="981">
        <v>1.0972968379384772E-4</v>
      </c>
      <c r="I342" s="981">
        <v>1.0972968379384772E-4</v>
      </c>
      <c r="J342" s="981">
        <v>1.0972968379384772E-4</v>
      </c>
      <c r="K342" s="981">
        <v>1.0972968379384772E-4</v>
      </c>
      <c r="L342" s="981">
        <v>1.0972968379384772E-4</v>
      </c>
      <c r="M342" s="981">
        <v>1.0972968379384772E-4</v>
      </c>
    </row>
    <row r="343" spans="4:13" ht="15" customHeight="1">
      <c r="E343" s="1143" t="s">
        <v>338</v>
      </c>
      <c r="F343" s="1327">
        <f>SUM(F340:F342)</f>
        <v>1.901064166199955E-4</v>
      </c>
      <c r="G343" s="1327">
        <f t="shared" ref="G343:M343" si="9">SUM(G340:G342)</f>
        <v>1.901064166199955E-4</v>
      </c>
      <c r="H343" s="1327">
        <f t="shared" si="9"/>
        <v>1.901064166199955E-4</v>
      </c>
      <c r="I343" s="1327">
        <f t="shared" si="9"/>
        <v>1.901064166199955E-4</v>
      </c>
      <c r="J343" s="1327">
        <f t="shared" si="9"/>
        <v>1.901064166199955E-4</v>
      </c>
      <c r="K343" s="1327">
        <f t="shared" si="9"/>
        <v>1.901064166199955E-4</v>
      </c>
      <c r="L343" s="1327">
        <f t="shared" si="9"/>
        <v>1.901064166199955E-4</v>
      </c>
      <c r="M343" s="1327">
        <f t="shared" si="9"/>
        <v>1.901064166199955E-4</v>
      </c>
    </row>
    <row r="344" spans="4:13" ht="15" customHeight="1">
      <c r="E344" s="1067"/>
      <c r="F344" s="1068"/>
      <c r="G344" s="1068"/>
      <c r="H344" s="1068"/>
      <c r="I344" s="1068"/>
      <c r="J344" s="1068"/>
      <c r="K344" s="1068"/>
      <c r="L344" s="1068"/>
      <c r="M344" s="1068"/>
    </row>
    <row r="345" spans="4:13" ht="15" customHeight="1">
      <c r="D345" s="2">
        <v>3</v>
      </c>
      <c r="E345" s="2" t="s">
        <v>2087</v>
      </c>
    </row>
    <row r="346" spans="4:13" ht="15" customHeight="1">
      <c r="E346" s="1067" t="s">
        <v>2088</v>
      </c>
      <c r="M346" s="554" t="s">
        <v>708</v>
      </c>
    </row>
    <row r="347" spans="4:13" ht="15" customHeight="1">
      <c r="D347" s="2"/>
      <c r="E347" s="626" t="s">
        <v>2003</v>
      </c>
      <c r="F347" s="611">
        <v>2018</v>
      </c>
      <c r="G347" s="611">
        <v>2020</v>
      </c>
      <c r="H347" s="611">
        <v>2025</v>
      </c>
      <c r="I347" s="611">
        <v>2030</v>
      </c>
      <c r="J347" s="611">
        <v>2035</v>
      </c>
      <c r="K347" s="611">
        <v>2040</v>
      </c>
      <c r="L347" s="611">
        <v>2045</v>
      </c>
      <c r="M347" s="611">
        <v>2050</v>
      </c>
    </row>
    <row r="348" spans="4:13" ht="15" customHeight="1">
      <c r="D348" s="2"/>
      <c r="E348" s="1066" t="s">
        <v>2089</v>
      </c>
      <c r="F348" s="561" cm="1">
        <f t="array" ref="F348:M348">_xlfn.ANCHORARRAY(F271)*$H$131*$H$133</f>
        <v>0</v>
      </c>
      <c r="G348" s="561">
        <v>0</v>
      </c>
      <c r="H348" s="561">
        <v>0</v>
      </c>
      <c r="I348" s="561">
        <v>0</v>
      </c>
      <c r="J348" s="561">
        <v>0</v>
      </c>
      <c r="K348" s="561">
        <v>0</v>
      </c>
      <c r="L348" s="561">
        <v>0</v>
      </c>
      <c r="M348" s="561">
        <v>0</v>
      </c>
    </row>
    <row r="349" spans="4:13" ht="15" customHeight="1">
      <c r="E349" s="657"/>
      <c r="F349" s="642"/>
      <c r="G349" s="660"/>
      <c r="H349" s="660"/>
      <c r="I349" s="660"/>
      <c r="J349" s="660"/>
      <c r="K349" s="660"/>
      <c r="L349" s="660"/>
      <c r="M349" s="660"/>
    </row>
    <row r="350" spans="4:13" ht="15" customHeight="1">
      <c r="E350" s="1067" t="s">
        <v>2090</v>
      </c>
      <c r="F350" s="639"/>
      <c r="G350" s="639"/>
      <c r="H350" s="639"/>
      <c r="I350" s="639"/>
      <c r="J350" s="639"/>
      <c r="K350" s="639"/>
      <c r="L350" s="639"/>
      <c r="M350" s="554" t="s">
        <v>708</v>
      </c>
    </row>
    <row r="351" spans="4:13" ht="15" customHeight="1">
      <c r="E351" s="626" t="s">
        <v>2003</v>
      </c>
      <c r="F351" s="611">
        <v>2018</v>
      </c>
      <c r="G351" s="611">
        <v>2020</v>
      </c>
      <c r="H351" s="611">
        <v>2025</v>
      </c>
      <c r="I351" s="611">
        <v>2030</v>
      </c>
      <c r="J351" s="611">
        <v>2035</v>
      </c>
      <c r="K351" s="611">
        <v>2040</v>
      </c>
      <c r="L351" s="611">
        <v>2045</v>
      </c>
      <c r="M351" s="611">
        <v>2050</v>
      </c>
    </row>
    <row r="352" spans="4:13" ht="15" customHeight="1">
      <c r="E352" s="1066" t="s">
        <v>2091</v>
      </c>
      <c r="F352" s="561" cm="1">
        <f t="array" ref="F352:M352">_xlfn.ANCHORARRAY(F311)*$H$131*$H$133</f>
        <v>0</v>
      </c>
      <c r="G352" s="639">
        <v>0</v>
      </c>
      <c r="H352" s="639">
        <v>0</v>
      </c>
      <c r="I352" s="639">
        <v>0</v>
      </c>
      <c r="J352" s="639">
        <v>0</v>
      </c>
      <c r="K352" s="639">
        <v>0</v>
      </c>
      <c r="L352" s="639">
        <v>0</v>
      </c>
      <c r="M352" s="639">
        <v>0</v>
      </c>
    </row>
    <row r="353" spans="5:13" ht="15" customHeight="1">
      <c r="E353" s="1142" t="s">
        <v>338</v>
      </c>
      <c r="F353" s="1133">
        <f t="shared" ref="F353:M353" si="10">SUM(F352:F352)</f>
        <v>0</v>
      </c>
      <c r="G353" s="1133">
        <f t="shared" si="10"/>
        <v>0</v>
      </c>
      <c r="H353" s="1133">
        <f t="shared" si="10"/>
        <v>0</v>
      </c>
      <c r="I353" s="1133">
        <f t="shared" si="10"/>
        <v>0</v>
      </c>
      <c r="J353" s="1133">
        <f t="shared" si="10"/>
        <v>0</v>
      </c>
      <c r="K353" s="1133">
        <f t="shared" si="10"/>
        <v>0</v>
      </c>
      <c r="L353" s="1133">
        <f t="shared" si="10"/>
        <v>0</v>
      </c>
      <c r="M353" s="1133">
        <f t="shared" si="10"/>
        <v>0</v>
      </c>
    </row>
    <row r="355" spans="5:13" ht="15" customHeight="1">
      <c r="E355" s="1067" t="s">
        <v>2092</v>
      </c>
      <c r="F355" s="639"/>
      <c r="G355" s="639"/>
      <c r="H355" s="639"/>
      <c r="I355" s="639"/>
      <c r="J355" s="639"/>
      <c r="K355" s="639"/>
      <c r="L355" s="639"/>
      <c r="M355" s="554" t="s">
        <v>2093</v>
      </c>
    </row>
    <row r="356" spans="5:13" ht="15" customHeight="1">
      <c r="E356" s="626" t="s">
        <v>2003</v>
      </c>
      <c r="F356" s="611">
        <v>2018</v>
      </c>
      <c r="G356" s="611">
        <v>2020</v>
      </c>
      <c r="H356" s="611">
        <v>2025</v>
      </c>
      <c r="I356" s="611">
        <v>2030</v>
      </c>
      <c r="J356" s="611">
        <v>2035</v>
      </c>
      <c r="K356" s="611">
        <v>2040</v>
      </c>
      <c r="L356" s="611">
        <v>2045</v>
      </c>
      <c r="M356" s="611">
        <v>2050</v>
      </c>
    </row>
    <row r="357" spans="5:13" ht="15" customHeight="1">
      <c r="E357" s="658" t="s">
        <v>1547</v>
      </c>
      <c r="F357" s="1140" cm="1">
        <f t="array" ref="F357:M357">_xlfn.ANCHORARRAY(F271)*$H$138*UNIDAD_KWH_A_TWH</f>
        <v>0</v>
      </c>
      <c r="G357" s="1140">
        <v>0</v>
      </c>
      <c r="H357" s="1140">
        <v>0</v>
      </c>
      <c r="I357" s="1140">
        <v>0</v>
      </c>
      <c r="J357" s="1140">
        <v>0</v>
      </c>
      <c r="K357" s="1140">
        <v>0</v>
      </c>
      <c r="L357" s="1140">
        <v>0</v>
      </c>
      <c r="M357" s="1140">
        <v>0</v>
      </c>
    </row>
    <row r="358" spans="5:13" ht="15" customHeight="1">
      <c r="E358" s="1135" t="s">
        <v>2094</v>
      </c>
      <c r="F358" s="1139" cm="1">
        <f t="array" ref="F358:M358">_xlfn.ANCHORARRAY(F310)*$H$139*UNIDAD_KWH_A_TWH</f>
        <v>0</v>
      </c>
      <c r="G358" s="1139">
        <v>0</v>
      </c>
      <c r="H358" s="1139">
        <v>0</v>
      </c>
      <c r="I358" s="1139">
        <v>0</v>
      </c>
      <c r="J358" s="1139">
        <v>0</v>
      </c>
      <c r="K358" s="1139">
        <v>0</v>
      </c>
      <c r="L358" s="1139">
        <v>0</v>
      </c>
      <c r="M358" s="1139">
        <v>0</v>
      </c>
    </row>
    <row r="359" spans="5:13" ht="15" customHeight="1">
      <c r="E359" s="1142" t="s">
        <v>338</v>
      </c>
      <c r="F359" s="1141">
        <f t="shared" ref="F359:M359" si="11">SUM(F357:F357)</f>
        <v>0</v>
      </c>
      <c r="G359" s="1141">
        <f t="shared" si="11"/>
        <v>0</v>
      </c>
      <c r="H359" s="1141">
        <f t="shared" si="11"/>
        <v>0</v>
      </c>
      <c r="I359" s="1141">
        <f t="shared" si="11"/>
        <v>0</v>
      </c>
      <c r="J359" s="1141">
        <f t="shared" si="11"/>
        <v>0</v>
      </c>
      <c r="K359" s="1141">
        <f t="shared" si="11"/>
        <v>0</v>
      </c>
      <c r="L359" s="1141">
        <f t="shared" si="11"/>
        <v>0</v>
      </c>
      <c r="M359" s="1141">
        <f t="shared" si="11"/>
        <v>0</v>
      </c>
    </row>
  </sheetData>
  <sheetProtection algorithmName="SHA-512" hashValue="OdHU1dl2S71HRRNTKDeBxBSsh3HLz9H0VYiUAEY5tRl73c3sjVTOdOb6HNjvF7KVpI446wcRKtCwL3y6+sHs5g==" saltValue="Y98vxREc92Z1lXw1uCKrYg==" spinCount="100000" sheet="1" objects="1" scenarios="1"/>
  <mergeCells count="4">
    <mergeCell ref="M9:M10"/>
    <mergeCell ref="M7:M8"/>
    <mergeCell ref="E9:G10"/>
    <mergeCell ref="E7:G8"/>
  </mergeCells>
  <pageMargins left="0.7" right="0.7" top="0.75" bottom="0.75" header="0.3" footer="0.3"/>
  <pageSetup paperSize="9" orientation="portrait" r:id="rId1"/>
  <customProperties>
    <customPr name="_pios_id" r:id="rId2"/>
  </customProperties>
  <ignoredErrors>
    <ignoredError sqref="F280:M280" emptyCellReference="1"/>
  </ignoredErrors>
  <drawing r:id="rId3"/>
  <legacyDrawing r:id="rId4"/>
  <mc:AlternateContent xmlns:mc="http://schemas.openxmlformats.org/markup-compatibility/2006">
    <mc:Choice Requires="x14">
      <controls>
        <mc:AlternateContent xmlns:mc="http://schemas.openxmlformats.org/markup-compatibility/2006">
          <mc:Choice Requires="x14">
            <control shapeId="34817" r:id="rId5" name="Spinner 1">
              <controlPr defaultSize="0" autoPict="0">
                <anchor moveWithCells="1" sizeWithCells="1">
                  <from>
                    <xdr:col>13</xdr:col>
                    <xdr:colOff>9525</xdr:colOff>
                    <xdr:row>6</xdr:row>
                    <xdr:rowOff>38100</xdr:rowOff>
                  </from>
                  <to>
                    <xdr:col>13</xdr:col>
                    <xdr:colOff>200025</xdr:colOff>
                    <xdr:row>7</xdr:row>
                    <xdr:rowOff>142875</xdr:rowOff>
                  </to>
                </anchor>
              </controlPr>
            </control>
          </mc:Choice>
        </mc:AlternateContent>
        <mc:AlternateContent xmlns:mc="http://schemas.openxmlformats.org/markup-compatibility/2006">
          <mc:Choice Requires="x14">
            <control shapeId="34818" r:id="rId6" name="Spinner 2">
              <controlPr defaultSize="0" autoPict="0">
                <anchor moveWithCells="1" sizeWithCells="1">
                  <from>
                    <xdr:col>13</xdr:col>
                    <xdr:colOff>9525</xdr:colOff>
                    <xdr:row>8</xdr:row>
                    <xdr:rowOff>38100</xdr:rowOff>
                  </from>
                  <to>
                    <xdr:col>13</xdr:col>
                    <xdr:colOff>200025</xdr:colOff>
                    <xdr:row>9</xdr:row>
                    <xdr:rowOff>142875</xdr:rowOff>
                  </to>
                </anchor>
              </controlPr>
            </control>
          </mc:Choice>
        </mc:AlternateContent>
      </controls>
    </mc:Choice>
  </mc:AlternateConten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6683-1A19-49B8-B899-C5EC382C7F62}">
  <sheetPr codeName="Hoja111"/>
  <dimension ref="A4:AP561"/>
  <sheetViews>
    <sheetView zoomScale="80" zoomScaleNormal="80" workbookViewId="0">
      <selection activeCell="N20" sqref="N20"/>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28515625" style="3" customWidth="1"/>
    <col min="6" max="13" width="11.7109375" style="3" customWidth="1"/>
    <col min="14" max="14" width="5.7109375" style="3" customWidth="1"/>
    <col min="15" max="23" width="12" style="3" hidden="1" customWidth="1"/>
    <col min="24" max="27" width="12" style="3" customWidth="1"/>
    <col min="28" max="28" width="12" style="3" bestFit="1" customWidth="1"/>
    <col min="29" max="30" width="11.5703125" style="3"/>
    <col min="31" max="31" width="12" style="3" bestFit="1" customWidth="1"/>
    <col min="32" max="32" width="20.28515625" style="3" bestFit="1" customWidth="1"/>
    <col min="33" max="33" width="11.5703125" style="3"/>
    <col min="34" max="34" width="11.85546875" style="3" bestFit="1" customWidth="1"/>
    <col min="35" max="16384" width="11.5703125" style="3"/>
  </cols>
  <sheetData>
    <row r="4" spans="1:42" ht="15" customHeight="1">
      <c r="D4" s="8" t="s">
        <v>1622</v>
      </c>
      <c r="E4" s="5"/>
      <c r="F4" s="5"/>
      <c r="G4" s="5"/>
      <c r="H4" s="5"/>
      <c r="I4" s="5"/>
      <c r="J4" s="5"/>
      <c r="K4" s="5"/>
      <c r="L4" s="5"/>
      <c r="M4" s="5"/>
      <c r="N4" s="5"/>
    </row>
    <row r="5" spans="1:42" ht="15" customHeight="1">
      <c r="A5" s="1559"/>
      <c r="D5" s="6"/>
      <c r="E5" s="6"/>
      <c r="F5" s="6"/>
      <c r="G5" s="6"/>
      <c r="H5" s="6"/>
      <c r="I5" s="6"/>
      <c r="J5" s="6"/>
      <c r="K5" s="6"/>
      <c r="L5" s="6"/>
      <c r="M5" s="6"/>
      <c r="N5" s="6"/>
    </row>
    <row r="6" spans="1:42" ht="15" customHeight="1">
      <c r="D6" s="6"/>
      <c r="E6" s="4" t="s">
        <v>1623</v>
      </c>
      <c r="F6" s="2197"/>
      <c r="G6" s="2197"/>
      <c r="H6" s="2197"/>
      <c r="I6" s="2197"/>
      <c r="J6" s="2197"/>
      <c r="K6" s="2197"/>
      <c r="L6" s="2197"/>
      <c r="M6" s="9" t="s">
        <v>879</v>
      </c>
      <c r="N6" s="6"/>
    </row>
    <row r="7" spans="1:42" ht="15" customHeight="1">
      <c r="D7" s="6"/>
      <c r="E7" s="3913" t="s">
        <v>137</v>
      </c>
      <c r="F7" s="3912"/>
      <c r="G7" s="3912"/>
      <c r="H7" s="6"/>
      <c r="I7" s="6"/>
      <c r="J7" s="6"/>
      <c r="K7" s="6"/>
      <c r="L7" s="6"/>
      <c r="M7" s="3925">
        <f>TRAYECTORIA_EDIF_RES_ACONDICI</f>
        <v>1</v>
      </c>
      <c r="N7" s="6"/>
    </row>
    <row r="8" spans="1:42" ht="15" customHeight="1">
      <c r="D8" s="6"/>
      <c r="E8" s="3924"/>
      <c r="F8" s="3924"/>
      <c r="G8" s="3924"/>
      <c r="H8" s="7"/>
      <c r="I8" s="7"/>
      <c r="J8" s="7"/>
      <c r="K8" s="7"/>
      <c r="L8" s="7"/>
      <c r="M8" s="3923"/>
      <c r="N8" s="6"/>
    </row>
    <row r="9" spans="1:42" ht="15" customHeight="1">
      <c r="D9" s="6"/>
      <c r="E9" s="6"/>
      <c r="F9" s="6"/>
      <c r="G9" s="6"/>
      <c r="H9" s="6"/>
      <c r="I9" s="6"/>
      <c r="J9" s="6"/>
      <c r="K9" s="6"/>
      <c r="L9" s="6"/>
      <c r="M9" s="6"/>
      <c r="N9" s="6"/>
    </row>
    <row r="11" spans="1:42" ht="15" customHeight="1">
      <c r="D11" s="335" t="s">
        <v>1190</v>
      </c>
      <c r="E11" s="336"/>
      <c r="F11" s="336"/>
      <c r="G11" s="336"/>
      <c r="H11" s="336"/>
      <c r="I11" s="336"/>
      <c r="J11" s="336"/>
      <c r="K11" s="336"/>
      <c r="L11" s="336"/>
      <c r="M11" s="336"/>
      <c r="N11" s="336"/>
    </row>
    <row r="12" spans="1:42" ht="15" customHeight="1">
      <c r="D12" s="11"/>
      <c r="E12" s="12"/>
      <c r="F12" s="12"/>
      <c r="G12" s="12"/>
      <c r="H12" s="12"/>
      <c r="I12" s="12"/>
      <c r="J12" s="12"/>
      <c r="K12" s="12"/>
      <c r="L12" s="12"/>
      <c r="M12" s="12"/>
      <c r="N12" s="12"/>
    </row>
    <row r="13" spans="1:42" ht="15" customHeight="1">
      <c r="D13" s="13"/>
      <c r="E13" s="2782" t="s">
        <v>1228</v>
      </c>
      <c r="F13" s="15"/>
      <c r="G13" s="16"/>
      <c r="H13" s="15"/>
      <c r="I13" s="17"/>
      <c r="J13" s="15"/>
      <c r="K13" s="17"/>
      <c r="L13" s="17"/>
      <c r="M13" s="17"/>
      <c r="N13" s="18"/>
    </row>
    <row r="14" spans="1:42" ht="15" customHeight="1">
      <c r="D14" s="13"/>
      <c r="E14" s="19"/>
      <c r="F14" s="20"/>
      <c r="G14" s="21"/>
      <c r="H14" s="20"/>
      <c r="I14" s="22"/>
      <c r="J14" s="20"/>
      <c r="K14" s="22"/>
      <c r="L14" s="22"/>
      <c r="M14" s="22"/>
      <c r="N14" s="20"/>
    </row>
    <row r="15" spans="1:42" ht="15" customHeight="1">
      <c r="D15" s="13"/>
      <c r="E15" s="23" t="s">
        <v>1726</v>
      </c>
      <c r="F15" s="20"/>
      <c r="G15" s="20"/>
      <c r="H15" s="20"/>
      <c r="I15" s="20"/>
      <c r="J15" s="20"/>
      <c r="K15" s="20"/>
      <c r="L15" s="20"/>
      <c r="M15" s="20"/>
      <c r="N15" s="20"/>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row>
    <row r="16" spans="1:42" ht="15" customHeight="1">
      <c r="D16" s="13"/>
      <c r="E16" s="24"/>
      <c r="F16" s="20"/>
      <c r="G16" s="20"/>
      <c r="H16" s="20"/>
      <c r="I16" s="20"/>
      <c r="J16" s="20"/>
      <c r="K16" s="20"/>
      <c r="L16" s="20"/>
      <c r="M16" s="20"/>
      <c r="N16" s="20"/>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row>
    <row r="17" spans="4:42" ht="15" customHeight="1">
      <c r="D17" s="25"/>
      <c r="E17" s="26" t="s">
        <v>2095</v>
      </c>
      <c r="F17" s="20"/>
      <c r="G17" s="20"/>
      <c r="H17" s="20"/>
      <c r="I17" s="20"/>
      <c r="J17" s="20"/>
      <c r="K17" s="20"/>
      <c r="L17" s="20"/>
      <c r="M17" s="27" t="s">
        <v>9</v>
      </c>
      <c r="N17" s="12"/>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row>
    <row r="18" spans="4:42" ht="15" customHeight="1">
      <c r="D18" s="25"/>
      <c r="E18" s="28" t="s">
        <v>789</v>
      </c>
      <c r="F18" s="29">
        <v>2018</v>
      </c>
      <c r="G18" s="29">
        <v>2020</v>
      </c>
      <c r="H18" s="29">
        <v>2025</v>
      </c>
      <c r="I18" s="29">
        <v>2030</v>
      </c>
      <c r="J18" s="29">
        <v>2035</v>
      </c>
      <c r="K18" s="29">
        <v>2040</v>
      </c>
      <c r="L18" s="29">
        <v>2045</v>
      </c>
      <c r="M18" s="29">
        <v>2050</v>
      </c>
      <c r="N18" s="12"/>
      <c r="P18" s="1320">
        <v>2018</v>
      </c>
      <c r="Q18" s="1320">
        <v>2020</v>
      </c>
      <c r="R18" s="1320">
        <v>2025</v>
      </c>
      <c r="S18" s="1320">
        <v>2030</v>
      </c>
      <c r="T18" s="1320">
        <v>2035</v>
      </c>
      <c r="U18" s="1320">
        <v>2040</v>
      </c>
      <c r="V18" s="1320">
        <v>2045</v>
      </c>
      <c r="W18" s="1320">
        <v>2050</v>
      </c>
      <c r="X18" s="415"/>
      <c r="Y18" s="415"/>
      <c r="Z18" s="415"/>
      <c r="AA18" s="415"/>
      <c r="AB18" s="415"/>
      <c r="AC18" s="415"/>
      <c r="AD18" s="415"/>
      <c r="AE18" s="415"/>
      <c r="AF18" s="415"/>
      <c r="AG18" s="415"/>
      <c r="AH18" s="415"/>
      <c r="AI18" s="415"/>
      <c r="AJ18" s="415"/>
      <c r="AK18" s="415"/>
      <c r="AL18" s="415"/>
      <c r="AM18" s="415"/>
      <c r="AN18" s="415"/>
      <c r="AO18" s="415"/>
      <c r="AP18" s="415"/>
    </row>
    <row r="19" spans="4:42" ht="15" customHeight="1">
      <c r="D19" s="25"/>
      <c r="E19" s="30" t="s">
        <v>795</v>
      </c>
      <c r="F19" s="3671" cm="1">
        <f t="array" ref="F19:M19">P19:W19*12*INDEX(GEN_HOGARES_URBANOS_NUEVOS,FRIO,0)*GEN_HOGARES</f>
        <v>3.619585806222218E-4</v>
      </c>
      <c r="G19" s="3671">
        <v>5.8681497600000061E-4</v>
      </c>
      <c r="H19" s="3671">
        <v>1.2857432280000002E-3</v>
      </c>
      <c r="I19" s="3671">
        <v>2.3162853119999991E-3</v>
      </c>
      <c r="J19" s="3671">
        <v>3.7019763000000019E-3</v>
      </c>
      <c r="K19" s="3671">
        <v>4.9207085307218477E-3</v>
      </c>
      <c r="L19" s="3671">
        <v>5.3588596637663124E-3</v>
      </c>
      <c r="M19" s="3671">
        <v>6.7390548196331612E-3</v>
      </c>
      <c r="N19" s="12"/>
      <c r="O19" s="3" t="s">
        <v>795</v>
      </c>
      <c r="P19" s="2198">
        <v>1.8333333333333301E-9</v>
      </c>
      <c r="Q19" s="2198">
        <v>3.6666666666666701E-9</v>
      </c>
      <c r="R19" s="2198">
        <v>5.5000000000000004E-9</v>
      </c>
      <c r="S19" s="2198">
        <v>7.3333333333333312E-9</v>
      </c>
      <c r="T19" s="2198">
        <v>9.166666666666671E-9</v>
      </c>
      <c r="U19" s="2198">
        <v>1.1000000000000001E-8</v>
      </c>
      <c r="V19" s="2198">
        <v>1.2833333333333301E-8</v>
      </c>
      <c r="W19" s="2198">
        <v>1.46666666666667E-8</v>
      </c>
      <c r="X19" s="415"/>
      <c r="Y19" s="415"/>
      <c r="Z19" s="415"/>
      <c r="AA19" s="415"/>
      <c r="AB19" s="415"/>
      <c r="AC19" s="415"/>
      <c r="AD19" s="415"/>
      <c r="AE19" s="415"/>
      <c r="AF19" s="415"/>
      <c r="AG19" s="415"/>
      <c r="AH19" s="415"/>
      <c r="AI19" s="415"/>
      <c r="AJ19" s="415"/>
      <c r="AK19" s="415"/>
      <c r="AL19" s="415"/>
      <c r="AM19" s="415"/>
      <c r="AN19" s="415"/>
      <c r="AO19" s="415"/>
      <c r="AP19" s="415"/>
    </row>
    <row r="20" spans="4:42" ht="15" customHeight="1">
      <c r="D20" s="25"/>
      <c r="E20" s="30" t="s">
        <v>791</v>
      </c>
      <c r="F20" s="3671" cm="1">
        <f t="array" ref="F20:M20">P20:W20*12*INDEX(GEN_HOGARES_URBANOS_NUEVOS,TEMPLADO,0)*GEN_HOGARES</f>
        <v>3.2096965362642522E-4</v>
      </c>
      <c r="G20" s="3671">
        <v>4.0172294345710625E-4</v>
      </c>
      <c r="H20" s="3671">
        <v>3.7887428492634783E-4</v>
      </c>
      <c r="I20" s="3671">
        <v>4.2802656178198885E-4</v>
      </c>
      <c r="J20" s="3671">
        <v>4.674852746460673E-4</v>
      </c>
      <c r="K20" s="3671">
        <v>5.3680456698783786E-4</v>
      </c>
      <c r="L20" s="3671">
        <v>5.156182311750817E-4</v>
      </c>
      <c r="M20" s="3671">
        <v>5.8335378471984466E-4</v>
      </c>
      <c r="N20" s="12"/>
      <c r="O20" s="3" t="s">
        <v>791</v>
      </c>
      <c r="P20" s="2198">
        <v>1.02601798834672E-9</v>
      </c>
      <c r="Q20" s="2198">
        <v>1.06081439067738E-9</v>
      </c>
      <c r="R20" s="2198">
        <v>1.0956107930080302E-9</v>
      </c>
      <c r="S20" s="2198">
        <v>1.1304071953386902E-9</v>
      </c>
      <c r="T20" s="2198">
        <v>1.16520359766934E-9</v>
      </c>
      <c r="U20" s="2198">
        <v>1.2E-9</v>
      </c>
      <c r="V20" s="2198">
        <v>1.23479640233066E-9</v>
      </c>
      <c r="W20" s="2198">
        <v>1.2695928046613102E-9</v>
      </c>
      <c r="X20" s="415"/>
      <c r="Y20" s="415"/>
      <c r="Z20" s="415"/>
      <c r="AA20" s="415"/>
      <c r="AB20" s="415"/>
      <c r="AC20" s="415"/>
      <c r="AD20" s="415"/>
      <c r="AE20" s="415"/>
      <c r="AF20" s="415"/>
      <c r="AG20" s="415"/>
      <c r="AH20" s="415"/>
      <c r="AI20" s="415"/>
      <c r="AJ20" s="415"/>
      <c r="AK20" s="415"/>
      <c r="AL20" s="415"/>
      <c r="AM20" s="415"/>
      <c r="AN20" s="415"/>
      <c r="AO20" s="415"/>
      <c r="AP20" s="415"/>
    </row>
    <row r="21" spans="4:42" ht="15" customHeight="1">
      <c r="D21" s="25"/>
      <c r="E21" s="30" t="s">
        <v>792</v>
      </c>
      <c r="F21" s="3671" cm="1">
        <f t="array" ref="F21:M21">P21:W21*12*INDEX(GEN_HOGARES_URBANOS_NUEVOS,CALIDO_SECO,0)*GEN_HOGARES</f>
        <v>1.5205763789607444E-2</v>
      </c>
      <c r="G21" s="3671">
        <v>2.4798950181573551E-2</v>
      </c>
      <c r="H21" s="3671">
        <v>2.8482457783143251E-2</v>
      </c>
      <c r="I21" s="3671">
        <v>3.7578107039524154E-2</v>
      </c>
      <c r="J21" s="3671">
        <v>4.6588466696841808E-2</v>
      </c>
      <c r="K21" s="3671">
        <v>5.9495839507818699E-2</v>
      </c>
      <c r="L21" s="3671">
        <v>6.2585324663120542E-2</v>
      </c>
      <c r="M21" s="3671">
        <v>7.6621758036684501E-2</v>
      </c>
      <c r="N21" s="12"/>
      <c r="O21" s="3" t="s">
        <v>792</v>
      </c>
      <c r="P21" s="2198">
        <v>4.8607047421519803E-8</v>
      </c>
      <c r="Q21" s="2198">
        <v>6.5485637937215806E-8</v>
      </c>
      <c r="R21" s="2198">
        <v>8.2364228452911814E-8</v>
      </c>
      <c r="S21" s="2198">
        <v>9.9242818968607916E-8</v>
      </c>
      <c r="T21" s="2198">
        <v>1.16121409484304E-7</v>
      </c>
      <c r="U21" s="2198">
        <v>1.3300000000000001E-7</v>
      </c>
      <c r="V21" s="2198">
        <v>1.4987859051569601E-7</v>
      </c>
      <c r="W21" s="2198">
        <v>1.6675718103139203E-7</v>
      </c>
      <c r="X21" s="415"/>
      <c r="Y21" s="415"/>
      <c r="Z21" s="415"/>
      <c r="AA21" s="415"/>
      <c r="AB21" s="415"/>
      <c r="AC21" s="415"/>
      <c r="AD21" s="415"/>
      <c r="AE21" s="415"/>
      <c r="AF21" s="415"/>
      <c r="AG21" s="415"/>
      <c r="AH21" s="415"/>
      <c r="AI21" s="415"/>
      <c r="AJ21" s="415"/>
      <c r="AK21" s="415"/>
      <c r="AL21" s="415"/>
      <c r="AM21" s="415"/>
      <c r="AN21" s="415"/>
      <c r="AO21" s="415"/>
      <c r="AP21" s="415"/>
    </row>
    <row r="22" spans="4:42" ht="15" customHeight="1">
      <c r="D22" s="25"/>
      <c r="E22" s="32" t="s">
        <v>793</v>
      </c>
      <c r="F22" s="3672" cm="1">
        <f t="array" ref="F22:M22">P22:W22*12*INDEX(GEN_HOGARES_URBANOS_NUEVOS,CALIDO_HUMEDO,0)*GEN_HOGARES</f>
        <v>1.3415854670702743E-2</v>
      </c>
      <c r="G22" s="3672">
        <v>2.3065548543857905E-2</v>
      </c>
      <c r="H22" s="3672">
        <v>2.7295290115314882E-2</v>
      </c>
      <c r="I22" s="3672">
        <v>3.6711508843391409E-2</v>
      </c>
      <c r="J22" s="3672">
        <v>4.612935527604875E-2</v>
      </c>
      <c r="K22" s="3672">
        <v>5.9495839507818699E-2</v>
      </c>
      <c r="L22" s="3672">
        <v>6.3063167287453092E-2</v>
      </c>
      <c r="M22" s="3672">
        <v>7.7673355526545251E-2</v>
      </c>
      <c r="N22" s="12"/>
      <c r="O22" s="3" t="s">
        <v>793</v>
      </c>
      <c r="P22" s="2198">
        <v>4.2885388277881508E-8</v>
      </c>
      <c r="Q22" s="2198">
        <v>6.0908310622305211E-8</v>
      </c>
      <c r="R22" s="2198">
        <v>7.8931232966728908E-8</v>
      </c>
      <c r="S22" s="2198">
        <v>9.6954155311152606E-8</v>
      </c>
      <c r="T22" s="2198">
        <v>1.14977077655576E-7</v>
      </c>
      <c r="U22" s="2198">
        <v>1.3300000000000001E-7</v>
      </c>
      <c r="V22" s="2198">
        <v>1.51022922344424E-7</v>
      </c>
      <c r="W22" s="2198">
        <v>1.6904584468884701E-7</v>
      </c>
      <c r="X22" s="415"/>
      <c r="Y22" s="415"/>
      <c r="Z22" s="415"/>
      <c r="AA22" s="415"/>
      <c r="AB22" s="415"/>
      <c r="AC22" s="415"/>
      <c r="AD22" s="415"/>
      <c r="AE22" s="415"/>
      <c r="AF22" s="415"/>
      <c r="AG22" s="415"/>
      <c r="AH22" s="415"/>
      <c r="AI22" s="415"/>
      <c r="AJ22" s="415"/>
      <c r="AK22" s="415"/>
      <c r="AL22" s="415"/>
      <c r="AM22" s="415"/>
      <c r="AN22" s="415"/>
      <c r="AO22" s="415"/>
      <c r="AP22" s="415"/>
    </row>
    <row r="23" spans="4:42" ht="15" customHeight="1">
      <c r="D23" s="25"/>
      <c r="E23" s="30"/>
      <c r="F23" s="31"/>
      <c r="G23" s="31"/>
      <c r="H23" s="31"/>
      <c r="I23" s="31"/>
      <c r="J23" s="31"/>
      <c r="K23" s="31"/>
      <c r="L23" s="31"/>
      <c r="M23" s="31"/>
      <c r="N23" s="12"/>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row>
    <row r="24" spans="4:42" ht="15" customHeight="1">
      <c r="D24" s="25"/>
      <c r="E24" s="26" t="s">
        <v>2096</v>
      </c>
      <c r="F24" s="20"/>
      <c r="G24" s="20"/>
      <c r="H24" s="20"/>
      <c r="I24" s="20"/>
      <c r="J24" s="20"/>
      <c r="K24" s="20"/>
      <c r="L24" s="20"/>
      <c r="M24" s="27" t="s">
        <v>9</v>
      </c>
      <c r="N24" s="12"/>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row>
    <row r="25" spans="4:42" ht="15" customHeight="1">
      <c r="D25" s="25"/>
      <c r="E25" s="28" t="s">
        <v>789</v>
      </c>
      <c r="F25" s="29">
        <v>2018</v>
      </c>
      <c r="G25" s="29">
        <v>2020</v>
      </c>
      <c r="H25" s="29">
        <v>2025</v>
      </c>
      <c r="I25" s="29">
        <v>2030</v>
      </c>
      <c r="J25" s="29">
        <v>2035</v>
      </c>
      <c r="K25" s="29">
        <v>2040</v>
      </c>
      <c r="L25" s="29">
        <v>2045</v>
      </c>
      <c r="M25" s="29">
        <v>2050</v>
      </c>
      <c r="N25" s="12"/>
      <c r="P25" s="1320">
        <v>2018</v>
      </c>
      <c r="Q25" s="1320">
        <v>2020</v>
      </c>
      <c r="R25" s="1320">
        <v>2025</v>
      </c>
      <c r="S25" s="1320">
        <v>2030</v>
      </c>
      <c r="T25" s="1320">
        <v>2035</v>
      </c>
      <c r="U25" s="1320">
        <v>2040</v>
      </c>
      <c r="V25" s="1320">
        <v>2045</v>
      </c>
      <c r="W25" s="1320">
        <v>2050</v>
      </c>
      <c r="X25" s="415"/>
      <c r="Y25" s="415"/>
      <c r="Z25" s="415"/>
      <c r="AA25" s="415"/>
      <c r="AB25" s="415"/>
      <c r="AC25" s="415"/>
      <c r="AD25" s="415"/>
      <c r="AE25" s="415"/>
      <c r="AF25" s="415"/>
      <c r="AG25" s="415"/>
      <c r="AH25" s="415"/>
      <c r="AI25" s="415"/>
      <c r="AJ25" s="415"/>
      <c r="AK25" s="415"/>
      <c r="AL25" s="415"/>
      <c r="AM25" s="415"/>
      <c r="AN25" s="415"/>
      <c r="AO25" s="415"/>
      <c r="AP25" s="415"/>
    </row>
    <row r="26" spans="4:42" ht="15" customHeight="1">
      <c r="D26" s="25"/>
      <c r="E26" s="30" t="s">
        <v>795</v>
      </c>
      <c r="F26" s="3671" cm="1">
        <f t="array" ref="F26:M26">P26:W26*12*(1-INDEX(GEN_HOGARES_URBANOS_NUEVOS,FRIO,0))*GEN_HOGARES</f>
        <v>2.1145263419377742E-2</v>
      </c>
      <c r="G26" s="3671">
        <v>4.8314433024000042E-2</v>
      </c>
      <c r="H26" s="3671">
        <v>9.0553058772000011E-2</v>
      </c>
      <c r="I26" s="3671">
        <v>0.14245154668799995</v>
      </c>
      <c r="J26" s="3671">
        <v>0.20196337370000009</v>
      </c>
      <c r="K26" s="3671">
        <v>0.2707696074692782</v>
      </c>
      <c r="L26" s="3671">
        <v>0.35010671233623281</v>
      </c>
      <c r="M26" s="3671">
        <v>0.43852985718036791</v>
      </c>
      <c r="N26" s="12"/>
      <c r="O26" s="3" t="s">
        <v>795</v>
      </c>
      <c r="P26" s="2198">
        <v>1.8333333333333301E-9</v>
      </c>
      <c r="Q26" s="2198">
        <v>3.6666666666666701E-9</v>
      </c>
      <c r="R26" s="2198">
        <v>5.5000000000000004E-9</v>
      </c>
      <c r="S26" s="2198">
        <v>7.3333333333333312E-9</v>
      </c>
      <c r="T26" s="2198">
        <v>9.166666666666671E-9</v>
      </c>
      <c r="U26" s="2198">
        <v>1.1000000000000001E-8</v>
      </c>
      <c r="V26" s="2198">
        <v>1.2833333333333301E-8</v>
      </c>
      <c r="W26" s="2198">
        <v>1.46666666666667E-8</v>
      </c>
      <c r="X26" s="415"/>
      <c r="Y26" s="415"/>
      <c r="Z26" s="415"/>
      <c r="AA26" s="415"/>
      <c r="AB26" s="415"/>
      <c r="AC26" s="415"/>
      <c r="AD26" s="415"/>
      <c r="AE26" s="415"/>
      <c r="AF26" s="415"/>
      <c r="AG26" s="415"/>
      <c r="AH26" s="415"/>
      <c r="AI26" s="415"/>
      <c r="AJ26" s="415"/>
      <c r="AK26" s="415"/>
      <c r="AL26" s="415"/>
      <c r="AM26" s="415"/>
      <c r="AN26" s="415"/>
      <c r="AO26" s="415"/>
      <c r="AP26" s="415"/>
    </row>
    <row r="27" spans="4:42" ht="15" customHeight="1">
      <c r="D27" s="25"/>
      <c r="E27" s="30" t="s">
        <v>791</v>
      </c>
      <c r="F27" s="3671" cm="1">
        <f t="array" ref="F27:M27">P27:W27*12*(1-INDEX(GEN_HOGARES_URBANOS_NUEVOS,TEMPLADO,0))*GEN_HOGARES</f>
        <v>1.1715464883482476E-2</v>
      </c>
      <c r="G27" s="3671">
        <v>1.3746044583947469E-2</v>
      </c>
      <c r="H27" s="3671">
        <v>1.7915595294733192E-2</v>
      </c>
      <c r="I27" s="3671">
        <v>2.1887418749088377E-2</v>
      </c>
      <c r="J27" s="3671">
        <v>2.5675278987454735E-2</v>
      </c>
      <c r="K27" s="3671">
        <v>2.9538502633012161E-2</v>
      </c>
      <c r="L27" s="3671">
        <v>3.3686533155163373E-2</v>
      </c>
      <c r="M27" s="3671">
        <v>3.7960523952637208E-2</v>
      </c>
      <c r="N27" s="12"/>
      <c r="O27" s="3" t="s">
        <v>791</v>
      </c>
      <c r="P27" s="2198">
        <v>1.02601798834672E-9</v>
      </c>
      <c r="Q27" s="2198">
        <v>1.06081439067738E-9</v>
      </c>
      <c r="R27" s="2198">
        <v>1.0956107930080302E-9</v>
      </c>
      <c r="S27" s="2198">
        <v>1.1304071953386902E-9</v>
      </c>
      <c r="T27" s="2198">
        <v>1.16520359766934E-9</v>
      </c>
      <c r="U27" s="2198">
        <v>1.2E-9</v>
      </c>
      <c r="V27" s="2198">
        <v>1.23479640233066E-9</v>
      </c>
      <c r="W27" s="2198">
        <v>1.2695928046613102E-9</v>
      </c>
      <c r="X27" s="415"/>
      <c r="Y27" s="415"/>
      <c r="Z27" s="415"/>
      <c r="AA27" s="415"/>
      <c r="AB27" s="415"/>
      <c r="AC27" s="415"/>
      <c r="AD27" s="415"/>
      <c r="AE27" s="415"/>
      <c r="AF27" s="415"/>
      <c r="AG27" s="415"/>
      <c r="AH27" s="415"/>
      <c r="AI27" s="415"/>
      <c r="AJ27" s="415"/>
      <c r="AK27" s="415"/>
      <c r="AL27" s="415"/>
      <c r="AM27" s="415"/>
      <c r="AN27" s="415"/>
      <c r="AO27" s="415"/>
      <c r="AP27" s="415"/>
    </row>
    <row r="28" spans="4:42" ht="15" customHeight="1">
      <c r="D28" s="25"/>
      <c r="E28" s="30" t="s">
        <v>792</v>
      </c>
      <c r="F28" s="3671" cm="1">
        <f t="array" ref="F28:M28">P28:W28*12*(1-INDEX(GEN_HOGARES_URBANOS_NUEVOS,CALIDO_SECO,0))*GEN_HOGARES</f>
        <v>0.5550138142062947</v>
      </c>
      <c r="G28" s="3671">
        <v>0.8485636192382443</v>
      </c>
      <c r="H28" s="3671">
        <v>1.346832463811354</v>
      </c>
      <c r="I28" s="3671">
        <v>1.9215811307314543</v>
      </c>
      <c r="J28" s="3671">
        <v>2.5587370232030899</v>
      </c>
      <c r="K28" s="3671">
        <v>3.2738507084921813</v>
      </c>
      <c r="L28" s="3671">
        <v>4.0888442006523853</v>
      </c>
      <c r="M28" s="3671">
        <v>4.9860001896475179</v>
      </c>
      <c r="N28" s="12"/>
      <c r="O28" s="3" t="s">
        <v>792</v>
      </c>
      <c r="P28" s="2198">
        <v>4.8607047421519803E-8</v>
      </c>
      <c r="Q28" s="2198">
        <v>6.5485637937215806E-8</v>
      </c>
      <c r="R28" s="2198">
        <v>8.2364228452911814E-8</v>
      </c>
      <c r="S28" s="2198">
        <v>9.9242818968607916E-8</v>
      </c>
      <c r="T28" s="2198">
        <v>1.16121409484304E-7</v>
      </c>
      <c r="U28" s="2198">
        <v>1.3300000000000001E-7</v>
      </c>
      <c r="V28" s="2198">
        <v>1.4987859051569601E-7</v>
      </c>
      <c r="W28" s="2198">
        <v>1.6675718103139203E-7</v>
      </c>
      <c r="X28" s="415"/>
      <c r="Y28" s="415"/>
      <c r="Z28" s="415"/>
    </row>
    <row r="29" spans="4:42" ht="15" customHeight="1">
      <c r="D29" s="25"/>
      <c r="E29" s="32" t="s">
        <v>793</v>
      </c>
      <c r="F29" s="3672" cm="1">
        <f t="array" ref="F29:M29">P29:W29*12*(1-INDEX(GEN_HOGARES_URBANOS_NUEVOS,CALIDO_HUMEDO,0))*GEN_HOGARES</f>
        <v>0.48968172691944012</v>
      </c>
      <c r="G29" s="3672">
        <v>0.78925056136588267</v>
      </c>
      <c r="H29" s="3672">
        <v>1.2906955964387377</v>
      </c>
      <c r="I29" s="3672">
        <v>1.8772670640366333</v>
      </c>
      <c r="J29" s="3672">
        <v>2.5335216539615386</v>
      </c>
      <c r="K29" s="3672">
        <v>3.2738507084921813</v>
      </c>
      <c r="L29" s="3672">
        <v>4.1200627659285667</v>
      </c>
      <c r="M29" s="3672">
        <v>5.0544306905682657</v>
      </c>
      <c r="N29" s="12"/>
      <c r="O29" s="3" t="s">
        <v>793</v>
      </c>
      <c r="P29" s="2198">
        <v>4.2885388277881508E-8</v>
      </c>
      <c r="Q29" s="2198">
        <v>6.0908310622305211E-8</v>
      </c>
      <c r="R29" s="2198">
        <v>7.8931232966728908E-8</v>
      </c>
      <c r="S29" s="2198">
        <v>9.6954155311152606E-8</v>
      </c>
      <c r="T29" s="2198">
        <v>1.14977077655576E-7</v>
      </c>
      <c r="U29" s="2198">
        <v>1.3300000000000001E-7</v>
      </c>
      <c r="V29" s="2198">
        <v>1.51022922344424E-7</v>
      </c>
      <c r="W29" s="2198">
        <v>1.6904584468884701E-7</v>
      </c>
      <c r="X29" s="415"/>
      <c r="Y29" s="415"/>
      <c r="Z29" s="415"/>
    </row>
    <row r="30" spans="4:42" ht="15" customHeight="1">
      <c r="D30" s="25"/>
      <c r="E30" s="30"/>
      <c r="F30" s="30"/>
      <c r="G30" s="33"/>
      <c r="H30" s="31"/>
      <c r="I30" s="31"/>
      <c r="J30" s="31"/>
      <c r="K30" s="31"/>
      <c r="L30" s="31"/>
      <c r="M30" s="31"/>
      <c r="N30" s="31"/>
      <c r="P30" s="415"/>
      <c r="Q30" s="415"/>
      <c r="R30" s="415"/>
      <c r="S30" s="415"/>
      <c r="T30" s="415"/>
      <c r="U30" s="415"/>
      <c r="V30" s="415"/>
      <c r="W30" s="415"/>
      <c r="X30" s="415"/>
      <c r="Y30" s="415"/>
      <c r="Z30" s="415"/>
    </row>
    <row r="31" spans="4:42" ht="15" customHeight="1">
      <c r="D31" s="25"/>
      <c r="E31" s="23" t="s">
        <v>1729</v>
      </c>
      <c r="F31" s="30"/>
      <c r="G31" s="33"/>
      <c r="H31" s="31"/>
      <c r="I31" s="31"/>
      <c r="J31" s="31"/>
      <c r="K31" s="31"/>
      <c r="L31" s="31"/>
      <c r="M31" s="31"/>
      <c r="N31" s="31"/>
      <c r="P31" s="415"/>
      <c r="Q31" s="415"/>
      <c r="R31" s="415"/>
      <c r="S31" s="415"/>
      <c r="T31" s="415"/>
      <c r="U31" s="415"/>
      <c r="V31" s="415"/>
      <c r="W31" s="415"/>
      <c r="X31" s="415"/>
      <c r="Y31" s="415"/>
      <c r="Z31" s="415"/>
    </row>
    <row r="32" spans="4:42" ht="15" customHeight="1">
      <c r="D32" s="11"/>
      <c r="E32" s="12"/>
      <c r="F32" s="12"/>
      <c r="G32" s="12"/>
      <c r="H32" s="12"/>
      <c r="I32" s="12"/>
      <c r="J32" s="12"/>
      <c r="K32" s="12"/>
      <c r="L32" s="12"/>
      <c r="M32" s="12"/>
      <c r="N32" s="12"/>
      <c r="P32" s="415"/>
      <c r="Q32" s="415"/>
      <c r="R32" s="415"/>
      <c r="S32" s="415"/>
      <c r="T32" s="415"/>
      <c r="U32" s="415"/>
      <c r="V32" s="415"/>
      <c r="W32" s="415"/>
      <c r="X32" s="415"/>
      <c r="Y32" s="415"/>
      <c r="Z32" s="415"/>
    </row>
    <row r="33" spans="4:26" ht="15" customHeight="1">
      <c r="D33" s="13"/>
      <c r="E33" s="26" t="s">
        <v>2095</v>
      </c>
      <c r="F33" s="20"/>
      <c r="G33" s="20"/>
      <c r="H33" s="20"/>
      <c r="I33" s="20"/>
      <c r="J33" s="20"/>
      <c r="K33" s="20"/>
      <c r="L33" s="20"/>
      <c r="M33" s="27" t="s">
        <v>9</v>
      </c>
      <c r="N33" s="12"/>
      <c r="P33" s="415"/>
      <c r="Q33" s="415"/>
      <c r="R33" s="415"/>
      <c r="S33" s="415"/>
      <c r="T33" s="415"/>
      <c r="U33" s="415"/>
      <c r="V33" s="415"/>
      <c r="W33" s="415"/>
      <c r="X33" s="415"/>
      <c r="Y33" s="415"/>
      <c r="Z33" s="415"/>
    </row>
    <row r="34" spans="4:26" ht="15" customHeight="1">
      <c r="D34" s="25"/>
      <c r="E34" s="28" t="s">
        <v>789</v>
      </c>
      <c r="F34" s="29">
        <v>2018</v>
      </c>
      <c r="G34" s="29">
        <v>2020</v>
      </c>
      <c r="H34" s="29">
        <v>2025</v>
      </c>
      <c r="I34" s="29">
        <v>2030</v>
      </c>
      <c r="J34" s="29">
        <v>2035</v>
      </c>
      <c r="K34" s="29">
        <v>2040</v>
      </c>
      <c r="L34" s="29">
        <v>2045</v>
      </c>
      <c r="M34" s="29">
        <v>2050</v>
      </c>
      <c r="N34" s="12"/>
      <c r="P34" s="1320">
        <v>2018</v>
      </c>
      <c r="Q34" s="1320">
        <v>2020</v>
      </c>
      <c r="R34" s="1320">
        <v>2025</v>
      </c>
      <c r="S34" s="1320">
        <v>2030</v>
      </c>
      <c r="T34" s="1320">
        <v>2035</v>
      </c>
      <c r="U34" s="1320">
        <v>2040</v>
      </c>
      <c r="V34" s="1320">
        <v>2045</v>
      </c>
      <c r="W34" s="1320">
        <v>2050</v>
      </c>
      <c r="X34" s="415"/>
      <c r="Z34" s="415"/>
    </row>
    <row r="35" spans="4:26" ht="15" customHeight="1">
      <c r="D35" s="25"/>
      <c r="E35" s="30" t="s">
        <v>795</v>
      </c>
      <c r="F35" s="3671" cm="1">
        <f t="array" ref="F35:M35">P35:W35*12*INDEX(GEN_HOGARES_URBANOS_NUEVOS,FRIO,0)*GEN_HOGARES</f>
        <v>3.0404520772266683E-4</v>
      </c>
      <c r="G35" s="3671">
        <v>4.9292457984000007E-4</v>
      </c>
      <c r="H35" s="3671">
        <v>1.0800243115200001E-3</v>
      </c>
      <c r="I35" s="3671">
        <v>1.9456796620800001E-3</v>
      </c>
      <c r="J35" s="3671">
        <v>3.1096600919999998E-3</v>
      </c>
      <c r="K35" s="3671">
        <v>4.1333951658063519E-3</v>
      </c>
      <c r="L35" s="3671">
        <v>4.5014421175637136E-3</v>
      </c>
      <c r="M35" s="3671">
        <v>5.6608060484918425E-3</v>
      </c>
      <c r="N35" s="12"/>
      <c r="O35" s="3" t="s">
        <v>795</v>
      </c>
      <c r="P35" s="415">
        <v>1.5400000000000001E-9</v>
      </c>
      <c r="Q35" s="415">
        <v>3.0800000000000001E-9</v>
      </c>
      <c r="R35" s="3">
        <v>4.6200000000000002E-9</v>
      </c>
      <c r="S35" s="3">
        <v>6.1600000000000002E-9</v>
      </c>
      <c r="T35" s="3">
        <v>7.7000000000000011E-9</v>
      </c>
      <c r="U35" s="3">
        <v>9.2400000000000004E-9</v>
      </c>
      <c r="V35" s="3">
        <v>1.078E-8</v>
      </c>
      <c r="W35" s="3">
        <v>1.232E-8</v>
      </c>
      <c r="X35" s="415"/>
      <c r="Z35" s="415"/>
    </row>
    <row r="36" spans="4:26" ht="15" customHeight="1">
      <c r="D36" s="25"/>
      <c r="E36" s="30" t="s">
        <v>791</v>
      </c>
      <c r="F36" s="3671" cm="1">
        <f t="array" ref="F36:M36">P36:W36*12*INDEX(GEN_HOGARES_URBANOS_NUEVOS,TEMPLADO,0)*GEN_HOGARES</f>
        <v>2.4714663329234793E-4</v>
      </c>
      <c r="G36" s="3671">
        <v>3.0932666646197118E-4</v>
      </c>
      <c r="H36" s="3671">
        <v>2.9173319939328879E-4</v>
      </c>
      <c r="I36" s="3671">
        <v>3.2958045257213087E-4</v>
      </c>
      <c r="J36" s="3671">
        <v>3.5996366147747304E-4</v>
      </c>
      <c r="K36" s="3671">
        <v>4.1333951658063518E-4</v>
      </c>
      <c r="L36" s="3671">
        <v>3.9702603800481173E-4</v>
      </c>
      <c r="M36" s="3671">
        <v>4.4918241423428046E-4</v>
      </c>
      <c r="N36" s="12"/>
      <c r="O36" s="3" t="s">
        <v>791</v>
      </c>
      <c r="P36" s="415">
        <v>7.9003385102697606E-10</v>
      </c>
      <c r="Q36" s="415">
        <v>8.1682708082158099E-10</v>
      </c>
      <c r="R36" s="3">
        <v>8.4362031061618603E-10</v>
      </c>
      <c r="S36" s="3">
        <v>8.7041354041079004E-10</v>
      </c>
      <c r="T36" s="3">
        <v>8.9720677020539497E-10</v>
      </c>
      <c r="U36" s="3">
        <v>9.2400000000000012E-10</v>
      </c>
      <c r="V36" s="3">
        <v>9.5079322979460516E-10</v>
      </c>
      <c r="W36" s="3">
        <v>9.7758645958920896E-10</v>
      </c>
      <c r="X36" s="415"/>
      <c r="Z36" s="415"/>
    </row>
    <row r="37" spans="4:26" ht="15" customHeight="1">
      <c r="D37" s="25"/>
      <c r="E37" s="30" t="s">
        <v>792</v>
      </c>
      <c r="F37" s="3671" cm="1">
        <f t="array" ref="F37:M37">P37:W37*12*INDEX(GEN_HOGARES_URBANOS_NUEVOS,CALIDO_SECO,0)*GEN_HOGARES</f>
        <v>1.4749590875919219E-2</v>
      </c>
      <c r="G37" s="3671">
        <v>2.4054981676126332E-2</v>
      </c>
      <c r="H37" s="3671">
        <v>2.7627984049648963E-2</v>
      </c>
      <c r="I37" s="3671">
        <v>3.6450763828338437E-2</v>
      </c>
      <c r="J37" s="3671">
        <v>4.5190812695936597E-2</v>
      </c>
      <c r="K37" s="3671">
        <v>5.7710964322584123E-2</v>
      </c>
      <c r="L37" s="3671">
        <v>6.0707764923226881E-2</v>
      </c>
      <c r="M37" s="3671">
        <v>7.4323105295583849E-2</v>
      </c>
      <c r="N37" s="12"/>
      <c r="O37" s="3" t="s">
        <v>792</v>
      </c>
      <c r="P37" s="415">
        <v>4.7148835998874202E-8</v>
      </c>
      <c r="Q37" s="415">
        <v>6.3521068799099299E-8</v>
      </c>
      <c r="R37" s="3">
        <v>7.9893301599324507E-8</v>
      </c>
      <c r="S37" s="3">
        <v>9.6265534399549703E-8</v>
      </c>
      <c r="T37" s="3">
        <v>1.12637767199775E-7</v>
      </c>
      <c r="U37" s="3">
        <v>1.2900999999999999E-7</v>
      </c>
      <c r="V37" s="3">
        <v>1.4538223280022503E-7</v>
      </c>
      <c r="W37" s="3">
        <v>1.6175446560045001E-7</v>
      </c>
      <c r="X37" s="415"/>
      <c r="Z37" s="415"/>
    </row>
    <row r="38" spans="4:26" ht="15" customHeight="1">
      <c r="D38" s="25"/>
      <c r="E38" s="32" t="s">
        <v>793</v>
      </c>
      <c r="F38" s="3672" cm="1">
        <f t="array" ref="F38:M38">P38:W38*12*INDEX(GEN_HOGARES_URBANOS_NUEVOS,CALIDO_HUMEDO,0)*GEN_HOGARES</f>
        <v>1.3013379030581676E-2</v>
      </c>
      <c r="G38" s="3672">
        <v>2.2373582087542185E-2</v>
      </c>
      <c r="H38" s="3672">
        <v>2.6476431411855426E-2</v>
      </c>
      <c r="I38" s="3672">
        <v>3.5610163578089653E-2</v>
      </c>
      <c r="J38" s="3672">
        <v>4.4745474617767414E-2</v>
      </c>
      <c r="K38" s="3672">
        <v>5.7710964322584123E-2</v>
      </c>
      <c r="L38" s="3672">
        <v>6.1171272268829381E-2</v>
      </c>
      <c r="M38" s="3672">
        <v>7.5343154860749079E-2</v>
      </c>
      <c r="N38" s="12"/>
      <c r="O38" s="3" t="s">
        <v>793</v>
      </c>
      <c r="P38" s="415">
        <v>4.1598826629545107E-8</v>
      </c>
      <c r="Q38" s="415">
        <v>5.90810613036361E-8</v>
      </c>
      <c r="R38" s="3">
        <v>7.6563295977727001E-8</v>
      </c>
      <c r="S38" s="3">
        <v>9.4045530651818001E-8</v>
      </c>
      <c r="T38" s="3">
        <v>1.1152776532590901E-7</v>
      </c>
      <c r="U38" s="3">
        <v>1.2900999999999999E-7</v>
      </c>
      <c r="V38" s="3">
        <v>1.4649223467409102E-7</v>
      </c>
      <c r="W38" s="3">
        <v>1.6397446934818202E-7</v>
      </c>
      <c r="X38" s="415"/>
      <c r="Z38" s="415"/>
    </row>
    <row r="39" spans="4:26" ht="15" customHeight="1">
      <c r="D39" s="25"/>
      <c r="E39" s="30"/>
      <c r="F39" s="34"/>
      <c r="G39" s="34"/>
      <c r="H39" s="34"/>
      <c r="I39" s="34"/>
      <c r="J39" s="34"/>
      <c r="K39" s="34"/>
      <c r="L39" s="34"/>
      <c r="M39" s="34"/>
      <c r="N39" s="12"/>
      <c r="Z39" s="415"/>
    </row>
    <row r="40" spans="4:26" ht="15" customHeight="1">
      <c r="D40" s="25"/>
      <c r="E40" s="26" t="s">
        <v>2096</v>
      </c>
      <c r="F40" s="20"/>
      <c r="G40" s="20"/>
      <c r="H40" s="20"/>
      <c r="I40" s="20"/>
      <c r="J40" s="20"/>
      <c r="K40" s="20"/>
      <c r="L40" s="20"/>
      <c r="M40" s="27" t="s">
        <v>9</v>
      </c>
      <c r="N40" s="12"/>
      <c r="Z40" s="415"/>
    </row>
    <row r="41" spans="4:26" ht="15" customHeight="1">
      <c r="D41" s="25"/>
      <c r="E41" s="28" t="s">
        <v>789</v>
      </c>
      <c r="F41" s="29">
        <v>2018</v>
      </c>
      <c r="G41" s="29">
        <v>2020</v>
      </c>
      <c r="H41" s="29">
        <v>2025</v>
      </c>
      <c r="I41" s="29">
        <v>2030</v>
      </c>
      <c r="J41" s="29">
        <v>2035</v>
      </c>
      <c r="K41" s="29">
        <v>2040</v>
      </c>
      <c r="L41" s="29">
        <v>2045</v>
      </c>
      <c r="M41" s="29">
        <v>2050</v>
      </c>
      <c r="N41" s="12"/>
      <c r="P41" s="1320">
        <v>2018</v>
      </c>
      <c r="Q41" s="1320">
        <v>2020</v>
      </c>
      <c r="R41" s="1320">
        <v>2025</v>
      </c>
      <c r="S41" s="1320">
        <v>2030</v>
      </c>
      <c r="T41" s="1320">
        <v>2035</v>
      </c>
      <c r="U41" s="1320">
        <v>2040</v>
      </c>
      <c r="V41" s="1320">
        <v>2045</v>
      </c>
      <c r="W41" s="1320">
        <v>2050</v>
      </c>
      <c r="Z41" s="415"/>
    </row>
    <row r="42" spans="4:26" ht="15" customHeight="1">
      <c r="D42" s="25"/>
      <c r="E42" s="30" t="s">
        <v>795</v>
      </c>
      <c r="F42" s="3671" cm="1">
        <f t="array" ref="F42:M42">P42:W42*12*(1-INDEX(GEN_HOGARES_URBANOS_NUEVOS,FRIO,0))*GEN_HOGARES</f>
        <v>2.1145263419377742E-2</v>
      </c>
      <c r="G42" s="3671">
        <v>7.7303092838400039E-3</v>
      </c>
      <c r="H42" s="3671">
        <v>1.4488489403520001E-2</v>
      </c>
      <c r="I42" s="3671">
        <v>2.2792247470079935E-2</v>
      </c>
      <c r="J42" s="3671">
        <v>3.2314139792000075E-2</v>
      </c>
      <c r="K42" s="3671">
        <v>4.3323137195084509E-2</v>
      </c>
      <c r="L42" s="3671">
        <v>5.60170739737973E-2</v>
      </c>
      <c r="M42" s="3671">
        <v>7.0164777148858784E-2</v>
      </c>
      <c r="N42" s="12"/>
      <c r="O42" s="3" t="s">
        <v>795</v>
      </c>
      <c r="P42" s="415">
        <v>1.8333333333333301E-9</v>
      </c>
      <c r="Q42" s="415">
        <v>5.8666666666666702E-10</v>
      </c>
      <c r="R42" s="3">
        <v>8.8000000000000006E-10</v>
      </c>
      <c r="S42" s="3">
        <v>1.1733333333333301E-9</v>
      </c>
      <c r="T42" s="3">
        <v>1.4666666666666701E-9</v>
      </c>
      <c r="U42" s="3">
        <v>1.7600000000000001E-9</v>
      </c>
      <c r="V42" s="3">
        <v>2.0533333333333304E-9</v>
      </c>
      <c r="W42" s="3">
        <v>2.3466666666666697E-9</v>
      </c>
      <c r="Z42" s="415"/>
    </row>
    <row r="43" spans="4:26" ht="15" customHeight="1">
      <c r="D43" s="25"/>
      <c r="E43" s="30" t="s">
        <v>791</v>
      </c>
      <c r="F43" s="3671" cm="1">
        <f t="array" ref="F43:M43">P43:W43*12*(1-INDEX(GEN_HOGARES_URBANOS_NUEVOS,TEMPLADO,0))*GEN_HOGARES</f>
        <v>1.1715464883482476E-2</v>
      </c>
      <c r="G43" s="3671">
        <v>9.3473103170842627E-3</v>
      </c>
      <c r="H43" s="3671">
        <v>1.2182604800418599E-2</v>
      </c>
      <c r="I43" s="3671">
        <v>1.4883444749380071E-2</v>
      </c>
      <c r="J43" s="3671">
        <v>1.7459189711469286E-2</v>
      </c>
      <c r="K43" s="3671">
        <v>2.0086181790448267E-2</v>
      </c>
      <c r="L43" s="3671">
        <v>2.2906842545511015E-2</v>
      </c>
      <c r="M43" s="3671">
        <v>2.58131562877933E-2</v>
      </c>
      <c r="N43" s="12"/>
      <c r="O43" s="3" t="s">
        <v>791</v>
      </c>
      <c r="P43" s="415">
        <v>1.02601798834672E-9</v>
      </c>
      <c r="Q43" s="415">
        <v>7.2135378566061705E-10</v>
      </c>
      <c r="R43" s="3">
        <v>7.4501533924546208E-10</v>
      </c>
      <c r="S43" s="3">
        <v>7.6867689283030804E-10</v>
      </c>
      <c r="T43" s="3">
        <v>7.9233844641515411E-10</v>
      </c>
      <c r="U43" s="3">
        <v>8.1599999999999997E-10</v>
      </c>
      <c r="V43" s="3">
        <v>8.3966155358484604E-10</v>
      </c>
      <c r="W43" s="3">
        <v>8.6332310716969097E-10</v>
      </c>
      <c r="Z43" s="415"/>
    </row>
    <row r="44" spans="4:26" ht="15" customHeight="1">
      <c r="D44" s="25"/>
      <c r="E44" s="30" t="s">
        <v>792</v>
      </c>
      <c r="F44" s="3671" cm="1">
        <f t="array" ref="F44:M44">P44:W44*12*(1-INDEX(GEN_HOGARES_URBANOS_NUEVOS,CALIDO_SECO,0))*GEN_HOGARES</f>
        <v>0.5550138142062947</v>
      </c>
      <c r="G44" s="3671">
        <v>0.71279344016012558</v>
      </c>
      <c r="H44" s="3671">
        <v>1.131339269601537</v>
      </c>
      <c r="I44" s="3671">
        <v>1.6141281498144211</v>
      </c>
      <c r="J44" s="3671">
        <v>2.1493390994905939</v>
      </c>
      <c r="K44" s="3671">
        <v>2.7500345951334326</v>
      </c>
      <c r="L44" s="3671">
        <v>3.4346291285480137</v>
      </c>
      <c r="M44" s="3671">
        <v>4.1882401593039065</v>
      </c>
      <c r="N44" s="12"/>
      <c r="O44" s="3" t="s">
        <v>792</v>
      </c>
      <c r="P44" s="415">
        <v>4.8607047421519803E-8</v>
      </c>
      <c r="Q44" s="415">
        <v>5.5007935867261306E-8</v>
      </c>
      <c r="R44" s="3">
        <v>6.9185951900445908E-8</v>
      </c>
      <c r="S44" s="3">
        <v>8.3363967933630609E-8</v>
      </c>
      <c r="T44" s="3">
        <v>9.7541983966815296E-8</v>
      </c>
      <c r="U44" s="3">
        <v>1.1172000000000001E-7</v>
      </c>
      <c r="V44" s="3">
        <v>1.2589801603318502E-7</v>
      </c>
      <c r="W44" s="3">
        <v>1.4007603206636903E-7</v>
      </c>
      <c r="Z44" s="415"/>
    </row>
    <row r="45" spans="4:26" ht="15" customHeight="1">
      <c r="D45" s="25"/>
      <c r="E45" s="32" t="s">
        <v>793</v>
      </c>
      <c r="F45" s="3672" cm="1">
        <f t="array" ref="F45:M45">P45:W45*12*(1-INDEX(GEN_HOGARES_URBANOS_NUEVOS,CALIDO_HUMEDO,0))*GEN_HOGARES</f>
        <v>0.48968172691944012</v>
      </c>
      <c r="G45" s="3672">
        <v>0.66297047154734168</v>
      </c>
      <c r="H45" s="3672">
        <v>1.0841843010085401</v>
      </c>
      <c r="I45" s="3672">
        <v>1.5769043337907724</v>
      </c>
      <c r="J45" s="3672">
        <v>2.1281581893276984</v>
      </c>
      <c r="K45" s="3672">
        <v>2.7500345951334326</v>
      </c>
      <c r="L45" s="3672">
        <v>3.4608527233799924</v>
      </c>
      <c r="M45" s="3672">
        <v>4.2457217800773579</v>
      </c>
      <c r="N45" s="12"/>
      <c r="O45" s="3" t="s">
        <v>793</v>
      </c>
      <c r="P45" s="3">
        <v>4.2885388277881508E-8</v>
      </c>
      <c r="Q45" s="3">
        <v>5.1162980922736404E-8</v>
      </c>
      <c r="R45" s="3">
        <v>6.6302235692052307E-8</v>
      </c>
      <c r="S45" s="3">
        <v>8.1441490461368204E-8</v>
      </c>
      <c r="T45" s="3">
        <v>9.6580745230684114E-8</v>
      </c>
      <c r="U45" s="3">
        <v>1.1172000000000001E-7</v>
      </c>
      <c r="V45" s="3">
        <v>1.2685925476931601E-7</v>
      </c>
      <c r="W45" s="3">
        <v>1.41998509538632E-7</v>
      </c>
      <c r="Z45" s="415"/>
    </row>
    <row r="46" spans="4:26" ht="15" customHeight="1">
      <c r="D46" s="11"/>
      <c r="E46" s="12"/>
      <c r="F46" s="12"/>
      <c r="G46" s="12"/>
      <c r="H46" s="12"/>
      <c r="I46" s="12"/>
      <c r="J46" s="12"/>
      <c r="K46" s="12"/>
      <c r="L46" s="12"/>
      <c r="M46" s="12"/>
      <c r="N46" s="12"/>
    </row>
    <row r="47" spans="4:26" ht="15" customHeight="1">
      <c r="D47" s="11"/>
      <c r="E47" s="23" t="s">
        <v>1730</v>
      </c>
      <c r="F47" s="12"/>
      <c r="G47" s="12"/>
      <c r="H47" s="12"/>
      <c r="I47" s="12"/>
      <c r="J47" s="12"/>
      <c r="K47" s="12"/>
      <c r="L47" s="12"/>
      <c r="M47" s="12"/>
      <c r="N47" s="12"/>
    </row>
    <row r="48" spans="4:26" ht="15" customHeight="1">
      <c r="D48" s="11"/>
      <c r="E48" s="12"/>
      <c r="F48" s="12"/>
      <c r="G48" s="12"/>
      <c r="H48" s="12"/>
      <c r="I48" s="12"/>
      <c r="J48" s="12"/>
      <c r="K48" s="12"/>
      <c r="L48" s="12"/>
      <c r="M48" s="12"/>
      <c r="N48" s="12"/>
    </row>
    <row r="49" spans="4:23" ht="15" customHeight="1">
      <c r="D49" s="13"/>
      <c r="E49" s="26" t="s">
        <v>2095</v>
      </c>
      <c r="F49" s="20"/>
      <c r="G49" s="20"/>
      <c r="H49" s="20"/>
      <c r="I49" s="20"/>
      <c r="J49" s="20"/>
      <c r="K49" s="20"/>
      <c r="L49" s="20"/>
      <c r="M49" s="27" t="s">
        <v>9</v>
      </c>
      <c r="N49" s="12"/>
      <c r="P49" s="415"/>
      <c r="Q49" s="415"/>
      <c r="R49" s="415"/>
      <c r="S49" s="415"/>
      <c r="T49" s="415"/>
      <c r="U49" s="415"/>
      <c r="V49" s="415"/>
      <c r="W49" s="415"/>
    </row>
    <row r="50" spans="4:23" ht="15" customHeight="1">
      <c r="D50" s="25"/>
      <c r="E50" s="28" t="s">
        <v>789</v>
      </c>
      <c r="F50" s="29">
        <v>2018</v>
      </c>
      <c r="G50" s="29">
        <v>2020</v>
      </c>
      <c r="H50" s="29">
        <v>2025</v>
      </c>
      <c r="I50" s="29">
        <v>2030</v>
      </c>
      <c r="J50" s="29">
        <v>2035</v>
      </c>
      <c r="K50" s="29">
        <v>2040</v>
      </c>
      <c r="L50" s="29">
        <v>2045</v>
      </c>
      <c r="M50" s="29">
        <v>2050</v>
      </c>
      <c r="N50" s="12"/>
      <c r="P50" s="1320">
        <v>2018</v>
      </c>
      <c r="Q50" s="1320">
        <v>2020</v>
      </c>
      <c r="R50" s="1320">
        <v>2025</v>
      </c>
      <c r="S50" s="1320">
        <v>2030</v>
      </c>
      <c r="T50" s="1320">
        <v>2035</v>
      </c>
      <c r="U50" s="1320">
        <v>2040</v>
      </c>
      <c r="V50" s="1320">
        <v>2045</v>
      </c>
      <c r="W50" s="1320">
        <v>2050</v>
      </c>
    </row>
    <row r="51" spans="4:23" ht="15" customHeight="1">
      <c r="D51" s="25"/>
      <c r="E51" s="30" t="s">
        <v>795</v>
      </c>
      <c r="F51" s="3671" cm="1">
        <f t="array" ref="F51:M51">P51:W51*12*INDEX(GEN_HOGARES_URBANOS_NUEVOS,FRIO,0)*GEN_HOGARES</f>
        <v>3.0404520772266683E-4</v>
      </c>
      <c r="G51" s="3671">
        <v>4.9292457984000007E-4</v>
      </c>
      <c r="H51" s="3671">
        <v>1.0800243115200001E-3</v>
      </c>
      <c r="I51" s="3671">
        <v>1.9456796620800001E-3</v>
      </c>
      <c r="J51" s="3671">
        <v>3.1096600919999998E-3</v>
      </c>
      <c r="K51" s="3671">
        <v>4.1333951658063519E-3</v>
      </c>
      <c r="L51" s="3671">
        <v>4.5014421175637136E-3</v>
      </c>
      <c r="M51" s="3671">
        <v>5.6608060484918425E-3</v>
      </c>
      <c r="N51" s="12"/>
      <c r="O51" s="3" t="s">
        <v>795</v>
      </c>
      <c r="P51" s="415">
        <v>1.5400000000000001E-9</v>
      </c>
      <c r="Q51" s="415">
        <v>3.0800000000000001E-9</v>
      </c>
      <c r="R51" s="3">
        <v>4.6200000000000002E-9</v>
      </c>
      <c r="S51" s="3">
        <v>6.1600000000000002E-9</v>
      </c>
      <c r="T51" s="3">
        <v>7.7000000000000011E-9</v>
      </c>
      <c r="U51" s="3">
        <v>9.2400000000000004E-9</v>
      </c>
      <c r="V51" s="3">
        <v>1.078E-8</v>
      </c>
      <c r="W51" s="3">
        <v>1.232E-8</v>
      </c>
    </row>
    <row r="52" spans="4:23" ht="15" customHeight="1">
      <c r="D52" s="25"/>
      <c r="E52" s="30" t="s">
        <v>791</v>
      </c>
      <c r="F52" s="3671" cm="1">
        <f t="array" ref="F52:M52">P52:W52*12*INDEX(GEN_HOGARES_URBANOS_NUEVOS,TEMPLADO,0)*GEN_HOGARES</f>
        <v>2.4714663329234793E-4</v>
      </c>
      <c r="G52" s="3671">
        <v>3.0932666646197118E-4</v>
      </c>
      <c r="H52" s="3671">
        <v>2.9173319939328879E-4</v>
      </c>
      <c r="I52" s="3671">
        <v>3.2958045257213087E-4</v>
      </c>
      <c r="J52" s="3671">
        <v>3.5996366147747304E-4</v>
      </c>
      <c r="K52" s="3671">
        <v>4.1333951658063518E-4</v>
      </c>
      <c r="L52" s="3671">
        <v>3.9702603800481173E-4</v>
      </c>
      <c r="M52" s="3671">
        <v>4.4918241423428046E-4</v>
      </c>
      <c r="N52" s="12"/>
      <c r="O52" s="3" t="s">
        <v>791</v>
      </c>
      <c r="P52" s="415">
        <v>7.9003385102697606E-10</v>
      </c>
      <c r="Q52" s="415">
        <v>8.1682708082158099E-10</v>
      </c>
      <c r="R52" s="3">
        <v>8.4362031061618603E-10</v>
      </c>
      <c r="S52" s="3">
        <v>8.7041354041079004E-10</v>
      </c>
      <c r="T52" s="3">
        <v>8.9720677020539497E-10</v>
      </c>
      <c r="U52" s="3">
        <v>9.2400000000000012E-10</v>
      </c>
      <c r="V52" s="3">
        <v>9.5079322979460516E-10</v>
      </c>
      <c r="W52" s="3">
        <v>9.7758645958920896E-10</v>
      </c>
    </row>
    <row r="53" spans="4:23" ht="15" customHeight="1">
      <c r="D53" s="25"/>
      <c r="E53" s="30" t="s">
        <v>792</v>
      </c>
      <c r="F53" s="3671" cm="1">
        <f t="array" ref="F53:M53">P53:W53*12*INDEX(GEN_HOGARES_URBANOS_NUEVOS,CALIDO_SECO,0)*GEN_HOGARES</f>
        <v>1.4749590875919219E-2</v>
      </c>
      <c r="G53" s="3671">
        <v>2.4054981676126332E-2</v>
      </c>
      <c r="H53" s="3671">
        <v>2.7627984049648963E-2</v>
      </c>
      <c r="I53" s="3671">
        <v>3.6450763828338437E-2</v>
      </c>
      <c r="J53" s="3671">
        <v>4.5190812695936597E-2</v>
      </c>
      <c r="K53" s="3671">
        <v>5.7710964322584123E-2</v>
      </c>
      <c r="L53" s="3671">
        <v>6.0707764923226881E-2</v>
      </c>
      <c r="M53" s="3671">
        <v>7.4323105295583849E-2</v>
      </c>
      <c r="N53" s="12"/>
      <c r="O53" s="3" t="s">
        <v>792</v>
      </c>
      <c r="P53" s="415">
        <v>4.7148835998874202E-8</v>
      </c>
      <c r="Q53" s="415">
        <v>6.3521068799099299E-8</v>
      </c>
      <c r="R53" s="3">
        <v>7.9893301599324507E-8</v>
      </c>
      <c r="S53" s="3">
        <v>9.6265534399549703E-8</v>
      </c>
      <c r="T53" s="3">
        <v>1.12637767199775E-7</v>
      </c>
      <c r="U53" s="3">
        <v>1.2900999999999999E-7</v>
      </c>
      <c r="V53" s="3">
        <v>1.4538223280022503E-7</v>
      </c>
      <c r="W53" s="3">
        <v>1.6175446560045001E-7</v>
      </c>
    </row>
    <row r="54" spans="4:23" ht="15" customHeight="1">
      <c r="D54" s="25"/>
      <c r="E54" s="32" t="s">
        <v>793</v>
      </c>
      <c r="F54" s="3672" cm="1">
        <f t="array" ref="F54:M54">P54:W54*12*INDEX(GEN_HOGARES_URBANOS_NUEVOS,CALIDO_HUMEDO,0)*GEN_HOGARES</f>
        <v>1.3013379030581676E-2</v>
      </c>
      <c r="G54" s="3672">
        <v>2.2373582087542185E-2</v>
      </c>
      <c r="H54" s="3672">
        <v>2.6476431411855426E-2</v>
      </c>
      <c r="I54" s="3672">
        <v>3.5610163578089653E-2</v>
      </c>
      <c r="J54" s="3672">
        <v>4.4745474617767414E-2</v>
      </c>
      <c r="K54" s="3672">
        <v>5.7710964322584123E-2</v>
      </c>
      <c r="L54" s="3672">
        <v>6.1171272268829381E-2</v>
      </c>
      <c r="M54" s="3672">
        <v>7.5343154860749079E-2</v>
      </c>
      <c r="N54" s="12"/>
      <c r="O54" s="3" t="s">
        <v>793</v>
      </c>
      <c r="P54" s="415">
        <v>4.1598826629545107E-8</v>
      </c>
      <c r="Q54" s="415">
        <v>5.90810613036361E-8</v>
      </c>
      <c r="R54" s="3">
        <v>7.6563295977727001E-8</v>
      </c>
      <c r="S54" s="3">
        <v>9.4045530651818001E-8</v>
      </c>
      <c r="T54" s="3">
        <v>1.1152776532590901E-7</v>
      </c>
      <c r="U54" s="3">
        <v>1.2900999999999999E-7</v>
      </c>
      <c r="V54" s="3">
        <v>1.4649223467409102E-7</v>
      </c>
      <c r="W54" s="3">
        <v>1.6397446934818202E-7</v>
      </c>
    </row>
    <row r="55" spans="4:23" ht="15" customHeight="1">
      <c r="D55" s="25"/>
      <c r="E55" s="30"/>
      <c r="F55" s="34"/>
      <c r="G55" s="34"/>
      <c r="H55" s="34"/>
      <c r="I55" s="34"/>
      <c r="J55" s="34"/>
      <c r="K55" s="34"/>
      <c r="L55" s="34"/>
      <c r="M55" s="34"/>
      <c r="N55" s="12"/>
    </row>
    <row r="56" spans="4:23" ht="15" customHeight="1">
      <c r="D56" s="25"/>
      <c r="E56" s="26" t="s">
        <v>2096</v>
      </c>
      <c r="F56" s="20"/>
      <c r="G56" s="20"/>
      <c r="H56" s="20"/>
      <c r="I56" s="20"/>
      <c r="J56" s="20"/>
      <c r="K56" s="20"/>
      <c r="L56" s="20"/>
      <c r="M56" s="27" t="s">
        <v>9</v>
      </c>
      <c r="N56" s="12"/>
    </row>
    <row r="57" spans="4:23" ht="15" customHeight="1">
      <c r="D57" s="25"/>
      <c r="E57" s="28" t="s">
        <v>789</v>
      </c>
      <c r="F57" s="29">
        <v>2018</v>
      </c>
      <c r="G57" s="29">
        <v>2020</v>
      </c>
      <c r="H57" s="29">
        <v>2025</v>
      </c>
      <c r="I57" s="29">
        <v>2030</v>
      </c>
      <c r="J57" s="29">
        <v>2035</v>
      </c>
      <c r="K57" s="29">
        <v>2040</v>
      </c>
      <c r="L57" s="29">
        <v>2045</v>
      </c>
      <c r="M57" s="29">
        <v>2050</v>
      </c>
      <c r="N57" s="12"/>
      <c r="P57" s="1320">
        <v>2018</v>
      </c>
      <c r="Q57" s="1320">
        <v>2020</v>
      </c>
      <c r="R57" s="1320">
        <v>2025</v>
      </c>
      <c r="S57" s="1320">
        <v>2030</v>
      </c>
      <c r="T57" s="1320">
        <v>2035</v>
      </c>
      <c r="U57" s="1320">
        <v>2040</v>
      </c>
      <c r="V57" s="1320">
        <v>2045</v>
      </c>
      <c r="W57" s="1320">
        <v>2050</v>
      </c>
    </row>
    <row r="58" spans="4:23" ht="15" customHeight="1">
      <c r="D58" s="25"/>
      <c r="E58" s="30" t="s">
        <v>795</v>
      </c>
      <c r="F58" s="3671" cm="1">
        <f t="array" ref="F58:M58">P58:W58*12*(1-INDEX(GEN_HOGARES_URBANOS_NUEVOS,FRIO,0))*GEN_HOGARES</f>
        <v>2.1145263419377742E-2</v>
      </c>
      <c r="G58" s="3671">
        <v>7.7303092838400039E-3</v>
      </c>
      <c r="H58" s="3671">
        <v>1.4488489403520001E-2</v>
      </c>
      <c r="I58" s="3671">
        <v>2.2792247470079935E-2</v>
      </c>
      <c r="J58" s="3671">
        <v>3.2314139792000075E-2</v>
      </c>
      <c r="K58" s="3671">
        <v>4.3323137195084509E-2</v>
      </c>
      <c r="L58" s="3671">
        <v>5.60170739737973E-2</v>
      </c>
      <c r="M58" s="3671">
        <v>7.0164777148858784E-2</v>
      </c>
      <c r="N58" s="12"/>
      <c r="O58" s="3" t="s">
        <v>795</v>
      </c>
      <c r="P58" s="415">
        <v>1.8333333333333301E-9</v>
      </c>
      <c r="Q58" s="415">
        <v>5.8666666666666702E-10</v>
      </c>
      <c r="R58" s="3">
        <v>8.8000000000000006E-10</v>
      </c>
      <c r="S58" s="3">
        <v>1.1733333333333301E-9</v>
      </c>
      <c r="T58" s="3">
        <v>1.4666666666666701E-9</v>
      </c>
      <c r="U58" s="3">
        <v>1.7600000000000001E-9</v>
      </c>
      <c r="V58" s="3">
        <v>2.0533333333333304E-9</v>
      </c>
      <c r="W58" s="3">
        <v>2.3466666666666697E-9</v>
      </c>
    </row>
    <row r="59" spans="4:23" ht="15" customHeight="1">
      <c r="D59" s="25"/>
      <c r="E59" s="30" t="s">
        <v>791</v>
      </c>
      <c r="F59" s="3671" cm="1">
        <f t="array" ref="F59:M59">P59:W59*12*(1-INDEX(GEN_HOGARES_URBANOS_NUEVOS,TEMPLADO,0))*GEN_HOGARES</f>
        <v>1.1715464883482476E-2</v>
      </c>
      <c r="G59" s="3671">
        <v>9.3473103170842627E-3</v>
      </c>
      <c r="H59" s="3671">
        <v>1.2182604800418599E-2</v>
      </c>
      <c r="I59" s="3671">
        <v>1.4883444749380071E-2</v>
      </c>
      <c r="J59" s="3671">
        <v>1.7459189711469286E-2</v>
      </c>
      <c r="K59" s="3671">
        <v>2.0086181790448267E-2</v>
      </c>
      <c r="L59" s="3671">
        <v>2.2906842545511015E-2</v>
      </c>
      <c r="M59" s="3671">
        <v>2.58131562877933E-2</v>
      </c>
      <c r="N59" s="12"/>
      <c r="O59" s="3" t="s">
        <v>791</v>
      </c>
      <c r="P59" s="415">
        <v>1.02601798834672E-9</v>
      </c>
      <c r="Q59" s="415">
        <v>7.2135378566061705E-10</v>
      </c>
      <c r="R59" s="3">
        <v>7.4501533924546208E-10</v>
      </c>
      <c r="S59" s="3">
        <v>7.6867689283030804E-10</v>
      </c>
      <c r="T59" s="3">
        <v>7.9233844641515411E-10</v>
      </c>
      <c r="U59" s="3">
        <v>8.1599999999999997E-10</v>
      </c>
      <c r="V59" s="3">
        <v>8.3966155358484604E-10</v>
      </c>
      <c r="W59" s="3">
        <v>8.6332310716969097E-10</v>
      </c>
    </row>
    <row r="60" spans="4:23" ht="15" customHeight="1">
      <c r="D60" s="25"/>
      <c r="E60" s="30" t="s">
        <v>792</v>
      </c>
      <c r="F60" s="3671" cm="1">
        <f t="array" ref="F60:M60">P60:W60*12*(1-INDEX(GEN_HOGARES_URBANOS_NUEVOS,CALIDO_SECO,0))*GEN_HOGARES</f>
        <v>0.5550138142062947</v>
      </c>
      <c r="G60" s="3671">
        <v>0.71279344016012558</v>
      </c>
      <c r="H60" s="3671">
        <v>1.131339269601537</v>
      </c>
      <c r="I60" s="3671">
        <v>1.6141281498144211</v>
      </c>
      <c r="J60" s="3671">
        <v>2.1493390994905939</v>
      </c>
      <c r="K60" s="3671">
        <v>2.7500345951334326</v>
      </c>
      <c r="L60" s="3671">
        <v>3.4346291285480137</v>
      </c>
      <c r="M60" s="3671">
        <v>4.1882401593039065</v>
      </c>
      <c r="N60" s="12"/>
      <c r="O60" s="3" t="s">
        <v>792</v>
      </c>
      <c r="P60" s="415">
        <v>4.8607047421519803E-8</v>
      </c>
      <c r="Q60" s="415">
        <v>5.5007935867261306E-8</v>
      </c>
      <c r="R60" s="3">
        <v>6.9185951900445908E-8</v>
      </c>
      <c r="S60" s="3">
        <v>8.3363967933630609E-8</v>
      </c>
      <c r="T60" s="3">
        <v>9.7541983966815296E-8</v>
      </c>
      <c r="U60" s="3">
        <v>1.1172000000000001E-7</v>
      </c>
      <c r="V60" s="3">
        <v>1.2589801603318502E-7</v>
      </c>
      <c r="W60" s="3">
        <v>1.4007603206636903E-7</v>
      </c>
    </row>
    <row r="61" spans="4:23" ht="15" customHeight="1">
      <c r="D61" s="25"/>
      <c r="E61" s="32" t="s">
        <v>793</v>
      </c>
      <c r="F61" s="3672" cm="1">
        <f t="array" ref="F61:M61">P61:W61*12*(1-INDEX(GEN_HOGARES_URBANOS_NUEVOS,CALIDO_HUMEDO,0))*GEN_HOGARES</f>
        <v>0.48968172691944012</v>
      </c>
      <c r="G61" s="3672">
        <v>0.66297047154734168</v>
      </c>
      <c r="H61" s="3672">
        <v>1.0841843010085401</v>
      </c>
      <c r="I61" s="3672">
        <v>1.5769043337907724</v>
      </c>
      <c r="J61" s="3672">
        <v>2.1281581893276984</v>
      </c>
      <c r="K61" s="3672">
        <v>2.7500345951334326</v>
      </c>
      <c r="L61" s="3672">
        <v>3.4608527233799924</v>
      </c>
      <c r="M61" s="3672">
        <v>4.2457217800773579</v>
      </c>
      <c r="N61" s="12"/>
      <c r="O61" s="3" t="s">
        <v>793</v>
      </c>
      <c r="P61" s="3">
        <v>4.2885388277881508E-8</v>
      </c>
      <c r="Q61" s="3">
        <v>5.1162980922736404E-8</v>
      </c>
      <c r="R61" s="3">
        <v>6.6302235692052307E-8</v>
      </c>
      <c r="S61" s="3">
        <v>8.1441490461368204E-8</v>
      </c>
      <c r="T61" s="3">
        <v>9.6580745230684114E-8</v>
      </c>
      <c r="U61" s="3">
        <v>1.1172000000000001E-7</v>
      </c>
      <c r="V61" s="3">
        <v>1.2685925476931601E-7</v>
      </c>
      <c r="W61" s="3">
        <v>1.41998509538632E-7</v>
      </c>
    </row>
    <row r="62" spans="4:23" ht="15" customHeight="1">
      <c r="D62" s="25"/>
      <c r="E62" s="35"/>
      <c r="F62" s="33"/>
      <c r="G62" s="36"/>
      <c r="H62" s="36"/>
      <c r="I62" s="36"/>
      <c r="J62" s="36"/>
      <c r="K62" s="36"/>
      <c r="L62" s="36"/>
      <c r="M62" s="36"/>
      <c r="N62" s="12"/>
    </row>
    <row r="63" spans="4:23" ht="15" customHeight="1">
      <c r="D63" s="25"/>
      <c r="E63" s="23" t="s">
        <v>1731</v>
      </c>
      <c r="F63" s="33"/>
      <c r="G63" s="36"/>
      <c r="H63" s="36"/>
      <c r="I63" s="36"/>
      <c r="J63" s="36"/>
      <c r="K63" s="36"/>
      <c r="L63" s="36"/>
      <c r="M63" s="36"/>
      <c r="N63" s="12"/>
    </row>
    <row r="64" spans="4:23" ht="15" customHeight="1">
      <c r="D64" s="25"/>
      <c r="E64" s="35"/>
      <c r="F64" s="33"/>
      <c r="G64" s="36"/>
      <c r="H64" s="36"/>
      <c r="I64" s="36"/>
      <c r="J64" s="36"/>
      <c r="K64" s="36"/>
      <c r="L64" s="36"/>
      <c r="M64" s="36"/>
      <c r="N64" s="12"/>
    </row>
    <row r="65" spans="4:23" ht="15" customHeight="1">
      <c r="D65" s="13"/>
      <c r="E65" s="26" t="s">
        <v>2095</v>
      </c>
      <c r="F65" s="20"/>
      <c r="G65" s="20"/>
      <c r="H65" s="20"/>
      <c r="I65" s="20"/>
      <c r="J65" s="20"/>
      <c r="K65" s="20"/>
      <c r="L65" s="20"/>
      <c r="M65" s="27" t="s">
        <v>9</v>
      </c>
      <c r="N65" s="12"/>
      <c r="P65" s="415"/>
      <c r="Q65" s="415"/>
      <c r="R65" s="415"/>
      <c r="S65" s="415"/>
      <c r="T65" s="415"/>
      <c r="U65" s="415"/>
      <c r="V65" s="415"/>
      <c r="W65" s="415"/>
    </row>
    <row r="66" spans="4:23" ht="15" customHeight="1">
      <c r="D66" s="25"/>
      <c r="E66" s="28" t="s">
        <v>789</v>
      </c>
      <c r="F66" s="29">
        <v>2018</v>
      </c>
      <c r="G66" s="29">
        <v>2020</v>
      </c>
      <c r="H66" s="29">
        <v>2025</v>
      </c>
      <c r="I66" s="29">
        <v>2030</v>
      </c>
      <c r="J66" s="29">
        <v>2035</v>
      </c>
      <c r="K66" s="29">
        <v>2040</v>
      </c>
      <c r="L66" s="29">
        <v>2045</v>
      </c>
      <c r="M66" s="29">
        <v>2050</v>
      </c>
      <c r="N66" s="12"/>
      <c r="P66" s="1320">
        <v>2018</v>
      </c>
      <c r="Q66" s="1320">
        <v>2020</v>
      </c>
      <c r="R66" s="1320">
        <v>2025</v>
      </c>
      <c r="S66" s="1320">
        <v>2030</v>
      </c>
      <c r="T66" s="1320">
        <v>2035</v>
      </c>
      <c r="U66" s="1320">
        <v>2040</v>
      </c>
      <c r="V66" s="1320">
        <v>2045</v>
      </c>
      <c r="W66" s="1320">
        <v>2050</v>
      </c>
    </row>
    <row r="67" spans="4:23" ht="15" customHeight="1">
      <c r="D67" s="25"/>
      <c r="E67" s="30" t="s">
        <v>795</v>
      </c>
      <c r="F67" s="3671" cm="1">
        <f t="array" ref="F67:M67">P67:W67*12*INDEX(GEN_HOGARES_URBANOS_NUEVOS,FRIO,0)*GEN_HOGARES</f>
        <v>3.0404520772266683E-4</v>
      </c>
      <c r="G67" s="3671">
        <v>4.9292457984000007E-4</v>
      </c>
      <c r="H67" s="3671">
        <v>1.0800243115200001E-3</v>
      </c>
      <c r="I67" s="3671">
        <v>1.9456796620800001E-3</v>
      </c>
      <c r="J67" s="3671">
        <v>3.1096600919999998E-3</v>
      </c>
      <c r="K67" s="3671">
        <v>4.1333951658063519E-3</v>
      </c>
      <c r="L67" s="3671">
        <v>4.5014421175637136E-3</v>
      </c>
      <c r="M67" s="3671">
        <v>5.6608060484918425E-3</v>
      </c>
      <c r="N67" s="12"/>
      <c r="O67" s="3" t="s">
        <v>795</v>
      </c>
      <c r="P67" s="415">
        <v>1.5400000000000001E-9</v>
      </c>
      <c r="Q67" s="415">
        <v>3.0800000000000001E-9</v>
      </c>
      <c r="R67" s="3">
        <v>4.6200000000000002E-9</v>
      </c>
      <c r="S67" s="3">
        <v>6.1600000000000002E-9</v>
      </c>
      <c r="T67" s="3">
        <v>7.7000000000000011E-9</v>
      </c>
      <c r="U67" s="3">
        <v>9.2400000000000004E-9</v>
      </c>
      <c r="V67" s="3">
        <v>1.078E-8</v>
      </c>
      <c r="W67" s="3">
        <v>1.232E-8</v>
      </c>
    </row>
    <row r="68" spans="4:23" ht="15" customHeight="1">
      <c r="D68" s="25"/>
      <c r="E68" s="30" t="s">
        <v>791</v>
      </c>
      <c r="F68" s="3671" cm="1">
        <f t="array" ref="F68:M68">P68:W68*12*INDEX(GEN_HOGARES_URBANOS_NUEVOS,TEMPLADO,0)*GEN_HOGARES</f>
        <v>2.4714663329234793E-4</v>
      </c>
      <c r="G68" s="3671">
        <v>3.0932666646197118E-4</v>
      </c>
      <c r="H68" s="3671">
        <v>2.9173319939328879E-4</v>
      </c>
      <c r="I68" s="3671">
        <v>3.2958045257213087E-4</v>
      </c>
      <c r="J68" s="3671">
        <v>3.5996366147747304E-4</v>
      </c>
      <c r="K68" s="3671">
        <v>4.1333951658063518E-4</v>
      </c>
      <c r="L68" s="3671">
        <v>3.9702603800481173E-4</v>
      </c>
      <c r="M68" s="3671">
        <v>4.4918241423428046E-4</v>
      </c>
      <c r="N68" s="12"/>
      <c r="O68" s="3" t="s">
        <v>791</v>
      </c>
      <c r="P68" s="415">
        <v>7.9003385102697606E-10</v>
      </c>
      <c r="Q68" s="415">
        <v>8.1682708082158099E-10</v>
      </c>
      <c r="R68" s="3">
        <v>8.4362031061618603E-10</v>
      </c>
      <c r="S68" s="3">
        <v>8.7041354041079004E-10</v>
      </c>
      <c r="T68" s="3">
        <v>8.9720677020539497E-10</v>
      </c>
      <c r="U68" s="3">
        <v>9.2400000000000012E-10</v>
      </c>
      <c r="V68" s="3">
        <v>9.5079322979460516E-10</v>
      </c>
      <c r="W68" s="3">
        <v>9.7758645958920896E-10</v>
      </c>
    </row>
    <row r="69" spans="4:23" ht="15" customHeight="1">
      <c r="D69" s="25"/>
      <c r="E69" s="30" t="s">
        <v>792</v>
      </c>
      <c r="F69" s="3671" cm="1">
        <f t="array" ref="F69:M69">P69:W69*12*INDEX(GEN_HOGARES_URBANOS_NUEVOS,CALIDO_SECO,0)*GEN_HOGARES</f>
        <v>1.4749590875919219E-2</v>
      </c>
      <c r="G69" s="3671">
        <v>2.4054981676126332E-2</v>
      </c>
      <c r="H69" s="3671">
        <v>2.7627984049648963E-2</v>
      </c>
      <c r="I69" s="3671">
        <v>3.6450763828338437E-2</v>
      </c>
      <c r="J69" s="3671">
        <v>4.5190812695936597E-2</v>
      </c>
      <c r="K69" s="3671">
        <v>5.7710964322584123E-2</v>
      </c>
      <c r="L69" s="3671">
        <v>6.0707764923226881E-2</v>
      </c>
      <c r="M69" s="3671">
        <v>7.4323105295583849E-2</v>
      </c>
      <c r="N69" s="12"/>
      <c r="O69" s="3" t="s">
        <v>792</v>
      </c>
      <c r="P69" s="415">
        <v>4.7148835998874202E-8</v>
      </c>
      <c r="Q69" s="415">
        <v>6.3521068799099299E-8</v>
      </c>
      <c r="R69" s="3">
        <v>7.9893301599324507E-8</v>
      </c>
      <c r="S69" s="3">
        <v>9.6265534399549703E-8</v>
      </c>
      <c r="T69" s="3">
        <v>1.12637767199775E-7</v>
      </c>
      <c r="U69" s="3">
        <v>1.2900999999999999E-7</v>
      </c>
      <c r="V69" s="3">
        <v>1.4538223280022503E-7</v>
      </c>
      <c r="W69" s="3">
        <v>1.6175446560045001E-7</v>
      </c>
    </row>
    <row r="70" spans="4:23" ht="15" customHeight="1">
      <c r="D70" s="25"/>
      <c r="E70" s="32" t="s">
        <v>793</v>
      </c>
      <c r="F70" s="3672" cm="1">
        <f t="array" ref="F70:M70">P70:W70*12*INDEX(GEN_HOGARES_URBANOS_NUEVOS,CALIDO_HUMEDO,0)*GEN_HOGARES</f>
        <v>1.3013379030581676E-2</v>
      </c>
      <c r="G70" s="3672">
        <v>2.2373582087542185E-2</v>
      </c>
      <c r="H70" s="3672">
        <v>2.6476431411855426E-2</v>
      </c>
      <c r="I70" s="3672">
        <v>3.5610163578089653E-2</v>
      </c>
      <c r="J70" s="3672">
        <v>4.4745474617767414E-2</v>
      </c>
      <c r="K70" s="3672">
        <v>5.7710964322584123E-2</v>
      </c>
      <c r="L70" s="3672">
        <v>6.1171272268829381E-2</v>
      </c>
      <c r="M70" s="3672">
        <v>7.5343154860749079E-2</v>
      </c>
      <c r="N70" s="12"/>
      <c r="O70" s="3" t="s">
        <v>793</v>
      </c>
      <c r="P70" s="415">
        <v>4.1598826629545107E-8</v>
      </c>
      <c r="Q70" s="415">
        <v>5.90810613036361E-8</v>
      </c>
      <c r="R70" s="3">
        <v>7.6563295977727001E-8</v>
      </c>
      <c r="S70" s="3">
        <v>9.4045530651818001E-8</v>
      </c>
      <c r="T70" s="3">
        <v>1.1152776532590901E-7</v>
      </c>
      <c r="U70" s="3">
        <v>1.2900999999999999E-7</v>
      </c>
      <c r="V70" s="3">
        <v>1.4649223467409102E-7</v>
      </c>
      <c r="W70" s="3">
        <v>1.6397446934818202E-7</v>
      </c>
    </row>
    <row r="71" spans="4:23" ht="15" customHeight="1">
      <c r="D71" s="25"/>
      <c r="E71" s="30"/>
      <c r="F71" s="34"/>
      <c r="G71" s="34"/>
      <c r="H71" s="34"/>
      <c r="I71" s="34"/>
      <c r="J71" s="34"/>
      <c r="K71" s="34"/>
      <c r="L71" s="34"/>
      <c r="M71" s="34"/>
      <c r="N71" s="12"/>
    </row>
    <row r="72" spans="4:23" ht="15" customHeight="1">
      <c r="D72" s="25"/>
      <c r="E72" s="26" t="s">
        <v>2096</v>
      </c>
      <c r="F72" s="20"/>
      <c r="G72" s="20"/>
      <c r="H72" s="20"/>
      <c r="I72" s="20"/>
      <c r="J72" s="20"/>
      <c r="K72" s="20"/>
      <c r="L72" s="20"/>
      <c r="M72" s="27" t="s">
        <v>9</v>
      </c>
      <c r="N72" s="12"/>
    </row>
    <row r="73" spans="4:23" ht="15" customHeight="1">
      <c r="D73" s="25"/>
      <c r="E73" s="28" t="s">
        <v>789</v>
      </c>
      <c r="F73" s="29">
        <v>2018</v>
      </c>
      <c r="G73" s="29">
        <v>2020</v>
      </c>
      <c r="H73" s="29">
        <v>2025</v>
      </c>
      <c r="I73" s="29">
        <v>2030</v>
      </c>
      <c r="J73" s="29">
        <v>2035</v>
      </c>
      <c r="K73" s="29">
        <v>2040</v>
      </c>
      <c r="L73" s="29">
        <v>2045</v>
      </c>
      <c r="M73" s="29">
        <v>2050</v>
      </c>
      <c r="N73" s="12"/>
      <c r="P73" s="1320">
        <v>2018</v>
      </c>
      <c r="Q73" s="1320">
        <v>2020</v>
      </c>
      <c r="R73" s="1320">
        <v>2025</v>
      </c>
      <c r="S73" s="1320">
        <v>2030</v>
      </c>
      <c r="T73" s="1320">
        <v>2035</v>
      </c>
      <c r="U73" s="1320">
        <v>2040</v>
      </c>
      <c r="V73" s="1320">
        <v>2045</v>
      </c>
      <c r="W73" s="1320">
        <v>2050</v>
      </c>
    </row>
    <row r="74" spans="4:23" ht="15" customHeight="1">
      <c r="D74" s="25"/>
      <c r="E74" s="30" t="s">
        <v>795</v>
      </c>
      <c r="F74" s="3671" cm="1">
        <f t="array" ref="F74:M74">P74:W74*12*(1-INDEX(GEN_HOGARES_URBANOS_NUEVOS,FRIO,0))*GEN_HOGARES</f>
        <v>2.1145263419377742E-2</v>
      </c>
      <c r="G74" s="3671">
        <v>7.7303092838400039E-3</v>
      </c>
      <c r="H74" s="3671">
        <v>1.4488489403520001E-2</v>
      </c>
      <c r="I74" s="3671">
        <v>2.2792247470079935E-2</v>
      </c>
      <c r="J74" s="3671">
        <v>3.2314139792000075E-2</v>
      </c>
      <c r="K74" s="3671">
        <v>4.3323137195084509E-2</v>
      </c>
      <c r="L74" s="3671">
        <v>5.60170739737973E-2</v>
      </c>
      <c r="M74" s="3671">
        <v>7.0164777148858784E-2</v>
      </c>
      <c r="N74" s="12"/>
      <c r="O74" s="3" t="s">
        <v>795</v>
      </c>
      <c r="P74" s="415">
        <v>1.8333333333333301E-9</v>
      </c>
      <c r="Q74" s="415">
        <v>5.8666666666666702E-10</v>
      </c>
      <c r="R74" s="3">
        <v>8.8000000000000006E-10</v>
      </c>
      <c r="S74" s="3">
        <v>1.1733333333333301E-9</v>
      </c>
      <c r="T74" s="3">
        <v>1.4666666666666701E-9</v>
      </c>
      <c r="U74" s="3">
        <v>1.7600000000000001E-9</v>
      </c>
      <c r="V74" s="3">
        <v>2.0533333333333304E-9</v>
      </c>
      <c r="W74" s="3">
        <v>2.3466666666666697E-9</v>
      </c>
    </row>
    <row r="75" spans="4:23" ht="15" customHeight="1">
      <c r="D75" s="25"/>
      <c r="E75" s="30" t="s">
        <v>791</v>
      </c>
      <c r="F75" s="3671" cm="1">
        <f t="array" ref="F75:M75">P75:W75*12*(1-INDEX(GEN_HOGARES_URBANOS_NUEVOS,TEMPLADO,0))*GEN_HOGARES</f>
        <v>1.1715464883482476E-2</v>
      </c>
      <c r="G75" s="3671">
        <v>9.3473103170842627E-3</v>
      </c>
      <c r="H75" s="3671">
        <v>1.2182604800418599E-2</v>
      </c>
      <c r="I75" s="3671">
        <v>1.4883444749380071E-2</v>
      </c>
      <c r="J75" s="3671">
        <v>1.7459189711469286E-2</v>
      </c>
      <c r="K75" s="3671">
        <v>2.0086181790448267E-2</v>
      </c>
      <c r="L75" s="3671">
        <v>2.2906842545511015E-2</v>
      </c>
      <c r="M75" s="3671">
        <v>2.58131562877933E-2</v>
      </c>
      <c r="N75" s="12"/>
      <c r="O75" s="3" t="s">
        <v>791</v>
      </c>
      <c r="P75" s="415">
        <v>1.02601798834672E-9</v>
      </c>
      <c r="Q75" s="415">
        <v>7.2135378566061705E-10</v>
      </c>
      <c r="R75" s="3">
        <v>7.4501533924546208E-10</v>
      </c>
      <c r="S75" s="3">
        <v>7.6867689283030804E-10</v>
      </c>
      <c r="T75" s="3">
        <v>7.9233844641515411E-10</v>
      </c>
      <c r="U75" s="3">
        <v>8.1599999999999997E-10</v>
      </c>
      <c r="V75" s="3">
        <v>8.3966155358484604E-10</v>
      </c>
      <c r="W75" s="3">
        <v>8.6332310716969097E-10</v>
      </c>
    </row>
    <row r="76" spans="4:23" ht="15" customHeight="1">
      <c r="D76" s="25"/>
      <c r="E76" s="30" t="s">
        <v>792</v>
      </c>
      <c r="F76" s="3671" cm="1">
        <f t="array" ref="F76:M76">P76:W76*12*(1-INDEX(GEN_HOGARES_URBANOS_NUEVOS,CALIDO_SECO,0))*GEN_HOGARES</f>
        <v>0.5550138142062947</v>
      </c>
      <c r="G76" s="3671">
        <v>0.71279344016012558</v>
      </c>
      <c r="H76" s="3671">
        <v>1.131339269601537</v>
      </c>
      <c r="I76" s="3671">
        <v>1.6141281498144211</v>
      </c>
      <c r="J76" s="3671">
        <v>2.1493390994905939</v>
      </c>
      <c r="K76" s="3671">
        <v>2.7500345951334326</v>
      </c>
      <c r="L76" s="3671">
        <v>3.4346291285480137</v>
      </c>
      <c r="M76" s="3671">
        <v>4.1882401593039065</v>
      </c>
      <c r="N76" s="12"/>
      <c r="O76" s="3" t="s">
        <v>792</v>
      </c>
      <c r="P76" s="415">
        <v>4.8607047421519803E-8</v>
      </c>
      <c r="Q76" s="415">
        <v>5.5007935867261306E-8</v>
      </c>
      <c r="R76" s="3">
        <v>6.9185951900445908E-8</v>
      </c>
      <c r="S76" s="3">
        <v>8.3363967933630609E-8</v>
      </c>
      <c r="T76" s="3">
        <v>9.7541983966815296E-8</v>
      </c>
      <c r="U76" s="3">
        <v>1.1172000000000001E-7</v>
      </c>
      <c r="V76" s="3">
        <v>1.2589801603318502E-7</v>
      </c>
      <c r="W76" s="3">
        <v>1.4007603206636903E-7</v>
      </c>
    </row>
    <row r="77" spans="4:23" ht="15" customHeight="1">
      <c r="D77" s="25"/>
      <c r="E77" s="32" t="s">
        <v>793</v>
      </c>
      <c r="F77" s="3672" cm="1">
        <f t="array" ref="F77:M77">P77:W77*12*(1-INDEX(GEN_HOGARES_URBANOS_NUEVOS,CALIDO_HUMEDO,0))*GEN_HOGARES</f>
        <v>0.48968172691944012</v>
      </c>
      <c r="G77" s="3672">
        <v>0.66297047154734168</v>
      </c>
      <c r="H77" s="3672">
        <v>1.0841843010085401</v>
      </c>
      <c r="I77" s="3672">
        <v>1.5769043337907724</v>
      </c>
      <c r="J77" s="3672">
        <v>2.1281581893276984</v>
      </c>
      <c r="K77" s="3672">
        <v>2.7500345951334326</v>
      </c>
      <c r="L77" s="3672">
        <v>3.4608527233799924</v>
      </c>
      <c r="M77" s="3672">
        <v>4.2457217800773579</v>
      </c>
      <c r="N77" s="12"/>
      <c r="O77" s="3" t="s">
        <v>793</v>
      </c>
      <c r="P77" s="3">
        <v>4.2885388277881508E-8</v>
      </c>
      <c r="Q77" s="3">
        <v>5.1162980922736404E-8</v>
      </c>
      <c r="R77" s="3">
        <v>6.6302235692052307E-8</v>
      </c>
      <c r="S77" s="3">
        <v>8.1441490461368204E-8</v>
      </c>
      <c r="T77" s="3">
        <v>9.6580745230684114E-8</v>
      </c>
      <c r="U77" s="3">
        <v>1.1172000000000001E-7</v>
      </c>
      <c r="V77" s="3">
        <v>1.2685925476931601E-7</v>
      </c>
      <c r="W77" s="3">
        <v>1.41998509538632E-7</v>
      </c>
    </row>
    <row r="78" spans="4:23" ht="15" customHeight="1">
      <c r="D78" s="25"/>
      <c r="E78" s="35"/>
      <c r="F78" s="30"/>
      <c r="G78" s="30"/>
      <c r="H78" s="33"/>
      <c r="I78" s="36"/>
      <c r="J78" s="36"/>
      <c r="K78" s="36"/>
      <c r="L78" s="36"/>
      <c r="M78" s="36"/>
      <c r="N78" s="36"/>
    </row>
    <row r="79" spans="4:23" ht="15" customHeight="1">
      <c r="D79" s="13"/>
      <c r="E79" s="2782" t="s">
        <v>2097</v>
      </c>
      <c r="F79" s="14"/>
      <c r="G79" s="14"/>
      <c r="H79" s="14"/>
      <c r="I79" s="14"/>
      <c r="J79" s="14"/>
      <c r="K79" s="14"/>
      <c r="L79" s="14"/>
      <c r="M79" s="14"/>
      <c r="N79" s="37"/>
    </row>
    <row r="80" spans="4:23" ht="15" customHeight="1">
      <c r="D80" s="13"/>
      <c r="E80" s="19"/>
      <c r="F80" s="20"/>
      <c r="G80" s="21"/>
      <c r="H80" s="20"/>
      <c r="I80" s="22"/>
      <c r="J80" s="20"/>
      <c r="K80" s="22"/>
      <c r="L80" s="22"/>
      <c r="M80" s="22"/>
      <c r="N80" s="20"/>
    </row>
    <row r="81" spans="4:23" ht="15" customHeight="1">
      <c r="D81" s="13"/>
      <c r="E81" s="23" t="s">
        <v>1726</v>
      </c>
      <c r="F81" s="20"/>
      <c r="G81" s="20"/>
      <c r="H81" s="20"/>
      <c r="I81" s="20"/>
      <c r="J81" s="20"/>
      <c r="K81" s="20"/>
      <c r="L81" s="20"/>
      <c r="M81" s="20"/>
      <c r="N81" s="20"/>
    </row>
    <row r="82" spans="4:23" ht="15" customHeight="1">
      <c r="D82" s="25"/>
      <c r="E82" s="24"/>
      <c r="F82" s="20"/>
      <c r="G82" s="20"/>
      <c r="H82" s="20"/>
      <c r="I82" s="20"/>
      <c r="J82" s="20"/>
      <c r="K82" s="20"/>
      <c r="L82" s="20"/>
      <c r="M82" s="20"/>
      <c r="N82" s="20"/>
    </row>
    <row r="83" spans="4:23" ht="15" customHeight="1">
      <c r="D83" s="25"/>
      <c r="E83" s="26" t="s">
        <v>2095</v>
      </c>
      <c r="F83" s="20"/>
      <c r="G83" s="20"/>
      <c r="H83" s="20"/>
      <c r="I83" s="20"/>
      <c r="J83" s="20"/>
      <c r="K83" s="20"/>
      <c r="L83" s="20"/>
      <c r="M83" s="27" t="s">
        <v>9</v>
      </c>
      <c r="N83" s="12"/>
    </row>
    <row r="84" spans="4:23" ht="15" customHeight="1">
      <c r="D84" s="25"/>
      <c r="E84" s="28" t="s">
        <v>789</v>
      </c>
      <c r="F84" s="29">
        <v>2018</v>
      </c>
      <c r="G84" s="29">
        <v>2020</v>
      </c>
      <c r="H84" s="29">
        <v>2025</v>
      </c>
      <c r="I84" s="29">
        <v>2030</v>
      </c>
      <c r="J84" s="29">
        <v>2035</v>
      </c>
      <c r="K84" s="29">
        <v>2040</v>
      </c>
      <c r="L84" s="29">
        <v>2045</v>
      </c>
      <c r="M84" s="29">
        <v>2050</v>
      </c>
      <c r="N84" s="12"/>
      <c r="P84" s="1320">
        <v>2018</v>
      </c>
      <c r="Q84" s="1320">
        <v>2020</v>
      </c>
      <c r="R84" s="1320">
        <v>2025</v>
      </c>
      <c r="S84" s="1320">
        <v>2030</v>
      </c>
      <c r="T84" s="1320">
        <v>2035</v>
      </c>
      <c r="U84" s="1320">
        <v>2040</v>
      </c>
      <c r="V84" s="1320">
        <v>2045</v>
      </c>
      <c r="W84" s="1320">
        <v>2050</v>
      </c>
    </row>
    <row r="85" spans="4:23" ht="15" customHeight="1">
      <c r="D85" s="25"/>
      <c r="E85" s="30" t="s">
        <v>795</v>
      </c>
      <c r="F85" s="3671" cm="1">
        <f t="array" ref="F85:M85">P85:W85*12*INDEX(GEN_HOGARES_URBANOS_NUEVOS,FRIO,0)*GEN_HOGARES</f>
        <v>3.619585806222218E-4</v>
      </c>
      <c r="G85" s="3671">
        <v>5.8681497600000061E-4</v>
      </c>
      <c r="H85" s="3671">
        <v>1.2857432280000002E-3</v>
      </c>
      <c r="I85" s="3671">
        <v>2.3162853119999991E-3</v>
      </c>
      <c r="J85" s="3671">
        <v>3.7019763000000019E-3</v>
      </c>
      <c r="K85" s="3671">
        <v>4.9207085307218477E-3</v>
      </c>
      <c r="L85" s="3671">
        <v>5.3588596637663124E-3</v>
      </c>
      <c r="M85" s="3671">
        <v>6.7390548196331612E-3</v>
      </c>
      <c r="N85" s="12"/>
      <c r="O85" s="3" t="s">
        <v>795</v>
      </c>
      <c r="P85" s="415">
        <v>1.8333333333333301E-9</v>
      </c>
      <c r="Q85" s="415">
        <v>3.6666666666666701E-9</v>
      </c>
      <c r="R85" s="3">
        <v>5.5000000000000004E-9</v>
      </c>
      <c r="S85" s="3">
        <v>7.3333333333333312E-9</v>
      </c>
      <c r="T85" s="3">
        <v>9.166666666666671E-9</v>
      </c>
      <c r="U85" s="3">
        <v>1.1000000000000001E-8</v>
      </c>
      <c r="V85" s="3">
        <v>1.2833333333333301E-8</v>
      </c>
      <c r="W85" s="3">
        <v>1.46666666666667E-8</v>
      </c>
    </row>
    <row r="86" spans="4:23" ht="15" customHeight="1">
      <c r="D86" s="25"/>
      <c r="E86" s="30" t="s">
        <v>791</v>
      </c>
      <c r="F86" s="3671" cm="1">
        <f t="array" ref="F86:M86">P86:W86*12*INDEX(GEN_HOGARES_URBANOS_NUEVOS,TEMPLADO,0)*GEN_HOGARES</f>
        <v>3.2096965362642522E-4</v>
      </c>
      <c r="G86" s="3671">
        <v>4.0172294345710625E-4</v>
      </c>
      <c r="H86" s="3671">
        <v>3.7887428492634783E-4</v>
      </c>
      <c r="I86" s="3671">
        <v>4.2802656178198885E-4</v>
      </c>
      <c r="J86" s="3671">
        <v>4.674852746460673E-4</v>
      </c>
      <c r="K86" s="3671">
        <v>5.3680456698783786E-4</v>
      </c>
      <c r="L86" s="3671">
        <v>5.156182311750817E-4</v>
      </c>
      <c r="M86" s="3671">
        <v>5.8335378471984466E-4</v>
      </c>
      <c r="N86" s="12"/>
      <c r="O86" s="3" t="s">
        <v>791</v>
      </c>
      <c r="P86" s="415">
        <v>1.02601798834672E-9</v>
      </c>
      <c r="Q86" s="415">
        <v>1.06081439067738E-9</v>
      </c>
      <c r="R86" s="3">
        <v>1.0956107930080302E-9</v>
      </c>
      <c r="S86" s="3">
        <v>1.1304071953386902E-9</v>
      </c>
      <c r="T86" s="3">
        <v>1.16520359766934E-9</v>
      </c>
      <c r="U86" s="3">
        <v>1.2E-9</v>
      </c>
      <c r="V86" s="3">
        <v>1.23479640233066E-9</v>
      </c>
      <c r="W86" s="3">
        <v>1.2695928046613102E-9</v>
      </c>
    </row>
    <row r="87" spans="4:23" ht="15" customHeight="1">
      <c r="D87" s="25"/>
      <c r="E87" s="30" t="s">
        <v>792</v>
      </c>
      <c r="F87" s="3671" cm="1">
        <f t="array" ref="F87:M87">P87:W87*12*INDEX(GEN_HOGARES_URBANOS_NUEVOS,CALIDO_SECO,0)*GEN_HOGARES</f>
        <v>1.5205763789607444E-2</v>
      </c>
      <c r="G87" s="3671">
        <v>2.4798950181573551E-2</v>
      </c>
      <c r="H87" s="3671">
        <v>2.8482457783143251E-2</v>
      </c>
      <c r="I87" s="3671">
        <v>3.7578107039524154E-2</v>
      </c>
      <c r="J87" s="3671">
        <v>4.6588466696841808E-2</v>
      </c>
      <c r="K87" s="3671">
        <v>5.9495839507818699E-2</v>
      </c>
      <c r="L87" s="3671">
        <v>6.2585324663120542E-2</v>
      </c>
      <c r="M87" s="3671">
        <v>7.6621758036684501E-2</v>
      </c>
      <c r="N87" s="12"/>
      <c r="O87" s="3" t="s">
        <v>792</v>
      </c>
      <c r="P87" s="415">
        <v>4.8607047421519803E-8</v>
      </c>
      <c r="Q87" s="415">
        <v>6.5485637937215806E-8</v>
      </c>
      <c r="R87" s="3">
        <v>8.2364228452911814E-8</v>
      </c>
      <c r="S87" s="3">
        <v>9.9242818968607916E-8</v>
      </c>
      <c r="T87" s="3">
        <v>1.16121409484304E-7</v>
      </c>
      <c r="U87" s="3">
        <v>1.3300000000000001E-7</v>
      </c>
      <c r="V87" s="3">
        <v>1.4987859051569601E-7</v>
      </c>
      <c r="W87" s="3">
        <v>1.6675718103139203E-7</v>
      </c>
    </row>
    <row r="88" spans="4:23" ht="15" customHeight="1">
      <c r="D88" s="25"/>
      <c r="E88" s="32" t="s">
        <v>793</v>
      </c>
      <c r="F88" s="3672" cm="1">
        <f t="array" ref="F88:M88">P88:W88*12*INDEX(GEN_HOGARES_URBANOS_NUEVOS,CALIDO_HUMEDO,0)*GEN_HOGARES</f>
        <v>1.3415854670702743E-2</v>
      </c>
      <c r="G88" s="3672">
        <v>2.3065548543857905E-2</v>
      </c>
      <c r="H88" s="3672">
        <v>2.7295290115314882E-2</v>
      </c>
      <c r="I88" s="3672">
        <v>3.6711508843391409E-2</v>
      </c>
      <c r="J88" s="3672">
        <v>4.612935527604875E-2</v>
      </c>
      <c r="K88" s="3672">
        <v>5.9495839507818699E-2</v>
      </c>
      <c r="L88" s="3672">
        <v>6.3063167287453092E-2</v>
      </c>
      <c r="M88" s="3672">
        <v>7.7673355526545251E-2</v>
      </c>
      <c r="N88" s="12"/>
      <c r="O88" s="3" t="s">
        <v>793</v>
      </c>
      <c r="P88" s="3">
        <v>4.2885388277881508E-8</v>
      </c>
      <c r="Q88" s="3">
        <v>6.0908310622305211E-8</v>
      </c>
      <c r="R88" s="3">
        <v>7.8931232966728908E-8</v>
      </c>
      <c r="S88" s="3">
        <v>9.6954155311152606E-8</v>
      </c>
      <c r="T88" s="3">
        <v>1.14977077655576E-7</v>
      </c>
      <c r="U88" s="3">
        <v>1.3300000000000001E-7</v>
      </c>
      <c r="V88" s="3">
        <v>1.51022922344424E-7</v>
      </c>
      <c r="W88" s="3">
        <v>1.6904584468884701E-7</v>
      </c>
    </row>
    <row r="89" spans="4:23" ht="15" customHeight="1">
      <c r="D89" s="25"/>
      <c r="E89" s="30"/>
      <c r="F89" s="31"/>
      <c r="G89" s="31"/>
      <c r="H89" s="31"/>
      <c r="I89" s="31"/>
      <c r="J89" s="31"/>
      <c r="K89" s="31"/>
      <c r="L89" s="31"/>
      <c r="M89" s="31"/>
      <c r="N89" s="12"/>
    </row>
    <row r="90" spans="4:23" ht="15" customHeight="1">
      <c r="D90" s="25"/>
      <c r="E90" s="26" t="s">
        <v>2096</v>
      </c>
      <c r="F90" s="20"/>
      <c r="G90" s="20"/>
      <c r="H90" s="20"/>
      <c r="I90" s="20"/>
      <c r="J90" s="20"/>
      <c r="K90" s="20"/>
      <c r="L90" s="20"/>
      <c r="M90" s="27" t="s">
        <v>9</v>
      </c>
      <c r="N90" s="12"/>
    </row>
    <row r="91" spans="4:23" ht="15" customHeight="1">
      <c r="D91" s="11"/>
      <c r="E91" s="28" t="s">
        <v>789</v>
      </c>
      <c r="F91" s="29">
        <v>2018</v>
      </c>
      <c r="G91" s="29">
        <v>2020</v>
      </c>
      <c r="H91" s="29">
        <v>2025</v>
      </c>
      <c r="I91" s="29">
        <v>2030</v>
      </c>
      <c r="J91" s="29">
        <v>2035</v>
      </c>
      <c r="K91" s="29">
        <v>2040</v>
      </c>
      <c r="L91" s="29">
        <v>2045</v>
      </c>
      <c r="M91" s="29">
        <v>2050</v>
      </c>
      <c r="N91" s="12"/>
      <c r="P91" s="1320">
        <v>2018</v>
      </c>
      <c r="Q91" s="1320">
        <v>2020</v>
      </c>
      <c r="R91" s="1320">
        <v>2025</v>
      </c>
      <c r="S91" s="1320">
        <v>2030</v>
      </c>
      <c r="T91" s="1320">
        <v>2035</v>
      </c>
      <c r="U91" s="1320">
        <v>2040</v>
      </c>
      <c r="V91" s="1320">
        <v>2045</v>
      </c>
      <c r="W91" s="1320">
        <v>2050</v>
      </c>
    </row>
    <row r="92" spans="4:23" ht="15" customHeight="1">
      <c r="D92" s="13"/>
      <c r="E92" s="30" t="s">
        <v>795</v>
      </c>
      <c r="F92" s="3671" cm="1">
        <f t="array" ref="F92:M92">P92:W92*12*(1-INDEX(GEN_HOGARES_URBANOS_NUEVOS,FRIO,0))*GEN_HOGARES</f>
        <v>2.1145263419377742E-2</v>
      </c>
      <c r="G92" s="3671">
        <v>4.8314433024000042E-2</v>
      </c>
      <c r="H92" s="3671">
        <v>9.0553058772000011E-2</v>
      </c>
      <c r="I92" s="3671">
        <v>0.14245154668799995</v>
      </c>
      <c r="J92" s="3671">
        <v>0.20196337370000009</v>
      </c>
      <c r="K92" s="3671">
        <v>0.2707696074692782</v>
      </c>
      <c r="L92" s="3671">
        <v>0.35010671233623281</v>
      </c>
      <c r="M92" s="3671">
        <v>0.43852985718036791</v>
      </c>
      <c r="N92" s="12"/>
      <c r="O92" s="3" t="s">
        <v>795</v>
      </c>
      <c r="P92" s="415">
        <v>1.8333333333333301E-9</v>
      </c>
      <c r="Q92" s="415">
        <v>3.6666666666666701E-9</v>
      </c>
      <c r="R92" s="3">
        <v>5.5000000000000004E-9</v>
      </c>
      <c r="S92" s="3">
        <v>7.3333333333333312E-9</v>
      </c>
      <c r="T92" s="3">
        <v>9.166666666666671E-9</v>
      </c>
      <c r="U92" s="3">
        <v>1.1000000000000001E-8</v>
      </c>
      <c r="V92" s="3">
        <v>1.2833333333333301E-8</v>
      </c>
      <c r="W92" s="3">
        <v>1.46666666666667E-8</v>
      </c>
    </row>
    <row r="93" spans="4:23" ht="15" customHeight="1">
      <c r="D93" s="25"/>
      <c r="E93" s="30" t="s">
        <v>791</v>
      </c>
      <c r="F93" s="3671" cm="1">
        <f t="array" ref="F93:M93">P93:W93*12*(1-INDEX(GEN_HOGARES_URBANOS_NUEVOS,TEMPLADO,0))*GEN_HOGARES</f>
        <v>1.1715464883482476E-2</v>
      </c>
      <c r="G93" s="3671">
        <v>1.3746044583947469E-2</v>
      </c>
      <c r="H93" s="3671">
        <v>1.7915595294733192E-2</v>
      </c>
      <c r="I93" s="3671">
        <v>2.1887418749088377E-2</v>
      </c>
      <c r="J93" s="3671">
        <v>2.5675278987454735E-2</v>
      </c>
      <c r="K93" s="3671">
        <v>2.9538502633012161E-2</v>
      </c>
      <c r="L93" s="3671">
        <v>3.3686533155163373E-2</v>
      </c>
      <c r="M93" s="3671">
        <v>3.7960523952637208E-2</v>
      </c>
      <c r="N93" s="12"/>
      <c r="O93" s="3" t="s">
        <v>791</v>
      </c>
      <c r="P93" s="415">
        <v>1.02601798834672E-9</v>
      </c>
      <c r="Q93" s="415">
        <v>1.06081439067738E-9</v>
      </c>
      <c r="R93" s="3">
        <v>1.0956107930080302E-9</v>
      </c>
      <c r="S93" s="3">
        <v>1.1304071953386902E-9</v>
      </c>
      <c r="T93" s="3">
        <v>1.16520359766934E-9</v>
      </c>
      <c r="U93" s="3">
        <v>1.2E-9</v>
      </c>
      <c r="V93" s="3">
        <v>1.23479640233066E-9</v>
      </c>
      <c r="W93" s="3">
        <v>1.2695928046613102E-9</v>
      </c>
    </row>
    <row r="94" spans="4:23" ht="15" customHeight="1">
      <c r="D94" s="25"/>
      <c r="E94" s="30" t="s">
        <v>792</v>
      </c>
      <c r="F94" s="3671" cm="1">
        <f t="array" ref="F94:M94">P94:W94*12*(1-INDEX(GEN_HOGARES_URBANOS_NUEVOS,CALIDO_SECO,0))*GEN_HOGARES</f>
        <v>0.5550138142062947</v>
      </c>
      <c r="G94" s="3671">
        <v>0.8485636192382443</v>
      </c>
      <c r="H94" s="3671">
        <v>1.346832463811354</v>
      </c>
      <c r="I94" s="3671">
        <v>1.9215811307314543</v>
      </c>
      <c r="J94" s="3671">
        <v>2.5587370232030899</v>
      </c>
      <c r="K94" s="3671">
        <v>3.2738507084921813</v>
      </c>
      <c r="L94" s="3671">
        <v>4.0888442006523853</v>
      </c>
      <c r="M94" s="3671">
        <v>4.9860001896475179</v>
      </c>
      <c r="N94" s="12"/>
      <c r="O94" s="3" t="s">
        <v>792</v>
      </c>
      <c r="P94" s="415">
        <v>4.8607047421519803E-8</v>
      </c>
      <c r="Q94" s="415">
        <v>6.5485637937215806E-8</v>
      </c>
      <c r="R94" s="3">
        <v>8.2364228452911814E-8</v>
      </c>
      <c r="S94" s="3">
        <v>9.9242818968607916E-8</v>
      </c>
      <c r="T94" s="3">
        <v>1.16121409484304E-7</v>
      </c>
      <c r="U94" s="3">
        <v>1.3300000000000001E-7</v>
      </c>
      <c r="V94" s="3">
        <v>1.4987859051569601E-7</v>
      </c>
      <c r="W94" s="3">
        <v>1.6675718103139203E-7</v>
      </c>
    </row>
    <row r="95" spans="4:23" ht="15" customHeight="1">
      <c r="D95" s="25"/>
      <c r="E95" s="32" t="s">
        <v>793</v>
      </c>
      <c r="F95" s="3672" cm="1">
        <f t="array" ref="F95:M95">P95:W95*12*(1-INDEX(GEN_HOGARES_URBANOS_NUEVOS,CALIDO_HUMEDO,0))*GEN_HOGARES</f>
        <v>0.48968172691944012</v>
      </c>
      <c r="G95" s="3672">
        <v>0.78925056136588267</v>
      </c>
      <c r="H95" s="3672">
        <v>1.2906955964387377</v>
      </c>
      <c r="I95" s="3672">
        <v>1.8772670640366333</v>
      </c>
      <c r="J95" s="3672">
        <v>2.5335216539615386</v>
      </c>
      <c r="K95" s="3672">
        <v>3.2738507084921813</v>
      </c>
      <c r="L95" s="3672">
        <v>4.1200627659285667</v>
      </c>
      <c r="M95" s="3672">
        <v>5.0544306905682657</v>
      </c>
      <c r="N95" s="12"/>
      <c r="O95" s="3" t="s">
        <v>793</v>
      </c>
      <c r="P95" s="3">
        <v>4.2885388277881508E-8</v>
      </c>
      <c r="Q95" s="3">
        <v>6.0908310622305211E-8</v>
      </c>
      <c r="R95" s="3">
        <v>7.8931232966728908E-8</v>
      </c>
      <c r="S95" s="3">
        <v>9.6954155311152606E-8</v>
      </c>
      <c r="T95" s="3">
        <v>1.14977077655576E-7</v>
      </c>
      <c r="U95" s="3">
        <v>1.3300000000000001E-7</v>
      </c>
      <c r="V95" s="3">
        <v>1.51022922344424E-7</v>
      </c>
      <c r="W95" s="3">
        <v>1.6904584468884701E-7</v>
      </c>
    </row>
    <row r="96" spans="4:23" ht="15" customHeight="1">
      <c r="D96" s="25"/>
      <c r="E96" s="30"/>
      <c r="F96" s="31"/>
      <c r="G96" s="31"/>
      <c r="H96" s="31"/>
      <c r="I96" s="31"/>
      <c r="J96" s="31"/>
      <c r="K96" s="31"/>
      <c r="L96" s="31"/>
      <c r="M96" s="31"/>
      <c r="N96" s="12"/>
    </row>
    <row r="97" spans="4:23" ht="15" customHeight="1">
      <c r="D97" s="25"/>
      <c r="E97" s="23" t="s">
        <v>1729</v>
      </c>
      <c r="F97" s="31"/>
      <c r="G97" s="31"/>
      <c r="H97" s="31"/>
      <c r="I97" s="31"/>
      <c r="J97" s="31"/>
      <c r="K97" s="31"/>
      <c r="L97" s="31"/>
      <c r="M97" s="31"/>
      <c r="N97" s="12"/>
    </row>
    <row r="98" spans="4:23" ht="15" customHeight="1">
      <c r="D98" s="25"/>
      <c r="E98" s="12"/>
      <c r="F98" s="12"/>
      <c r="G98" s="12"/>
      <c r="H98" s="12"/>
      <c r="I98" s="12"/>
      <c r="J98" s="12"/>
      <c r="K98" s="12"/>
      <c r="L98" s="12"/>
      <c r="M98" s="12"/>
      <c r="N98" s="12"/>
    </row>
    <row r="99" spans="4:23" ht="15" customHeight="1">
      <c r="D99" s="25"/>
      <c r="E99" s="26" t="s">
        <v>2095</v>
      </c>
      <c r="F99" s="20"/>
      <c r="G99" s="20"/>
      <c r="H99" s="20"/>
      <c r="I99" s="20"/>
      <c r="J99" s="20"/>
      <c r="K99" s="20"/>
      <c r="L99" s="20"/>
      <c r="M99" s="27" t="s">
        <v>9</v>
      </c>
      <c r="N99" s="12"/>
      <c r="P99" s="2199"/>
    </row>
    <row r="100" spans="4:23" ht="15" customHeight="1">
      <c r="D100" s="25"/>
      <c r="E100" s="28" t="s">
        <v>789</v>
      </c>
      <c r="F100" s="29">
        <v>2018</v>
      </c>
      <c r="G100" s="29">
        <v>2020</v>
      </c>
      <c r="H100" s="29">
        <v>2025</v>
      </c>
      <c r="I100" s="29">
        <v>2030</v>
      </c>
      <c r="J100" s="29">
        <v>2035</v>
      </c>
      <c r="K100" s="29">
        <v>2040</v>
      </c>
      <c r="L100" s="29">
        <v>2045</v>
      </c>
      <c r="M100" s="29">
        <v>2050</v>
      </c>
      <c r="N100" s="12"/>
      <c r="P100" s="1320">
        <v>2018</v>
      </c>
      <c r="Q100" s="1320">
        <v>2020</v>
      </c>
      <c r="R100" s="1320">
        <v>2025</v>
      </c>
      <c r="S100" s="1320">
        <v>2030</v>
      </c>
      <c r="T100" s="1320">
        <v>2035</v>
      </c>
      <c r="U100" s="1320">
        <v>2040</v>
      </c>
      <c r="V100" s="1320">
        <v>2045</v>
      </c>
      <c r="W100" s="1320">
        <v>2050</v>
      </c>
    </row>
    <row r="101" spans="4:23" ht="15" customHeight="1">
      <c r="D101" s="25"/>
      <c r="E101" s="30" t="s">
        <v>795</v>
      </c>
      <c r="F101" s="3671" cm="1">
        <f t="array" ref="F101:M101">P101:W101*12*INDEX(GEN_HOGARES_URBANOS_NUEVOS,FRIO,0)*GEN_HOGARES</f>
        <v>3.619585806222218E-4</v>
      </c>
      <c r="G101" s="3671">
        <v>5.8681497600000061E-4</v>
      </c>
      <c r="H101" s="3671">
        <v>1.2857432280000002E-3</v>
      </c>
      <c r="I101" s="3671">
        <v>2.3162853119999991E-3</v>
      </c>
      <c r="J101" s="3671">
        <v>3.7019763000000019E-3</v>
      </c>
      <c r="K101" s="3671">
        <v>4.9207085307218477E-3</v>
      </c>
      <c r="L101" s="3671">
        <v>5.3588596637663124E-3</v>
      </c>
      <c r="M101" s="3671">
        <v>6.7390548196331612E-3</v>
      </c>
      <c r="N101" s="12"/>
      <c r="O101" s="3" t="s">
        <v>795</v>
      </c>
      <c r="P101" s="415">
        <v>1.8333333333333301E-9</v>
      </c>
      <c r="Q101" s="415">
        <v>3.6666666666666701E-9</v>
      </c>
      <c r="R101" s="3">
        <v>5.5000000000000004E-9</v>
      </c>
      <c r="S101" s="3">
        <v>7.3333333333333312E-9</v>
      </c>
      <c r="T101" s="3">
        <v>9.166666666666671E-9</v>
      </c>
      <c r="U101" s="3">
        <v>1.1000000000000001E-8</v>
      </c>
      <c r="V101" s="3">
        <v>1.2833333333333301E-8</v>
      </c>
      <c r="W101" s="3">
        <v>1.46666666666667E-8</v>
      </c>
    </row>
    <row r="102" spans="4:23" ht="15" customHeight="1">
      <c r="D102" s="25"/>
      <c r="E102" s="30" t="s">
        <v>791</v>
      </c>
      <c r="F102" s="3671" cm="1">
        <f t="array" ref="F102:M102">P102:W102*12*INDEX(GEN_HOGARES_URBANOS_NUEVOS,TEMPLADO,0)*GEN_HOGARES</f>
        <v>3.2096965362642522E-4</v>
      </c>
      <c r="G102" s="3671">
        <v>4.0172294345710625E-4</v>
      </c>
      <c r="H102" s="3671">
        <v>3.7887428492634783E-4</v>
      </c>
      <c r="I102" s="3671">
        <v>4.2802656178198885E-4</v>
      </c>
      <c r="J102" s="3671">
        <v>4.674852746460673E-4</v>
      </c>
      <c r="K102" s="3671">
        <v>5.3680456698783786E-4</v>
      </c>
      <c r="L102" s="3671">
        <v>5.156182311750817E-4</v>
      </c>
      <c r="M102" s="3671">
        <v>5.8335378471984466E-4</v>
      </c>
      <c r="N102" s="12"/>
      <c r="O102" s="3" t="s">
        <v>791</v>
      </c>
      <c r="P102" s="415">
        <v>1.02601798834672E-9</v>
      </c>
      <c r="Q102" s="415">
        <v>1.06081439067738E-9</v>
      </c>
      <c r="R102" s="3">
        <v>1.0956107930080302E-9</v>
      </c>
      <c r="S102" s="3">
        <v>1.1304071953386902E-9</v>
      </c>
      <c r="T102" s="3">
        <v>1.16520359766934E-9</v>
      </c>
      <c r="U102" s="3">
        <v>1.2E-9</v>
      </c>
      <c r="V102" s="3">
        <v>1.23479640233066E-9</v>
      </c>
      <c r="W102" s="3">
        <v>1.2695928046613102E-9</v>
      </c>
    </row>
    <row r="103" spans="4:23" ht="15" customHeight="1">
      <c r="D103" s="25"/>
      <c r="E103" s="30" t="s">
        <v>792</v>
      </c>
      <c r="F103" s="3671" cm="1">
        <f t="array" ref="F103:M103">P103:W103*12*INDEX(GEN_HOGARES_URBANOS_NUEVOS,CALIDO_SECO,0)*GEN_HOGARES</f>
        <v>1.4512761306350269E-2</v>
      </c>
      <c r="G103" s="3671">
        <v>2.2752613538511098E-2</v>
      </c>
      <c r="H103" s="3671">
        <v>2.5641342217638124E-2</v>
      </c>
      <c r="I103" s="3671">
        <v>3.3468502008242577E-2</v>
      </c>
      <c r="J103" s="3671">
        <v>4.1216833849239312E-2</v>
      </c>
      <c r="K103" s="3671">
        <v>5.2406158149398897E-2</v>
      </c>
      <c r="L103" s="3671">
        <v>5.5127492094568548E-2</v>
      </c>
      <c r="M103" s="3671">
        <v>6.7491306998496842E-2</v>
      </c>
      <c r="N103" s="12"/>
      <c r="O103" s="3" t="s">
        <v>792</v>
      </c>
      <c r="P103" s="415">
        <v>4.6391781879256498E-8</v>
      </c>
      <c r="Q103" s="415">
        <v>6.0081955139190903E-8</v>
      </c>
      <c r="R103" s="3">
        <v>7.4148424420828613E-8</v>
      </c>
      <c r="S103" s="3">
        <v>8.8389457256614615E-8</v>
      </c>
      <c r="T103" s="3">
        <v>1.02732654246775E-7</v>
      </c>
      <c r="U103" s="3">
        <v>1.1715136876006401E-7</v>
      </c>
      <c r="V103" s="3">
        <v>1.3201866185521102E-7</v>
      </c>
      <c r="W103" s="3">
        <v>1.4688595495035699E-7</v>
      </c>
    </row>
    <row r="104" spans="4:23" ht="15" customHeight="1">
      <c r="D104" s="25"/>
      <c r="E104" s="32" t="s">
        <v>793</v>
      </c>
      <c r="F104" s="3672" cm="1">
        <f t="array" ref="F104:M104">P104:W104*12*INDEX(GEN_HOGARES_URBANOS_NUEVOS,CALIDO_HUMEDO,0)*GEN_HOGARES</f>
        <v>1.2804427271826001E-2</v>
      </c>
      <c r="G104" s="3672">
        <v>2.1162247120529769E-2</v>
      </c>
      <c r="H104" s="3672">
        <v>2.4572594124609482E-2</v>
      </c>
      <c r="I104" s="3672">
        <v>3.2696676449357927E-2</v>
      </c>
      <c r="J104" s="3672">
        <v>4.0810657804162563E-2</v>
      </c>
      <c r="K104" s="3672">
        <v>5.2406158149398897E-2</v>
      </c>
      <c r="L104" s="3672">
        <v>5.5548393729849856E-2</v>
      </c>
      <c r="M104" s="3672">
        <v>6.8417593354300255E-2</v>
      </c>
      <c r="N104" s="12"/>
      <c r="O104" s="3" t="s">
        <v>793</v>
      </c>
      <c r="P104" s="3">
        <v>4.0930887275285997E-8</v>
      </c>
      <c r="Q104" s="3">
        <v>5.5882335450740703E-8</v>
      </c>
      <c r="R104" s="3">
        <v>7.1057869077500009E-8</v>
      </c>
      <c r="S104" s="3">
        <v>8.6351085708650006E-8</v>
      </c>
      <c r="T104" s="3">
        <v>1.01720263451431E-7</v>
      </c>
      <c r="U104" s="3">
        <v>1.1715136876006401E-7</v>
      </c>
      <c r="V104" s="3">
        <v>1.33026632081159E-7</v>
      </c>
      <c r="W104" s="3">
        <v>1.4890189540225402E-7</v>
      </c>
    </row>
    <row r="105" spans="4:23" ht="15" customHeight="1">
      <c r="D105" s="25"/>
      <c r="E105" s="30"/>
      <c r="F105" s="31"/>
      <c r="G105" s="34"/>
      <c r="H105" s="34"/>
      <c r="I105" s="34"/>
      <c r="J105" s="34"/>
      <c r="K105" s="34"/>
      <c r="L105" s="34"/>
      <c r="M105" s="34"/>
      <c r="N105" s="12"/>
    </row>
    <row r="106" spans="4:23" ht="15" customHeight="1">
      <c r="D106" s="25"/>
      <c r="E106" s="26" t="s">
        <v>2096</v>
      </c>
      <c r="F106" s="20"/>
      <c r="G106" s="20"/>
      <c r="H106" s="20"/>
      <c r="I106" s="20"/>
      <c r="J106" s="20"/>
      <c r="K106" s="20"/>
      <c r="L106" s="20"/>
      <c r="M106" s="27" t="s">
        <v>9</v>
      </c>
      <c r="N106" s="12"/>
    </row>
    <row r="107" spans="4:23" ht="15" customHeight="1">
      <c r="D107" s="25"/>
      <c r="E107" s="28" t="s">
        <v>789</v>
      </c>
      <c r="F107" s="29">
        <v>2018</v>
      </c>
      <c r="G107" s="29">
        <v>2020</v>
      </c>
      <c r="H107" s="29">
        <v>2025</v>
      </c>
      <c r="I107" s="29">
        <v>2030</v>
      </c>
      <c r="J107" s="29">
        <v>2035</v>
      </c>
      <c r="K107" s="29">
        <v>2040</v>
      </c>
      <c r="L107" s="29">
        <v>2045</v>
      </c>
      <c r="M107" s="29">
        <v>2050</v>
      </c>
      <c r="N107" s="12"/>
      <c r="P107" s="1320">
        <v>2018</v>
      </c>
      <c r="Q107" s="1320">
        <v>2020</v>
      </c>
      <c r="R107" s="1320">
        <v>2025</v>
      </c>
      <c r="S107" s="1320">
        <v>2030</v>
      </c>
      <c r="T107" s="1320">
        <v>2035</v>
      </c>
      <c r="U107" s="1320">
        <v>2040</v>
      </c>
      <c r="V107" s="1320">
        <v>2045</v>
      </c>
      <c r="W107" s="1320">
        <v>2050</v>
      </c>
    </row>
    <row r="108" spans="4:23" ht="15" customHeight="1">
      <c r="D108" s="25"/>
      <c r="E108" s="30" t="s">
        <v>795</v>
      </c>
      <c r="F108" s="3671" cm="1">
        <f t="array" ref="F108:M108">P108:W108*12*(1-INDEX(GEN_HOGARES_URBANOS_NUEVOS,FRIO,0))*GEN_HOGARES</f>
        <v>2.1145263419377742E-2</v>
      </c>
      <c r="G108" s="3671">
        <v>4.8314433024000042E-2</v>
      </c>
      <c r="H108" s="3671">
        <v>9.0553058772000011E-2</v>
      </c>
      <c r="I108" s="3671">
        <v>0.14245154668799995</v>
      </c>
      <c r="J108" s="3671">
        <v>0.20196337370000009</v>
      </c>
      <c r="K108" s="3671">
        <v>0.2707696074692782</v>
      </c>
      <c r="L108" s="3671">
        <v>0.35010671233623281</v>
      </c>
      <c r="M108" s="3671">
        <v>0.43852985718036791</v>
      </c>
      <c r="N108" s="12"/>
      <c r="O108" s="3" t="s">
        <v>795</v>
      </c>
      <c r="P108" s="415">
        <v>1.8333333333333301E-9</v>
      </c>
      <c r="Q108" s="415">
        <v>3.6666666666666701E-9</v>
      </c>
      <c r="R108" s="3">
        <v>5.5000000000000004E-9</v>
      </c>
      <c r="S108" s="3">
        <v>7.3333333333333312E-9</v>
      </c>
      <c r="T108" s="3">
        <v>9.166666666666671E-9</v>
      </c>
      <c r="U108" s="3">
        <v>1.1000000000000001E-8</v>
      </c>
      <c r="V108" s="3">
        <v>1.2833333333333301E-8</v>
      </c>
      <c r="W108" s="3">
        <v>1.46666666666667E-8</v>
      </c>
    </row>
    <row r="109" spans="4:23" ht="15" customHeight="1">
      <c r="D109" s="25"/>
      <c r="E109" s="30" t="s">
        <v>791</v>
      </c>
      <c r="F109" s="3671" cm="1">
        <f t="array" ref="F109:M109">P109:W109*12*(1-INDEX(GEN_HOGARES_URBANOS_NUEVOS,TEMPLADO,0))*GEN_HOGARES</f>
        <v>1.1715464883482476E-2</v>
      </c>
      <c r="G109" s="3671">
        <v>1.3746044583947469E-2</v>
      </c>
      <c r="H109" s="3671">
        <v>1.7915595294733192E-2</v>
      </c>
      <c r="I109" s="3671">
        <v>2.1887418749088377E-2</v>
      </c>
      <c r="J109" s="3671">
        <v>2.5675278987454735E-2</v>
      </c>
      <c r="K109" s="3671">
        <v>2.9538502633012161E-2</v>
      </c>
      <c r="L109" s="3671">
        <v>3.3686533155163373E-2</v>
      </c>
      <c r="M109" s="3671">
        <v>3.7960523952637208E-2</v>
      </c>
      <c r="N109" s="12"/>
      <c r="O109" s="3" t="s">
        <v>791</v>
      </c>
      <c r="P109" s="415">
        <v>1.02601798834672E-9</v>
      </c>
      <c r="Q109" s="415">
        <v>1.06081439067738E-9</v>
      </c>
      <c r="R109" s="3">
        <v>1.0956107930080302E-9</v>
      </c>
      <c r="S109" s="3">
        <v>1.1304071953386902E-9</v>
      </c>
      <c r="T109" s="3">
        <v>1.16520359766934E-9</v>
      </c>
      <c r="U109" s="3">
        <v>1.2E-9</v>
      </c>
      <c r="V109" s="3">
        <v>1.23479640233066E-9</v>
      </c>
      <c r="W109" s="3">
        <v>1.2695928046613102E-9</v>
      </c>
    </row>
    <row r="110" spans="4:23" ht="15" customHeight="1">
      <c r="D110" s="25"/>
      <c r="E110" s="30" t="s">
        <v>792</v>
      </c>
      <c r="F110" s="3671" cm="1">
        <f t="array" ref="F110:M110">P110:W110*12*(1-INDEX(GEN_HOGARES_URBANOS_NUEVOS,CALIDO_SECO,0))*GEN_HOGARES</f>
        <v>0.5550138142062947</v>
      </c>
      <c r="G110" s="3671">
        <v>0.82426633871184507</v>
      </c>
      <c r="H110" s="3671">
        <v>1.3002143725268884</v>
      </c>
      <c r="I110" s="3671">
        <v>1.848660001477294</v>
      </c>
      <c r="J110" s="3671">
        <v>2.4563645886629306</v>
      </c>
      <c r="K110" s="3671">
        <v>3.1384788268614763</v>
      </c>
      <c r="L110" s="3671">
        <v>3.9197727974569845</v>
      </c>
      <c r="M110" s="3671">
        <v>4.7798318919506366</v>
      </c>
      <c r="N110" s="12"/>
      <c r="O110" s="3" t="s">
        <v>792</v>
      </c>
      <c r="P110" s="415">
        <v>4.8607047421519803E-8</v>
      </c>
      <c r="Q110" s="415">
        <v>6.361056000630111E-8</v>
      </c>
      <c r="R110" s="3">
        <v>7.9513344453778998E-8</v>
      </c>
      <c r="S110" s="3">
        <v>9.5476702454546208E-8</v>
      </c>
      <c r="T110" s="3">
        <v>1.1147551141688101E-7</v>
      </c>
      <c r="U110" s="3">
        <v>1.27500524959742E-7</v>
      </c>
      <c r="V110" s="3">
        <v>1.4368119527050801E-7</v>
      </c>
      <c r="W110" s="3">
        <v>1.5986186558127302E-7</v>
      </c>
    </row>
    <row r="111" spans="4:23" ht="15" customHeight="1">
      <c r="D111" s="25"/>
      <c r="E111" s="32" t="s">
        <v>793</v>
      </c>
      <c r="F111" s="3672" cm="1">
        <f t="array" ref="F111:M111">P111:W111*12*(1-INDEX(GEN_HOGARES_URBANOS_NUEVOS,CALIDO_HUMEDO,0))*GEN_HOGARES</f>
        <v>0.48968172691944012</v>
      </c>
      <c r="G111" s="3672">
        <v>0.7666516166782239</v>
      </c>
      <c r="H111" s="3672">
        <v>1.2460205780144211</v>
      </c>
      <c r="I111" s="3672">
        <v>1.8060275873203502</v>
      </c>
      <c r="J111" s="3672">
        <v>2.4321580603900776</v>
      </c>
      <c r="K111" s="3672">
        <v>3.1384788268614763</v>
      </c>
      <c r="L111" s="3672">
        <v>3.9497004926539843</v>
      </c>
      <c r="M111" s="3672">
        <v>4.8454328302262173</v>
      </c>
      <c r="N111" s="12"/>
      <c r="O111" s="3" t="s">
        <v>793</v>
      </c>
      <c r="P111" s="3">
        <v>4.2885388277881508E-8</v>
      </c>
      <c r="Q111" s="3">
        <v>5.9164297237772304E-8</v>
      </c>
      <c r="R111" s="3">
        <v>7.61991756971665E-8</v>
      </c>
      <c r="S111" s="3">
        <v>9.32748901590842E-8</v>
      </c>
      <c r="T111" s="3">
        <v>1.1037696312673801E-7</v>
      </c>
      <c r="U111" s="3">
        <v>1.27500524959742E-7</v>
      </c>
      <c r="V111" s="3">
        <v>1.4477820962307102E-7</v>
      </c>
      <c r="W111" s="3">
        <v>1.6205589428639901E-7</v>
      </c>
    </row>
    <row r="112" spans="4:23" ht="15" customHeight="1">
      <c r="D112" s="25"/>
      <c r="E112" s="30"/>
      <c r="F112" s="30"/>
      <c r="G112" s="33"/>
      <c r="H112" s="34"/>
      <c r="I112" s="34"/>
      <c r="J112" s="34"/>
      <c r="K112" s="34"/>
      <c r="L112" s="34"/>
      <c r="M112" s="34"/>
      <c r="N112" s="34"/>
    </row>
    <row r="113" spans="4:26" ht="15" customHeight="1">
      <c r="D113" s="25"/>
      <c r="E113" s="23" t="s">
        <v>1730</v>
      </c>
      <c r="F113" s="12"/>
      <c r="G113" s="12"/>
      <c r="H113" s="12"/>
      <c r="I113" s="12"/>
      <c r="J113" s="12"/>
      <c r="K113" s="12"/>
      <c r="L113" s="12"/>
      <c r="M113" s="12"/>
      <c r="N113" s="12"/>
    </row>
    <row r="114" spans="4:26" ht="15" customHeight="1">
      <c r="D114" s="25"/>
      <c r="E114" s="12"/>
      <c r="F114" s="12"/>
      <c r="G114" s="12"/>
      <c r="H114" s="12"/>
      <c r="I114" s="12"/>
      <c r="J114" s="12"/>
      <c r="K114" s="12"/>
      <c r="L114" s="12"/>
      <c r="M114" s="12"/>
      <c r="N114" s="12"/>
      <c r="Q114" s="2199"/>
      <c r="R114" s="2199"/>
      <c r="S114" s="2199"/>
      <c r="T114" s="2199"/>
      <c r="U114" s="2199"/>
      <c r="V114" s="2199"/>
      <c r="W114" s="2199"/>
      <c r="X114" s="2199"/>
    </row>
    <row r="115" spans="4:26" ht="15" customHeight="1">
      <c r="D115" s="25"/>
      <c r="E115" s="26" t="s">
        <v>2095</v>
      </c>
      <c r="F115" s="20"/>
      <c r="G115" s="20"/>
      <c r="H115" s="20"/>
      <c r="I115" s="20"/>
      <c r="J115" s="20"/>
      <c r="K115" s="20"/>
      <c r="L115" s="20"/>
      <c r="M115" s="27" t="s">
        <v>9</v>
      </c>
      <c r="N115" s="12"/>
    </row>
    <row r="116" spans="4:26" ht="15" customHeight="1">
      <c r="D116" s="25"/>
      <c r="E116" s="28" t="s">
        <v>789</v>
      </c>
      <c r="F116" s="29">
        <v>2018</v>
      </c>
      <c r="G116" s="29">
        <v>2020</v>
      </c>
      <c r="H116" s="29">
        <v>2025</v>
      </c>
      <c r="I116" s="29">
        <v>2030</v>
      </c>
      <c r="J116" s="29">
        <v>2035</v>
      </c>
      <c r="K116" s="29">
        <v>2040</v>
      </c>
      <c r="L116" s="29">
        <v>2045</v>
      </c>
      <c r="M116" s="29">
        <v>2050</v>
      </c>
      <c r="N116" s="12"/>
      <c r="P116" s="1320">
        <v>2018</v>
      </c>
      <c r="Q116" s="1320">
        <v>2020</v>
      </c>
      <c r="R116" s="1320">
        <v>2025</v>
      </c>
      <c r="S116" s="1320">
        <v>2030</v>
      </c>
      <c r="T116" s="1320">
        <v>2035</v>
      </c>
      <c r="U116" s="1320">
        <v>2040</v>
      </c>
      <c r="V116" s="1320">
        <v>2045</v>
      </c>
      <c r="W116" s="1320">
        <v>2050</v>
      </c>
    </row>
    <row r="117" spans="4:26" ht="15" customHeight="1">
      <c r="D117" s="25"/>
      <c r="E117" s="30" t="s">
        <v>795</v>
      </c>
      <c r="F117" s="3671" cm="1">
        <f t="array" ref="F117:M117">P117:W117*12*INDEX(GEN_HOGARES_URBANOS_NUEVOS,FRIO,0)*GEN_HOGARES</f>
        <v>3.619585806222218E-4</v>
      </c>
      <c r="G117" s="3671">
        <v>5.8681497600000061E-4</v>
      </c>
      <c r="H117" s="3671">
        <v>1.2857432280000002E-3</v>
      </c>
      <c r="I117" s="3671">
        <v>2.3162853119999991E-3</v>
      </c>
      <c r="J117" s="3671">
        <v>3.7019763000000019E-3</v>
      </c>
      <c r="K117" s="3671">
        <v>4.9207085307218477E-3</v>
      </c>
      <c r="L117" s="3671">
        <v>5.3588596637663124E-3</v>
      </c>
      <c r="M117" s="3671">
        <v>6.7390548196331612E-3</v>
      </c>
      <c r="N117" s="12"/>
      <c r="O117" s="3" t="s">
        <v>795</v>
      </c>
      <c r="P117" s="3">
        <v>1.8333333333333301E-9</v>
      </c>
      <c r="Q117" s="3">
        <v>3.6666666666666701E-9</v>
      </c>
      <c r="R117" s="3">
        <v>5.5000000000000004E-9</v>
      </c>
      <c r="S117" s="3">
        <v>7.3333333333333312E-9</v>
      </c>
      <c r="T117" s="3">
        <v>9.166666666666671E-9</v>
      </c>
      <c r="U117" s="3">
        <v>1.1000000000000001E-8</v>
      </c>
      <c r="V117" s="3">
        <v>1.2833333333333301E-8</v>
      </c>
      <c r="W117" s="3">
        <v>1.46666666666667E-8</v>
      </c>
      <c r="Y117" s="2199"/>
      <c r="Z117" s="2199"/>
    </row>
    <row r="118" spans="4:26" ht="15" customHeight="1">
      <c r="D118" s="25"/>
      <c r="E118" s="30" t="s">
        <v>791</v>
      </c>
      <c r="F118" s="3671" cm="1">
        <f t="array" ref="F118:M118">P118:W118*12*INDEX(GEN_HOGARES_URBANOS_NUEVOS,TEMPLADO,0)*GEN_HOGARES</f>
        <v>3.2096965362642522E-4</v>
      </c>
      <c r="G118" s="3671">
        <v>4.0172294345710625E-4</v>
      </c>
      <c r="H118" s="3671">
        <v>3.7887428492634783E-4</v>
      </c>
      <c r="I118" s="3671">
        <v>4.2802656178198885E-4</v>
      </c>
      <c r="J118" s="3671">
        <v>4.674852746460673E-4</v>
      </c>
      <c r="K118" s="3671">
        <v>5.3680456698783786E-4</v>
      </c>
      <c r="L118" s="3671">
        <v>5.156182311750817E-4</v>
      </c>
      <c r="M118" s="3671">
        <v>5.8335378471984466E-4</v>
      </c>
      <c r="N118" s="12"/>
      <c r="O118" s="3" t="s">
        <v>791</v>
      </c>
      <c r="P118" s="3">
        <v>1.02601798834672E-9</v>
      </c>
      <c r="Q118" s="3">
        <v>1.06081439067738E-9</v>
      </c>
      <c r="R118" s="3">
        <v>1.0956107930080302E-9</v>
      </c>
      <c r="S118" s="3">
        <v>1.1304071953386902E-9</v>
      </c>
      <c r="T118" s="3">
        <v>1.16520359766934E-9</v>
      </c>
      <c r="U118" s="3">
        <v>1.2E-9</v>
      </c>
      <c r="V118" s="3">
        <v>1.23479640233066E-9</v>
      </c>
      <c r="W118" s="3">
        <v>1.2695928046613102E-9</v>
      </c>
    </row>
    <row r="119" spans="4:26" ht="15" customHeight="1">
      <c r="D119" s="25"/>
      <c r="E119" s="30" t="s">
        <v>792</v>
      </c>
      <c r="F119" s="3671" cm="1">
        <f t="array" ref="F119:M119">P119:W119*12*INDEX(GEN_HOGARES_URBANOS_NUEVOS,CALIDO_SECO,0)*GEN_HOGARES</f>
        <v>1.4512761306350269E-2</v>
      </c>
      <c r="G119" s="3671">
        <v>2.2752613538511098E-2</v>
      </c>
      <c r="H119" s="3671">
        <v>2.5641342217638124E-2</v>
      </c>
      <c r="I119" s="3671">
        <v>3.3468502008242577E-2</v>
      </c>
      <c r="J119" s="3671">
        <v>4.1216833849239312E-2</v>
      </c>
      <c r="K119" s="3671">
        <v>5.2406158149398897E-2</v>
      </c>
      <c r="L119" s="3671">
        <v>5.5127492094568548E-2</v>
      </c>
      <c r="M119" s="3671">
        <v>6.7491306998496842E-2</v>
      </c>
      <c r="N119" s="12"/>
      <c r="O119" s="3" t="s">
        <v>792</v>
      </c>
      <c r="P119" s="3">
        <v>4.6391781879256498E-8</v>
      </c>
      <c r="Q119" s="3">
        <v>6.0081955139190903E-8</v>
      </c>
      <c r="R119" s="3">
        <v>7.4148424420828613E-8</v>
      </c>
      <c r="S119" s="3">
        <v>8.8389457256614615E-8</v>
      </c>
      <c r="T119" s="3">
        <v>1.02732654246775E-7</v>
      </c>
      <c r="U119" s="3">
        <v>1.1715136876006401E-7</v>
      </c>
      <c r="V119" s="3">
        <v>1.3201866185521102E-7</v>
      </c>
      <c r="W119" s="3">
        <v>1.4688595495035699E-7</v>
      </c>
    </row>
    <row r="120" spans="4:26" ht="15" customHeight="1">
      <c r="D120" s="25"/>
      <c r="E120" s="32" t="s">
        <v>793</v>
      </c>
      <c r="F120" s="3672" cm="1">
        <f t="array" ref="F120:M120">P120:W120*12*INDEX(GEN_HOGARES_URBANOS_NUEVOS,CALIDO_HUMEDO,0)*GEN_HOGARES</f>
        <v>1.2804427271826001E-2</v>
      </c>
      <c r="G120" s="3672">
        <v>2.1162247120529769E-2</v>
      </c>
      <c r="H120" s="3672">
        <v>2.4572594124609482E-2</v>
      </c>
      <c r="I120" s="3672">
        <v>3.2696676449357927E-2</v>
      </c>
      <c r="J120" s="3672">
        <v>4.0810657804162563E-2</v>
      </c>
      <c r="K120" s="3672">
        <v>5.2406158149398897E-2</v>
      </c>
      <c r="L120" s="3672">
        <v>5.5548393729849856E-2</v>
      </c>
      <c r="M120" s="3672">
        <v>6.8417593354300255E-2</v>
      </c>
      <c r="N120" s="12"/>
      <c r="O120" s="3" t="s">
        <v>793</v>
      </c>
      <c r="P120" s="3">
        <v>4.0930887275285997E-8</v>
      </c>
      <c r="Q120" s="3">
        <v>5.5882335450740703E-8</v>
      </c>
      <c r="R120" s="3">
        <v>7.1057869077500009E-8</v>
      </c>
      <c r="S120" s="3">
        <v>8.6351085708650006E-8</v>
      </c>
      <c r="T120" s="3">
        <v>1.01720263451431E-7</v>
      </c>
      <c r="U120" s="3">
        <v>1.1715136876006401E-7</v>
      </c>
      <c r="V120" s="3">
        <v>1.33026632081159E-7</v>
      </c>
      <c r="W120" s="3">
        <v>1.4890189540225402E-7</v>
      </c>
    </row>
    <row r="121" spans="4:26" ht="15" customHeight="1">
      <c r="D121" s="25"/>
      <c r="E121" s="30"/>
      <c r="F121" s="31"/>
      <c r="G121" s="34"/>
      <c r="H121" s="34"/>
      <c r="I121" s="34"/>
      <c r="J121" s="34"/>
      <c r="K121" s="34"/>
      <c r="L121" s="34"/>
      <c r="M121" s="34"/>
      <c r="N121" s="12"/>
    </row>
    <row r="122" spans="4:26" ht="15" customHeight="1">
      <c r="D122" s="25"/>
      <c r="E122" s="26" t="s">
        <v>2096</v>
      </c>
      <c r="F122" s="20"/>
      <c r="G122" s="20"/>
      <c r="H122" s="20"/>
      <c r="I122" s="20"/>
      <c r="J122" s="20"/>
      <c r="K122" s="20"/>
      <c r="L122" s="20"/>
      <c r="M122" s="27" t="s">
        <v>9</v>
      </c>
      <c r="N122" s="12"/>
    </row>
    <row r="123" spans="4:26" ht="15" customHeight="1">
      <c r="D123" s="11"/>
      <c r="E123" s="28" t="s">
        <v>789</v>
      </c>
      <c r="F123" s="29">
        <v>2018</v>
      </c>
      <c r="G123" s="29">
        <v>2020</v>
      </c>
      <c r="H123" s="29">
        <v>2025</v>
      </c>
      <c r="I123" s="29">
        <v>2030</v>
      </c>
      <c r="J123" s="29">
        <v>2035</v>
      </c>
      <c r="K123" s="29">
        <v>2040</v>
      </c>
      <c r="L123" s="29">
        <v>2045</v>
      </c>
      <c r="M123" s="29">
        <v>2050</v>
      </c>
      <c r="N123" s="12"/>
      <c r="P123" s="1320">
        <v>2018</v>
      </c>
      <c r="Q123" s="1320">
        <v>2020</v>
      </c>
      <c r="R123" s="1320">
        <v>2025</v>
      </c>
      <c r="S123" s="1320">
        <v>2030</v>
      </c>
      <c r="T123" s="1320">
        <v>2035</v>
      </c>
      <c r="U123" s="1320">
        <v>2040</v>
      </c>
      <c r="V123" s="1320">
        <v>2045</v>
      </c>
      <c r="W123" s="1320">
        <v>2050</v>
      </c>
    </row>
    <row r="124" spans="4:26" ht="15" customHeight="1">
      <c r="D124" s="13"/>
      <c r="E124" s="30" t="s">
        <v>795</v>
      </c>
      <c r="F124" s="3671" cm="1">
        <f t="array" ref="F124:M124">P124:W124*12*(1-INDEX(GEN_HOGARES_URBANOS_NUEVOS,FRIO,0))*GEN_HOGARES</f>
        <v>2.1145263419377742E-2</v>
      </c>
      <c r="G124" s="3671">
        <v>4.8314433024000042E-2</v>
      </c>
      <c r="H124" s="3671">
        <v>9.0553058772000011E-2</v>
      </c>
      <c r="I124" s="3671">
        <v>0.14245154668799995</v>
      </c>
      <c r="J124" s="3671">
        <v>0.20196337370000009</v>
      </c>
      <c r="K124" s="3671">
        <v>0.2707696074692782</v>
      </c>
      <c r="L124" s="3671">
        <v>0.35010671233623281</v>
      </c>
      <c r="M124" s="3671">
        <v>0.43852985718036791</v>
      </c>
      <c r="N124" s="12"/>
      <c r="O124" s="3" t="s">
        <v>795</v>
      </c>
      <c r="P124" s="3">
        <v>1.8333333333333301E-9</v>
      </c>
      <c r="Q124" s="3">
        <v>3.6666666666666701E-9</v>
      </c>
      <c r="R124" s="3">
        <v>5.5000000000000004E-9</v>
      </c>
      <c r="S124" s="3">
        <v>7.3333333333333312E-9</v>
      </c>
      <c r="T124" s="3">
        <v>9.166666666666671E-9</v>
      </c>
      <c r="U124" s="3">
        <v>1.1000000000000001E-8</v>
      </c>
      <c r="V124" s="3">
        <v>1.2833333333333301E-8</v>
      </c>
      <c r="W124" s="3">
        <v>1.46666666666667E-8</v>
      </c>
    </row>
    <row r="125" spans="4:26" ht="15" customHeight="1">
      <c r="D125" s="25"/>
      <c r="E125" s="30" t="s">
        <v>791</v>
      </c>
      <c r="F125" s="3671" cm="1">
        <f t="array" ref="F125:M125">P125:W125*12*(1-INDEX(GEN_HOGARES_URBANOS_NUEVOS,TEMPLADO,0))*GEN_HOGARES</f>
        <v>1.1715464883482476E-2</v>
      </c>
      <c r="G125" s="3671">
        <v>1.3746044583947469E-2</v>
      </c>
      <c r="H125" s="3671">
        <v>1.7915595294733192E-2</v>
      </c>
      <c r="I125" s="3671">
        <v>2.1887418749088377E-2</v>
      </c>
      <c r="J125" s="3671">
        <v>2.5675278987454735E-2</v>
      </c>
      <c r="K125" s="3671">
        <v>2.9538502633012161E-2</v>
      </c>
      <c r="L125" s="3671">
        <v>3.3686533155163373E-2</v>
      </c>
      <c r="M125" s="3671">
        <v>3.7960523952637208E-2</v>
      </c>
      <c r="N125" s="12"/>
      <c r="O125" s="3" t="s">
        <v>791</v>
      </c>
      <c r="P125" s="3">
        <v>1.02601798834672E-9</v>
      </c>
      <c r="Q125" s="3">
        <v>1.06081439067738E-9</v>
      </c>
      <c r="R125" s="3">
        <v>1.0956107930080302E-9</v>
      </c>
      <c r="S125" s="3">
        <v>1.1304071953386902E-9</v>
      </c>
      <c r="T125" s="3">
        <v>1.16520359766934E-9</v>
      </c>
      <c r="U125" s="3">
        <v>1.2E-9</v>
      </c>
      <c r="V125" s="3">
        <v>1.23479640233066E-9</v>
      </c>
      <c r="W125" s="3">
        <v>1.2695928046613102E-9</v>
      </c>
    </row>
    <row r="126" spans="4:26" ht="15" customHeight="1">
      <c r="D126" s="25"/>
      <c r="E126" s="30" t="s">
        <v>792</v>
      </c>
      <c r="F126" s="3671" cm="1">
        <f t="array" ref="F126:M126">P126:W126*12*(1-INDEX(GEN_HOGARES_URBANOS_NUEVOS,CALIDO_SECO,0))*GEN_HOGARES</f>
        <v>0.5550138142062947</v>
      </c>
      <c r="G126" s="3671">
        <v>0.79996905818544739</v>
      </c>
      <c r="H126" s="3671">
        <v>1.2535962812424215</v>
      </c>
      <c r="I126" s="3671">
        <v>1.775738872223136</v>
      </c>
      <c r="J126" s="3671">
        <v>2.3539921541227935</v>
      </c>
      <c r="K126" s="3671">
        <v>3.0031069452307961</v>
      </c>
      <c r="L126" s="3671">
        <v>3.7507013942615561</v>
      </c>
      <c r="M126" s="3671">
        <v>4.5736635942537243</v>
      </c>
      <c r="N126" s="12"/>
      <c r="O126" s="3" t="s">
        <v>792</v>
      </c>
      <c r="P126" s="3">
        <v>4.8607047421519803E-8</v>
      </c>
      <c r="Q126" s="3">
        <v>6.1735482075386506E-8</v>
      </c>
      <c r="R126" s="3">
        <v>7.6662460454646102E-8</v>
      </c>
      <c r="S126" s="3">
        <v>9.1710585940484607E-8</v>
      </c>
      <c r="T126" s="3">
        <v>1.06829613349459E-7</v>
      </c>
      <c r="U126" s="3">
        <v>1.22001049919485E-7</v>
      </c>
      <c r="V126" s="3">
        <v>1.3748380002531901E-7</v>
      </c>
      <c r="W126" s="3">
        <v>1.5296655013115302E-7</v>
      </c>
    </row>
    <row r="127" spans="4:26" ht="15" customHeight="1">
      <c r="D127" s="25"/>
      <c r="E127" s="32" t="s">
        <v>793</v>
      </c>
      <c r="F127" s="3672" cm="1">
        <f t="array" ref="F127:M127">P127:W127*12*(1-INDEX(GEN_HOGARES_URBANOS_NUEVOS,CALIDO_HUMEDO,0))*GEN_HOGARES</f>
        <v>0.48968172691944012</v>
      </c>
      <c r="G127" s="3672">
        <v>0.74405267199056657</v>
      </c>
      <c r="H127" s="3672">
        <v>1.2013455595901046</v>
      </c>
      <c r="I127" s="3672">
        <v>1.734788110604067</v>
      </c>
      <c r="J127" s="3672">
        <v>2.3307944668185945</v>
      </c>
      <c r="K127" s="3672">
        <v>3.0031069452307961</v>
      </c>
      <c r="L127" s="3672">
        <v>3.779338219379401</v>
      </c>
      <c r="M127" s="3672">
        <v>4.6364349698841698</v>
      </c>
      <c r="N127" s="662"/>
      <c r="O127" s="3" t="s">
        <v>793</v>
      </c>
      <c r="P127" s="3">
        <v>4.2885388277881508E-8</v>
      </c>
      <c r="Q127" s="3">
        <v>5.742028385323951E-8</v>
      </c>
      <c r="R127" s="3">
        <v>7.3467118427604106E-8</v>
      </c>
      <c r="S127" s="3">
        <v>8.9595625007015808E-8</v>
      </c>
      <c r="T127" s="3">
        <v>1.0577684859789901E-7</v>
      </c>
      <c r="U127" s="3">
        <v>1.22001049919485E-7</v>
      </c>
      <c r="V127" s="3">
        <v>1.3853349690171802E-7</v>
      </c>
      <c r="W127" s="3">
        <v>1.5506594388395101E-7</v>
      </c>
    </row>
    <row r="128" spans="4:26" ht="15" customHeight="1">
      <c r="D128" s="25"/>
      <c r="E128" s="35"/>
      <c r="F128" s="33"/>
      <c r="G128" s="36"/>
      <c r="H128" s="36"/>
      <c r="I128" s="36"/>
      <c r="J128" s="36"/>
      <c r="K128" s="36"/>
      <c r="L128" s="36"/>
      <c r="M128" s="36"/>
      <c r="N128" s="12"/>
    </row>
    <row r="129" spans="4:23" ht="15" customHeight="1">
      <c r="D129" s="25"/>
      <c r="E129" s="23" t="s">
        <v>1731</v>
      </c>
      <c r="F129" s="33"/>
      <c r="G129" s="36"/>
      <c r="H129" s="36"/>
      <c r="I129" s="36"/>
      <c r="J129" s="36"/>
      <c r="K129" s="36"/>
      <c r="L129" s="36"/>
      <c r="M129" s="36"/>
      <c r="N129" s="12"/>
    </row>
    <row r="130" spans="4:23" ht="15" customHeight="1">
      <c r="D130" s="25"/>
      <c r="E130" s="35"/>
      <c r="F130" s="33"/>
      <c r="G130" s="36"/>
      <c r="H130" s="36"/>
      <c r="I130" s="36"/>
      <c r="J130" s="36"/>
      <c r="K130" s="36"/>
      <c r="L130" s="36"/>
      <c r="M130" s="36"/>
      <c r="N130" s="12"/>
    </row>
    <row r="131" spans="4:23" ht="15" customHeight="1">
      <c r="D131" s="25"/>
      <c r="E131" s="26" t="s">
        <v>2095</v>
      </c>
      <c r="F131" s="20"/>
      <c r="G131" s="20"/>
      <c r="H131" s="20"/>
      <c r="I131" s="20"/>
      <c r="J131" s="20"/>
      <c r="K131" s="20"/>
      <c r="L131" s="20"/>
      <c r="M131" s="27" t="s">
        <v>9</v>
      </c>
      <c r="N131" s="12"/>
    </row>
    <row r="132" spans="4:23" ht="15" customHeight="1">
      <c r="D132" s="25"/>
      <c r="E132" s="28" t="s">
        <v>789</v>
      </c>
      <c r="F132" s="29">
        <v>2018</v>
      </c>
      <c r="G132" s="29">
        <v>2020</v>
      </c>
      <c r="H132" s="29">
        <v>2025</v>
      </c>
      <c r="I132" s="29">
        <v>2030</v>
      </c>
      <c r="J132" s="29">
        <v>2035</v>
      </c>
      <c r="K132" s="29">
        <v>2040</v>
      </c>
      <c r="L132" s="29">
        <v>2045</v>
      </c>
      <c r="M132" s="29">
        <v>2050</v>
      </c>
      <c r="N132" s="12"/>
      <c r="P132" s="1320">
        <v>2018</v>
      </c>
      <c r="Q132" s="1320">
        <v>2020</v>
      </c>
      <c r="R132" s="1320">
        <v>2025</v>
      </c>
      <c r="S132" s="1320">
        <v>2030</v>
      </c>
      <c r="T132" s="1320">
        <v>2035</v>
      </c>
      <c r="U132" s="1320">
        <v>2040</v>
      </c>
      <c r="V132" s="1320">
        <v>2045</v>
      </c>
      <c r="W132" s="1320">
        <v>2050</v>
      </c>
    </row>
    <row r="133" spans="4:23" ht="15" customHeight="1">
      <c r="D133" s="25"/>
      <c r="E133" s="30" t="s">
        <v>795</v>
      </c>
      <c r="F133" s="3671" cm="1">
        <f t="array" ref="F133:M133">P133:W133*12*INDEX(GEN_HOGARES_URBANOS_NUEVOS,FRIO,0)*GEN_HOGARES</f>
        <v>3.619585806222218E-4</v>
      </c>
      <c r="G133" s="3671">
        <v>5.8681497600000061E-4</v>
      </c>
      <c r="H133" s="3671">
        <v>1.2857432280000002E-3</v>
      </c>
      <c r="I133" s="3671">
        <v>2.3162853119999991E-3</v>
      </c>
      <c r="J133" s="3671">
        <v>3.7019763000000019E-3</v>
      </c>
      <c r="K133" s="3671">
        <v>4.9207085307218477E-3</v>
      </c>
      <c r="L133" s="3671">
        <v>5.3588596637663124E-3</v>
      </c>
      <c r="M133" s="3671">
        <v>6.7390548196331612E-3</v>
      </c>
      <c r="N133" s="12"/>
      <c r="O133" s="3" t="s">
        <v>795</v>
      </c>
      <c r="P133" s="415">
        <v>1.8333333333333301E-9</v>
      </c>
      <c r="Q133" s="415">
        <v>3.6666666666666701E-9</v>
      </c>
      <c r="R133" s="3">
        <v>5.5000000000000004E-9</v>
      </c>
      <c r="S133" s="3">
        <v>7.3333333333333312E-9</v>
      </c>
      <c r="T133" s="3">
        <v>9.166666666666671E-9</v>
      </c>
      <c r="U133" s="3">
        <v>1.1000000000000001E-8</v>
      </c>
      <c r="V133" s="3">
        <v>1.2833333333333301E-8</v>
      </c>
      <c r="W133" s="3">
        <v>1.46666666666667E-8</v>
      </c>
    </row>
    <row r="134" spans="4:23" ht="15" customHeight="1">
      <c r="D134" s="25"/>
      <c r="E134" s="30" t="s">
        <v>791</v>
      </c>
      <c r="F134" s="3671" cm="1">
        <f t="array" ref="F134:M134">P134:W134*12*INDEX(GEN_HOGARES_URBANOS_NUEVOS,TEMPLADO,0)*GEN_HOGARES</f>
        <v>3.2096965362642522E-4</v>
      </c>
      <c r="G134" s="3671">
        <v>4.0172294345710625E-4</v>
      </c>
      <c r="H134" s="3671">
        <v>3.7887428492634783E-4</v>
      </c>
      <c r="I134" s="3671">
        <v>4.2802656178198885E-4</v>
      </c>
      <c r="J134" s="3671">
        <v>4.674852746460673E-4</v>
      </c>
      <c r="K134" s="3671">
        <v>5.3680456698783786E-4</v>
      </c>
      <c r="L134" s="3671">
        <v>5.156182311750817E-4</v>
      </c>
      <c r="M134" s="3671">
        <v>5.8335378471984466E-4</v>
      </c>
      <c r="N134" s="12"/>
      <c r="O134" s="3" t="s">
        <v>791</v>
      </c>
      <c r="P134" s="415">
        <v>1.02601798834672E-9</v>
      </c>
      <c r="Q134" s="415">
        <v>1.06081439067738E-9</v>
      </c>
      <c r="R134" s="3">
        <v>1.0956107930080302E-9</v>
      </c>
      <c r="S134" s="3">
        <v>1.1304071953386902E-9</v>
      </c>
      <c r="T134" s="3">
        <v>1.16520359766934E-9</v>
      </c>
      <c r="U134" s="3">
        <v>1.2E-9</v>
      </c>
      <c r="V134" s="3">
        <v>1.23479640233066E-9</v>
      </c>
      <c r="W134" s="3">
        <v>1.2695928046613102E-9</v>
      </c>
    </row>
    <row r="135" spans="4:23" ht="15" customHeight="1">
      <c r="D135" s="13"/>
      <c r="E135" s="30" t="s">
        <v>792</v>
      </c>
      <c r="F135" s="3671" cm="1">
        <f t="array" ref="F135:M135">P135:W135*12*INDEX(GEN_HOGARES_URBANOS_NUEVOS,CALIDO_SECO,0)*GEN_HOGARES</f>
        <v>1.4512761306350269E-2</v>
      </c>
      <c r="G135" s="3671">
        <v>2.2752613538511098E-2</v>
      </c>
      <c r="H135" s="3671">
        <v>2.5641342217638124E-2</v>
      </c>
      <c r="I135" s="3671">
        <v>3.3468502008242577E-2</v>
      </c>
      <c r="J135" s="3671">
        <v>4.1216833849239312E-2</v>
      </c>
      <c r="K135" s="3671">
        <v>5.2406158149398897E-2</v>
      </c>
      <c r="L135" s="3671">
        <v>5.5127492094568548E-2</v>
      </c>
      <c r="M135" s="3671">
        <v>6.7491306998496842E-2</v>
      </c>
      <c r="N135" s="12"/>
      <c r="O135" s="3" t="s">
        <v>792</v>
      </c>
      <c r="P135" s="415">
        <v>4.6391781879256498E-8</v>
      </c>
      <c r="Q135" s="415">
        <v>6.0081955139190903E-8</v>
      </c>
      <c r="R135" s="3">
        <v>7.4148424420828613E-8</v>
      </c>
      <c r="S135" s="3">
        <v>8.8389457256614615E-8</v>
      </c>
      <c r="T135" s="3">
        <v>1.02732654246775E-7</v>
      </c>
      <c r="U135" s="3">
        <v>1.1715136876006401E-7</v>
      </c>
      <c r="V135" s="3">
        <v>1.3201866185521102E-7</v>
      </c>
      <c r="W135" s="3">
        <v>1.4688595495035699E-7</v>
      </c>
    </row>
    <row r="136" spans="4:23" ht="15" customHeight="1">
      <c r="D136" s="25"/>
      <c r="E136" s="32" t="s">
        <v>793</v>
      </c>
      <c r="F136" s="3672" cm="1">
        <f t="array" ref="F136:M136">P136:W136*12*INDEX(GEN_HOGARES_URBANOS_NUEVOS,CALIDO_HUMEDO,0)*GEN_HOGARES</f>
        <v>1.2804427271826001E-2</v>
      </c>
      <c r="G136" s="3672">
        <v>2.1162247120529769E-2</v>
      </c>
      <c r="H136" s="3672">
        <v>2.4572594124609482E-2</v>
      </c>
      <c r="I136" s="3672">
        <v>3.2696676449357927E-2</v>
      </c>
      <c r="J136" s="3672">
        <v>4.0810657804162563E-2</v>
      </c>
      <c r="K136" s="3672">
        <v>5.2406158149398897E-2</v>
      </c>
      <c r="L136" s="3672">
        <v>5.5548393729849856E-2</v>
      </c>
      <c r="M136" s="3672">
        <v>6.8417593354300255E-2</v>
      </c>
      <c r="N136" s="12"/>
      <c r="O136" s="3" t="s">
        <v>793</v>
      </c>
      <c r="P136" s="3">
        <v>4.0930887275285997E-8</v>
      </c>
      <c r="Q136" s="3">
        <v>5.5882335450740703E-8</v>
      </c>
      <c r="R136" s="3">
        <v>7.1057869077500009E-8</v>
      </c>
      <c r="S136" s="3">
        <v>8.6351085708650006E-8</v>
      </c>
      <c r="T136" s="3">
        <v>1.01720263451431E-7</v>
      </c>
      <c r="U136" s="3">
        <v>1.1715136876006401E-7</v>
      </c>
      <c r="V136" s="3">
        <v>1.33026632081159E-7</v>
      </c>
      <c r="W136" s="3">
        <v>1.4890189540225402E-7</v>
      </c>
    </row>
    <row r="137" spans="4:23" ht="15" customHeight="1">
      <c r="D137" s="25"/>
      <c r="E137" s="30"/>
      <c r="F137" s="31"/>
      <c r="G137" s="34"/>
      <c r="H137" s="34"/>
      <c r="I137" s="34"/>
      <c r="J137" s="34"/>
      <c r="K137" s="34"/>
      <c r="L137" s="34"/>
      <c r="M137" s="34"/>
      <c r="N137" s="12"/>
    </row>
    <row r="138" spans="4:23" ht="15" customHeight="1">
      <c r="D138" s="25"/>
      <c r="E138" s="26" t="s">
        <v>2096</v>
      </c>
      <c r="F138" s="20"/>
      <c r="G138" s="20"/>
      <c r="H138" s="20"/>
      <c r="I138" s="20"/>
      <c r="J138" s="20"/>
      <c r="K138" s="20"/>
      <c r="L138" s="20"/>
      <c r="M138" s="27" t="s">
        <v>9</v>
      </c>
      <c r="N138" s="12"/>
    </row>
    <row r="139" spans="4:23" ht="15" customHeight="1">
      <c r="D139" s="25"/>
      <c r="E139" s="28" t="s">
        <v>789</v>
      </c>
      <c r="F139" s="29">
        <v>2018</v>
      </c>
      <c r="G139" s="29">
        <v>2020</v>
      </c>
      <c r="H139" s="29">
        <v>2025</v>
      </c>
      <c r="I139" s="29">
        <v>2030</v>
      </c>
      <c r="J139" s="29">
        <v>2035</v>
      </c>
      <c r="K139" s="29">
        <v>2040</v>
      </c>
      <c r="L139" s="29">
        <v>2045</v>
      </c>
      <c r="M139" s="29">
        <v>2050</v>
      </c>
      <c r="N139" s="12"/>
      <c r="P139" s="1320">
        <v>2018</v>
      </c>
      <c r="Q139" s="1320">
        <v>2020</v>
      </c>
      <c r="R139" s="1320">
        <v>2025</v>
      </c>
      <c r="S139" s="1320">
        <v>2030</v>
      </c>
      <c r="T139" s="1320">
        <v>2035</v>
      </c>
      <c r="U139" s="1320">
        <v>2040</v>
      </c>
      <c r="V139" s="1320">
        <v>2045</v>
      </c>
      <c r="W139" s="1320">
        <v>2050</v>
      </c>
    </row>
    <row r="140" spans="4:23" ht="15" customHeight="1">
      <c r="D140" s="25"/>
      <c r="E140" s="30" t="s">
        <v>795</v>
      </c>
      <c r="F140" s="3671" cm="1">
        <f t="array" ref="F140:M140">P140:W140*12*(1-INDEX(GEN_HOGARES_URBANOS_NUEVOS,FRIO,0))*GEN_HOGARES</f>
        <v>2.1145263419377742E-2</v>
      </c>
      <c r="G140" s="3671">
        <v>4.8314433024000042E-2</v>
      </c>
      <c r="H140" s="3671">
        <v>9.0553058772000011E-2</v>
      </c>
      <c r="I140" s="3671">
        <v>0.14245154668799995</v>
      </c>
      <c r="J140" s="3671">
        <v>0.20196337370000009</v>
      </c>
      <c r="K140" s="3671">
        <v>0.2707696074692782</v>
      </c>
      <c r="L140" s="3671">
        <v>0.35010671233623281</v>
      </c>
      <c r="M140" s="3671">
        <v>0.43852985718036791</v>
      </c>
      <c r="N140" s="12"/>
      <c r="O140" s="3" t="s">
        <v>795</v>
      </c>
      <c r="P140" s="3">
        <v>1.8333333333333301E-9</v>
      </c>
      <c r="Q140" s="3">
        <v>3.6666666666666701E-9</v>
      </c>
      <c r="R140" s="3">
        <v>5.5000000000000004E-9</v>
      </c>
      <c r="S140" s="3">
        <v>7.3333333333333312E-9</v>
      </c>
      <c r="T140" s="3">
        <v>9.166666666666671E-9</v>
      </c>
      <c r="U140" s="3">
        <v>1.1000000000000001E-8</v>
      </c>
      <c r="V140" s="3">
        <v>1.2833333333333301E-8</v>
      </c>
      <c r="W140" s="3">
        <v>1.46666666666667E-8</v>
      </c>
    </row>
    <row r="141" spans="4:23" ht="15" customHeight="1">
      <c r="D141" s="25"/>
      <c r="E141" s="30" t="s">
        <v>791</v>
      </c>
      <c r="F141" s="3671" cm="1">
        <f t="array" ref="F141:M141">P141:W141*12*(1-INDEX(GEN_HOGARES_URBANOS_NUEVOS,TEMPLADO,0))*GEN_HOGARES</f>
        <v>1.1715464883482476E-2</v>
      </c>
      <c r="G141" s="3671">
        <v>1.3746044583947469E-2</v>
      </c>
      <c r="H141" s="3671">
        <v>1.7915595294733192E-2</v>
      </c>
      <c r="I141" s="3671">
        <v>2.1887418749088377E-2</v>
      </c>
      <c r="J141" s="3671">
        <v>2.5675278987454735E-2</v>
      </c>
      <c r="K141" s="3671">
        <v>2.9538502633012161E-2</v>
      </c>
      <c r="L141" s="3671">
        <v>3.3686533155163373E-2</v>
      </c>
      <c r="M141" s="3671">
        <v>3.7960523952637208E-2</v>
      </c>
      <c r="N141" s="12"/>
      <c r="O141" s="3" t="s">
        <v>791</v>
      </c>
      <c r="P141" s="3">
        <v>1.02601798834672E-9</v>
      </c>
      <c r="Q141" s="3">
        <v>1.06081439067738E-9</v>
      </c>
      <c r="R141" s="3">
        <v>1.0956107930080302E-9</v>
      </c>
      <c r="S141" s="3">
        <v>1.1304071953386902E-9</v>
      </c>
      <c r="T141" s="3">
        <v>1.16520359766934E-9</v>
      </c>
      <c r="U141" s="3">
        <v>1.2E-9</v>
      </c>
      <c r="V141" s="3">
        <v>1.23479640233066E-9</v>
      </c>
      <c r="W141" s="3">
        <v>1.2695928046613102E-9</v>
      </c>
    </row>
    <row r="142" spans="4:23" ht="15" customHeight="1">
      <c r="D142" s="25"/>
      <c r="E142" s="30" t="s">
        <v>792</v>
      </c>
      <c r="F142" s="3671" cm="1">
        <f t="array" ref="F142:M142">P142:W142*12*(1-INDEX(GEN_HOGARES_URBANOS_NUEVOS,CALIDO_SECO,0))*GEN_HOGARES</f>
        <v>0.52971906697696614</v>
      </c>
      <c r="G142" s="3671">
        <v>0.77854263789415679</v>
      </c>
      <c r="H142" s="3671">
        <v>1.2124863794180789</v>
      </c>
      <c r="I142" s="3671">
        <v>1.7114337841776799</v>
      </c>
      <c r="J142" s="3671">
        <v>2.2637155980153389</v>
      </c>
      <c r="K142" s="3671">
        <v>2.8837300121501084</v>
      </c>
      <c r="L142" s="3671">
        <v>3.6016067274667689</v>
      </c>
      <c r="M142" s="3671">
        <v>4.3918552395123998</v>
      </c>
      <c r="N142" s="12"/>
      <c r="O142" s="3" t="s">
        <v>792</v>
      </c>
      <c r="P142" s="3">
        <v>4.6391781879256498E-8</v>
      </c>
      <c r="Q142" s="3">
        <v>6.0081955139190903E-8</v>
      </c>
      <c r="R142" s="3">
        <v>7.4148424420828613E-8</v>
      </c>
      <c r="S142" s="3">
        <v>8.8389457256614615E-8</v>
      </c>
      <c r="T142" s="3">
        <v>1.02732654246775E-7</v>
      </c>
      <c r="U142" s="3">
        <v>1.1715136876006401E-7</v>
      </c>
      <c r="V142" s="3">
        <v>1.3201866185521102E-7</v>
      </c>
      <c r="W142" s="3">
        <v>1.4688595495035699E-7</v>
      </c>
    </row>
    <row r="143" spans="4:23" ht="15" customHeight="1">
      <c r="D143" s="25"/>
      <c r="E143" s="32" t="s">
        <v>793</v>
      </c>
      <c r="F143" s="3672" cm="1">
        <f t="array" ref="F143:M143">P143:W143*12*(1-INDEX(GEN_HOGARES_URBANOS_NUEVOS,CALIDO_HUMEDO,0))*GEN_HOGARES</f>
        <v>0.46736448870265634</v>
      </c>
      <c r="G143" s="3672">
        <v>0.72412391961470568</v>
      </c>
      <c r="H143" s="3672">
        <v>1.1619491456481987</v>
      </c>
      <c r="I143" s="3672">
        <v>1.67196597839893</v>
      </c>
      <c r="J143" s="3672">
        <v>2.2414075514501026</v>
      </c>
      <c r="K143" s="3672">
        <v>2.8837300121501084</v>
      </c>
      <c r="L143" s="3672">
        <v>3.629105206059454</v>
      </c>
      <c r="M143" s="3672">
        <v>4.4521313812252084</v>
      </c>
      <c r="N143" s="12"/>
      <c r="O143" s="3" t="s">
        <v>793</v>
      </c>
      <c r="P143" s="3">
        <v>4.0930887275285997E-8</v>
      </c>
      <c r="Q143" s="3">
        <v>5.5882335450740703E-8</v>
      </c>
      <c r="R143" s="3">
        <v>7.1057869077500009E-8</v>
      </c>
      <c r="S143" s="3">
        <v>8.6351085708650006E-8</v>
      </c>
      <c r="T143" s="3">
        <v>1.01720263451431E-7</v>
      </c>
      <c r="U143" s="3">
        <v>1.1715136876006401E-7</v>
      </c>
      <c r="V143" s="3">
        <v>1.33026632081159E-7</v>
      </c>
      <c r="W143" s="3">
        <v>1.4890189540225402E-7</v>
      </c>
    </row>
    <row r="144" spans="4:23" ht="15" customHeight="1">
      <c r="D144" s="25"/>
      <c r="E144" s="35"/>
      <c r="F144" s="30"/>
      <c r="G144" s="30"/>
      <c r="H144" s="33"/>
      <c r="I144" s="36"/>
      <c r="J144" s="36"/>
      <c r="K144" s="36"/>
      <c r="L144" s="36"/>
      <c r="M144" s="36"/>
      <c r="N144" s="36"/>
    </row>
    <row r="145" spans="4:14" ht="15" customHeight="1">
      <c r="D145" s="13"/>
      <c r="E145" s="2782" t="s">
        <v>2098</v>
      </c>
      <c r="F145" s="14"/>
      <c r="G145" s="14"/>
      <c r="H145" s="14"/>
      <c r="I145" s="14"/>
      <c r="J145" s="14"/>
      <c r="K145" s="14"/>
      <c r="L145" s="14"/>
      <c r="M145" s="14"/>
      <c r="N145" s="37"/>
    </row>
    <row r="146" spans="4:14" ht="15" customHeight="1">
      <c r="D146" s="13"/>
      <c r="E146" s="19"/>
      <c r="F146" s="20"/>
      <c r="G146" s="21"/>
      <c r="H146" s="20"/>
      <c r="I146" s="22"/>
      <c r="J146" s="20"/>
      <c r="K146" s="22"/>
      <c r="L146" s="22"/>
      <c r="M146" s="22"/>
      <c r="N146" s="20"/>
    </row>
    <row r="147" spans="4:14" ht="15" customHeight="1">
      <c r="D147" s="13"/>
      <c r="E147" s="23" t="s">
        <v>1726</v>
      </c>
      <c r="F147" s="20"/>
      <c r="G147" s="20"/>
      <c r="H147" s="20"/>
      <c r="I147" s="20"/>
      <c r="J147" s="20"/>
      <c r="K147" s="20"/>
      <c r="L147" s="20"/>
      <c r="M147" s="20"/>
      <c r="N147" s="20"/>
    </row>
    <row r="148" spans="4:14" ht="15" customHeight="1">
      <c r="D148" s="25"/>
      <c r="E148" s="24"/>
      <c r="F148" s="20"/>
      <c r="G148" s="20"/>
      <c r="H148" s="20"/>
      <c r="I148" s="20"/>
      <c r="J148" s="20"/>
      <c r="K148" s="20"/>
      <c r="L148" s="20"/>
      <c r="M148" s="20"/>
      <c r="N148" s="20"/>
    </row>
    <row r="149" spans="4:14" ht="15" customHeight="1">
      <c r="D149" s="25"/>
      <c r="E149" s="26" t="s">
        <v>2095</v>
      </c>
      <c r="F149" s="20"/>
      <c r="G149" s="20"/>
      <c r="H149" s="20"/>
      <c r="I149" s="20"/>
      <c r="J149" s="20"/>
      <c r="K149" s="20"/>
      <c r="L149" s="20"/>
      <c r="M149" s="27" t="s">
        <v>788</v>
      </c>
      <c r="N149" s="12"/>
    </row>
    <row r="150" spans="4:14" ht="15" customHeight="1">
      <c r="D150" s="25"/>
      <c r="E150" s="28" t="s">
        <v>789</v>
      </c>
      <c r="F150" s="29">
        <v>2018</v>
      </c>
      <c r="G150" s="29">
        <v>2020</v>
      </c>
      <c r="H150" s="29">
        <v>2025</v>
      </c>
      <c r="I150" s="29">
        <v>2030</v>
      </c>
      <c r="J150" s="29">
        <v>2035</v>
      </c>
      <c r="K150" s="29">
        <v>2040</v>
      </c>
      <c r="L150" s="29">
        <v>2045</v>
      </c>
      <c r="M150" s="29">
        <v>2050</v>
      </c>
      <c r="N150" s="12"/>
    </row>
    <row r="151" spans="4:14" ht="15" customHeight="1">
      <c r="D151" s="25"/>
      <c r="E151" s="30" t="s">
        <v>795</v>
      </c>
      <c r="F151" s="3673">
        <v>0</v>
      </c>
      <c r="G151" s="3673">
        <v>0</v>
      </c>
      <c r="H151" s="3673">
        <v>0</v>
      </c>
      <c r="I151" s="3673">
        <v>0</v>
      </c>
      <c r="J151" s="3673">
        <v>0</v>
      </c>
      <c r="K151" s="3673">
        <v>0</v>
      </c>
      <c r="L151" s="3673">
        <v>0</v>
      </c>
      <c r="M151" s="3673">
        <v>0</v>
      </c>
      <c r="N151" s="12"/>
    </row>
    <row r="152" spans="4:14" ht="15" customHeight="1">
      <c r="D152" s="25"/>
      <c r="E152" s="30" t="s">
        <v>791</v>
      </c>
      <c r="F152" s="3673">
        <v>0</v>
      </c>
      <c r="G152" s="3673">
        <v>0</v>
      </c>
      <c r="H152" s="3673">
        <v>0</v>
      </c>
      <c r="I152" s="3673">
        <v>0</v>
      </c>
      <c r="J152" s="3673">
        <v>0</v>
      </c>
      <c r="K152" s="3673">
        <v>0</v>
      </c>
      <c r="L152" s="3673">
        <v>0</v>
      </c>
      <c r="M152" s="3673">
        <v>0</v>
      </c>
      <c r="N152" s="12"/>
    </row>
    <row r="153" spans="4:14" ht="15" customHeight="1">
      <c r="D153" s="25"/>
      <c r="E153" s="30" t="s">
        <v>792</v>
      </c>
      <c r="F153" s="3673">
        <v>0</v>
      </c>
      <c r="G153" s="3673">
        <v>0</v>
      </c>
      <c r="H153" s="3673">
        <v>0</v>
      </c>
      <c r="I153" s="3673">
        <v>0</v>
      </c>
      <c r="J153" s="3673">
        <v>0</v>
      </c>
      <c r="K153" s="3673">
        <v>0</v>
      </c>
      <c r="L153" s="3673">
        <v>0</v>
      </c>
      <c r="M153" s="3673">
        <v>0</v>
      </c>
      <c r="N153" s="12"/>
    </row>
    <row r="154" spans="4:14" ht="15" customHeight="1">
      <c r="D154" s="25"/>
      <c r="E154" s="32" t="s">
        <v>793</v>
      </c>
      <c r="F154" s="3674">
        <v>0</v>
      </c>
      <c r="G154" s="3674">
        <v>0</v>
      </c>
      <c r="H154" s="3674">
        <v>0</v>
      </c>
      <c r="I154" s="3674">
        <v>0</v>
      </c>
      <c r="J154" s="3674">
        <v>0</v>
      </c>
      <c r="K154" s="3674">
        <v>0</v>
      </c>
      <c r="L154" s="3674">
        <v>0</v>
      </c>
      <c r="M154" s="3674">
        <v>0</v>
      </c>
      <c r="N154" s="12"/>
    </row>
    <row r="155" spans="4:14" ht="15" customHeight="1">
      <c r="D155" s="25"/>
      <c r="E155" s="30"/>
      <c r="F155" s="31"/>
      <c r="G155" s="31"/>
      <c r="H155" s="31"/>
      <c r="I155" s="31"/>
      <c r="J155" s="31"/>
      <c r="K155" s="31"/>
      <c r="L155" s="31"/>
      <c r="M155" s="31"/>
      <c r="N155" s="12"/>
    </row>
    <row r="156" spans="4:14" ht="15" customHeight="1">
      <c r="D156" s="25"/>
      <c r="E156" s="26" t="s">
        <v>2096</v>
      </c>
      <c r="F156" s="20"/>
      <c r="G156" s="20"/>
      <c r="H156" s="20"/>
      <c r="I156" s="20"/>
      <c r="J156" s="20"/>
      <c r="K156" s="20"/>
      <c r="L156" s="20"/>
      <c r="M156" s="27" t="s">
        <v>788</v>
      </c>
      <c r="N156" s="12"/>
    </row>
    <row r="157" spans="4:14" ht="15" customHeight="1">
      <c r="D157" s="25"/>
      <c r="E157" s="28" t="s">
        <v>789</v>
      </c>
      <c r="F157" s="29">
        <v>2018</v>
      </c>
      <c r="G157" s="29">
        <v>2020</v>
      </c>
      <c r="H157" s="29">
        <v>2025</v>
      </c>
      <c r="I157" s="29">
        <v>2030</v>
      </c>
      <c r="J157" s="29">
        <v>2035</v>
      </c>
      <c r="K157" s="29">
        <v>2040</v>
      </c>
      <c r="L157" s="29">
        <v>2045</v>
      </c>
      <c r="M157" s="29">
        <v>2050</v>
      </c>
      <c r="N157" s="12"/>
    </row>
    <row r="158" spans="4:14" ht="15" customHeight="1">
      <c r="D158" s="25"/>
      <c r="E158" s="30" t="s">
        <v>795</v>
      </c>
      <c r="F158" s="3673">
        <v>0</v>
      </c>
      <c r="G158" s="3673">
        <v>0</v>
      </c>
      <c r="H158" s="3673">
        <v>0</v>
      </c>
      <c r="I158" s="3673">
        <v>0</v>
      </c>
      <c r="J158" s="3673">
        <v>0</v>
      </c>
      <c r="K158" s="3673">
        <v>0</v>
      </c>
      <c r="L158" s="3673">
        <v>0</v>
      </c>
      <c r="M158" s="3673">
        <v>0</v>
      </c>
      <c r="N158" s="12"/>
    </row>
    <row r="159" spans="4:14" ht="15" customHeight="1">
      <c r="D159" s="25"/>
      <c r="E159" s="30" t="s">
        <v>791</v>
      </c>
      <c r="F159" s="3673">
        <v>0</v>
      </c>
      <c r="G159" s="3673">
        <v>0</v>
      </c>
      <c r="H159" s="3673">
        <v>0</v>
      </c>
      <c r="I159" s="3673">
        <v>0</v>
      </c>
      <c r="J159" s="3673">
        <v>0</v>
      </c>
      <c r="K159" s="3673">
        <v>0</v>
      </c>
      <c r="L159" s="3673">
        <v>0</v>
      </c>
      <c r="M159" s="3673">
        <v>0</v>
      </c>
      <c r="N159" s="12"/>
    </row>
    <row r="160" spans="4:14" ht="15" customHeight="1">
      <c r="D160" s="25"/>
      <c r="E160" s="30" t="s">
        <v>792</v>
      </c>
      <c r="F160" s="3673">
        <v>0</v>
      </c>
      <c r="G160" s="3673">
        <v>0</v>
      </c>
      <c r="H160" s="3673">
        <v>0</v>
      </c>
      <c r="I160" s="3673">
        <v>0</v>
      </c>
      <c r="J160" s="3673">
        <v>0</v>
      </c>
      <c r="K160" s="3673">
        <v>0</v>
      </c>
      <c r="L160" s="3673">
        <v>0</v>
      </c>
      <c r="M160" s="3673">
        <v>0</v>
      </c>
      <c r="N160" s="12"/>
    </row>
    <row r="161" spans="4:14" ht="15" customHeight="1">
      <c r="D161" s="25"/>
      <c r="E161" s="32" t="s">
        <v>793</v>
      </c>
      <c r="F161" s="3674">
        <v>0</v>
      </c>
      <c r="G161" s="3674">
        <v>0</v>
      </c>
      <c r="H161" s="3674">
        <v>0</v>
      </c>
      <c r="I161" s="3674">
        <v>0</v>
      </c>
      <c r="J161" s="3674">
        <v>0</v>
      </c>
      <c r="K161" s="3674">
        <v>0</v>
      </c>
      <c r="L161" s="3674">
        <v>0</v>
      </c>
      <c r="M161" s="3674">
        <v>0</v>
      </c>
      <c r="N161" s="12"/>
    </row>
    <row r="162" spans="4:14" ht="15" customHeight="1">
      <c r="D162" s="25"/>
      <c r="E162" s="30"/>
      <c r="F162" s="31"/>
      <c r="G162" s="31"/>
      <c r="H162" s="31"/>
      <c r="I162" s="31"/>
      <c r="J162" s="31"/>
      <c r="K162" s="31"/>
      <c r="L162" s="31"/>
      <c r="M162" s="31"/>
      <c r="N162" s="12"/>
    </row>
    <row r="163" spans="4:14" ht="15" customHeight="1">
      <c r="D163" s="25"/>
      <c r="E163" s="23" t="s">
        <v>1729</v>
      </c>
      <c r="F163" s="31"/>
      <c r="G163" s="31"/>
      <c r="H163" s="31"/>
      <c r="I163" s="31"/>
      <c r="J163" s="31"/>
      <c r="K163" s="31"/>
      <c r="L163" s="31"/>
      <c r="M163" s="31"/>
      <c r="N163" s="12"/>
    </row>
    <row r="164" spans="4:14" ht="15" customHeight="1">
      <c r="D164" s="25"/>
      <c r="E164" s="12"/>
      <c r="F164" s="12"/>
      <c r="G164" s="12"/>
      <c r="H164" s="12"/>
      <c r="I164" s="12"/>
      <c r="J164" s="12"/>
      <c r="K164" s="12"/>
      <c r="L164" s="12"/>
      <c r="M164" s="12"/>
      <c r="N164" s="12"/>
    </row>
    <row r="165" spans="4:14" ht="15" customHeight="1">
      <c r="D165" s="25"/>
      <c r="E165" s="26" t="s">
        <v>2095</v>
      </c>
      <c r="F165" s="20"/>
      <c r="G165" s="20"/>
      <c r="H165" s="20"/>
      <c r="I165" s="20"/>
      <c r="J165" s="20"/>
      <c r="K165" s="20"/>
      <c r="L165" s="20"/>
      <c r="M165" s="27" t="s">
        <v>788</v>
      </c>
      <c r="N165" s="12"/>
    </row>
    <row r="166" spans="4:14" ht="15" customHeight="1">
      <c r="D166" s="25"/>
      <c r="E166" s="28" t="s">
        <v>789</v>
      </c>
      <c r="F166" s="29">
        <v>2018</v>
      </c>
      <c r="G166" s="29">
        <v>2020</v>
      </c>
      <c r="H166" s="29">
        <v>2025</v>
      </c>
      <c r="I166" s="29">
        <v>2030</v>
      </c>
      <c r="J166" s="29">
        <v>2035</v>
      </c>
      <c r="K166" s="29">
        <v>2040</v>
      </c>
      <c r="L166" s="29">
        <v>2045</v>
      </c>
      <c r="M166" s="29">
        <v>2050</v>
      </c>
      <c r="N166" s="12"/>
    </row>
    <row r="167" spans="4:14" ht="15" customHeight="1">
      <c r="D167" s="25"/>
      <c r="E167" s="30" t="s">
        <v>795</v>
      </c>
      <c r="F167" s="3673">
        <v>1.6E-2</v>
      </c>
      <c r="G167" s="3673">
        <v>0.02</v>
      </c>
      <c r="H167" s="3673">
        <v>0.04</v>
      </c>
      <c r="I167" s="3673">
        <v>0.06</v>
      </c>
      <c r="J167" s="3673">
        <v>0.08</v>
      </c>
      <c r="K167" s="3673">
        <v>0.1</v>
      </c>
      <c r="L167" s="3673">
        <v>0.12</v>
      </c>
      <c r="M167" s="3673">
        <v>0.14000000000000001</v>
      </c>
      <c r="N167" s="12"/>
    </row>
    <row r="168" spans="4:14" ht="15" customHeight="1">
      <c r="D168" s="25"/>
      <c r="E168" s="30" t="s">
        <v>791</v>
      </c>
      <c r="F168" s="3673">
        <v>1.6E-2</v>
      </c>
      <c r="G168" s="3673">
        <v>0.02</v>
      </c>
      <c r="H168" s="3673">
        <v>0.03</v>
      </c>
      <c r="I168" s="3673">
        <v>0.04</v>
      </c>
      <c r="J168" s="3673">
        <v>0.05</v>
      </c>
      <c r="K168" s="3673">
        <v>0.06</v>
      </c>
      <c r="L168" s="3673">
        <v>0.08</v>
      </c>
      <c r="M168" s="3673">
        <v>0.1</v>
      </c>
      <c r="N168" s="12"/>
    </row>
    <row r="169" spans="4:14" ht="15" customHeight="1">
      <c r="D169" s="25"/>
      <c r="E169" s="30" t="s">
        <v>792</v>
      </c>
      <c r="F169" s="3673">
        <v>1.6E-2</v>
      </c>
      <c r="G169" s="3673">
        <v>0.02</v>
      </c>
      <c r="H169" s="3673">
        <v>0.03</v>
      </c>
      <c r="I169" s="3673">
        <v>0.04</v>
      </c>
      <c r="J169" s="3673">
        <v>0.05</v>
      </c>
      <c r="K169" s="3673">
        <v>0.06</v>
      </c>
      <c r="L169" s="3673">
        <v>7.0000000000000007E-2</v>
      </c>
      <c r="M169" s="3673">
        <v>7.0000000000000007E-2</v>
      </c>
      <c r="N169" s="12"/>
    </row>
    <row r="170" spans="4:14" ht="15" customHeight="1">
      <c r="D170" s="25"/>
      <c r="E170" s="32" t="s">
        <v>793</v>
      </c>
      <c r="F170" s="3674">
        <v>1.6E-2</v>
      </c>
      <c r="G170" s="3674">
        <v>0.02</v>
      </c>
      <c r="H170" s="3674">
        <v>0.03</v>
      </c>
      <c r="I170" s="3674">
        <v>0.04</v>
      </c>
      <c r="J170" s="3674">
        <v>0.05</v>
      </c>
      <c r="K170" s="3674">
        <v>0.06</v>
      </c>
      <c r="L170" s="3674">
        <v>0.08</v>
      </c>
      <c r="M170" s="3674">
        <v>0.1</v>
      </c>
      <c r="N170" s="12"/>
    </row>
    <row r="171" spans="4:14" ht="15" customHeight="1">
      <c r="D171" s="25"/>
      <c r="E171" s="30"/>
      <c r="F171" s="34"/>
      <c r="G171" s="34"/>
      <c r="H171" s="34"/>
      <c r="I171" s="34"/>
      <c r="J171" s="34"/>
      <c r="K171" s="34"/>
      <c r="L171" s="34"/>
      <c r="M171" s="34"/>
      <c r="N171" s="12"/>
    </row>
    <row r="172" spans="4:14" ht="15" customHeight="1">
      <c r="D172" s="25"/>
      <c r="E172" s="26" t="s">
        <v>2096</v>
      </c>
      <c r="F172" s="20"/>
      <c r="G172" s="20"/>
      <c r="H172" s="20"/>
      <c r="I172" s="20"/>
      <c r="J172" s="20"/>
      <c r="K172" s="20"/>
      <c r="L172" s="20"/>
      <c r="M172" s="27" t="s">
        <v>788</v>
      </c>
      <c r="N172" s="12"/>
    </row>
    <row r="173" spans="4:14" ht="15" customHeight="1">
      <c r="D173" s="25"/>
      <c r="E173" s="28" t="s">
        <v>789</v>
      </c>
      <c r="F173" s="29">
        <v>2018</v>
      </c>
      <c r="G173" s="29">
        <v>2020</v>
      </c>
      <c r="H173" s="29">
        <v>2025</v>
      </c>
      <c r="I173" s="29">
        <v>2030</v>
      </c>
      <c r="J173" s="29">
        <v>2035</v>
      </c>
      <c r="K173" s="29">
        <v>2040</v>
      </c>
      <c r="L173" s="29">
        <v>2045</v>
      </c>
      <c r="M173" s="29">
        <v>2050</v>
      </c>
      <c r="N173" s="12"/>
    </row>
    <row r="174" spans="4:14" ht="15" customHeight="1">
      <c r="D174" s="25"/>
      <c r="E174" s="30" t="s">
        <v>795</v>
      </c>
      <c r="F174" s="3673">
        <v>1.7142857142857144E-3</v>
      </c>
      <c r="G174" s="3673">
        <v>2E-3</v>
      </c>
      <c r="H174" s="3673">
        <v>5.0000000000000001E-3</v>
      </c>
      <c r="I174" s="3673">
        <v>8.0000000000000002E-3</v>
      </c>
      <c r="J174" s="3673">
        <v>1.2E-2</v>
      </c>
      <c r="K174" s="3673">
        <v>1.4999999999999999E-2</v>
      </c>
      <c r="L174" s="3673">
        <v>1.7999999999999999E-2</v>
      </c>
      <c r="M174" s="3673">
        <v>0.02</v>
      </c>
      <c r="N174" s="12"/>
    </row>
    <row r="175" spans="4:14" ht="15" customHeight="1">
      <c r="D175" s="25"/>
      <c r="E175" s="30" t="s">
        <v>791</v>
      </c>
      <c r="F175" s="3673">
        <v>8.5714285714285721E-4</v>
      </c>
      <c r="G175" s="3673">
        <v>2E-3</v>
      </c>
      <c r="H175" s="3673">
        <v>3.0000000000000001E-3</v>
      </c>
      <c r="I175" s="3673">
        <v>4.0000000000000001E-3</v>
      </c>
      <c r="J175" s="3673">
        <v>5.0000000000000001E-3</v>
      </c>
      <c r="K175" s="3673">
        <v>6.0000000000000001E-3</v>
      </c>
      <c r="L175" s="3673">
        <v>8.0000000000000002E-3</v>
      </c>
      <c r="M175" s="3673">
        <v>0.01</v>
      </c>
      <c r="N175" s="12"/>
    </row>
    <row r="176" spans="4:14" ht="15" customHeight="1">
      <c r="D176" s="25"/>
      <c r="E176" s="30" t="s">
        <v>792</v>
      </c>
      <c r="F176" s="3673">
        <v>8.5714285714285721E-4</v>
      </c>
      <c r="G176" s="3673">
        <v>2E-3</v>
      </c>
      <c r="H176" s="3673">
        <v>3.0000000000000001E-3</v>
      </c>
      <c r="I176" s="3673">
        <v>4.0000000000000001E-3</v>
      </c>
      <c r="J176" s="3673">
        <v>5.0000000000000001E-3</v>
      </c>
      <c r="K176" s="3673">
        <v>6.0000000000000001E-3</v>
      </c>
      <c r="L176" s="3673">
        <v>8.0000000000000002E-3</v>
      </c>
      <c r="M176" s="3673">
        <v>0.01</v>
      </c>
      <c r="N176" s="12"/>
    </row>
    <row r="177" spans="4:14" ht="15" customHeight="1">
      <c r="D177" s="25"/>
      <c r="E177" s="32" t="s">
        <v>793</v>
      </c>
      <c r="F177" s="3674">
        <v>8.5714285714285721E-4</v>
      </c>
      <c r="G177" s="3674">
        <v>2E-3</v>
      </c>
      <c r="H177" s="3674">
        <v>3.0000000000000001E-3</v>
      </c>
      <c r="I177" s="3674">
        <v>4.0000000000000001E-3</v>
      </c>
      <c r="J177" s="3674">
        <v>5.0000000000000001E-3</v>
      </c>
      <c r="K177" s="3674">
        <v>6.0000000000000001E-3</v>
      </c>
      <c r="L177" s="3674">
        <v>8.0000000000000002E-3</v>
      </c>
      <c r="M177" s="3674">
        <v>0.01</v>
      </c>
      <c r="N177" s="12"/>
    </row>
    <row r="178" spans="4:14" ht="15" customHeight="1">
      <c r="D178" s="13"/>
      <c r="E178" s="12"/>
      <c r="F178" s="12"/>
      <c r="G178" s="12"/>
      <c r="H178" s="12"/>
      <c r="I178" s="12"/>
      <c r="J178" s="12"/>
      <c r="K178" s="12"/>
      <c r="L178" s="12"/>
      <c r="M178" s="12"/>
      <c r="N178" s="12"/>
    </row>
    <row r="179" spans="4:14" ht="15" customHeight="1">
      <c r="D179" s="25"/>
      <c r="E179" s="23" t="s">
        <v>1730</v>
      </c>
      <c r="F179" s="12"/>
      <c r="G179" s="12"/>
      <c r="H179" s="12"/>
      <c r="I179" s="12"/>
      <c r="J179" s="12"/>
      <c r="K179" s="12"/>
      <c r="L179" s="12"/>
      <c r="M179" s="12"/>
      <c r="N179" s="12"/>
    </row>
    <row r="180" spans="4:14" ht="15" customHeight="1">
      <c r="D180" s="25"/>
      <c r="E180" s="12"/>
      <c r="F180" s="12"/>
      <c r="G180" s="12"/>
      <c r="H180" s="12"/>
      <c r="I180" s="12"/>
      <c r="J180" s="12"/>
      <c r="K180" s="12"/>
      <c r="L180" s="12"/>
      <c r="M180" s="12"/>
      <c r="N180" s="12"/>
    </row>
    <row r="181" spans="4:14" ht="15" customHeight="1">
      <c r="D181" s="25"/>
      <c r="E181" s="26" t="s">
        <v>2095</v>
      </c>
      <c r="F181" s="20"/>
      <c r="G181" s="20"/>
      <c r="H181" s="20"/>
      <c r="I181" s="20"/>
      <c r="J181" s="20"/>
      <c r="K181" s="20"/>
      <c r="L181" s="20"/>
      <c r="M181" s="27" t="s">
        <v>788</v>
      </c>
      <c r="N181" s="12"/>
    </row>
    <row r="182" spans="4:14" ht="15" customHeight="1">
      <c r="D182" s="25"/>
      <c r="E182" s="28" t="s">
        <v>789</v>
      </c>
      <c r="F182" s="29">
        <v>2018</v>
      </c>
      <c r="G182" s="29">
        <v>2020</v>
      </c>
      <c r="H182" s="29">
        <v>2025</v>
      </c>
      <c r="I182" s="29">
        <v>2030</v>
      </c>
      <c r="J182" s="29">
        <v>2035</v>
      </c>
      <c r="K182" s="29">
        <v>2040</v>
      </c>
      <c r="L182" s="29">
        <v>2045</v>
      </c>
      <c r="M182" s="29">
        <v>2050</v>
      </c>
      <c r="N182" s="12"/>
    </row>
    <row r="183" spans="4:14" ht="15" customHeight="1">
      <c r="D183" s="25"/>
      <c r="E183" s="30" t="s">
        <v>795</v>
      </c>
      <c r="F183" s="3673">
        <v>3.3142857142857148E-2</v>
      </c>
      <c r="G183" s="3673">
        <v>4.8571428571428578E-2</v>
      </c>
      <c r="H183" s="3673">
        <v>8.7142857142857161E-2</v>
      </c>
      <c r="I183" s="3673">
        <v>0.12571428571428572</v>
      </c>
      <c r="J183" s="3673">
        <v>0.16428571428571431</v>
      </c>
      <c r="K183" s="3673">
        <v>0.2028571428571429</v>
      </c>
      <c r="L183" s="3673">
        <v>0.24142857142857149</v>
      </c>
      <c r="M183" s="3673">
        <v>0.28000000000000003</v>
      </c>
      <c r="N183" s="12"/>
    </row>
    <row r="184" spans="4:14" ht="15" customHeight="1">
      <c r="D184" s="25"/>
      <c r="E184" s="30" t="s">
        <v>791</v>
      </c>
      <c r="F184" s="3673">
        <v>2.5428571428571425E-2</v>
      </c>
      <c r="G184" s="3673">
        <v>3.5714285714285712E-2</v>
      </c>
      <c r="H184" s="3673">
        <v>6.142857142857143E-2</v>
      </c>
      <c r="I184" s="3673">
        <v>8.7142857142857147E-2</v>
      </c>
      <c r="J184" s="3673">
        <v>0.11285714285714286</v>
      </c>
      <c r="K184" s="3673">
        <v>0.13857142857142857</v>
      </c>
      <c r="L184" s="3673">
        <v>0.16428571428571428</v>
      </c>
      <c r="M184" s="3673">
        <v>0.19</v>
      </c>
      <c r="N184" s="12"/>
    </row>
    <row r="185" spans="4:14" ht="15" customHeight="1">
      <c r="D185" s="25"/>
      <c r="E185" s="30" t="s">
        <v>792</v>
      </c>
      <c r="F185" s="3673">
        <v>2.0285714285714282E-2</v>
      </c>
      <c r="G185" s="3673">
        <v>2.7142857142857142E-2</v>
      </c>
      <c r="H185" s="3673">
        <v>4.4285714285714289E-2</v>
      </c>
      <c r="I185" s="3673">
        <v>6.142857142857143E-2</v>
      </c>
      <c r="J185" s="3673">
        <v>7.857142857142857E-2</v>
      </c>
      <c r="K185" s="3673">
        <v>9.571428571428571E-2</v>
      </c>
      <c r="L185" s="3673">
        <v>0.11285714285714285</v>
      </c>
      <c r="M185" s="3673">
        <v>0.13</v>
      </c>
      <c r="N185" s="12"/>
    </row>
    <row r="186" spans="4:14" ht="15" customHeight="1">
      <c r="D186" s="25"/>
      <c r="E186" s="32" t="s">
        <v>793</v>
      </c>
      <c r="F186" s="3674">
        <v>2.7142857142857142E-2</v>
      </c>
      <c r="G186" s="3674">
        <v>3.8571428571428569E-2</v>
      </c>
      <c r="H186" s="3674">
        <v>6.7142857142857143E-2</v>
      </c>
      <c r="I186" s="3674">
        <v>9.571428571428571E-2</v>
      </c>
      <c r="J186" s="3674">
        <v>0.12428571428571428</v>
      </c>
      <c r="K186" s="3674">
        <v>0.15285714285714286</v>
      </c>
      <c r="L186" s="3674">
        <v>0.18142857142857144</v>
      </c>
      <c r="M186" s="3674">
        <v>0.21</v>
      </c>
      <c r="N186" s="12"/>
    </row>
    <row r="187" spans="4:14" ht="15" customHeight="1">
      <c r="D187" s="25"/>
      <c r="E187" s="30"/>
      <c r="F187" s="34"/>
      <c r="G187" s="34"/>
      <c r="H187" s="34"/>
      <c r="I187" s="34"/>
      <c r="J187" s="34"/>
      <c r="K187" s="34"/>
      <c r="L187" s="34"/>
      <c r="M187" s="34"/>
      <c r="N187" s="12"/>
    </row>
    <row r="188" spans="4:14" ht="15" customHeight="1">
      <c r="D188" s="25"/>
      <c r="E188" s="26" t="s">
        <v>2096</v>
      </c>
      <c r="F188" s="20"/>
      <c r="G188" s="20"/>
      <c r="H188" s="20"/>
      <c r="I188" s="20"/>
      <c r="J188" s="20"/>
      <c r="K188" s="20"/>
      <c r="L188" s="20"/>
      <c r="M188" s="27" t="s">
        <v>788</v>
      </c>
      <c r="N188" s="12"/>
    </row>
    <row r="189" spans="4:14" ht="15" customHeight="1">
      <c r="D189" s="13"/>
      <c r="E189" s="28" t="s">
        <v>789</v>
      </c>
      <c r="F189" s="29">
        <v>2018</v>
      </c>
      <c r="G189" s="29">
        <v>2020</v>
      </c>
      <c r="H189" s="29">
        <v>2025</v>
      </c>
      <c r="I189" s="29">
        <v>2030</v>
      </c>
      <c r="J189" s="29">
        <v>2035</v>
      </c>
      <c r="K189" s="29">
        <v>2040</v>
      </c>
      <c r="L189" s="29">
        <v>2045</v>
      </c>
      <c r="M189" s="29">
        <v>2050</v>
      </c>
      <c r="N189" s="12"/>
    </row>
    <row r="190" spans="4:14" ht="15" customHeight="1">
      <c r="D190" s="25"/>
      <c r="E190" s="30" t="s">
        <v>795</v>
      </c>
      <c r="F190" s="3673">
        <v>5.1428571428571426E-3</v>
      </c>
      <c r="G190" s="3673">
        <v>8.5714285714285719E-3</v>
      </c>
      <c r="H190" s="3673">
        <v>1.7142857142857144E-2</v>
      </c>
      <c r="I190" s="3673">
        <v>2.5714285714285717E-2</v>
      </c>
      <c r="J190" s="3673">
        <v>3.4285714285714287E-2</v>
      </c>
      <c r="K190" s="3673">
        <v>4.2857142857142858E-2</v>
      </c>
      <c r="L190" s="3673">
        <v>5.1428571428571428E-2</v>
      </c>
      <c r="M190" s="3673">
        <v>0.06</v>
      </c>
      <c r="N190" s="12"/>
    </row>
    <row r="191" spans="4:14" ht="15" customHeight="1">
      <c r="D191" s="25"/>
      <c r="E191" s="30" t="s">
        <v>791</v>
      </c>
      <c r="F191" s="3673">
        <v>2.5714285714285713E-3</v>
      </c>
      <c r="G191" s="3673">
        <v>4.2857142857142859E-3</v>
      </c>
      <c r="H191" s="3673">
        <v>8.5714285714285719E-3</v>
      </c>
      <c r="I191" s="3673">
        <v>1.2857142857142859E-2</v>
      </c>
      <c r="J191" s="3673">
        <v>1.7142857142857144E-2</v>
      </c>
      <c r="K191" s="3673">
        <v>2.1428571428571429E-2</v>
      </c>
      <c r="L191" s="3673">
        <v>2.5714285714285714E-2</v>
      </c>
      <c r="M191" s="3673">
        <v>0.03</v>
      </c>
      <c r="N191" s="12"/>
    </row>
    <row r="192" spans="4:14" ht="15" customHeight="1">
      <c r="D192" s="25"/>
      <c r="E192" s="30" t="s">
        <v>792</v>
      </c>
      <c r="F192" s="3673">
        <v>2.5714285714285713E-3</v>
      </c>
      <c r="G192" s="3673">
        <v>4.2857142857142859E-3</v>
      </c>
      <c r="H192" s="3673">
        <v>8.5714285714285719E-3</v>
      </c>
      <c r="I192" s="3673">
        <v>1.2857142857142859E-2</v>
      </c>
      <c r="J192" s="3673">
        <v>1.7142857142857144E-2</v>
      </c>
      <c r="K192" s="3673">
        <v>2.1428571428571429E-2</v>
      </c>
      <c r="L192" s="3673">
        <v>2.5714285714285714E-2</v>
      </c>
      <c r="M192" s="3673">
        <v>0.03</v>
      </c>
      <c r="N192" s="12"/>
    </row>
    <row r="193" spans="4:14" ht="15" customHeight="1">
      <c r="D193" s="25"/>
      <c r="E193" s="32" t="s">
        <v>793</v>
      </c>
      <c r="F193" s="3674">
        <v>3.4285714285714288E-3</v>
      </c>
      <c r="G193" s="3674">
        <v>5.7142857142857143E-3</v>
      </c>
      <c r="H193" s="3674">
        <v>1.1428571428571429E-2</v>
      </c>
      <c r="I193" s="3674">
        <v>1.7142857142857144E-2</v>
      </c>
      <c r="J193" s="3674">
        <v>2.2857142857142857E-2</v>
      </c>
      <c r="K193" s="3674">
        <v>2.8571428571428571E-2</v>
      </c>
      <c r="L193" s="3674">
        <v>3.4285714285714287E-2</v>
      </c>
      <c r="M193" s="3674">
        <v>0.04</v>
      </c>
      <c r="N193" s="12"/>
    </row>
    <row r="194" spans="4:14" ht="15" customHeight="1">
      <c r="D194" s="25"/>
      <c r="E194" s="35"/>
      <c r="F194" s="33"/>
      <c r="G194" s="36"/>
      <c r="H194" s="36"/>
      <c r="I194" s="36"/>
      <c r="J194" s="36"/>
      <c r="K194" s="36"/>
      <c r="L194" s="36"/>
      <c r="M194" s="36"/>
      <c r="N194" s="12"/>
    </row>
    <row r="195" spans="4:14" ht="15" customHeight="1">
      <c r="D195" s="25"/>
      <c r="E195" s="23" t="s">
        <v>1731</v>
      </c>
      <c r="F195" s="33"/>
      <c r="G195" s="36"/>
      <c r="H195" s="36"/>
      <c r="I195" s="36"/>
      <c r="J195" s="36"/>
      <c r="K195" s="36"/>
      <c r="L195" s="36"/>
      <c r="M195" s="36"/>
      <c r="N195" s="12"/>
    </row>
    <row r="196" spans="4:14" ht="15" customHeight="1">
      <c r="D196" s="25"/>
      <c r="E196" s="35"/>
      <c r="F196" s="33"/>
      <c r="G196" s="36"/>
      <c r="H196" s="36"/>
      <c r="I196" s="36"/>
      <c r="J196" s="36"/>
      <c r="K196" s="36"/>
      <c r="L196" s="36"/>
      <c r="M196" s="36"/>
      <c r="N196" s="12"/>
    </row>
    <row r="197" spans="4:14" ht="15" customHeight="1">
      <c r="D197" s="25"/>
      <c r="E197" s="26" t="s">
        <v>2095</v>
      </c>
      <c r="F197" s="20"/>
      <c r="G197" s="20"/>
      <c r="H197" s="20"/>
      <c r="I197" s="20"/>
      <c r="J197" s="20"/>
      <c r="K197" s="20"/>
      <c r="L197" s="20"/>
      <c r="M197" s="27" t="s">
        <v>788</v>
      </c>
      <c r="N197" s="12"/>
    </row>
    <row r="198" spans="4:14" ht="15" customHeight="1">
      <c r="D198" s="25"/>
      <c r="E198" s="28" t="s">
        <v>789</v>
      </c>
      <c r="F198" s="29">
        <v>2018</v>
      </c>
      <c r="G198" s="29">
        <v>2020</v>
      </c>
      <c r="H198" s="29">
        <v>2025</v>
      </c>
      <c r="I198" s="29">
        <v>2030</v>
      </c>
      <c r="J198" s="29">
        <v>2035</v>
      </c>
      <c r="K198" s="29">
        <v>2040</v>
      </c>
      <c r="L198" s="29">
        <v>2045</v>
      </c>
      <c r="M198" s="29">
        <v>2050</v>
      </c>
      <c r="N198" s="12"/>
    </row>
    <row r="199" spans="4:14" ht="15" customHeight="1">
      <c r="D199" s="25"/>
      <c r="E199" s="30" t="s">
        <v>795</v>
      </c>
      <c r="F199" s="3673">
        <v>5.4571428571428569E-2</v>
      </c>
      <c r="G199" s="3673">
        <v>8.4285714285714283E-2</v>
      </c>
      <c r="H199" s="3673">
        <v>0.15857142857142859</v>
      </c>
      <c r="I199" s="3673">
        <v>0.23285714285714287</v>
      </c>
      <c r="J199" s="3673">
        <v>0.30714285714285716</v>
      </c>
      <c r="K199" s="3673">
        <v>0.38142857142857145</v>
      </c>
      <c r="L199" s="3673">
        <v>0.45571428571428574</v>
      </c>
      <c r="M199" s="3673">
        <v>0.53</v>
      </c>
      <c r="N199" s="12"/>
    </row>
    <row r="200" spans="4:14" ht="15" customHeight="1">
      <c r="D200" s="13"/>
      <c r="E200" s="30" t="s">
        <v>791</v>
      </c>
      <c r="F200" s="3673">
        <v>4.2571428571428566E-2</v>
      </c>
      <c r="G200" s="3673">
        <v>6.4285714285714279E-2</v>
      </c>
      <c r="H200" s="3673">
        <v>0.11857142857142856</v>
      </c>
      <c r="I200" s="3673">
        <v>0.17285714285714285</v>
      </c>
      <c r="J200" s="3673">
        <v>0.22714285714285715</v>
      </c>
      <c r="K200" s="3673">
        <v>0.28142857142857142</v>
      </c>
      <c r="L200" s="3673">
        <v>0.33571428571428569</v>
      </c>
      <c r="M200" s="3673">
        <v>0.39</v>
      </c>
      <c r="N200" s="12"/>
    </row>
    <row r="201" spans="4:14" ht="15" customHeight="1">
      <c r="D201" s="25"/>
      <c r="E201" s="30" t="s">
        <v>792</v>
      </c>
      <c r="F201" s="3673">
        <v>3.2285714285714286E-2</v>
      </c>
      <c r="G201" s="3673">
        <v>4.7142857142857146E-2</v>
      </c>
      <c r="H201" s="3673">
        <v>8.4285714285714297E-2</v>
      </c>
      <c r="I201" s="3673">
        <v>0.12142857142857144</v>
      </c>
      <c r="J201" s="3673">
        <v>0.15857142857142859</v>
      </c>
      <c r="K201" s="3673">
        <v>0.19571428571428573</v>
      </c>
      <c r="L201" s="3673">
        <v>0.23285714285714287</v>
      </c>
      <c r="M201" s="3673">
        <v>0.27</v>
      </c>
      <c r="N201" s="12"/>
    </row>
    <row r="202" spans="4:14" ht="15" customHeight="1">
      <c r="D202" s="25"/>
      <c r="E202" s="32" t="s">
        <v>793</v>
      </c>
      <c r="F202" s="3674">
        <v>4.4285714285714289E-2</v>
      </c>
      <c r="G202" s="3674">
        <v>6.7142857142857143E-2</v>
      </c>
      <c r="H202" s="3674">
        <v>0.12428571428571428</v>
      </c>
      <c r="I202" s="3674">
        <v>0.18142857142857141</v>
      </c>
      <c r="J202" s="3674">
        <v>0.23857142857142855</v>
      </c>
      <c r="K202" s="3674">
        <v>0.29571428571428571</v>
      </c>
      <c r="L202" s="3674">
        <v>0.35285714285714287</v>
      </c>
      <c r="M202" s="3674">
        <v>0.41</v>
      </c>
      <c r="N202" s="12"/>
    </row>
    <row r="203" spans="4:14" ht="15" customHeight="1">
      <c r="D203" s="25"/>
      <c r="E203" s="30"/>
      <c r="F203" s="34"/>
      <c r="G203" s="34"/>
      <c r="H203" s="34"/>
      <c r="I203" s="34"/>
      <c r="J203" s="34"/>
      <c r="K203" s="34"/>
      <c r="L203" s="34"/>
      <c r="M203" s="34"/>
      <c r="N203" s="12"/>
    </row>
    <row r="204" spans="4:14" ht="15" customHeight="1">
      <c r="D204" s="25"/>
      <c r="E204" s="26" t="s">
        <v>2096</v>
      </c>
      <c r="F204" s="20"/>
      <c r="G204" s="20"/>
      <c r="H204" s="20"/>
      <c r="I204" s="20"/>
      <c r="J204" s="20"/>
      <c r="K204" s="20"/>
      <c r="L204" s="20"/>
      <c r="M204" s="27" t="s">
        <v>788</v>
      </c>
      <c r="N204" s="12"/>
    </row>
    <row r="205" spans="4:14" ht="15" customHeight="1">
      <c r="D205" s="25"/>
      <c r="E205" s="28" t="s">
        <v>789</v>
      </c>
      <c r="F205" s="29">
        <v>2018</v>
      </c>
      <c r="G205" s="29">
        <v>2020</v>
      </c>
      <c r="H205" s="29">
        <v>2025</v>
      </c>
      <c r="I205" s="29">
        <v>2030</v>
      </c>
      <c r="J205" s="29">
        <v>2035</v>
      </c>
      <c r="K205" s="29">
        <v>2040</v>
      </c>
      <c r="L205" s="29">
        <v>2045</v>
      </c>
      <c r="M205" s="29">
        <v>2050</v>
      </c>
      <c r="N205" s="12"/>
    </row>
    <row r="206" spans="4:14" ht="15" customHeight="1">
      <c r="D206" s="25"/>
      <c r="E206" s="30" t="s">
        <v>795</v>
      </c>
      <c r="F206" s="3673">
        <v>1.0285714285714285E-2</v>
      </c>
      <c r="G206" s="3673">
        <v>1.7142857142857144E-2</v>
      </c>
      <c r="H206" s="3673">
        <v>3.4285714285714287E-2</v>
      </c>
      <c r="I206" s="3673">
        <v>5.1428571428571435E-2</v>
      </c>
      <c r="J206" s="3673">
        <v>6.8571428571428575E-2</v>
      </c>
      <c r="K206" s="3673">
        <v>8.5714285714285715E-2</v>
      </c>
      <c r="L206" s="3673">
        <v>0.10285714285714286</v>
      </c>
      <c r="M206" s="3673">
        <v>0.12</v>
      </c>
      <c r="N206" s="12"/>
    </row>
    <row r="207" spans="4:14" ht="15" customHeight="1">
      <c r="D207" s="25"/>
      <c r="E207" s="30" t="s">
        <v>791</v>
      </c>
      <c r="F207" s="3673">
        <v>5.1428571428571426E-3</v>
      </c>
      <c r="G207" s="3673">
        <v>8.5714285714285719E-3</v>
      </c>
      <c r="H207" s="3673">
        <v>1.7142857142857144E-2</v>
      </c>
      <c r="I207" s="3673">
        <v>2.5714285714285717E-2</v>
      </c>
      <c r="J207" s="3673">
        <v>3.4285714285714287E-2</v>
      </c>
      <c r="K207" s="3673">
        <v>4.2857142857142858E-2</v>
      </c>
      <c r="L207" s="3673">
        <v>5.1428571428571428E-2</v>
      </c>
      <c r="M207" s="3673">
        <v>0.06</v>
      </c>
      <c r="N207" s="12"/>
    </row>
    <row r="208" spans="4:14" ht="15" customHeight="1">
      <c r="D208" s="25"/>
      <c r="E208" s="30" t="s">
        <v>792</v>
      </c>
      <c r="F208" s="3673">
        <v>5.1428571428571426E-3</v>
      </c>
      <c r="G208" s="3673">
        <v>8.5714285714285719E-3</v>
      </c>
      <c r="H208" s="3673">
        <v>1.7142857142857144E-2</v>
      </c>
      <c r="I208" s="3673">
        <v>2.5714285714285717E-2</v>
      </c>
      <c r="J208" s="3673">
        <v>3.4285714285714287E-2</v>
      </c>
      <c r="K208" s="3673">
        <v>4.2857142857142858E-2</v>
      </c>
      <c r="L208" s="3673">
        <v>5.1428571428571428E-2</v>
      </c>
      <c r="M208" s="3673">
        <v>0.06</v>
      </c>
      <c r="N208" s="12"/>
    </row>
    <row r="209" spans="4:14" ht="15" customHeight="1">
      <c r="D209" s="25"/>
      <c r="E209" s="32" t="s">
        <v>793</v>
      </c>
      <c r="F209" s="3674">
        <v>6.8571428571428577E-3</v>
      </c>
      <c r="G209" s="3674">
        <v>1.1428571428571429E-2</v>
      </c>
      <c r="H209" s="3674">
        <v>2.2857142857142857E-2</v>
      </c>
      <c r="I209" s="3674">
        <v>3.4285714285714287E-2</v>
      </c>
      <c r="J209" s="3674">
        <v>4.5714285714285714E-2</v>
      </c>
      <c r="K209" s="3674">
        <v>5.7142857142857141E-2</v>
      </c>
      <c r="L209" s="3674">
        <v>6.8571428571428575E-2</v>
      </c>
      <c r="M209" s="3674">
        <v>0.08</v>
      </c>
      <c r="N209" s="12"/>
    </row>
    <row r="210" spans="4:14" ht="15" customHeight="1">
      <c r="D210" s="25"/>
      <c r="E210" s="35"/>
      <c r="F210" s="30"/>
      <c r="G210" s="30"/>
      <c r="H210" s="33"/>
      <c r="I210" s="36"/>
      <c r="J210" s="36"/>
      <c r="K210" s="36"/>
      <c r="L210" s="36"/>
      <c r="M210" s="36"/>
      <c r="N210" s="36"/>
    </row>
    <row r="211" spans="4:14" ht="15" customHeight="1">
      <c r="D211" s="13"/>
      <c r="E211" s="2782" t="s">
        <v>2099</v>
      </c>
      <c r="F211" s="14"/>
      <c r="G211" s="14"/>
      <c r="H211" s="14"/>
      <c r="I211" s="14"/>
      <c r="J211" s="14"/>
      <c r="K211" s="14"/>
      <c r="L211" s="14"/>
      <c r="M211" s="14"/>
      <c r="N211" s="37"/>
    </row>
    <row r="212" spans="4:14" ht="15" customHeight="1">
      <c r="D212" s="13"/>
      <c r="E212" s="19"/>
      <c r="F212" s="20"/>
      <c r="G212" s="21"/>
      <c r="H212" s="20"/>
      <c r="I212" s="22"/>
      <c r="J212" s="20"/>
      <c r="K212" s="22"/>
      <c r="L212" s="22"/>
      <c r="M212" s="22"/>
      <c r="N212" s="20"/>
    </row>
    <row r="213" spans="4:14" ht="15" customHeight="1">
      <c r="D213" s="13"/>
      <c r="E213" s="23" t="s">
        <v>1726</v>
      </c>
      <c r="F213" s="20"/>
      <c r="G213" s="20"/>
      <c r="H213" s="20"/>
      <c r="I213" s="20"/>
      <c r="J213" s="20"/>
      <c r="K213" s="20"/>
      <c r="L213" s="20"/>
      <c r="M213" s="20"/>
      <c r="N213" s="20"/>
    </row>
    <row r="214" spans="4:14" ht="15" customHeight="1">
      <c r="D214" s="25"/>
      <c r="E214" s="24"/>
      <c r="F214" s="20"/>
      <c r="G214" s="20"/>
      <c r="H214" s="20"/>
      <c r="I214" s="20"/>
      <c r="J214" s="20"/>
      <c r="K214" s="20"/>
      <c r="L214" s="20"/>
      <c r="M214" s="20"/>
      <c r="N214" s="20"/>
    </row>
    <row r="215" spans="4:14" ht="15" customHeight="1">
      <c r="D215" s="25"/>
      <c r="E215" s="26" t="s">
        <v>2095</v>
      </c>
      <c r="F215" s="20"/>
      <c r="G215" s="20"/>
      <c r="H215" s="20"/>
      <c r="I215" s="20"/>
      <c r="J215" s="20"/>
      <c r="K215" s="20"/>
      <c r="L215" s="20"/>
      <c r="M215" s="27" t="s">
        <v>788</v>
      </c>
      <c r="N215" s="12"/>
    </row>
    <row r="216" spans="4:14" ht="15" customHeight="1">
      <c r="D216" s="25"/>
      <c r="E216" s="28" t="s">
        <v>789</v>
      </c>
      <c r="F216" s="29">
        <v>2018</v>
      </c>
      <c r="G216" s="29">
        <v>2020</v>
      </c>
      <c r="H216" s="29">
        <v>2025</v>
      </c>
      <c r="I216" s="29">
        <v>2030</v>
      </c>
      <c r="J216" s="29">
        <v>2035</v>
      </c>
      <c r="K216" s="29">
        <v>2040</v>
      </c>
      <c r="L216" s="29">
        <v>2045</v>
      </c>
      <c r="M216" s="29">
        <v>2050</v>
      </c>
      <c r="N216" s="12"/>
    </row>
    <row r="217" spans="4:14" ht="15" customHeight="1">
      <c r="D217" s="25"/>
      <c r="E217" s="30" t="s">
        <v>795</v>
      </c>
      <c r="F217" s="3673">
        <v>0</v>
      </c>
      <c r="G217" s="3673">
        <v>0</v>
      </c>
      <c r="H217" s="3673">
        <v>0</v>
      </c>
      <c r="I217" s="3673">
        <v>0</v>
      </c>
      <c r="J217" s="3673">
        <v>0</v>
      </c>
      <c r="K217" s="3673">
        <v>0</v>
      </c>
      <c r="L217" s="3673">
        <v>0</v>
      </c>
      <c r="M217" s="3673">
        <v>0</v>
      </c>
      <c r="N217" s="12"/>
    </row>
    <row r="218" spans="4:14" ht="15" customHeight="1">
      <c r="D218" s="25"/>
      <c r="E218" s="30" t="s">
        <v>791</v>
      </c>
      <c r="F218" s="3673">
        <v>0</v>
      </c>
      <c r="G218" s="3673">
        <v>0</v>
      </c>
      <c r="H218" s="3673">
        <v>0</v>
      </c>
      <c r="I218" s="3673">
        <v>0</v>
      </c>
      <c r="J218" s="3673">
        <v>0</v>
      </c>
      <c r="K218" s="3673">
        <v>0</v>
      </c>
      <c r="L218" s="3673">
        <v>0</v>
      </c>
      <c r="M218" s="3673">
        <v>0</v>
      </c>
      <c r="N218" s="12"/>
    </row>
    <row r="219" spans="4:14" ht="15" customHeight="1">
      <c r="D219" s="25"/>
      <c r="E219" s="30" t="s">
        <v>792</v>
      </c>
      <c r="F219" s="3673">
        <v>0</v>
      </c>
      <c r="G219" s="3673">
        <v>0</v>
      </c>
      <c r="H219" s="3673">
        <v>0</v>
      </c>
      <c r="I219" s="3673">
        <v>0</v>
      </c>
      <c r="J219" s="3673">
        <v>0</v>
      </c>
      <c r="K219" s="3673">
        <v>0</v>
      </c>
      <c r="L219" s="3673">
        <v>0</v>
      </c>
      <c r="M219" s="3673">
        <v>0</v>
      </c>
      <c r="N219" s="12"/>
    </row>
    <row r="220" spans="4:14" ht="15" customHeight="1">
      <c r="D220" s="25"/>
      <c r="E220" s="32" t="s">
        <v>793</v>
      </c>
      <c r="F220" s="3674">
        <v>0</v>
      </c>
      <c r="G220" s="3674">
        <v>0</v>
      </c>
      <c r="H220" s="3674">
        <v>0</v>
      </c>
      <c r="I220" s="3674">
        <v>0</v>
      </c>
      <c r="J220" s="3674">
        <v>0</v>
      </c>
      <c r="K220" s="3674">
        <v>0</v>
      </c>
      <c r="L220" s="3674">
        <v>0</v>
      </c>
      <c r="M220" s="3674">
        <v>0</v>
      </c>
      <c r="N220" s="12"/>
    </row>
    <row r="221" spans="4:14" ht="15" customHeight="1">
      <c r="D221" s="25"/>
      <c r="E221" s="30"/>
      <c r="F221" s="31"/>
      <c r="G221" s="31"/>
      <c r="H221" s="31"/>
      <c r="I221" s="31"/>
      <c r="J221" s="31"/>
      <c r="K221" s="31"/>
      <c r="L221" s="31"/>
      <c r="M221" s="31"/>
      <c r="N221" s="12"/>
    </row>
    <row r="222" spans="4:14" ht="15" customHeight="1">
      <c r="D222" s="25"/>
      <c r="E222" s="26" t="s">
        <v>2096</v>
      </c>
      <c r="F222" s="20"/>
      <c r="G222" s="20"/>
      <c r="H222" s="20"/>
      <c r="I222" s="20"/>
      <c r="J222" s="20"/>
      <c r="K222" s="20"/>
      <c r="L222" s="20"/>
      <c r="M222" s="27" t="s">
        <v>788</v>
      </c>
      <c r="N222" s="12"/>
    </row>
    <row r="223" spans="4:14" ht="15" customHeight="1">
      <c r="D223" s="25"/>
      <c r="E223" s="28" t="s">
        <v>789</v>
      </c>
      <c r="F223" s="29">
        <v>2018</v>
      </c>
      <c r="G223" s="29">
        <v>2020</v>
      </c>
      <c r="H223" s="29">
        <v>2025</v>
      </c>
      <c r="I223" s="29">
        <v>2030</v>
      </c>
      <c r="J223" s="29">
        <v>2035</v>
      </c>
      <c r="K223" s="29">
        <v>2040</v>
      </c>
      <c r="L223" s="29">
        <v>2045</v>
      </c>
      <c r="M223" s="29">
        <v>2050</v>
      </c>
      <c r="N223" s="12"/>
    </row>
    <row r="224" spans="4:14" ht="15" customHeight="1">
      <c r="D224" s="25"/>
      <c r="E224" s="30" t="s">
        <v>795</v>
      </c>
      <c r="F224" s="3673">
        <v>0</v>
      </c>
      <c r="G224" s="3673">
        <v>0</v>
      </c>
      <c r="H224" s="3673">
        <v>0</v>
      </c>
      <c r="I224" s="3673">
        <v>0</v>
      </c>
      <c r="J224" s="3673">
        <v>0</v>
      </c>
      <c r="K224" s="3673">
        <v>0</v>
      </c>
      <c r="L224" s="3673">
        <v>0</v>
      </c>
      <c r="M224" s="3673">
        <v>0</v>
      </c>
      <c r="N224" s="12"/>
    </row>
    <row r="225" spans="4:14" ht="15" customHeight="1">
      <c r="D225" s="25"/>
      <c r="E225" s="30" t="s">
        <v>791</v>
      </c>
      <c r="F225" s="3673">
        <v>0</v>
      </c>
      <c r="G225" s="3673">
        <v>0</v>
      </c>
      <c r="H225" s="3673">
        <v>0</v>
      </c>
      <c r="I225" s="3673">
        <v>0</v>
      </c>
      <c r="J225" s="3673">
        <v>0</v>
      </c>
      <c r="K225" s="3673">
        <v>0</v>
      </c>
      <c r="L225" s="3673">
        <v>0</v>
      </c>
      <c r="M225" s="3673">
        <v>0</v>
      </c>
      <c r="N225" s="12"/>
    </row>
    <row r="226" spans="4:14" ht="15" customHeight="1">
      <c r="D226" s="25"/>
      <c r="E226" s="30" t="s">
        <v>792</v>
      </c>
      <c r="F226" s="3673">
        <v>0</v>
      </c>
      <c r="G226" s="3673">
        <v>0</v>
      </c>
      <c r="H226" s="3673">
        <v>0</v>
      </c>
      <c r="I226" s="3673">
        <v>0</v>
      </c>
      <c r="J226" s="3673">
        <v>0</v>
      </c>
      <c r="K226" s="3673">
        <v>0</v>
      </c>
      <c r="L226" s="3673">
        <v>0</v>
      </c>
      <c r="M226" s="3673">
        <v>0</v>
      </c>
      <c r="N226" s="12"/>
    </row>
    <row r="227" spans="4:14" ht="15" customHeight="1">
      <c r="D227" s="25"/>
      <c r="E227" s="32" t="s">
        <v>793</v>
      </c>
      <c r="F227" s="3674">
        <v>0</v>
      </c>
      <c r="G227" s="3674">
        <v>0</v>
      </c>
      <c r="H227" s="3674">
        <v>0</v>
      </c>
      <c r="I227" s="3674">
        <v>0</v>
      </c>
      <c r="J227" s="3674">
        <v>0</v>
      </c>
      <c r="K227" s="3674">
        <v>0</v>
      </c>
      <c r="L227" s="3674">
        <v>0</v>
      </c>
      <c r="M227" s="3674">
        <v>0</v>
      </c>
      <c r="N227" s="12"/>
    </row>
    <row r="228" spans="4:14" ht="15" customHeight="1">
      <c r="D228" s="25"/>
      <c r="E228" s="30"/>
      <c r="F228" s="31"/>
      <c r="G228" s="31"/>
      <c r="H228" s="31"/>
      <c r="I228" s="31"/>
      <c r="J228" s="31"/>
      <c r="K228" s="31"/>
      <c r="L228" s="31"/>
      <c r="M228" s="31"/>
      <c r="N228" s="12"/>
    </row>
    <row r="229" spans="4:14" ht="15" customHeight="1">
      <c r="D229" s="25"/>
      <c r="E229" s="23" t="s">
        <v>1729</v>
      </c>
      <c r="F229" s="31"/>
      <c r="G229" s="31"/>
      <c r="H229" s="31"/>
      <c r="I229" s="31"/>
      <c r="J229" s="31"/>
      <c r="K229" s="31"/>
      <c r="L229" s="31"/>
      <c r="M229" s="31"/>
      <c r="N229" s="12"/>
    </row>
    <row r="230" spans="4:14" ht="15" customHeight="1">
      <c r="D230" s="25"/>
      <c r="E230" s="12"/>
      <c r="F230" s="12"/>
      <c r="G230" s="12"/>
      <c r="H230" s="12"/>
      <c r="I230" s="12"/>
      <c r="J230" s="12"/>
      <c r="K230" s="12"/>
      <c r="L230" s="12"/>
      <c r="M230" s="12"/>
      <c r="N230" s="12"/>
    </row>
    <row r="231" spans="4:14" ht="15" customHeight="1">
      <c r="D231" s="25"/>
      <c r="E231" s="26" t="s">
        <v>2095</v>
      </c>
      <c r="F231" s="20"/>
      <c r="G231" s="20"/>
      <c r="H231" s="20"/>
      <c r="I231" s="20"/>
      <c r="J231" s="20"/>
      <c r="K231" s="20"/>
      <c r="L231" s="20"/>
      <c r="M231" s="27" t="s">
        <v>788</v>
      </c>
      <c r="N231" s="12"/>
    </row>
    <row r="232" spans="4:14" ht="15" customHeight="1">
      <c r="D232" s="25"/>
      <c r="E232" s="28" t="s">
        <v>789</v>
      </c>
      <c r="F232" s="29">
        <v>2018</v>
      </c>
      <c r="G232" s="29">
        <v>2020</v>
      </c>
      <c r="H232" s="29">
        <v>2025</v>
      </c>
      <c r="I232" s="29">
        <v>2030</v>
      </c>
      <c r="J232" s="29">
        <v>2035</v>
      </c>
      <c r="K232" s="29">
        <v>2040</v>
      </c>
      <c r="L232" s="29">
        <v>2045</v>
      </c>
      <c r="M232" s="29">
        <v>2050</v>
      </c>
      <c r="N232" s="12"/>
    </row>
    <row r="233" spans="4:14" ht="15" customHeight="1">
      <c r="D233" s="25"/>
      <c r="E233" s="30" t="s">
        <v>795</v>
      </c>
      <c r="F233" s="3673">
        <v>0</v>
      </c>
      <c r="G233" s="3673">
        <v>0</v>
      </c>
      <c r="H233" s="3673">
        <v>0</v>
      </c>
      <c r="I233" s="3673">
        <v>0</v>
      </c>
      <c r="J233" s="3673">
        <v>0</v>
      </c>
      <c r="K233" s="3673">
        <v>0</v>
      </c>
      <c r="L233" s="3673">
        <v>0</v>
      </c>
      <c r="M233" s="3673">
        <v>0</v>
      </c>
      <c r="N233" s="12"/>
    </row>
    <row r="234" spans="4:14" ht="15" customHeight="1">
      <c r="D234" s="25"/>
      <c r="E234" s="30" t="s">
        <v>791</v>
      </c>
      <c r="F234" s="3673">
        <v>0</v>
      </c>
      <c r="G234" s="3673">
        <v>0</v>
      </c>
      <c r="H234" s="3673">
        <v>0</v>
      </c>
      <c r="I234" s="3673">
        <v>0</v>
      </c>
      <c r="J234" s="3673">
        <v>0</v>
      </c>
      <c r="K234" s="3673">
        <v>0</v>
      </c>
      <c r="L234" s="3673">
        <v>0</v>
      </c>
      <c r="M234" s="3673">
        <v>0</v>
      </c>
      <c r="N234" s="12"/>
    </row>
    <row r="235" spans="4:14" ht="15" customHeight="1">
      <c r="D235" s="25"/>
      <c r="E235" s="30" t="s">
        <v>792</v>
      </c>
      <c r="F235" s="3673">
        <v>0.17714285714285716</v>
      </c>
      <c r="G235" s="3673">
        <v>0.22857142857142856</v>
      </c>
      <c r="H235" s="3673">
        <v>0.3571428571428571</v>
      </c>
      <c r="I235" s="3673">
        <v>0.48571428571428577</v>
      </c>
      <c r="J235" s="3673">
        <v>0.61428571428571421</v>
      </c>
      <c r="K235" s="3673">
        <v>0.74285714285714277</v>
      </c>
      <c r="L235" s="3673">
        <v>0.87142857142857144</v>
      </c>
      <c r="M235" s="3673">
        <v>1</v>
      </c>
      <c r="N235" s="12"/>
    </row>
    <row r="236" spans="4:14" ht="15" customHeight="1">
      <c r="D236" s="25"/>
      <c r="E236" s="32" t="s">
        <v>793</v>
      </c>
      <c r="F236" s="3674">
        <v>0.17714285714285716</v>
      </c>
      <c r="G236" s="3674">
        <v>0.22857142857142856</v>
      </c>
      <c r="H236" s="3674">
        <v>0.3571428571428571</v>
      </c>
      <c r="I236" s="3674">
        <v>0.48571428571428577</v>
      </c>
      <c r="J236" s="3674">
        <v>0.61428571428571421</v>
      </c>
      <c r="K236" s="3674">
        <v>0.74285714285714277</v>
      </c>
      <c r="L236" s="3674">
        <v>0.87142857142857144</v>
      </c>
      <c r="M236" s="3674">
        <v>1</v>
      </c>
      <c r="N236" s="12"/>
    </row>
    <row r="237" spans="4:14" ht="15" customHeight="1">
      <c r="D237" s="25"/>
      <c r="E237" s="30"/>
      <c r="F237" s="34"/>
      <c r="G237" s="34"/>
      <c r="H237" s="34"/>
      <c r="I237" s="34"/>
      <c r="J237" s="34"/>
      <c r="K237" s="34"/>
      <c r="L237" s="34"/>
      <c r="M237" s="34"/>
      <c r="N237" s="12"/>
    </row>
    <row r="238" spans="4:14" ht="15" customHeight="1">
      <c r="D238" s="25"/>
      <c r="E238" s="26" t="s">
        <v>2096</v>
      </c>
      <c r="F238" s="20"/>
      <c r="G238" s="20"/>
      <c r="H238" s="20"/>
      <c r="I238" s="20"/>
      <c r="J238" s="20"/>
      <c r="K238" s="20"/>
      <c r="L238" s="20"/>
      <c r="M238" s="27" t="s">
        <v>788</v>
      </c>
      <c r="N238" s="12"/>
    </row>
    <row r="239" spans="4:14" ht="15" customHeight="1">
      <c r="D239" s="25"/>
      <c r="E239" s="28" t="s">
        <v>789</v>
      </c>
      <c r="F239" s="29">
        <v>2018</v>
      </c>
      <c r="G239" s="29">
        <v>2020</v>
      </c>
      <c r="H239" s="29">
        <v>2025</v>
      </c>
      <c r="I239" s="29">
        <v>2030</v>
      </c>
      <c r="J239" s="29">
        <v>2035</v>
      </c>
      <c r="K239" s="29">
        <v>2040</v>
      </c>
      <c r="L239" s="29">
        <v>2045</v>
      </c>
      <c r="M239" s="29">
        <v>2050</v>
      </c>
      <c r="N239" s="12"/>
    </row>
    <row r="240" spans="4:14" ht="15" customHeight="1">
      <c r="D240" s="25"/>
      <c r="E240" s="30" t="s">
        <v>795</v>
      </c>
      <c r="F240" s="3673">
        <v>0</v>
      </c>
      <c r="G240" s="3673">
        <v>0</v>
      </c>
      <c r="H240" s="3673">
        <v>0</v>
      </c>
      <c r="I240" s="3673">
        <v>0</v>
      </c>
      <c r="J240" s="3673">
        <v>0</v>
      </c>
      <c r="K240" s="3673">
        <v>0</v>
      </c>
      <c r="L240" s="3673">
        <v>0</v>
      </c>
      <c r="M240" s="3673">
        <v>0</v>
      </c>
      <c r="N240" s="12"/>
    </row>
    <row r="241" spans="4:14" ht="15" customHeight="1">
      <c r="D241" s="25"/>
      <c r="E241" s="30" t="s">
        <v>791</v>
      </c>
      <c r="F241" s="3673">
        <v>0</v>
      </c>
      <c r="G241" s="3673">
        <v>0</v>
      </c>
      <c r="H241" s="3673">
        <v>0</v>
      </c>
      <c r="I241" s="3673">
        <v>0</v>
      </c>
      <c r="J241" s="3673">
        <v>0</v>
      </c>
      <c r="K241" s="3673">
        <v>0</v>
      </c>
      <c r="L241" s="3673">
        <v>0</v>
      </c>
      <c r="M241" s="3673">
        <v>0</v>
      </c>
      <c r="N241" s="12"/>
    </row>
    <row r="242" spans="4:14" ht="15" customHeight="1">
      <c r="D242" s="25"/>
      <c r="E242" s="30" t="s">
        <v>792</v>
      </c>
      <c r="F242" s="3673">
        <v>0.03</v>
      </c>
      <c r="G242" s="3673">
        <v>0.05</v>
      </c>
      <c r="H242" s="3673">
        <v>0.1</v>
      </c>
      <c r="I242" s="3673">
        <v>0.15</v>
      </c>
      <c r="J242" s="3673">
        <v>0.2</v>
      </c>
      <c r="K242" s="3673">
        <v>0.25</v>
      </c>
      <c r="L242" s="3673">
        <v>0.3</v>
      </c>
      <c r="M242" s="3673">
        <v>0.35</v>
      </c>
      <c r="N242" s="12"/>
    </row>
    <row r="243" spans="4:14" ht="15" customHeight="1">
      <c r="D243" s="25"/>
      <c r="E243" s="32" t="s">
        <v>793</v>
      </c>
      <c r="F243" s="3674">
        <v>0.03</v>
      </c>
      <c r="G243" s="3674">
        <v>0.05</v>
      </c>
      <c r="H243" s="3674">
        <v>0.1</v>
      </c>
      <c r="I243" s="3674">
        <v>0.15</v>
      </c>
      <c r="J243" s="3674">
        <v>0.2</v>
      </c>
      <c r="K243" s="3674">
        <v>0.25</v>
      </c>
      <c r="L243" s="3674">
        <v>0.3</v>
      </c>
      <c r="M243" s="3674">
        <v>0.35</v>
      </c>
      <c r="N243" s="12"/>
    </row>
    <row r="244" spans="4:14" ht="15" customHeight="1">
      <c r="D244" s="13"/>
      <c r="E244" s="12"/>
      <c r="F244" s="12"/>
      <c r="G244" s="12"/>
      <c r="H244" s="12"/>
      <c r="I244" s="12"/>
      <c r="J244" s="12"/>
      <c r="K244" s="12"/>
      <c r="L244" s="12"/>
      <c r="M244" s="12"/>
      <c r="N244" s="12"/>
    </row>
    <row r="245" spans="4:14" ht="15" customHeight="1">
      <c r="D245" s="25"/>
      <c r="E245" s="23" t="s">
        <v>1730</v>
      </c>
      <c r="F245" s="12"/>
      <c r="G245" s="12"/>
      <c r="H245" s="12"/>
      <c r="I245" s="12"/>
      <c r="J245" s="12"/>
      <c r="K245" s="12"/>
      <c r="L245" s="12"/>
      <c r="M245" s="12"/>
      <c r="N245" s="12"/>
    </row>
    <row r="246" spans="4:14" ht="15" customHeight="1">
      <c r="D246" s="25"/>
      <c r="E246" s="12"/>
      <c r="F246" s="12"/>
      <c r="G246" s="12"/>
      <c r="H246" s="12"/>
      <c r="I246" s="12"/>
      <c r="J246" s="12"/>
      <c r="K246" s="12"/>
      <c r="L246" s="12"/>
      <c r="M246" s="12"/>
      <c r="N246" s="12"/>
    </row>
    <row r="247" spans="4:14" ht="15" customHeight="1">
      <c r="D247" s="25"/>
      <c r="E247" s="26" t="s">
        <v>2095</v>
      </c>
      <c r="F247" s="20"/>
      <c r="G247" s="20"/>
      <c r="H247" s="20"/>
      <c r="I247" s="20"/>
      <c r="J247" s="20"/>
      <c r="K247" s="20"/>
      <c r="L247" s="20"/>
      <c r="M247" s="27" t="s">
        <v>788</v>
      </c>
      <c r="N247" s="12"/>
    </row>
    <row r="248" spans="4:14" ht="15" customHeight="1">
      <c r="D248" s="25"/>
      <c r="E248" s="28" t="s">
        <v>789</v>
      </c>
      <c r="F248" s="29">
        <v>2018</v>
      </c>
      <c r="G248" s="29">
        <v>2020</v>
      </c>
      <c r="H248" s="29">
        <v>2025</v>
      </c>
      <c r="I248" s="29">
        <v>2030</v>
      </c>
      <c r="J248" s="29">
        <v>2035</v>
      </c>
      <c r="K248" s="29">
        <v>2040</v>
      </c>
      <c r="L248" s="29">
        <v>2045</v>
      </c>
      <c r="M248" s="29">
        <v>2050</v>
      </c>
      <c r="N248" s="12"/>
    </row>
    <row r="249" spans="4:14" ht="15" customHeight="1">
      <c r="D249" s="25"/>
      <c r="E249" s="30" t="s">
        <v>795</v>
      </c>
      <c r="F249" s="3673">
        <v>0</v>
      </c>
      <c r="G249" s="3673">
        <v>0</v>
      </c>
      <c r="H249" s="3673">
        <v>0</v>
      </c>
      <c r="I249" s="3673">
        <v>0</v>
      </c>
      <c r="J249" s="3673">
        <v>0</v>
      </c>
      <c r="K249" s="3673">
        <v>0</v>
      </c>
      <c r="L249" s="3673">
        <v>0</v>
      </c>
      <c r="M249" s="3673">
        <v>0</v>
      </c>
      <c r="N249" s="12"/>
    </row>
    <row r="250" spans="4:14" ht="15" customHeight="1">
      <c r="D250" s="25"/>
      <c r="E250" s="30" t="s">
        <v>791</v>
      </c>
      <c r="F250" s="3673">
        <v>0</v>
      </c>
      <c r="G250" s="3673">
        <v>0</v>
      </c>
      <c r="H250" s="3673">
        <v>0</v>
      </c>
      <c r="I250" s="3673">
        <v>0</v>
      </c>
      <c r="J250" s="3673">
        <v>0</v>
      </c>
      <c r="K250" s="3673">
        <v>0</v>
      </c>
      <c r="L250" s="3673">
        <v>0</v>
      </c>
      <c r="M250" s="3673">
        <v>0</v>
      </c>
      <c r="N250" s="12"/>
    </row>
    <row r="251" spans="4:14" ht="15" customHeight="1">
      <c r="D251" s="25"/>
      <c r="E251" s="30" t="s">
        <v>792</v>
      </c>
      <c r="F251" s="3673">
        <v>0.17714285714285716</v>
      </c>
      <c r="G251" s="3673">
        <v>0.22857142857142856</v>
      </c>
      <c r="H251" s="3673">
        <v>0.3571428571428571</v>
      </c>
      <c r="I251" s="3673">
        <v>0.48571428571428577</v>
      </c>
      <c r="J251" s="3673">
        <v>0.61428571428571421</v>
      </c>
      <c r="K251" s="3673">
        <v>0.74285714285714277</v>
      </c>
      <c r="L251" s="3673">
        <v>0.87142857142857144</v>
      </c>
      <c r="M251" s="3673">
        <v>1</v>
      </c>
      <c r="N251" s="12"/>
    </row>
    <row r="252" spans="4:14" ht="15" customHeight="1">
      <c r="D252" s="25"/>
      <c r="E252" s="32" t="s">
        <v>793</v>
      </c>
      <c r="F252" s="3674">
        <v>0.17714285714285716</v>
      </c>
      <c r="G252" s="3674">
        <v>0.22857142857142856</v>
      </c>
      <c r="H252" s="3674">
        <v>0.3571428571428571</v>
      </c>
      <c r="I252" s="3674">
        <v>0.48571428571428577</v>
      </c>
      <c r="J252" s="3674">
        <v>0.61428571428571421</v>
      </c>
      <c r="K252" s="3674">
        <v>0.74285714285714277</v>
      </c>
      <c r="L252" s="3674">
        <v>0.87142857142857144</v>
      </c>
      <c r="M252" s="3674">
        <v>1</v>
      </c>
      <c r="N252" s="12"/>
    </row>
    <row r="253" spans="4:14" ht="15" customHeight="1">
      <c r="D253" s="25"/>
      <c r="E253" s="30"/>
      <c r="F253" s="34"/>
      <c r="G253" s="34"/>
      <c r="H253" s="34"/>
      <c r="I253" s="34"/>
      <c r="J253" s="34"/>
      <c r="K253" s="34"/>
      <c r="L253" s="34"/>
      <c r="M253" s="34"/>
      <c r="N253" s="12"/>
    </row>
    <row r="254" spans="4:14" ht="15" customHeight="1">
      <c r="D254" s="25"/>
      <c r="E254" s="26" t="s">
        <v>2096</v>
      </c>
      <c r="F254" s="20"/>
      <c r="G254" s="20"/>
      <c r="H254" s="20"/>
      <c r="I254" s="20"/>
      <c r="J254" s="20"/>
      <c r="K254" s="20"/>
      <c r="L254" s="20"/>
      <c r="M254" s="27" t="s">
        <v>788</v>
      </c>
      <c r="N254" s="12"/>
    </row>
    <row r="255" spans="4:14" ht="15" customHeight="1">
      <c r="D255" s="13"/>
      <c r="E255" s="28" t="s">
        <v>789</v>
      </c>
      <c r="F255" s="29">
        <v>2018</v>
      </c>
      <c r="G255" s="29">
        <v>2020</v>
      </c>
      <c r="H255" s="29">
        <v>2025</v>
      </c>
      <c r="I255" s="29">
        <v>2030</v>
      </c>
      <c r="J255" s="29">
        <v>2035</v>
      </c>
      <c r="K255" s="29">
        <v>2040</v>
      </c>
      <c r="L255" s="29">
        <v>2045</v>
      </c>
      <c r="M255" s="29">
        <v>2050</v>
      </c>
      <c r="N255" s="12"/>
    </row>
    <row r="256" spans="4:14" ht="15" customHeight="1">
      <c r="D256" s="25"/>
      <c r="E256" s="30" t="s">
        <v>795</v>
      </c>
      <c r="F256" s="3673">
        <v>0</v>
      </c>
      <c r="G256" s="3673">
        <v>0</v>
      </c>
      <c r="H256" s="3673">
        <v>0</v>
      </c>
      <c r="I256" s="3673">
        <v>0</v>
      </c>
      <c r="J256" s="3673">
        <v>0</v>
      </c>
      <c r="K256" s="3673">
        <v>0</v>
      </c>
      <c r="L256" s="3673">
        <v>0</v>
      </c>
      <c r="M256" s="3673">
        <v>0</v>
      </c>
      <c r="N256" s="12"/>
    </row>
    <row r="257" spans="4:14" ht="15" customHeight="1">
      <c r="D257" s="25"/>
      <c r="E257" s="30" t="s">
        <v>791</v>
      </c>
      <c r="F257" s="3673">
        <v>0</v>
      </c>
      <c r="G257" s="3673">
        <v>0</v>
      </c>
      <c r="H257" s="3673">
        <v>0</v>
      </c>
      <c r="I257" s="3673">
        <v>0</v>
      </c>
      <c r="J257" s="3673">
        <v>0</v>
      </c>
      <c r="K257" s="3673">
        <v>0</v>
      </c>
      <c r="L257" s="3673">
        <v>0</v>
      </c>
      <c r="M257" s="3673">
        <v>0</v>
      </c>
      <c r="N257" s="12"/>
    </row>
    <row r="258" spans="4:14" ht="15" customHeight="1">
      <c r="D258" s="25"/>
      <c r="E258" s="30" t="s">
        <v>792</v>
      </c>
      <c r="F258" s="3673">
        <v>5.9142857142857136E-2</v>
      </c>
      <c r="G258" s="3673">
        <v>9.857142857142856E-2</v>
      </c>
      <c r="H258" s="3673">
        <v>0.19714285714285712</v>
      </c>
      <c r="I258" s="3673">
        <v>0.29571428571428571</v>
      </c>
      <c r="J258" s="3673">
        <v>0.39428571428571424</v>
      </c>
      <c r="K258" s="3673">
        <v>0.49285714285714277</v>
      </c>
      <c r="L258" s="3673">
        <v>0.59142857142857141</v>
      </c>
      <c r="M258" s="3673">
        <v>0.69</v>
      </c>
      <c r="N258" s="12"/>
    </row>
    <row r="259" spans="4:14" ht="15" customHeight="1">
      <c r="D259" s="25"/>
      <c r="E259" s="32" t="s">
        <v>793</v>
      </c>
      <c r="F259" s="3674">
        <v>5.9142857142857136E-2</v>
      </c>
      <c r="G259" s="3674">
        <v>9.857142857142856E-2</v>
      </c>
      <c r="H259" s="3674">
        <v>0.19714285714285712</v>
      </c>
      <c r="I259" s="3674">
        <v>0.29571428571428571</v>
      </c>
      <c r="J259" s="3674">
        <v>0.39428571428571424</v>
      </c>
      <c r="K259" s="3674">
        <v>0.49285714285714277</v>
      </c>
      <c r="L259" s="3674">
        <v>0.59142857142857141</v>
      </c>
      <c r="M259" s="3674">
        <v>0.69</v>
      </c>
      <c r="N259" s="12"/>
    </row>
    <row r="260" spans="4:14" ht="15" customHeight="1">
      <c r="D260" s="25"/>
      <c r="E260" s="35"/>
      <c r="F260" s="33"/>
      <c r="G260" s="36"/>
      <c r="H260" s="36"/>
      <c r="I260" s="36"/>
      <c r="J260" s="36"/>
      <c r="K260" s="36"/>
      <c r="L260" s="36"/>
      <c r="M260" s="36"/>
      <c r="N260" s="12"/>
    </row>
    <row r="261" spans="4:14" ht="15" customHeight="1">
      <c r="D261" s="25"/>
      <c r="E261" s="23" t="s">
        <v>1731</v>
      </c>
      <c r="F261" s="33"/>
      <c r="G261" s="36"/>
      <c r="H261" s="36"/>
      <c r="I261" s="36"/>
      <c r="J261" s="36"/>
      <c r="K261" s="36"/>
      <c r="L261" s="36"/>
      <c r="M261" s="36"/>
      <c r="N261" s="12"/>
    </row>
    <row r="262" spans="4:14" ht="15" customHeight="1">
      <c r="D262" s="25"/>
      <c r="E262" s="35"/>
      <c r="F262" s="33"/>
      <c r="G262" s="36"/>
      <c r="H262" s="36"/>
      <c r="I262" s="36"/>
      <c r="J262" s="36"/>
      <c r="K262" s="36"/>
      <c r="L262" s="36"/>
      <c r="M262" s="36"/>
      <c r="N262" s="12"/>
    </row>
    <row r="263" spans="4:14" ht="15" customHeight="1">
      <c r="D263" s="25"/>
      <c r="E263" s="26" t="s">
        <v>2095</v>
      </c>
      <c r="F263" s="20"/>
      <c r="G263" s="20"/>
      <c r="H263" s="20"/>
      <c r="I263" s="20"/>
      <c r="J263" s="20"/>
      <c r="K263" s="20"/>
      <c r="L263" s="20"/>
      <c r="M263" s="27" t="s">
        <v>788</v>
      </c>
      <c r="N263" s="12"/>
    </row>
    <row r="264" spans="4:14" ht="15" customHeight="1">
      <c r="D264" s="25"/>
      <c r="E264" s="28" t="s">
        <v>789</v>
      </c>
      <c r="F264" s="29">
        <v>2018</v>
      </c>
      <c r="G264" s="29">
        <v>2020</v>
      </c>
      <c r="H264" s="29">
        <v>2025</v>
      </c>
      <c r="I264" s="29">
        <v>2030</v>
      </c>
      <c r="J264" s="29">
        <v>2035</v>
      </c>
      <c r="K264" s="29">
        <v>2040</v>
      </c>
      <c r="L264" s="29">
        <v>2045</v>
      </c>
      <c r="M264" s="29">
        <v>2050</v>
      </c>
      <c r="N264" s="12"/>
    </row>
    <row r="265" spans="4:14" ht="15" customHeight="1">
      <c r="D265" s="25"/>
      <c r="E265" s="30" t="s">
        <v>795</v>
      </c>
      <c r="F265" s="3673">
        <v>0</v>
      </c>
      <c r="G265" s="3673">
        <v>0</v>
      </c>
      <c r="H265" s="3673">
        <v>0</v>
      </c>
      <c r="I265" s="3673">
        <v>0</v>
      </c>
      <c r="J265" s="3673">
        <v>0</v>
      </c>
      <c r="K265" s="3673">
        <v>0</v>
      </c>
      <c r="L265" s="3673">
        <v>0</v>
      </c>
      <c r="M265" s="3673">
        <v>0</v>
      </c>
      <c r="N265" s="12"/>
    </row>
    <row r="266" spans="4:14" ht="15" customHeight="1">
      <c r="D266" s="13"/>
      <c r="E266" s="30" t="s">
        <v>791</v>
      </c>
      <c r="F266" s="3673">
        <v>0</v>
      </c>
      <c r="G266" s="3673">
        <v>0</v>
      </c>
      <c r="H266" s="3673">
        <v>0</v>
      </c>
      <c r="I266" s="3673">
        <v>0</v>
      </c>
      <c r="J266" s="3673">
        <v>0</v>
      </c>
      <c r="K266" s="3673">
        <v>0</v>
      </c>
      <c r="L266" s="3673">
        <v>0</v>
      </c>
      <c r="M266" s="3673">
        <v>0</v>
      </c>
      <c r="N266" s="12"/>
    </row>
    <row r="267" spans="4:14" ht="15" customHeight="1">
      <c r="D267" s="25"/>
      <c r="E267" s="30" t="s">
        <v>792</v>
      </c>
      <c r="F267" s="3673">
        <v>0.17714285714285716</v>
      </c>
      <c r="G267" s="3673">
        <v>0.22857142857142856</v>
      </c>
      <c r="H267" s="3673">
        <v>0.3571428571428571</v>
      </c>
      <c r="I267" s="3673">
        <v>0.48571428571428577</v>
      </c>
      <c r="J267" s="3673">
        <v>0.61428571428571421</v>
      </c>
      <c r="K267" s="3673">
        <v>0.74285714285714277</v>
      </c>
      <c r="L267" s="3673">
        <v>0.87142857142857144</v>
      </c>
      <c r="M267" s="3673">
        <v>1</v>
      </c>
      <c r="N267" s="12"/>
    </row>
    <row r="268" spans="4:14" ht="15" customHeight="1">
      <c r="D268" s="25"/>
      <c r="E268" s="32" t="s">
        <v>793</v>
      </c>
      <c r="F268" s="3674">
        <v>0.17714285714285716</v>
      </c>
      <c r="G268" s="3674">
        <v>0.22857142857142856</v>
      </c>
      <c r="H268" s="3674">
        <v>0.3571428571428571</v>
      </c>
      <c r="I268" s="3674">
        <v>0.48571428571428577</v>
      </c>
      <c r="J268" s="3674">
        <v>0.61428571428571421</v>
      </c>
      <c r="K268" s="3674">
        <v>0.74285714285714277</v>
      </c>
      <c r="L268" s="3674">
        <v>0.87142857142857144</v>
      </c>
      <c r="M268" s="3674">
        <v>1</v>
      </c>
      <c r="N268" s="12"/>
    </row>
    <row r="269" spans="4:14" ht="15" customHeight="1">
      <c r="D269" s="25"/>
      <c r="E269" s="30"/>
      <c r="F269" s="34"/>
      <c r="G269" s="34"/>
      <c r="H269" s="34"/>
      <c r="I269" s="34"/>
      <c r="J269" s="34"/>
      <c r="K269" s="34"/>
      <c r="L269" s="34"/>
      <c r="M269" s="34"/>
      <c r="N269" s="12"/>
    </row>
    <row r="270" spans="4:14" ht="15" customHeight="1">
      <c r="D270" s="25"/>
      <c r="E270" s="26" t="s">
        <v>2096</v>
      </c>
      <c r="F270" s="20"/>
      <c r="G270" s="20"/>
      <c r="H270" s="20"/>
      <c r="I270" s="20"/>
      <c r="J270" s="20"/>
      <c r="K270" s="20"/>
      <c r="L270" s="20"/>
      <c r="M270" s="27" t="s">
        <v>788</v>
      </c>
      <c r="N270" s="12"/>
    </row>
    <row r="271" spans="4:14" ht="15" customHeight="1">
      <c r="D271" s="25"/>
      <c r="E271" s="28" t="s">
        <v>789</v>
      </c>
      <c r="F271" s="29">
        <v>2018</v>
      </c>
      <c r="G271" s="29">
        <v>2020</v>
      </c>
      <c r="H271" s="29">
        <v>2025</v>
      </c>
      <c r="I271" s="29">
        <v>2030</v>
      </c>
      <c r="J271" s="29">
        <v>2035</v>
      </c>
      <c r="K271" s="29">
        <v>2040</v>
      </c>
      <c r="L271" s="29">
        <v>2045</v>
      </c>
      <c r="M271" s="29">
        <v>2050</v>
      </c>
      <c r="N271" s="12"/>
    </row>
    <row r="272" spans="4:14" ht="15" customHeight="1">
      <c r="D272" s="25"/>
      <c r="E272" s="30" t="s">
        <v>795</v>
      </c>
      <c r="F272" s="3673">
        <v>0</v>
      </c>
      <c r="G272" s="3673">
        <v>0</v>
      </c>
      <c r="H272" s="3673">
        <v>0</v>
      </c>
      <c r="I272" s="3673">
        <v>0</v>
      </c>
      <c r="J272" s="3673">
        <v>0</v>
      </c>
      <c r="K272" s="3673">
        <v>0</v>
      </c>
      <c r="L272" s="3673">
        <v>0</v>
      </c>
      <c r="M272" s="3673">
        <v>0</v>
      </c>
      <c r="N272" s="12"/>
    </row>
    <row r="273" spans="4:14" ht="15" customHeight="1">
      <c r="D273" s="25"/>
      <c r="E273" s="30" t="s">
        <v>791</v>
      </c>
      <c r="F273" s="3673">
        <v>0</v>
      </c>
      <c r="G273" s="3673">
        <v>0</v>
      </c>
      <c r="H273" s="3673">
        <v>0</v>
      </c>
      <c r="I273" s="3673">
        <v>0</v>
      </c>
      <c r="J273" s="3673">
        <v>0</v>
      </c>
      <c r="K273" s="3673">
        <v>0</v>
      </c>
      <c r="L273" s="3673">
        <v>0</v>
      </c>
      <c r="M273" s="3673">
        <v>0</v>
      </c>
      <c r="N273" s="12"/>
    </row>
    <row r="274" spans="4:14" ht="15" customHeight="1">
      <c r="D274" s="25"/>
      <c r="E274" s="30" t="s">
        <v>792</v>
      </c>
      <c r="F274" s="3673">
        <v>0.13142857142857145</v>
      </c>
      <c r="G274" s="3673">
        <v>0.18571428571428572</v>
      </c>
      <c r="H274" s="3673">
        <v>0.3214285714285714</v>
      </c>
      <c r="I274" s="3673">
        <v>0.45714285714285713</v>
      </c>
      <c r="J274" s="3673">
        <v>0.59285714285714286</v>
      </c>
      <c r="K274" s="3673">
        <v>0.72857142857142865</v>
      </c>
      <c r="L274" s="3673">
        <v>0.86428571428571432</v>
      </c>
      <c r="M274" s="3673">
        <v>1</v>
      </c>
      <c r="N274" s="12"/>
    </row>
    <row r="275" spans="4:14" ht="15" customHeight="1">
      <c r="D275" s="25"/>
      <c r="E275" s="32" t="s">
        <v>793</v>
      </c>
      <c r="F275" s="3674">
        <v>0.13142857142857145</v>
      </c>
      <c r="G275" s="3674">
        <v>0.18571428571428572</v>
      </c>
      <c r="H275" s="3674">
        <v>0.3214285714285714</v>
      </c>
      <c r="I275" s="3674">
        <v>0.45714285714285713</v>
      </c>
      <c r="J275" s="3674">
        <v>0.59285714285714286</v>
      </c>
      <c r="K275" s="3674">
        <v>0.72857142857142865</v>
      </c>
      <c r="L275" s="3674">
        <v>0.86428571428571432</v>
      </c>
      <c r="M275" s="3674">
        <v>1</v>
      </c>
      <c r="N275" s="12"/>
    </row>
    <row r="276" spans="4:14" ht="15" customHeight="1">
      <c r="D276" s="25"/>
      <c r="E276" s="35"/>
      <c r="F276" s="30"/>
      <c r="G276" s="30"/>
      <c r="H276" s="33"/>
      <c r="I276" s="36"/>
      <c r="J276" s="36"/>
      <c r="K276" s="36"/>
      <c r="L276" s="36"/>
      <c r="M276" s="36"/>
      <c r="N276" s="36"/>
    </row>
    <row r="278" spans="4:14" ht="15" customHeight="1">
      <c r="D278" s="1018" t="s">
        <v>996</v>
      </c>
      <c r="E278" s="336"/>
      <c r="F278" s="336"/>
      <c r="G278" s="336"/>
      <c r="H278" s="336"/>
      <c r="I278" s="336"/>
      <c r="J278" s="336"/>
      <c r="K278" s="336"/>
      <c r="L278" s="336"/>
      <c r="M278" s="336"/>
      <c r="N278" s="336"/>
    </row>
    <row r="279" spans="4:14" ht="15" customHeight="1">
      <c r="D279" s="1548"/>
      <c r="E279" s="1548"/>
      <c r="F279" s="1548"/>
      <c r="G279" s="146"/>
      <c r="H279" s="146"/>
      <c r="I279" s="146"/>
      <c r="J279" s="146"/>
      <c r="K279" s="146"/>
      <c r="L279" s="146"/>
      <c r="M279" s="146"/>
      <c r="N279" s="146"/>
    </row>
    <row r="280" spans="4:14" ht="15" customHeight="1">
      <c r="D280" s="1548"/>
      <c r="E280" s="2782" t="s">
        <v>2100</v>
      </c>
      <c r="F280" s="14"/>
      <c r="G280" s="14"/>
      <c r="H280" s="14"/>
      <c r="I280" s="14"/>
      <c r="J280" s="14"/>
      <c r="K280" s="14"/>
      <c r="L280" s="14"/>
      <c r="M280" s="14"/>
      <c r="N280" s="146"/>
    </row>
    <row r="281" spans="4:14" ht="15" customHeight="1">
      <c r="D281" s="12"/>
      <c r="E281" s="146"/>
      <c r="F281" s="12"/>
      <c r="G281" s="12"/>
      <c r="H281" s="12"/>
      <c r="I281" s="12"/>
      <c r="J281" s="12"/>
      <c r="K281" s="12"/>
      <c r="L281" s="12"/>
      <c r="M281" s="12"/>
      <c r="N281" s="12"/>
    </row>
    <row r="282" spans="4:14" ht="15" customHeight="1">
      <c r="D282" s="20"/>
      <c r="E282" s="26" t="s">
        <v>1234</v>
      </c>
      <c r="F282" s="20"/>
      <c r="G282" s="20"/>
      <c r="H282" s="20"/>
      <c r="I282" s="20"/>
      <c r="J282" s="20"/>
      <c r="K282" s="20"/>
      <c r="L282" s="27"/>
      <c r="M282" s="27" t="s">
        <v>788</v>
      </c>
      <c r="N282" s="12"/>
    </row>
    <row r="283" spans="4:14" ht="15" customHeight="1">
      <c r="D283" s="40"/>
      <c r="E283" s="28" t="s">
        <v>789</v>
      </c>
      <c r="F283" s="29">
        <v>2018</v>
      </c>
      <c r="G283" s="29">
        <v>2020</v>
      </c>
      <c r="H283" s="29">
        <v>2025</v>
      </c>
      <c r="I283" s="29">
        <v>2030</v>
      </c>
      <c r="J283" s="29">
        <v>2035</v>
      </c>
      <c r="K283" s="29">
        <v>2040</v>
      </c>
      <c r="L283" s="29">
        <v>2045</v>
      </c>
      <c r="M283" s="29">
        <v>2050</v>
      </c>
      <c r="N283" s="12"/>
    </row>
    <row r="284" spans="4:14" ht="15" customHeight="1">
      <c r="D284" s="40"/>
      <c r="E284" s="30" t="s">
        <v>795</v>
      </c>
      <c r="F284" s="3673">
        <v>0.06</v>
      </c>
      <c r="G284" s="3673">
        <v>7.4999999999999997E-2</v>
      </c>
      <c r="H284" s="3673">
        <v>0.11249999999999999</v>
      </c>
      <c r="I284" s="3673">
        <v>0.15</v>
      </c>
      <c r="J284" s="3673">
        <v>0.1875</v>
      </c>
      <c r="K284" s="3673">
        <v>0.22500000000000001</v>
      </c>
      <c r="L284" s="3673">
        <v>0.26250000000000001</v>
      </c>
      <c r="M284" s="3673">
        <v>0.3</v>
      </c>
      <c r="N284" s="12"/>
    </row>
    <row r="285" spans="4:14" ht="15" customHeight="1">
      <c r="D285" s="40"/>
      <c r="E285" s="30" t="s">
        <v>791</v>
      </c>
      <c r="F285" s="3673">
        <v>0.152</v>
      </c>
      <c r="G285" s="3673">
        <v>0.16</v>
      </c>
      <c r="H285" s="3673">
        <v>0.18</v>
      </c>
      <c r="I285" s="3673">
        <v>0.2</v>
      </c>
      <c r="J285" s="3673">
        <v>0.24</v>
      </c>
      <c r="K285" s="3673">
        <v>0.28000000000000003</v>
      </c>
      <c r="L285" s="3673">
        <v>0.32</v>
      </c>
      <c r="M285" s="3673">
        <v>0.35</v>
      </c>
      <c r="N285" s="12"/>
    </row>
    <row r="286" spans="4:14" ht="15" customHeight="1">
      <c r="D286" s="40"/>
      <c r="E286" s="30" t="s">
        <v>792</v>
      </c>
      <c r="F286" s="3673">
        <v>0.61799999999999999</v>
      </c>
      <c r="G286" s="3673">
        <v>0.63</v>
      </c>
      <c r="H286" s="3673">
        <v>0.66</v>
      </c>
      <c r="I286" s="3673">
        <v>0.69</v>
      </c>
      <c r="J286" s="3673">
        <v>0.72</v>
      </c>
      <c r="K286" s="3673">
        <v>0.75</v>
      </c>
      <c r="L286" s="3673">
        <v>0.78</v>
      </c>
      <c r="M286" s="3673">
        <v>0.81</v>
      </c>
      <c r="N286" s="12"/>
    </row>
    <row r="287" spans="4:14" ht="15" customHeight="1">
      <c r="D287" s="40"/>
      <c r="E287" s="32" t="s">
        <v>793</v>
      </c>
      <c r="F287" s="3674">
        <v>0.61799999999999999</v>
      </c>
      <c r="G287" s="3674">
        <v>0.63</v>
      </c>
      <c r="H287" s="3674">
        <v>0.66</v>
      </c>
      <c r="I287" s="3674">
        <v>0.69</v>
      </c>
      <c r="J287" s="3674">
        <v>0.72</v>
      </c>
      <c r="K287" s="3674">
        <v>0.75</v>
      </c>
      <c r="L287" s="3674">
        <v>0.78</v>
      </c>
      <c r="M287" s="3674">
        <v>0.81</v>
      </c>
      <c r="N287" s="12"/>
    </row>
    <row r="288" spans="4:14" ht="15" customHeight="1">
      <c r="D288" s="40"/>
      <c r="E288" s="35"/>
      <c r="F288" s="36"/>
      <c r="G288" s="36"/>
      <c r="H288" s="36"/>
      <c r="I288" s="36"/>
      <c r="J288" s="36"/>
      <c r="K288" s="36"/>
      <c r="L288" s="36"/>
      <c r="M288" s="36"/>
      <c r="N288" s="12"/>
    </row>
    <row r="290" spans="4:14" ht="15" customHeight="1">
      <c r="D290" s="1018" t="s">
        <v>51</v>
      </c>
      <c r="E290" s="336"/>
      <c r="F290" s="336"/>
      <c r="G290" s="336"/>
      <c r="H290" s="336"/>
      <c r="I290" s="336"/>
      <c r="J290" s="336"/>
      <c r="K290" s="336"/>
      <c r="L290" s="336"/>
      <c r="M290" s="336"/>
      <c r="N290" s="336"/>
    </row>
    <row r="291" spans="4:14" ht="15" customHeight="1">
      <c r="D291" s="25"/>
      <c r="E291" s="19"/>
      <c r="F291" s="40"/>
      <c r="G291" s="40"/>
      <c r="H291" s="40"/>
      <c r="I291" s="40"/>
      <c r="J291" s="40"/>
      <c r="K291" s="40"/>
      <c r="L291" s="40"/>
      <c r="M291" s="40"/>
      <c r="N291" s="40"/>
    </row>
    <row r="292" spans="4:14" ht="15" customHeight="1">
      <c r="D292" s="25"/>
      <c r="E292" s="14" t="s">
        <v>2101</v>
      </c>
      <c r="F292" s="14"/>
      <c r="G292" s="14"/>
      <c r="H292" s="14"/>
      <c r="I292" s="14"/>
      <c r="J292" s="14"/>
      <c r="K292" s="14"/>
      <c r="L292" s="14"/>
      <c r="M292" s="14"/>
      <c r="N292" s="37"/>
    </row>
    <row r="293" spans="4:14" ht="15" customHeight="1">
      <c r="D293" s="25"/>
      <c r="E293" s="19"/>
      <c r="F293" s="40"/>
      <c r="G293" s="40"/>
      <c r="H293" s="40"/>
      <c r="I293" s="40"/>
      <c r="J293" s="40"/>
      <c r="K293" s="40"/>
      <c r="L293" s="40"/>
      <c r="M293" s="40"/>
      <c r="N293" s="40"/>
    </row>
    <row r="294" spans="4:14" ht="15" customHeight="1">
      <c r="D294" s="13"/>
      <c r="E294" s="41" t="s">
        <v>820</v>
      </c>
      <c r="F294" s="20"/>
      <c r="G294" s="20"/>
      <c r="H294" s="20"/>
      <c r="I294" s="20"/>
      <c r="J294" s="20"/>
      <c r="K294" s="20"/>
      <c r="L294" s="20"/>
      <c r="M294" s="20"/>
      <c r="N294" s="20"/>
    </row>
    <row r="295" spans="4:14" ht="15" customHeight="1">
      <c r="D295" s="13"/>
      <c r="E295" s="20"/>
      <c r="F295" s="20"/>
      <c r="G295" s="20"/>
      <c r="H295" s="20"/>
      <c r="I295" s="20"/>
      <c r="J295" s="20"/>
      <c r="K295" s="20"/>
      <c r="L295" s="20"/>
      <c r="M295" s="20"/>
      <c r="N295" s="20"/>
    </row>
    <row r="296" spans="4:14" ht="15" customHeight="1">
      <c r="D296" s="13"/>
      <c r="E296" s="26" t="s">
        <v>2095</v>
      </c>
      <c r="F296" s="368"/>
      <c r="G296" s="368"/>
      <c r="H296" s="368"/>
      <c r="I296" s="368"/>
      <c r="J296" s="368"/>
      <c r="K296" s="368"/>
      <c r="L296" s="368"/>
      <c r="M296" s="536" t="s">
        <v>803</v>
      </c>
      <c r="N296" s="12"/>
    </row>
    <row r="297" spans="4:14" ht="15" customHeight="1">
      <c r="D297" s="25"/>
      <c r="E297" s="28" t="s">
        <v>789</v>
      </c>
      <c r="F297" s="932">
        <v>2018</v>
      </c>
      <c r="G297" s="932">
        <v>2020</v>
      </c>
      <c r="H297" s="932">
        <v>2025</v>
      </c>
      <c r="I297" s="932">
        <v>2030</v>
      </c>
      <c r="J297" s="932">
        <v>2035</v>
      </c>
      <c r="K297" s="932">
        <v>2040</v>
      </c>
      <c r="L297" s="932">
        <v>2045</v>
      </c>
      <c r="M297" s="932">
        <v>2050</v>
      </c>
      <c r="N297" s="12"/>
    </row>
    <row r="298" spans="4:14" ht="15" customHeight="1">
      <c r="D298" s="42"/>
      <c r="E298" s="30" t="s">
        <v>795</v>
      </c>
      <c r="F298" s="933" cm="1">
        <f t="array" ref="F298:M298">(GEN_HOGARES*INDEX(GEN_PORCENTAJE_HOGARES_POR_ZONA_CLIMATICA,FRIO,0)*INDEX(GEN_HOGARES_URBANOS_NUEVOS,FRIO,0)*INDEX(ST_NUEVOS_IMPLEMENTACION,FRIO,0)*INDEX(SF_TENENCIA,FRIO,0))*COSTOS_2019_US_dolares_MMCOP*INDEX(COSTOS_DE_CAPITAL_edif_res_urb_aer_ALTO,FRIO,0)</f>
        <v>0</v>
      </c>
      <c r="G298" s="933">
        <v>0</v>
      </c>
      <c r="H298" s="933">
        <v>0</v>
      </c>
      <c r="I298" s="933">
        <v>0</v>
      </c>
      <c r="J298" s="933">
        <v>0</v>
      </c>
      <c r="K298" s="933">
        <v>0</v>
      </c>
      <c r="L298" s="933">
        <v>0</v>
      </c>
      <c r="M298" s="933">
        <v>0</v>
      </c>
      <c r="N298" s="12"/>
    </row>
    <row r="299" spans="4:14" ht="15" customHeight="1">
      <c r="D299" s="25"/>
      <c r="E299" s="30" t="s">
        <v>791</v>
      </c>
      <c r="F299" s="933" cm="1">
        <f t="array" ref="F299:M299">(GEN_HOGARES*INDEX(GEN_PORCENTAJE_HOGARES_POR_ZONA_CLIMATICA,TEMPLADO,0)*INDEX(GEN_HOGARES_URBANOS_NUEVOS,TEMPLADO,0)*INDEX(ST_NUEVOS_IMPLEMENTACION,TEMPLADO,0)*INDEX(SF_TENENCIA,TEMPLADO,0))*COSTOS_2019_US_dolares_MMCOP*INDEX(COSTOS_DE_CAPITAL_edif_res_urb_aer_ALTO,TEMPLADO,0)</f>
        <v>0</v>
      </c>
      <c r="G299" s="933">
        <v>0</v>
      </c>
      <c r="H299" s="933">
        <v>0</v>
      </c>
      <c r="I299" s="933">
        <v>0</v>
      </c>
      <c r="J299" s="933">
        <v>0</v>
      </c>
      <c r="K299" s="933">
        <v>0</v>
      </c>
      <c r="L299" s="933">
        <v>0</v>
      </c>
      <c r="M299" s="933">
        <v>0</v>
      </c>
      <c r="N299" s="12"/>
    </row>
    <row r="300" spans="4:14" ht="15" customHeight="1">
      <c r="D300" s="25"/>
      <c r="E300" s="30" t="s">
        <v>792</v>
      </c>
      <c r="F300" s="933" cm="1">
        <f t="array" ref="F300:M300">(GEN_HOGARES*INDEX(GEN_PORCENTAJE_HOGARES_POR_ZONA_CLIMATICA,CALIDO_SECO,0)*INDEX(GEN_HOGARES_URBANOS_NUEVOS,CALIDO_SECO,0)*INDEX(ST_NUEVOS_IMPLEMENTACION,CALIDO_SECO,0)*INDEX(SF_TENENCIA,CALIDO_SECO,0))*COSTOS_2019_US_dolares_MMCOP*INDEX(COSTOS_DE_CAPITAL_edif_res_urb_aer_ALTO,CALIDO_SECO,0)</f>
        <v>0</v>
      </c>
      <c r="G300" s="933">
        <v>0</v>
      </c>
      <c r="H300" s="933">
        <v>0</v>
      </c>
      <c r="I300" s="933">
        <v>0</v>
      </c>
      <c r="J300" s="933">
        <v>0</v>
      </c>
      <c r="K300" s="933">
        <v>0</v>
      </c>
      <c r="L300" s="933">
        <v>0</v>
      </c>
      <c r="M300" s="933">
        <v>0</v>
      </c>
      <c r="N300" s="12"/>
    </row>
    <row r="301" spans="4:14" ht="15" customHeight="1">
      <c r="D301" s="25"/>
      <c r="E301" s="32" t="s">
        <v>793</v>
      </c>
      <c r="F301" s="929" cm="1">
        <f t="array" ref="F301:M301">(GEN_HOGARES*INDEX(GEN_PORCENTAJE_HOGARES_POR_ZONA_CLIMATICA,CALIDO_HUMEDO,0)*INDEX(GEN_HOGARES_URBANOS_NUEVOS,CALIDO_HUMEDO,0)*INDEX(ST_NUEVOS_IMPLEMENTACION,CALIDO_HUMEDO,0)*INDEX(SF_TENENCIA,CALIDO_HUMEDO,0))*COSTOS_2019_US_dolares_MMCOP*INDEX(COSTOS_DE_CAPITAL_edif_res_urb_aer_ALTO,CALIDO_HUMEDO,0)</f>
        <v>0</v>
      </c>
      <c r="G301" s="929">
        <v>0</v>
      </c>
      <c r="H301" s="929">
        <v>0</v>
      </c>
      <c r="I301" s="929">
        <v>0</v>
      </c>
      <c r="J301" s="929">
        <v>0</v>
      </c>
      <c r="K301" s="929">
        <v>0</v>
      </c>
      <c r="L301" s="929">
        <v>0</v>
      </c>
      <c r="M301" s="929">
        <v>0</v>
      </c>
      <c r="N301" s="12"/>
    </row>
    <row r="302" spans="4:14" ht="15" customHeight="1">
      <c r="D302" s="25"/>
      <c r="E302" s="92" t="s">
        <v>1714</v>
      </c>
      <c r="F302" s="931" cm="1">
        <f t="array" ref="F302:M302">_xlfn.ANCHORARRAY(F298)+_xlfn.ANCHORARRAY(F299)+_xlfn.ANCHORARRAY(F300)+_xlfn.ANCHORARRAY(F301)</f>
        <v>0</v>
      </c>
      <c r="G302" s="931">
        <v>0</v>
      </c>
      <c r="H302" s="931">
        <v>0</v>
      </c>
      <c r="I302" s="931">
        <v>0</v>
      </c>
      <c r="J302" s="931">
        <v>0</v>
      </c>
      <c r="K302" s="931">
        <v>0</v>
      </c>
      <c r="L302" s="931">
        <v>0</v>
      </c>
      <c r="M302" s="931">
        <v>0</v>
      </c>
      <c r="N302" s="12"/>
    </row>
    <row r="303" spans="4:14" ht="15" customHeight="1">
      <c r="D303" s="25"/>
      <c r="E303" s="36"/>
      <c r="F303" s="934"/>
      <c r="G303" s="935"/>
      <c r="H303" s="935"/>
      <c r="I303" s="935"/>
      <c r="J303" s="935"/>
      <c r="K303" s="935"/>
      <c r="L303" s="935"/>
      <c r="M303" s="935"/>
      <c r="N303" s="12"/>
    </row>
    <row r="304" spans="4:14" ht="15" customHeight="1">
      <c r="D304" s="25"/>
      <c r="E304" s="26" t="s">
        <v>2096</v>
      </c>
      <c r="F304" s="368"/>
      <c r="G304" s="368"/>
      <c r="H304" s="368"/>
      <c r="I304" s="368"/>
      <c r="J304" s="368"/>
      <c r="K304" s="368"/>
      <c r="L304" s="368"/>
      <c r="M304" s="536" t="s">
        <v>803</v>
      </c>
      <c r="N304" s="12"/>
    </row>
    <row r="305" spans="4:14" ht="15" customHeight="1">
      <c r="D305" s="25"/>
      <c r="E305" s="28" t="s">
        <v>789</v>
      </c>
      <c r="F305" s="932">
        <v>2018</v>
      </c>
      <c r="G305" s="932">
        <v>2020</v>
      </c>
      <c r="H305" s="932">
        <v>2025</v>
      </c>
      <c r="I305" s="932">
        <v>2030</v>
      </c>
      <c r="J305" s="932">
        <v>2035</v>
      </c>
      <c r="K305" s="932">
        <v>2040</v>
      </c>
      <c r="L305" s="932">
        <v>2045</v>
      </c>
      <c r="M305" s="932">
        <v>2050</v>
      </c>
      <c r="N305" s="12"/>
    </row>
    <row r="306" spans="4:14" ht="15" customHeight="1">
      <c r="D306" s="25"/>
      <c r="E306" s="30" t="s">
        <v>795</v>
      </c>
      <c r="F306" s="933" cm="1">
        <f t="array" ref="F306:M306">(GEN_HOGARES*INDEX(GEN_PORCENTAJE_HOGARES_POR_ZONA_CLIMATICA,FRIO,0)*(1-INDEX(GEN_HOGARES_URBANOS_NUEVOS,FRIO,0))*INDEX(ST_EXISTENTES_IMPLEMENTACION,FRIO,0)*INDEX(SF_TENENCIA,FRIO,0))*COSTOS_2019_US_dolares_MMCOP*INDEX(COSTOS_DE_CAPITAL_edif_res_urb_aer_ALTO,FRIO,0)</f>
        <v>0</v>
      </c>
      <c r="G306" s="933">
        <v>0</v>
      </c>
      <c r="H306" s="933">
        <v>0</v>
      </c>
      <c r="I306" s="933">
        <v>0</v>
      </c>
      <c r="J306" s="933">
        <v>0</v>
      </c>
      <c r="K306" s="933">
        <v>0</v>
      </c>
      <c r="L306" s="933">
        <v>0</v>
      </c>
      <c r="M306" s="933">
        <v>0</v>
      </c>
      <c r="N306" s="12"/>
    </row>
    <row r="307" spans="4:14" ht="15" customHeight="1">
      <c r="D307" s="25"/>
      <c r="E307" s="30" t="s">
        <v>791</v>
      </c>
      <c r="F307" s="933" cm="1">
        <f t="array" ref="F307:M307">(GEN_HOGARES*INDEX(GEN_PORCENTAJE_HOGARES_POR_ZONA_CLIMATICA,TEMPLADO,0)*(1-INDEX(GEN_HOGARES_URBANOS_NUEVOS,TEMPLADO,0))*INDEX(ST_EXISTENTES_IMPLEMENTACION,TEMPLADO,0)*INDEX(SF_TENENCIA,TEMPLADO,0))*COSTOS_2019_US_dolares_MMCOP*INDEX(COSTOS_DE_CAPITAL_edif_res_urb_aer_ALTO,TEMPLADO,0)</f>
        <v>0</v>
      </c>
      <c r="G307" s="933">
        <v>0</v>
      </c>
      <c r="H307" s="933">
        <v>0</v>
      </c>
      <c r="I307" s="933">
        <v>0</v>
      </c>
      <c r="J307" s="933">
        <v>0</v>
      </c>
      <c r="K307" s="933">
        <v>0</v>
      </c>
      <c r="L307" s="933">
        <v>0</v>
      </c>
      <c r="M307" s="933">
        <v>0</v>
      </c>
      <c r="N307" s="12"/>
    </row>
    <row r="308" spans="4:14" ht="15" customHeight="1">
      <c r="D308" s="25"/>
      <c r="E308" s="30" t="s">
        <v>792</v>
      </c>
      <c r="F308" s="933" cm="1">
        <f t="array" ref="F308:M308">(GEN_HOGARES*INDEX(GEN_PORCENTAJE_HOGARES_POR_ZONA_CLIMATICA,CALIDO_SECO,0)*(1-INDEX(GEN_HOGARES_URBANOS_NUEVOS,CALIDO_SECO,0))*INDEX(ST_EXISTENTES_IMPLEMENTACION,CALIDO_SECO,0)*INDEX(SF_TENENCIA,CALIDO_SECO,0))*COSTOS_2019_US_dolares_MMCOP*INDEX(COSTOS_DE_CAPITAL_edif_res_urb_aer_ALTO,CALIDO_SECO,0)</f>
        <v>0</v>
      </c>
      <c r="G308" s="933">
        <v>0</v>
      </c>
      <c r="H308" s="933">
        <v>0</v>
      </c>
      <c r="I308" s="933">
        <v>0</v>
      </c>
      <c r="J308" s="933">
        <v>0</v>
      </c>
      <c r="K308" s="933">
        <v>0</v>
      </c>
      <c r="L308" s="933">
        <v>0</v>
      </c>
      <c r="M308" s="933">
        <v>0</v>
      </c>
      <c r="N308" s="12"/>
    </row>
    <row r="309" spans="4:14" ht="15" customHeight="1">
      <c r="D309" s="25"/>
      <c r="E309" s="32" t="s">
        <v>793</v>
      </c>
      <c r="F309" s="929" cm="1">
        <f t="array" ref="F309:M309">(GEN_HOGARES*INDEX(GEN_PORCENTAJE_HOGARES_POR_ZONA_CLIMATICA,CALIDO_HUMEDO,0)*(1-INDEX(GEN_HOGARES_URBANOS_NUEVOS,CALIDO_HUMEDO,0))*INDEX(ST_EXISTENTES_IMPLEMENTACION,CALIDO_HUMEDO,0)*INDEX(SF_TENENCIA,CALIDO_HUMEDO,0))*COSTOS_2019_US_dolares_MMCOP*INDEX(COSTOS_DE_CAPITAL_edif_res_urb_aer_ALTO,CALIDO_HUMEDO,0)</f>
        <v>0</v>
      </c>
      <c r="G309" s="929">
        <v>0</v>
      </c>
      <c r="H309" s="929">
        <v>0</v>
      </c>
      <c r="I309" s="929">
        <v>0</v>
      </c>
      <c r="J309" s="929">
        <v>0</v>
      </c>
      <c r="K309" s="929">
        <v>0</v>
      </c>
      <c r="L309" s="929">
        <v>0</v>
      </c>
      <c r="M309" s="929">
        <v>0</v>
      </c>
      <c r="N309" s="43"/>
    </row>
    <row r="310" spans="4:14" ht="15" customHeight="1">
      <c r="D310" s="25"/>
      <c r="E310" s="92" t="s">
        <v>1714</v>
      </c>
      <c r="F310" s="931" cm="1">
        <f t="array" ref="F310:M310">_xlfn.ANCHORARRAY(F306)+_xlfn.ANCHORARRAY(F307)+_xlfn.ANCHORARRAY(F308)+_xlfn.ANCHORARRAY(F309)</f>
        <v>0</v>
      </c>
      <c r="G310" s="931">
        <v>0</v>
      </c>
      <c r="H310" s="931">
        <v>0</v>
      </c>
      <c r="I310" s="931">
        <v>0</v>
      </c>
      <c r="J310" s="931">
        <v>0</v>
      </c>
      <c r="K310" s="931">
        <v>0</v>
      </c>
      <c r="L310" s="931">
        <v>0</v>
      </c>
      <c r="M310" s="931">
        <v>0</v>
      </c>
      <c r="N310" s="45"/>
    </row>
    <row r="311" spans="4:14" ht="15" customHeight="1">
      <c r="D311" s="25"/>
      <c r="E311" s="30"/>
      <c r="F311" s="449"/>
      <c r="G311" s="936"/>
      <c r="H311" s="98"/>
      <c r="I311" s="98"/>
      <c r="J311" s="98"/>
      <c r="K311" s="98"/>
      <c r="L311" s="98"/>
      <c r="M311" s="98"/>
      <c r="N311" s="45"/>
    </row>
    <row r="312" spans="4:14" ht="15" customHeight="1">
      <c r="D312" s="25"/>
      <c r="E312" s="41" t="s">
        <v>821</v>
      </c>
      <c r="F312" s="449"/>
      <c r="G312" s="449"/>
      <c r="H312" s="934"/>
      <c r="I312" s="935"/>
      <c r="J312" s="935"/>
      <c r="K312" s="935"/>
      <c r="L312" s="935"/>
      <c r="M312" s="935"/>
      <c r="N312" s="12"/>
    </row>
    <row r="313" spans="4:14" ht="15" customHeight="1">
      <c r="D313" s="25"/>
      <c r="E313" s="30"/>
      <c r="F313" s="449"/>
      <c r="G313" s="449"/>
      <c r="H313" s="934"/>
      <c r="I313" s="935"/>
      <c r="J313" s="935"/>
      <c r="K313" s="935"/>
      <c r="L313" s="935"/>
      <c r="M313" s="935"/>
      <c r="N313" s="12"/>
    </row>
    <row r="314" spans="4:14" ht="15" customHeight="1">
      <c r="D314" s="25"/>
      <c r="E314" s="26" t="s">
        <v>2095</v>
      </c>
      <c r="F314" s="368"/>
      <c r="G314" s="368"/>
      <c r="H314" s="368"/>
      <c r="I314" s="368"/>
      <c r="J314" s="368"/>
      <c r="K314" s="368"/>
      <c r="L314" s="368"/>
      <c r="M314" s="536" t="s">
        <v>803</v>
      </c>
      <c r="N314" s="12"/>
    </row>
    <row r="315" spans="4:14" ht="15" customHeight="1">
      <c r="D315" s="25"/>
      <c r="E315" s="28" t="s">
        <v>789</v>
      </c>
      <c r="F315" s="932">
        <v>2018</v>
      </c>
      <c r="G315" s="932">
        <v>2020</v>
      </c>
      <c r="H315" s="932">
        <v>2025</v>
      </c>
      <c r="I315" s="932">
        <v>2030</v>
      </c>
      <c r="J315" s="932">
        <v>2035</v>
      </c>
      <c r="K315" s="932">
        <v>2040</v>
      </c>
      <c r="L315" s="932">
        <v>2045</v>
      </c>
      <c r="M315" s="932">
        <v>2050</v>
      </c>
      <c r="N315" s="12"/>
    </row>
    <row r="316" spans="4:14" ht="15" customHeight="1">
      <c r="D316" s="25"/>
      <c r="E316" s="30" t="s">
        <v>795</v>
      </c>
      <c r="F316" s="933" cm="1">
        <f t="array" ref="F316:M316">(GEN_HOGARES*INDEX(GEN_PORCENTAJE_HOGARES_POR_ZONA_CLIMATICA,FRIO,0)*INDEX(GEN_HOGARES_URBANOS_NUEVOS,FRIO,0)*INDEX(ST_NUEVOS_IMPLEMENTACION,FRIO,0)*INDEX(SF_TENENCIA,FRIO,0))*COSTOS_2019_US_dolares_MMCOP*INDEX(COSTOS_DE_CAPITAL_edif_res_urb_aer_MEDIO,FRIO,0)</f>
        <v>0</v>
      </c>
      <c r="G316" s="933">
        <v>0</v>
      </c>
      <c r="H316" s="933">
        <v>0</v>
      </c>
      <c r="I316" s="933">
        <v>0</v>
      </c>
      <c r="J316" s="933">
        <v>0</v>
      </c>
      <c r="K316" s="933">
        <v>0</v>
      </c>
      <c r="L316" s="933">
        <v>0</v>
      </c>
      <c r="M316" s="933">
        <v>0</v>
      </c>
      <c r="N316" s="12"/>
    </row>
    <row r="317" spans="4:14" ht="15" customHeight="1">
      <c r="D317" s="25"/>
      <c r="E317" s="30" t="s">
        <v>791</v>
      </c>
      <c r="F317" s="933" cm="1">
        <f t="array" ref="F317:M317">(GEN_HOGARES*INDEX(GEN_PORCENTAJE_HOGARES_POR_ZONA_CLIMATICA,TEMPLADO,0)*INDEX(GEN_HOGARES_URBANOS_NUEVOS,TEMPLADO,0)*INDEX(ST_NUEVOS_IMPLEMENTACION,TEMPLADO,0)*INDEX(SF_TENENCIA,TEMPLADO,0))*COSTOS_2019_US_dolares_MMCOP*INDEX(COSTOS_DE_CAPITAL_edif_res_urb_aer_MEDIO,TEMPLADO,0)</f>
        <v>0</v>
      </c>
      <c r="G317" s="933">
        <v>0</v>
      </c>
      <c r="H317" s="933">
        <v>0</v>
      </c>
      <c r="I317" s="933">
        <v>0</v>
      </c>
      <c r="J317" s="933">
        <v>0</v>
      </c>
      <c r="K317" s="933">
        <v>0</v>
      </c>
      <c r="L317" s="933">
        <v>0</v>
      </c>
      <c r="M317" s="933">
        <v>0</v>
      </c>
      <c r="N317" s="12"/>
    </row>
    <row r="318" spans="4:14" ht="15" customHeight="1">
      <c r="D318" s="25"/>
      <c r="E318" s="30" t="s">
        <v>792</v>
      </c>
      <c r="F318" s="933" cm="1">
        <f t="array" ref="F318:M318">(GEN_HOGARES*INDEX(GEN_PORCENTAJE_HOGARES_POR_ZONA_CLIMATICA,CALIDO_SECO,0)*INDEX(GEN_HOGARES_URBANOS_NUEVOS,CALIDO_SECO,0)*INDEX(ST_NUEVOS_IMPLEMENTACION,CALIDO_SECO,0)*INDEX(SF_TENENCIA,CALIDO_SECO,0))*COSTOS_2019_US_dolares_MMCOP*INDEX(COSTOS_DE_CAPITAL_edif_res_urb_aer_MEDIO,CALIDO_SECO,0)</f>
        <v>0</v>
      </c>
      <c r="G318" s="933">
        <v>0</v>
      </c>
      <c r="H318" s="933">
        <v>0</v>
      </c>
      <c r="I318" s="933">
        <v>0</v>
      </c>
      <c r="J318" s="933">
        <v>0</v>
      </c>
      <c r="K318" s="933">
        <v>0</v>
      </c>
      <c r="L318" s="933">
        <v>0</v>
      </c>
      <c r="M318" s="933">
        <v>0</v>
      </c>
      <c r="N318" s="12"/>
    </row>
    <row r="319" spans="4:14" ht="15" customHeight="1">
      <c r="D319" s="25"/>
      <c r="E319" s="32" t="s">
        <v>793</v>
      </c>
      <c r="F319" s="929" cm="1">
        <f t="array" ref="F319:M319">(GEN_HOGARES*INDEX(GEN_PORCENTAJE_HOGARES_POR_ZONA_CLIMATICA,CALIDO_HUMEDO,0)*INDEX(GEN_HOGARES_URBANOS_NUEVOS,CALIDO_HUMEDO,0)*INDEX(ST_NUEVOS_IMPLEMENTACION,CALIDO_HUMEDO,0)*INDEX(SF_TENENCIA,CALIDO_HUMEDO,0))*COSTOS_2019_US_dolares_MMCOP*INDEX(COSTOS_DE_CAPITAL_edif_res_urb_aer_MEDIO,CALIDO_HUMEDO,0)</f>
        <v>0</v>
      </c>
      <c r="G319" s="929">
        <v>0</v>
      </c>
      <c r="H319" s="929">
        <v>0</v>
      </c>
      <c r="I319" s="929">
        <v>0</v>
      </c>
      <c r="J319" s="929">
        <v>0</v>
      </c>
      <c r="K319" s="929">
        <v>0</v>
      </c>
      <c r="L319" s="929">
        <v>0</v>
      </c>
      <c r="M319" s="929">
        <v>0</v>
      </c>
      <c r="N319" s="12"/>
    </row>
    <row r="320" spans="4:14" ht="15" customHeight="1">
      <c r="D320" s="25"/>
      <c r="E320" s="92" t="s">
        <v>1714</v>
      </c>
      <c r="F320" s="931" cm="1">
        <f t="array" ref="F320:M320">_xlfn.ANCHORARRAY(F316)+_xlfn.ANCHORARRAY(F317)+_xlfn.ANCHORARRAY(F318)+_xlfn.ANCHORARRAY(F319)</f>
        <v>0</v>
      </c>
      <c r="G320" s="931">
        <v>0</v>
      </c>
      <c r="H320" s="931">
        <v>0</v>
      </c>
      <c r="I320" s="931">
        <v>0</v>
      </c>
      <c r="J320" s="931">
        <v>0</v>
      </c>
      <c r="K320" s="931">
        <v>0</v>
      </c>
      <c r="L320" s="931">
        <v>0</v>
      </c>
      <c r="M320" s="931">
        <v>0</v>
      </c>
      <c r="N320" s="12"/>
    </row>
    <row r="321" spans="4:14" ht="15" customHeight="1">
      <c r="D321" s="13"/>
      <c r="E321" s="35"/>
      <c r="F321" s="937"/>
      <c r="G321" s="937"/>
      <c r="H321" s="937"/>
      <c r="I321" s="937"/>
      <c r="J321" s="937"/>
      <c r="K321" s="937"/>
      <c r="L321" s="937"/>
      <c r="M321" s="937"/>
      <c r="N321" s="12"/>
    </row>
    <row r="322" spans="4:14" ht="15" customHeight="1">
      <c r="D322" s="25"/>
      <c r="E322" s="26" t="s">
        <v>2096</v>
      </c>
      <c r="F322" s="368"/>
      <c r="G322" s="368"/>
      <c r="H322" s="368"/>
      <c r="I322" s="368"/>
      <c r="J322" s="368"/>
      <c r="K322" s="368"/>
      <c r="L322" s="368"/>
      <c r="M322" s="536" t="s">
        <v>803</v>
      </c>
      <c r="N322" s="12"/>
    </row>
    <row r="323" spans="4:14" ht="15" customHeight="1">
      <c r="D323" s="47"/>
      <c r="E323" s="28" t="s">
        <v>789</v>
      </c>
      <c r="F323" s="932">
        <v>2018</v>
      </c>
      <c r="G323" s="932">
        <v>2020</v>
      </c>
      <c r="H323" s="932">
        <v>2025</v>
      </c>
      <c r="I323" s="932">
        <v>2030</v>
      </c>
      <c r="J323" s="932">
        <v>2035</v>
      </c>
      <c r="K323" s="932">
        <v>2040</v>
      </c>
      <c r="L323" s="932">
        <v>2045</v>
      </c>
      <c r="M323" s="932">
        <v>2050</v>
      </c>
      <c r="N323" s="12"/>
    </row>
    <row r="324" spans="4:14" ht="15" customHeight="1">
      <c r="D324" s="25"/>
      <c r="E324" s="30" t="s">
        <v>795</v>
      </c>
      <c r="F324" s="933" cm="1">
        <f t="array" ref="F324:M324">(GEN_HOGARES*INDEX(GEN_PORCENTAJE_HOGARES_POR_ZONA_CLIMATICA,FRIO,0)*(1-INDEX(GEN_HOGARES_URBANOS_NUEVOS,FRIO,0))*INDEX(ST_EXISTENTES_IMPLEMENTACION,FRIO,0)*INDEX(SF_TENENCIA,FRIO,0))*COSTOS_2019_US_dolares_MMCOP*INDEX(COSTOS_DE_CAPITAL_edif_res_urb_aer_MEDIO,FRIO,0)</f>
        <v>0</v>
      </c>
      <c r="G324" s="933">
        <v>0</v>
      </c>
      <c r="H324" s="933">
        <v>0</v>
      </c>
      <c r="I324" s="933">
        <v>0</v>
      </c>
      <c r="J324" s="933">
        <v>0</v>
      </c>
      <c r="K324" s="933">
        <v>0</v>
      </c>
      <c r="L324" s="933">
        <v>0</v>
      </c>
      <c r="M324" s="933">
        <v>0</v>
      </c>
      <c r="N324" s="12"/>
    </row>
    <row r="325" spans="4:14" ht="15" customHeight="1">
      <c r="D325" s="25"/>
      <c r="E325" s="30" t="s">
        <v>791</v>
      </c>
      <c r="F325" s="933" cm="1">
        <f t="array" ref="F325:M325">(GEN_HOGARES*INDEX(GEN_PORCENTAJE_HOGARES_POR_ZONA_CLIMATICA,TEMPLADO,0)*(1-INDEX(GEN_HOGARES_URBANOS_NUEVOS,TEMPLADO,0))*INDEX(ST_EXISTENTES_IMPLEMENTACION,TEMPLADO,0)*INDEX(SF_TENENCIA,TEMPLADO,0))*COSTOS_2019_US_dolares_MMCOP*INDEX(COSTOS_DE_CAPITAL_edif_res_urb_aer_MEDIO,TEMPLADO,0)</f>
        <v>0</v>
      </c>
      <c r="G325" s="933">
        <v>0</v>
      </c>
      <c r="H325" s="933">
        <v>0</v>
      </c>
      <c r="I325" s="933">
        <v>0</v>
      </c>
      <c r="J325" s="933">
        <v>0</v>
      </c>
      <c r="K325" s="933">
        <v>0</v>
      </c>
      <c r="L325" s="933">
        <v>0</v>
      </c>
      <c r="M325" s="933">
        <v>0</v>
      </c>
      <c r="N325" s="12"/>
    </row>
    <row r="326" spans="4:14" ht="15" customHeight="1">
      <c r="D326" s="25"/>
      <c r="E326" s="30" t="s">
        <v>792</v>
      </c>
      <c r="F326" s="933" cm="1">
        <f t="array" ref="F326:M326">(GEN_HOGARES*INDEX(GEN_PORCENTAJE_HOGARES_POR_ZONA_CLIMATICA,CALIDO_SECO,0)*(1-INDEX(GEN_HOGARES_URBANOS_NUEVOS,CALIDO_SECO,0))*INDEX(ST_EXISTENTES_IMPLEMENTACION,CALIDO_SECO,0)*INDEX(SF_TENENCIA,CALIDO_SECO,0))*COSTOS_2019_US_dolares_MMCOP*INDEX(COSTOS_DE_CAPITAL_edif_res_urb_aer_MEDIO,CALIDO_SECO,0)</f>
        <v>0</v>
      </c>
      <c r="G326" s="933">
        <v>0</v>
      </c>
      <c r="H326" s="933">
        <v>0</v>
      </c>
      <c r="I326" s="933">
        <v>0</v>
      </c>
      <c r="J326" s="933">
        <v>0</v>
      </c>
      <c r="K326" s="933">
        <v>0</v>
      </c>
      <c r="L326" s="933">
        <v>0</v>
      </c>
      <c r="M326" s="933">
        <v>0</v>
      </c>
      <c r="N326" s="12"/>
    </row>
    <row r="327" spans="4:14" ht="15" customHeight="1">
      <c r="D327" s="25"/>
      <c r="E327" s="32" t="s">
        <v>793</v>
      </c>
      <c r="F327" s="929" cm="1">
        <f t="array" ref="F327:M327">(GEN_HOGARES*INDEX(GEN_PORCENTAJE_HOGARES_POR_ZONA_CLIMATICA,CALIDO_HUMEDO,0)*(1-INDEX(GEN_HOGARES_URBANOS_NUEVOS,CALIDO_HUMEDO,0))*INDEX(ST_EXISTENTES_IMPLEMENTACION,CALIDO_HUMEDO,0)*INDEX(SF_TENENCIA,CALIDO_HUMEDO,0))*COSTOS_2019_US_dolares_MMCOP*INDEX(COSTOS_DE_CAPITAL_edif_res_urb_aer_MEDIO,CALIDO_HUMEDO,0)</f>
        <v>0</v>
      </c>
      <c r="G327" s="929">
        <v>0</v>
      </c>
      <c r="H327" s="929">
        <v>0</v>
      </c>
      <c r="I327" s="929">
        <v>0</v>
      </c>
      <c r="J327" s="929">
        <v>0</v>
      </c>
      <c r="K327" s="929">
        <v>0</v>
      </c>
      <c r="L327" s="929">
        <v>0</v>
      </c>
      <c r="M327" s="929">
        <v>0</v>
      </c>
      <c r="N327" s="12"/>
    </row>
    <row r="328" spans="4:14" ht="15" customHeight="1">
      <c r="D328" s="25"/>
      <c r="E328" s="92" t="s">
        <v>1714</v>
      </c>
      <c r="F328" s="931" cm="1">
        <f t="array" ref="F328:M328">_xlfn.ANCHORARRAY(F324)+_xlfn.ANCHORARRAY(F325)+_xlfn.ANCHORARRAY(F326)+_xlfn.ANCHORARRAY(F327)</f>
        <v>0</v>
      </c>
      <c r="G328" s="931">
        <v>0</v>
      </c>
      <c r="H328" s="931">
        <v>0</v>
      </c>
      <c r="I328" s="931">
        <v>0</v>
      </c>
      <c r="J328" s="931">
        <v>0</v>
      </c>
      <c r="K328" s="931">
        <v>0</v>
      </c>
      <c r="L328" s="931">
        <v>0</v>
      </c>
      <c r="M328" s="931">
        <v>0</v>
      </c>
      <c r="N328" s="12"/>
    </row>
    <row r="329" spans="4:14" ht="15" customHeight="1">
      <c r="D329" s="25"/>
      <c r="E329" s="12"/>
      <c r="F329" s="447"/>
      <c r="G329" s="447"/>
      <c r="H329" s="447"/>
      <c r="I329" s="447"/>
      <c r="J329" s="447"/>
      <c r="K329" s="447"/>
      <c r="L329" s="447"/>
      <c r="M329" s="447"/>
      <c r="N329" s="12"/>
    </row>
    <row r="330" spans="4:14" ht="15" customHeight="1">
      <c r="D330" s="25"/>
      <c r="E330" s="41" t="s">
        <v>822</v>
      </c>
      <c r="F330" s="447"/>
      <c r="G330" s="447"/>
      <c r="H330" s="447"/>
      <c r="I330" s="447"/>
      <c r="J330" s="447"/>
      <c r="K330" s="447"/>
      <c r="L330" s="447"/>
      <c r="M330" s="447"/>
      <c r="N330" s="12"/>
    </row>
    <row r="331" spans="4:14" ht="15" customHeight="1">
      <c r="D331" s="25"/>
      <c r="E331" s="12"/>
      <c r="F331" s="447"/>
      <c r="G331" s="447"/>
      <c r="H331" s="447"/>
      <c r="I331" s="447"/>
      <c r="J331" s="447"/>
      <c r="K331" s="447"/>
      <c r="L331" s="447"/>
      <c r="M331" s="447"/>
      <c r="N331" s="12"/>
    </row>
    <row r="332" spans="4:14" ht="15" customHeight="1">
      <c r="D332" s="25"/>
      <c r="E332" s="26" t="s">
        <v>2095</v>
      </c>
      <c r="F332" s="368"/>
      <c r="G332" s="368"/>
      <c r="H332" s="368"/>
      <c r="I332" s="368"/>
      <c r="J332" s="368"/>
      <c r="K332" s="368"/>
      <c r="L332" s="368"/>
      <c r="M332" s="536" t="s">
        <v>803</v>
      </c>
      <c r="N332" s="12"/>
    </row>
    <row r="333" spans="4:14" ht="15" customHeight="1">
      <c r="D333" s="25"/>
      <c r="E333" s="28" t="s">
        <v>789</v>
      </c>
      <c r="F333" s="932">
        <v>2018</v>
      </c>
      <c r="G333" s="932">
        <v>2020</v>
      </c>
      <c r="H333" s="932">
        <v>2025</v>
      </c>
      <c r="I333" s="932">
        <v>2030</v>
      </c>
      <c r="J333" s="932">
        <v>2035</v>
      </c>
      <c r="K333" s="932">
        <v>2040</v>
      </c>
      <c r="L333" s="932">
        <v>2045</v>
      </c>
      <c r="M333" s="932">
        <v>2050</v>
      </c>
      <c r="N333" s="12"/>
    </row>
    <row r="334" spans="4:14" ht="15" customHeight="1">
      <c r="D334" s="25"/>
      <c r="E334" s="30" t="s">
        <v>795</v>
      </c>
      <c r="F334" s="933" cm="1">
        <f t="array" ref="F334:M334">(GEN_HOGARES*INDEX(GEN_PORCENTAJE_HOGARES_POR_ZONA_CLIMATICA,FRIO,0)*INDEX(GEN_HOGARES_URBANOS_NUEVOS,FRIO,0)*INDEX(ST_NUEVOS_IMPLEMENTACION,FRIO,0)*INDEX(SF_TENENCIA,FRIO,0))*COSTOS_2019_US_dolares_MMCOP*INDEX(COSTOS_DE_CAPITAL_edif_res_urb_aer_BAJO,FRIO,0)</f>
        <v>0</v>
      </c>
      <c r="G334" s="933">
        <v>0</v>
      </c>
      <c r="H334" s="933">
        <v>0</v>
      </c>
      <c r="I334" s="933">
        <v>0</v>
      </c>
      <c r="J334" s="933">
        <v>0</v>
      </c>
      <c r="K334" s="933">
        <v>0</v>
      </c>
      <c r="L334" s="933">
        <v>0</v>
      </c>
      <c r="M334" s="933">
        <v>0</v>
      </c>
      <c r="N334" s="12"/>
    </row>
    <row r="335" spans="4:14" ht="15" customHeight="1">
      <c r="D335" s="25"/>
      <c r="E335" s="30" t="s">
        <v>791</v>
      </c>
      <c r="F335" s="933" cm="1">
        <f t="array" ref="F335:M335">(GEN_HOGARES*INDEX(GEN_PORCENTAJE_HOGARES_POR_ZONA_CLIMATICA,TEMPLADO,0)*INDEX(GEN_HOGARES_URBANOS_NUEVOS,TEMPLADO,0)*INDEX(ST_NUEVOS_IMPLEMENTACION,TEMPLADO,0)*INDEX(SF_TENENCIA,TEMPLADO,0))*COSTOS_2019_US_dolares_MMCOP*INDEX(COSTOS_DE_CAPITAL_edif_res_urb_aer_BAJO,TEMPLADO,0)</f>
        <v>0</v>
      </c>
      <c r="G335" s="933">
        <v>0</v>
      </c>
      <c r="H335" s="933">
        <v>0</v>
      </c>
      <c r="I335" s="933">
        <v>0</v>
      </c>
      <c r="J335" s="933">
        <v>0</v>
      </c>
      <c r="K335" s="933">
        <v>0</v>
      </c>
      <c r="L335" s="933">
        <v>0</v>
      </c>
      <c r="M335" s="933">
        <v>0</v>
      </c>
      <c r="N335" s="12"/>
    </row>
    <row r="336" spans="4:14" ht="15" customHeight="1">
      <c r="D336" s="25"/>
      <c r="E336" s="30" t="s">
        <v>792</v>
      </c>
      <c r="F336" s="933" cm="1">
        <f t="array" ref="F336:M336">(GEN_HOGARES*INDEX(GEN_PORCENTAJE_HOGARES_POR_ZONA_CLIMATICA,CALIDO_SECO,0)*INDEX(GEN_HOGARES_URBANOS_NUEVOS,CALIDO_SECO,0)*INDEX(ST_NUEVOS_IMPLEMENTACION,CALIDO_SECO,0)*INDEX(SF_TENENCIA,CALIDO_SECO,0))*COSTOS_2019_US_dolares_MMCOP*INDEX(COSTOS_DE_CAPITAL_edif_res_urb_aer_BAJO,CALIDO_SECO,0)</f>
        <v>0</v>
      </c>
      <c r="G336" s="933">
        <v>0</v>
      </c>
      <c r="H336" s="933">
        <v>0</v>
      </c>
      <c r="I336" s="933">
        <v>0</v>
      </c>
      <c r="J336" s="933">
        <v>0</v>
      </c>
      <c r="K336" s="933">
        <v>0</v>
      </c>
      <c r="L336" s="933">
        <v>0</v>
      </c>
      <c r="M336" s="933">
        <v>0</v>
      </c>
      <c r="N336" s="12"/>
    </row>
    <row r="337" spans="4:14" ht="15" customHeight="1">
      <c r="D337" s="25"/>
      <c r="E337" s="32" t="s">
        <v>793</v>
      </c>
      <c r="F337" s="929" cm="1">
        <f t="array" ref="F337:M337">(GEN_HOGARES*INDEX(GEN_PORCENTAJE_HOGARES_POR_ZONA_CLIMATICA,CALIDO_HUMEDO,0)*INDEX(GEN_HOGARES_URBANOS_NUEVOS,CALIDO_HUMEDO,0)*INDEX(ST_NUEVOS_IMPLEMENTACION,CALIDO_HUMEDO,0)*INDEX(SF_TENENCIA,CALIDO_HUMEDO,0))*COSTOS_2019_US_dolares_MMCOP*INDEX(COSTOS_DE_CAPITAL_edif_res_urb_aer_BAJO,CALIDO_HUMEDO,0)</f>
        <v>0</v>
      </c>
      <c r="G337" s="929">
        <v>0</v>
      </c>
      <c r="H337" s="929">
        <v>0</v>
      </c>
      <c r="I337" s="929">
        <v>0</v>
      </c>
      <c r="J337" s="929">
        <v>0</v>
      </c>
      <c r="K337" s="929">
        <v>0</v>
      </c>
      <c r="L337" s="929">
        <v>0</v>
      </c>
      <c r="M337" s="929">
        <v>0</v>
      </c>
      <c r="N337" s="12"/>
    </row>
    <row r="338" spans="4:14" ht="15" customHeight="1">
      <c r="D338" s="25"/>
      <c r="E338" s="92" t="s">
        <v>1714</v>
      </c>
      <c r="F338" s="931" cm="1">
        <f t="array" ref="F338:M338">_xlfn.ANCHORARRAY(F334)+_xlfn.ANCHORARRAY(F335)+_xlfn.ANCHORARRAY(F336)+_xlfn.ANCHORARRAY(F337)</f>
        <v>0</v>
      </c>
      <c r="G338" s="931">
        <v>0</v>
      </c>
      <c r="H338" s="931">
        <v>0</v>
      </c>
      <c r="I338" s="931">
        <v>0</v>
      </c>
      <c r="J338" s="931">
        <v>0</v>
      </c>
      <c r="K338" s="931">
        <v>0</v>
      </c>
      <c r="L338" s="931">
        <v>0</v>
      </c>
      <c r="M338" s="931">
        <v>0</v>
      </c>
      <c r="N338" s="12"/>
    </row>
    <row r="339" spans="4:14" ht="15" customHeight="1">
      <c r="D339" s="25"/>
      <c r="E339" s="12"/>
      <c r="F339" s="447"/>
      <c r="G339" s="447"/>
      <c r="H339" s="447"/>
      <c r="I339" s="447"/>
      <c r="J339" s="447"/>
      <c r="K339" s="447"/>
      <c r="L339" s="447"/>
      <c r="M339" s="447"/>
      <c r="N339" s="12"/>
    </row>
    <row r="340" spans="4:14" ht="15" customHeight="1">
      <c r="D340" s="25"/>
      <c r="E340" s="26" t="s">
        <v>2096</v>
      </c>
      <c r="F340" s="368"/>
      <c r="G340" s="368"/>
      <c r="H340" s="368"/>
      <c r="I340" s="368"/>
      <c r="J340" s="368"/>
      <c r="K340" s="368"/>
      <c r="L340" s="368"/>
      <c r="M340" s="536" t="s">
        <v>803</v>
      </c>
      <c r="N340" s="12"/>
    </row>
    <row r="341" spans="4:14" ht="15" customHeight="1">
      <c r="D341" s="25"/>
      <c r="E341" s="28" t="s">
        <v>789</v>
      </c>
      <c r="F341" s="932">
        <v>2018</v>
      </c>
      <c r="G341" s="932">
        <v>2020</v>
      </c>
      <c r="H341" s="932">
        <v>2025</v>
      </c>
      <c r="I341" s="932">
        <v>2030</v>
      </c>
      <c r="J341" s="932">
        <v>2035</v>
      </c>
      <c r="K341" s="932">
        <v>2040</v>
      </c>
      <c r="L341" s="932">
        <v>2045</v>
      </c>
      <c r="M341" s="932">
        <v>2050</v>
      </c>
      <c r="N341" s="12"/>
    </row>
    <row r="342" spans="4:14" ht="15" customHeight="1">
      <c r="D342" s="25"/>
      <c r="E342" s="30" t="s">
        <v>795</v>
      </c>
      <c r="F342" s="933" cm="1">
        <f t="array" ref="F342:M342">(GEN_HOGARES*INDEX(GEN_PORCENTAJE_HOGARES_POR_ZONA_CLIMATICA,FRIO,0)*(1-INDEX(GEN_HOGARES_URBANOS_NUEVOS,FRIO,0))*INDEX(ST_EXISTENTES_IMPLEMENTACION,FRIO,0)*INDEX(SF_TENENCIA,FRIO,0))*COSTOS_2019_US_dolares_MMCOP*INDEX(COSTOS_DE_CAPITAL_edif_res_urb_aer_BAJO,FRIO,0)</f>
        <v>0</v>
      </c>
      <c r="G342" s="2131">
        <v>0</v>
      </c>
      <c r="H342" s="933">
        <v>0</v>
      </c>
      <c r="I342" s="933">
        <v>0</v>
      </c>
      <c r="J342" s="933">
        <v>0</v>
      </c>
      <c r="K342" s="933">
        <v>0</v>
      </c>
      <c r="L342" s="933">
        <v>0</v>
      </c>
      <c r="M342" s="933">
        <v>0</v>
      </c>
      <c r="N342" s="12"/>
    </row>
    <row r="343" spans="4:14" ht="15" customHeight="1">
      <c r="D343" s="45"/>
      <c r="E343" s="30" t="s">
        <v>791</v>
      </c>
      <c r="F343" s="933" cm="1">
        <f t="array" ref="F343:M343">(GEN_HOGARES*INDEX(GEN_PORCENTAJE_HOGARES_POR_ZONA_CLIMATICA,TEMPLADO,0)*(1-INDEX(GEN_HOGARES_URBANOS_NUEVOS,TEMPLADO,0))*INDEX(ST_EXISTENTES_IMPLEMENTACION,TEMPLADO,0)*INDEX(SF_TENENCIA,TEMPLADO,0))*COSTOS_2019_US_dolares_MMCOP*INDEX(COSTOS_DE_CAPITAL_edif_res_urb_aer_BAJO,TEMPLADO,0)</f>
        <v>0</v>
      </c>
      <c r="G343" s="933">
        <v>0</v>
      </c>
      <c r="H343" s="933">
        <v>0</v>
      </c>
      <c r="I343" s="933">
        <v>0</v>
      </c>
      <c r="J343" s="933">
        <v>0</v>
      </c>
      <c r="K343" s="933">
        <v>0</v>
      </c>
      <c r="L343" s="933">
        <v>0</v>
      </c>
      <c r="M343" s="933">
        <v>0</v>
      </c>
      <c r="N343" s="12"/>
    </row>
    <row r="344" spans="4:14" ht="15" customHeight="1">
      <c r="D344" s="13"/>
      <c r="E344" s="30" t="s">
        <v>792</v>
      </c>
      <c r="F344" s="933" cm="1">
        <f t="array" ref="F344:M344">(GEN_HOGARES*INDEX(GEN_PORCENTAJE_HOGARES_POR_ZONA_CLIMATICA,CALIDO_SECO,0)*(1-INDEX(GEN_HOGARES_URBANOS_NUEVOS,CALIDO_SECO,0))*INDEX(ST_EXISTENTES_IMPLEMENTACION,CALIDO_SECO,0)*INDEX(SF_TENENCIA,CALIDO_SECO,0))*COSTOS_2019_US_dolares_MMCOP*INDEX(COSTOS_DE_CAPITAL_edif_res_urb_aer_BAJO,CALIDO_SECO,0)</f>
        <v>0</v>
      </c>
      <c r="G344" s="933">
        <v>0</v>
      </c>
      <c r="H344" s="933">
        <v>0</v>
      </c>
      <c r="I344" s="933">
        <v>0</v>
      </c>
      <c r="J344" s="933">
        <v>0</v>
      </c>
      <c r="K344" s="933">
        <v>0</v>
      </c>
      <c r="L344" s="933">
        <v>0</v>
      </c>
      <c r="M344" s="933">
        <v>0</v>
      </c>
      <c r="N344" s="45"/>
    </row>
    <row r="345" spans="4:14" ht="15" customHeight="1">
      <c r="D345" s="13"/>
      <c r="E345" s="32" t="s">
        <v>793</v>
      </c>
      <c r="F345" s="929" cm="1">
        <f t="array" ref="F345:M345">(GEN_HOGARES*INDEX(GEN_PORCENTAJE_HOGARES_POR_ZONA_CLIMATICA,CALIDO_HUMEDO,0)*(1-INDEX(GEN_HOGARES_URBANOS_NUEVOS,CALIDO_HUMEDO,0))*INDEX(ST_EXISTENTES_IMPLEMENTACION,CALIDO_HUMEDO,0)*INDEX(SF_TENENCIA,CALIDO_HUMEDO,0))*COSTOS_2019_US_dolares_MMCOP*INDEX(COSTOS_DE_CAPITAL_edif_res_urb_aer_BAJO,CALIDO_HUMEDO,0)</f>
        <v>0</v>
      </c>
      <c r="G345" s="929">
        <v>0</v>
      </c>
      <c r="H345" s="929">
        <v>0</v>
      </c>
      <c r="I345" s="929">
        <v>0</v>
      </c>
      <c r="J345" s="929">
        <v>0</v>
      </c>
      <c r="K345" s="929">
        <v>0</v>
      </c>
      <c r="L345" s="929">
        <v>0</v>
      </c>
      <c r="M345" s="929">
        <v>0</v>
      </c>
      <c r="N345" s="37"/>
    </row>
    <row r="346" spans="4:14" ht="15" customHeight="1">
      <c r="D346" s="13"/>
      <c r="E346" s="92" t="s">
        <v>1714</v>
      </c>
      <c r="F346" s="931" cm="1">
        <f t="array" ref="F346:M346">_xlfn.ANCHORARRAY(F342)+_xlfn.ANCHORARRAY(F343)+_xlfn.ANCHORARRAY(F344)+_xlfn.ANCHORARRAY(F345)</f>
        <v>0</v>
      </c>
      <c r="G346" s="931">
        <v>0</v>
      </c>
      <c r="H346" s="931">
        <v>0</v>
      </c>
      <c r="I346" s="931">
        <v>0</v>
      </c>
      <c r="J346" s="931">
        <v>0</v>
      </c>
      <c r="K346" s="931">
        <v>0</v>
      </c>
      <c r="L346" s="931">
        <v>0</v>
      </c>
      <c r="M346" s="931">
        <v>0</v>
      </c>
      <c r="N346" s="37"/>
    </row>
    <row r="347" spans="4:14" ht="15" customHeight="1">
      <c r="D347" s="13"/>
      <c r="E347" s="45"/>
      <c r="F347" s="935"/>
      <c r="G347" s="935"/>
      <c r="H347" s="935"/>
      <c r="I347" s="935"/>
      <c r="J347" s="935"/>
      <c r="K347" s="935"/>
      <c r="L347" s="935"/>
      <c r="M347" s="935"/>
      <c r="N347" s="12"/>
    </row>
    <row r="348" spans="4:14" ht="15" customHeight="1">
      <c r="D348" s="13"/>
      <c r="E348" s="14" t="s">
        <v>2102</v>
      </c>
      <c r="F348" s="938"/>
      <c r="G348" s="938"/>
      <c r="H348" s="938"/>
      <c r="I348" s="938"/>
      <c r="J348" s="938"/>
      <c r="K348" s="938"/>
      <c r="L348" s="938"/>
      <c r="M348" s="938"/>
      <c r="N348" s="20"/>
    </row>
    <row r="349" spans="4:14" ht="15" customHeight="1">
      <c r="D349" s="13"/>
      <c r="E349" s="12"/>
      <c r="F349" s="447"/>
      <c r="G349" s="447"/>
      <c r="H349" s="447"/>
      <c r="I349" s="447"/>
      <c r="J349" s="447"/>
      <c r="K349" s="447"/>
      <c r="L349" s="447"/>
      <c r="M349" s="447"/>
      <c r="N349" s="20"/>
    </row>
    <row r="350" spans="4:14" ht="15" customHeight="1">
      <c r="D350" s="13"/>
      <c r="E350" s="41" t="s">
        <v>820</v>
      </c>
      <c r="F350" s="368"/>
      <c r="G350" s="368"/>
      <c r="H350" s="368"/>
      <c r="I350" s="368"/>
      <c r="J350" s="368"/>
      <c r="K350" s="368"/>
      <c r="L350" s="368"/>
      <c r="M350" s="368"/>
      <c r="N350" s="12"/>
    </row>
    <row r="351" spans="4:14" ht="15" customHeight="1">
      <c r="D351" s="13"/>
      <c r="E351" s="20"/>
      <c r="F351" s="368"/>
      <c r="G351" s="368"/>
      <c r="H351" s="368"/>
      <c r="I351" s="368"/>
      <c r="J351" s="368"/>
      <c r="K351" s="368"/>
      <c r="L351" s="368"/>
      <c r="M351" s="368"/>
      <c r="N351" s="12"/>
    </row>
    <row r="352" spans="4:14" ht="15" customHeight="1">
      <c r="D352" s="13"/>
      <c r="E352" s="26" t="s">
        <v>2095</v>
      </c>
      <c r="F352" s="368"/>
      <c r="G352" s="368"/>
      <c r="H352" s="368"/>
      <c r="I352" s="368"/>
      <c r="J352" s="368"/>
      <c r="K352" s="368"/>
      <c r="L352" s="368"/>
      <c r="M352" s="536" t="s">
        <v>803</v>
      </c>
      <c r="N352" s="12"/>
    </row>
    <row r="353" spans="4:14" ht="15" customHeight="1">
      <c r="D353" s="13"/>
      <c r="E353" s="28" t="s">
        <v>789</v>
      </c>
      <c r="F353" s="932">
        <v>2018</v>
      </c>
      <c r="G353" s="932">
        <v>2020</v>
      </c>
      <c r="H353" s="932">
        <v>2025</v>
      </c>
      <c r="I353" s="932">
        <v>2030</v>
      </c>
      <c r="J353" s="932">
        <v>2035</v>
      </c>
      <c r="K353" s="932">
        <v>2040</v>
      </c>
      <c r="L353" s="932">
        <v>2045</v>
      </c>
      <c r="M353" s="932">
        <v>2050</v>
      </c>
      <c r="N353" s="12"/>
    </row>
    <row r="354" spans="4:14" ht="15" customHeight="1">
      <c r="D354" s="13"/>
      <c r="E354" s="30" t="s">
        <v>795</v>
      </c>
      <c r="F354" s="2793" cm="1">
        <f t="array" ref="F354:M354">((1-INDEX(ST_NUEVOS_IMPLEMENTACION,FRIO,0))*INDEX(ST_NUEVOS_EQUIPOS_ALTA_EFIC,FRIO,0)*GEN_HOGARES*INDEX(GEN_HOGARES_URBANOS_NUEVOS,FRIO,0))*INDEX(SF_TENENCIA,FRIO,0)*INDEX(COSTOS_DE_CAPITAL_edif_res_urb_aer_ALTO,FRIO,0)*COSTOS_2019_US_dolares_MMCOP</f>
        <v>0</v>
      </c>
      <c r="G354" s="933">
        <v>0</v>
      </c>
      <c r="H354" s="933">
        <v>0</v>
      </c>
      <c r="I354" s="933">
        <v>0</v>
      </c>
      <c r="J354" s="933">
        <v>0</v>
      </c>
      <c r="K354" s="933">
        <v>0</v>
      </c>
      <c r="L354" s="933">
        <v>0</v>
      </c>
      <c r="M354" s="933">
        <v>0</v>
      </c>
      <c r="N354" s="12"/>
    </row>
    <row r="355" spans="4:14" ht="15" customHeight="1">
      <c r="D355" s="13"/>
      <c r="E355" s="30" t="s">
        <v>791</v>
      </c>
      <c r="F355" s="928" cm="1">
        <f t="array" ref="F355:M355">((1-INDEX(ST_NUEVOS_IMPLEMENTACION,TEMPLADO,0))*INDEX(ST_NUEVOS_EQUIPOS_ALTA_EFIC,TEMPLADO,0)*GEN_HOGARES*INDEX(GEN_HOGARES_URBANOS_NUEVOS,TEMPLADO,0))*INDEX(SF_TENENCIA,TEMPLADO,0)*INDEX(COSTOS_DE_CAPITAL_edif_res_urb_aer_ALTO,TEMPLADO,0)*COSTOS_2019_US_dolares_MMCOP</f>
        <v>0</v>
      </c>
      <c r="G355" s="933">
        <v>0</v>
      </c>
      <c r="H355" s="933">
        <v>0</v>
      </c>
      <c r="I355" s="933">
        <v>0</v>
      </c>
      <c r="J355" s="933">
        <v>0</v>
      </c>
      <c r="K355" s="933">
        <v>0</v>
      </c>
      <c r="L355" s="933">
        <v>0</v>
      </c>
      <c r="M355" s="933">
        <v>0</v>
      </c>
      <c r="N355" s="12"/>
    </row>
    <row r="356" spans="4:14" ht="15" customHeight="1">
      <c r="D356" s="13"/>
      <c r="E356" s="30" t="s">
        <v>792</v>
      </c>
      <c r="F356" s="928" cm="1">
        <f t="array" ref="F356:M356">((1-INDEX(ST_NUEVOS_IMPLEMENTACION,CALIDO_SECO,0))*INDEX(ST_NUEVOS_EQUIPOS_ALTA_EFIC,CALIDO_SECO,0)*GEN_HOGARES*INDEX(GEN_HOGARES_URBANOS_NUEVOS,CALIDO_SECO,0))*INDEX(SF_TENENCIA,CALIDO_SECO,0)*INDEX(COSTOS_DE_CAPITAL_edif_res_urb_aer_ALTO,CALIDO_SECO,0)*COSTOS_2019_US_dolares_MMCOP</f>
        <v>0</v>
      </c>
      <c r="G356" s="933">
        <v>0</v>
      </c>
      <c r="H356" s="933">
        <v>0</v>
      </c>
      <c r="I356" s="933">
        <v>0</v>
      </c>
      <c r="J356" s="933">
        <v>0</v>
      </c>
      <c r="K356" s="933">
        <v>0</v>
      </c>
      <c r="L356" s="933">
        <v>0</v>
      </c>
      <c r="M356" s="933">
        <v>0</v>
      </c>
      <c r="N356" s="12"/>
    </row>
    <row r="357" spans="4:14" ht="15" customHeight="1">
      <c r="D357" s="13"/>
      <c r="E357" s="32" t="s">
        <v>793</v>
      </c>
      <c r="F357" s="929" cm="1">
        <f t="array" ref="F357:M357">((1-INDEX(ST_NUEVOS_IMPLEMENTACION,CALIDO_HUMEDO,0))*INDEX(ST_NUEVOS_EQUIPOS_ALTA_EFIC,CALIDO_HUMEDO,0)*GEN_HOGARES*INDEX(GEN_HOGARES_URBANOS_NUEVOS,CALIDO_HUMEDO,0))*INDEX(SF_TENENCIA,CALIDO_HUMEDO,0)*INDEX(COSTOS_DE_CAPITAL_edif_res_urb_aer_ALTO,CALIDO_HUMEDO,0)*COSTOS_2019_US_dolares_MMCOP</f>
        <v>0</v>
      </c>
      <c r="G357" s="929">
        <v>0</v>
      </c>
      <c r="H357" s="929">
        <v>0</v>
      </c>
      <c r="I357" s="929">
        <v>0</v>
      </c>
      <c r="J357" s="929">
        <v>0</v>
      </c>
      <c r="K357" s="929">
        <v>0</v>
      </c>
      <c r="L357" s="929">
        <v>0</v>
      </c>
      <c r="M357" s="929">
        <v>0</v>
      </c>
      <c r="N357" s="12"/>
    </row>
    <row r="358" spans="4:14" ht="15" customHeight="1">
      <c r="D358" s="13"/>
      <c r="E358" s="92" t="s">
        <v>1714</v>
      </c>
      <c r="F358" s="931" cm="1">
        <f t="array" ref="F358:M358">_xlfn.ANCHORARRAY(F354)+_xlfn.ANCHORARRAY(F355)+_xlfn.ANCHORARRAY(F356)+_xlfn.ANCHORARRAY(F357)</f>
        <v>0</v>
      </c>
      <c r="G358" s="931">
        <v>0</v>
      </c>
      <c r="H358" s="931">
        <v>0</v>
      </c>
      <c r="I358" s="931">
        <v>0</v>
      </c>
      <c r="J358" s="931">
        <v>0</v>
      </c>
      <c r="K358" s="931">
        <v>0</v>
      </c>
      <c r="L358" s="931">
        <v>0</v>
      </c>
      <c r="M358" s="931">
        <v>0</v>
      </c>
      <c r="N358" s="12"/>
    </row>
    <row r="359" spans="4:14" ht="15" customHeight="1">
      <c r="D359" s="13"/>
      <c r="E359" s="36"/>
      <c r="F359" s="934"/>
      <c r="G359" s="935"/>
      <c r="H359" s="935"/>
      <c r="I359" s="935"/>
      <c r="J359" s="935"/>
      <c r="K359" s="935"/>
      <c r="L359" s="935"/>
      <c r="M359" s="935"/>
      <c r="N359" s="12"/>
    </row>
    <row r="360" spans="4:14" ht="15" customHeight="1">
      <c r="D360" s="13"/>
      <c r="E360" s="26" t="s">
        <v>2096</v>
      </c>
      <c r="F360" s="368"/>
      <c r="G360" s="368"/>
      <c r="H360" s="368"/>
      <c r="I360" s="368"/>
      <c r="J360" s="368"/>
      <c r="K360" s="368"/>
      <c r="L360" s="368"/>
      <c r="M360" s="536" t="s">
        <v>803</v>
      </c>
      <c r="N360" s="12"/>
    </row>
    <row r="361" spans="4:14" ht="15" customHeight="1">
      <c r="D361" s="13"/>
      <c r="E361" s="28" t="s">
        <v>789</v>
      </c>
      <c r="F361" s="932">
        <v>2018</v>
      </c>
      <c r="G361" s="932">
        <v>2020</v>
      </c>
      <c r="H361" s="932">
        <v>2025</v>
      </c>
      <c r="I361" s="932">
        <v>2030</v>
      </c>
      <c r="J361" s="932">
        <v>2035</v>
      </c>
      <c r="K361" s="932">
        <v>2040</v>
      </c>
      <c r="L361" s="932">
        <v>2045</v>
      </c>
      <c r="M361" s="932">
        <v>2050</v>
      </c>
      <c r="N361" s="12"/>
    </row>
    <row r="362" spans="4:14" ht="15" customHeight="1">
      <c r="D362" s="13"/>
      <c r="E362" s="30" t="s">
        <v>795</v>
      </c>
      <c r="F362" s="927" cm="1">
        <f t="array" ref="F362:M362">((1-INDEX(ST_EXISTENTES_IMPLEMENTACION,FRIO,0))*INDEX(ST_EXISTENTES_EQUIPOS_ALTA_EFIC,FRIO,0)*GEN_HOGARES*INDEX(GEN_HOGARES_URBANOS_NUEVOS,FRIO,0)*INDEX(SF_TENENCIA,FRIO,0))*INDEX(COSTOS_DE_CAPITAL_edif_res_urb_aer_ALTO,FRIO,0)*COSTOS_2019_US_dolares_MMCOP</f>
        <v>0</v>
      </c>
      <c r="G362" s="933">
        <v>0</v>
      </c>
      <c r="H362" s="933">
        <v>0</v>
      </c>
      <c r="I362" s="933">
        <v>0</v>
      </c>
      <c r="J362" s="933">
        <v>0</v>
      </c>
      <c r="K362" s="933">
        <v>0</v>
      </c>
      <c r="L362" s="933">
        <v>0</v>
      </c>
      <c r="M362" s="933">
        <v>0</v>
      </c>
      <c r="N362" s="12"/>
    </row>
    <row r="363" spans="4:14" ht="15" customHeight="1">
      <c r="D363" s="13"/>
      <c r="E363" s="30" t="s">
        <v>791</v>
      </c>
      <c r="F363" s="928" cm="1">
        <f t="array" ref="F363:M363">((1-INDEX(ST_EXISTENTES_IMPLEMENTACION,TEMPLADO,0))*INDEX(ST_EXISTENTES_EQUIPOS_ALTA_EFIC,TEMPLADO,0)*GEN_HOGARES*INDEX(GEN_HOGARES_URBANOS_NUEVOS,TEMPLADO,0)*INDEX(SF_TENENCIA,TEMPLADO,0))*INDEX(COSTOS_DE_CAPITAL_edif_res_urb_aer_ALTO,TEMPLADO,0)*COSTOS_2019_US_dolares_MMCOP</f>
        <v>0</v>
      </c>
      <c r="G363" s="933">
        <v>0</v>
      </c>
      <c r="H363" s="933">
        <v>0</v>
      </c>
      <c r="I363" s="933">
        <v>0</v>
      </c>
      <c r="J363" s="933">
        <v>0</v>
      </c>
      <c r="K363" s="933">
        <v>0</v>
      </c>
      <c r="L363" s="933">
        <v>0</v>
      </c>
      <c r="M363" s="933">
        <v>0</v>
      </c>
      <c r="N363" s="12"/>
    </row>
    <row r="364" spans="4:14" ht="15" customHeight="1">
      <c r="D364" s="13"/>
      <c r="E364" s="30" t="s">
        <v>792</v>
      </c>
      <c r="F364" s="928" cm="1">
        <f t="array" ref="F364:M364">((1-INDEX(ST_EXISTENTES_IMPLEMENTACION,CALIDO_SECO,0))*INDEX(ST_EXISTENTES_EQUIPOS_ALTA_EFIC,CALIDO_SECO,0)*GEN_HOGARES*INDEX(GEN_HOGARES_URBANOS_NUEVOS,CALIDO_SECO,0)*INDEX(SF_TENENCIA,CALIDO_SECO,0))*INDEX(COSTOS_DE_CAPITAL_edif_res_urb_aer_ALTO,CALIDO_SECO,0)*COSTOS_2019_US_dolares_MMCOP</f>
        <v>0</v>
      </c>
      <c r="G364" s="933">
        <v>0</v>
      </c>
      <c r="H364" s="933">
        <v>0</v>
      </c>
      <c r="I364" s="933">
        <v>0</v>
      </c>
      <c r="J364" s="933">
        <v>0</v>
      </c>
      <c r="K364" s="933">
        <v>0</v>
      </c>
      <c r="L364" s="933">
        <v>0</v>
      </c>
      <c r="M364" s="933">
        <v>0</v>
      </c>
      <c r="N364" s="12"/>
    </row>
    <row r="365" spans="4:14" ht="15" customHeight="1">
      <c r="D365" s="13"/>
      <c r="E365" s="32" t="s">
        <v>793</v>
      </c>
      <c r="F365" s="929" cm="1">
        <f t="array" ref="F365:M365">((1-INDEX(ST_EXISTENTES_IMPLEMENTACION,CALIDO_HUMEDO,0))*INDEX(ST_EXISTENTES_EQUIPOS_ALTA_EFIC,CALIDO_HUMEDO,0)*GEN_HOGARES*INDEX(GEN_HOGARES_URBANOS_NUEVOS,CALIDO_HUMEDO,0)*INDEX(SF_TENENCIA,CALIDO_HUMEDO,0))*INDEX(COSTOS_DE_CAPITAL_edif_res_urb_aer_ALTO,CALIDO_HUMEDO,0)*COSTOS_2019_US_dolares_MMCOP</f>
        <v>0</v>
      </c>
      <c r="G365" s="929">
        <v>0</v>
      </c>
      <c r="H365" s="929">
        <v>0</v>
      </c>
      <c r="I365" s="929">
        <v>0</v>
      </c>
      <c r="J365" s="929">
        <v>0</v>
      </c>
      <c r="K365" s="929">
        <v>0</v>
      </c>
      <c r="L365" s="929">
        <v>0</v>
      </c>
      <c r="M365" s="929">
        <v>0</v>
      </c>
      <c r="N365" s="12"/>
    </row>
    <row r="366" spans="4:14" ht="15" customHeight="1">
      <c r="D366" s="13"/>
      <c r="E366" s="92" t="s">
        <v>1714</v>
      </c>
      <c r="F366" s="931" cm="1">
        <f t="array" ref="F366:M366">_xlfn.ANCHORARRAY(F362)+_xlfn.ANCHORARRAY(F363)+_xlfn.ANCHORARRAY(F364)+_xlfn.ANCHORARRAY(F365)</f>
        <v>0</v>
      </c>
      <c r="G366" s="931">
        <v>0</v>
      </c>
      <c r="H366" s="931">
        <v>0</v>
      </c>
      <c r="I366" s="931">
        <v>0</v>
      </c>
      <c r="J366" s="931">
        <v>0</v>
      </c>
      <c r="K366" s="931">
        <v>0</v>
      </c>
      <c r="L366" s="931">
        <v>0</v>
      </c>
      <c r="M366" s="931">
        <v>0</v>
      </c>
      <c r="N366" s="12"/>
    </row>
    <row r="367" spans="4:14" ht="15" customHeight="1">
      <c r="D367" s="13"/>
      <c r="E367" s="12"/>
      <c r="F367" s="447"/>
      <c r="G367" s="447"/>
      <c r="H367" s="447"/>
      <c r="I367" s="447"/>
      <c r="J367" s="447"/>
      <c r="K367" s="447"/>
      <c r="L367" s="447"/>
      <c r="M367" s="447"/>
      <c r="N367" s="12"/>
    </row>
    <row r="368" spans="4:14" ht="15" customHeight="1">
      <c r="D368" s="13"/>
      <c r="E368" s="41" t="s">
        <v>821</v>
      </c>
      <c r="F368" s="934"/>
      <c r="G368" s="935"/>
      <c r="H368" s="935"/>
      <c r="I368" s="935"/>
      <c r="J368" s="935"/>
      <c r="K368" s="935"/>
      <c r="L368" s="935"/>
      <c r="M368" s="935"/>
      <c r="N368" s="12"/>
    </row>
    <row r="369" spans="4:14" ht="15" customHeight="1">
      <c r="D369" s="13"/>
      <c r="E369" s="30"/>
      <c r="F369" s="934"/>
      <c r="G369" s="935"/>
      <c r="H369" s="935"/>
      <c r="I369" s="935"/>
      <c r="J369" s="935"/>
      <c r="K369" s="935"/>
      <c r="L369" s="935"/>
      <c r="M369" s="935"/>
      <c r="N369" s="12"/>
    </row>
    <row r="370" spans="4:14" ht="15" customHeight="1">
      <c r="D370" s="13"/>
      <c r="E370" s="26" t="s">
        <v>2095</v>
      </c>
      <c r="F370" s="368"/>
      <c r="G370" s="368"/>
      <c r="H370" s="368"/>
      <c r="I370" s="368"/>
      <c r="J370" s="368"/>
      <c r="K370" s="368"/>
      <c r="L370" s="368"/>
      <c r="M370" s="536" t="s">
        <v>803</v>
      </c>
      <c r="N370" s="12"/>
    </row>
    <row r="371" spans="4:14" ht="15" customHeight="1">
      <c r="D371" s="13"/>
      <c r="E371" s="28" t="s">
        <v>789</v>
      </c>
      <c r="F371" s="932">
        <v>2018</v>
      </c>
      <c r="G371" s="932">
        <v>2020</v>
      </c>
      <c r="H371" s="932">
        <v>2025</v>
      </c>
      <c r="I371" s="932">
        <v>2030</v>
      </c>
      <c r="J371" s="932">
        <v>2035</v>
      </c>
      <c r="K371" s="932">
        <v>2040</v>
      </c>
      <c r="L371" s="932">
        <v>2045</v>
      </c>
      <c r="M371" s="932">
        <v>2050</v>
      </c>
      <c r="N371" s="12"/>
    </row>
    <row r="372" spans="4:14" ht="15" customHeight="1">
      <c r="D372" s="13"/>
      <c r="E372" s="30" t="s">
        <v>795</v>
      </c>
      <c r="F372" s="927" cm="1">
        <f t="array" ref="F372:M372">((1-INDEX(ST_NUEVOS_IMPLEMENTACION,FRIO,0))*INDEX(ST_NUEVOS_EQUIPOS_ALTA_EFIC,FRIO,0)*GEN_HOGARES*INDEX(GEN_HOGARES_URBANOS_NUEVOS,FRIO,0))*INDEX(SF_TENENCIA,FRIO,0)*INDEX(COSTOS_DE_CAPITAL_edif_res_urb_aer_MEDIO,FRIO,0)*COSTOS_2019_US_dolares_MMCOP</f>
        <v>0</v>
      </c>
      <c r="G372" s="933">
        <v>0</v>
      </c>
      <c r="H372" s="933">
        <v>0</v>
      </c>
      <c r="I372" s="933">
        <v>0</v>
      </c>
      <c r="J372" s="933">
        <v>0</v>
      </c>
      <c r="K372" s="933">
        <v>0</v>
      </c>
      <c r="L372" s="933">
        <v>0</v>
      </c>
      <c r="M372" s="933">
        <v>0</v>
      </c>
      <c r="N372" s="12"/>
    </row>
    <row r="373" spans="4:14" ht="15" customHeight="1">
      <c r="D373" s="25"/>
      <c r="E373" s="30" t="s">
        <v>791</v>
      </c>
      <c r="F373" s="928" cm="1">
        <f t="array" ref="F373:M373">((1-INDEX(ST_NUEVOS_IMPLEMENTACION,TEMPLADO,0))*INDEX(ST_NUEVOS_EQUIPOS_ALTA_EFIC,TEMPLADO,0)*GEN_HOGARES*INDEX(GEN_HOGARES_URBANOS_NUEVOS,TEMPLADO,0))*INDEX(SF_TENENCIA,TEMPLADO,0)*INDEX(COSTOS_DE_CAPITAL_edif_res_urb_aer_MEDIO,TEMPLADO,0)*COSTOS_2019_US_dolares_MMCOP</f>
        <v>0</v>
      </c>
      <c r="G373" s="933">
        <v>0</v>
      </c>
      <c r="H373" s="933">
        <v>0</v>
      </c>
      <c r="I373" s="933">
        <v>0</v>
      </c>
      <c r="J373" s="933">
        <v>0</v>
      </c>
      <c r="K373" s="933">
        <v>0</v>
      </c>
      <c r="L373" s="933">
        <v>0</v>
      </c>
      <c r="M373" s="933">
        <v>0</v>
      </c>
      <c r="N373" s="12"/>
    </row>
    <row r="374" spans="4:14" ht="15" customHeight="1">
      <c r="D374" s="47"/>
      <c r="E374" s="30" t="s">
        <v>792</v>
      </c>
      <c r="F374" s="928" cm="1">
        <f t="array" ref="F374:M374">((1-INDEX(ST_NUEVOS_IMPLEMENTACION,CALIDO_SECO,0))*INDEX(ST_NUEVOS_EQUIPOS_ALTA_EFIC,CALIDO_SECO,0)*GEN_HOGARES*INDEX(GEN_HOGARES_URBANOS_NUEVOS,CALIDO_SECO,0))*INDEX(SF_TENENCIA,CALIDO_SECO,0)*INDEX(COSTOS_DE_CAPITAL_edif_res_urb_aer_MEDIO,CALIDO_SECO,0)*COSTOS_2019_US_dolares_MMCOP</f>
        <v>0</v>
      </c>
      <c r="G374" s="933">
        <v>0</v>
      </c>
      <c r="H374" s="933">
        <v>0</v>
      </c>
      <c r="I374" s="933">
        <v>0</v>
      </c>
      <c r="J374" s="933">
        <v>0</v>
      </c>
      <c r="K374" s="933">
        <v>0</v>
      </c>
      <c r="L374" s="933">
        <v>0</v>
      </c>
      <c r="M374" s="933">
        <v>0</v>
      </c>
      <c r="N374" s="12"/>
    </row>
    <row r="375" spans="4:14" ht="15" customHeight="1">
      <c r="D375" s="25"/>
      <c r="E375" s="32" t="s">
        <v>793</v>
      </c>
      <c r="F375" s="929" cm="1">
        <f t="array" ref="F375:M375">((1-INDEX(ST_NUEVOS_IMPLEMENTACION,CALIDO_HUMEDO,0))*INDEX(ST_NUEVOS_EQUIPOS_ALTA_EFIC,CALIDO_HUMEDO,0)*GEN_HOGARES*INDEX(GEN_HOGARES_URBANOS_NUEVOS,CALIDO_HUMEDO,0))*INDEX(SF_TENENCIA,CALIDO_HUMEDO,0)*INDEX(COSTOS_DE_CAPITAL_edif_res_urb_aer_MEDIO,CALIDO_HUMEDO,0)*COSTOS_2019_US_dolares_MMCOP</f>
        <v>0</v>
      </c>
      <c r="G375" s="929">
        <v>0</v>
      </c>
      <c r="H375" s="929">
        <v>0</v>
      </c>
      <c r="I375" s="929">
        <v>0</v>
      </c>
      <c r="J375" s="929">
        <v>0</v>
      </c>
      <c r="K375" s="929">
        <v>0</v>
      </c>
      <c r="L375" s="929">
        <v>0</v>
      </c>
      <c r="M375" s="929">
        <v>0</v>
      </c>
      <c r="N375" s="12"/>
    </row>
    <row r="376" spans="4:14" ht="15" customHeight="1">
      <c r="D376" s="25"/>
      <c r="E376" s="92" t="s">
        <v>1714</v>
      </c>
      <c r="F376" s="931" cm="1">
        <f t="array" ref="F376:M376">_xlfn.ANCHORARRAY(F372)+_xlfn.ANCHORARRAY(F373)+_xlfn.ANCHORARRAY(F374)+_xlfn.ANCHORARRAY(F375)</f>
        <v>0</v>
      </c>
      <c r="G376" s="931">
        <v>0</v>
      </c>
      <c r="H376" s="931">
        <v>0</v>
      </c>
      <c r="I376" s="931">
        <v>0</v>
      </c>
      <c r="J376" s="931">
        <v>0</v>
      </c>
      <c r="K376" s="931">
        <v>0</v>
      </c>
      <c r="L376" s="931">
        <v>0</v>
      </c>
      <c r="M376" s="931">
        <v>0</v>
      </c>
      <c r="N376" s="12"/>
    </row>
    <row r="377" spans="4:14" ht="15" customHeight="1">
      <c r="D377" s="25"/>
      <c r="E377" s="36"/>
      <c r="F377" s="934"/>
      <c r="G377" s="935"/>
      <c r="H377" s="935"/>
      <c r="I377" s="935"/>
      <c r="J377" s="935"/>
      <c r="K377" s="935"/>
      <c r="L377" s="935"/>
      <c r="M377" s="935"/>
      <c r="N377" s="12"/>
    </row>
    <row r="378" spans="4:14" ht="15" customHeight="1">
      <c r="D378" s="25"/>
      <c r="E378" s="26" t="s">
        <v>2096</v>
      </c>
      <c r="F378" s="368"/>
      <c r="G378" s="368"/>
      <c r="H378" s="368"/>
      <c r="I378" s="368"/>
      <c r="J378" s="368"/>
      <c r="K378" s="368"/>
      <c r="L378" s="368"/>
      <c r="M378" s="536" t="s">
        <v>803</v>
      </c>
      <c r="N378" s="12"/>
    </row>
    <row r="379" spans="4:14" ht="15" customHeight="1">
      <c r="D379" s="25"/>
      <c r="E379" s="28" t="s">
        <v>789</v>
      </c>
      <c r="F379" s="932">
        <v>2018</v>
      </c>
      <c r="G379" s="932">
        <v>2020</v>
      </c>
      <c r="H379" s="932">
        <v>2025</v>
      </c>
      <c r="I379" s="932">
        <v>2030</v>
      </c>
      <c r="J379" s="932">
        <v>2035</v>
      </c>
      <c r="K379" s="932">
        <v>2040</v>
      </c>
      <c r="L379" s="932">
        <v>2045</v>
      </c>
      <c r="M379" s="932">
        <v>2050</v>
      </c>
      <c r="N379" s="12"/>
    </row>
    <row r="380" spans="4:14" ht="15" customHeight="1">
      <c r="D380" s="25"/>
      <c r="E380" s="30" t="s">
        <v>795</v>
      </c>
      <c r="F380" s="927" cm="1">
        <f t="array" ref="F380:M380">((1-INDEX(ST_EXISTENTES_IMPLEMENTACION,FRIO,0))*INDEX(ST_EXISTENTES_EQUIPOS_ALTA_EFIC,FRIO,0)*GEN_HOGARES*INDEX(GEN_HOGARES_URBANOS_NUEVOS,FRIO,0)*INDEX(SF_TENENCIA,FRIO,0))*INDEX(COSTOS_DE_CAPITAL_edif_res_urb_aer_MEDIO,FRIO,0)*COSTOS_2019_US_dolares_MMCOP</f>
        <v>0</v>
      </c>
      <c r="G380" s="933">
        <v>0</v>
      </c>
      <c r="H380" s="933">
        <v>0</v>
      </c>
      <c r="I380" s="933">
        <v>0</v>
      </c>
      <c r="J380" s="933">
        <v>0</v>
      </c>
      <c r="K380" s="933">
        <v>0</v>
      </c>
      <c r="L380" s="933">
        <v>0</v>
      </c>
      <c r="M380" s="933">
        <v>0</v>
      </c>
      <c r="N380" s="12"/>
    </row>
    <row r="381" spans="4:14" ht="15" customHeight="1">
      <c r="D381" s="25"/>
      <c r="E381" s="30" t="s">
        <v>791</v>
      </c>
      <c r="F381" s="928" cm="1">
        <f t="array" ref="F381:M381">((1-INDEX(ST_EXISTENTES_IMPLEMENTACION,TEMPLADO,0))*INDEX(ST_EXISTENTES_EQUIPOS_ALTA_EFIC,TEMPLADO,0)*GEN_HOGARES*INDEX(GEN_HOGARES_URBANOS_NUEVOS,TEMPLADO,0)*INDEX(SF_TENENCIA,TEMPLADO,0))*INDEX(COSTOS_DE_CAPITAL_edif_res_urb_aer_MEDIO,TEMPLADO,0)*COSTOS_2019_US_dolares_MMCOP</f>
        <v>0</v>
      </c>
      <c r="G381" s="933">
        <v>0</v>
      </c>
      <c r="H381" s="933">
        <v>0</v>
      </c>
      <c r="I381" s="933">
        <v>0</v>
      </c>
      <c r="J381" s="933">
        <v>0</v>
      </c>
      <c r="K381" s="933">
        <v>0</v>
      </c>
      <c r="L381" s="933">
        <v>0</v>
      </c>
      <c r="M381" s="933">
        <v>0</v>
      </c>
      <c r="N381" s="12"/>
    </row>
    <row r="382" spans="4:14" ht="15" customHeight="1">
      <c r="D382" s="25"/>
      <c r="E382" s="30" t="s">
        <v>792</v>
      </c>
      <c r="F382" s="928" cm="1">
        <f t="array" ref="F382:M382">((1-INDEX(ST_EXISTENTES_IMPLEMENTACION,CALIDO_SECO,0))*INDEX(ST_EXISTENTES_EQUIPOS_ALTA_EFIC,CALIDO_SECO,0)*GEN_HOGARES*INDEX(GEN_HOGARES_URBANOS_NUEVOS,CALIDO_SECO,0)*INDEX(SF_TENENCIA,CALIDO_SECO,0))*INDEX(COSTOS_DE_CAPITAL_edif_res_urb_aer_MEDIO,CALIDO_SECO,0)*COSTOS_2019_US_dolares_MMCOP</f>
        <v>0</v>
      </c>
      <c r="G382" s="933">
        <v>0</v>
      </c>
      <c r="H382" s="933">
        <v>0</v>
      </c>
      <c r="I382" s="933">
        <v>0</v>
      </c>
      <c r="J382" s="933">
        <v>0</v>
      </c>
      <c r="K382" s="933">
        <v>0</v>
      </c>
      <c r="L382" s="933">
        <v>0</v>
      </c>
      <c r="M382" s="933">
        <v>0</v>
      </c>
      <c r="N382" s="12"/>
    </row>
    <row r="383" spans="4:14" ht="15" customHeight="1">
      <c r="D383" s="45"/>
      <c r="E383" s="32" t="s">
        <v>793</v>
      </c>
      <c r="F383" s="929" cm="1">
        <f t="array" ref="F383:M383">((1-INDEX(ST_EXISTENTES_IMPLEMENTACION,CALIDO_HUMEDO,0))*INDEX(ST_EXISTENTES_EQUIPOS_ALTA_EFIC,CALIDO_HUMEDO,0)*GEN_HOGARES*INDEX(GEN_HOGARES_URBANOS_NUEVOS,CALIDO_HUMEDO,0)*INDEX(SF_TENENCIA,CALIDO_HUMEDO,0))*INDEX(COSTOS_DE_CAPITAL_edif_res_urb_aer_MEDIO,CALIDO_HUMEDO,0)*COSTOS_2019_US_dolares_MMCOP</f>
        <v>0</v>
      </c>
      <c r="G383" s="929">
        <v>0</v>
      </c>
      <c r="H383" s="929">
        <v>0</v>
      </c>
      <c r="I383" s="929">
        <v>0</v>
      </c>
      <c r="J383" s="929">
        <v>0</v>
      </c>
      <c r="K383" s="929">
        <v>0</v>
      </c>
      <c r="L383" s="929">
        <v>0</v>
      </c>
      <c r="M383" s="929">
        <v>0</v>
      </c>
      <c r="N383" s="12"/>
    </row>
    <row r="384" spans="4:14" ht="15" customHeight="1">
      <c r="D384" s="45"/>
      <c r="E384" s="92" t="s">
        <v>1714</v>
      </c>
      <c r="F384" s="931" cm="1">
        <f t="array" ref="F384:M384">_xlfn.ANCHORARRAY(F380)+_xlfn.ANCHORARRAY(F381)+_xlfn.ANCHORARRAY(F382)+_xlfn.ANCHORARRAY(F383)</f>
        <v>0</v>
      </c>
      <c r="G384" s="931">
        <v>0</v>
      </c>
      <c r="H384" s="931">
        <v>0</v>
      </c>
      <c r="I384" s="931">
        <v>0</v>
      </c>
      <c r="J384" s="931">
        <v>0</v>
      </c>
      <c r="K384" s="931">
        <v>0</v>
      </c>
      <c r="L384" s="931">
        <v>0</v>
      </c>
      <c r="M384" s="931">
        <v>0</v>
      </c>
      <c r="N384" s="12"/>
    </row>
    <row r="385" spans="4:14" ht="15" customHeight="1">
      <c r="D385" s="13"/>
      <c r="E385" s="12"/>
      <c r="F385" s="447"/>
      <c r="G385" s="447"/>
      <c r="H385" s="447"/>
      <c r="I385" s="447"/>
      <c r="J385" s="447"/>
      <c r="K385" s="447"/>
      <c r="L385" s="447"/>
      <c r="M385" s="447"/>
      <c r="N385" s="12"/>
    </row>
    <row r="386" spans="4:14" ht="15" customHeight="1">
      <c r="D386" s="13"/>
      <c r="E386" s="41" t="s">
        <v>822</v>
      </c>
      <c r="F386" s="447"/>
      <c r="G386" s="447"/>
      <c r="H386" s="447"/>
      <c r="I386" s="447"/>
      <c r="J386" s="447"/>
      <c r="K386" s="447"/>
      <c r="L386" s="447"/>
      <c r="M386" s="447"/>
      <c r="N386" s="12"/>
    </row>
    <row r="387" spans="4:14" ht="15" customHeight="1">
      <c r="D387" s="13"/>
      <c r="E387" s="12"/>
      <c r="F387" s="447"/>
      <c r="G387" s="447"/>
      <c r="H387" s="447"/>
      <c r="I387" s="447"/>
      <c r="J387" s="447"/>
      <c r="K387" s="447"/>
      <c r="L387" s="447"/>
      <c r="M387" s="447"/>
      <c r="N387" s="12"/>
    </row>
    <row r="388" spans="4:14" ht="15" customHeight="1">
      <c r="D388" s="25"/>
      <c r="E388" s="26" t="s">
        <v>2095</v>
      </c>
      <c r="F388" s="368"/>
      <c r="G388" s="368"/>
      <c r="H388" s="368"/>
      <c r="I388" s="368"/>
      <c r="J388" s="368"/>
      <c r="K388" s="368"/>
      <c r="L388" s="368"/>
      <c r="M388" s="536" t="s">
        <v>803</v>
      </c>
      <c r="N388" s="12"/>
    </row>
    <row r="389" spans="4:14" ht="15" customHeight="1">
      <c r="D389" s="47"/>
      <c r="E389" s="28" t="s">
        <v>789</v>
      </c>
      <c r="F389" s="932">
        <v>2018</v>
      </c>
      <c r="G389" s="932">
        <v>2020</v>
      </c>
      <c r="H389" s="932">
        <v>2025</v>
      </c>
      <c r="I389" s="932">
        <v>2030</v>
      </c>
      <c r="J389" s="932">
        <v>2035</v>
      </c>
      <c r="K389" s="932">
        <v>2040</v>
      </c>
      <c r="L389" s="932">
        <v>2045</v>
      </c>
      <c r="M389" s="932">
        <v>2050</v>
      </c>
      <c r="N389" s="12"/>
    </row>
    <row r="390" spans="4:14" ht="15" customHeight="1">
      <c r="D390" s="25"/>
      <c r="E390" s="30" t="s">
        <v>795</v>
      </c>
      <c r="F390" s="927" cm="1">
        <f t="array" ref="F390:M390">((1-INDEX(ST_NUEVOS_IMPLEMENTACION,FRIO,0))*INDEX(ST_NUEVOS_EQUIPOS_ALTA_EFIC,FRIO,0)*GEN_HOGARES*INDEX(GEN_HOGARES_URBANOS_NUEVOS,FRIO,0))*INDEX(SF_TENENCIA,FRIO,0)*INDEX(COSTOS_DE_CAPITAL_edif_res_urb_aer_BAJO,FRIO,0)*COSTOS_2019_US_dolares_MMCOP</f>
        <v>0</v>
      </c>
      <c r="G390" s="933">
        <v>0</v>
      </c>
      <c r="H390" s="933">
        <v>0</v>
      </c>
      <c r="I390" s="933">
        <v>0</v>
      </c>
      <c r="J390" s="933">
        <v>0</v>
      </c>
      <c r="K390" s="933">
        <v>0</v>
      </c>
      <c r="L390" s="933">
        <v>0</v>
      </c>
      <c r="M390" s="933">
        <v>0</v>
      </c>
      <c r="N390" s="12"/>
    </row>
    <row r="391" spans="4:14" ht="15" customHeight="1">
      <c r="D391" s="25"/>
      <c r="E391" s="30" t="s">
        <v>791</v>
      </c>
      <c r="F391" s="928" cm="1">
        <f t="array" ref="F391:M391">((1-INDEX(ST_NUEVOS_IMPLEMENTACION,TEMPLADO,0))*INDEX(ST_NUEVOS_EQUIPOS_ALTA_EFIC,TEMPLADO,0)*GEN_HOGARES*INDEX(GEN_HOGARES_URBANOS_NUEVOS,TEMPLADO,0))*INDEX(SF_TENENCIA,TEMPLADO,0)*INDEX(COSTOS_DE_CAPITAL_edif_res_urb_aer_BAJO,TEMPLADO,0)*COSTOS_2019_US_dolares_MMCOP</f>
        <v>0</v>
      </c>
      <c r="G391" s="933">
        <v>0</v>
      </c>
      <c r="H391" s="933">
        <v>0</v>
      </c>
      <c r="I391" s="933">
        <v>0</v>
      </c>
      <c r="J391" s="933">
        <v>0</v>
      </c>
      <c r="K391" s="933">
        <v>0</v>
      </c>
      <c r="L391" s="933">
        <v>0</v>
      </c>
      <c r="M391" s="933">
        <v>0</v>
      </c>
      <c r="N391" s="12"/>
    </row>
    <row r="392" spans="4:14" ht="15" customHeight="1">
      <c r="D392" s="25"/>
      <c r="E392" s="30" t="s">
        <v>792</v>
      </c>
      <c r="F392" s="928" cm="1">
        <f t="array" ref="F392:M392">((1-INDEX(ST_NUEVOS_IMPLEMENTACION,CALIDO_SECO,0))*INDEX(ST_NUEVOS_EQUIPOS_ALTA_EFIC,CALIDO_SECO,0)*GEN_HOGARES*INDEX(GEN_HOGARES_URBANOS_NUEVOS,CALIDO_SECO,0))*INDEX(SF_TENENCIA,CALIDO_SECO,0)*INDEX(COSTOS_DE_CAPITAL_edif_res_urb_aer_BAJO,CALIDO_SECO,0)*COSTOS_2019_US_dolares_MMCOP</f>
        <v>0</v>
      </c>
      <c r="G392" s="933">
        <v>0</v>
      </c>
      <c r="H392" s="933">
        <v>0</v>
      </c>
      <c r="I392" s="933">
        <v>0</v>
      </c>
      <c r="J392" s="933">
        <v>0</v>
      </c>
      <c r="K392" s="933">
        <v>0</v>
      </c>
      <c r="L392" s="933">
        <v>0</v>
      </c>
      <c r="M392" s="933">
        <v>0</v>
      </c>
      <c r="N392" s="12"/>
    </row>
    <row r="393" spans="4:14" ht="15" customHeight="1">
      <c r="D393" s="25"/>
      <c r="E393" s="32" t="s">
        <v>793</v>
      </c>
      <c r="F393" s="929" cm="1">
        <f t="array" ref="F393:M393">((1-INDEX(ST_NUEVOS_IMPLEMENTACION,CALIDO_HUMEDO,0))*INDEX(ST_NUEVOS_EQUIPOS_ALTA_EFIC,CALIDO_HUMEDO,0)*GEN_HOGARES*INDEX(GEN_HOGARES_URBANOS_NUEVOS,CALIDO_HUMEDO,0))*INDEX(SF_TENENCIA,CALIDO_HUMEDO,0)*INDEX(COSTOS_DE_CAPITAL_edif_res_urb_aer_BAJO,CALIDO_HUMEDO,0)*COSTOS_2019_US_dolares_MMCOP</f>
        <v>0</v>
      </c>
      <c r="G393" s="929">
        <v>0</v>
      </c>
      <c r="H393" s="929">
        <v>0</v>
      </c>
      <c r="I393" s="929">
        <v>0</v>
      </c>
      <c r="J393" s="929">
        <v>0</v>
      </c>
      <c r="K393" s="929">
        <v>0</v>
      </c>
      <c r="L393" s="929">
        <v>0</v>
      </c>
      <c r="M393" s="929">
        <v>0</v>
      </c>
      <c r="N393" s="12"/>
    </row>
    <row r="394" spans="4:14" ht="15" customHeight="1">
      <c r="D394" s="25"/>
      <c r="E394" s="92" t="s">
        <v>1714</v>
      </c>
      <c r="F394" s="931" cm="1">
        <f t="array" ref="F394:M394">_xlfn.ANCHORARRAY(F390)+_xlfn.ANCHORARRAY(F391)+_xlfn.ANCHORARRAY(F392)+_xlfn.ANCHORARRAY(F393)</f>
        <v>0</v>
      </c>
      <c r="G394" s="931">
        <v>0</v>
      </c>
      <c r="H394" s="931">
        <v>0</v>
      </c>
      <c r="I394" s="931">
        <v>0</v>
      </c>
      <c r="J394" s="931">
        <v>0</v>
      </c>
      <c r="K394" s="931">
        <v>0</v>
      </c>
      <c r="L394" s="931">
        <v>0</v>
      </c>
      <c r="M394" s="931">
        <v>0</v>
      </c>
      <c r="N394" s="12"/>
    </row>
    <row r="395" spans="4:14" ht="15" customHeight="1">
      <c r="D395" s="25"/>
      <c r="E395" s="12"/>
      <c r="F395" s="447"/>
      <c r="G395" s="447"/>
      <c r="H395" s="447"/>
      <c r="I395" s="447"/>
      <c r="J395" s="447"/>
      <c r="K395" s="447"/>
      <c r="L395" s="447"/>
      <c r="M395" s="447"/>
      <c r="N395" s="12"/>
    </row>
    <row r="396" spans="4:14" ht="15" customHeight="1">
      <c r="D396" s="25"/>
      <c r="E396" s="26" t="s">
        <v>2096</v>
      </c>
      <c r="F396" s="368"/>
      <c r="G396" s="368"/>
      <c r="H396" s="368"/>
      <c r="I396" s="368"/>
      <c r="J396" s="368"/>
      <c r="K396" s="368"/>
      <c r="L396" s="368"/>
      <c r="M396" s="536" t="s">
        <v>803</v>
      </c>
      <c r="N396" s="12"/>
    </row>
    <row r="397" spans="4:14" ht="15" customHeight="1">
      <c r="D397" s="25"/>
      <c r="E397" s="28" t="s">
        <v>789</v>
      </c>
      <c r="F397" s="932">
        <v>2018</v>
      </c>
      <c r="G397" s="932">
        <v>2020</v>
      </c>
      <c r="H397" s="932">
        <v>2025</v>
      </c>
      <c r="I397" s="932">
        <v>2030</v>
      </c>
      <c r="J397" s="932">
        <v>2035</v>
      </c>
      <c r="K397" s="932">
        <v>2040</v>
      </c>
      <c r="L397" s="932">
        <v>2045</v>
      </c>
      <c r="M397" s="932">
        <v>2050</v>
      </c>
      <c r="N397" s="12"/>
    </row>
    <row r="398" spans="4:14" ht="15" customHeight="1">
      <c r="D398" s="25"/>
      <c r="E398" s="30" t="s">
        <v>795</v>
      </c>
      <c r="F398" s="927" cm="1">
        <f t="array" ref="F398:M398">((1-INDEX(ST_EXISTENTES_IMPLEMENTACION,FRIO,0))*INDEX(ST_EXISTENTES_EQUIPOS_ALTA_EFIC,FRIO,0)*GEN_HOGARES*INDEX(GEN_HOGARES_URBANOS_NUEVOS,FRIO,0)*INDEX(SF_TENENCIA,FRIO,0))*INDEX(COSTOS_DE_CAPITAL_edif_res_urb_aer_BAJO,FRIO,0)*COSTOS_2019_US_dolares_MMCOP</f>
        <v>0</v>
      </c>
      <c r="G398" s="933">
        <v>0</v>
      </c>
      <c r="H398" s="933">
        <v>0</v>
      </c>
      <c r="I398" s="933">
        <v>0</v>
      </c>
      <c r="J398" s="933">
        <v>0</v>
      </c>
      <c r="K398" s="933">
        <v>0</v>
      </c>
      <c r="L398" s="933">
        <v>0</v>
      </c>
      <c r="M398" s="933">
        <v>0</v>
      </c>
      <c r="N398" s="12"/>
    </row>
    <row r="399" spans="4:14" ht="15" customHeight="1">
      <c r="D399" s="13"/>
      <c r="E399" s="30" t="s">
        <v>791</v>
      </c>
      <c r="F399" s="928" cm="1">
        <f t="array" ref="F399:M399">((1-INDEX(ST_EXISTENTES_IMPLEMENTACION,TEMPLADO,0))*INDEX(ST_EXISTENTES_EQUIPOS_ALTA_EFIC,TEMPLADO,0)*GEN_HOGARES*INDEX(GEN_HOGARES_URBANOS_NUEVOS,TEMPLADO,0)*INDEX(SF_TENENCIA,TEMPLADO,0))*INDEX(COSTOS_DE_CAPITAL_edif_res_urb_aer_BAJO,TEMPLADO,0)*COSTOS_2019_US_dolares_MMCOP</f>
        <v>0</v>
      </c>
      <c r="G399" s="933">
        <v>0</v>
      </c>
      <c r="H399" s="933">
        <v>0</v>
      </c>
      <c r="I399" s="933">
        <v>0</v>
      </c>
      <c r="J399" s="933">
        <v>0</v>
      </c>
      <c r="K399" s="933">
        <v>0</v>
      </c>
      <c r="L399" s="933">
        <v>0</v>
      </c>
      <c r="M399" s="933">
        <v>0</v>
      </c>
      <c r="N399" s="12"/>
    </row>
    <row r="400" spans="4:14" ht="15" customHeight="1">
      <c r="D400" s="25"/>
      <c r="E400" s="30" t="s">
        <v>792</v>
      </c>
      <c r="F400" s="928" cm="1">
        <f t="array" ref="F400:M400">((1-INDEX(ST_EXISTENTES_IMPLEMENTACION,CALIDO_SECO,0))*INDEX(ST_EXISTENTES_EQUIPOS_ALTA_EFIC,CALIDO_SECO,0)*GEN_HOGARES*INDEX(GEN_HOGARES_URBANOS_NUEVOS,CALIDO_SECO,0)*INDEX(SF_TENENCIA,CALIDO_SECO,0))*INDEX(COSTOS_DE_CAPITAL_edif_res_urb_aer_BAJO,CALIDO_SECO,0)*COSTOS_2019_US_dolares_MMCOP</f>
        <v>0</v>
      </c>
      <c r="G400" s="933">
        <v>0</v>
      </c>
      <c r="H400" s="933">
        <v>0</v>
      </c>
      <c r="I400" s="933">
        <v>0</v>
      </c>
      <c r="J400" s="933">
        <v>0</v>
      </c>
      <c r="K400" s="933">
        <v>0</v>
      </c>
      <c r="L400" s="933">
        <v>0</v>
      </c>
      <c r="M400" s="933">
        <v>0</v>
      </c>
      <c r="N400" s="20"/>
    </row>
    <row r="401" spans="4:14" ht="15" customHeight="1">
      <c r="D401" s="47"/>
      <c r="E401" s="32" t="s">
        <v>793</v>
      </c>
      <c r="F401" s="929" cm="1">
        <f t="array" ref="F401:M401">((1-INDEX(ST_EXISTENTES_IMPLEMENTACION,CALIDO_HUMEDO,0))*INDEX(ST_EXISTENTES_EQUIPOS_ALTA_EFIC,CALIDO_HUMEDO,0)*GEN_HOGARES*INDEX(GEN_HOGARES_URBANOS_NUEVOS,CALIDO_HUMEDO,0)*INDEX(SF_TENENCIA,CALIDO_HUMEDO,0))*INDEX(COSTOS_DE_CAPITAL_edif_res_urb_aer_BAJO,CALIDO_HUMEDO,0)*COSTOS_2019_US_dolares_MMCOP</f>
        <v>0</v>
      </c>
      <c r="G401" s="929">
        <v>0</v>
      </c>
      <c r="H401" s="929">
        <v>0</v>
      </c>
      <c r="I401" s="929">
        <v>0</v>
      </c>
      <c r="J401" s="929">
        <v>0</v>
      </c>
      <c r="K401" s="929">
        <v>0</v>
      </c>
      <c r="L401" s="929">
        <v>0</v>
      </c>
      <c r="M401" s="929">
        <v>0</v>
      </c>
      <c r="N401" s="37"/>
    </row>
    <row r="402" spans="4:14" ht="15" customHeight="1">
      <c r="D402" s="47"/>
      <c r="E402" s="92" t="s">
        <v>1714</v>
      </c>
      <c r="F402" s="931" cm="1">
        <f t="array" ref="F402:M402">_xlfn.ANCHORARRAY(F398)+_xlfn.ANCHORARRAY(F399)+_xlfn.ANCHORARRAY(F400)+_xlfn.ANCHORARRAY(F401)</f>
        <v>0</v>
      </c>
      <c r="G402" s="931">
        <v>0</v>
      </c>
      <c r="H402" s="931">
        <v>0</v>
      </c>
      <c r="I402" s="931">
        <v>0</v>
      </c>
      <c r="J402" s="931">
        <v>0</v>
      </c>
      <c r="K402" s="931">
        <v>0</v>
      </c>
      <c r="L402" s="931">
        <v>0</v>
      </c>
      <c r="M402" s="931">
        <v>0</v>
      </c>
      <c r="N402" s="37"/>
    </row>
    <row r="403" spans="4:14" ht="15" customHeight="1">
      <c r="D403" s="25"/>
      <c r="E403" s="26"/>
      <c r="F403" s="20"/>
      <c r="G403" s="20"/>
      <c r="H403" s="20"/>
      <c r="I403" s="20"/>
      <c r="J403" s="20"/>
      <c r="K403" s="20"/>
      <c r="L403" s="20"/>
      <c r="M403" s="20"/>
      <c r="N403" s="43"/>
    </row>
    <row r="404" spans="4:14" ht="15" customHeight="1">
      <c r="D404" s="25"/>
      <c r="E404" s="14" t="s">
        <v>2103</v>
      </c>
      <c r="F404" s="14"/>
      <c r="G404" s="14"/>
      <c r="H404" s="14"/>
      <c r="I404" s="14"/>
      <c r="J404" s="14"/>
      <c r="K404" s="14"/>
      <c r="L404" s="14"/>
      <c r="M404" s="14"/>
      <c r="N404" s="20"/>
    </row>
    <row r="405" spans="4:14" ht="15" customHeight="1">
      <c r="D405" s="25"/>
      <c r="E405" s="30"/>
      <c r="F405" s="30"/>
      <c r="G405" s="46"/>
      <c r="H405" s="43"/>
      <c r="I405" s="43"/>
      <c r="J405" s="43"/>
      <c r="K405" s="43"/>
      <c r="L405" s="43"/>
      <c r="M405" s="43"/>
      <c r="N405" s="20"/>
    </row>
    <row r="406" spans="4:14" ht="15" customHeight="1">
      <c r="D406" s="25"/>
      <c r="E406" s="41" t="s">
        <v>820</v>
      </c>
      <c r="F406" s="20"/>
      <c r="G406" s="20"/>
      <c r="H406" s="20"/>
      <c r="I406" s="20"/>
      <c r="J406" s="20"/>
      <c r="K406" s="20"/>
      <c r="L406" s="20"/>
      <c r="M406" s="20"/>
      <c r="N406" s="12"/>
    </row>
    <row r="407" spans="4:14" ht="15" customHeight="1">
      <c r="D407" s="25"/>
      <c r="E407" s="20"/>
      <c r="F407" s="20"/>
      <c r="G407" s="20"/>
      <c r="H407" s="20"/>
      <c r="I407" s="20"/>
      <c r="J407" s="20"/>
      <c r="K407" s="20"/>
      <c r="L407" s="20"/>
      <c r="M407" s="20"/>
      <c r="N407" s="12"/>
    </row>
    <row r="408" spans="4:14" ht="15" customHeight="1">
      <c r="D408" s="25"/>
      <c r="E408" s="26" t="s">
        <v>2095</v>
      </c>
      <c r="F408" s="20"/>
      <c r="G408" s="20"/>
      <c r="H408" s="20"/>
      <c r="I408" s="20"/>
      <c r="J408" s="20"/>
      <c r="K408" s="20"/>
      <c r="L408" s="20"/>
      <c r="M408" s="27" t="s">
        <v>803</v>
      </c>
      <c r="N408" s="12"/>
    </row>
    <row r="409" spans="4:14" ht="15" customHeight="1">
      <c r="D409" s="25"/>
      <c r="E409" s="28" t="s">
        <v>789</v>
      </c>
      <c r="F409" s="29">
        <v>2018</v>
      </c>
      <c r="G409" s="29">
        <v>2020</v>
      </c>
      <c r="H409" s="29">
        <v>2025</v>
      </c>
      <c r="I409" s="29">
        <v>2030</v>
      </c>
      <c r="J409" s="29">
        <v>2035</v>
      </c>
      <c r="K409" s="29">
        <v>2040</v>
      </c>
      <c r="L409" s="29">
        <v>2045</v>
      </c>
      <c r="M409" s="29">
        <v>2050</v>
      </c>
      <c r="N409" s="12"/>
    </row>
    <row r="410" spans="4:14" ht="15" customHeight="1">
      <c r="D410" s="45"/>
      <c r="E410" s="30" t="s">
        <v>795</v>
      </c>
      <c r="F410" s="927" cm="1">
        <f t="array" ref="F410:M410">((1-INDEX(ST_NUEVOS_IMPLEMENTACION,FRIO,0))*INDEX(ST_NUEVOS_EQUIPOS_ALTA_EFIC,FRIO,0)*GEN_HOGARES*INDEX(GEN_HOGARES_URBANOS_NUEVOS,FRIO,0))*INDEX(SF_TENENCIA,FRIO,0)*INDEX(COSTOS_DE_OPERACION_edif_res_urb_aer_ALTO,FRIO,0)*COSTOS_2019_US_dolares_MMCOP</f>
        <v>0</v>
      </c>
      <c r="G410" s="751">
        <v>0</v>
      </c>
      <c r="H410" s="751">
        <v>0</v>
      </c>
      <c r="I410" s="751">
        <v>0</v>
      </c>
      <c r="J410" s="751">
        <v>0</v>
      </c>
      <c r="K410" s="751">
        <v>0</v>
      </c>
      <c r="L410" s="751">
        <v>0</v>
      </c>
      <c r="M410" s="751">
        <v>0</v>
      </c>
      <c r="N410" s="12"/>
    </row>
    <row r="411" spans="4:14" ht="15" customHeight="1">
      <c r="D411" s="13"/>
      <c r="E411" s="30" t="s">
        <v>791</v>
      </c>
      <c r="F411" s="928" cm="1">
        <f t="array" ref="F411:M411">((1-INDEX(ST_NUEVOS_IMPLEMENTACION,TEMPLADO,0))*INDEX(ST_NUEVOS_EQUIPOS_ALTA_EFIC,TEMPLADO,0)*GEN_HOGARES*INDEX(GEN_HOGARES_URBANOS_NUEVOS,TEMPLADO,0))*INDEX(SF_TENENCIA,TEMPLADO,0)*INDEX(COSTOS_DE_OPERACION_edif_res_urb_aer_ALTO,TEMPLADO,0)*COSTOS_2019_US_dolares_MMCOP</f>
        <v>0</v>
      </c>
      <c r="G411" s="751">
        <v>0</v>
      </c>
      <c r="H411" s="751">
        <v>0</v>
      </c>
      <c r="I411" s="751">
        <v>0</v>
      </c>
      <c r="J411" s="751">
        <v>0</v>
      </c>
      <c r="K411" s="751">
        <v>0</v>
      </c>
      <c r="L411" s="751">
        <v>0</v>
      </c>
      <c r="M411" s="751">
        <v>0</v>
      </c>
      <c r="N411" s="12"/>
    </row>
    <row r="412" spans="4:14" ht="15" customHeight="1">
      <c r="D412" s="25"/>
      <c r="E412" s="30" t="s">
        <v>792</v>
      </c>
      <c r="F412" s="928" cm="1">
        <f t="array" ref="F412:M412">((1-INDEX(ST_NUEVOS_IMPLEMENTACION,CALIDO_SECO,0))*INDEX(ST_NUEVOS_EQUIPOS_ALTA_EFIC,CALIDO_SECO,0)*GEN_HOGARES*INDEX(GEN_HOGARES_URBANOS_NUEVOS,CALIDO_SECO,0))*INDEX(SF_TENENCIA,CALIDO_SECO,0)*INDEX(COSTOS_DE_OPERACION_edif_res_urb_aer_ALTO,CALIDO_SECO,0)*COSTOS_2019_US_dolares_MMCOP</f>
        <v>0</v>
      </c>
      <c r="G412" s="751">
        <v>0</v>
      </c>
      <c r="H412" s="751">
        <v>0</v>
      </c>
      <c r="I412" s="751">
        <v>0</v>
      </c>
      <c r="J412" s="751">
        <v>0</v>
      </c>
      <c r="K412" s="751">
        <v>0</v>
      </c>
      <c r="L412" s="751">
        <v>0</v>
      </c>
      <c r="M412" s="751">
        <v>0</v>
      </c>
      <c r="N412" s="12"/>
    </row>
    <row r="413" spans="4:14" ht="15" customHeight="1">
      <c r="D413" s="47"/>
      <c r="E413" s="32" t="s">
        <v>793</v>
      </c>
      <c r="F413" s="929" cm="1">
        <f t="array" ref="F413:M413">((1-INDEX(ST_NUEVOS_IMPLEMENTACION,CALIDO_HUMEDO,0))*INDEX(ST_NUEVOS_EQUIPOS_ALTA_EFIC,CALIDO_HUMEDO,0)*GEN_HOGARES*INDEX(GEN_HOGARES_URBANOS_NUEVOS,CALIDO_HUMEDO,0))*INDEX(SF_TENENCIA,CALIDO_HUMEDO,0)*INDEX(COSTOS_DE_OPERACION_edif_res_urb_aer_ALTO,CALIDO_HUMEDO,0)*COSTOS_2019_US_dolares_MMCOP</f>
        <v>0</v>
      </c>
      <c r="G413" s="930">
        <v>0</v>
      </c>
      <c r="H413" s="930">
        <v>0</v>
      </c>
      <c r="I413" s="930">
        <v>0</v>
      </c>
      <c r="J413" s="930">
        <v>0</v>
      </c>
      <c r="K413" s="930">
        <v>0</v>
      </c>
      <c r="L413" s="930">
        <v>0</v>
      </c>
      <c r="M413" s="930">
        <v>0</v>
      </c>
      <c r="N413" s="12"/>
    </row>
    <row r="414" spans="4:14" ht="15" customHeight="1">
      <c r="D414" s="47"/>
      <c r="E414" s="92" t="s">
        <v>1714</v>
      </c>
      <c r="F414" s="931" cm="1">
        <f t="array" ref="F414:M414">_xlfn.ANCHORARRAY(F410)+_xlfn.ANCHORARRAY(F411)+_xlfn.ANCHORARRAY(F412)+_xlfn.ANCHORARRAY(F413)</f>
        <v>0</v>
      </c>
      <c r="G414" s="931">
        <v>0</v>
      </c>
      <c r="H414" s="931">
        <v>0</v>
      </c>
      <c r="I414" s="931">
        <v>0</v>
      </c>
      <c r="J414" s="931">
        <v>0</v>
      </c>
      <c r="K414" s="931">
        <v>0</v>
      </c>
      <c r="L414" s="931">
        <v>0</v>
      </c>
      <c r="M414" s="931">
        <v>0</v>
      </c>
      <c r="N414" s="12"/>
    </row>
    <row r="415" spans="4:14" ht="15" customHeight="1">
      <c r="D415" s="25"/>
      <c r="E415" s="36"/>
      <c r="F415" s="44"/>
      <c r="G415" s="45"/>
      <c r="H415" s="45"/>
      <c r="I415" s="45"/>
      <c r="J415" s="45"/>
      <c r="K415" s="45"/>
      <c r="L415" s="45"/>
      <c r="M415" s="45"/>
      <c r="N415" s="12"/>
    </row>
    <row r="416" spans="4:14" ht="15" customHeight="1">
      <c r="D416" s="25"/>
      <c r="E416" s="26" t="s">
        <v>2096</v>
      </c>
      <c r="F416" s="20"/>
      <c r="G416" s="20"/>
      <c r="H416" s="20"/>
      <c r="I416" s="20"/>
      <c r="J416" s="20"/>
      <c r="K416" s="20"/>
      <c r="L416" s="20"/>
      <c r="M416" s="27" t="s">
        <v>803</v>
      </c>
      <c r="N416" s="12"/>
    </row>
    <row r="417" spans="4:14" ht="15" customHeight="1">
      <c r="D417" s="25"/>
      <c r="E417" s="28" t="s">
        <v>789</v>
      </c>
      <c r="F417" s="932">
        <v>2018</v>
      </c>
      <c r="G417" s="932">
        <v>2020</v>
      </c>
      <c r="H417" s="932">
        <v>2025</v>
      </c>
      <c r="I417" s="932">
        <v>2030</v>
      </c>
      <c r="J417" s="932">
        <v>2035</v>
      </c>
      <c r="K417" s="932">
        <v>2040</v>
      </c>
      <c r="L417" s="932">
        <v>2045</v>
      </c>
      <c r="M417" s="932">
        <v>2050</v>
      </c>
      <c r="N417" s="12"/>
    </row>
    <row r="418" spans="4:14" ht="15" customHeight="1">
      <c r="D418" s="25"/>
      <c r="E418" s="30" t="s">
        <v>795</v>
      </c>
      <c r="F418" s="927" cm="1">
        <f t="array" ref="F418:M418">((1-INDEX(ST_EXISTENTES_IMPLEMENTACION,FRIO,0))*INDEX(ST_EXISTENTES_EQUIPOS_ALTA_EFIC,FRIO,0)*GEN_HOGARES*INDEX(GEN_HOGARES_URBANOS_NUEVOS,FRIO,0)*INDEX(SF_TENENCIA,FRIO,0))*INDEX(COSTOS_DE_OPERACION_edif_res_urb_aer_ALTO,FRIO,0)*COSTOS_2019_US_dolares_MMCOP</f>
        <v>0</v>
      </c>
      <c r="G418" s="751">
        <v>0</v>
      </c>
      <c r="H418" s="751">
        <v>0</v>
      </c>
      <c r="I418" s="751">
        <v>0</v>
      </c>
      <c r="J418" s="751">
        <v>0</v>
      </c>
      <c r="K418" s="751">
        <v>0</v>
      </c>
      <c r="L418" s="751">
        <v>0</v>
      </c>
      <c r="M418" s="751">
        <v>0</v>
      </c>
      <c r="N418" s="12"/>
    </row>
    <row r="419" spans="4:14" ht="15" customHeight="1">
      <c r="D419" s="25"/>
      <c r="E419" s="30" t="s">
        <v>791</v>
      </c>
      <c r="F419" s="928" cm="1">
        <f t="array" ref="F419:M419">((1-INDEX(ST_EXISTENTES_IMPLEMENTACION,TEMPLADO,0))*INDEX(ST_EXISTENTES_EQUIPOS_ALTA_EFIC,TEMPLADO,0)*GEN_HOGARES*INDEX(GEN_HOGARES_URBANOS_NUEVOS,TEMPLADO,0)*INDEX(SF_TENENCIA,TEMPLADO,0))*INDEX(COSTOS_DE_OPERACION_edif_res_urb_aer_ALTO,TEMPLADO,0)*COSTOS_2019_US_dolares_MMCOP</f>
        <v>0</v>
      </c>
      <c r="G419" s="751">
        <v>0</v>
      </c>
      <c r="H419" s="751">
        <v>0</v>
      </c>
      <c r="I419" s="751">
        <v>0</v>
      </c>
      <c r="J419" s="751">
        <v>0</v>
      </c>
      <c r="K419" s="751">
        <v>0</v>
      </c>
      <c r="L419" s="751">
        <v>0</v>
      </c>
      <c r="M419" s="751">
        <v>0</v>
      </c>
      <c r="N419" s="12"/>
    </row>
    <row r="420" spans="4:14" ht="15" customHeight="1">
      <c r="D420" s="25"/>
      <c r="E420" s="30" t="s">
        <v>792</v>
      </c>
      <c r="F420" s="928" cm="1">
        <f t="array" ref="F420:M420">((1-INDEX(ST_EXISTENTES_IMPLEMENTACION,CALIDO_SECO,0))*INDEX(ST_EXISTENTES_EQUIPOS_ALTA_EFIC,CALIDO_SECO,0)*GEN_HOGARES*INDEX(GEN_HOGARES_URBANOS_NUEVOS,CALIDO_SECO,0)*INDEX(SF_TENENCIA,CALIDO_SECO,0))*INDEX(COSTOS_DE_OPERACION_edif_res_urb_aer_ALTO,CALIDO_SECO,0)*COSTOS_2019_US_dolares_MMCOP</f>
        <v>0</v>
      </c>
      <c r="G420" s="751">
        <v>0</v>
      </c>
      <c r="H420" s="751">
        <v>0</v>
      </c>
      <c r="I420" s="751">
        <v>0</v>
      </c>
      <c r="J420" s="751">
        <v>0</v>
      </c>
      <c r="K420" s="751">
        <v>0</v>
      </c>
      <c r="L420" s="751">
        <v>0</v>
      </c>
      <c r="M420" s="751">
        <v>0</v>
      </c>
      <c r="N420" s="12"/>
    </row>
    <row r="421" spans="4:14" ht="15" customHeight="1">
      <c r="D421" s="40"/>
      <c r="E421" s="32" t="s">
        <v>793</v>
      </c>
      <c r="F421" s="929" cm="1">
        <f t="array" ref="F421:M421">((1-INDEX(ST_EXISTENTES_IMPLEMENTACION,CALIDO_HUMEDO,0))*INDEX(ST_EXISTENTES_EQUIPOS_ALTA_EFIC,CALIDO_HUMEDO,0)*GEN_HOGARES*INDEX(GEN_HOGARES_URBANOS_NUEVOS,CALIDO_HUMEDO,0)*INDEX(SF_TENENCIA,CALIDO_HUMEDO,0))*INDEX(COSTOS_DE_OPERACION_edif_res_urb_aer_ALTO,CALIDO_HUMEDO,0)*COSTOS_2019_US_dolares_MMCOP</f>
        <v>0</v>
      </c>
      <c r="G421" s="930">
        <v>0</v>
      </c>
      <c r="H421" s="930">
        <v>0</v>
      </c>
      <c r="I421" s="930">
        <v>0</v>
      </c>
      <c r="J421" s="930">
        <v>0</v>
      </c>
      <c r="K421" s="930">
        <v>0</v>
      </c>
      <c r="L421" s="930">
        <v>0</v>
      </c>
      <c r="M421" s="930">
        <v>0</v>
      </c>
      <c r="N421" s="12"/>
    </row>
    <row r="422" spans="4:14" ht="15" customHeight="1">
      <c r="D422" s="40"/>
      <c r="E422" s="92" t="s">
        <v>1714</v>
      </c>
      <c r="F422" s="931" cm="1">
        <f t="array" ref="F422:M422">_xlfn.ANCHORARRAY(F418)+_xlfn.ANCHORARRAY(F419)+_xlfn.ANCHORARRAY(F420)+_xlfn.ANCHORARRAY(F421)</f>
        <v>0</v>
      </c>
      <c r="G422" s="931">
        <v>0</v>
      </c>
      <c r="H422" s="931">
        <v>0</v>
      </c>
      <c r="I422" s="931">
        <v>0</v>
      </c>
      <c r="J422" s="931">
        <v>0</v>
      </c>
      <c r="K422" s="931">
        <v>0</v>
      </c>
      <c r="L422" s="931">
        <v>0</v>
      </c>
      <c r="M422" s="931">
        <v>0</v>
      </c>
      <c r="N422" s="12"/>
    </row>
    <row r="423" spans="4:14" ht="15" customHeight="1">
      <c r="D423" s="45"/>
      <c r="E423" s="12"/>
      <c r="F423" s="12"/>
      <c r="G423" s="12"/>
      <c r="H423" s="12"/>
      <c r="I423" s="12"/>
      <c r="J423" s="12"/>
      <c r="K423" s="12"/>
      <c r="L423" s="12"/>
      <c r="M423" s="12"/>
      <c r="N423" s="12"/>
    </row>
    <row r="424" spans="4:14" ht="15" customHeight="1">
      <c r="D424" s="20"/>
      <c r="E424" s="41" t="s">
        <v>821</v>
      </c>
      <c r="F424" s="44"/>
      <c r="G424" s="45"/>
      <c r="H424" s="45"/>
      <c r="I424" s="45"/>
      <c r="J424" s="45"/>
      <c r="K424" s="45"/>
      <c r="L424" s="45"/>
      <c r="M424" s="45"/>
      <c r="N424" s="12"/>
    </row>
    <row r="425" spans="4:14" ht="15" customHeight="1">
      <c r="D425" s="20"/>
      <c r="E425" s="30"/>
      <c r="F425" s="44"/>
      <c r="G425" s="45"/>
      <c r="H425" s="45"/>
      <c r="I425" s="45"/>
      <c r="J425" s="45"/>
      <c r="K425" s="45"/>
      <c r="L425" s="45"/>
      <c r="M425" s="45"/>
      <c r="N425" s="12"/>
    </row>
    <row r="426" spans="4:14" ht="15" customHeight="1">
      <c r="D426" s="20"/>
      <c r="E426" s="26" t="s">
        <v>2095</v>
      </c>
      <c r="F426" s="20"/>
      <c r="G426" s="20"/>
      <c r="H426" s="20"/>
      <c r="I426" s="20"/>
      <c r="J426" s="20"/>
      <c r="K426" s="20"/>
      <c r="L426" s="20"/>
      <c r="M426" s="27" t="s">
        <v>803</v>
      </c>
      <c r="N426" s="12"/>
    </row>
    <row r="427" spans="4:14" ht="15" customHeight="1">
      <c r="D427" s="40"/>
      <c r="E427" s="28" t="s">
        <v>789</v>
      </c>
      <c r="F427" s="932">
        <v>2018</v>
      </c>
      <c r="G427" s="932">
        <v>2020</v>
      </c>
      <c r="H427" s="932">
        <v>2025</v>
      </c>
      <c r="I427" s="932">
        <v>2030</v>
      </c>
      <c r="J427" s="932">
        <v>2035</v>
      </c>
      <c r="K427" s="932">
        <v>2040</v>
      </c>
      <c r="L427" s="932">
        <v>2045</v>
      </c>
      <c r="M427" s="932">
        <v>2050</v>
      </c>
      <c r="N427" s="12"/>
    </row>
    <row r="428" spans="4:14" ht="15" customHeight="1">
      <c r="D428" s="40"/>
      <c r="E428" s="30" t="s">
        <v>795</v>
      </c>
      <c r="F428" s="927" cm="1">
        <f t="array" ref="F428:M428">((1-INDEX(ST_NUEVOS_IMPLEMENTACION,FRIO,0))*INDEX(ST_NUEVOS_EQUIPOS_ALTA_EFIC,FRIO,0)*GEN_HOGARES*INDEX(GEN_HOGARES_URBANOS_NUEVOS,FRIO,0))*INDEX(SF_TENENCIA,FRIO,0)*INDEX(COSTOS_DE_OPERACION_edif_res_urb_aer_MEDIO,FRIO,0)*COSTOS_2019_US_dolares_MMCOP</f>
        <v>0</v>
      </c>
      <c r="G428" s="751">
        <v>0</v>
      </c>
      <c r="H428" s="751">
        <v>0</v>
      </c>
      <c r="I428" s="751">
        <v>0</v>
      </c>
      <c r="J428" s="751">
        <v>0</v>
      </c>
      <c r="K428" s="751">
        <v>0</v>
      </c>
      <c r="L428" s="751">
        <v>0</v>
      </c>
      <c r="M428" s="751">
        <v>0</v>
      </c>
      <c r="N428" s="12"/>
    </row>
    <row r="429" spans="4:14" ht="15" customHeight="1">
      <c r="D429" s="40"/>
      <c r="E429" s="30" t="s">
        <v>791</v>
      </c>
      <c r="F429" s="928" cm="1">
        <f t="array" ref="F429:M429">((1-INDEX(ST_NUEVOS_IMPLEMENTACION,TEMPLADO,0))*INDEX(ST_NUEVOS_EQUIPOS_ALTA_EFIC,TEMPLADO,0)*GEN_HOGARES*INDEX(GEN_HOGARES_URBANOS_NUEVOS,TEMPLADO,0))*INDEX(SF_TENENCIA,TEMPLADO,0)*INDEX(COSTOS_DE_OPERACION_edif_res_urb_aer_MEDIO,TEMPLADO,0)*COSTOS_2019_US_dolares_MMCOP</f>
        <v>0</v>
      </c>
      <c r="G429" s="751">
        <v>0</v>
      </c>
      <c r="H429" s="751">
        <v>0</v>
      </c>
      <c r="I429" s="751">
        <v>0</v>
      </c>
      <c r="J429" s="751">
        <v>0</v>
      </c>
      <c r="K429" s="751">
        <v>0</v>
      </c>
      <c r="L429" s="751">
        <v>0</v>
      </c>
      <c r="M429" s="751">
        <v>0</v>
      </c>
      <c r="N429" s="12"/>
    </row>
    <row r="430" spans="4:14" ht="15" customHeight="1">
      <c r="D430" s="40"/>
      <c r="E430" s="30" t="s">
        <v>792</v>
      </c>
      <c r="F430" s="928" cm="1">
        <f t="array" ref="F430:M430">((1-INDEX(ST_NUEVOS_IMPLEMENTACION,CALIDO_SECO,0))*INDEX(ST_NUEVOS_EQUIPOS_ALTA_EFIC,CALIDO_SECO,0)*GEN_HOGARES*INDEX(GEN_HOGARES_URBANOS_NUEVOS,CALIDO_SECO,0))*INDEX(SF_TENENCIA,CALIDO_SECO,0)*INDEX(COSTOS_DE_OPERACION_edif_res_urb_aer_MEDIO,CALIDO_SECO,0)*COSTOS_2019_US_dolares_MMCOP</f>
        <v>0</v>
      </c>
      <c r="G430" s="751">
        <v>0</v>
      </c>
      <c r="H430" s="751">
        <v>0</v>
      </c>
      <c r="I430" s="751">
        <v>0</v>
      </c>
      <c r="J430" s="751">
        <v>0</v>
      </c>
      <c r="K430" s="751">
        <v>0</v>
      </c>
      <c r="L430" s="751">
        <v>0</v>
      </c>
      <c r="M430" s="751">
        <v>0</v>
      </c>
      <c r="N430" s="12"/>
    </row>
    <row r="431" spans="4:14" ht="15" customHeight="1">
      <c r="D431" s="40"/>
      <c r="E431" s="32" t="s">
        <v>793</v>
      </c>
      <c r="F431" s="929" cm="1">
        <f t="array" ref="F431:M431">((1-INDEX(ST_NUEVOS_IMPLEMENTACION,CALIDO_HUMEDO,0))*INDEX(ST_NUEVOS_EQUIPOS_ALTA_EFIC,CALIDO_HUMEDO,0)*GEN_HOGARES*INDEX(GEN_HOGARES_URBANOS_NUEVOS,CALIDO_HUMEDO,0))*INDEX(SF_TENENCIA,CALIDO_HUMEDO,0)*INDEX(COSTOS_DE_OPERACION_edif_res_urb_aer_MEDIO,CALIDO_HUMEDO,0)*COSTOS_2019_US_dolares_MMCOP</f>
        <v>0</v>
      </c>
      <c r="G431" s="930">
        <v>0</v>
      </c>
      <c r="H431" s="930">
        <v>0</v>
      </c>
      <c r="I431" s="930">
        <v>0</v>
      </c>
      <c r="J431" s="930">
        <v>0</v>
      </c>
      <c r="K431" s="930">
        <v>0</v>
      </c>
      <c r="L431" s="930">
        <v>0</v>
      </c>
      <c r="M431" s="930">
        <v>0</v>
      </c>
      <c r="N431" s="12"/>
    </row>
    <row r="432" spans="4:14" ht="15" customHeight="1">
      <c r="D432" s="40"/>
      <c r="E432" s="92" t="s">
        <v>1714</v>
      </c>
      <c r="F432" s="931" cm="1">
        <f t="array" ref="F432:M432">_xlfn.ANCHORARRAY(F428)+_xlfn.ANCHORARRAY(F429)+_xlfn.ANCHORARRAY(F430)+_xlfn.ANCHORARRAY(F431)</f>
        <v>0</v>
      </c>
      <c r="G432" s="931">
        <v>0</v>
      </c>
      <c r="H432" s="931">
        <v>0</v>
      </c>
      <c r="I432" s="931">
        <v>0</v>
      </c>
      <c r="J432" s="931">
        <v>0</v>
      </c>
      <c r="K432" s="931">
        <v>0</v>
      </c>
      <c r="L432" s="931">
        <v>0</v>
      </c>
      <c r="M432" s="931">
        <v>0</v>
      </c>
      <c r="N432" s="12"/>
    </row>
    <row r="433" spans="4:14" ht="15" customHeight="1">
      <c r="D433" s="40"/>
      <c r="E433" s="36"/>
      <c r="F433" s="44"/>
      <c r="G433" s="45"/>
      <c r="H433" s="45"/>
      <c r="I433" s="45"/>
      <c r="J433" s="45"/>
      <c r="K433" s="45"/>
      <c r="L433" s="45"/>
      <c r="M433" s="45"/>
      <c r="N433" s="12"/>
    </row>
    <row r="434" spans="4:14" ht="15" customHeight="1">
      <c r="D434" s="40"/>
      <c r="E434" s="26" t="s">
        <v>2096</v>
      </c>
      <c r="F434" s="20"/>
      <c r="G434" s="20"/>
      <c r="H434" s="20"/>
      <c r="I434" s="20"/>
      <c r="J434" s="20"/>
      <c r="K434" s="20"/>
      <c r="L434" s="20"/>
      <c r="M434" s="27" t="s">
        <v>803</v>
      </c>
      <c r="N434" s="12"/>
    </row>
    <row r="435" spans="4:14" ht="15" customHeight="1">
      <c r="D435" s="40"/>
      <c r="E435" s="28" t="s">
        <v>789</v>
      </c>
      <c r="F435" s="932">
        <v>2018</v>
      </c>
      <c r="G435" s="932">
        <v>2020</v>
      </c>
      <c r="H435" s="932">
        <v>2025</v>
      </c>
      <c r="I435" s="932">
        <v>2030</v>
      </c>
      <c r="J435" s="932">
        <v>2035</v>
      </c>
      <c r="K435" s="932">
        <v>2040</v>
      </c>
      <c r="L435" s="932">
        <v>2045</v>
      </c>
      <c r="M435" s="932">
        <v>2050</v>
      </c>
      <c r="N435" s="12"/>
    </row>
    <row r="436" spans="4:14" ht="15" customHeight="1">
      <c r="D436" s="40"/>
      <c r="E436" s="30" t="s">
        <v>795</v>
      </c>
      <c r="F436" s="927" cm="1">
        <f t="array" ref="F436:M436">((1-INDEX(ST_EXISTENTES_IMPLEMENTACION,FRIO,0))*INDEX(ST_EXISTENTES_EQUIPOS_ALTA_EFIC,FRIO,0)*GEN_HOGARES*INDEX(GEN_HOGARES_URBANOS_NUEVOS,FRIO,0)*INDEX(SF_TENENCIA,FRIO,0))*INDEX(COSTOS_DE_OPERACION_edif_res_urb_aer_MEDIO,FRIO,0)*COSTOS_2019_US_dolares_MMCOP</f>
        <v>0</v>
      </c>
      <c r="G436" s="751">
        <v>0</v>
      </c>
      <c r="H436" s="751">
        <v>0</v>
      </c>
      <c r="I436" s="751">
        <v>0</v>
      </c>
      <c r="J436" s="751">
        <v>0</v>
      </c>
      <c r="K436" s="751">
        <v>0</v>
      </c>
      <c r="L436" s="751">
        <v>0</v>
      </c>
      <c r="M436" s="751">
        <v>0</v>
      </c>
      <c r="N436" s="12"/>
    </row>
    <row r="437" spans="4:14" ht="15" customHeight="1">
      <c r="D437" s="40"/>
      <c r="E437" s="30" t="s">
        <v>791</v>
      </c>
      <c r="F437" s="933" cm="1">
        <f t="array" ref="F437:M437">((1-INDEX(ST_EXISTENTES_IMPLEMENTACION,TEMPLADO,0))*INDEX(ST_EXISTENTES_EQUIPOS_ALTA_EFIC,TEMPLADO,0)*GEN_HOGARES*INDEX(GEN_HOGARES_URBANOS_NUEVOS,TEMPLADO,0)*INDEX(SF_TENENCIA,TEMPLADO,0))*INDEX(COSTOS_DE_OPERACION_edif_res_urb_aer_MEDIO,TEMPLADO,0)*COSTOS_2019_US_dolares_MMCOP</f>
        <v>0</v>
      </c>
      <c r="G437" s="751">
        <v>0</v>
      </c>
      <c r="H437" s="751">
        <v>0</v>
      </c>
      <c r="I437" s="751">
        <v>0</v>
      </c>
      <c r="J437" s="751">
        <v>0</v>
      </c>
      <c r="K437" s="751">
        <v>0</v>
      </c>
      <c r="L437" s="751">
        <v>0</v>
      </c>
      <c r="M437" s="751">
        <v>0</v>
      </c>
      <c r="N437" s="12"/>
    </row>
    <row r="438" spans="4:14" ht="15" customHeight="1">
      <c r="D438" s="20"/>
      <c r="E438" s="30" t="s">
        <v>792</v>
      </c>
      <c r="F438" s="933" cm="1">
        <f t="array" ref="F438:M438">((1-INDEX(ST_EXISTENTES_IMPLEMENTACION,CALIDO_SECO,0))*INDEX(ST_EXISTENTES_EQUIPOS_ALTA_EFIC,CALIDO_SECO,0)*GEN_HOGARES*INDEX(GEN_HOGARES_URBANOS_NUEVOS,CALIDO_SECO,0)*INDEX(SF_TENENCIA,CALIDO_SECO,0))*INDEX(COSTOS_DE_OPERACION_edif_res_urb_aer_MEDIO,CALIDO_SECO,0)*COSTOS_2019_US_dolares_MMCOP</f>
        <v>0</v>
      </c>
      <c r="G438" s="751">
        <v>0</v>
      </c>
      <c r="H438" s="751">
        <v>0</v>
      </c>
      <c r="I438" s="751">
        <v>0</v>
      </c>
      <c r="J438" s="751">
        <v>0</v>
      </c>
      <c r="K438" s="751">
        <v>0</v>
      </c>
      <c r="L438" s="751">
        <v>0</v>
      </c>
      <c r="M438" s="751">
        <v>0</v>
      </c>
      <c r="N438" s="12"/>
    </row>
    <row r="439" spans="4:14" ht="15" customHeight="1">
      <c r="D439" s="40"/>
      <c r="E439" s="32" t="s">
        <v>793</v>
      </c>
      <c r="F439" s="929" cm="1">
        <f t="array" ref="F439:M439">((1-INDEX(ST_EXISTENTES_IMPLEMENTACION,CALIDO_HUMEDO,0))*INDEX(ST_EXISTENTES_EQUIPOS_ALTA_EFIC,CALIDO_HUMEDO,0)*GEN_HOGARES*INDEX(GEN_HOGARES_URBANOS_NUEVOS,CALIDO_HUMEDO,0)*INDEX(SF_TENENCIA,CALIDO_HUMEDO,0))*INDEX(COSTOS_DE_OPERACION_edif_res_urb_aer_MEDIO,CALIDO_HUMEDO,0)*COSTOS_2019_US_dolares_MMCOP</f>
        <v>0</v>
      </c>
      <c r="G439" s="930">
        <v>0</v>
      </c>
      <c r="H439" s="930">
        <v>0</v>
      </c>
      <c r="I439" s="930">
        <v>0</v>
      </c>
      <c r="J439" s="930">
        <v>0</v>
      </c>
      <c r="K439" s="930">
        <v>0</v>
      </c>
      <c r="L439" s="930">
        <v>0</v>
      </c>
      <c r="M439" s="930">
        <v>0</v>
      </c>
      <c r="N439" s="12"/>
    </row>
    <row r="440" spans="4:14" ht="15" customHeight="1">
      <c r="D440" s="40"/>
      <c r="E440" s="92" t="s">
        <v>1714</v>
      </c>
      <c r="F440" s="931" cm="1">
        <f t="array" ref="F440:M440">_xlfn.ANCHORARRAY(F436)+_xlfn.ANCHORARRAY(F437)+_xlfn.ANCHORARRAY(F438)+_xlfn.ANCHORARRAY(F439)</f>
        <v>0</v>
      </c>
      <c r="G440" s="931">
        <v>0</v>
      </c>
      <c r="H440" s="931">
        <v>0</v>
      </c>
      <c r="I440" s="931">
        <v>0</v>
      </c>
      <c r="J440" s="931">
        <v>0</v>
      </c>
      <c r="K440" s="931">
        <v>0</v>
      </c>
      <c r="L440" s="931">
        <v>0</v>
      </c>
      <c r="M440" s="931">
        <v>0</v>
      </c>
      <c r="N440" s="12"/>
    </row>
    <row r="441" spans="4:14" ht="15" customHeight="1">
      <c r="D441" s="40"/>
      <c r="E441" s="12"/>
      <c r="F441" s="12"/>
      <c r="G441" s="12"/>
      <c r="H441" s="12"/>
      <c r="I441" s="12"/>
      <c r="J441" s="12"/>
      <c r="K441" s="12"/>
      <c r="L441" s="12"/>
      <c r="M441" s="12"/>
      <c r="N441" s="12"/>
    </row>
    <row r="442" spans="4:14" ht="15" customHeight="1">
      <c r="D442" s="40"/>
      <c r="E442" s="41" t="s">
        <v>822</v>
      </c>
      <c r="F442" s="12"/>
      <c r="G442" s="12"/>
      <c r="H442" s="12"/>
      <c r="I442" s="12"/>
      <c r="J442" s="12"/>
      <c r="K442" s="12"/>
      <c r="L442" s="12"/>
      <c r="M442" s="12"/>
      <c r="N442" s="12"/>
    </row>
    <row r="443" spans="4:14" ht="15" customHeight="1">
      <c r="D443" s="40"/>
      <c r="E443" s="12"/>
      <c r="F443" s="12"/>
      <c r="G443" s="12"/>
      <c r="H443" s="12"/>
      <c r="I443" s="12"/>
      <c r="J443" s="12"/>
      <c r="K443" s="12"/>
      <c r="L443" s="12"/>
      <c r="M443" s="12"/>
      <c r="N443" s="12"/>
    </row>
    <row r="444" spans="4:14" ht="15" customHeight="1">
      <c r="D444" s="40"/>
      <c r="E444" s="26" t="s">
        <v>2095</v>
      </c>
      <c r="F444" s="20"/>
      <c r="G444" s="20"/>
      <c r="H444" s="20"/>
      <c r="I444" s="20"/>
      <c r="J444" s="20"/>
      <c r="K444" s="20"/>
      <c r="L444" s="20"/>
      <c r="M444" s="27" t="s">
        <v>803</v>
      </c>
      <c r="N444" s="12"/>
    </row>
    <row r="445" spans="4:14" ht="15" customHeight="1">
      <c r="D445" s="40"/>
      <c r="E445" s="28" t="s">
        <v>789</v>
      </c>
      <c r="F445" s="29">
        <v>2018</v>
      </c>
      <c r="G445" s="29">
        <v>2020</v>
      </c>
      <c r="H445" s="29">
        <v>2025</v>
      </c>
      <c r="I445" s="29">
        <v>2030</v>
      </c>
      <c r="J445" s="29">
        <v>2035</v>
      </c>
      <c r="K445" s="29">
        <v>2040</v>
      </c>
      <c r="L445" s="29">
        <v>2045</v>
      </c>
      <c r="M445" s="29">
        <v>2050</v>
      </c>
      <c r="N445" s="12"/>
    </row>
    <row r="446" spans="4:14" ht="15" customHeight="1">
      <c r="D446" s="40"/>
      <c r="E446" s="30" t="s">
        <v>795</v>
      </c>
      <c r="F446" s="927" cm="1">
        <f t="array" ref="F446:M446">((1-INDEX(ST_NUEVOS_IMPLEMENTACION,FRIO,0))*INDEX(ST_NUEVOS_EQUIPOS_ALTA_EFIC,FRIO,0)*GEN_HOGARES*INDEX(GEN_HOGARES_URBANOS_NUEVOS,FRIO,0))*INDEX(SF_TENENCIA,FRIO,0)*INDEX(COSTOS_DE_OPERACION_edif_res_urb_aer_BAJO,FRIO,0)*COSTOS_2019_US_dolares_MMCOP</f>
        <v>0</v>
      </c>
      <c r="G446" s="751">
        <v>0</v>
      </c>
      <c r="H446" s="751">
        <v>0</v>
      </c>
      <c r="I446" s="751">
        <v>0</v>
      </c>
      <c r="J446" s="751">
        <v>0</v>
      </c>
      <c r="K446" s="751">
        <v>0</v>
      </c>
      <c r="L446" s="751">
        <v>0</v>
      </c>
      <c r="M446" s="751">
        <v>0</v>
      </c>
      <c r="N446" s="12"/>
    </row>
    <row r="447" spans="4:14" ht="15" customHeight="1">
      <c r="D447" s="40"/>
      <c r="E447" s="30" t="s">
        <v>791</v>
      </c>
      <c r="F447" s="928" cm="1">
        <f t="array" ref="F447:M447">((1-INDEX(ST_NUEVOS_IMPLEMENTACION,TEMPLADO,0))*INDEX(ST_NUEVOS_EQUIPOS_ALTA_EFIC,TEMPLADO,0)*GEN_HOGARES*INDEX(GEN_HOGARES_URBANOS_NUEVOS,TEMPLADO,0))*INDEX(SF_TENENCIA,TEMPLADO,0)*INDEX(COSTOS_DE_OPERACION_edif_res_urb_aer_BAJO,TEMPLADO,0)*COSTOS_2019_US_dolares_MMCOP</f>
        <v>0</v>
      </c>
      <c r="G447" s="751">
        <v>0</v>
      </c>
      <c r="H447" s="751">
        <v>0</v>
      </c>
      <c r="I447" s="751">
        <v>0</v>
      </c>
      <c r="J447" s="751">
        <v>0</v>
      </c>
      <c r="K447" s="751">
        <v>0</v>
      </c>
      <c r="L447" s="751">
        <v>0</v>
      </c>
      <c r="M447" s="751">
        <v>0</v>
      </c>
      <c r="N447" s="12"/>
    </row>
    <row r="448" spans="4:14" ht="15" customHeight="1">
      <c r="D448" s="40"/>
      <c r="E448" s="30" t="s">
        <v>792</v>
      </c>
      <c r="F448" s="928" cm="1">
        <f t="array" ref="F448:M448">((1-INDEX(ST_NUEVOS_IMPLEMENTACION,CALIDO_SECO,0))*INDEX(ST_NUEVOS_EQUIPOS_ALTA_EFIC,CALIDO_SECO,0)*GEN_HOGARES*INDEX(GEN_HOGARES_URBANOS_NUEVOS,CALIDO_SECO,0))*INDEX(SF_TENENCIA,CALIDO_SECO,0)*INDEX(COSTOS_DE_OPERACION_edif_res_urb_aer_BAJO,CALIDO_SECO,0)*COSTOS_2019_US_dolares_MMCOP</f>
        <v>0</v>
      </c>
      <c r="G448" s="751">
        <v>0</v>
      </c>
      <c r="H448" s="751">
        <v>0</v>
      </c>
      <c r="I448" s="751">
        <v>0</v>
      </c>
      <c r="J448" s="751">
        <v>0</v>
      </c>
      <c r="K448" s="751">
        <v>0</v>
      </c>
      <c r="L448" s="751">
        <v>0</v>
      </c>
      <c r="M448" s="751">
        <v>0</v>
      </c>
      <c r="N448" s="12"/>
    </row>
    <row r="449" spans="4:14" ht="15" customHeight="1">
      <c r="D449" s="45"/>
      <c r="E449" s="32" t="s">
        <v>793</v>
      </c>
      <c r="F449" s="929" cm="1">
        <f t="array" ref="F449:M449">((1-INDEX(ST_NUEVOS_IMPLEMENTACION,CALIDO_HUMEDO,0))*INDEX(ST_NUEVOS_EQUIPOS_ALTA_EFIC,CALIDO_HUMEDO,0)*GEN_HOGARES*INDEX(GEN_HOGARES_URBANOS_NUEVOS,CALIDO_HUMEDO,0))*INDEX(SF_TENENCIA,CALIDO_HUMEDO,0)*INDEX(COSTOS_DE_OPERACION_edif_res_urb_aer_BAJO,CALIDO_HUMEDO,0)*COSTOS_2019_US_dolares_MMCOP</f>
        <v>0</v>
      </c>
      <c r="G449" s="930">
        <v>0</v>
      </c>
      <c r="H449" s="930">
        <v>0</v>
      </c>
      <c r="I449" s="930">
        <v>0</v>
      </c>
      <c r="J449" s="930">
        <v>0</v>
      </c>
      <c r="K449" s="930">
        <v>0</v>
      </c>
      <c r="L449" s="930">
        <v>0</v>
      </c>
      <c r="M449" s="930">
        <v>0</v>
      </c>
      <c r="N449" s="12"/>
    </row>
    <row r="450" spans="4:14" ht="15" customHeight="1">
      <c r="D450" s="45"/>
      <c r="E450" s="92" t="s">
        <v>1714</v>
      </c>
      <c r="F450" s="931" cm="1">
        <f t="array" ref="F450:M450">_xlfn.ANCHORARRAY(F446)+_xlfn.ANCHORARRAY(F447)+_xlfn.ANCHORARRAY(F448)+_xlfn.ANCHORARRAY(F449)</f>
        <v>0</v>
      </c>
      <c r="G450" s="931">
        <v>0</v>
      </c>
      <c r="H450" s="931">
        <v>0</v>
      </c>
      <c r="I450" s="931">
        <v>0</v>
      </c>
      <c r="J450" s="931">
        <v>0</v>
      </c>
      <c r="K450" s="931">
        <v>0</v>
      </c>
      <c r="L450" s="931">
        <v>0</v>
      </c>
      <c r="M450" s="931">
        <v>0</v>
      </c>
      <c r="N450" s="12"/>
    </row>
    <row r="451" spans="4:14" ht="15" customHeight="1">
      <c r="D451" s="20"/>
      <c r="E451" s="12"/>
      <c r="F451" s="12"/>
      <c r="G451" s="12"/>
      <c r="H451" s="12"/>
      <c r="I451" s="12"/>
      <c r="J451" s="12"/>
      <c r="K451" s="12"/>
      <c r="L451" s="12"/>
      <c r="M451" s="12"/>
      <c r="N451" s="12"/>
    </row>
    <row r="452" spans="4:14" ht="15" customHeight="1">
      <c r="D452" s="40"/>
      <c r="E452" s="26" t="s">
        <v>2096</v>
      </c>
      <c r="F452" s="20"/>
      <c r="G452" s="20"/>
      <c r="H452" s="20"/>
      <c r="I452" s="20"/>
      <c r="J452" s="20"/>
      <c r="K452" s="20"/>
      <c r="L452" s="20"/>
      <c r="M452" s="27" t="s">
        <v>803</v>
      </c>
      <c r="N452" s="12"/>
    </row>
    <row r="453" spans="4:14" ht="15" customHeight="1">
      <c r="D453" s="40"/>
      <c r="E453" s="28" t="s">
        <v>789</v>
      </c>
      <c r="F453" s="29">
        <v>2018</v>
      </c>
      <c r="G453" s="29">
        <v>2020</v>
      </c>
      <c r="H453" s="29">
        <v>2025</v>
      </c>
      <c r="I453" s="29">
        <v>2030</v>
      </c>
      <c r="J453" s="29">
        <v>2035</v>
      </c>
      <c r="K453" s="29">
        <v>2040</v>
      </c>
      <c r="L453" s="29">
        <v>2045</v>
      </c>
      <c r="M453" s="29">
        <v>2050</v>
      </c>
      <c r="N453" s="12"/>
    </row>
    <row r="454" spans="4:14" ht="15" customHeight="1">
      <c r="D454" s="40"/>
      <c r="E454" s="30" t="s">
        <v>795</v>
      </c>
      <c r="F454" s="927" cm="1">
        <f t="array" ref="F454:M454">((1-INDEX(ST_EXISTENTES_IMPLEMENTACION,FRIO,0))*INDEX(ST_EXISTENTES_EQUIPOS_ALTA_EFIC,FRIO,0)*GEN_HOGARES*INDEX(GEN_HOGARES_URBANOS_NUEVOS,FRIO,0)*INDEX(SF_TENENCIA,FRIO,0))*INDEX(COSTOS_DE_OPERACION_edif_res_urb_aer_BAJO,FRIO,0)*COSTOS_2019_US_dolares_MMCOP</f>
        <v>0</v>
      </c>
      <c r="G454" s="751">
        <v>0</v>
      </c>
      <c r="H454" s="751">
        <v>0</v>
      </c>
      <c r="I454" s="751">
        <v>0</v>
      </c>
      <c r="J454" s="751">
        <v>0</v>
      </c>
      <c r="K454" s="751">
        <v>0</v>
      </c>
      <c r="L454" s="751">
        <v>0</v>
      </c>
      <c r="M454" s="751">
        <v>0</v>
      </c>
      <c r="N454" s="12"/>
    </row>
    <row r="455" spans="4:14" ht="15" customHeight="1">
      <c r="D455" s="40"/>
      <c r="E455" s="30" t="s">
        <v>791</v>
      </c>
      <c r="F455" s="928" cm="1">
        <f t="array" ref="F455:M455">((1-INDEX(ST_EXISTENTES_IMPLEMENTACION,TEMPLADO,0))*INDEX(ST_EXISTENTES_EQUIPOS_ALTA_EFIC,TEMPLADO,0)*GEN_HOGARES*INDEX(GEN_HOGARES_URBANOS_NUEVOS,TEMPLADO,0)*INDEX(SF_TENENCIA,TEMPLADO,0))*INDEX(COSTOS_DE_OPERACION_edif_res_urb_aer_BAJO,TEMPLADO,0)*COSTOS_2019_US_dolares_MMCOP</f>
        <v>0</v>
      </c>
      <c r="G455" s="751">
        <v>0</v>
      </c>
      <c r="H455" s="751">
        <v>0</v>
      </c>
      <c r="I455" s="751">
        <v>0</v>
      </c>
      <c r="J455" s="751">
        <v>0</v>
      </c>
      <c r="K455" s="751">
        <v>0</v>
      </c>
      <c r="L455" s="751">
        <v>0</v>
      </c>
      <c r="M455" s="751">
        <v>0</v>
      </c>
      <c r="N455" s="12"/>
    </row>
    <row r="456" spans="4:14" ht="15" customHeight="1">
      <c r="D456" s="40"/>
      <c r="E456" s="30" t="s">
        <v>792</v>
      </c>
      <c r="F456" s="928" cm="1">
        <f t="array" ref="F456:M456">((1-INDEX(ST_EXISTENTES_IMPLEMENTACION,CALIDO_SECO,0))*INDEX(ST_EXISTENTES_EQUIPOS_ALTA_EFIC,CALIDO_SECO,0)*GEN_HOGARES*INDEX(GEN_HOGARES_URBANOS_NUEVOS,CALIDO_SECO,0)*INDEX(SF_TENENCIA,CALIDO_SECO,0))*INDEX(COSTOS_DE_OPERACION_edif_res_urb_aer_BAJO,CALIDO_SECO,0)*COSTOS_2019_US_dolares_MMCOP</f>
        <v>0</v>
      </c>
      <c r="G456" s="751">
        <v>0</v>
      </c>
      <c r="H456" s="751">
        <v>0</v>
      </c>
      <c r="I456" s="751">
        <v>0</v>
      </c>
      <c r="J456" s="751">
        <v>0</v>
      </c>
      <c r="K456" s="751">
        <v>0</v>
      </c>
      <c r="L456" s="751">
        <v>0</v>
      </c>
      <c r="M456" s="751">
        <v>0</v>
      </c>
      <c r="N456" s="12"/>
    </row>
    <row r="457" spans="4:14" ht="15" customHeight="1">
      <c r="D457" s="30"/>
      <c r="E457" s="32" t="s">
        <v>793</v>
      </c>
      <c r="F457" s="929" cm="1">
        <f t="array" ref="F457:M457">((1-INDEX(ST_EXISTENTES_IMPLEMENTACION,CALIDO_HUMEDO,0))*INDEX(ST_EXISTENTES_EQUIPOS_ALTA_EFIC,CALIDO_HUMEDO,0)*GEN_HOGARES*INDEX(GEN_HOGARES_URBANOS_NUEVOS,CALIDO_HUMEDO,0)*INDEX(SF_TENENCIA,CALIDO_HUMEDO,0))*INDEX(COSTOS_DE_OPERACION_edif_res_urb_aer_BAJO,CALIDO_HUMEDO,0)*COSTOS_2019_US_dolares_MMCOP</f>
        <v>0</v>
      </c>
      <c r="G457" s="930">
        <v>0</v>
      </c>
      <c r="H457" s="930">
        <v>0</v>
      </c>
      <c r="I457" s="930">
        <v>0</v>
      </c>
      <c r="J457" s="930">
        <v>0</v>
      </c>
      <c r="K457" s="930">
        <v>0</v>
      </c>
      <c r="L457" s="930">
        <v>0</v>
      </c>
      <c r="M457" s="930">
        <v>0</v>
      </c>
      <c r="N457" s="12"/>
    </row>
    <row r="458" spans="4:14" ht="15" customHeight="1">
      <c r="D458" s="30"/>
      <c r="E458" s="92" t="s">
        <v>1714</v>
      </c>
      <c r="F458" s="931" cm="1">
        <f t="array" ref="F458:M458">_xlfn.ANCHORARRAY(F454)+_xlfn.ANCHORARRAY(F455)+_xlfn.ANCHORARRAY(F456)+_xlfn.ANCHORARRAY(F457)</f>
        <v>0</v>
      </c>
      <c r="G458" s="931">
        <v>0</v>
      </c>
      <c r="H458" s="931">
        <v>0</v>
      </c>
      <c r="I458" s="931">
        <v>0</v>
      </c>
      <c r="J458" s="931">
        <v>0</v>
      </c>
      <c r="K458" s="931">
        <v>0</v>
      </c>
      <c r="L458" s="931">
        <v>0</v>
      </c>
      <c r="M458" s="931">
        <v>0</v>
      </c>
      <c r="N458" s="12"/>
    </row>
    <row r="459" spans="4:14" ht="15" customHeight="1">
      <c r="D459" s="40"/>
      <c r="E459" s="30"/>
      <c r="F459" s="46"/>
      <c r="G459" s="43"/>
      <c r="H459" s="43"/>
      <c r="I459" s="43"/>
      <c r="J459" s="43"/>
      <c r="K459" s="43"/>
      <c r="L459" s="43"/>
      <c r="M459" s="43"/>
      <c r="N459" s="12"/>
    </row>
    <row r="461" spans="4:14" ht="15" customHeight="1">
      <c r="D461" s="48" t="s">
        <v>52</v>
      </c>
      <c r="E461" s="49"/>
      <c r="F461" s="49"/>
      <c r="G461" s="49"/>
      <c r="H461" s="49"/>
      <c r="I461" s="49"/>
      <c r="J461" s="49"/>
      <c r="K461" s="49"/>
      <c r="L461" s="49"/>
      <c r="M461" s="49"/>
      <c r="N461" s="49"/>
    </row>
    <row r="462" spans="4:14" ht="15" customHeight="1">
      <c r="D462" s="50"/>
      <c r="E462" s="50"/>
      <c r="F462" s="50"/>
      <c r="G462" s="50"/>
      <c r="H462" s="50"/>
      <c r="I462" s="50"/>
      <c r="J462" s="50"/>
      <c r="K462" s="50"/>
      <c r="L462" s="50"/>
      <c r="M462" s="50"/>
      <c r="N462" s="50"/>
    </row>
    <row r="463" spans="4:14" ht="15" customHeight="1">
      <c r="D463" s="50"/>
      <c r="E463" s="51" t="s">
        <v>1896</v>
      </c>
      <c r="F463" s="50"/>
      <c r="G463" s="50"/>
      <c r="H463" s="50"/>
      <c r="I463" s="50"/>
      <c r="J463" s="50"/>
      <c r="K463" s="50"/>
      <c r="L463" s="50"/>
      <c r="M463" s="50"/>
      <c r="N463" s="50"/>
    </row>
    <row r="464" spans="4:14" ht="15" customHeight="1">
      <c r="D464" s="50"/>
      <c r="E464" s="50"/>
      <c r="F464" s="50"/>
      <c r="G464" s="50"/>
      <c r="H464" s="50"/>
      <c r="I464" s="50"/>
      <c r="J464" s="50"/>
      <c r="K464" s="50"/>
      <c r="L464" s="50"/>
      <c r="M464" s="52" t="s">
        <v>9</v>
      </c>
      <c r="N464" s="50"/>
    </row>
    <row r="465" spans="4:14" ht="15" customHeight="1">
      <c r="D465" s="50"/>
      <c r="E465" s="53" t="s">
        <v>699</v>
      </c>
      <c r="F465" s="942">
        <v>2018</v>
      </c>
      <c r="G465" s="942" t="s">
        <v>322</v>
      </c>
      <c r="H465" s="942" t="s">
        <v>323</v>
      </c>
      <c r="I465" s="942" t="s">
        <v>324</v>
      </c>
      <c r="J465" s="942" t="s">
        <v>325</v>
      </c>
      <c r="K465" s="942" t="s">
        <v>326</v>
      </c>
      <c r="L465" s="942" t="s">
        <v>327</v>
      </c>
      <c r="M465" s="942" t="s">
        <v>328</v>
      </c>
      <c r="N465" s="50"/>
    </row>
    <row r="466" spans="4:14" ht="15" customHeight="1">
      <c r="D466" s="50"/>
      <c r="E466" s="50" t="s">
        <v>2104</v>
      </c>
      <c r="F466" s="1571">
        <f>F561</f>
        <v>1.7758665110660245E-2</v>
      </c>
      <c r="G466" s="1571">
        <f t="shared" ref="G466:L466" si="0">G561</f>
        <v>3.0262920991174957E-2</v>
      </c>
      <c r="H466" s="1571">
        <f t="shared" si="0"/>
        <v>3.7026157097419111E-2</v>
      </c>
      <c r="I466" s="1571">
        <f>I561</f>
        <v>5.1692883068368126E-2</v>
      </c>
      <c r="J466" s="1571">
        <f t="shared" si="0"/>
        <v>6.7563148842646248E-2</v>
      </c>
      <c r="K466" s="1571">
        <f t="shared" si="0"/>
        <v>9.0501223959897056E-2</v>
      </c>
      <c r="L466" s="1571">
        <f t="shared" si="0"/>
        <v>9.9577522217162123E-2</v>
      </c>
      <c r="M466" s="1571">
        <f>M561</f>
        <v>0.12720493225675802</v>
      </c>
      <c r="N466" s="50"/>
    </row>
    <row r="467" spans="4:14" ht="15" customHeight="1">
      <c r="D467" s="50"/>
      <c r="E467" s="1484" t="s">
        <v>2105</v>
      </c>
      <c r="F467" s="1674" cm="1">
        <f t="array" ref="F467:M467">F466:M466</f>
        <v>1.7758665110660245E-2</v>
      </c>
      <c r="G467" s="1674">
        <v>3.0262920991174957E-2</v>
      </c>
      <c r="H467" s="1674">
        <v>3.7026157097419111E-2</v>
      </c>
      <c r="I467" s="1674">
        <v>5.1692883068368126E-2</v>
      </c>
      <c r="J467" s="1674">
        <v>6.7563148842646248E-2</v>
      </c>
      <c r="K467" s="1674">
        <v>9.0501223959897056E-2</v>
      </c>
      <c r="L467" s="1674">
        <v>9.9577522217162123E-2</v>
      </c>
      <c r="M467" s="1674">
        <v>0.12720493225675802</v>
      </c>
      <c r="N467" s="50"/>
    </row>
    <row r="468" spans="4:14" ht="15" customHeight="1">
      <c r="D468" s="50"/>
      <c r="E468" s="1673" t="s">
        <v>338</v>
      </c>
      <c r="F468" s="943" cm="1">
        <f t="array" ref="F468:M468">SALIDA_DEMANDA_EDI_RES_URB_AER_ACONDICIONAMIENTO_ESPACIOS-SALIDA_DEMANDA_EDI_RES_URB_AER_ELECTRICIDAD</f>
        <v>0</v>
      </c>
      <c r="G468" s="943">
        <v>0</v>
      </c>
      <c r="H468" s="943">
        <v>0</v>
      </c>
      <c r="I468" s="943">
        <v>0</v>
      </c>
      <c r="J468" s="943">
        <v>0</v>
      </c>
      <c r="K468" s="943">
        <v>0</v>
      </c>
      <c r="L468" s="943">
        <v>0</v>
      </c>
      <c r="M468" s="943">
        <v>0</v>
      </c>
      <c r="N468" s="50"/>
    </row>
    <row r="469" spans="4:14" ht="15" customHeight="1">
      <c r="D469" s="50"/>
      <c r="E469" s="50"/>
      <c r="F469" s="50"/>
      <c r="G469" s="50"/>
      <c r="H469" s="50"/>
      <c r="I469" s="50"/>
      <c r="J469" s="50"/>
      <c r="K469" s="50"/>
      <c r="L469" s="50"/>
      <c r="M469" s="50"/>
      <c r="N469" s="50"/>
    </row>
    <row r="471" spans="4:14" ht="15" customHeight="1">
      <c r="D471" s="56" t="s">
        <v>1671</v>
      </c>
      <c r="E471" s="57"/>
      <c r="F471" s="57"/>
      <c r="G471" s="57"/>
      <c r="H471" s="57"/>
      <c r="I471" s="57"/>
      <c r="J471" s="57"/>
      <c r="K471" s="57"/>
      <c r="L471" s="57"/>
      <c r="M471" s="57"/>
      <c r="N471" s="57"/>
    </row>
    <row r="472" spans="4:14" ht="15" customHeight="1">
      <c r="D472" s="58"/>
      <c r="E472" s="58"/>
      <c r="F472" s="58"/>
      <c r="G472" s="58"/>
      <c r="H472" s="58"/>
      <c r="I472" s="58"/>
      <c r="J472" s="58"/>
      <c r="K472" s="58"/>
      <c r="L472" s="58"/>
      <c r="M472" s="58"/>
      <c r="N472" s="58"/>
    </row>
    <row r="473" spans="4:14" ht="15" customHeight="1">
      <c r="D473" s="58"/>
      <c r="E473" s="59" t="s">
        <v>2106</v>
      </c>
      <c r="F473" s="58"/>
      <c r="G473" s="58"/>
      <c r="H473" s="58"/>
      <c r="I473" s="58"/>
      <c r="J473" s="58"/>
      <c r="K473" s="58"/>
      <c r="L473" s="58"/>
      <c r="M473" s="58"/>
      <c r="N473" s="58"/>
    </row>
    <row r="474" spans="4:14" ht="15" customHeight="1">
      <c r="D474" s="58"/>
      <c r="E474" s="58"/>
      <c r="F474" s="58"/>
      <c r="G474" s="58"/>
      <c r="H474" s="58"/>
      <c r="I474" s="58"/>
      <c r="J474" s="58"/>
      <c r="K474" s="58"/>
      <c r="L474" s="58"/>
      <c r="M474" s="60" t="s">
        <v>29</v>
      </c>
      <c r="N474" s="58"/>
    </row>
    <row r="475" spans="4:14" ht="15" customHeight="1">
      <c r="D475" s="58"/>
      <c r="E475" s="1150" t="s">
        <v>1986</v>
      </c>
      <c r="F475" s="62">
        <v>2018</v>
      </c>
      <c r="G475" s="62" t="s">
        <v>322</v>
      </c>
      <c r="H475" s="62" t="s">
        <v>323</v>
      </c>
      <c r="I475" s="62" t="s">
        <v>324</v>
      </c>
      <c r="J475" s="62" t="s">
        <v>325</v>
      </c>
      <c r="K475" s="62" t="s">
        <v>326</v>
      </c>
      <c r="L475" s="62" t="s">
        <v>327</v>
      </c>
      <c r="M475" s="62" t="s">
        <v>328</v>
      </c>
      <c r="N475" s="58"/>
    </row>
    <row r="476" spans="4:14" ht="15" customHeight="1">
      <c r="D476" s="58"/>
      <c r="E476" s="1145" t="s">
        <v>1990</v>
      </c>
      <c r="F476" s="1492">
        <v>0</v>
      </c>
      <c r="G476" s="1492">
        <v>0</v>
      </c>
      <c r="H476" s="1492">
        <v>0</v>
      </c>
      <c r="I476" s="1492">
        <v>0</v>
      </c>
      <c r="J476" s="1492">
        <v>0</v>
      </c>
      <c r="K476" s="1492">
        <v>0</v>
      </c>
      <c r="L476" s="1492">
        <v>0</v>
      </c>
      <c r="M476" s="1492">
        <v>0</v>
      </c>
      <c r="N476" s="58"/>
    </row>
    <row r="477" spans="4:14" ht="15" customHeight="1">
      <c r="D477" s="58"/>
      <c r="E477" s="58"/>
      <c r="F477" s="58"/>
      <c r="G477" s="58"/>
      <c r="H477" s="58"/>
      <c r="I477" s="58"/>
      <c r="J477" s="58"/>
      <c r="K477" s="58"/>
      <c r="L477" s="58"/>
      <c r="M477" s="58"/>
      <c r="N477" s="58"/>
    </row>
    <row r="479" spans="4:14" ht="15" customHeight="1">
      <c r="D479" s="64" t="s">
        <v>797</v>
      </c>
      <c r="E479" s="65"/>
      <c r="F479" s="65"/>
      <c r="G479" s="65"/>
      <c r="H479" s="65"/>
      <c r="I479" s="65"/>
      <c r="J479" s="65"/>
      <c r="K479" s="65"/>
      <c r="L479" s="65"/>
      <c r="M479" s="65"/>
      <c r="N479" s="65"/>
    </row>
    <row r="480" spans="4:14" ht="15" customHeight="1">
      <c r="D480" s="66"/>
      <c r="E480" s="66"/>
      <c r="F480" s="66"/>
      <c r="G480" s="66"/>
      <c r="H480" s="66"/>
      <c r="I480" s="66"/>
      <c r="J480" s="66"/>
      <c r="K480" s="66"/>
      <c r="L480" s="66"/>
      <c r="M480" s="66"/>
      <c r="N480" s="66"/>
    </row>
    <row r="481" spans="4:14" ht="15" customHeight="1">
      <c r="D481" s="66"/>
      <c r="E481" s="67" t="s">
        <v>1687</v>
      </c>
      <c r="F481" s="66"/>
      <c r="G481" s="66"/>
      <c r="H481" s="66"/>
      <c r="I481" s="66"/>
      <c r="J481" s="66"/>
      <c r="K481" s="66"/>
      <c r="L481" s="66"/>
      <c r="M481" s="66"/>
      <c r="N481" s="66"/>
    </row>
    <row r="482" spans="4:14" ht="15" customHeight="1">
      <c r="D482" s="66"/>
      <c r="E482" s="66"/>
      <c r="F482" s="66"/>
      <c r="G482" s="66"/>
      <c r="H482" s="66"/>
      <c r="I482" s="66"/>
      <c r="J482" s="66"/>
      <c r="K482" s="66"/>
      <c r="L482" s="66"/>
      <c r="M482" s="236" t="s">
        <v>803</v>
      </c>
      <c r="N482" s="66"/>
    </row>
    <row r="483" spans="4:14" ht="15" customHeight="1">
      <c r="D483" s="66"/>
      <c r="E483" s="68" t="s">
        <v>699</v>
      </c>
      <c r="F483" s="69">
        <v>2018</v>
      </c>
      <c r="G483" s="69" t="s">
        <v>322</v>
      </c>
      <c r="H483" s="69" t="s">
        <v>323</v>
      </c>
      <c r="I483" s="69" t="s">
        <v>324</v>
      </c>
      <c r="J483" s="69" t="s">
        <v>325</v>
      </c>
      <c r="K483" s="69" t="s">
        <v>326</v>
      </c>
      <c r="L483" s="69" t="s">
        <v>327</v>
      </c>
      <c r="M483" s="69" t="s">
        <v>328</v>
      </c>
      <c r="N483" s="66"/>
    </row>
    <row r="484" spans="4:14" ht="15" customHeight="1">
      <c r="D484" s="66"/>
      <c r="E484" s="922" t="s">
        <v>2107</v>
      </c>
      <c r="F484" s="924" cm="1">
        <f t="array" ref="F484:M484">_xlfn.ANCHORARRAY(F302)+_xlfn.ANCHORARRAY(F310)+_xlfn.ANCHORARRAY(F358)+_xlfn.ANCHORARRAY(F366)</f>
        <v>0</v>
      </c>
      <c r="G484" s="924">
        <v>0</v>
      </c>
      <c r="H484" s="924">
        <v>0</v>
      </c>
      <c r="I484" s="924">
        <v>0</v>
      </c>
      <c r="J484" s="924">
        <v>0</v>
      </c>
      <c r="K484" s="924">
        <v>0</v>
      </c>
      <c r="L484" s="924">
        <v>0</v>
      </c>
      <c r="M484" s="924">
        <v>0</v>
      </c>
      <c r="N484" s="66"/>
    </row>
    <row r="485" spans="4:14" ht="15" customHeight="1">
      <c r="D485" s="66"/>
      <c r="E485" s="66" t="s">
        <v>2108</v>
      </c>
      <c r="F485" s="925" cm="1">
        <f t="array" ref="F485:M485">_xlfn.ANCHORARRAY(F320)+_xlfn.ANCHORARRAY(F328)+_xlfn.ANCHORARRAY(F376)+_xlfn.ANCHORARRAY(F384)</f>
        <v>0</v>
      </c>
      <c r="G485" s="925">
        <v>0</v>
      </c>
      <c r="H485" s="925">
        <v>0</v>
      </c>
      <c r="I485" s="925">
        <v>0</v>
      </c>
      <c r="J485" s="925">
        <v>0</v>
      </c>
      <c r="K485" s="925">
        <v>0</v>
      </c>
      <c r="L485" s="925">
        <v>0</v>
      </c>
      <c r="M485" s="925">
        <v>0</v>
      </c>
      <c r="N485" s="66"/>
    </row>
    <row r="486" spans="4:14" ht="15" customHeight="1">
      <c r="D486" s="66"/>
      <c r="E486" s="66" t="s">
        <v>2109</v>
      </c>
      <c r="F486" s="925" cm="1">
        <f t="array" ref="F486:M486">_xlfn.ANCHORARRAY(F338)+_xlfn.ANCHORARRAY(F346)+_xlfn.ANCHORARRAY(F394)+_xlfn.ANCHORARRAY(F402)</f>
        <v>0</v>
      </c>
      <c r="G486" s="925">
        <v>0</v>
      </c>
      <c r="H486" s="925">
        <v>0</v>
      </c>
      <c r="I486" s="925">
        <v>0</v>
      </c>
      <c r="J486" s="925">
        <v>0</v>
      </c>
      <c r="K486" s="925">
        <v>0</v>
      </c>
      <c r="L486" s="925">
        <v>0</v>
      </c>
      <c r="M486" s="925">
        <v>0</v>
      </c>
      <c r="N486" s="66"/>
    </row>
    <row r="487" spans="4:14" ht="15" customHeight="1">
      <c r="D487" s="66"/>
      <c r="E487" s="66" t="s">
        <v>2110</v>
      </c>
      <c r="F487" s="925" cm="1">
        <f t="array" ref="F487:M487">_xlfn.ANCHORARRAY(F414)+_xlfn.ANCHORARRAY(F422)</f>
        <v>0</v>
      </c>
      <c r="G487" s="925">
        <v>0</v>
      </c>
      <c r="H487" s="925">
        <v>0</v>
      </c>
      <c r="I487" s="925">
        <v>0</v>
      </c>
      <c r="J487" s="925">
        <v>0</v>
      </c>
      <c r="K487" s="925">
        <v>0</v>
      </c>
      <c r="L487" s="925">
        <v>0</v>
      </c>
      <c r="M487" s="925">
        <v>0</v>
      </c>
      <c r="N487" s="66"/>
    </row>
    <row r="488" spans="4:14" ht="15" customHeight="1">
      <c r="D488" s="66"/>
      <c r="E488" s="66" t="s">
        <v>2111</v>
      </c>
      <c r="F488" s="925" cm="1">
        <f t="array" ref="F488:M488">_xlfn.ANCHORARRAY(F432)+_xlfn.ANCHORARRAY(F440)</f>
        <v>0</v>
      </c>
      <c r="G488" s="925">
        <v>0</v>
      </c>
      <c r="H488" s="925">
        <v>0</v>
      </c>
      <c r="I488" s="925">
        <v>0</v>
      </c>
      <c r="J488" s="925">
        <v>0</v>
      </c>
      <c r="K488" s="925">
        <v>0</v>
      </c>
      <c r="L488" s="925">
        <v>0</v>
      </c>
      <c r="M488" s="925">
        <v>0</v>
      </c>
      <c r="N488" s="66"/>
    </row>
    <row r="489" spans="4:14" ht="15" customHeight="1">
      <c r="D489" s="66"/>
      <c r="E489" s="923" t="s">
        <v>2112</v>
      </c>
      <c r="F489" s="926" cm="1">
        <f t="array" ref="F489:M489">_xlfn.ANCHORARRAY(F450)+_xlfn.ANCHORARRAY(F458)</f>
        <v>0</v>
      </c>
      <c r="G489" s="926">
        <v>0</v>
      </c>
      <c r="H489" s="926">
        <v>0</v>
      </c>
      <c r="I489" s="926">
        <v>0</v>
      </c>
      <c r="J489" s="926">
        <v>0</v>
      </c>
      <c r="K489" s="926">
        <v>0</v>
      </c>
      <c r="L489" s="926">
        <v>0</v>
      </c>
      <c r="M489" s="926">
        <v>0</v>
      </c>
      <c r="N489" s="66"/>
    </row>
    <row r="490" spans="4:14" ht="15" customHeight="1">
      <c r="D490" s="66"/>
      <c r="E490" s="66"/>
      <c r="F490" s="66"/>
      <c r="G490" s="66"/>
      <c r="H490" s="66"/>
      <c r="I490" s="66"/>
      <c r="J490" s="66"/>
      <c r="K490" s="66"/>
      <c r="L490" s="66"/>
      <c r="M490" s="66"/>
      <c r="N490" s="66"/>
    </row>
    <row r="493" spans="4:14" ht="15" customHeight="1">
      <c r="D493" s="1669" t="s">
        <v>1752</v>
      </c>
    </row>
    <row r="495" spans="4:14" ht="15" customHeight="1">
      <c r="D495" s="2">
        <v>1</v>
      </c>
      <c r="E495" s="2" t="s">
        <v>2113</v>
      </c>
    </row>
    <row r="497" spans="4:13" ht="15" customHeight="1">
      <c r="E497" s="2" t="s">
        <v>2114</v>
      </c>
    </row>
    <row r="498" spans="4:13" ht="15" customHeight="1">
      <c r="D498" s="2" t="s">
        <v>2115</v>
      </c>
      <c r="E498" s="2" t="s">
        <v>2116</v>
      </c>
    </row>
    <row r="499" spans="4:13" ht="15" customHeight="1">
      <c r="M499" s="554" t="s">
        <v>9</v>
      </c>
    </row>
    <row r="500" spans="4:13" ht="15" customHeight="1">
      <c r="E500" s="550" t="s">
        <v>789</v>
      </c>
      <c r="F500" s="551">
        <v>2018</v>
      </c>
      <c r="G500" s="551">
        <v>2020</v>
      </c>
      <c r="H500" s="551">
        <v>2025</v>
      </c>
      <c r="I500" s="551">
        <v>2030</v>
      </c>
      <c r="J500" s="551">
        <v>2035</v>
      </c>
      <c r="K500" s="551">
        <v>2040</v>
      </c>
      <c r="L500" s="551">
        <v>2045</v>
      </c>
      <c r="M500" s="551">
        <v>2050</v>
      </c>
    </row>
    <row r="501" spans="4:13" ht="15" customHeight="1">
      <c r="E501" s="553" t="s">
        <v>795</v>
      </c>
      <c r="F501" s="552" cm="1">
        <f t="array" ref="F501:M501">(INDEX(ST_NUEVOS_DEMANDA_ACONDICIONAMIENTO_DYE,FRIO,0)*INDEX(ST_NUEVOS_IMPLEMENTACION,FRIO,0)*INDEX(SF_TENENCIA,FRIO,0)*INDEX(GEN_HOGARES_URBANOS_NUEVOS,FRIO,0))</f>
        <v>0</v>
      </c>
      <c r="G501" s="552">
        <v>0</v>
      </c>
      <c r="H501" s="552">
        <v>0</v>
      </c>
      <c r="I501" s="552">
        <v>0</v>
      </c>
      <c r="J501" s="552">
        <v>0</v>
      </c>
      <c r="K501" s="552">
        <v>0</v>
      </c>
      <c r="L501" s="552">
        <v>0</v>
      </c>
      <c r="M501" s="552">
        <v>0</v>
      </c>
    </row>
    <row r="502" spans="4:13" ht="15" customHeight="1">
      <c r="E502" s="553" t="s">
        <v>791</v>
      </c>
      <c r="F502" s="552" cm="1">
        <f t="array" ref="F502:M502">(INDEX(ST_NUEVOS_DEMANDA_ACONDICIONAMIENTO_DYE,TEMPLADO,0)*INDEX(ST_NUEVOS_IMPLEMENTACION,TEMPLADO,0)*INDEX(SF_TENENCIA,TEMPLADO,0)*INDEX(GEN_HOGARES_URBANOS_NUEVOS,TEMPLADO,0))</f>
        <v>0</v>
      </c>
      <c r="G502" s="552">
        <v>0</v>
      </c>
      <c r="H502" s="552">
        <v>0</v>
      </c>
      <c r="I502" s="552">
        <v>0</v>
      </c>
      <c r="J502" s="552">
        <v>0</v>
      </c>
      <c r="K502" s="552">
        <v>0</v>
      </c>
      <c r="L502" s="552">
        <v>0</v>
      </c>
      <c r="M502" s="552">
        <v>0</v>
      </c>
    </row>
    <row r="503" spans="4:13" ht="15" customHeight="1">
      <c r="E503" s="553" t="s">
        <v>792</v>
      </c>
      <c r="F503" s="552" cm="1">
        <f t="array" ref="F503:M503">(INDEX(ST_NUEVOS_DEMANDA_ACONDICIONAMIENTO_DYE,CALIDO_SECO,0)*INDEX(ST_NUEVOS_IMPLEMENTACION,CALIDO_SECO,0)*INDEX(SF_TENENCIA,CALIDO_SECO,0)*INDEX(GEN_HOGARES_URBANOS_NUEVOS,CALIDO_SECO,0))</f>
        <v>0</v>
      </c>
      <c r="G503" s="552">
        <v>0</v>
      </c>
      <c r="H503" s="552">
        <v>0</v>
      </c>
      <c r="I503" s="552">
        <v>0</v>
      </c>
      <c r="J503" s="552">
        <v>0</v>
      </c>
      <c r="K503" s="552">
        <v>0</v>
      </c>
      <c r="L503" s="552">
        <v>0</v>
      </c>
      <c r="M503" s="552">
        <v>0</v>
      </c>
    </row>
    <row r="504" spans="4:13" ht="15" customHeight="1">
      <c r="E504" s="553" t="s">
        <v>793</v>
      </c>
      <c r="F504" s="552" cm="1">
        <f t="array" ref="F504:M504">(INDEX(ST_NUEVOS_DEMANDA_ACONDICIONAMIENTO_DYE,CALIDO_HUMEDO,0)*INDEX(ST_NUEVOS_IMPLEMENTACION,CALIDO_HUMEDO,0)*INDEX(SF_TENENCIA,CALIDO_HUMEDO,0)*INDEX(GEN_HOGARES_URBANOS_NUEVOS,CALIDO_HUMEDO,0))</f>
        <v>0</v>
      </c>
      <c r="G504" s="552">
        <v>0</v>
      </c>
      <c r="H504" s="552">
        <v>0</v>
      </c>
      <c r="I504" s="552">
        <v>0</v>
      </c>
      <c r="J504" s="552">
        <v>0</v>
      </c>
      <c r="K504" s="552">
        <v>0</v>
      </c>
      <c r="L504" s="552">
        <v>0</v>
      </c>
      <c r="M504" s="552">
        <v>0</v>
      </c>
    </row>
    <row r="505" spans="4:13" ht="15" customHeight="1">
      <c r="E505" s="554" t="s">
        <v>1714</v>
      </c>
      <c r="F505" s="549">
        <f>SUM(F501:F504)</f>
        <v>0</v>
      </c>
      <c r="G505" s="549">
        <f t="shared" ref="G505:M505" si="1">SUM(G501:G504)</f>
        <v>0</v>
      </c>
      <c r="H505" s="549">
        <f t="shared" si="1"/>
        <v>0</v>
      </c>
      <c r="I505" s="549">
        <f t="shared" si="1"/>
        <v>0</v>
      </c>
      <c r="J505" s="549">
        <f t="shared" si="1"/>
        <v>0</v>
      </c>
      <c r="K505" s="549">
        <f t="shared" si="1"/>
        <v>0</v>
      </c>
      <c r="L505" s="549">
        <f t="shared" si="1"/>
        <v>0</v>
      </c>
      <c r="M505" s="549">
        <f t="shared" si="1"/>
        <v>0</v>
      </c>
    </row>
    <row r="506" spans="4:13" ht="15" customHeight="1">
      <c r="E506" s="2200"/>
    </row>
    <row r="508" spans="4:13" ht="15" customHeight="1">
      <c r="D508" s="2"/>
      <c r="E508" s="2" t="s">
        <v>2117</v>
      </c>
    </row>
    <row r="509" spans="4:13" ht="15" customHeight="1">
      <c r="D509" s="2" t="s">
        <v>2115</v>
      </c>
      <c r="E509" s="2" t="s">
        <v>2118</v>
      </c>
    </row>
    <row r="510" spans="4:13" ht="15" customHeight="1">
      <c r="M510" s="554" t="s">
        <v>9</v>
      </c>
    </row>
    <row r="511" spans="4:13" ht="15" customHeight="1">
      <c r="E511" s="550" t="s">
        <v>789</v>
      </c>
      <c r="F511" s="551">
        <v>2018</v>
      </c>
      <c r="G511" s="551">
        <v>2020</v>
      </c>
      <c r="H511" s="551">
        <v>2025</v>
      </c>
      <c r="I511" s="551">
        <v>2030</v>
      </c>
      <c r="J511" s="551">
        <v>2035</v>
      </c>
      <c r="K511" s="551">
        <v>2040</v>
      </c>
      <c r="L511" s="551">
        <v>2045</v>
      </c>
      <c r="M511" s="551">
        <v>2050</v>
      </c>
    </row>
    <row r="512" spans="4:13" ht="15" customHeight="1">
      <c r="E512" s="3" t="s">
        <v>795</v>
      </c>
      <c r="F512" s="552" cm="1">
        <f t="array" ref="F512:M512">(INDEX(ST_EXISTENTES_DEMANDA_ACONDICIONAMIENTO_DYE,FRIO,0)*INDEX(ST_EXISTENTES_IMPLEMENTACION,FRIO,0)*INDEX(SF_TENENCIA,FRIO,0)*(1-INDEX(GEN_HOGARES_URBANOS_NUEVOS,FRIO,0)))</f>
        <v>0</v>
      </c>
      <c r="G512" s="552">
        <v>0</v>
      </c>
      <c r="H512" s="552">
        <v>0</v>
      </c>
      <c r="I512" s="552">
        <v>0</v>
      </c>
      <c r="J512" s="552">
        <v>0</v>
      </c>
      <c r="K512" s="552">
        <v>0</v>
      </c>
      <c r="L512" s="552">
        <v>0</v>
      </c>
      <c r="M512" s="552">
        <v>0</v>
      </c>
    </row>
    <row r="513" spans="4:13" ht="15" customHeight="1">
      <c r="E513" s="3" t="s">
        <v>791</v>
      </c>
      <c r="F513" s="552" cm="1">
        <f t="array" ref="F513:M513">(INDEX(ST_EXISTENTES_DEMANDA_ACONDICIONAMIENTO_DYE,TEMPLADO,0)*INDEX(ST_EXISTENTES_IMPLEMENTACION,TEMPLADO,0)*INDEX(SF_TENENCIA,TEMPLADO,0)*(1-INDEX(GEN_HOGARES_URBANOS_NUEVOS,TEMPLADO,0)))</f>
        <v>0</v>
      </c>
      <c r="G513" s="552">
        <v>0</v>
      </c>
      <c r="H513" s="552">
        <v>0</v>
      </c>
      <c r="I513" s="552">
        <v>0</v>
      </c>
      <c r="J513" s="552">
        <v>0</v>
      </c>
      <c r="K513" s="552">
        <v>0</v>
      </c>
      <c r="L513" s="552">
        <v>0</v>
      </c>
      <c r="M513" s="552">
        <v>0</v>
      </c>
    </row>
    <row r="514" spans="4:13" ht="15" customHeight="1">
      <c r="E514" s="3" t="s">
        <v>792</v>
      </c>
      <c r="F514" s="552" cm="1">
        <f t="array" ref="F514:M514">(INDEX(ST_EXISTENTES_DEMANDA_ACONDICIONAMIENTO_DYE,CALIDO_SECO,0)*INDEX(ST_EXISTENTES_IMPLEMENTACION,CALIDO_SECO,0)*INDEX(SF_TENENCIA,CALIDO_SECO,0)*(1-INDEX(GEN_HOGARES_URBANOS_NUEVOS,CALIDO_SECO,0)))</f>
        <v>0</v>
      </c>
      <c r="G514" s="552">
        <v>0</v>
      </c>
      <c r="H514" s="552">
        <v>0</v>
      </c>
      <c r="I514" s="552">
        <v>0</v>
      </c>
      <c r="J514" s="552">
        <v>0</v>
      </c>
      <c r="K514" s="552">
        <v>0</v>
      </c>
      <c r="L514" s="552">
        <v>0</v>
      </c>
      <c r="M514" s="552">
        <v>0</v>
      </c>
    </row>
    <row r="515" spans="4:13" ht="15" customHeight="1">
      <c r="E515" s="3" t="s">
        <v>793</v>
      </c>
      <c r="F515" s="552" cm="1">
        <f t="array" ref="F515:M515">(INDEX(ST_EXISTENTES_DEMANDA_ACONDICIONAMIENTO_DYE,CALIDO_HUMEDO,0)*INDEX(ST_EXISTENTES_IMPLEMENTACION,CALIDO_HUMEDO,0)*INDEX(SF_TENENCIA,CALIDO_HUMEDO,0)*(1-INDEX(GEN_HOGARES_URBANOS_NUEVOS,CALIDO_HUMEDO,0)))</f>
        <v>0</v>
      </c>
      <c r="G515" s="552">
        <v>0</v>
      </c>
      <c r="H515" s="552">
        <v>0</v>
      </c>
      <c r="I515" s="552">
        <v>0</v>
      </c>
      <c r="J515" s="552">
        <v>0</v>
      </c>
      <c r="K515" s="552">
        <v>0</v>
      </c>
      <c r="L515" s="552">
        <v>0</v>
      </c>
      <c r="M515" s="552">
        <v>0</v>
      </c>
    </row>
    <row r="516" spans="4:13" ht="15" customHeight="1">
      <c r="E516" s="554" t="s">
        <v>1714</v>
      </c>
      <c r="F516" s="549">
        <f t="shared" ref="F516:M516" si="2">SUM(F512:F515)</f>
        <v>0</v>
      </c>
      <c r="G516" s="549">
        <f t="shared" si="2"/>
        <v>0</v>
      </c>
      <c r="H516" s="549">
        <f t="shared" si="2"/>
        <v>0</v>
      </c>
      <c r="I516" s="549">
        <f t="shared" si="2"/>
        <v>0</v>
      </c>
      <c r="J516" s="549">
        <f t="shared" si="2"/>
        <v>0</v>
      </c>
      <c r="K516" s="549">
        <f t="shared" si="2"/>
        <v>0</v>
      </c>
      <c r="L516" s="549">
        <f t="shared" si="2"/>
        <v>0</v>
      </c>
      <c r="M516" s="549">
        <f t="shared" si="2"/>
        <v>0</v>
      </c>
    </row>
    <row r="517" spans="4:13" ht="15" customHeight="1">
      <c r="E517" s="554"/>
      <c r="F517" s="552"/>
      <c r="G517" s="552"/>
      <c r="H517" s="552"/>
      <c r="I517" s="552"/>
      <c r="J517" s="552"/>
      <c r="K517" s="552"/>
      <c r="L517" s="552"/>
      <c r="M517" s="552"/>
    </row>
    <row r="519" spans="4:13" ht="15" customHeight="1">
      <c r="D519" s="2"/>
      <c r="E519" s="2" t="s">
        <v>2119</v>
      </c>
    </row>
    <row r="520" spans="4:13" ht="15" customHeight="1">
      <c r="D520" s="2" t="s">
        <v>2115</v>
      </c>
      <c r="E520" s="2" t="s">
        <v>2120</v>
      </c>
    </row>
    <row r="521" spans="4:13" ht="15" customHeight="1">
      <c r="M521" s="554" t="s">
        <v>9</v>
      </c>
    </row>
    <row r="522" spans="4:13" ht="15" customHeight="1">
      <c r="E522" s="550"/>
      <c r="F522" s="551">
        <v>2018</v>
      </c>
      <c r="G522" s="551">
        <v>2020</v>
      </c>
      <c r="H522" s="551">
        <v>2025</v>
      </c>
      <c r="I522" s="551">
        <v>2030</v>
      </c>
      <c r="J522" s="551">
        <v>2035</v>
      </c>
      <c r="K522" s="551">
        <v>2040</v>
      </c>
      <c r="L522" s="551">
        <v>2045</v>
      </c>
      <c r="M522" s="551">
        <v>2050</v>
      </c>
    </row>
    <row r="523" spans="4:13" ht="15" customHeight="1">
      <c r="E523" s="611" t="s">
        <v>2121</v>
      </c>
      <c r="F523" s="549">
        <f>SUM(F505,F516)</f>
        <v>0</v>
      </c>
      <c r="G523" s="549">
        <f t="shared" ref="G523:M523" si="3">SUM(G505,G516)</f>
        <v>0</v>
      </c>
      <c r="H523" s="549">
        <f t="shared" si="3"/>
        <v>0</v>
      </c>
      <c r="I523" s="549">
        <f t="shared" si="3"/>
        <v>0</v>
      </c>
      <c r="J523" s="549">
        <f t="shared" si="3"/>
        <v>0</v>
      </c>
      <c r="K523" s="549">
        <f t="shared" si="3"/>
        <v>0</v>
      </c>
      <c r="L523" s="549">
        <f t="shared" si="3"/>
        <v>0</v>
      </c>
      <c r="M523" s="549">
        <f t="shared" si="3"/>
        <v>0</v>
      </c>
    </row>
    <row r="527" spans="4:13" ht="15" customHeight="1">
      <c r="D527" s="2">
        <v>2</v>
      </c>
      <c r="E527" s="2" t="s">
        <v>2122</v>
      </c>
    </row>
    <row r="529" spans="4:13" ht="15" customHeight="1">
      <c r="D529" s="2"/>
      <c r="E529" s="2" t="s">
        <v>2123</v>
      </c>
    </row>
    <row r="530" spans="4:13" ht="15" customHeight="1">
      <c r="D530" s="2" t="s">
        <v>2115</v>
      </c>
      <c r="E530" s="2" t="s">
        <v>2124</v>
      </c>
    </row>
    <row r="531" spans="4:13" ht="15" customHeight="1">
      <c r="M531" s="554" t="s">
        <v>9</v>
      </c>
    </row>
    <row r="532" spans="4:13" ht="15" customHeight="1">
      <c r="E532" s="550" t="s">
        <v>789</v>
      </c>
      <c r="F532" s="551">
        <v>2018</v>
      </c>
      <c r="G532" s="551">
        <v>2020</v>
      </c>
      <c r="H532" s="551">
        <v>2025</v>
      </c>
      <c r="I532" s="551">
        <v>2030</v>
      </c>
      <c r="J532" s="551">
        <v>2035</v>
      </c>
      <c r="K532" s="551">
        <v>2040</v>
      </c>
      <c r="L532" s="551">
        <v>2045</v>
      </c>
      <c r="M532" s="551">
        <v>2050</v>
      </c>
    </row>
    <row r="533" spans="4:13" ht="15" customHeight="1">
      <c r="E533" s="3" t="s">
        <v>795</v>
      </c>
      <c r="F533" s="552" cm="1">
        <f t="array" ref="F533:M533">(INDEX(ST_NUEVOS_DEMANDA_ACONDICIONAMIENTO_SOLO_EFIC,FRIO,0)*(1-INDEX(ST_NUEVOS_IMPLEMENTACION,FRIO,0))*INDEX(SF_TENENCIA,FRIO,0)*INDEX(GEN_HOGARES_URBANOS_NUEVOS,FRIO,0))</f>
        <v>3.6549773118830592E-7</v>
      </c>
      <c r="G533" s="552">
        <v>5.2813347840000048E-7</v>
      </c>
      <c r="H533" s="552">
        <v>2.0250455841000001E-6</v>
      </c>
      <c r="I533" s="552">
        <v>5.5590847487999972E-6</v>
      </c>
      <c r="J533" s="552">
        <v>1.2494170012500007E-5</v>
      </c>
      <c r="K533" s="552">
        <v>1.9761335396241199E-5</v>
      </c>
      <c r="L533" s="552">
        <v>2.120686791908131E-5</v>
      </c>
      <c r="M533" s="552">
        <v>3.0598269026709527E-5</v>
      </c>
    </row>
    <row r="534" spans="4:13" ht="15" customHeight="1">
      <c r="E534" s="3" t="s">
        <v>791</v>
      </c>
      <c r="F534" s="552" cm="1">
        <f t="array" ref="F534:M534">(INDEX(ST_NUEVOS_DEMANDA_ACONDICIONAMIENTO_SOLO_EFIC,TEMPLADO,0)*(1-INDEX(ST_NUEVOS_IMPLEMENTACION,TEMPLADO,0))*INDEX(SF_TENENCIA,TEMPLADO,0)*INDEX(GEN_HOGARES_URBANOS_NUEVOS,TEMPLADO,0))</f>
        <v>1.3009891568121741E-6</v>
      </c>
      <c r="G534" s="552">
        <v>1.8250944311856045E-6</v>
      </c>
      <c r="H534" s="552">
        <v>1.4123519770613707E-6</v>
      </c>
      <c r="I534" s="552">
        <v>1.6419724996629712E-6</v>
      </c>
      <c r="J534" s="552">
        <v>2.0062987661429238E-6</v>
      </c>
      <c r="K534" s="552">
        <v>2.682750987126078E-6</v>
      </c>
      <c r="L534" s="552">
        <v>2.4874426857376207E-6</v>
      </c>
      <c r="M534" s="552">
        <v>3.0901294924978518E-6</v>
      </c>
    </row>
    <row r="535" spans="4:13" ht="15" customHeight="1">
      <c r="E535" s="3" t="s">
        <v>792</v>
      </c>
      <c r="F535" s="552" cm="1">
        <f t="array" ref="F535:M535">(INDEX(ST_NUEVOS_DEMANDA_ACONDICIONAMIENTO_SOLO_EFIC,CALIDO_SECO,0)*(1-INDEX(ST_NUEVOS_IMPLEMENTACION,CALIDO_SECO,0))*INDEX(SF_TENENCIA,CALIDO_SECO,0)*INDEX(GEN_HOGARES_URBANOS_NUEVOS,CALIDO_SECO,0))</f>
        <v>2.5058947730462715E-4</v>
      </c>
      <c r="G535" s="552">
        <v>4.4362148039562356E-4</v>
      </c>
      <c r="H535" s="552">
        <v>3.8931102723911362E-4</v>
      </c>
      <c r="I535" s="552">
        <v>4.9733514764914444E-4</v>
      </c>
      <c r="J535" s="552">
        <v>5.9982883945038101E-4</v>
      </c>
      <c r="K535" s="552">
        <v>7.9644169930305432E-4</v>
      </c>
      <c r="L535" s="552">
        <v>7.3593922639325214E-4</v>
      </c>
      <c r="M535" s="552">
        <v>9.3932038198652759E-4</v>
      </c>
    </row>
    <row r="536" spans="4:13" ht="15" customHeight="1">
      <c r="E536" s="3" t="s">
        <v>793</v>
      </c>
      <c r="F536" s="552" cm="1">
        <f t="array" ref="F536:M536">(INDEX(ST_NUEVOS_DEMANDA_ACONDICIONAMIENTO_SOLO_EFIC,CALIDO_HUMEDO,0)*(1-INDEX(ST_NUEVOS_IMPLEMENTACION,CALIDO_HUMEDO,0))*INDEX(SF_TENENCIA,CALIDO_HUMEDO,0)*INDEX(GEN_HOGARES_URBANOS_NUEVOS,CALIDO_HUMEDO,0))</f>
        <v>2.2109195276490826E-4</v>
      </c>
      <c r="G536" s="552">
        <v>4.1261314355017971E-4</v>
      </c>
      <c r="H536" s="552">
        <v>3.7308428628205853E-4</v>
      </c>
      <c r="I536" s="552">
        <v>4.8586597648060068E-4</v>
      </c>
      <c r="J536" s="552">
        <v>5.9391775693923721E-4</v>
      </c>
      <c r="K536" s="552">
        <v>7.9644169930305432E-4</v>
      </c>
      <c r="L536" s="552">
        <v>7.4155816554842828E-4</v>
      </c>
      <c r="M536" s="552">
        <v>9.5221211119220759E-4</v>
      </c>
    </row>
    <row r="537" spans="4:13" ht="15" customHeight="1">
      <c r="E537" s="551" t="s">
        <v>1714</v>
      </c>
      <c r="F537" s="549">
        <f t="shared" ref="F537:M537" si="4">SUM(F533:F536)</f>
        <v>4.7334791695753588E-4</v>
      </c>
      <c r="G537" s="549">
        <f t="shared" si="4"/>
        <v>8.5858785185538881E-4</v>
      </c>
      <c r="H537" s="549">
        <f t="shared" si="4"/>
        <v>7.6583271108233357E-4</v>
      </c>
      <c r="I537" s="549">
        <f t="shared" si="4"/>
        <v>9.9040218137820806E-4</v>
      </c>
      <c r="J537" s="549">
        <f t="shared" si="4"/>
        <v>1.2082470651682612E-3</v>
      </c>
      <c r="K537" s="549">
        <f t="shared" si="4"/>
        <v>1.6153274849894758E-3</v>
      </c>
      <c r="L537" s="549">
        <f t="shared" si="4"/>
        <v>1.5011917025464993E-3</v>
      </c>
      <c r="M537" s="549">
        <f t="shared" si="4"/>
        <v>1.9252208916979425E-3</v>
      </c>
    </row>
    <row r="538" spans="4:13" ht="15" customHeight="1">
      <c r="E538" s="554"/>
      <c r="F538" s="552"/>
      <c r="G538" s="552"/>
      <c r="H538" s="552"/>
      <c r="I538" s="552"/>
      <c r="J538" s="552"/>
      <c r="K538" s="552"/>
      <c r="L538" s="552"/>
      <c r="M538" s="552"/>
    </row>
    <row r="540" spans="4:13" ht="15" customHeight="1">
      <c r="D540" s="2"/>
      <c r="E540" s="2" t="s">
        <v>2125</v>
      </c>
    </row>
    <row r="541" spans="4:13" ht="15" customHeight="1">
      <c r="D541" s="2" t="s">
        <v>2115</v>
      </c>
      <c r="E541" s="2" t="s">
        <v>2126</v>
      </c>
    </row>
    <row r="542" spans="4:13" ht="15" customHeight="1">
      <c r="M542" s="554" t="s">
        <v>9</v>
      </c>
    </row>
    <row r="543" spans="4:13" ht="15" customHeight="1">
      <c r="E543" s="550" t="s">
        <v>789</v>
      </c>
      <c r="F543" s="551">
        <v>2018</v>
      </c>
      <c r="G543" s="551">
        <v>2020</v>
      </c>
      <c r="H543" s="551">
        <v>2025</v>
      </c>
      <c r="I543" s="551">
        <v>2030</v>
      </c>
      <c r="J543" s="551">
        <v>2035</v>
      </c>
      <c r="K543" s="551">
        <v>2040</v>
      </c>
      <c r="L543" s="551">
        <v>2045</v>
      </c>
      <c r="M543" s="551">
        <v>2050</v>
      </c>
    </row>
    <row r="544" spans="4:13" ht="15" customHeight="1">
      <c r="E544" s="3" t="s">
        <v>795</v>
      </c>
      <c r="F544" s="552" cm="1">
        <f t="array" ref="F544:M544">(INDEX(ST_EXISTENTES_DEMANDA_ACONDICIONAMIENTO_SOLO_EFIC,FRIO,0)*(1-INDEX(ST_NUEVOS_IMPLEMENTACION,FRIO,0))*INDEX(SF_TENENCIA,FRIO,0)*INDEX(GEN_HOGARES_URBANOS_NUEVOS,FRIO,0))</f>
        <v>2.1352017106145003E-5</v>
      </c>
      <c r="G544" s="552">
        <v>4.3482989721600033E-5</v>
      </c>
      <c r="H544" s="552">
        <v>1.4262106756590001E-4</v>
      </c>
      <c r="I544" s="552">
        <v>3.4188371205119987E-4</v>
      </c>
      <c r="J544" s="552">
        <v>6.8162638623750027E-4</v>
      </c>
      <c r="K544" s="552">
        <v>1.0873980840161745E-3</v>
      </c>
      <c r="L544" s="552">
        <v>1.3854937938195758E-3</v>
      </c>
      <c r="M544" s="552">
        <v>1.991118176863239E-3</v>
      </c>
    </row>
    <row r="545" spans="4:13" ht="15" customHeight="1">
      <c r="E545" s="3" t="s">
        <v>791</v>
      </c>
      <c r="F545" s="552" cm="1">
        <f t="array" ref="F545:M545">(INDEX(ST_EXISTENTES_DEMANDA_ACONDICIONAMIENTO_SOLO_EFIC,TEMPLADO,0)*(1-INDEX(ST_NUEVOS_IMPLEMENTACION,TEMPLADO,0))*INDEX(SF_TENENCIA,TEMPLADO,0)*INDEX(GEN_HOGARES_URBANOS_NUEVOS,TEMPLADO,0))</f>
        <v>4.7486398194404464E-5</v>
      </c>
      <c r="G545" s="552">
        <v>6.2450576521951381E-5</v>
      </c>
      <c r="H545" s="552">
        <v>6.6785019309681233E-5</v>
      </c>
      <c r="I545" s="552">
        <v>8.3963339856734805E-5</v>
      </c>
      <c r="J545" s="552">
        <v>1.1019016714891324E-4</v>
      </c>
      <c r="K545" s="552">
        <v>1.4762252776946851E-4</v>
      </c>
      <c r="L545" s="552">
        <v>1.6251039129028854E-4</v>
      </c>
      <c r="M545" s="552">
        <v>2.0108369515944776E-4</v>
      </c>
    </row>
    <row r="546" spans="4:13" ht="15" customHeight="1">
      <c r="E546" s="3" t="s">
        <v>792</v>
      </c>
      <c r="F546" s="552" cm="1">
        <f t="array" ref="F546:M546">(INDEX(ST_EXISTENTES_DEMANDA_ACONDICIONAMIENTO_SOLO_EFIC,CALIDO_SECO,0)*(1-INDEX(ST_NUEVOS_IMPLEMENTACION,CALIDO_SECO,0))*INDEX(SF_TENENCIA,CALIDO_SECO,0)*INDEX(GEN_HOGARES_URBANOS_NUEVOS,CALIDO_SECO,0))</f>
        <v>9.1465725446727725E-3</v>
      </c>
      <c r="G546" s="552">
        <v>1.5179717133995714E-2</v>
      </c>
      <c r="H546" s="552">
        <v>1.8409111109635432E-2</v>
      </c>
      <c r="I546" s="552">
        <v>2.5431558709622517E-2</v>
      </c>
      <c r="J546" s="552">
        <v>3.2943867182275724E-2</v>
      </c>
      <c r="K546" s="552">
        <v>4.3825437931560962E-2</v>
      </c>
      <c r="L546" s="552">
        <v>4.8080614010840773E-2</v>
      </c>
      <c r="M546" s="552">
        <v>6.112430362772793E-2</v>
      </c>
    </row>
    <row r="547" spans="4:13" ht="15" customHeight="1">
      <c r="E547" s="3" t="s">
        <v>793</v>
      </c>
      <c r="F547" s="552" cm="1">
        <f t="array" ref="F547:M547">(INDEX(ST_EXISTENTES_DEMANDA_ACONDICIONAMIENTO_SOLO_EFIC,CALIDO_HUMEDO,0)*(1-INDEX(ST_NUEVOS_IMPLEMENTACION,CALIDO_HUMEDO,0))*INDEX(SF_TENENCIA,CALIDO_HUMEDO,0)*INDEX(GEN_HOGARES_URBANOS_NUEVOS,CALIDO_HUMEDO,0))</f>
        <v>8.0699062337293865E-3</v>
      </c>
      <c r="G547" s="552">
        <v>1.4118682439080304E-2</v>
      </c>
      <c r="H547" s="552">
        <v>1.7641807189825765E-2</v>
      </c>
      <c r="I547" s="552">
        <v>2.484507512545947E-2</v>
      </c>
      <c r="J547" s="552">
        <v>3.2619218041815862E-2</v>
      </c>
      <c r="K547" s="552">
        <v>4.3825437931560962E-2</v>
      </c>
      <c r="L547" s="552">
        <v>4.844771231866498E-2</v>
      </c>
      <c r="M547" s="552">
        <v>6.1963205865309463E-2</v>
      </c>
    </row>
    <row r="548" spans="4:13" ht="15" customHeight="1">
      <c r="E548" s="551" t="s">
        <v>1714</v>
      </c>
      <c r="F548" s="549">
        <f t="shared" ref="F548:M548" si="5">SUM(F544:F547)</f>
        <v>1.7285317193702708E-2</v>
      </c>
      <c r="G548" s="549">
        <f t="shared" si="5"/>
        <v>2.9404333139319568E-2</v>
      </c>
      <c r="H548" s="549">
        <f t="shared" si="5"/>
        <v>3.6260324386336779E-2</v>
      </c>
      <c r="I548" s="549">
        <f t="shared" si="5"/>
        <v>5.070248088698992E-2</v>
      </c>
      <c r="J548" s="549">
        <f t="shared" si="5"/>
        <v>6.6354901777477993E-2</v>
      </c>
      <c r="K548" s="549">
        <f t="shared" si="5"/>
        <v>8.8885896474907578E-2</v>
      </c>
      <c r="L548" s="549">
        <f t="shared" si="5"/>
        <v>9.8076330514615617E-2</v>
      </c>
      <c r="M548" s="549">
        <f t="shared" si="5"/>
        <v>0.12527971136506008</v>
      </c>
    </row>
    <row r="551" spans="4:13" ht="15" customHeight="1">
      <c r="D551" s="2"/>
      <c r="E551" s="2" t="s">
        <v>2127</v>
      </c>
    </row>
    <row r="552" spans="4:13" ht="15" customHeight="1">
      <c r="D552" s="2" t="s">
        <v>2115</v>
      </c>
      <c r="E552" s="2" t="s">
        <v>2128</v>
      </c>
    </row>
    <row r="553" spans="4:13" ht="15" customHeight="1">
      <c r="M553" s="554" t="s">
        <v>9</v>
      </c>
    </row>
    <row r="554" spans="4:13" ht="15" customHeight="1">
      <c r="F554" s="551">
        <v>2018</v>
      </c>
      <c r="G554" s="551">
        <v>2020</v>
      </c>
      <c r="H554" s="551">
        <v>2025</v>
      </c>
      <c r="I554" s="551">
        <v>2030</v>
      </c>
      <c r="J554" s="551">
        <v>2035</v>
      </c>
      <c r="K554" s="551">
        <v>2040</v>
      </c>
      <c r="L554" s="551">
        <v>2045</v>
      </c>
      <c r="M554" s="551">
        <v>2050</v>
      </c>
    </row>
    <row r="555" spans="4:13" ht="15" customHeight="1">
      <c r="E555" s="551" t="s">
        <v>1714</v>
      </c>
      <c r="F555" s="549">
        <f>SUM(F537,F548)</f>
        <v>1.7758665110660245E-2</v>
      </c>
      <c r="G555" s="549">
        <f t="shared" ref="G555:L555" si="6">SUM(G537,G548)</f>
        <v>3.0262920991174957E-2</v>
      </c>
      <c r="H555" s="549">
        <f t="shared" si="6"/>
        <v>3.7026157097419111E-2</v>
      </c>
      <c r="I555" s="549">
        <f t="shared" si="6"/>
        <v>5.1692883068368126E-2</v>
      </c>
      <c r="J555" s="549">
        <f t="shared" si="6"/>
        <v>6.7563148842646248E-2</v>
      </c>
      <c r="K555" s="549">
        <f t="shared" si="6"/>
        <v>9.0501223959897056E-2</v>
      </c>
      <c r="L555" s="549">
        <f t="shared" si="6"/>
        <v>9.9577522217162123E-2</v>
      </c>
      <c r="M555" s="549">
        <f>SUM(M537,M548)</f>
        <v>0.12720493225675802</v>
      </c>
    </row>
    <row r="556" spans="4:13" ht="15" customHeight="1">
      <c r="E556" s="2"/>
      <c r="F556" s="552"/>
      <c r="G556" s="552"/>
      <c r="H556" s="552"/>
      <c r="I556" s="552"/>
      <c r="J556" s="552"/>
      <c r="K556" s="552"/>
      <c r="L556" s="552"/>
      <c r="M556" s="552"/>
    </row>
    <row r="558" spans="4:13" ht="15" customHeight="1">
      <c r="D558" s="2">
        <v>3</v>
      </c>
      <c r="E558" s="2" t="s">
        <v>2129</v>
      </c>
      <c r="F558" s="2"/>
      <c r="G558" s="2"/>
      <c r="H558" s="2"/>
      <c r="I558" s="2"/>
      <c r="J558" s="2"/>
      <c r="K558" s="2"/>
      <c r="L558" s="2"/>
      <c r="M558" s="2"/>
    </row>
    <row r="559" spans="4:13" ht="15" customHeight="1">
      <c r="M559" s="554" t="s">
        <v>9</v>
      </c>
    </row>
    <row r="560" spans="4:13" ht="15" customHeight="1">
      <c r="F560" s="551">
        <v>2018</v>
      </c>
      <c r="G560" s="551">
        <v>2020</v>
      </c>
      <c r="H560" s="551">
        <v>2025</v>
      </c>
      <c r="I560" s="551">
        <v>2030</v>
      </c>
      <c r="J560" s="551">
        <v>2035</v>
      </c>
      <c r="K560" s="551">
        <v>2040</v>
      </c>
      <c r="L560" s="551">
        <v>2045</v>
      </c>
      <c r="M560" s="551">
        <v>2050</v>
      </c>
    </row>
    <row r="561" spans="5:13" ht="15" customHeight="1">
      <c r="E561" s="551" t="s">
        <v>1714</v>
      </c>
      <c r="F561" s="555" cm="1">
        <f t="array" ref="F561:M561">F523:M523+F555:M555</f>
        <v>1.7758665110660245E-2</v>
      </c>
      <c r="G561" s="555">
        <v>3.0262920991174957E-2</v>
      </c>
      <c r="H561" s="555">
        <v>3.7026157097419111E-2</v>
      </c>
      <c r="I561" s="555">
        <v>5.1692883068368126E-2</v>
      </c>
      <c r="J561" s="555">
        <v>6.7563148842646248E-2</v>
      </c>
      <c r="K561" s="555">
        <v>9.0501223959897056E-2</v>
      </c>
      <c r="L561" s="555">
        <v>9.9577522217162123E-2</v>
      </c>
      <c r="M561" s="555">
        <v>0.12720493225675802</v>
      </c>
    </row>
  </sheetData>
  <sheetProtection algorithmName="SHA-512" hashValue="A3+fKx3Y4rndHRhHUDWqJjp2XBV87Zgtm+atuGh47T3iAmqvAaffPK+NISw3zjgiJOje6JKFig3XXGj0oAF7Xg==" saltValue="W3g+kgClQ+7DYWAqW6AOYw==" spinCount="100000" sheet="1" objects="1" scenarios="1"/>
  <mergeCells count="2">
    <mergeCell ref="E7:G8"/>
    <mergeCell ref="M7:M8"/>
  </mergeCells>
  <dataValidations count="1">
    <dataValidation type="whole" allowBlank="1" showErrorMessage="1" errorTitle="ERROR" error="El valor de trayectoria introducido no es valido. Las trayectorias estan comprendidas entre los valores 1 y 4." sqref="M7" xr:uid="{A8954A07-2317-4F16-B354-61E6783C1BB3}">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5843" r:id="rId5" name="Spinner 3">
              <controlPr defaultSize="0" autoPict="0">
                <anchor moveWithCells="1" sizeWithCells="1">
                  <from>
                    <xdr:col>13</xdr:col>
                    <xdr:colOff>0</xdr:colOff>
                    <xdr:row>6</xdr:row>
                    <xdr:rowOff>47625</xdr:rowOff>
                  </from>
                  <to>
                    <xdr:col>13</xdr:col>
                    <xdr:colOff>190500</xdr:colOff>
                    <xdr:row>7</xdr:row>
                    <xdr:rowOff>152400</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03919-C3AD-4A1E-AF7D-2C76E3653B08}">
  <sheetPr codeName="Hoja12"/>
  <dimension ref="A4:W916"/>
  <sheetViews>
    <sheetView zoomScale="80" zoomScaleNormal="80" workbookViewId="0">
      <selection activeCell="F376" sqref="F376:M379"/>
    </sheetView>
  </sheetViews>
  <sheetFormatPr baseColWidth="10" defaultColWidth="11.5703125" defaultRowHeight="15" customHeight="1"/>
  <cols>
    <col min="1" max="1" width="20.7109375" style="663" customWidth="1"/>
    <col min="2" max="2" width="30.7109375" style="667" customWidth="1"/>
    <col min="3" max="3" width="7.7109375" style="72" customWidth="1"/>
    <col min="4" max="4" width="5.7109375" style="72" customWidth="1"/>
    <col min="5" max="5" width="36.7109375" style="72" customWidth="1"/>
    <col min="6" max="13" width="11.7109375" style="72" customWidth="1"/>
    <col min="14" max="14" width="5.7109375" style="72" customWidth="1"/>
    <col min="15" max="15" width="14.42578125" style="1628" hidden="1" customWidth="1"/>
    <col min="16" max="16" width="12" style="1628" hidden="1" customWidth="1"/>
    <col min="17" max="23" width="0" style="1628" hidden="1" customWidth="1"/>
    <col min="24" max="24" width="0" style="72" hidden="1" customWidth="1"/>
    <col min="25" max="16384" width="11.5703125" style="72"/>
  </cols>
  <sheetData>
    <row r="4" spans="1:17" ht="15" customHeight="1">
      <c r="D4" s="8" t="s">
        <v>1622</v>
      </c>
      <c r="E4" s="73"/>
      <c r="F4" s="73"/>
      <c r="G4" s="73"/>
      <c r="H4" s="73"/>
      <c r="I4" s="73"/>
      <c r="J4" s="73"/>
      <c r="K4" s="73"/>
      <c r="L4" s="73"/>
      <c r="M4" s="73"/>
      <c r="N4" s="73"/>
    </row>
    <row r="5" spans="1:17" ht="15" customHeight="1">
      <c r="A5" s="1559"/>
      <c r="D5" s="74"/>
      <c r="E5" s="74"/>
      <c r="F5" s="74"/>
      <c r="G5" s="74"/>
      <c r="H5" s="74"/>
      <c r="I5" s="74"/>
      <c r="J5" s="74"/>
      <c r="K5" s="74"/>
      <c r="L5" s="74"/>
      <c r="M5" s="74"/>
      <c r="N5" s="74"/>
    </row>
    <row r="6" spans="1:17" ht="15" customHeight="1">
      <c r="D6" s="74"/>
      <c r="E6" s="75" t="s">
        <v>1623</v>
      </c>
      <c r="F6" s="76"/>
      <c r="G6" s="76"/>
      <c r="H6" s="76"/>
      <c r="I6" s="76"/>
      <c r="J6" s="76"/>
      <c r="K6" s="76"/>
      <c r="L6" s="76"/>
      <c r="M6" s="77" t="s">
        <v>879</v>
      </c>
      <c r="N6" s="74"/>
    </row>
    <row r="7" spans="1:17" ht="15" customHeight="1">
      <c r="D7" s="74"/>
      <c r="E7" s="3913" t="s">
        <v>2130</v>
      </c>
      <c r="F7" s="3913"/>
      <c r="G7" s="3913"/>
      <c r="H7" s="78"/>
      <c r="I7" s="79"/>
      <c r="J7" s="79"/>
      <c r="K7" s="79"/>
      <c r="L7" s="79"/>
      <c r="M7" s="3922">
        <f>TRAYECTORIA_EDIF_RES_EQUIPOS_EFICIENTES</f>
        <v>1</v>
      </c>
      <c r="N7" s="74"/>
    </row>
    <row r="8" spans="1:17" ht="15" customHeight="1">
      <c r="D8" s="74"/>
      <c r="E8" s="3927"/>
      <c r="F8" s="3927"/>
      <c r="G8" s="3927"/>
      <c r="H8" s="1573"/>
      <c r="I8" s="1574"/>
      <c r="J8" s="1574"/>
      <c r="K8" s="1574"/>
      <c r="L8" s="1574"/>
      <c r="M8" s="3926"/>
      <c r="N8" s="74"/>
    </row>
    <row r="9" spans="1:17" ht="15" customHeight="1">
      <c r="D9" s="74"/>
      <c r="E9" s="3928" t="s">
        <v>140</v>
      </c>
      <c r="F9" s="1575"/>
      <c r="G9" s="1575"/>
      <c r="H9" s="1575"/>
      <c r="I9" s="1576"/>
      <c r="J9" s="1576"/>
      <c r="K9" s="1576"/>
      <c r="L9" s="1576"/>
      <c r="M9" s="3929">
        <f>TRAYECTORIA_EDIF_RES_EQUIPOS_USO_HABITOS</f>
        <v>1</v>
      </c>
      <c r="N9" s="74"/>
    </row>
    <row r="10" spans="1:17" ht="15" customHeight="1">
      <c r="D10" s="74"/>
      <c r="E10" s="3927"/>
      <c r="F10" s="1573"/>
      <c r="G10" s="1573"/>
      <c r="H10" s="1573"/>
      <c r="I10" s="1574"/>
      <c r="J10" s="1574"/>
      <c r="K10" s="1574"/>
      <c r="L10" s="1574"/>
      <c r="M10" s="3926"/>
      <c r="N10" s="74"/>
    </row>
    <row r="11" spans="1:17" ht="15" customHeight="1">
      <c r="D11" s="74"/>
      <c r="E11" s="3912" t="s">
        <v>141</v>
      </c>
      <c r="F11" s="3912"/>
      <c r="G11" s="3912"/>
      <c r="H11" s="3912"/>
      <c r="I11" s="74"/>
      <c r="J11" s="74"/>
      <c r="K11" s="74"/>
      <c r="L11" s="74"/>
      <c r="M11" s="3923">
        <f>TRAYECTORIA_EDIFICACIONES_RESIDENCIALES_AUTOGENERACION_SOLAR</f>
        <v>1</v>
      </c>
      <c r="N11" s="74"/>
    </row>
    <row r="12" spans="1:17" ht="15" customHeight="1">
      <c r="D12" s="74"/>
      <c r="E12" s="3924"/>
      <c r="F12" s="3924"/>
      <c r="G12" s="3924"/>
      <c r="H12" s="3924"/>
      <c r="I12" s="80"/>
      <c r="J12" s="80"/>
      <c r="K12" s="80"/>
      <c r="L12" s="80"/>
      <c r="M12" s="3923"/>
      <c r="N12" s="74"/>
    </row>
    <row r="13" spans="1:17" ht="15" customHeight="1">
      <c r="D13" s="74"/>
      <c r="E13" s="74"/>
      <c r="F13" s="74"/>
      <c r="G13" s="74"/>
      <c r="H13" s="74"/>
      <c r="I13" s="74"/>
      <c r="J13" s="74"/>
      <c r="K13" s="74"/>
      <c r="L13" s="74"/>
      <c r="M13" s="1423"/>
      <c r="N13" s="74"/>
    </row>
    <row r="15" spans="1:17" ht="15" customHeight="1">
      <c r="D15" s="335" t="s">
        <v>1190</v>
      </c>
      <c r="E15" s="1551"/>
      <c r="F15" s="1551"/>
      <c r="G15" s="1551"/>
      <c r="H15" s="1551"/>
      <c r="I15" s="1551"/>
      <c r="J15" s="1551"/>
      <c r="K15" s="1551"/>
      <c r="L15" s="1551"/>
      <c r="M15" s="1551"/>
      <c r="N15" s="1551"/>
      <c r="P15" s="70"/>
      <c r="Q15" s="1629"/>
    </row>
    <row r="16" spans="1:17" ht="15" customHeight="1">
      <c r="D16" s="84"/>
      <c r="E16" s="84"/>
      <c r="F16" s="84"/>
      <c r="G16" s="84"/>
      <c r="H16" s="84"/>
      <c r="I16" s="84"/>
      <c r="J16" s="84"/>
      <c r="K16" s="84"/>
      <c r="L16" s="84"/>
      <c r="M16" s="84"/>
      <c r="N16" s="84"/>
      <c r="P16" s="70"/>
      <c r="Q16" s="1629"/>
    </row>
    <row r="17" spans="4:23" ht="15" customHeight="1">
      <c r="D17" s="20"/>
      <c r="E17" s="940" t="s">
        <v>2131</v>
      </c>
      <c r="F17" s="15"/>
      <c r="G17" s="16"/>
      <c r="H17" s="15"/>
      <c r="I17" s="17"/>
      <c r="J17" s="15"/>
      <c r="K17" s="17"/>
      <c r="L17" s="17"/>
      <c r="M17" s="17"/>
      <c r="N17" s="20"/>
      <c r="P17" s="70"/>
      <c r="Q17" s="1629"/>
    </row>
    <row r="18" spans="4:23" ht="15" customHeight="1">
      <c r="D18" s="13"/>
      <c r="E18" s="19"/>
      <c r="F18" s="20"/>
      <c r="G18" s="21"/>
      <c r="H18" s="20"/>
      <c r="I18" s="22"/>
      <c r="J18" s="20"/>
      <c r="K18" s="22"/>
      <c r="L18" s="22"/>
      <c r="M18" s="22"/>
      <c r="N18" s="20"/>
      <c r="P18" s="70"/>
      <c r="Q18" s="1629"/>
    </row>
    <row r="19" spans="4:23" ht="15" customHeight="1">
      <c r="D19" s="13"/>
      <c r="E19" s="23" t="s">
        <v>1726</v>
      </c>
      <c r="F19" s="727"/>
      <c r="G19" s="728"/>
      <c r="H19" s="727"/>
      <c r="I19" s="729"/>
      <c r="J19" s="727"/>
      <c r="K19" s="729"/>
      <c r="L19" s="729"/>
      <c r="M19" s="729"/>
      <c r="N19" s="20"/>
      <c r="P19" s="70"/>
    </row>
    <row r="20" spans="4:23" ht="15" customHeight="1">
      <c r="D20" s="13"/>
      <c r="E20" s="26"/>
      <c r="F20" s="727"/>
      <c r="G20" s="727"/>
      <c r="H20" s="727"/>
      <c r="I20" s="727"/>
      <c r="J20" s="727"/>
      <c r="K20" s="727"/>
      <c r="L20" s="727"/>
      <c r="M20" s="730" t="s">
        <v>9</v>
      </c>
      <c r="N20" s="22"/>
      <c r="P20" s="70"/>
      <c r="W20" s="1630" t="s">
        <v>2132</v>
      </c>
    </row>
    <row r="21" spans="4:23" ht="15" customHeight="1">
      <c r="D21" s="83"/>
      <c r="E21" s="28" t="s">
        <v>789</v>
      </c>
      <c r="F21" s="731">
        <v>2018</v>
      </c>
      <c r="G21" s="731">
        <v>2020</v>
      </c>
      <c r="H21" s="731">
        <v>2025</v>
      </c>
      <c r="I21" s="731">
        <v>2030</v>
      </c>
      <c r="J21" s="731">
        <v>2035</v>
      </c>
      <c r="K21" s="731">
        <v>2040</v>
      </c>
      <c r="L21" s="731">
        <v>2045</v>
      </c>
      <c r="M21" s="731">
        <v>2050</v>
      </c>
      <c r="N21" s="22"/>
      <c r="O21" s="1631"/>
      <c r="P21" s="1636">
        <v>2015</v>
      </c>
      <c r="Q21" s="1637">
        <v>2020</v>
      </c>
      <c r="R21" s="1637">
        <v>2025</v>
      </c>
      <c r="S21" s="1637">
        <v>2030</v>
      </c>
      <c r="T21" s="1637">
        <v>2035</v>
      </c>
      <c r="U21" s="1637">
        <v>2040</v>
      </c>
      <c r="V21" s="1637">
        <v>2045</v>
      </c>
      <c r="W21" s="1638">
        <v>2050</v>
      </c>
    </row>
    <row r="22" spans="4:23" ht="15" customHeight="1">
      <c r="D22" s="83"/>
      <c r="E22" s="30" t="s">
        <v>795</v>
      </c>
      <c r="F22" s="745" cm="1">
        <f t="array" ref="F22:M22">P22:W22*12*GEN_HOGARES*INDEX(GEN_PORCENTAJE_HOGARES_POR_ZONA_CLIMATICA,FRIO,0)</f>
        <v>0.25741930824558001</v>
      </c>
      <c r="G22" s="745">
        <v>0.30103585395530219</v>
      </c>
      <c r="H22" s="745">
        <v>0.39214621554416662</v>
      </c>
      <c r="I22" s="745">
        <v>0.48330173654041131</v>
      </c>
      <c r="J22" s="745">
        <v>0.56711342910716955</v>
      </c>
      <c r="K22" s="745">
        <v>0.65909134848721251</v>
      </c>
      <c r="L22" s="745">
        <v>0.75321057368268551</v>
      </c>
      <c r="M22" s="745">
        <v>0.84847165642628064</v>
      </c>
      <c r="N22" s="3675"/>
      <c r="O22" s="1631" t="s">
        <v>795</v>
      </c>
      <c r="P22" s="1631">
        <v>3.2494905E-8</v>
      </c>
      <c r="Q22" s="1631">
        <v>3.3426180000000002E-8</v>
      </c>
      <c r="R22" s="1631">
        <v>3.4777755E-8</v>
      </c>
      <c r="S22" s="1631">
        <v>3.6254736000000005E-8</v>
      </c>
      <c r="T22" s="1631">
        <v>3.7431504000000001E-8</v>
      </c>
      <c r="U22" s="1631">
        <v>3.8943396000000001E-8</v>
      </c>
      <c r="V22" s="1631">
        <v>4.0269419999999996E-8</v>
      </c>
      <c r="W22" s="1631">
        <v>4.1386950000000003E-8</v>
      </c>
    </row>
    <row r="23" spans="4:23" ht="15" customHeight="1">
      <c r="D23" s="83"/>
      <c r="E23" s="30" t="s">
        <v>791</v>
      </c>
      <c r="F23" s="745" cm="1">
        <f t="array" ref="F23:M23">P23:W23*12*GEN_HOGARES*INDEX(GEN_PORCENTAJE_HOGARES_POR_ZONA_CLIMATICA,TEMPLADO,0)</f>
        <v>5.0654243851570496E-2</v>
      </c>
      <c r="G23" s="745">
        <v>6.282174951206769E-2</v>
      </c>
      <c r="H23" s="745">
        <v>8.5440782165752002E-2</v>
      </c>
      <c r="I23" s="745">
        <v>0.10878199590865903</v>
      </c>
      <c r="J23" s="745">
        <v>0.13383280506000397</v>
      </c>
      <c r="K23" s="745">
        <v>0.1598944285330913</v>
      </c>
      <c r="L23" s="745">
        <v>0.18775500088686917</v>
      </c>
      <c r="M23" s="745">
        <v>0.21789535900745577</v>
      </c>
      <c r="N23" s="3675"/>
      <c r="O23" s="1631" t="s">
        <v>791</v>
      </c>
      <c r="P23" s="1631">
        <v>1.8223326000000002E-8</v>
      </c>
      <c r="Q23" s="1631">
        <v>1.9879992000000004E-8</v>
      </c>
      <c r="R23" s="1631">
        <v>2.1595158000000003E-8</v>
      </c>
      <c r="S23" s="1631">
        <v>2.3256324000000001E-8</v>
      </c>
      <c r="T23" s="1631">
        <v>2.5174890000000003E-8</v>
      </c>
      <c r="U23" s="1631">
        <v>2.6925216000000001E-8</v>
      </c>
      <c r="V23" s="1631">
        <v>2.8608042000000004E-8</v>
      </c>
      <c r="W23" s="1631">
        <v>3.0290868000000001E-8</v>
      </c>
    </row>
    <row r="24" spans="4:23" ht="15" customHeight="1">
      <c r="D24" s="83"/>
      <c r="E24" s="30" t="s">
        <v>792</v>
      </c>
      <c r="F24" s="745" cm="1">
        <f t="array" ref="F24:M24">P24:W24*12*GEN_HOGARES*INDEX(GEN_PORCENTAJE_HOGARES_POR_ZONA_CLIMATICA,CALIDO_SECO,0)</f>
        <v>1.04332745088E-2</v>
      </c>
      <c r="G24" s="745">
        <v>1.3226207299423514E-2</v>
      </c>
      <c r="H24" s="745">
        <v>1.8341279984107343E-2</v>
      </c>
      <c r="I24" s="745">
        <v>2.3622127426005012E-2</v>
      </c>
      <c r="J24" s="745">
        <v>2.9338551551434375E-2</v>
      </c>
      <c r="K24" s="745">
        <v>3.5381746057960885E-2</v>
      </c>
      <c r="L24" s="745">
        <v>4.1835301652362135E-2</v>
      </c>
      <c r="M24" s="745">
        <v>4.9159846096901279E-2</v>
      </c>
      <c r="N24" s="3675"/>
      <c r="O24" s="1631" t="s">
        <v>792</v>
      </c>
      <c r="P24" s="1631">
        <v>2.2033440000000001E-8</v>
      </c>
      <c r="Q24" s="1631">
        <v>2.4569220000000004E-8</v>
      </c>
      <c r="R24" s="1631">
        <v>2.7212640000000001E-8</v>
      </c>
      <c r="S24" s="1631">
        <v>2.9645100000000001E-8</v>
      </c>
      <c r="T24" s="1631">
        <v>3.2396160000000006E-8</v>
      </c>
      <c r="U24" s="1631">
        <v>3.4974780000000003E-8</v>
      </c>
      <c r="V24" s="1631">
        <v>3.7418760000000002E-8</v>
      </c>
      <c r="W24" s="1631">
        <v>4.0116599999999999E-8</v>
      </c>
    </row>
    <row r="25" spans="4:23" ht="15" customHeight="1">
      <c r="D25" s="83"/>
      <c r="E25" s="32" t="s">
        <v>793</v>
      </c>
      <c r="F25" s="746" cm="1">
        <f t="array" ref="F25:M25">P25:W25*12*GEN_HOGARES*INDEX(GEN_PORCENTAJE_HOGARES_POR_ZONA_CLIMATICA,CALIDO_HUMEDO,0)</f>
        <v>1.3535826753599999E-2</v>
      </c>
      <c r="G25" s="746">
        <v>1.6670649577842523E-2</v>
      </c>
      <c r="H25" s="746">
        <v>2.2717744707551162E-2</v>
      </c>
      <c r="I25" s="746">
        <v>2.8776340406257709E-2</v>
      </c>
      <c r="J25" s="746">
        <v>3.4885369816854216E-2</v>
      </c>
      <c r="K25" s="746">
        <v>4.1842336039499634E-2</v>
      </c>
      <c r="L25" s="746">
        <v>4.9542920583245886E-2</v>
      </c>
      <c r="M25" s="746">
        <v>5.6866133891153102E-2</v>
      </c>
      <c r="N25" s="3675"/>
      <c r="O25" s="1631" t="s">
        <v>793</v>
      </c>
      <c r="P25" s="1631">
        <v>2.413836E-8</v>
      </c>
      <c r="Q25" s="1631">
        <v>2.6149890000000001E-8</v>
      </c>
      <c r="R25" s="1631">
        <v>2.8462140000000002E-8</v>
      </c>
      <c r="S25" s="1631">
        <v>3.0495149999999998E-8</v>
      </c>
      <c r="T25" s="1631">
        <v>3.2528160000000003E-8</v>
      </c>
      <c r="U25" s="1631">
        <v>3.4926330000000004E-8</v>
      </c>
      <c r="V25" s="1631">
        <v>3.7418760000000002E-8</v>
      </c>
      <c r="W25" s="1631">
        <v>3.9185789999999997E-8</v>
      </c>
    </row>
    <row r="26" spans="4:23" ht="15" customHeight="1">
      <c r="D26" s="83"/>
      <c r="E26" s="84"/>
      <c r="F26" s="732"/>
      <c r="G26" s="732"/>
      <c r="H26" s="732"/>
      <c r="I26" s="732"/>
      <c r="J26" s="732"/>
      <c r="K26" s="732"/>
      <c r="L26" s="732"/>
      <c r="M26" s="732"/>
      <c r="N26" s="22"/>
      <c r="P26" s="70"/>
    </row>
    <row r="27" spans="4:23" ht="15" customHeight="1">
      <c r="D27" s="83"/>
      <c r="E27" s="23" t="s">
        <v>1729</v>
      </c>
      <c r="F27" s="732"/>
      <c r="G27" s="732"/>
      <c r="H27" s="732"/>
      <c r="I27" s="732"/>
      <c r="J27" s="732"/>
      <c r="K27" s="732"/>
      <c r="L27" s="732"/>
      <c r="M27" s="732"/>
      <c r="N27" s="22"/>
    </row>
    <row r="28" spans="4:23" ht="15" customHeight="1">
      <c r="D28" s="13"/>
      <c r="E28" s="26"/>
      <c r="F28" s="727"/>
      <c r="G28" s="727"/>
      <c r="H28" s="727"/>
      <c r="I28" s="727"/>
      <c r="J28" s="727"/>
      <c r="K28" s="727"/>
      <c r="L28" s="727"/>
      <c r="M28" s="730" t="s">
        <v>9</v>
      </c>
      <c r="N28" s="22"/>
      <c r="W28" s="1630" t="s">
        <v>2132</v>
      </c>
    </row>
    <row r="29" spans="4:23" ht="15" customHeight="1">
      <c r="D29" s="83"/>
      <c r="E29" s="28" t="s">
        <v>789</v>
      </c>
      <c r="F29" s="731">
        <v>2018</v>
      </c>
      <c r="G29" s="731">
        <v>2020</v>
      </c>
      <c r="H29" s="731">
        <v>2025</v>
      </c>
      <c r="I29" s="731">
        <v>2030</v>
      </c>
      <c r="J29" s="731">
        <v>2035</v>
      </c>
      <c r="K29" s="731">
        <v>2040</v>
      </c>
      <c r="L29" s="731">
        <v>2045</v>
      </c>
      <c r="M29" s="731">
        <v>2050</v>
      </c>
      <c r="N29" s="22"/>
      <c r="P29" s="1636">
        <v>2015</v>
      </c>
      <c r="Q29" s="1637">
        <v>2020</v>
      </c>
      <c r="R29" s="1637">
        <v>2025</v>
      </c>
      <c r="S29" s="1637">
        <v>2030</v>
      </c>
      <c r="T29" s="1637">
        <v>2035</v>
      </c>
      <c r="U29" s="1637">
        <v>2040</v>
      </c>
      <c r="V29" s="1637">
        <v>2045</v>
      </c>
      <c r="W29" s="1638">
        <v>2050</v>
      </c>
    </row>
    <row r="30" spans="4:23" ht="15" customHeight="1">
      <c r="D30" s="83"/>
      <c r="E30" s="30" t="s">
        <v>795</v>
      </c>
      <c r="F30" s="745" cm="1">
        <f t="array" ref="F30:M30">P30:W30*12*GEN_HOGARES*INDEX(GEN_PORCENTAJE_HOGARES_POR_ZONA_CLIMATICA,FRIO,0)</f>
        <v>0.24764121278061754</v>
      </c>
      <c r="G30" s="745">
        <v>0.27808138579408026</v>
      </c>
      <c r="H30" s="745">
        <v>0.34634802571129453</v>
      </c>
      <c r="I30" s="745">
        <v>0.4062960322586347</v>
      </c>
      <c r="J30" s="745">
        <v>0.4544763191201972</v>
      </c>
      <c r="K30" s="745">
        <v>0.49866680213807113</v>
      </c>
      <c r="L30" s="745">
        <v>0.5404942133951488</v>
      </c>
      <c r="M30" s="745">
        <v>0.5741277825478468</v>
      </c>
      <c r="N30" s="22"/>
      <c r="O30" s="1631" t="s">
        <v>795</v>
      </c>
      <c r="P30" s="1631">
        <v>3.1260583125000001E-8</v>
      </c>
      <c r="Q30" s="1631">
        <v>3.0877380000000001E-8</v>
      </c>
      <c r="R30" s="1631">
        <v>3.0716111250000002E-8</v>
      </c>
      <c r="S30" s="1631">
        <v>3.0478176E-8</v>
      </c>
      <c r="T30" s="1631">
        <v>2.9997053999999998E-8</v>
      </c>
      <c r="U30" s="1631">
        <v>2.9464472250000001E-8</v>
      </c>
      <c r="V30" s="1631">
        <v>2.8896817500000004E-8</v>
      </c>
      <c r="W30" s="1631">
        <v>2.8004940000000002E-8</v>
      </c>
    </row>
    <row r="31" spans="4:23" ht="15" customHeight="1">
      <c r="D31" s="83"/>
      <c r="E31" s="30" t="s">
        <v>791</v>
      </c>
      <c r="F31" s="745" cm="1">
        <f t="array" ref="F31:M31">P31:W31*12*GEN_HOGARES*INDEX(GEN_PORCENTAJE_HOGARES_POR_ZONA_CLIMATICA,TEMPLADO,0)</f>
        <v>4.8166304117213392E-2</v>
      </c>
      <c r="G31" s="745">
        <v>5.6650628796066464E-2</v>
      </c>
      <c r="H31" s="745">
        <v>7.2885328338659919E-2</v>
      </c>
      <c r="I31" s="745">
        <v>8.7468094167131277E-2</v>
      </c>
      <c r="J31" s="745">
        <v>0.10139023575306522</v>
      </c>
      <c r="K31" s="745">
        <v>0.11350656755884048</v>
      </c>
      <c r="L31" s="745">
        <v>0.12420591341725222</v>
      </c>
      <c r="M31" s="745">
        <v>0.13360891481380691</v>
      </c>
      <c r="N31" s="22"/>
      <c r="O31" s="1631" t="s">
        <v>791</v>
      </c>
      <c r="P31" s="1631">
        <v>1.7328267E-8</v>
      </c>
      <c r="Q31" s="1631">
        <v>1.7927136000000003E-8</v>
      </c>
      <c r="R31" s="1631">
        <v>1.8421767E-8</v>
      </c>
      <c r="S31" s="1631">
        <v>1.8699660000000003E-8</v>
      </c>
      <c r="T31" s="1631">
        <v>1.9072215000000003E-8</v>
      </c>
      <c r="U31" s="1631">
        <v>1.9113792000000001E-8</v>
      </c>
      <c r="V31" s="1631">
        <v>1.8925131000000001E-8</v>
      </c>
      <c r="W31" s="1631">
        <v>1.8573732000000002E-8</v>
      </c>
    </row>
    <row r="32" spans="4:23" ht="15" customHeight="1">
      <c r="D32" s="83"/>
      <c r="E32" s="30" t="s">
        <v>792</v>
      </c>
      <c r="F32" s="745" cm="1">
        <f t="array" ref="F32:M32">P32:W32*12*GEN_HOGARES*INDEX(GEN_PORCENTAJE_HOGARES_POR_ZONA_CLIMATICA,CALIDO_SECO,0)</f>
        <v>1.012948917336E-2</v>
      </c>
      <c r="G32" s="745">
        <v>1.2450056218988597E-2</v>
      </c>
      <c r="H32" s="745">
        <v>1.6715137492183882E-2</v>
      </c>
      <c r="I32" s="745">
        <v>2.0875702813934211E-2</v>
      </c>
      <c r="J32" s="745">
        <v>2.5176710742562555E-2</v>
      </c>
      <c r="K32" s="745">
        <v>2.945420207340884E-2</v>
      </c>
      <c r="L32" s="745">
        <v>3.3742956421817065E-2</v>
      </c>
      <c r="M32" s="745">
        <v>3.8459931086671208E-2</v>
      </c>
      <c r="N32" s="22"/>
      <c r="O32" s="1631" t="s">
        <v>792</v>
      </c>
      <c r="P32" s="1631">
        <v>2.1391893E-8</v>
      </c>
      <c r="Q32" s="1631">
        <v>2.3127429E-8</v>
      </c>
      <c r="R32" s="1631">
        <v>2.4799960500000003E-8</v>
      </c>
      <c r="S32" s="1631">
        <v>2.6198415000000001E-8</v>
      </c>
      <c r="T32" s="1631">
        <v>2.780058E-8</v>
      </c>
      <c r="U32" s="1631">
        <v>2.9115415500000001E-8</v>
      </c>
      <c r="V32" s="1631">
        <v>3.01807215E-8</v>
      </c>
      <c r="W32" s="1631">
        <v>3.1384997999999999E-8</v>
      </c>
    </row>
    <row r="33" spans="4:23" ht="15" customHeight="1">
      <c r="D33" s="83"/>
      <c r="E33" s="32" t="s">
        <v>793</v>
      </c>
      <c r="F33" s="746" cm="1">
        <f t="array" ref="F33:M33">P33:W33*12*GEN_HOGARES*INDEX(GEN_PORCENTAJE_HOGARES_POR_ZONA_CLIMATICA,CALIDO_HUMEDO,0)</f>
        <v>1.309608549072E-2</v>
      </c>
      <c r="G33" s="746">
        <v>1.5587483749580026E-2</v>
      </c>
      <c r="H33" s="746">
        <v>2.0527029611864821E-2</v>
      </c>
      <c r="I33" s="746">
        <v>2.507639782022314E-2</v>
      </c>
      <c r="J33" s="746">
        <v>2.9278599480846015E-2</v>
      </c>
      <c r="K33" s="746">
        <v>3.3856836520362733E-2</v>
      </c>
      <c r="L33" s="746">
        <v>3.8249945940355773E-2</v>
      </c>
      <c r="M33" s="746">
        <v>4.2451366764721554E-2</v>
      </c>
      <c r="N33" s="22"/>
      <c r="O33" s="1631" t="s">
        <v>793</v>
      </c>
      <c r="P33" s="1631">
        <v>2.3354172E-8</v>
      </c>
      <c r="Q33" s="1631">
        <v>2.4450816000000003E-8</v>
      </c>
      <c r="R33" s="1631">
        <v>2.5717482000000003E-8</v>
      </c>
      <c r="S33" s="1631">
        <v>2.6574210000000001E-8</v>
      </c>
      <c r="T33" s="1631">
        <v>2.730024E-8</v>
      </c>
      <c r="U33" s="1631">
        <v>2.8260732000000001E-8</v>
      </c>
      <c r="V33" s="1631">
        <v>2.8889406000000002E-8</v>
      </c>
      <c r="W33" s="1631">
        <v>2.9252742000000004E-8</v>
      </c>
    </row>
    <row r="34" spans="4:23" ht="15" customHeight="1">
      <c r="D34" s="83"/>
      <c r="E34" s="84"/>
      <c r="F34" s="732"/>
      <c r="G34" s="732"/>
      <c r="H34" s="732"/>
      <c r="I34" s="732"/>
      <c r="J34" s="732"/>
      <c r="K34" s="732"/>
      <c r="L34" s="732"/>
      <c r="M34" s="732"/>
      <c r="N34" s="22"/>
    </row>
    <row r="35" spans="4:23" ht="15" customHeight="1">
      <c r="D35" s="83"/>
      <c r="E35" s="23" t="s">
        <v>1730</v>
      </c>
      <c r="F35" s="732"/>
      <c r="G35" s="732"/>
      <c r="H35" s="732"/>
      <c r="I35" s="732"/>
      <c r="J35" s="732"/>
      <c r="K35" s="732"/>
      <c r="L35" s="732"/>
      <c r="M35" s="732"/>
      <c r="N35" s="22"/>
    </row>
    <row r="36" spans="4:23" ht="15" customHeight="1">
      <c r="D36" s="13"/>
      <c r="E36" s="26"/>
      <c r="F36" s="727"/>
      <c r="G36" s="727"/>
      <c r="H36" s="727"/>
      <c r="I36" s="727"/>
      <c r="J36" s="727"/>
      <c r="K36" s="727"/>
      <c r="L36" s="727"/>
      <c r="M36" s="730" t="s">
        <v>9</v>
      </c>
      <c r="N36" s="22"/>
      <c r="W36" s="1630" t="s">
        <v>2132</v>
      </c>
    </row>
    <row r="37" spans="4:23" ht="15" customHeight="1">
      <c r="D37" s="83"/>
      <c r="E37" s="28" t="s">
        <v>789</v>
      </c>
      <c r="F37" s="731">
        <v>2018</v>
      </c>
      <c r="G37" s="731">
        <v>2020</v>
      </c>
      <c r="H37" s="731">
        <v>2025</v>
      </c>
      <c r="I37" s="731">
        <v>2030</v>
      </c>
      <c r="J37" s="731">
        <v>2035</v>
      </c>
      <c r="K37" s="731">
        <v>2040</v>
      </c>
      <c r="L37" s="731">
        <v>2045</v>
      </c>
      <c r="M37" s="731">
        <v>2050</v>
      </c>
      <c r="N37" s="22"/>
      <c r="P37" s="1636">
        <v>2015</v>
      </c>
      <c r="Q37" s="1637">
        <v>2020</v>
      </c>
      <c r="R37" s="1637">
        <v>2025</v>
      </c>
      <c r="S37" s="1637">
        <v>2030</v>
      </c>
      <c r="T37" s="1637">
        <v>2035</v>
      </c>
      <c r="U37" s="1637">
        <v>2040</v>
      </c>
      <c r="V37" s="1637">
        <v>2045</v>
      </c>
      <c r="W37" s="1638">
        <v>2050</v>
      </c>
    </row>
    <row r="38" spans="4:23" ht="15" customHeight="1">
      <c r="D38" s="83"/>
      <c r="E38" s="30" t="s">
        <v>795</v>
      </c>
      <c r="F38" s="745" cm="1">
        <f t="array" ref="F38:M38">P38:W38*12*GEN_HOGARES*INDEX(GEN_PORCENTAJE_HOGARES_POR_ZONA_CLIMATICA,FRIO,0)</f>
        <v>0.24686096144609254</v>
      </c>
      <c r="G38" s="745">
        <v>0.27632656857765908</v>
      </c>
      <c r="H38" s="745">
        <v>0.34275366032036447</v>
      </c>
      <c r="I38" s="745">
        <v>0.4002524170112926</v>
      </c>
      <c r="J38" s="745">
        <v>0.44597677729764251</v>
      </c>
      <c r="K38" s="745">
        <v>0.48656124348855867</v>
      </c>
      <c r="L38" s="745">
        <v>0.52379966004506529</v>
      </c>
      <c r="M38" s="745">
        <v>0.55342592656040956</v>
      </c>
      <c r="N38" s="22"/>
      <c r="O38" s="1631" t="s">
        <v>795</v>
      </c>
      <c r="P38" s="1631">
        <v>3.1162089375000005E-8</v>
      </c>
      <c r="Q38" s="1631">
        <v>3.068253E-8</v>
      </c>
      <c r="R38" s="1631">
        <v>3.0397342500000002E-8</v>
      </c>
      <c r="S38" s="1631">
        <v>3.0024816E-8</v>
      </c>
      <c r="T38" s="1631">
        <v>2.9436054E-8</v>
      </c>
      <c r="U38" s="1631">
        <v>2.8749197250000002E-8</v>
      </c>
      <c r="V38" s="1631">
        <v>2.8004265000000002E-8</v>
      </c>
      <c r="W38" s="1631">
        <v>2.6995139999999999E-8</v>
      </c>
    </row>
    <row r="39" spans="4:23" ht="15" customHeight="1">
      <c r="D39" s="83"/>
      <c r="E39" s="30" t="s">
        <v>791</v>
      </c>
      <c r="F39" s="745" cm="1">
        <f t="array" ref="F39:M39">P39:W39*12*GEN_HOGARES*INDEX(GEN_PORCENTAJE_HOGARES_POR_ZONA_CLIMATICA,TEMPLADO,0)</f>
        <v>4.7966921747818719E-2</v>
      </c>
      <c r="G39" s="745">
        <v>5.6156077962223667E-2</v>
      </c>
      <c r="H39" s="745">
        <v>7.1879139925692587E-2</v>
      </c>
      <c r="I39" s="745">
        <v>8.5760007684333325E-2</v>
      </c>
      <c r="J39" s="745">
        <v>9.8790302865486582E-2</v>
      </c>
      <c r="K39" s="745">
        <v>0.10978906527995699</v>
      </c>
      <c r="L39" s="745">
        <v>0.11911311817885138</v>
      </c>
      <c r="M39" s="745">
        <v>0.12685423715055361</v>
      </c>
      <c r="N39" s="22"/>
      <c r="O39" s="1631" t="s">
        <v>791</v>
      </c>
      <c r="P39" s="1631">
        <v>1.7256537375000003E-8</v>
      </c>
      <c r="Q39" s="1631">
        <v>1.7770635E-8</v>
      </c>
      <c r="R39" s="1631">
        <v>1.8167452874999998E-8</v>
      </c>
      <c r="S39" s="1631">
        <v>1.8334491000000002E-8</v>
      </c>
      <c r="T39" s="1631">
        <v>1.8583149375000001E-8</v>
      </c>
      <c r="U39" s="1631">
        <v>1.8487787999999998E-8</v>
      </c>
      <c r="V39" s="1631">
        <v>1.8149146874999999E-8</v>
      </c>
      <c r="W39" s="1631">
        <v>1.7634726000000001E-8</v>
      </c>
    </row>
    <row r="40" spans="4:23" ht="15" customHeight="1">
      <c r="D40" s="83"/>
      <c r="E40" s="30" t="s">
        <v>792</v>
      </c>
      <c r="F40" s="745" cm="1">
        <f t="array" ref="F40:M40">P40:W40*12*GEN_HOGARES*INDEX(GEN_PORCENTAJE_HOGARES_POR_ZONA_CLIMATICA,CALIDO_SECO,0)</f>
        <v>1.012110218712E-2</v>
      </c>
      <c r="G40" s="745">
        <v>1.2426300776658209E-2</v>
      </c>
      <c r="H40" s="745">
        <v>1.6660828710776437E-2</v>
      </c>
      <c r="I40" s="745">
        <v>2.0783979625683627E-2</v>
      </c>
      <c r="J40" s="745">
        <v>2.5037716463854397E-2</v>
      </c>
      <c r="K40" s="745">
        <v>2.9256238062174346E-2</v>
      </c>
      <c r="L40" s="745">
        <v>3.3472693876940449E-2</v>
      </c>
      <c r="M40" s="745">
        <v>3.8102582731127391E-2</v>
      </c>
      <c r="N40" s="22"/>
      <c r="O40" s="1631" t="s">
        <v>792</v>
      </c>
      <c r="P40" s="1631">
        <v>2.1374181000000001E-8</v>
      </c>
      <c r="Q40" s="1631">
        <v>2.30833005E-8</v>
      </c>
      <c r="R40" s="1631">
        <v>2.4719383499999999E-8</v>
      </c>
      <c r="S40" s="1631">
        <v>2.6083305000000001E-8</v>
      </c>
      <c r="T40" s="1631">
        <v>2.7647100000000001E-8</v>
      </c>
      <c r="U40" s="1631">
        <v>2.8919728500000005E-8</v>
      </c>
      <c r="V40" s="1631">
        <v>2.99389905E-8</v>
      </c>
      <c r="W40" s="1631">
        <v>3.1093386000000003E-8</v>
      </c>
    </row>
    <row r="41" spans="4:23" ht="15" customHeight="1">
      <c r="D41" s="83"/>
      <c r="E41" s="32" t="s">
        <v>793</v>
      </c>
      <c r="F41" s="746" cm="1">
        <f t="array" ref="F41:M41">P41:W41*12*GEN_HOGARES*INDEX(GEN_PORCENTAJE_HOGARES_POR_ZONA_CLIMATICA,CALIDO_HUMEDO,0)</f>
        <v>1.3083296798159998E-2</v>
      </c>
      <c r="G41" s="746">
        <v>1.5555982783128927E-2</v>
      </c>
      <c r="H41" s="746">
        <v>2.0463318552179872E-2</v>
      </c>
      <c r="I41" s="746">
        <v>2.4968794935943981E-2</v>
      </c>
      <c r="J41" s="746">
        <v>2.9115541637212854E-2</v>
      </c>
      <c r="K41" s="746">
        <v>3.3624599732713041E-2</v>
      </c>
      <c r="L41" s="746">
        <v>3.7932893841578968E-2</v>
      </c>
      <c r="M41" s="746">
        <v>4.2032152011262688E-2</v>
      </c>
      <c r="N41" s="22"/>
      <c r="O41" s="1631" t="s">
        <v>793</v>
      </c>
      <c r="P41" s="1631">
        <v>2.3331366E-8</v>
      </c>
      <c r="Q41" s="1631">
        <v>2.4401403000000001E-8</v>
      </c>
      <c r="R41" s="1631">
        <v>2.5637661000000002E-8</v>
      </c>
      <c r="S41" s="1631">
        <v>2.6460180000000001E-8</v>
      </c>
      <c r="T41" s="1631">
        <v>2.71482E-8</v>
      </c>
      <c r="U41" s="1631">
        <v>2.8066881000000001E-8</v>
      </c>
      <c r="V41" s="1631">
        <v>2.8649943000000003E-8</v>
      </c>
      <c r="W41" s="1631">
        <v>2.8963866000000001E-8</v>
      </c>
    </row>
    <row r="42" spans="4:23" ht="15" customHeight="1">
      <c r="D42" s="83"/>
      <c r="E42" s="35"/>
      <c r="F42" s="733"/>
      <c r="G42" s="734"/>
      <c r="H42" s="734"/>
      <c r="I42" s="734"/>
      <c r="J42" s="734"/>
      <c r="K42" s="734"/>
      <c r="L42" s="734"/>
      <c r="M42" s="734"/>
      <c r="N42" s="22"/>
    </row>
    <row r="43" spans="4:23" ht="15" customHeight="1">
      <c r="D43" s="83"/>
      <c r="E43" s="23" t="s">
        <v>1731</v>
      </c>
      <c r="F43" s="733"/>
      <c r="G43" s="734"/>
      <c r="H43" s="734"/>
      <c r="I43" s="734"/>
      <c r="J43" s="734"/>
      <c r="K43" s="734"/>
      <c r="L43" s="734"/>
      <c r="M43" s="734"/>
      <c r="N43" s="22"/>
    </row>
    <row r="44" spans="4:23" ht="15" customHeight="1">
      <c r="D44" s="13"/>
      <c r="E44" s="26"/>
      <c r="F44" s="727"/>
      <c r="G44" s="727"/>
      <c r="H44" s="727"/>
      <c r="I44" s="727"/>
      <c r="J44" s="727"/>
      <c r="K44" s="727"/>
      <c r="L44" s="727"/>
      <c r="M44" s="730" t="s">
        <v>9</v>
      </c>
      <c r="N44" s="22"/>
      <c r="W44" s="1630" t="s">
        <v>2132</v>
      </c>
    </row>
    <row r="45" spans="4:23" ht="15" customHeight="1">
      <c r="D45" s="83"/>
      <c r="E45" s="28" t="s">
        <v>789</v>
      </c>
      <c r="F45" s="731">
        <v>2018</v>
      </c>
      <c r="G45" s="731">
        <v>2020</v>
      </c>
      <c r="H45" s="731">
        <v>2025</v>
      </c>
      <c r="I45" s="731">
        <v>2030</v>
      </c>
      <c r="J45" s="731">
        <v>2035</v>
      </c>
      <c r="K45" s="731">
        <v>2040</v>
      </c>
      <c r="L45" s="731">
        <v>2045</v>
      </c>
      <c r="M45" s="731">
        <v>2050</v>
      </c>
      <c r="N45" s="22"/>
      <c r="P45" s="1636">
        <v>2015</v>
      </c>
      <c r="Q45" s="1637">
        <v>2020</v>
      </c>
      <c r="R45" s="1637">
        <v>2025</v>
      </c>
      <c r="S45" s="1637">
        <v>2030</v>
      </c>
      <c r="T45" s="1637">
        <v>2035</v>
      </c>
      <c r="U45" s="1637">
        <v>2040</v>
      </c>
      <c r="V45" s="1637">
        <v>2045</v>
      </c>
      <c r="W45" s="1638">
        <v>2050</v>
      </c>
    </row>
    <row r="46" spans="4:23" ht="15" customHeight="1">
      <c r="D46" s="83"/>
      <c r="E46" s="30" t="s">
        <v>795</v>
      </c>
      <c r="F46" s="745" cm="1">
        <f t="array" ref="F46:M46">P46:W46*12*GEN_HOGARES*INDEX(GEN_PORCENTAJE_HOGARES_POR_ZONA_CLIMATICA,FRIO,0)</f>
        <v>0.24686096144609254</v>
      </c>
      <c r="G46" s="745">
        <v>0.27543208075206693</v>
      </c>
      <c r="H46" s="745">
        <v>0.34048930707562702</v>
      </c>
      <c r="I46" s="745">
        <v>0.39613482419851909</v>
      </c>
      <c r="J46" s="745">
        <v>0.43948611419718903</v>
      </c>
      <c r="K46" s="745">
        <v>0.4770358612051383</v>
      </c>
      <c r="L46" s="745">
        <v>0.51001879422589935</v>
      </c>
      <c r="M46" s="745">
        <v>0.53561679515560212</v>
      </c>
      <c r="N46" s="22"/>
      <c r="O46" s="1631" t="s">
        <v>795</v>
      </c>
      <c r="P46" s="1631">
        <v>3.1162089375000005E-8</v>
      </c>
      <c r="Q46" s="1631">
        <v>3.05832085714286E-8</v>
      </c>
      <c r="R46" s="1631">
        <v>3.0196526785714303E-8</v>
      </c>
      <c r="S46" s="1631">
        <v>2.9715936000000002E-8</v>
      </c>
      <c r="T46" s="1631">
        <v>2.9007647142857199E-8</v>
      </c>
      <c r="U46" s="1631">
        <v>2.8186375821428603E-8</v>
      </c>
      <c r="V46" s="1631">
        <v>2.7267489000000002E-8</v>
      </c>
      <c r="W46" s="1631">
        <v>2.6126442000000004E-8</v>
      </c>
    </row>
    <row r="47" spans="4:23" ht="15" customHeight="1">
      <c r="D47" s="83"/>
      <c r="E47" s="30" t="s">
        <v>791</v>
      </c>
      <c r="F47" s="745" cm="1">
        <f t="array" ref="F47:M47">P47:W47*12*GEN_HOGARES*INDEX(GEN_PORCENTAJE_HOGARES_POR_ZONA_CLIMATICA,TEMPLADO,0)</f>
        <v>4.7966921747818719E-2</v>
      </c>
      <c r="G47" s="745">
        <v>5.5859517291981645E-2</v>
      </c>
      <c r="H47" s="745">
        <v>7.1052606660653661E-2</v>
      </c>
      <c r="I47" s="745">
        <v>8.4181511982806309E-2</v>
      </c>
      <c r="J47" s="745">
        <v>9.6130251749591319E-2</v>
      </c>
      <c r="K47" s="745">
        <v>0.10572532339692545</v>
      </c>
      <c r="L47" s="745">
        <v>0.11338693096005428</v>
      </c>
      <c r="M47" s="745">
        <v>0.11910125472023134</v>
      </c>
      <c r="N47" s="22"/>
      <c r="O47" s="1631" t="s">
        <v>791</v>
      </c>
      <c r="P47" s="1631">
        <v>1.7256537375000003E-8</v>
      </c>
      <c r="Q47" s="1631">
        <v>1.7676788142857101E-8</v>
      </c>
      <c r="R47" s="1631">
        <v>1.7958546589285702E-8</v>
      </c>
      <c r="S47" s="1631">
        <v>1.7997027000000001E-8</v>
      </c>
      <c r="T47" s="1631">
        <v>1.8082775089285702E-8</v>
      </c>
      <c r="U47" s="1631">
        <v>1.7803479428571402E-8</v>
      </c>
      <c r="V47" s="1631">
        <v>1.7276653446428601E-8</v>
      </c>
      <c r="W47" s="1631">
        <v>1.6556940000000001E-8</v>
      </c>
    </row>
    <row r="48" spans="4:23" ht="15" customHeight="1">
      <c r="D48" s="83"/>
      <c r="E48" s="30" t="s">
        <v>792</v>
      </c>
      <c r="F48" s="745" cm="1">
        <f t="array" ref="F48:M48">P48:W48*12*GEN_HOGARES*INDEX(GEN_PORCENTAJE_HOGARES_POR_ZONA_CLIMATICA,CALIDO_SECO,0)</f>
        <v>1.012110218712E-2</v>
      </c>
      <c r="G48" s="745">
        <v>1.2306913220644894E-2</v>
      </c>
      <c r="H48" s="745">
        <v>1.6332327208018377E-2</v>
      </c>
      <c r="I48" s="745">
        <v>2.0147367630296259E-2</v>
      </c>
      <c r="J48" s="745">
        <v>2.3944864050398515E-2</v>
      </c>
      <c r="K48" s="745">
        <v>2.7605027017948348E-2</v>
      </c>
      <c r="L48" s="745">
        <v>3.1096801877060144E-2</v>
      </c>
      <c r="M48" s="745">
        <v>3.4839089793731216E-2</v>
      </c>
      <c r="N48" s="22"/>
      <c r="O48" s="1631" t="s">
        <v>792</v>
      </c>
      <c r="P48" s="1631">
        <v>2.1374181000000001E-8</v>
      </c>
      <c r="Q48" s="1631">
        <v>2.2861524214285704E-8</v>
      </c>
      <c r="R48" s="1631">
        <v>2.42319915E-8</v>
      </c>
      <c r="S48" s="1631">
        <v>2.5284375000000004E-8</v>
      </c>
      <c r="T48" s="1631">
        <v>2.6440352571428603E-8</v>
      </c>
      <c r="U48" s="1631">
        <v>2.7287509928571401E-8</v>
      </c>
      <c r="V48" s="1631">
        <v>2.7813920785714301E-8</v>
      </c>
      <c r="W48" s="1631">
        <v>2.8430232000000002E-8</v>
      </c>
    </row>
    <row r="49" spans="4:23" ht="15" customHeight="1">
      <c r="D49" s="83"/>
      <c r="E49" s="32" t="s">
        <v>793</v>
      </c>
      <c r="F49" s="746" cm="1">
        <f t="array" ref="F49:M49">P49:W49*12*GEN_HOGARES*INDEX(GEN_PORCENTAJE_HOGARES_POR_ZONA_CLIMATICA,CALIDO_HUMEDO,0)</f>
        <v>1.3083296798159998E-2</v>
      </c>
      <c r="G49" s="746">
        <v>1.541249692872689E-2</v>
      </c>
      <c r="H49" s="746">
        <v>2.0065789507768366E-2</v>
      </c>
      <c r="I49" s="746">
        <v>2.4213475828526763E-2</v>
      </c>
      <c r="J49" s="746">
        <v>2.7894650399481313E-2</v>
      </c>
      <c r="K49" s="746">
        <v>3.1765012120101105E-2</v>
      </c>
      <c r="L49" s="746">
        <v>3.52677012879066E-2</v>
      </c>
      <c r="M49" s="746">
        <v>3.8434746796596961E-2</v>
      </c>
      <c r="N49" s="22"/>
      <c r="O49" s="1631" t="s">
        <v>793</v>
      </c>
      <c r="P49" s="1631">
        <v>2.3331366E-8</v>
      </c>
      <c r="Q49" s="1631">
        <v>2.41763284285714E-8</v>
      </c>
      <c r="R49" s="1631">
        <v>2.5139613000000001E-8</v>
      </c>
      <c r="S49" s="1631">
        <v>2.5659745714285703E-8</v>
      </c>
      <c r="T49" s="1631">
        <v>2.6009804571428603E-8</v>
      </c>
      <c r="U49" s="1631">
        <v>2.65146595714286E-8</v>
      </c>
      <c r="V49" s="1631">
        <v>2.66369772857143E-8</v>
      </c>
      <c r="W49" s="1631">
        <v>2.6484936000000001E-8</v>
      </c>
    </row>
    <row r="50" spans="4:23" ht="15" customHeight="1">
      <c r="D50" s="83"/>
      <c r="E50" s="35"/>
      <c r="F50" s="735"/>
      <c r="G50" s="735"/>
      <c r="H50" s="733"/>
      <c r="I50" s="734"/>
      <c r="J50" s="734"/>
      <c r="K50" s="734"/>
      <c r="L50" s="734"/>
      <c r="M50" s="734"/>
      <c r="N50" s="36"/>
    </row>
    <row r="51" spans="4:23" ht="15" customHeight="1">
      <c r="D51" s="13"/>
      <c r="E51" s="940" t="s">
        <v>2133</v>
      </c>
      <c r="F51" s="736"/>
      <c r="G51" s="736"/>
      <c r="H51" s="736"/>
      <c r="I51" s="736"/>
      <c r="J51" s="736"/>
      <c r="K51" s="736"/>
      <c r="L51" s="736"/>
      <c r="M51" s="736"/>
      <c r="N51" s="22"/>
    </row>
    <row r="52" spans="4:23" ht="15" customHeight="1">
      <c r="D52" s="13"/>
      <c r="E52" s="19"/>
      <c r="F52" s="727"/>
      <c r="G52" s="728"/>
      <c r="H52" s="727"/>
      <c r="I52" s="729"/>
      <c r="J52" s="727"/>
      <c r="K52" s="729"/>
      <c r="L52" s="729"/>
      <c r="M52" s="729"/>
      <c r="N52" s="20"/>
    </row>
    <row r="53" spans="4:23" ht="15" customHeight="1">
      <c r="D53" s="13"/>
      <c r="E53" s="23" t="s">
        <v>1726</v>
      </c>
      <c r="F53" s="727"/>
      <c r="G53" s="728"/>
      <c r="H53" s="727"/>
      <c r="I53" s="729"/>
      <c r="J53" s="727"/>
      <c r="K53" s="729"/>
      <c r="L53" s="729"/>
      <c r="M53" s="729"/>
      <c r="N53" s="20"/>
    </row>
    <row r="54" spans="4:23" ht="15" customHeight="1">
      <c r="D54" s="13"/>
      <c r="E54" s="19"/>
      <c r="F54" s="727"/>
      <c r="G54" s="728"/>
      <c r="H54" s="727"/>
      <c r="I54" s="729"/>
      <c r="J54" s="727"/>
      <c r="K54" s="729"/>
      <c r="L54" s="729"/>
      <c r="M54" s="729"/>
      <c r="N54" s="20"/>
    </row>
    <row r="55" spans="4:23" ht="15" customHeight="1">
      <c r="D55" s="13"/>
      <c r="E55" s="26" t="s">
        <v>861</v>
      </c>
      <c r="F55" s="727"/>
      <c r="G55" s="727"/>
      <c r="H55" s="727"/>
      <c r="I55" s="727"/>
      <c r="J55" s="727"/>
      <c r="K55" s="727"/>
      <c r="L55" s="727"/>
      <c r="M55" s="730" t="s">
        <v>788</v>
      </c>
      <c r="N55" s="84"/>
    </row>
    <row r="56" spans="4:23" ht="15" customHeight="1">
      <c r="D56" s="13"/>
      <c r="E56" s="28" t="s">
        <v>789</v>
      </c>
      <c r="F56" s="731">
        <v>2018</v>
      </c>
      <c r="G56" s="731">
        <v>2020</v>
      </c>
      <c r="H56" s="731">
        <v>2025</v>
      </c>
      <c r="I56" s="731">
        <v>2030</v>
      </c>
      <c r="J56" s="731">
        <v>2035</v>
      </c>
      <c r="K56" s="731">
        <v>2040</v>
      </c>
      <c r="L56" s="731">
        <v>2045</v>
      </c>
      <c r="M56" s="731">
        <v>2050</v>
      </c>
      <c r="N56" s="84"/>
    </row>
    <row r="57" spans="4:23" ht="15" customHeight="1">
      <c r="D57" s="13"/>
      <c r="E57" s="30" t="s">
        <v>795</v>
      </c>
      <c r="F57" s="713">
        <v>0.40899999999999997</v>
      </c>
      <c r="G57" s="713">
        <v>0.40899999999999997</v>
      </c>
      <c r="H57" s="713">
        <v>0.40899999999999997</v>
      </c>
      <c r="I57" s="713">
        <v>0.40899999999999997</v>
      </c>
      <c r="J57" s="713">
        <v>0.40899999999999997</v>
      </c>
      <c r="K57" s="713">
        <v>0.40899999999999997</v>
      </c>
      <c r="L57" s="713">
        <v>0.40899999999999997</v>
      </c>
      <c r="M57" s="713">
        <v>0.40899999999999997</v>
      </c>
      <c r="N57" s="84"/>
    </row>
    <row r="58" spans="4:23" ht="15" customHeight="1">
      <c r="D58" s="13"/>
      <c r="E58" s="30" t="s">
        <v>791</v>
      </c>
      <c r="F58" s="713">
        <v>0.50600000000000001</v>
      </c>
      <c r="G58" s="713">
        <v>0.50600000000000001</v>
      </c>
      <c r="H58" s="713">
        <v>0.50600000000000001</v>
      </c>
      <c r="I58" s="713">
        <v>0.50600000000000001</v>
      </c>
      <c r="J58" s="713">
        <v>0.50600000000000001</v>
      </c>
      <c r="K58" s="713">
        <v>0.50600000000000001</v>
      </c>
      <c r="L58" s="713">
        <v>0.50600000000000001</v>
      </c>
      <c r="M58" s="713">
        <v>0.50600000000000001</v>
      </c>
      <c r="N58" s="84"/>
    </row>
    <row r="59" spans="4:23" ht="15" customHeight="1">
      <c r="D59" s="13"/>
      <c r="E59" s="30" t="s">
        <v>792</v>
      </c>
      <c r="F59" s="713">
        <v>0.38</v>
      </c>
      <c r="G59" s="713">
        <v>0.38</v>
      </c>
      <c r="H59" s="713">
        <v>0.38</v>
      </c>
      <c r="I59" s="713">
        <v>0.38</v>
      </c>
      <c r="J59" s="713">
        <v>0.38</v>
      </c>
      <c r="K59" s="713">
        <v>0.38</v>
      </c>
      <c r="L59" s="713">
        <v>0.38</v>
      </c>
      <c r="M59" s="713">
        <v>0.38</v>
      </c>
      <c r="N59" s="84"/>
    </row>
    <row r="60" spans="4:23" ht="15" customHeight="1">
      <c r="D60" s="13"/>
      <c r="E60" s="32" t="s">
        <v>793</v>
      </c>
      <c r="F60" s="714">
        <v>0.38</v>
      </c>
      <c r="G60" s="714">
        <v>0.38</v>
      </c>
      <c r="H60" s="714">
        <v>0.38</v>
      </c>
      <c r="I60" s="714">
        <v>0.38</v>
      </c>
      <c r="J60" s="714">
        <v>0.38</v>
      </c>
      <c r="K60" s="714">
        <v>0.38</v>
      </c>
      <c r="L60" s="714">
        <v>0.38</v>
      </c>
      <c r="M60" s="714">
        <v>0.38</v>
      </c>
      <c r="N60" s="84"/>
    </row>
    <row r="61" spans="4:23" ht="15" customHeight="1">
      <c r="D61" s="13"/>
      <c r="E61" s="19"/>
      <c r="F61" s="727"/>
      <c r="G61" s="728"/>
      <c r="H61" s="727"/>
      <c r="I61" s="729"/>
      <c r="J61" s="727"/>
      <c r="K61" s="729"/>
      <c r="L61" s="729"/>
      <c r="M61" s="729"/>
      <c r="N61" s="20"/>
    </row>
    <row r="62" spans="4:23" ht="15" customHeight="1">
      <c r="D62" s="13"/>
      <c r="E62" s="26" t="s">
        <v>863</v>
      </c>
      <c r="F62" s="727"/>
      <c r="G62" s="727"/>
      <c r="H62" s="727"/>
      <c r="I62" s="727"/>
      <c r="J62" s="727"/>
      <c r="K62" s="727"/>
      <c r="L62" s="727"/>
      <c r="M62" s="730" t="s">
        <v>788</v>
      </c>
      <c r="N62" s="20"/>
    </row>
    <row r="63" spans="4:23" ht="15" customHeight="1">
      <c r="D63" s="13"/>
      <c r="E63" s="28" t="s">
        <v>789</v>
      </c>
      <c r="F63" s="731">
        <v>2018</v>
      </c>
      <c r="G63" s="731">
        <v>2020</v>
      </c>
      <c r="H63" s="731">
        <v>2025</v>
      </c>
      <c r="I63" s="731">
        <v>2030</v>
      </c>
      <c r="J63" s="731">
        <v>2035</v>
      </c>
      <c r="K63" s="731">
        <v>2040</v>
      </c>
      <c r="L63" s="731">
        <v>2045</v>
      </c>
      <c r="M63" s="731">
        <v>2050</v>
      </c>
      <c r="N63" s="20"/>
    </row>
    <row r="64" spans="4:23" ht="15" customHeight="1">
      <c r="D64" s="13"/>
      <c r="E64" s="30" t="s">
        <v>795</v>
      </c>
      <c r="F64" s="713">
        <v>0.52300000000000002</v>
      </c>
      <c r="G64" s="713">
        <v>0.52300000000000002</v>
      </c>
      <c r="H64" s="713">
        <v>0.52300000000000002</v>
      </c>
      <c r="I64" s="713">
        <v>0.52300000000000002</v>
      </c>
      <c r="J64" s="713">
        <v>0.52300000000000002</v>
      </c>
      <c r="K64" s="713">
        <v>0.52300000000000002</v>
      </c>
      <c r="L64" s="713">
        <v>0.52300000000000002</v>
      </c>
      <c r="M64" s="713">
        <v>0.52300000000000002</v>
      </c>
      <c r="N64" s="20"/>
    </row>
    <row r="65" spans="4:14" ht="15" customHeight="1">
      <c r="D65" s="13"/>
      <c r="E65" s="30" t="s">
        <v>791</v>
      </c>
      <c r="F65" s="713">
        <v>0.45100000000000001</v>
      </c>
      <c r="G65" s="713">
        <v>0.45100000000000001</v>
      </c>
      <c r="H65" s="713">
        <v>0.45100000000000001</v>
      </c>
      <c r="I65" s="713">
        <v>0.45100000000000001</v>
      </c>
      <c r="J65" s="713">
        <v>0.45100000000000001</v>
      </c>
      <c r="K65" s="713">
        <v>0.45100000000000001</v>
      </c>
      <c r="L65" s="713">
        <v>0.45100000000000001</v>
      </c>
      <c r="M65" s="713">
        <v>0.45100000000000001</v>
      </c>
      <c r="N65" s="20"/>
    </row>
    <row r="66" spans="4:14" ht="15" customHeight="1">
      <c r="D66" s="13"/>
      <c r="E66" s="30" t="s">
        <v>792</v>
      </c>
      <c r="F66" s="713">
        <v>0.55000000000000004</v>
      </c>
      <c r="G66" s="713">
        <v>0.55000000000000004</v>
      </c>
      <c r="H66" s="713">
        <v>0.55000000000000004</v>
      </c>
      <c r="I66" s="713">
        <v>0.55000000000000004</v>
      </c>
      <c r="J66" s="713">
        <v>0.55000000000000004</v>
      </c>
      <c r="K66" s="713">
        <v>0.55000000000000004</v>
      </c>
      <c r="L66" s="713">
        <v>0.55000000000000004</v>
      </c>
      <c r="M66" s="713">
        <v>0.55000000000000004</v>
      </c>
      <c r="N66" s="20"/>
    </row>
    <row r="67" spans="4:14" ht="15" customHeight="1">
      <c r="D67" s="13"/>
      <c r="E67" s="32" t="s">
        <v>793</v>
      </c>
      <c r="F67" s="714">
        <v>0.55000000000000004</v>
      </c>
      <c r="G67" s="714">
        <v>0.55000000000000004</v>
      </c>
      <c r="H67" s="714">
        <v>0.55000000000000004</v>
      </c>
      <c r="I67" s="714">
        <v>0.55000000000000004</v>
      </c>
      <c r="J67" s="714">
        <v>0.55000000000000004</v>
      </c>
      <c r="K67" s="714">
        <v>0.55000000000000004</v>
      </c>
      <c r="L67" s="714">
        <v>0.55000000000000004</v>
      </c>
      <c r="M67" s="714">
        <v>0.55000000000000004</v>
      </c>
      <c r="N67" s="20"/>
    </row>
    <row r="68" spans="4:14" ht="15" customHeight="1">
      <c r="D68" s="13"/>
      <c r="E68" s="84"/>
      <c r="F68" s="732"/>
      <c r="G68" s="732"/>
      <c r="H68" s="732"/>
      <c r="I68" s="732"/>
      <c r="J68" s="732"/>
      <c r="K68" s="732"/>
      <c r="L68" s="732"/>
      <c r="M68" s="732"/>
      <c r="N68" s="20"/>
    </row>
    <row r="69" spans="4:14" ht="15" customHeight="1">
      <c r="D69" s="13"/>
      <c r="E69" s="26" t="s">
        <v>862</v>
      </c>
      <c r="F69" s="727"/>
      <c r="G69" s="727"/>
      <c r="H69" s="727"/>
      <c r="I69" s="727"/>
      <c r="J69" s="727"/>
      <c r="K69" s="727"/>
      <c r="L69" s="727"/>
      <c r="M69" s="730" t="s">
        <v>788</v>
      </c>
      <c r="N69" s="20"/>
    </row>
    <row r="70" spans="4:14" ht="15" customHeight="1">
      <c r="D70" s="13"/>
      <c r="E70" s="28" t="s">
        <v>789</v>
      </c>
      <c r="F70" s="731">
        <v>2018</v>
      </c>
      <c r="G70" s="731">
        <v>2020</v>
      </c>
      <c r="H70" s="731">
        <v>2025</v>
      </c>
      <c r="I70" s="731">
        <v>2030</v>
      </c>
      <c r="J70" s="731">
        <v>2035</v>
      </c>
      <c r="K70" s="731">
        <v>2040</v>
      </c>
      <c r="L70" s="731">
        <v>2045</v>
      </c>
      <c r="M70" s="731">
        <v>2050</v>
      </c>
      <c r="N70" s="20"/>
    </row>
    <row r="71" spans="4:14" ht="15" customHeight="1">
      <c r="D71" s="13"/>
      <c r="E71" s="30" t="s">
        <v>795</v>
      </c>
      <c r="F71" s="713">
        <v>0</v>
      </c>
      <c r="G71" s="713">
        <v>0</v>
      </c>
      <c r="H71" s="713">
        <v>0</v>
      </c>
      <c r="I71" s="713">
        <v>0</v>
      </c>
      <c r="J71" s="713">
        <v>0</v>
      </c>
      <c r="K71" s="713">
        <v>0</v>
      </c>
      <c r="L71" s="713">
        <v>0</v>
      </c>
      <c r="M71" s="713">
        <v>0</v>
      </c>
      <c r="N71" s="20"/>
    </row>
    <row r="72" spans="4:14" ht="15" customHeight="1">
      <c r="D72" s="13"/>
      <c r="E72" s="30" t="s">
        <v>791</v>
      </c>
      <c r="F72" s="713">
        <v>0</v>
      </c>
      <c r="G72" s="713">
        <v>0</v>
      </c>
      <c r="H72" s="713">
        <v>0</v>
      </c>
      <c r="I72" s="713">
        <v>0</v>
      </c>
      <c r="J72" s="713">
        <v>0</v>
      </c>
      <c r="K72" s="713">
        <v>0</v>
      </c>
      <c r="L72" s="713">
        <v>0</v>
      </c>
      <c r="M72" s="713">
        <v>0</v>
      </c>
      <c r="N72" s="20"/>
    </row>
    <row r="73" spans="4:14" ht="15" customHeight="1">
      <c r="D73" s="13"/>
      <c r="E73" s="30" t="s">
        <v>792</v>
      </c>
      <c r="F73" s="713">
        <v>0</v>
      </c>
      <c r="G73" s="713">
        <v>0</v>
      </c>
      <c r="H73" s="713">
        <v>0</v>
      </c>
      <c r="I73" s="713">
        <v>0</v>
      </c>
      <c r="J73" s="713">
        <v>0</v>
      </c>
      <c r="K73" s="713">
        <v>0</v>
      </c>
      <c r="L73" s="713">
        <v>0</v>
      </c>
      <c r="M73" s="713">
        <v>0</v>
      </c>
      <c r="N73" s="20"/>
    </row>
    <row r="74" spans="4:14" ht="15" customHeight="1">
      <c r="D74" s="13"/>
      <c r="E74" s="32" t="s">
        <v>793</v>
      </c>
      <c r="F74" s="714">
        <v>0</v>
      </c>
      <c r="G74" s="714">
        <v>0</v>
      </c>
      <c r="H74" s="714">
        <v>0</v>
      </c>
      <c r="I74" s="714">
        <v>0</v>
      </c>
      <c r="J74" s="714">
        <v>0</v>
      </c>
      <c r="K74" s="714">
        <v>0</v>
      </c>
      <c r="L74" s="714">
        <v>0</v>
      </c>
      <c r="M74" s="714">
        <v>0</v>
      </c>
      <c r="N74" s="20"/>
    </row>
    <row r="75" spans="4:14" ht="15" customHeight="1">
      <c r="D75" s="13"/>
      <c r="E75" s="19"/>
      <c r="F75" s="727"/>
      <c r="G75" s="728"/>
      <c r="H75" s="727"/>
      <c r="I75" s="729"/>
      <c r="J75" s="727"/>
      <c r="K75" s="729"/>
      <c r="L75" s="729"/>
      <c r="M75" s="729"/>
      <c r="N75" s="20"/>
    </row>
    <row r="76" spans="4:14" ht="15" customHeight="1">
      <c r="D76" s="13"/>
      <c r="E76" s="26" t="s">
        <v>564</v>
      </c>
      <c r="F76" s="727"/>
      <c r="G76" s="727"/>
      <c r="H76" s="727"/>
      <c r="I76" s="727"/>
      <c r="J76" s="727"/>
      <c r="K76" s="727"/>
      <c r="L76" s="727"/>
      <c r="M76" s="730" t="s">
        <v>788</v>
      </c>
      <c r="N76" s="20"/>
    </row>
    <row r="77" spans="4:14" ht="15" customHeight="1">
      <c r="D77" s="13"/>
      <c r="E77" s="28" t="s">
        <v>789</v>
      </c>
      <c r="F77" s="731">
        <v>2018</v>
      </c>
      <c r="G77" s="731">
        <v>2020</v>
      </c>
      <c r="H77" s="731">
        <v>2025</v>
      </c>
      <c r="I77" s="731">
        <v>2030</v>
      </c>
      <c r="J77" s="731">
        <v>2035</v>
      </c>
      <c r="K77" s="731">
        <v>2040</v>
      </c>
      <c r="L77" s="731">
        <v>2045</v>
      </c>
      <c r="M77" s="731">
        <v>2050</v>
      </c>
      <c r="N77" s="20"/>
    </row>
    <row r="78" spans="4:14" ht="15" customHeight="1">
      <c r="D78" s="13"/>
      <c r="E78" s="30" t="s">
        <v>795</v>
      </c>
      <c r="F78" s="713">
        <v>6.800000000000006E-2</v>
      </c>
      <c r="G78" s="713">
        <v>6.800000000000006E-2</v>
      </c>
      <c r="H78" s="713">
        <v>6.800000000000006E-2</v>
      </c>
      <c r="I78" s="713">
        <v>6.800000000000006E-2</v>
      </c>
      <c r="J78" s="713">
        <v>6.800000000000006E-2</v>
      </c>
      <c r="K78" s="713">
        <v>6.800000000000006E-2</v>
      </c>
      <c r="L78" s="713">
        <v>6.800000000000006E-2</v>
      </c>
      <c r="M78" s="713">
        <v>6.800000000000006E-2</v>
      </c>
      <c r="N78" s="20"/>
    </row>
    <row r="79" spans="4:14" ht="15" customHeight="1">
      <c r="D79" s="13"/>
      <c r="E79" s="30" t="s">
        <v>791</v>
      </c>
      <c r="F79" s="713">
        <v>4.2999999999999927E-2</v>
      </c>
      <c r="G79" s="713">
        <v>4.2999999999999927E-2</v>
      </c>
      <c r="H79" s="713">
        <v>4.2999999999999927E-2</v>
      </c>
      <c r="I79" s="713">
        <v>4.2999999999999927E-2</v>
      </c>
      <c r="J79" s="713">
        <v>4.2999999999999927E-2</v>
      </c>
      <c r="K79" s="713">
        <v>4.2999999999999927E-2</v>
      </c>
      <c r="L79" s="713">
        <v>4.2999999999999927E-2</v>
      </c>
      <c r="M79" s="713">
        <v>4.2999999999999927E-2</v>
      </c>
      <c r="N79" s="20"/>
    </row>
    <row r="80" spans="4:14" ht="15" customHeight="1">
      <c r="D80" s="13"/>
      <c r="E80" s="30" t="s">
        <v>792</v>
      </c>
      <c r="F80" s="713">
        <v>6.9999999999999951E-2</v>
      </c>
      <c r="G80" s="713">
        <v>6.9999999999999951E-2</v>
      </c>
      <c r="H80" s="713">
        <v>6.9999999999999951E-2</v>
      </c>
      <c r="I80" s="713">
        <v>6.9999999999999951E-2</v>
      </c>
      <c r="J80" s="713">
        <v>6.9999999999999951E-2</v>
      </c>
      <c r="K80" s="713">
        <v>6.9999999999999951E-2</v>
      </c>
      <c r="L80" s="713">
        <v>6.9999999999999951E-2</v>
      </c>
      <c r="M80" s="713">
        <v>6.9999999999999951E-2</v>
      </c>
      <c r="N80" s="20"/>
    </row>
    <row r="81" spans="4:14" ht="15" customHeight="1">
      <c r="D81" s="13"/>
      <c r="E81" s="32" t="s">
        <v>793</v>
      </c>
      <c r="F81" s="714">
        <v>6.9999999999999951E-2</v>
      </c>
      <c r="G81" s="714">
        <v>6.9999999999999951E-2</v>
      </c>
      <c r="H81" s="714">
        <v>6.9999999999999951E-2</v>
      </c>
      <c r="I81" s="714">
        <v>6.9999999999999951E-2</v>
      </c>
      <c r="J81" s="714">
        <v>6.9999999999999951E-2</v>
      </c>
      <c r="K81" s="714">
        <v>6.9999999999999951E-2</v>
      </c>
      <c r="L81" s="714">
        <v>6.9999999999999951E-2</v>
      </c>
      <c r="M81" s="714">
        <v>6.9999999999999951E-2</v>
      </c>
      <c r="N81" s="20"/>
    </row>
    <row r="82" spans="4:14" ht="15" customHeight="1">
      <c r="D82" s="13"/>
      <c r="E82" s="19"/>
      <c r="F82" s="727"/>
      <c r="G82" s="728"/>
      <c r="H82" s="727"/>
      <c r="I82" s="729"/>
      <c r="J82" s="727"/>
      <c r="K82" s="729"/>
      <c r="L82" s="729"/>
      <c r="M82" s="729"/>
      <c r="N82" s="20"/>
    </row>
    <row r="83" spans="4:14" ht="15" customHeight="1">
      <c r="D83" s="13"/>
      <c r="E83" s="23" t="s">
        <v>1729</v>
      </c>
      <c r="F83" s="727"/>
      <c r="G83" s="728"/>
      <c r="H83" s="727"/>
      <c r="I83" s="729"/>
      <c r="J83" s="727"/>
      <c r="K83" s="729"/>
      <c r="L83" s="729"/>
      <c r="M83" s="729"/>
      <c r="N83" s="20"/>
    </row>
    <row r="84" spans="4:14" ht="15" customHeight="1">
      <c r="D84" s="13"/>
      <c r="E84" s="19"/>
      <c r="F84" s="727"/>
      <c r="G84" s="728"/>
      <c r="H84" s="727"/>
      <c r="I84" s="729"/>
      <c r="J84" s="727"/>
      <c r="K84" s="729"/>
      <c r="L84" s="729"/>
      <c r="M84" s="729"/>
      <c r="N84" s="20"/>
    </row>
    <row r="85" spans="4:14" ht="15" customHeight="1">
      <c r="D85" s="13"/>
      <c r="E85" s="26" t="s">
        <v>861</v>
      </c>
      <c r="F85" s="727"/>
      <c r="G85" s="727"/>
      <c r="H85" s="727"/>
      <c r="I85" s="727"/>
      <c r="J85" s="727"/>
      <c r="K85" s="727"/>
      <c r="L85" s="727"/>
      <c r="M85" s="730" t="s">
        <v>788</v>
      </c>
      <c r="N85" s="20"/>
    </row>
    <row r="86" spans="4:14" ht="15" customHeight="1">
      <c r="D86" s="13"/>
      <c r="E86" s="28" t="s">
        <v>789</v>
      </c>
      <c r="F86" s="731">
        <v>2018</v>
      </c>
      <c r="G86" s="731">
        <v>2020</v>
      </c>
      <c r="H86" s="731">
        <v>2025</v>
      </c>
      <c r="I86" s="731">
        <v>2030</v>
      </c>
      <c r="J86" s="731">
        <v>2035</v>
      </c>
      <c r="K86" s="731">
        <v>2040</v>
      </c>
      <c r="L86" s="731">
        <v>2045</v>
      </c>
      <c r="M86" s="731">
        <v>2050</v>
      </c>
      <c r="N86" s="20"/>
    </row>
    <row r="87" spans="4:14" ht="15" customHeight="1">
      <c r="D87" s="13"/>
      <c r="E87" s="30" t="s">
        <v>795</v>
      </c>
      <c r="F87" s="713">
        <v>0</v>
      </c>
      <c r="G87" s="713">
        <v>0</v>
      </c>
      <c r="H87" s="713">
        <v>0</v>
      </c>
      <c r="I87" s="713">
        <v>0</v>
      </c>
      <c r="J87" s="713">
        <v>0</v>
      </c>
      <c r="K87" s="713">
        <v>0</v>
      </c>
      <c r="L87" s="713">
        <v>0</v>
      </c>
      <c r="M87" s="713">
        <v>0</v>
      </c>
      <c r="N87" s="20"/>
    </row>
    <row r="88" spans="4:14" ht="15" customHeight="1">
      <c r="D88" s="13"/>
      <c r="E88" s="30" t="s">
        <v>791</v>
      </c>
      <c r="F88" s="713">
        <v>0</v>
      </c>
      <c r="G88" s="713">
        <v>0</v>
      </c>
      <c r="H88" s="713">
        <v>0</v>
      </c>
      <c r="I88" s="713">
        <v>0</v>
      </c>
      <c r="J88" s="713">
        <v>0</v>
      </c>
      <c r="K88" s="713">
        <v>0</v>
      </c>
      <c r="L88" s="713">
        <v>0</v>
      </c>
      <c r="M88" s="713">
        <v>0</v>
      </c>
      <c r="N88" s="20"/>
    </row>
    <row r="89" spans="4:14" ht="15" customHeight="1">
      <c r="D89" s="13"/>
      <c r="E89" s="30" t="s">
        <v>792</v>
      </c>
      <c r="F89" s="713">
        <v>0</v>
      </c>
      <c r="G89" s="713">
        <v>0</v>
      </c>
      <c r="H89" s="713">
        <v>0</v>
      </c>
      <c r="I89" s="713">
        <v>0</v>
      </c>
      <c r="J89" s="713">
        <v>0</v>
      </c>
      <c r="K89" s="713">
        <v>0</v>
      </c>
      <c r="L89" s="713">
        <v>0</v>
      </c>
      <c r="M89" s="713">
        <v>0</v>
      </c>
      <c r="N89" s="20"/>
    </row>
    <row r="90" spans="4:14" ht="15" customHeight="1">
      <c r="D90" s="13"/>
      <c r="E90" s="32" t="s">
        <v>793</v>
      </c>
      <c r="F90" s="714">
        <v>0</v>
      </c>
      <c r="G90" s="714">
        <v>0</v>
      </c>
      <c r="H90" s="714">
        <v>0</v>
      </c>
      <c r="I90" s="714">
        <v>0</v>
      </c>
      <c r="J90" s="714">
        <v>0</v>
      </c>
      <c r="K90" s="714">
        <v>0</v>
      </c>
      <c r="L90" s="714">
        <v>0</v>
      </c>
      <c r="M90" s="714">
        <v>0</v>
      </c>
      <c r="N90" s="20"/>
    </row>
    <row r="91" spans="4:14" ht="15" customHeight="1">
      <c r="D91" s="13"/>
      <c r="E91" s="19"/>
      <c r="F91" s="727"/>
      <c r="G91" s="728"/>
      <c r="H91" s="727"/>
      <c r="I91" s="729"/>
      <c r="J91" s="727"/>
      <c r="K91" s="729"/>
      <c r="L91" s="729"/>
      <c r="M91" s="729"/>
      <c r="N91" s="20"/>
    </row>
    <row r="92" spans="4:14" ht="15" customHeight="1">
      <c r="D92" s="13"/>
      <c r="E92" s="26" t="s">
        <v>863</v>
      </c>
      <c r="F92" s="727"/>
      <c r="G92" s="727"/>
      <c r="H92" s="727"/>
      <c r="I92" s="727"/>
      <c r="J92" s="727"/>
      <c r="K92" s="727"/>
      <c r="L92" s="727"/>
      <c r="M92" s="730" t="s">
        <v>788</v>
      </c>
      <c r="N92" s="20"/>
    </row>
    <row r="93" spans="4:14" ht="15" customHeight="1">
      <c r="D93" s="13"/>
      <c r="E93" s="28" t="s">
        <v>789</v>
      </c>
      <c r="F93" s="731">
        <v>2018</v>
      </c>
      <c r="G93" s="731">
        <v>2020</v>
      </c>
      <c r="H93" s="731">
        <v>2025</v>
      </c>
      <c r="I93" s="731">
        <v>2030</v>
      </c>
      <c r="J93" s="731">
        <v>2035</v>
      </c>
      <c r="K93" s="731">
        <v>2040</v>
      </c>
      <c r="L93" s="731">
        <v>2045</v>
      </c>
      <c r="M93" s="731">
        <v>2050</v>
      </c>
      <c r="N93" s="20"/>
    </row>
    <row r="94" spans="4:14" ht="15" customHeight="1">
      <c r="D94" s="13"/>
      <c r="E94" s="30" t="s">
        <v>795</v>
      </c>
      <c r="F94" s="713">
        <v>0.93200000000000005</v>
      </c>
      <c r="G94" s="713">
        <v>0.93200000000000005</v>
      </c>
      <c r="H94" s="713">
        <v>0.93200000000000005</v>
      </c>
      <c r="I94" s="713">
        <v>0.93200000000000005</v>
      </c>
      <c r="J94" s="713">
        <v>0.93200000000000005</v>
      </c>
      <c r="K94" s="713">
        <v>0.93200000000000005</v>
      </c>
      <c r="L94" s="713">
        <v>0.93200000000000005</v>
      </c>
      <c r="M94" s="713">
        <v>0.93200000000000005</v>
      </c>
      <c r="N94" s="20"/>
    </row>
    <row r="95" spans="4:14" ht="15" customHeight="1">
      <c r="D95" s="13"/>
      <c r="E95" s="30" t="s">
        <v>791</v>
      </c>
      <c r="F95" s="713">
        <v>0.95699999999999996</v>
      </c>
      <c r="G95" s="713">
        <v>0.95699999999999996</v>
      </c>
      <c r="H95" s="713">
        <v>0.95699999999999996</v>
      </c>
      <c r="I95" s="713">
        <v>0.95699999999999996</v>
      </c>
      <c r="J95" s="713">
        <v>0.95699999999999996</v>
      </c>
      <c r="K95" s="713">
        <v>0.95699999999999996</v>
      </c>
      <c r="L95" s="713">
        <v>0.95699999999999996</v>
      </c>
      <c r="M95" s="713">
        <v>0.95699999999999996</v>
      </c>
      <c r="N95" s="20"/>
    </row>
    <row r="96" spans="4:14" ht="15" customHeight="1">
      <c r="D96" s="13"/>
      <c r="E96" s="30" t="s">
        <v>792</v>
      </c>
      <c r="F96" s="713">
        <v>0.93</v>
      </c>
      <c r="G96" s="713">
        <v>0.93</v>
      </c>
      <c r="H96" s="713">
        <v>0.93</v>
      </c>
      <c r="I96" s="713">
        <v>0.93</v>
      </c>
      <c r="J96" s="713">
        <v>0.93</v>
      </c>
      <c r="K96" s="713">
        <v>0.93</v>
      </c>
      <c r="L96" s="713">
        <v>0.93</v>
      </c>
      <c r="M96" s="713">
        <v>0.93</v>
      </c>
      <c r="N96" s="20"/>
    </row>
    <row r="97" spans="4:14" ht="15" customHeight="1">
      <c r="D97" s="13"/>
      <c r="E97" s="32" t="s">
        <v>793</v>
      </c>
      <c r="F97" s="714">
        <v>0.93</v>
      </c>
      <c r="G97" s="714">
        <v>0.93</v>
      </c>
      <c r="H97" s="714">
        <v>0.93</v>
      </c>
      <c r="I97" s="714">
        <v>0.93</v>
      </c>
      <c r="J97" s="714">
        <v>0.93</v>
      </c>
      <c r="K97" s="714">
        <v>0.93</v>
      </c>
      <c r="L97" s="714">
        <v>0.93</v>
      </c>
      <c r="M97" s="714">
        <v>0.93</v>
      </c>
      <c r="N97" s="20"/>
    </row>
    <row r="98" spans="4:14" ht="15" customHeight="1">
      <c r="D98" s="13"/>
      <c r="E98" s="84"/>
      <c r="F98" s="732"/>
      <c r="G98" s="732"/>
      <c r="H98" s="732"/>
      <c r="I98" s="732"/>
      <c r="J98" s="732"/>
      <c r="K98" s="732"/>
      <c r="L98" s="732"/>
      <c r="M98" s="732"/>
      <c r="N98" s="20"/>
    </row>
    <row r="99" spans="4:14" ht="15" customHeight="1">
      <c r="D99" s="13"/>
      <c r="E99" s="26" t="s">
        <v>862</v>
      </c>
      <c r="F99" s="727"/>
      <c r="G99" s="727"/>
      <c r="H99" s="727"/>
      <c r="I99" s="727"/>
      <c r="J99" s="727"/>
      <c r="K99" s="727"/>
      <c r="L99" s="727"/>
      <c r="M99" s="730" t="s">
        <v>788</v>
      </c>
      <c r="N99" s="20"/>
    </row>
    <row r="100" spans="4:14" ht="15" customHeight="1">
      <c r="D100" s="13"/>
      <c r="E100" s="28" t="s">
        <v>789</v>
      </c>
      <c r="F100" s="731">
        <v>2018</v>
      </c>
      <c r="G100" s="731">
        <v>2020</v>
      </c>
      <c r="H100" s="731">
        <v>2025</v>
      </c>
      <c r="I100" s="731">
        <v>2030</v>
      </c>
      <c r="J100" s="731">
        <v>2035</v>
      </c>
      <c r="K100" s="731">
        <v>2040</v>
      </c>
      <c r="L100" s="731">
        <v>2045</v>
      </c>
      <c r="M100" s="731">
        <v>2050</v>
      </c>
      <c r="N100" s="20"/>
    </row>
    <row r="101" spans="4:14" ht="15" customHeight="1">
      <c r="D101" s="13"/>
      <c r="E101" s="30" t="s">
        <v>795</v>
      </c>
      <c r="F101" s="713">
        <v>0</v>
      </c>
      <c r="G101" s="713">
        <v>0</v>
      </c>
      <c r="H101" s="713">
        <v>0</v>
      </c>
      <c r="I101" s="713">
        <v>0</v>
      </c>
      <c r="J101" s="713">
        <v>0</v>
      </c>
      <c r="K101" s="713">
        <v>0</v>
      </c>
      <c r="L101" s="713">
        <v>0</v>
      </c>
      <c r="M101" s="713">
        <v>0</v>
      </c>
      <c r="N101" s="20"/>
    </row>
    <row r="102" spans="4:14" ht="15" customHeight="1">
      <c r="D102" s="13"/>
      <c r="E102" s="30" t="s">
        <v>791</v>
      </c>
      <c r="F102" s="713">
        <v>0</v>
      </c>
      <c r="G102" s="713">
        <v>0</v>
      </c>
      <c r="H102" s="713">
        <v>0</v>
      </c>
      <c r="I102" s="713">
        <v>0</v>
      </c>
      <c r="J102" s="713">
        <v>0</v>
      </c>
      <c r="K102" s="713">
        <v>0</v>
      </c>
      <c r="L102" s="713">
        <v>0</v>
      </c>
      <c r="M102" s="713">
        <v>0</v>
      </c>
      <c r="N102" s="20"/>
    </row>
    <row r="103" spans="4:14" ht="15" customHeight="1">
      <c r="D103" s="13"/>
      <c r="E103" s="30" t="s">
        <v>792</v>
      </c>
      <c r="F103" s="713">
        <v>0</v>
      </c>
      <c r="G103" s="713">
        <v>0</v>
      </c>
      <c r="H103" s="713">
        <v>0</v>
      </c>
      <c r="I103" s="713">
        <v>0</v>
      </c>
      <c r="J103" s="713">
        <v>0</v>
      </c>
      <c r="K103" s="713">
        <v>0</v>
      </c>
      <c r="L103" s="713">
        <v>0</v>
      </c>
      <c r="M103" s="713">
        <v>0</v>
      </c>
      <c r="N103" s="20"/>
    </row>
    <row r="104" spans="4:14" ht="15" customHeight="1">
      <c r="D104" s="13"/>
      <c r="E104" s="32" t="s">
        <v>793</v>
      </c>
      <c r="F104" s="714">
        <v>0</v>
      </c>
      <c r="G104" s="714">
        <v>0</v>
      </c>
      <c r="H104" s="714">
        <v>0</v>
      </c>
      <c r="I104" s="714">
        <v>0</v>
      </c>
      <c r="J104" s="714">
        <v>0</v>
      </c>
      <c r="K104" s="714">
        <v>0</v>
      </c>
      <c r="L104" s="714">
        <v>0</v>
      </c>
      <c r="M104" s="714">
        <v>0</v>
      </c>
      <c r="N104" s="20"/>
    </row>
    <row r="105" spans="4:14" ht="15" customHeight="1">
      <c r="D105" s="13"/>
      <c r="E105" s="19"/>
      <c r="F105" s="727"/>
      <c r="G105" s="728"/>
      <c r="H105" s="727"/>
      <c r="I105" s="729"/>
      <c r="J105" s="727"/>
      <c r="K105" s="729"/>
      <c r="L105" s="729"/>
      <c r="M105" s="729"/>
      <c r="N105" s="20"/>
    </row>
    <row r="106" spans="4:14" ht="15" customHeight="1">
      <c r="D106" s="13"/>
      <c r="E106" s="26" t="s">
        <v>564</v>
      </c>
      <c r="F106" s="727"/>
      <c r="G106" s="727"/>
      <c r="H106" s="727"/>
      <c r="I106" s="727"/>
      <c r="J106" s="727"/>
      <c r="K106" s="727"/>
      <c r="L106" s="727"/>
      <c r="M106" s="730" t="s">
        <v>788</v>
      </c>
      <c r="N106" s="20"/>
    </row>
    <row r="107" spans="4:14" ht="15" customHeight="1">
      <c r="D107" s="13"/>
      <c r="E107" s="28" t="s">
        <v>789</v>
      </c>
      <c r="F107" s="731">
        <v>2018</v>
      </c>
      <c r="G107" s="731">
        <v>2020</v>
      </c>
      <c r="H107" s="731">
        <v>2025</v>
      </c>
      <c r="I107" s="731">
        <v>2030</v>
      </c>
      <c r="J107" s="731">
        <v>2035</v>
      </c>
      <c r="K107" s="731">
        <v>2040</v>
      </c>
      <c r="L107" s="731">
        <v>2045</v>
      </c>
      <c r="M107" s="731">
        <v>2050</v>
      </c>
      <c r="N107" s="20"/>
    </row>
    <row r="108" spans="4:14" ht="15" customHeight="1">
      <c r="D108" s="13"/>
      <c r="E108" s="30" t="s">
        <v>795</v>
      </c>
      <c r="F108" s="713">
        <v>6.7999999999999949E-2</v>
      </c>
      <c r="G108" s="713">
        <v>6.7999999999999949E-2</v>
      </c>
      <c r="H108" s="713">
        <v>6.7999999999999949E-2</v>
      </c>
      <c r="I108" s="713">
        <v>6.7999999999999949E-2</v>
      </c>
      <c r="J108" s="713">
        <v>6.7999999999999949E-2</v>
      </c>
      <c r="K108" s="713">
        <v>6.7999999999999949E-2</v>
      </c>
      <c r="L108" s="713">
        <v>6.7999999999999949E-2</v>
      </c>
      <c r="M108" s="713">
        <v>6.7999999999999949E-2</v>
      </c>
      <c r="N108" s="20"/>
    </row>
    <row r="109" spans="4:14" ht="15" customHeight="1">
      <c r="D109" s="13"/>
      <c r="E109" s="30" t="s">
        <v>791</v>
      </c>
      <c r="F109" s="713">
        <v>4.3000000000000038E-2</v>
      </c>
      <c r="G109" s="713">
        <v>4.3000000000000038E-2</v>
      </c>
      <c r="H109" s="713">
        <v>4.3000000000000038E-2</v>
      </c>
      <c r="I109" s="713">
        <v>4.3000000000000038E-2</v>
      </c>
      <c r="J109" s="713">
        <v>4.3000000000000038E-2</v>
      </c>
      <c r="K109" s="713">
        <v>4.3000000000000038E-2</v>
      </c>
      <c r="L109" s="713">
        <v>4.3000000000000038E-2</v>
      </c>
      <c r="M109" s="713">
        <v>4.3000000000000038E-2</v>
      </c>
      <c r="N109" s="20"/>
    </row>
    <row r="110" spans="4:14" ht="15" customHeight="1">
      <c r="D110" s="13"/>
      <c r="E110" s="30" t="s">
        <v>792</v>
      </c>
      <c r="F110" s="713">
        <v>6.9999999999999951E-2</v>
      </c>
      <c r="G110" s="713">
        <v>6.9999999999999951E-2</v>
      </c>
      <c r="H110" s="713">
        <v>6.9999999999999951E-2</v>
      </c>
      <c r="I110" s="713">
        <v>6.9999999999999951E-2</v>
      </c>
      <c r="J110" s="713">
        <v>6.9999999999999951E-2</v>
      </c>
      <c r="K110" s="713">
        <v>6.9999999999999951E-2</v>
      </c>
      <c r="L110" s="713">
        <v>6.9999999999999951E-2</v>
      </c>
      <c r="M110" s="713">
        <v>6.9999999999999951E-2</v>
      </c>
      <c r="N110" s="20"/>
    </row>
    <row r="111" spans="4:14" ht="15" customHeight="1">
      <c r="D111" s="13"/>
      <c r="E111" s="32" t="s">
        <v>793</v>
      </c>
      <c r="F111" s="714">
        <v>6.9999999999999951E-2</v>
      </c>
      <c r="G111" s="714">
        <v>6.9999999999999951E-2</v>
      </c>
      <c r="H111" s="714">
        <v>6.9999999999999951E-2</v>
      </c>
      <c r="I111" s="714">
        <v>6.9999999999999951E-2</v>
      </c>
      <c r="J111" s="714">
        <v>6.9999999999999951E-2</v>
      </c>
      <c r="K111" s="714">
        <v>6.9999999999999951E-2</v>
      </c>
      <c r="L111" s="714">
        <v>6.9999999999999951E-2</v>
      </c>
      <c r="M111" s="714">
        <v>6.9999999999999951E-2</v>
      </c>
      <c r="N111" s="20"/>
    </row>
    <row r="112" spans="4:14" ht="15" customHeight="1">
      <c r="D112" s="13"/>
      <c r="E112" s="19"/>
      <c r="F112" s="727"/>
      <c r="G112" s="728"/>
      <c r="H112" s="727"/>
      <c r="I112" s="729"/>
      <c r="J112" s="727"/>
      <c r="K112" s="729"/>
      <c r="L112" s="729"/>
      <c r="M112" s="729"/>
      <c r="N112" s="20"/>
    </row>
    <row r="113" spans="4:14" ht="15" customHeight="1">
      <c r="D113" s="13"/>
      <c r="E113" s="23" t="s">
        <v>1730</v>
      </c>
      <c r="F113" s="727"/>
      <c r="G113" s="728"/>
      <c r="H113" s="727"/>
      <c r="I113" s="729"/>
      <c r="J113" s="727"/>
      <c r="K113" s="729"/>
      <c r="L113" s="729"/>
      <c r="M113" s="729"/>
      <c r="N113" s="20"/>
    </row>
    <row r="114" spans="4:14" ht="15" customHeight="1">
      <c r="D114" s="13"/>
      <c r="E114" s="19"/>
      <c r="F114" s="727"/>
      <c r="G114" s="728"/>
      <c r="H114" s="727"/>
      <c r="I114" s="729"/>
      <c r="J114" s="727"/>
      <c r="K114" s="729"/>
      <c r="L114" s="729"/>
      <c r="M114" s="729"/>
      <c r="N114" s="20"/>
    </row>
    <row r="115" spans="4:14" ht="15" customHeight="1">
      <c r="D115" s="13"/>
      <c r="E115" s="26" t="s">
        <v>861</v>
      </c>
      <c r="F115" s="727"/>
      <c r="G115" s="727"/>
      <c r="H115" s="727"/>
      <c r="I115" s="727"/>
      <c r="J115" s="727"/>
      <c r="K115" s="727"/>
      <c r="L115" s="727"/>
      <c r="M115" s="730" t="s">
        <v>788</v>
      </c>
      <c r="N115" s="20"/>
    </row>
    <row r="116" spans="4:14" ht="15" customHeight="1">
      <c r="D116" s="13"/>
      <c r="E116" s="28" t="s">
        <v>789</v>
      </c>
      <c r="F116" s="731">
        <v>2018</v>
      </c>
      <c r="G116" s="731">
        <v>2020</v>
      </c>
      <c r="H116" s="731">
        <v>2025</v>
      </c>
      <c r="I116" s="731">
        <v>2030</v>
      </c>
      <c r="J116" s="731">
        <v>2035</v>
      </c>
      <c r="K116" s="731">
        <v>2040</v>
      </c>
      <c r="L116" s="731">
        <v>2045</v>
      </c>
      <c r="M116" s="731">
        <v>2050</v>
      </c>
      <c r="N116" s="20"/>
    </row>
    <row r="117" spans="4:14" ht="15" customHeight="1">
      <c r="D117" s="13"/>
      <c r="E117" s="30" t="s">
        <v>795</v>
      </c>
      <c r="F117" s="713">
        <v>0</v>
      </c>
      <c r="G117" s="713">
        <v>0</v>
      </c>
      <c r="H117" s="713">
        <v>0</v>
      </c>
      <c r="I117" s="713">
        <v>0</v>
      </c>
      <c r="J117" s="713">
        <v>0</v>
      </c>
      <c r="K117" s="713">
        <v>0</v>
      </c>
      <c r="L117" s="713">
        <v>0</v>
      </c>
      <c r="M117" s="713">
        <v>0</v>
      </c>
      <c r="N117" s="20"/>
    </row>
    <row r="118" spans="4:14" ht="15" customHeight="1">
      <c r="D118" s="13"/>
      <c r="E118" s="30" t="s">
        <v>791</v>
      </c>
      <c r="F118" s="713">
        <v>0</v>
      </c>
      <c r="G118" s="713">
        <v>0</v>
      </c>
      <c r="H118" s="713">
        <v>0</v>
      </c>
      <c r="I118" s="713">
        <v>0</v>
      </c>
      <c r="J118" s="713">
        <v>0</v>
      </c>
      <c r="K118" s="713">
        <v>0</v>
      </c>
      <c r="L118" s="713">
        <v>0</v>
      </c>
      <c r="M118" s="713">
        <v>0</v>
      </c>
      <c r="N118" s="20"/>
    </row>
    <row r="119" spans="4:14" ht="15" customHeight="1">
      <c r="D119" s="13"/>
      <c r="E119" s="30" t="s">
        <v>792</v>
      </c>
      <c r="F119" s="713">
        <v>0</v>
      </c>
      <c r="G119" s="713">
        <v>0</v>
      </c>
      <c r="H119" s="713">
        <v>0</v>
      </c>
      <c r="I119" s="713">
        <v>0</v>
      </c>
      <c r="J119" s="713">
        <v>0</v>
      </c>
      <c r="K119" s="713">
        <v>0</v>
      </c>
      <c r="L119" s="713">
        <v>0</v>
      </c>
      <c r="M119" s="713">
        <v>0</v>
      </c>
      <c r="N119" s="20"/>
    </row>
    <row r="120" spans="4:14" ht="15" customHeight="1">
      <c r="D120" s="13"/>
      <c r="E120" s="32" t="s">
        <v>793</v>
      </c>
      <c r="F120" s="714">
        <v>0</v>
      </c>
      <c r="G120" s="714">
        <v>0</v>
      </c>
      <c r="H120" s="714">
        <v>0</v>
      </c>
      <c r="I120" s="714">
        <v>0</v>
      </c>
      <c r="J120" s="714">
        <v>0</v>
      </c>
      <c r="K120" s="714">
        <v>0</v>
      </c>
      <c r="L120" s="714">
        <v>0</v>
      </c>
      <c r="M120" s="714">
        <v>0</v>
      </c>
      <c r="N120" s="20"/>
    </row>
    <row r="121" spans="4:14" ht="15" customHeight="1">
      <c r="D121" s="13"/>
      <c r="E121" s="19"/>
      <c r="F121" s="727"/>
      <c r="G121" s="728"/>
      <c r="H121" s="727"/>
      <c r="I121" s="729"/>
      <c r="J121" s="727"/>
      <c r="K121" s="729"/>
      <c r="L121" s="729"/>
      <c r="M121" s="729"/>
      <c r="N121" s="20"/>
    </row>
    <row r="122" spans="4:14" ht="15" customHeight="1">
      <c r="D122" s="13"/>
      <c r="E122" s="26" t="s">
        <v>863</v>
      </c>
      <c r="F122" s="727"/>
      <c r="G122" s="727"/>
      <c r="H122" s="727"/>
      <c r="I122" s="727"/>
      <c r="J122" s="727"/>
      <c r="K122" s="727"/>
      <c r="L122" s="727"/>
      <c r="M122" s="730" t="s">
        <v>788</v>
      </c>
      <c r="N122" s="20"/>
    </row>
    <row r="123" spans="4:14" ht="15" customHeight="1">
      <c r="D123" s="13"/>
      <c r="E123" s="28" t="s">
        <v>789</v>
      </c>
      <c r="F123" s="731">
        <v>2018</v>
      </c>
      <c r="G123" s="731">
        <v>2020</v>
      </c>
      <c r="H123" s="731">
        <v>2025</v>
      </c>
      <c r="I123" s="731">
        <v>2030</v>
      </c>
      <c r="J123" s="731">
        <v>2035</v>
      </c>
      <c r="K123" s="731">
        <v>2040</v>
      </c>
      <c r="L123" s="731">
        <v>2045</v>
      </c>
      <c r="M123" s="731">
        <v>2050</v>
      </c>
      <c r="N123" s="20"/>
    </row>
    <row r="124" spans="4:14" ht="15" customHeight="1">
      <c r="D124" s="13"/>
      <c r="E124" s="30" t="s">
        <v>795</v>
      </c>
      <c r="F124" s="713">
        <v>0.52300000000000002</v>
      </c>
      <c r="G124" s="713">
        <v>0.52300000000000002</v>
      </c>
      <c r="H124" s="713">
        <v>0.52300000000000002</v>
      </c>
      <c r="I124" s="713">
        <v>0.52300000000000002</v>
      </c>
      <c r="J124" s="713">
        <v>0.52300000000000002</v>
      </c>
      <c r="K124" s="713">
        <v>0.52300000000000002</v>
      </c>
      <c r="L124" s="713">
        <v>0.52300000000000002</v>
      </c>
      <c r="M124" s="713">
        <v>0.52300000000000002</v>
      </c>
      <c r="N124" s="20"/>
    </row>
    <row r="125" spans="4:14" ht="15" customHeight="1">
      <c r="D125" s="13"/>
      <c r="E125" s="30" t="s">
        <v>791</v>
      </c>
      <c r="F125" s="713">
        <v>0.45100000000000001</v>
      </c>
      <c r="G125" s="713">
        <v>0.45100000000000001</v>
      </c>
      <c r="H125" s="713">
        <v>0.45100000000000001</v>
      </c>
      <c r="I125" s="713">
        <v>0.45100000000000001</v>
      </c>
      <c r="J125" s="713">
        <v>0.45100000000000001</v>
      </c>
      <c r="K125" s="713">
        <v>0.45100000000000001</v>
      </c>
      <c r="L125" s="713">
        <v>0.45100000000000001</v>
      </c>
      <c r="M125" s="713">
        <v>0.45100000000000001</v>
      </c>
      <c r="N125" s="20"/>
    </row>
    <row r="126" spans="4:14" ht="15" customHeight="1">
      <c r="D126" s="13"/>
      <c r="E126" s="30" t="s">
        <v>792</v>
      </c>
      <c r="F126" s="713">
        <v>0.55000000000000004</v>
      </c>
      <c r="G126" s="713">
        <v>0.55000000000000004</v>
      </c>
      <c r="H126" s="713">
        <v>0.55000000000000004</v>
      </c>
      <c r="I126" s="713">
        <v>0.55000000000000004</v>
      </c>
      <c r="J126" s="713">
        <v>0.55000000000000004</v>
      </c>
      <c r="K126" s="713">
        <v>0.55000000000000004</v>
      </c>
      <c r="L126" s="713">
        <v>0.55000000000000004</v>
      </c>
      <c r="M126" s="713">
        <v>0.55000000000000004</v>
      </c>
      <c r="N126" s="20"/>
    </row>
    <row r="127" spans="4:14" ht="15" customHeight="1">
      <c r="D127" s="13"/>
      <c r="E127" s="32" t="s">
        <v>793</v>
      </c>
      <c r="F127" s="714">
        <v>0.55000000000000004</v>
      </c>
      <c r="G127" s="714">
        <v>0.55000000000000004</v>
      </c>
      <c r="H127" s="714">
        <v>0.55000000000000004</v>
      </c>
      <c r="I127" s="714">
        <v>0.55000000000000004</v>
      </c>
      <c r="J127" s="714">
        <v>0.55000000000000004</v>
      </c>
      <c r="K127" s="714">
        <v>0.55000000000000004</v>
      </c>
      <c r="L127" s="714">
        <v>0.55000000000000004</v>
      </c>
      <c r="M127" s="714">
        <v>0.55000000000000004</v>
      </c>
      <c r="N127" s="20"/>
    </row>
    <row r="128" spans="4:14" ht="15" customHeight="1">
      <c r="D128" s="13"/>
      <c r="E128" s="84"/>
      <c r="F128" s="732"/>
      <c r="G128" s="732"/>
      <c r="H128" s="732"/>
      <c r="I128" s="732"/>
      <c r="J128" s="732"/>
      <c r="K128" s="732"/>
      <c r="L128" s="732"/>
      <c r="M128" s="732"/>
      <c r="N128" s="20"/>
    </row>
    <row r="129" spans="4:14" ht="15" customHeight="1">
      <c r="D129" s="13"/>
      <c r="E129" s="26" t="s">
        <v>862</v>
      </c>
      <c r="F129" s="727"/>
      <c r="G129" s="727"/>
      <c r="H129" s="727"/>
      <c r="I129" s="727"/>
      <c r="J129" s="727"/>
      <c r="K129" s="727"/>
      <c r="L129" s="727"/>
      <c r="M129" s="730" t="s">
        <v>788</v>
      </c>
      <c r="N129" s="20"/>
    </row>
    <row r="130" spans="4:14" ht="15" customHeight="1">
      <c r="D130" s="13"/>
      <c r="E130" s="28" t="s">
        <v>789</v>
      </c>
      <c r="F130" s="731">
        <v>2018</v>
      </c>
      <c r="G130" s="731">
        <v>2020</v>
      </c>
      <c r="H130" s="731">
        <v>2025</v>
      </c>
      <c r="I130" s="731">
        <v>2030</v>
      </c>
      <c r="J130" s="731">
        <v>2035</v>
      </c>
      <c r="K130" s="731">
        <v>2040</v>
      </c>
      <c r="L130" s="731">
        <v>2045</v>
      </c>
      <c r="M130" s="731">
        <v>2050</v>
      </c>
      <c r="N130" s="20"/>
    </row>
    <row r="131" spans="4:14" ht="15" customHeight="1">
      <c r="D131" s="13"/>
      <c r="E131" s="30" t="s">
        <v>795</v>
      </c>
      <c r="F131" s="713">
        <v>0.40899999999999997</v>
      </c>
      <c r="G131" s="713">
        <v>0.40899999999999997</v>
      </c>
      <c r="H131" s="713">
        <v>0.40899999999999997</v>
      </c>
      <c r="I131" s="713">
        <v>0.40899999999999997</v>
      </c>
      <c r="J131" s="713">
        <v>0.40899999999999997</v>
      </c>
      <c r="K131" s="713">
        <v>0.40899999999999997</v>
      </c>
      <c r="L131" s="713">
        <v>0.40899999999999997</v>
      </c>
      <c r="M131" s="713">
        <v>0.40899999999999997</v>
      </c>
      <c r="N131" s="20"/>
    </row>
    <row r="132" spans="4:14" ht="15" customHeight="1">
      <c r="D132" s="13"/>
      <c r="E132" s="30" t="s">
        <v>791</v>
      </c>
      <c r="F132" s="713">
        <v>0.50600000000000001</v>
      </c>
      <c r="G132" s="713">
        <v>0.50600000000000001</v>
      </c>
      <c r="H132" s="713">
        <v>0.50600000000000001</v>
      </c>
      <c r="I132" s="713">
        <v>0.50600000000000001</v>
      </c>
      <c r="J132" s="713">
        <v>0.50600000000000001</v>
      </c>
      <c r="K132" s="713">
        <v>0.50600000000000001</v>
      </c>
      <c r="L132" s="713">
        <v>0.50600000000000001</v>
      </c>
      <c r="M132" s="713">
        <v>0.50600000000000001</v>
      </c>
      <c r="N132" s="20"/>
    </row>
    <row r="133" spans="4:14" ht="15" customHeight="1">
      <c r="D133" s="13"/>
      <c r="E133" s="30" t="s">
        <v>792</v>
      </c>
      <c r="F133" s="713">
        <v>0.38</v>
      </c>
      <c r="G133" s="713">
        <v>0.38</v>
      </c>
      <c r="H133" s="713">
        <v>0.38</v>
      </c>
      <c r="I133" s="713">
        <v>0.38</v>
      </c>
      <c r="J133" s="713">
        <v>0.38</v>
      </c>
      <c r="K133" s="713">
        <v>0.38</v>
      </c>
      <c r="L133" s="713">
        <v>0.38</v>
      </c>
      <c r="M133" s="713">
        <v>0.38</v>
      </c>
      <c r="N133" s="20"/>
    </row>
    <row r="134" spans="4:14" ht="15" customHeight="1">
      <c r="D134" s="13"/>
      <c r="E134" s="32" t="s">
        <v>793</v>
      </c>
      <c r="F134" s="714">
        <v>0.38</v>
      </c>
      <c r="G134" s="714">
        <v>0.38</v>
      </c>
      <c r="H134" s="714">
        <v>0.38</v>
      </c>
      <c r="I134" s="714">
        <v>0.38</v>
      </c>
      <c r="J134" s="714">
        <v>0.38</v>
      </c>
      <c r="K134" s="714">
        <v>0.38</v>
      </c>
      <c r="L134" s="714">
        <v>0.38</v>
      </c>
      <c r="M134" s="714">
        <v>0.38</v>
      </c>
      <c r="N134" s="20"/>
    </row>
    <row r="135" spans="4:14" ht="15" customHeight="1">
      <c r="D135" s="13"/>
      <c r="E135" s="19"/>
      <c r="F135" s="727"/>
      <c r="G135" s="728"/>
      <c r="H135" s="727"/>
      <c r="I135" s="729"/>
      <c r="J135" s="727"/>
      <c r="K135" s="729"/>
      <c r="L135" s="729"/>
      <c r="M135" s="729"/>
      <c r="N135" s="20"/>
    </row>
    <row r="136" spans="4:14" ht="15" customHeight="1">
      <c r="D136" s="13"/>
      <c r="E136" s="26" t="s">
        <v>564</v>
      </c>
      <c r="F136" s="727"/>
      <c r="G136" s="727"/>
      <c r="H136" s="727"/>
      <c r="I136" s="727"/>
      <c r="J136" s="727"/>
      <c r="K136" s="727"/>
      <c r="L136" s="727"/>
      <c r="M136" s="730" t="s">
        <v>788</v>
      </c>
      <c r="N136" s="20"/>
    </row>
    <row r="137" spans="4:14" ht="15" customHeight="1">
      <c r="D137" s="84"/>
      <c r="E137" s="28" t="s">
        <v>789</v>
      </c>
      <c r="F137" s="731">
        <v>2018</v>
      </c>
      <c r="G137" s="731">
        <v>2020</v>
      </c>
      <c r="H137" s="731">
        <v>2025</v>
      </c>
      <c r="I137" s="731">
        <v>2030</v>
      </c>
      <c r="J137" s="731">
        <v>2035</v>
      </c>
      <c r="K137" s="731">
        <v>2040</v>
      </c>
      <c r="L137" s="731">
        <v>2045</v>
      </c>
      <c r="M137" s="731">
        <v>2050</v>
      </c>
      <c r="N137" s="84"/>
    </row>
    <row r="138" spans="4:14" ht="15" customHeight="1">
      <c r="D138" s="20"/>
      <c r="E138" s="30" t="s">
        <v>795</v>
      </c>
      <c r="F138" s="713">
        <v>6.800000000000006E-2</v>
      </c>
      <c r="G138" s="713">
        <v>6.800000000000006E-2</v>
      </c>
      <c r="H138" s="713">
        <v>6.800000000000006E-2</v>
      </c>
      <c r="I138" s="713">
        <v>6.800000000000006E-2</v>
      </c>
      <c r="J138" s="713">
        <v>6.800000000000006E-2</v>
      </c>
      <c r="K138" s="713">
        <v>6.800000000000006E-2</v>
      </c>
      <c r="L138" s="713">
        <v>6.800000000000006E-2</v>
      </c>
      <c r="M138" s="713">
        <v>6.800000000000006E-2</v>
      </c>
      <c r="N138" s="20"/>
    </row>
    <row r="139" spans="4:14" ht="15" customHeight="1">
      <c r="D139" s="84"/>
      <c r="E139" s="30" t="s">
        <v>791</v>
      </c>
      <c r="F139" s="713">
        <v>4.2999999999999927E-2</v>
      </c>
      <c r="G139" s="713">
        <v>4.2999999999999927E-2</v>
      </c>
      <c r="H139" s="713">
        <v>4.2999999999999927E-2</v>
      </c>
      <c r="I139" s="713">
        <v>4.2999999999999927E-2</v>
      </c>
      <c r="J139" s="713">
        <v>4.2999999999999927E-2</v>
      </c>
      <c r="K139" s="713">
        <v>4.2999999999999927E-2</v>
      </c>
      <c r="L139" s="713">
        <v>4.2999999999999927E-2</v>
      </c>
      <c r="M139" s="713">
        <v>4.2999999999999927E-2</v>
      </c>
      <c r="N139" s="33"/>
    </row>
    <row r="140" spans="4:14" ht="15" customHeight="1">
      <c r="D140" s="84"/>
      <c r="E140" s="30" t="s">
        <v>792</v>
      </c>
      <c r="F140" s="713">
        <v>6.9999999999999951E-2</v>
      </c>
      <c r="G140" s="713">
        <v>6.9999999999999951E-2</v>
      </c>
      <c r="H140" s="713">
        <v>6.9999999999999951E-2</v>
      </c>
      <c r="I140" s="713">
        <v>6.9999999999999951E-2</v>
      </c>
      <c r="J140" s="713">
        <v>6.9999999999999951E-2</v>
      </c>
      <c r="K140" s="713">
        <v>6.9999999999999951E-2</v>
      </c>
      <c r="L140" s="713">
        <v>6.9999999999999951E-2</v>
      </c>
      <c r="M140" s="713">
        <v>6.9999999999999951E-2</v>
      </c>
      <c r="N140" s="85"/>
    </row>
    <row r="141" spans="4:14" ht="15" customHeight="1">
      <c r="D141" s="84"/>
      <c r="E141" s="32" t="s">
        <v>793</v>
      </c>
      <c r="F141" s="714">
        <v>6.9999999999999951E-2</v>
      </c>
      <c r="G141" s="714">
        <v>6.9999999999999951E-2</v>
      </c>
      <c r="H141" s="714">
        <v>6.9999999999999951E-2</v>
      </c>
      <c r="I141" s="714">
        <v>6.9999999999999951E-2</v>
      </c>
      <c r="J141" s="714">
        <v>6.9999999999999951E-2</v>
      </c>
      <c r="K141" s="714">
        <v>6.9999999999999951E-2</v>
      </c>
      <c r="L141" s="714">
        <v>6.9999999999999951E-2</v>
      </c>
      <c r="M141" s="714">
        <v>6.9999999999999951E-2</v>
      </c>
      <c r="N141" s="85"/>
    </row>
    <row r="142" spans="4:14" ht="15" customHeight="1">
      <c r="D142" s="84"/>
      <c r="E142" s="30"/>
      <c r="F142" s="727"/>
      <c r="G142" s="727"/>
      <c r="H142" s="737"/>
      <c r="I142" s="737"/>
      <c r="J142" s="737"/>
      <c r="K142" s="737"/>
      <c r="L142" s="737"/>
      <c r="M142" s="737"/>
      <c r="N142" s="85"/>
    </row>
    <row r="143" spans="4:14" ht="15" customHeight="1">
      <c r="D143" s="84"/>
      <c r="E143" s="23" t="s">
        <v>1731</v>
      </c>
      <c r="F143" s="727"/>
      <c r="G143" s="728"/>
      <c r="H143" s="727"/>
      <c r="I143" s="729"/>
      <c r="J143" s="727"/>
      <c r="K143" s="729"/>
      <c r="L143" s="729"/>
      <c r="M143" s="729"/>
      <c r="N143" s="85"/>
    </row>
    <row r="144" spans="4:14" ht="15" customHeight="1">
      <c r="D144" s="84"/>
      <c r="E144" s="19"/>
      <c r="F144" s="727"/>
      <c r="G144" s="728"/>
      <c r="H144" s="727"/>
      <c r="I144" s="729"/>
      <c r="J144" s="727"/>
      <c r="K144" s="729"/>
      <c r="L144" s="729"/>
      <c r="M144" s="729"/>
      <c r="N144" s="85"/>
    </row>
    <row r="145" spans="4:14" ht="15" customHeight="1">
      <c r="D145" s="84"/>
      <c r="E145" s="26" t="s">
        <v>861</v>
      </c>
      <c r="F145" s="727"/>
      <c r="G145" s="727"/>
      <c r="H145" s="727"/>
      <c r="I145" s="727"/>
      <c r="J145" s="727"/>
      <c r="K145" s="727"/>
      <c r="L145" s="727"/>
      <c r="M145" s="730" t="s">
        <v>788</v>
      </c>
      <c r="N145" s="85"/>
    </row>
    <row r="146" spans="4:14" ht="15" customHeight="1">
      <c r="D146" s="84"/>
      <c r="E146" s="28" t="s">
        <v>789</v>
      </c>
      <c r="F146" s="731">
        <v>2018</v>
      </c>
      <c r="G146" s="731">
        <v>2020</v>
      </c>
      <c r="H146" s="731">
        <v>2025</v>
      </c>
      <c r="I146" s="731">
        <v>2030</v>
      </c>
      <c r="J146" s="731">
        <v>2035</v>
      </c>
      <c r="K146" s="731">
        <v>2040</v>
      </c>
      <c r="L146" s="731">
        <v>2045</v>
      </c>
      <c r="M146" s="731">
        <v>2050</v>
      </c>
      <c r="N146" s="85"/>
    </row>
    <row r="147" spans="4:14" ht="15" customHeight="1">
      <c r="D147" s="84"/>
      <c r="E147" s="30" t="s">
        <v>795</v>
      </c>
      <c r="F147" s="713">
        <v>0</v>
      </c>
      <c r="G147" s="713">
        <v>0</v>
      </c>
      <c r="H147" s="713">
        <v>0</v>
      </c>
      <c r="I147" s="713">
        <v>0</v>
      </c>
      <c r="J147" s="713">
        <v>0</v>
      </c>
      <c r="K147" s="713">
        <v>0</v>
      </c>
      <c r="L147" s="713">
        <v>0</v>
      </c>
      <c r="M147" s="713">
        <v>0</v>
      </c>
      <c r="N147" s="85"/>
    </row>
    <row r="148" spans="4:14" ht="15" customHeight="1">
      <c r="D148" s="84"/>
      <c r="E148" s="30" t="s">
        <v>791</v>
      </c>
      <c r="F148" s="713">
        <v>0</v>
      </c>
      <c r="G148" s="713">
        <v>0</v>
      </c>
      <c r="H148" s="713">
        <v>0</v>
      </c>
      <c r="I148" s="713">
        <v>0</v>
      </c>
      <c r="J148" s="713">
        <v>0</v>
      </c>
      <c r="K148" s="713">
        <v>0</v>
      </c>
      <c r="L148" s="713">
        <v>0</v>
      </c>
      <c r="M148" s="713">
        <v>0</v>
      </c>
      <c r="N148" s="85"/>
    </row>
    <row r="149" spans="4:14" ht="15" customHeight="1">
      <c r="D149" s="20"/>
      <c r="E149" s="30" t="s">
        <v>792</v>
      </c>
      <c r="F149" s="713">
        <v>0</v>
      </c>
      <c r="G149" s="713">
        <v>0</v>
      </c>
      <c r="H149" s="713">
        <v>0</v>
      </c>
      <c r="I149" s="713">
        <v>0</v>
      </c>
      <c r="J149" s="713">
        <v>0</v>
      </c>
      <c r="K149" s="713">
        <v>0</v>
      </c>
      <c r="L149" s="713">
        <v>0</v>
      </c>
      <c r="M149" s="713">
        <v>0</v>
      </c>
      <c r="N149" s="85"/>
    </row>
    <row r="150" spans="4:14" ht="15" customHeight="1">
      <c r="D150" s="84"/>
      <c r="E150" s="32" t="s">
        <v>793</v>
      </c>
      <c r="F150" s="714">
        <v>0</v>
      </c>
      <c r="G150" s="714">
        <v>0</v>
      </c>
      <c r="H150" s="714">
        <v>0</v>
      </c>
      <c r="I150" s="714">
        <v>0</v>
      </c>
      <c r="J150" s="714">
        <v>0</v>
      </c>
      <c r="K150" s="714">
        <v>0</v>
      </c>
      <c r="L150" s="714">
        <v>0</v>
      </c>
      <c r="M150" s="714">
        <v>0</v>
      </c>
      <c r="N150" s="85"/>
    </row>
    <row r="151" spans="4:14" ht="15" customHeight="1">
      <c r="D151" s="84"/>
      <c r="E151" s="19"/>
      <c r="F151" s="727"/>
      <c r="G151" s="728"/>
      <c r="H151" s="727"/>
      <c r="I151" s="729"/>
      <c r="J151" s="727"/>
      <c r="K151" s="729"/>
      <c r="L151" s="729"/>
      <c r="M151" s="729"/>
      <c r="N151" s="85"/>
    </row>
    <row r="152" spans="4:14" ht="15" customHeight="1">
      <c r="D152" s="84"/>
      <c r="E152" s="26" t="s">
        <v>863</v>
      </c>
      <c r="F152" s="727"/>
      <c r="G152" s="727"/>
      <c r="H152" s="727"/>
      <c r="I152" s="727"/>
      <c r="J152" s="727"/>
      <c r="K152" s="727"/>
      <c r="L152" s="727"/>
      <c r="M152" s="730" t="s">
        <v>788</v>
      </c>
      <c r="N152" s="85"/>
    </row>
    <row r="153" spans="4:14" ht="15" customHeight="1">
      <c r="D153" s="84"/>
      <c r="E153" s="28" t="s">
        <v>789</v>
      </c>
      <c r="F153" s="731">
        <v>2018</v>
      </c>
      <c r="G153" s="731">
        <v>2020</v>
      </c>
      <c r="H153" s="731">
        <v>2025</v>
      </c>
      <c r="I153" s="731">
        <v>2030</v>
      </c>
      <c r="J153" s="731">
        <v>2035</v>
      </c>
      <c r="K153" s="731">
        <v>2040</v>
      </c>
      <c r="L153" s="731">
        <v>2045</v>
      </c>
      <c r="M153" s="731">
        <v>2050</v>
      </c>
      <c r="N153" s="85"/>
    </row>
    <row r="154" spans="4:14" ht="15" customHeight="1">
      <c r="D154" s="84"/>
      <c r="E154" s="30" t="s">
        <v>795</v>
      </c>
      <c r="F154" s="713">
        <v>0</v>
      </c>
      <c r="G154" s="713">
        <v>0</v>
      </c>
      <c r="H154" s="713">
        <v>0</v>
      </c>
      <c r="I154" s="713">
        <v>0</v>
      </c>
      <c r="J154" s="713">
        <v>0</v>
      </c>
      <c r="K154" s="713">
        <v>0</v>
      </c>
      <c r="L154" s="713">
        <v>0</v>
      </c>
      <c r="M154" s="713">
        <v>0</v>
      </c>
      <c r="N154" s="85"/>
    </row>
    <row r="155" spans="4:14" ht="15" customHeight="1">
      <c r="D155" s="84"/>
      <c r="E155" s="30" t="s">
        <v>791</v>
      </c>
      <c r="F155" s="713">
        <v>0</v>
      </c>
      <c r="G155" s="713">
        <v>0</v>
      </c>
      <c r="H155" s="713">
        <v>0</v>
      </c>
      <c r="I155" s="713">
        <v>0</v>
      </c>
      <c r="J155" s="713">
        <v>0</v>
      </c>
      <c r="K155" s="713">
        <v>0</v>
      </c>
      <c r="L155" s="713">
        <v>0</v>
      </c>
      <c r="M155" s="713">
        <v>0</v>
      </c>
      <c r="N155" s="86"/>
    </row>
    <row r="156" spans="4:14" ht="15" customHeight="1">
      <c r="D156" s="83"/>
      <c r="E156" s="30" t="s">
        <v>792</v>
      </c>
      <c r="F156" s="713">
        <v>0</v>
      </c>
      <c r="G156" s="713">
        <v>0</v>
      </c>
      <c r="H156" s="713">
        <v>0</v>
      </c>
      <c r="I156" s="713">
        <v>0</v>
      </c>
      <c r="J156" s="713">
        <v>0</v>
      </c>
      <c r="K156" s="713">
        <v>0</v>
      </c>
      <c r="L156" s="713">
        <v>0</v>
      </c>
      <c r="M156" s="713">
        <v>0</v>
      </c>
      <c r="N156" s="36"/>
    </row>
    <row r="157" spans="4:14" ht="15" customHeight="1">
      <c r="D157" s="83"/>
      <c r="E157" s="32" t="s">
        <v>793</v>
      </c>
      <c r="F157" s="714">
        <v>0</v>
      </c>
      <c r="G157" s="714">
        <v>0</v>
      </c>
      <c r="H157" s="714">
        <v>0</v>
      </c>
      <c r="I157" s="714">
        <v>0</v>
      </c>
      <c r="J157" s="714">
        <v>0</v>
      </c>
      <c r="K157" s="714">
        <v>0</v>
      </c>
      <c r="L157" s="714">
        <v>0</v>
      </c>
      <c r="M157" s="714">
        <v>0</v>
      </c>
      <c r="N157" s="20"/>
    </row>
    <row r="158" spans="4:14" ht="15" customHeight="1">
      <c r="D158" s="83"/>
      <c r="E158" s="84"/>
      <c r="F158" s="732"/>
      <c r="G158" s="732"/>
      <c r="H158" s="732"/>
      <c r="I158" s="732"/>
      <c r="J158" s="732"/>
      <c r="K158" s="732"/>
      <c r="L158" s="732"/>
      <c r="M158" s="732"/>
      <c r="N158" s="33"/>
    </row>
    <row r="159" spans="4:14" ht="15" customHeight="1">
      <c r="D159" s="83"/>
      <c r="E159" s="26" t="s">
        <v>862</v>
      </c>
      <c r="F159" s="727"/>
      <c r="G159" s="727"/>
      <c r="H159" s="727"/>
      <c r="I159" s="727"/>
      <c r="J159" s="727"/>
      <c r="K159" s="727"/>
      <c r="L159" s="727"/>
      <c r="M159" s="730" t="s">
        <v>788</v>
      </c>
      <c r="N159" s="85"/>
    </row>
    <row r="160" spans="4:14" ht="15" customHeight="1">
      <c r="D160" s="13"/>
      <c r="E160" s="28" t="s">
        <v>789</v>
      </c>
      <c r="F160" s="731">
        <v>2018</v>
      </c>
      <c r="G160" s="731">
        <v>2020</v>
      </c>
      <c r="H160" s="731">
        <v>2025</v>
      </c>
      <c r="I160" s="731">
        <v>2030</v>
      </c>
      <c r="J160" s="731">
        <v>2035</v>
      </c>
      <c r="K160" s="731">
        <v>2040</v>
      </c>
      <c r="L160" s="731">
        <v>2045</v>
      </c>
      <c r="M160" s="731">
        <v>2050</v>
      </c>
      <c r="N160" s="85"/>
    </row>
    <row r="161" spans="4:14" ht="15" customHeight="1">
      <c r="D161" s="83"/>
      <c r="E161" s="30" t="s">
        <v>795</v>
      </c>
      <c r="F161" s="713">
        <v>0.93200000000000005</v>
      </c>
      <c r="G161" s="713">
        <v>0.93200000000000005</v>
      </c>
      <c r="H161" s="713">
        <v>0.93200000000000005</v>
      </c>
      <c r="I161" s="713">
        <v>0.93200000000000005</v>
      </c>
      <c r="J161" s="713">
        <v>0.93200000000000005</v>
      </c>
      <c r="K161" s="713">
        <v>0.93200000000000005</v>
      </c>
      <c r="L161" s="713">
        <v>0.93200000000000005</v>
      </c>
      <c r="M161" s="713">
        <v>0.93200000000000005</v>
      </c>
      <c r="N161" s="85"/>
    </row>
    <row r="162" spans="4:14" ht="15" customHeight="1">
      <c r="D162" s="83"/>
      <c r="E162" s="30" t="s">
        <v>791</v>
      </c>
      <c r="F162" s="713">
        <v>0.95699999999999996</v>
      </c>
      <c r="G162" s="713">
        <v>0.95699999999999996</v>
      </c>
      <c r="H162" s="713">
        <v>0.95699999999999996</v>
      </c>
      <c r="I162" s="713">
        <v>0.95699999999999996</v>
      </c>
      <c r="J162" s="713">
        <v>0.95699999999999996</v>
      </c>
      <c r="K162" s="713">
        <v>0.95699999999999996</v>
      </c>
      <c r="L162" s="713">
        <v>0.95699999999999996</v>
      </c>
      <c r="M162" s="713">
        <v>0.95699999999999996</v>
      </c>
      <c r="N162" s="85"/>
    </row>
    <row r="163" spans="4:14" ht="15" customHeight="1">
      <c r="D163" s="83"/>
      <c r="E163" s="30" t="s">
        <v>792</v>
      </c>
      <c r="F163" s="713">
        <v>0.93</v>
      </c>
      <c r="G163" s="713">
        <v>0.93</v>
      </c>
      <c r="H163" s="713">
        <v>0.93</v>
      </c>
      <c r="I163" s="713">
        <v>0.93</v>
      </c>
      <c r="J163" s="713">
        <v>0.93</v>
      </c>
      <c r="K163" s="713">
        <v>0.93</v>
      </c>
      <c r="L163" s="713">
        <v>0.93</v>
      </c>
      <c r="M163" s="713">
        <v>0.93</v>
      </c>
      <c r="N163" s="85"/>
    </row>
    <row r="164" spans="4:14" ht="15" customHeight="1">
      <c r="D164" s="83"/>
      <c r="E164" s="32" t="s">
        <v>793</v>
      </c>
      <c r="F164" s="714">
        <v>0.93</v>
      </c>
      <c r="G164" s="714">
        <v>0.93</v>
      </c>
      <c r="H164" s="714">
        <v>0.93</v>
      </c>
      <c r="I164" s="714">
        <v>0.93</v>
      </c>
      <c r="J164" s="714">
        <v>0.93</v>
      </c>
      <c r="K164" s="714">
        <v>0.93</v>
      </c>
      <c r="L164" s="714">
        <v>0.93</v>
      </c>
      <c r="M164" s="714">
        <v>0.93</v>
      </c>
      <c r="N164" s="85"/>
    </row>
    <row r="165" spans="4:14" ht="15" customHeight="1">
      <c r="D165" s="83"/>
      <c r="E165" s="19"/>
      <c r="F165" s="727"/>
      <c r="G165" s="728"/>
      <c r="H165" s="727"/>
      <c r="I165" s="729"/>
      <c r="J165" s="727"/>
      <c r="K165" s="729"/>
      <c r="L165" s="729"/>
      <c r="M165" s="729"/>
      <c r="N165" s="85"/>
    </row>
    <row r="166" spans="4:14" ht="15" customHeight="1">
      <c r="D166" s="83"/>
      <c r="E166" s="26" t="s">
        <v>564</v>
      </c>
      <c r="F166" s="727"/>
      <c r="G166" s="727"/>
      <c r="H166" s="727"/>
      <c r="I166" s="727"/>
      <c r="J166" s="727"/>
      <c r="K166" s="727"/>
      <c r="L166" s="727"/>
      <c r="M166" s="730" t="s">
        <v>788</v>
      </c>
      <c r="N166" s="85"/>
    </row>
    <row r="167" spans="4:14" ht="15" customHeight="1">
      <c r="D167" s="83"/>
      <c r="E167" s="28" t="s">
        <v>789</v>
      </c>
      <c r="F167" s="731">
        <v>2018</v>
      </c>
      <c r="G167" s="731">
        <v>2020</v>
      </c>
      <c r="H167" s="731">
        <v>2025</v>
      </c>
      <c r="I167" s="731">
        <v>2030</v>
      </c>
      <c r="J167" s="731">
        <v>2035</v>
      </c>
      <c r="K167" s="731">
        <v>2040</v>
      </c>
      <c r="L167" s="731">
        <v>2045</v>
      </c>
      <c r="M167" s="731">
        <v>2050</v>
      </c>
      <c r="N167" s="85"/>
    </row>
    <row r="168" spans="4:14" ht="15" customHeight="1">
      <c r="D168" s="83"/>
      <c r="E168" s="30" t="s">
        <v>795</v>
      </c>
      <c r="F168" s="713">
        <v>6.7999999999999949E-2</v>
      </c>
      <c r="G168" s="713">
        <v>6.7999999999999949E-2</v>
      </c>
      <c r="H168" s="713">
        <v>6.7999999999999949E-2</v>
      </c>
      <c r="I168" s="713">
        <v>6.7999999999999949E-2</v>
      </c>
      <c r="J168" s="713">
        <v>6.7999999999999949E-2</v>
      </c>
      <c r="K168" s="713">
        <v>6.7999999999999949E-2</v>
      </c>
      <c r="L168" s="713">
        <v>6.7999999999999949E-2</v>
      </c>
      <c r="M168" s="713">
        <v>6.7999999999999949E-2</v>
      </c>
      <c r="N168" s="85"/>
    </row>
    <row r="169" spans="4:14" ht="15" customHeight="1">
      <c r="D169" s="83"/>
      <c r="E169" s="30" t="s">
        <v>791</v>
      </c>
      <c r="F169" s="713">
        <v>4.3000000000000038E-2</v>
      </c>
      <c r="G169" s="713">
        <v>4.3000000000000038E-2</v>
      </c>
      <c r="H169" s="713">
        <v>4.3000000000000038E-2</v>
      </c>
      <c r="I169" s="713">
        <v>4.3000000000000038E-2</v>
      </c>
      <c r="J169" s="713">
        <v>4.3000000000000038E-2</v>
      </c>
      <c r="K169" s="713">
        <v>4.3000000000000038E-2</v>
      </c>
      <c r="L169" s="713">
        <v>4.3000000000000038E-2</v>
      </c>
      <c r="M169" s="713">
        <v>4.3000000000000038E-2</v>
      </c>
      <c r="N169" s="85"/>
    </row>
    <row r="170" spans="4:14" ht="15" customHeight="1">
      <c r="D170" s="83"/>
      <c r="E170" s="30" t="s">
        <v>792</v>
      </c>
      <c r="F170" s="713">
        <v>6.9999999999999951E-2</v>
      </c>
      <c r="G170" s="713">
        <v>6.9999999999999951E-2</v>
      </c>
      <c r="H170" s="713">
        <v>6.9999999999999951E-2</v>
      </c>
      <c r="I170" s="713">
        <v>6.9999999999999951E-2</v>
      </c>
      <c r="J170" s="713">
        <v>6.9999999999999951E-2</v>
      </c>
      <c r="K170" s="713">
        <v>6.9999999999999951E-2</v>
      </c>
      <c r="L170" s="713">
        <v>6.9999999999999951E-2</v>
      </c>
      <c r="M170" s="713">
        <v>6.9999999999999951E-2</v>
      </c>
      <c r="N170" s="85"/>
    </row>
    <row r="171" spans="4:14" ht="15" customHeight="1">
      <c r="D171" s="13"/>
      <c r="E171" s="32" t="s">
        <v>793</v>
      </c>
      <c r="F171" s="714">
        <v>6.9999999999999951E-2</v>
      </c>
      <c r="G171" s="714">
        <v>6.9999999999999951E-2</v>
      </c>
      <c r="H171" s="714">
        <v>6.9999999999999951E-2</v>
      </c>
      <c r="I171" s="714">
        <v>6.9999999999999951E-2</v>
      </c>
      <c r="J171" s="714">
        <v>6.9999999999999951E-2</v>
      </c>
      <c r="K171" s="714">
        <v>6.9999999999999951E-2</v>
      </c>
      <c r="L171" s="714">
        <v>6.9999999999999951E-2</v>
      </c>
      <c r="M171" s="714">
        <v>6.9999999999999951E-2</v>
      </c>
      <c r="N171" s="85"/>
    </row>
    <row r="172" spans="4:14" ht="15" customHeight="1">
      <c r="D172" s="13"/>
      <c r="E172" s="30"/>
      <c r="F172" s="727"/>
      <c r="G172" s="727"/>
      <c r="H172" s="737"/>
      <c r="I172" s="737"/>
      <c r="J172" s="737"/>
      <c r="K172" s="737"/>
      <c r="L172" s="737"/>
      <c r="M172" s="737"/>
      <c r="N172" s="85"/>
    </row>
    <row r="173" spans="4:14" ht="15" customHeight="1">
      <c r="D173" s="13"/>
      <c r="E173" s="940" t="s">
        <v>2134</v>
      </c>
      <c r="F173" s="738"/>
      <c r="G173" s="738"/>
      <c r="H173" s="739"/>
      <c r="I173" s="739"/>
      <c r="J173" s="739"/>
      <c r="K173" s="739"/>
      <c r="L173" s="739"/>
      <c r="M173" s="739"/>
      <c r="N173" s="22"/>
    </row>
    <row r="174" spans="4:14" ht="15" customHeight="1">
      <c r="D174" s="83"/>
      <c r="E174" s="30"/>
      <c r="F174" s="735"/>
      <c r="G174" s="733"/>
      <c r="H174" s="740"/>
      <c r="I174" s="740"/>
      <c r="J174" s="740"/>
      <c r="K174" s="740"/>
      <c r="L174" s="740"/>
      <c r="M174" s="740"/>
      <c r="N174" s="86"/>
    </row>
    <row r="175" spans="4:14" ht="15" customHeight="1">
      <c r="D175" s="83"/>
      <c r="E175" s="23" t="s">
        <v>1726</v>
      </c>
      <c r="F175" s="735"/>
      <c r="G175" s="735"/>
      <c r="H175" s="733"/>
      <c r="I175" s="734"/>
      <c r="J175" s="734"/>
      <c r="K175" s="734"/>
      <c r="L175" s="734"/>
      <c r="M175" s="734"/>
      <c r="N175" s="36"/>
    </row>
    <row r="176" spans="4:14" ht="15" customHeight="1">
      <c r="D176" s="83"/>
      <c r="E176" s="84"/>
      <c r="F176" s="732"/>
      <c r="G176" s="732"/>
      <c r="H176" s="732"/>
      <c r="I176" s="732"/>
      <c r="J176" s="732"/>
      <c r="K176" s="732"/>
      <c r="L176" s="732"/>
      <c r="M176" s="732"/>
      <c r="N176" s="84"/>
    </row>
    <row r="177" spans="4:14" ht="15" customHeight="1">
      <c r="D177" s="83"/>
      <c r="E177" s="26" t="s">
        <v>2135</v>
      </c>
      <c r="F177" s="727"/>
      <c r="G177" s="727"/>
      <c r="H177" s="727"/>
      <c r="I177" s="727"/>
      <c r="J177" s="727"/>
      <c r="K177" s="727"/>
      <c r="L177" s="727"/>
      <c r="M177" s="730" t="s">
        <v>9</v>
      </c>
      <c r="N177" s="84"/>
    </row>
    <row r="178" spans="4:14" ht="15" customHeight="1">
      <c r="D178" s="83"/>
      <c r="E178" s="28" t="s">
        <v>789</v>
      </c>
      <c r="F178" s="731">
        <v>2018</v>
      </c>
      <c r="G178" s="731">
        <v>2020</v>
      </c>
      <c r="H178" s="731">
        <v>2025</v>
      </c>
      <c r="I178" s="731">
        <v>2030</v>
      </c>
      <c r="J178" s="731">
        <v>2035</v>
      </c>
      <c r="K178" s="731">
        <v>2040</v>
      </c>
      <c r="L178" s="731">
        <v>2045</v>
      </c>
      <c r="M178" s="731">
        <v>2050</v>
      </c>
      <c r="N178" s="84"/>
    </row>
    <row r="179" spans="4:14" ht="15" customHeight="1">
      <c r="D179" s="83"/>
      <c r="E179" s="30" t="s">
        <v>795</v>
      </c>
      <c r="F179" s="745">
        <v>9.3092035685091556E-2</v>
      </c>
      <c r="G179" s="745">
        <v>0.11453852722127862</v>
      </c>
      <c r="H179" s="745">
        <v>0.14318442716446234</v>
      </c>
      <c r="I179" s="745">
        <v>0.16938330641036911</v>
      </c>
      <c r="J179" s="745">
        <v>0.19490687757942618</v>
      </c>
      <c r="K179" s="745">
        <v>0.22367042185952307</v>
      </c>
      <c r="L179" s="745">
        <v>0.25222469253627267</v>
      </c>
      <c r="M179" s="745">
        <v>0.2758094001048822</v>
      </c>
      <c r="N179" s="84"/>
    </row>
    <row r="180" spans="4:14" ht="15" customHeight="1">
      <c r="D180" s="83"/>
      <c r="E180" s="30" t="s">
        <v>791</v>
      </c>
      <c r="F180" s="745">
        <v>7.445716202239247E-2</v>
      </c>
      <c r="G180" s="745">
        <v>9.2112192680826946E-2</v>
      </c>
      <c r="H180" s="745">
        <v>0.1160595738856421</v>
      </c>
      <c r="I180" s="745">
        <v>0.13830116494360351</v>
      </c>
      <c r="J180" s="745">
        <v>0.16022462885690922</v>
      </c>
      <c r="K180" s="745">
        <v>0.18732081387004512</v>
      </c>
      <c r="L180" s="745">
        <v>0.21489257680758483</v>
      </c>
      <c r="M180" s="745">
        <v>0.23498648011145362</v>
      </c>
      <c r="N180" s="84"/>
    </row>
    <row r="181" spans="4:14" ht="15" customHeight="1">
      <c r="D181" s="83"/>
      <c r="E181" s="30" t="s">
        <v>792</v>
      </c>
      <c r="F181" s="745">
        <v>9.8461209941142158E-2</v>
      </c>
      <c r="G181" s="745">
        <v>0.12099999031168564</v>
      </c>
      <c r="H181" s="745">
        <v>0.15120193058775852</v>
      </c>
      <c r="I181" s="745">
        <v>0.17880154069898457</v>
      </c>
      <c r="J181" s="745">
        <v>0.20567292824346808</v>
      </c>
      <c r="K181" s="745">
        <v>0.2359484419049154</v>
      </c>
      <c r="L181" s="745">
        <v>0.2633551507667673</v>
      </c>
      <c r="M181" s="745">
        <v>0.28798063114723316</v>
      </c>
      <c r="N181" s="84"/>
    </row>
    <row r="182" spans="4:14" ht="15" customHeight="1">
      <c r="D182" s="83"/>
      <c r="E182" s="32" t="s">
        <v>793</v>
      </c>
      <c r="F182" s="746">
        <v>8.5054091432403306E-2</v>
      </c>
      <c r="G182" s="746">
        <v>0.10452384492778515</v>
      </c>
      <c r="H182" s="746">
        <v>0.13061329265255547</v>
      </c>
      <c r="I182" s="746">
        <v>0.15445476040723979</v>
      </c>
      <c r="J182" s="746">
        <v>0.17766716511453851</v>
      </c>
      <c r="K182" s="746">
        <v>0.20382016799417954</v>
      </c>
      <c r="L182" s="746">
        <v>0.2274950011877864</v>
      </c>
      <c r="M182" s="746">
        <v>0.24876731605268734</v>
      </c>
      <c r="N182" s="84"/>
    </row>
    <row r="183" spans="4:14" ht="15" customHeight="1">
      <c r="D183" s="83"/>
      <c r="E183" s="84"/>
      <c r="F183" s="732"/>
      <c r="G183" s="732"/>
      <c r="H183" s="732"/>
      <c r="I183" s="732"/>
      <c r="J183" s="732"/>
      <c r="K183" s="732"/>
      <c r="L183" s="732"/>
      <c r="M183" s="732"/>
      <c r="N183" s="84"/>
    </row>
    <row r="184" spans="4:14" ht="15" customHeight="1">
      <c r="D184" s="13"/>
      <c r="E184" s="23" t="s">
        <v>1729</v>
      </c>
      <c r="F184" s="735"/>
      <c r="G184" s="735"/>
      <c r="H184" s="733"/>
      <c r="I184" s="734"/>
      <c r="J184" s="734"/>
      <c r="K184" s="734"/>
      <c r="L184" s="734"/>
      <c r="M184" s="734"/>
      <c r="N184" s="84"/>
    </row>
    <row r="185" spans="4:14" ht="15" customHeight="1">
      <c r="D185" s="83"/>
      <c r="E185" s="84"/>
      <c r="F185" s="732"/>
      <c r="G185" s="732"/>
      <c r="H185" s="732"/>
      <c r="I185" s="732"/>
      <c r="J185" s="732"/>
      <c r="K185" s="732"/>
      <c r="L185" s="732"/>
      <c r="M185" s="732"/>
      <c r="N185" s="84"/>
    </row>
    <row r="186" spans="4:14" ht="15" customHeight="1">
      <c r="D186" s="83"/>
      <c r="E186" s="26" t="s">
        <v>2135</v>
      </c>
      <c r="F186" s="727"/>
      <c r="G186" s="727"/>
      <c r="H186" s="727"/>
      <c r="I186" s="727"/>
      <c r="J186" s="727"/>
      <c r="K186" s="727"/>
      <c r="L186" s="727"/>
      <c r="M186" s="730" t="s">
        <v>9</v>
      </c>
      <c r="N186" s="84"/>
    </row>
    <row r="187" spans="4:14" ht="15" customHeight="1">
      <c r="D187" s="83"/>
      <c r="E187" s="28" t="s">
        <v>789</v>
      </c>
      <c r="F187" s="731">
        <v>2018</v>
      </c>
      <c r="G187" s="731">
        <v>2020</v>
      </c>
      <c r="H187" s="731">
        <v>2025</v>
      </c>
      <c r="I187" s="731">
        <v>2030</v>
      </c>
      <c r="J187" s="731">
        <v>2035</v>
      </c>
      <c r="K187" s="731">
        <v>2040</v>
      </c>
      <c r="L187" s="731">
        <v>2045</v>
      </c>
      <c r="M187" s="731">
        <v>2050</v>
      </c>
      <c r="N187" s="84"/>
    </row>
    <row r="188" spans="4:14" ht="15" customHeight="1">
      <c r="D188" s="83"/>
      <c r="E188" s="30" t="s">
        <v>795</v>
      </c>
      <c r="F188" s="745">
        <v>9.3092035685091556E-2</v>
      </c>
      <c r="G188" s="745">
        <v>0.11453852722127862</v>
      </c>
      <c r="H188" s="745">
        <v>0.14318442716446234</v>
      </c>
      <c r="I188" s="745">
        <v>0.16938330641036911</v>
      </c>
      <c r="J188" s="745">
        <v>0.19490687757942618</v>
      </c>
      <c r="K188" s="745">
        <v>0.22367042185952307</v>
      </c>
      <c r="L188" s="745">
        <v>0.25222469253627267</v>
      </c>
      <c r="M188" s="745">
        <v>0.2758094001048822</v>
      </c>
      <c r="N188" s="84"/>
    </row>
    <row r="189" spans="4:14" ht="15" customHeight="1">
      <c r="D189" s="83"/>
      <c r="E189" s="30" t="s">
        <v>791</v>
      </c>
      <c r="F189" s="745">
        <v>7.445716202239247E-2</v>
      </c>
      <c r="G189" s="745">
        <v>9.2112192680826946E-2</v>
      </c>
      <c r="H189" s="745">
        <v>0.1160595738856421</v>
      </c>
      <c r="I189" s="745">
        <v>0.13830116494360351</v>
      </c>
      <c r="J189" s="745">
        <v>0.16022462885690922</v>
      </c>
      <c r="K189" s="745">
        <v>0.18732081387004512</v>
      </c>
      <c r="L189" s="745">
        <v>0.21489257680758483</v>
      </c>
      <c r="M189" s="745">
        <v>0.23498648011145362</v>
      </c>
      <c r="N189" s="84"/>
    </row>
    <row r="190" spans="4:14" ht="15" customHeight="1">
      <c r="D190" s="83"/>
      <c r="E190" s="30" t="s">
        <v>792</v>
      </c>
      <c r="F190" s="745">
        <v>9.8461209941142158E-2</v>
      </c>
      <c r="G190" s="745">
        <v>0.12099999031168564</v>
      </c>
      <c r="H190" s="745">
        <v>0.15120193058775852</v>
      </c>
      <c r="I190" s="745">
        <v>0.17880154069898457</v>
      </c>
      <c r="J190" s="745">
        <v>0.20567292824346808</v>
      </c>
      <c r="K190" s="745">
        <v>0.2359484419049154</v>
      </c>
      <c r="L190" s="745">
        <v>0.2633551507667673</v>
      </c>
      <c r="M190" s="745">
        <v>0.28798063114723316</v>
      </c>
      <c r="N190" s="84"/>
    </row>
    <row r="191" spans="4:14" ht="15" customHeight="1">
      <c r="D191" s="83"/>
      <c r="E191" s="32" t="s">
        <v>793</v>
      </c>
      <c r="F191" s="746">
        <v>8.5054091432403306E-2</v>
      </c>
      <c r="G191" s="746">
        <v>0.10452384492778515</v>
      </c>
      <c r="H191" s="746">
        <v>0.13061329265255547</v>
      </c>
      <c r="I191" s="746">
        <v>0.15445476040723979</v>
      </c>
      <c r="J191" s="746">
        <v>0.17766716511453851</v>
      </c>
      <c r="K191" s="746">
        <v>0.20382016799417954</v>
      </c>
      <c r="L191" s="746">
        <v>0.2274950011877864</v>
      </c>
      <c r="M191" s="746">
        <v>0.24876731605268734</v>
      </c>
      <c r="N191" s="84"/>
    </row>
    <row r="192" spans="4:14" ht="15" customHeight="1">
      <c r="D192" s="83"/>
      <c r="E192" s="84"/>
      <c r="F192" s="732"/>
      <c r="G192" s="732"/>
      <c r="H192" s="732"/>
      <c r="I192" s="732"/>
      <c r="J192" s="732"/>
      <c r="K192" s="732"/>
      <c r="L192" s="732"/>
      <c r="M192" s="732"/>
      <c r="N192" s="84"/>
    </row>
    <row r="193" spans="4:14" ht="15" customHeight="1">
      <c r="D193" s="83"/>
      <c r="E193" s="23" t="s">
        <v>1730</v>
      </c>
      <c r="F193" s="735"/>
      <c r="G193" s="735"/>
      <c r="H193" s="733"/>
      <c r="I193" s="734"/>
      <c r="J193" s="734"/>
      <c r="K193" s="734"/>
      <c r="L193" s="734"/>
      <c r="M193" s="734"/>
      <c r="N193" s="84"/>
    </row>
    <row r="194" spans="4:14" ht="15" customHeight="1">
      <c r="D194" s="83"/>
      <c r="E194" s="84"/>
      <c r="F194" s="732"/>
      <c r="G194" s="732"/>
      <c r="H194" s="732"/>
      <c r="I194" s="732"/>
      <c r="J194" s="732"/>
      <c r="K194" s="732"/>
      <c r="L194" s="732"/>
      <c r="M194" s="732"/>
      <c r="N194" s="84"/>
    </row>
    <row r="195" spans="4:14" ht="15" customHeight="1">
      <c r="D195" s="83"/>
      <c r="E195" s="26" t="s">
        <v>2135</v>
      </c>
      <c r="F195" s="727"/>
      <c r="G195" s="727"/>
      <c r="H195" s="727"/>
      <c r="I195" s="727"/>
      <c r="J195" s="727"/>
      <c r="K195" s="727"/>
      <c r="L195" s="727"/>
      <c r="M195" s="730" t="s">
        <v>9</v>
      </c>
      <c r="N195" s="84"/>
    </row>
    <row r="196" spans="4:14" ht="15" customHeight="1">
      <c r="D196" s="83"/>
      <c r="E196" s="28" t="s">
        <v>789</v>
      </c>
      <c r="F196" s="731">
        <v>2018</v>
      </c>
      <c r="G196" s="731">
        <v>2020</v>
      </c>
      <c r="H196" s="731">
        <v>2025</v>
      </c>
      <c r="I196" s="731">
        <v>2030</v>
      </c>
      <c r="J196" s="731">
        <v>2035</v>
      </c>
      <c r="K196" s="731">
        <v>2040</v>
      </c>
      <c r="L196" s="731">
        <v>2045</v>
      </c>
      <c r="M196" s="731">
        <v>2050</v>
      </c>
      <c r="N196" s="84"/>
    </row>
    <row r="197" spans="4:14" ht="15" customHeight="1">
      <c r="D197" s="13"/>
      <c r="E197" s="30" t="s">
        <v>795</v>
      </c>
      <c r="F197" s="745">
        <v>9.1838703254671861E-2</v>
      </c>
      <c r="G197" s="745">
        <v>0.11145437830042899</v>
      </c>
      <c r="H197" s="745">
        <v>0.13740119281657376</v>
      </c>
      <c r="I197" s="745">
        <v>0.160261426561744</v>
      </c>
      <c r="J197" s="745">
        <v>0.18206886569935699</v>
      </c>
      <c r="K197" s="745">
        <v>0.20819946116378013</v>
      </c>
      <c r="L197" s="745">
        <v>0.23477867409412326</v>
      </c>
      <c r="M197" s="745">
        <v>0.25673206143370508</v>
      </c>
      <c r="N197" s="84"/>
    </row>
    <row r="198" spans="4:14" ht="15" customHeight="1">
      <c r="D198" s="83"/>
      <c r="E198" s="30" t="s">
        <v>791</v>
      </c>
      <c r="F198" s="745">
        <v>7.2472030105330723E-2</v>
      </c>
      <c r="G198" s="745">
        <v>8.72005133023874E-2</v>
      </c>
      <c r="H198" s="745">
        <v>0.10677664294348349</v>
      </c>
      <c r="I198" s="745">
        <v>0.12355195617769188</v>
      </c>
      <c r="J198" s="745">
        <v>0.13882073352189581</v>
      </c>
      <c r="K198" s="745">
        <v>0.15960102034237977</v>
      </c>
      <c r="L198" s="745">
        <v>0.18309270504391209</v>
      </c>
      <c r="M198" s="745">
        <v>0.20021310615525514</v>
      </c>
      <c r="N198" s="84"/>
    </row>
    <row r="199" spans="4:14" ht="15" customHeight="1">
      <c r="D199" s="83"/>
      <c r="E199" s="30" t="s">
        <v>792</v>
      </c>
      <c r="F199" s="745">
        <v>9.7176703184947782E-2</v>
      </c>
      <c r="G199" s="745">
        <v>0.11784290326902849</v>
      </c>
      <c r="H199" s="745">
        <v>0.14528427322282378</v>
      </c>
      <c r="I199" s="745">
        <v>0.16947109321888479</v>
      </c>
      <c r="J199" s="745">
        <v>0.19225707310351825</v>
      </c>
      <c r="K199" s="745">
        <v>0.21895760408162657</v>
      </c>
      <c r="L199" s="745">
        <v>0.24439073370819189</v>
      </c>
      <c r="M199" s="745">
        <v>0.26724291336207978</v>
      </c>
      <c r="N199" s="84"/>
    </row>
    <row r="200" spans="4:14" ht="15" customHeight="1">
      <c r="D200" s="83"/>
      <c r="E200" s="32" t="s">
        <v>793</v>
      </c>
      <c r="F200" s="746">
        <v>8.3198631704829287E-2</v>
      </c>
      <c r="G200" s="746">
        <v>9.9963457965358521E-2</v>
      </c>
      <c r="H200" s="746">
        <v>0.12206528395639767</v>
      </c>
      <c r="I200" s="746">
        <v>0.14097700370717561</v>
      </c>
      <c r="J200" s="746">
        <v>0.15828806975119014</v>
      </c>
      <c r="K200" s="746">
        <v>0.17795975428892236</v>
      </c>
      <c r="L200" s="746">
        <v>0.19863075824023774</v>
      </c>
      <c r="M200" s="746">
        <v>0.2172040719793491</v>
      </c>
      <c r="N200" s="84"/>
    </row>
    <row r="201" spans="4:14" ht="15" customHeight="1">
      <c r="D201" s="83"/>
      <c r="E201" s="84"/>
      <c r="F201" s="735"/>
      <c r="G201" s="735"/>
      <c r="H201" s="733"/>
      <c r="I201" s="734"/>
      <c r="J201" s="734"/>
      <c r="K201" s="734"/>
      <c r="L201" s="734"/>
      <c r="M201" s="734"/>
      <c r="N201" s="36"/>
    </row>
    <row r="202" spans="4:14" ht="15" customHeight="1">
      <c r="D202" s="83"/>
      <c r="E202" s="23" t="s">
        <v>1731</v>
      </c>
      <c r="F202" s="735"/>
      <c r="G202" s="735"/>
      <c r="H202" s="733"/>
      <c r="I202" s="734"/>
      <c r="J202" s="734"/>
      <c r="K202" s="734"/>
      <c r="L202" s="734"/>
      <c r="M202" s="734"/>
      <c r="N202" s="36"/>
    </row>
    <row r="203" spans="4:14" ht="15" customHeight="1">
      <c r="D203" s="83"/>
      <c r="E203" s="84"/>
      <c r="F203" s="732"/>
      <c r="G203" s="732"/>
      <c r="H203" s="732"/>
      <c r="I203" s="732"/>
      <c r="J203" s="732"/>
      <c r="K203" s="732"/>
      <c r="L203" s="732"/>
      <c r="M203" s="732"/>
      <c r="N203" s="36"/>
    </row>
    <row r="204" spans="4:14" ht="15" customHeight="1">
      <c r="D204" s="13"/>
      <c r="E204" s="26" t="s">
        <v>2135</v>
      </c>
      <c r="F204" s="727"/>
      <c r="G204" s="727"/>
      <c r="H204" s="727"/>
      <c r="I204" s="727"/>
      <c r="J204" s="727"/>
      <c r="K204" s="727"/>
      <c r="L204" s="727"/>
      <c r="M204" s="730" t="s">
        <v>9</v>
      </c>
      <c r="N204" s="20"/>
    </row>
    <row r="205" spans="4:14" ht="15" customHeight="1">
      <c r="D205" s="83"/>
      <c r="E205" s="28" t="s">
        <v>789</v>
      </c>
      <c r="F205" s="731">
        <v>2018</v>
      </c>
      <c r="G205" s="731">
        <v>2020</v>
      </c>
      <c r="H205" s="731">
        <v>2025</v>
      </c>
      <c r="I205" s="731">
        <v>2030</v>
      </c>
      <c r="J205" s="731">
        <v>2035</v>
      </c>
      <c r="K205" s="731">
        <v>2040</v>
      </c>
      <c r="L205" s="731">
        <v>2045</v>
      </c>
      <c r="M205" s="731">
        <v>2050</v>
      </c>
      <c r="N205" s="33"/>
    </row>
    <row r="206" spans="4:14" ht="15" customHeight="1">
      <c r="D206" s="83"/>
      <c r="E206" s="30" t="s">
        <v>795</v>
      </c>
      <c r="F206" s="745">
        <v>9.1383740519640447E-2</v>
      </c>
      <c r="G206" s="745">
        <v>0.11033482470537447</v>
      </c>
      <c r="H206" s="745">
        <v>0.13530186461570437</v>
      </c>
      <c r="I206" s="745">
        <v>0.15695016188540292</v>
      </c>
      <c r="J206" s="745">
        <v>0.17754422526287575</v>
      </c>
      <c r="K206" s="745">
        <v>0.20246052810509707</v>
      </c>
      <c r="L206" s="745">
        <v>0.22830709589358014</v>
      </c>
      <c r="M206" s="745">
        <v>0.24965534708319773</v>
      </c>
      <c r="N206" s="88"/>
    </row>
    <row r="207" spans="4:14" ht="15" customHeight="1">
      <c r="D207" s="83"/>
      <c r="E207" s="30" t="s">
        <v>791</v>
      </c>
      <c r="F207" s="745">
        <v>7.1818781094073872E-2</v>
      </c>
      <c r="G207" s="745">
        <v>8.5584222883600208E-2</v>
      </c>
      <c r="H207" s="745">
        <v>0.1037219011364492</v>
      </c>
      <c r="I207" s="745">
        <v>0.11869842178013475</v>
      </c>
      <c r="J207" s="745">
        <v>0.13202637743720921</v>
      </c>
      <c r="K207" s="745">
        <v>0.15083591689231202</v>
      </c>
      <c r="L207" s="745">
        <v>0.17303746543942922</v>
      </c>
      <c r="M207" s="745">
        <v>0.18921763392239918</v>
      </c>
      <c r="N207" s="88"/>
    </row>
    <row r="208" spans="4:14" ht="15" customHeight="1">
      <c r="D208" s="83"/>
      <c r="E208" s="30" t="s">
        <v>792</v>
      </c>
      <c r="F208" s="745">
        <v>9.5773025636559497E-2</v>
      </c>
      <c r="G208" s="745">
        <v>0.1143929158098597</v>
      </c>
      <c r="H208" s="745">
        <v>0.1388176020728569</v>
      </c>
      <c r="I208" s="745">
        <v>0.1592750085497443</v>
      </c>
      <c r="J208" s="745">
        <v>0.17759655492284052</v>
      </c>
      <c r="K208" s="745">
        <v>0.20012079543594397</v>
      </c>
      <c r="L208" s="745">
        <v>0.22336592616634923</v>
      </c>
      <c r="M208" s="745">
        <v>0.24425214470606316</v>
      </c>
      <c r="N208" s="88"/>
    </row>
    <row r="209" spans="4:14" ht="15" customHeight="1">
      <c r="D209" s="83"/>
      <c r="E209" s="32" t="s">
        <v>793</v>
      </c>
      <c r="F209" s="746">
        <v>8.1826119530996333E-2</v>
      </c>
      <c r="G209" s="746">
        <v>9.6590069402781795E-2</v>
      </c>
      <c r="H209" s="746">
        <v>0.11574219010361651</v>
      </c>
      <c r="I209" s="746">
        <v>0.13100729923345833</v>
      </c>
      <c r="J209" s="746">
        <v>0.14395305406273892</v>
      </c>
      <c r="K209" s="746">
        <v>0.15954117289033887</v>
      </c>
      <c r="L209" s="746">
        <v>0.17807275733981776</v>
      </c>
      <c r="M209" s="746">
        <v>0.19472375952982568</v>
      </c>
      <c r="N209" s="88"/>
    </row>
    <row r="210" spans="4:14" ht="15" customHeight="1">
      <c r="D210" s="83"/>
      <c r="E210" s="35"/>
      <c r="F210" s="735"/>
      <c r="G210" s="735"/>
      <c r="H210" s="741"/>
      <c r="I210" s="734"/>
      <c r="J210" s="734"/>
      <c r="K210" s="734"/>
      <c r="L210" s="734"/>
      <c r="M210" s="734"/>
      <c r="N210" s="36"/>
    </row>
    <row r="211" spans="4:14" ht="15" customHeight="1">
      <c r="D211" s="83"/>
      <c r="E211" s="940" t="s">
        <v>2136</v>
      </c>
      <c r="F211" s="736"/>
      <c r="G211" s="736"/>
      <c r="H211" s="736"/>
      <c r="I211" s="736"/>
      <c r="J211" s="736"/>
      <c r="K211" s="736"/>
      <c r="L211" s="736"/>
      <c r="M211" s="736"/>
      <c r="N211" s="22"/>
    </row>
    <row r="212" spans="4:14" ht="15" customHeight="1">
      <c r="D212" s="83"/>
      <c r="E212" s="35"/>
      <c r="F212" s="742"/>
      <c r="G212" s="733"/>
      <c r="H212" s="733"/>
      <c r="I212" s="733"/>
      <c r="J212" s="733"/>
      <c r="K212" s="733"/>
      <c r="L212" s="733"/>
      <c r="M212" s="733"/>
      <c r="N212" s="33"/>
    </row>
    <row r="213" spans="4:14" ht="15" customHeight="1">
      <c r="D213" s="83"/>
      <c r="E213" s="23" t="s">
        <v>1726</v>
      </c>
      <c r="F213" s="735"/>
      <c r="G213" s="735"/>
      <c r="H213" s="733"/>
      <c r="I213" s="734"/>
      <c r="J213" s="734"/>
      <c r="K213" s="734"/>
      <c r="L213" s="734"/>
      <c r="M213" s="734"/>
      <c r="N213" s="88"/>
    </row>
    <row r="214" spans="4:14" ht="15" customHeight="1">
      <c r="D214" s="84"/>
      <c r="E214" s="84"/>
      <c r="F214" s="732"/>
      <c r="G214" s="732"/>
      <c r="H214" s="732"/>
      <c r="I214" s="732"/>
      <c r="J214" s="732"/>
      <c r="K214" s="732"/>
      <c r="L214" s="732"/>
      <c r="M214" s="732"/>
      <c r="N214" s="88"/>
    </row>
    <row r="215" spans="4:14" ht="15" customHeight="1">
      <c r="D215" s="20"/>
      <c r="E215" s="26" t="s">
        <v>865</v>
      </c>
      <c r="F215" s="727"/>
      <c r="G215" s="727"/>
      <c r="H215" s="727"/>
      <c r="I215" s="727"/>
      <c r="J215" s="727"/>
      <c r="K215" s="727"/>
      <c r="L215" s="727"/>
      <c r="M215" s="730" t="s">
        <v>788</v>
      </c>
      <c r="N215" s="88"/>
    </row>
    <row r="216" spans="4:14" ht="15" customHeight="1">
      <c r="D216" s="20"/>
      <c r="E216" s="28" t="s">
        <v>789</v>
      </c>
      <c r="F216" s="731">
        <v>2018</v>
      </c>
      <c r="G216" s="731">
        <v>2020</v>
      </c>
      <c r="H216" s="731">
        <v>2025</v>
      </c>
      <c r="I216" s="731">
        <v>2030</v>
      </c>
      <c r="J216" s="731">
        <v>2035</v>
      </c>
      <c r="K216" s="731">
        <v>2040</v>
      </c>
      <c r="L216" s="731">
        <v>2045</v>
      </c>
      <c r="M216" s="731">
        <v>2050</v>
      </c>
      <c r="N216" s="88"/>
    </row>
    <row r="217" spans="4:14" ht="15" customHeight="1">
      <c r="D217" s="20"/>
      <c r="E217" s="30" t="s">
        <v>795</v>
      </c>
      <c r="F217" s="713">
        <v>0</v>
      </c>
      <c r="G217" s="713">
        <v>0</v>
      </c>
      <c r="H217" s="713">
        <v>0</v>
      </c>
      <c r="I217" s="713">
        <v>0</v>
      </c>
      <c r="J217" s="713">
        <v>0</v>
      </c>
      <c r="K217" s="713">
        <v>0</v>
      </c>
      <c r="L217" s="713">
        <v>0</v>
      </c>
      <c r="M217" s="713">
        <v>0</v>
      </c>
      <c r="N217" s="36"/>
    </row>
    <row r="218" spans="4:14" ht="15" customHeight="1">
      <c r="D218" s="84"/>
      <c r="E218" s="30" t="s">
        <v>791</v>
      </c>
      <c r="F218" s="713">
        <v>0</v>
      </c>
      <c r="G218" s="713">
        <v>0</v>
      </c>
      <c r="H218" s="713">
        <v>0</v>
      </c>
      <c r="I218" s="713">
        <v>0</v>
      </c>
      <c r="J218" s="713">
        <v>0</v>
      </c>
      <c r="K218" s="713">
        <v>0</v>
      </c>
      <c r="L218" s="713">
        <v>0</v>
      </c>
      <c r="M218" s="713">
        <v>0</v>
      </c>
      <c r="N218" s="20"/>
    </row>
    <row r="219" spans="4:14" ht="15" customHeight="1">
      <c r="D219" s="84"/>
      <c r="E219" s="30" t="s">
        <v>792</v>
      </c>
      <c r="F219" s="713">
        <v>0</v>
      </c>
      <c r="G219" s="713">
        <v>0</v>
      </c>
      <c r="H219" s="713">
        <v>0</v>
      </c>
      <c r="I219" s="713">
        <v>0</v>
      </c>
      <c r="J219" s="713">
        <v>0</v>
      </c>
      <c r="K219" s="713">
        <v>0</v>
      </c>
      <c r="L219" s="713">
        <v>0</v>
      </c>
      <c r="M219" s="713">
        <v>0</v>
      </c>
      <c r="N219" s="33"/>
    </row>
    <row r="220" spans="4:14" ht="15" customHeight="1">
      <c r="D220" s="84"/>
      <c r="E220" s="32" t="s">
        <v>793</v>
      </c>
      <c r="F220" s="714">
        <v>0</v>
      </c>
      <c r="G220" s="714">
        <v>0</v>
      </c>
      <c r="H220" s="714">
        <v>0</v>
      </c>
      <c r="I220" s="714">
        <v>0</v>
      </c>
      <c r="J220" s="714">
        <v>0</v>
      </c>
      <c r="K220" s="714">
        <v>0</v>
      </c>
      <c r="L220" s="714">
        <v>0</v>
      </c>
      <c r="M220" s="714">
        <v>0</v>
      </c>
      <c r="N220" s="88"/>
    </row>
    <row r="221" spans="4:14" ht="15" customHeight="1">
      <c r="D221" s="84"/>
      <c r="E221" s="30"/>
      <c r="F221" s="735"/>
      <c r="G221" s="733"/>
      <c r="H221" s="744"/>
      <c r="I221" s="744"/>
      <c r="J221" s="744"/>
      <c r="K221" s="744"/>
      <c r="L221" s="744"/>
      <c r="M221" s="744"/>
      <c r="N221" s="88"/>
    </row>
    <row r="222" spans="4:14" ht="15" customHeight="1">
      <c r="D222" s="84"/>
      <c r="E222" s="23" t="s">
        <v>1729</v>
      </c>
      <c r="F222" s="735"/>
      <c r="G222" s="735"/>
      <c r="H222" s="733"/>
      <c r="I222" s="734"/>
      <c r="J222" s="734"/>
      <c r="K222" s="734"/>
      <c r="L222" s="734"/>
      <c r="M222" s="734"/>
      <c r="N222" s="88"/>
    </row>
    <row r="223" spans="4:14" ht="15" customHeight="1">
      <c r="D223" s="84"/>
      <c r="E223" s="84"/>
      <c r="F223" s="732"/>
      <c r="G223" s="732"/>
      <c r="H223" s="732"/>
      <c r="I223" s="732"/>
      <c r="J223" s="732"/>
      <c r="K223" s="732"/>
      <c r="L223" s="732"/>
      <c r="M223" s="732"/>
      <c r="N223" s="88"/>
    </row>
    <row r="224" spans="4:14" ht="15" customHeight="1">
      <c r="D224" s="83"/>
      <c r="E224" s="26" t="s">
        <v>865</v>
      </c>
      <c r="F224" s="727"/>
      <c r="G224" s="727"/>
      <c r="H224" s="727"/>
      <c r="I224" s="727"/>
      <c r="J224" s="727"/>
      <c r="K224" s="727"/>
      <c r="L224" s="727"/>
      <c r="M224" s="730" t="s">
        <v>788</v>
      </c>
      <c r="N224" s="36"/>
    </row>
    <row r="225" spans="4:14" ht="15" customHeight="1">
      <c r="D225" s="83"/>
      <c r="E225" s="28" t="s">
        <v>789</v>
      </c>
      <c r="F225" s="731">
        <v>2018</v>
      </c>
      <c r="G225" s="731">
        <v>2020</v>
      </c>
      <c r="H225" s="731">
        <v>2025</v>
      </c>
      <c r="I225" s="731">
        <v>2030</v>
      </c>
      <c r="J225" s="731">
        <v>2035</v>
      </c>
      <c r="K225" s="731">
        <v>2040</v>
      </c>
      <c r="L225" s="731">
        <v>2045</v>
      </c>
      <c r="M225" s="731">
        <v>2050</v>
      </c>
      <c r="N225" s="36"/>
    </row>
    <row r="226" spans="4:14" ht="15" customHeight="1">
      <c r="D226" s="83"/>
      <c r="E226" s="30" t="s">
        <v>795</v>
      </c>
      <c r="F226" s="713">
        <v>1.6000000000000004E-2</v>
      </c>
      <c r="G226" s="713">
        <v>2.0000000000000004E-2</v>
      </c>
      <c r="H226" s="713">
        <v>3.0000000000000006E-2</v>
      </c>
      <c r="I226" s="713">
        <v>4.0000000000000008E-2</v>
      </c>
      <c r="J226" s="713">
        <v>5.000000000000001E-2</v>
      </c>
      <c r="K226" s="713">
        <v>5.67E-2</v>
      </c>
      <c r="L226" s="713">
        <v>5.67E-2</v>
      </c>
      <c r="M226" s="713">
        <v>5.67E-2</v>
      </c>
      <c r="N226" s="88"/>
    </row>
    <row r="227" spans="4:14" ht="15" customHeight="1">
      <c r="D227" s="83"/>
      <c r="E227" s="30" t="s">
        <v>791</v>
      </c>
      <c r="F227" s="713">
        <v>4.8000000000000001E-2</v>
      </c>
      <c r="G227" s="713">
        <v>0.06</v>
      </c>
      <c r="H227" s="713">
        <v>0.09</v>
      </c>
      <c r="I227" s="713">
        <v>0.12</v>
      </c>
      <c r="J227" s="713">
        <v>0.15</v>
      </c>
      <c r="K227" s="713">
        <v>0.16949152542372881</v>
      </c>
      <c r="L227" s="713">
        <v>0.16949152542372881</v>
      </c>
      <c r="M227" s="713">
        <v>0.16949152542372881</v>
      </c>
      <c r="N227" s="88"/>
    </row>
    <row r="228" spans="4:14" ht="15" customHeight="1">
      <c r="D228" s="13"/>
      <c r="E228" s="30" t="s">
        <v>792</v>
      </c>
      <c r="F228" s="713">
        <v>3.2000000000000008E-2</v>
      </c>
      <c r="G228" s="713">
        <v>4.0000000000000008E-2</v>
      </c>
      <c r="H228" s="713">
        <v>6.0000000000000012E-2</v>
      </c>
      <c r="I228" s="713">
        <v>8.0000000000000016E-2</v>
      </c>
      <c r="J228" s="713">
        <v>0.1</v>
      </c>
      <c r="K228" s="713">
        <v>0.1061</v>
      </c>
      <c r="L228" s="713">
        <v>0.1061</v>
      </c>
      <c r="M228" s="713">
        <v>0.1061</v>
      </c>
      <c r="N228" s="36"/>
    </row>
    <row r="229" spans="4:14" ht="15" customHeight="1">
      <c r="D229" s="83"/>
      <c r="E229" s="32" t="s">
        <v>793</v>
      </c>
      <c r="F229" s="714">
        <v>3.2000000000000008E-2</v>
      </c>
      <c r="G229" s="714">
        <v>4.0000000000000008E-2</v>
      </c>
      <c r="H229" s="714">
        <v>6.0000000000000012E-2</v>
      </c>
      <c r="I229" s="714">
        <v>8.0000000000000016E-2</v>
      </c>
      <c r="J229" s="714">
        <v>0.1</v>
      </c>
      <c r="K229" s="714">
        <v>0.11</v>
      </c>
      <c r="L229" s="714">
        <v>0.11</v>
      </c>
      <c r="M229" s="714">
        <v>0.11</v>
      </c>
      <c r="N229" s="88"/>
    </row>
    <row r="230" spans="4:14" ht="15" customHeight="1">
      <c r="D230" s="83"/>
      <c r="E230" s="30"/>
      <c r="F230" s="735"/>
      <c r="G230" s="733"/>
      <c r="H230" s="744"/>
      <c r="I230" s="744"/>
      <c r="J230" s="744"/>
      <c r="K230" s="744"/>
      <c r="L230" s="744"/>
      <c r="M230" s="744"/>
      <c r="N230" s="88"/>
    </row>
    <row r="231" spans="4:14" ht="15" customHeight="1">
      <c r="D231" s="83"/>
      <c r="E231" s="23" t="s">
        <v>1730</v>
      </c>
      <c r="F231" s="735"/>
      <c r="G231" s="735"/>
      <c r="H231" s="733"/>
      <c r="I231" s="734"/>
      <c r="J231" s="734"/>
      <c r="K231" s="734"/>
      <c r="L231" s="734"/>
      <c r="M231" s="734"/>
      <c r="N231" s="36"/>
    </row>
    <row r="232" spans="4:14" ht="15" customHeight="1">
      <c r="D232" s="83"/>
      <c r="E232" s="84"/>
      <c r="F232" s="732"/>
      <c r="G232" s="732"/>
      <c r="H232" s="732"/>
      <c r="I232" s="732"/>
      <c r="J232" s="732"/>
      <c r="K232" s="732"/>
      <c r="L232" s="732"/>
      <c r="M232" s="732"/>
      <c r="N232" s="36"/>
    </row>
    <row r="233" spans="4:14" ht="15" customHeight="1">
      <c r="D233" s="83"/>
      <c r="E233" s="26" t="s">
        <v>865</v>
      </c>
      <c r="F233" s="727"/>
      <c r="G233" s="727"/>
      <c r="H233" s="727"/>
      <c r="I233" s="727"/>
      <c r="J233" s="727"/>
      <c r="K233" s="727"/>
      <c r="L233" s="727"/>
      <c r="M233" s="730" t="s">
        <v>788</v>
      </c>
      <c r="N233" s="36"/>
    </row>
    <row r="234" spans="4:14" ht="15" customHeight="1">
      <c r="D234" s="83"/>
      <c r="E234" s="28" t="s">
        <v>789</v>
      </c>
      <c r="F234" s="731">
        <v>2018</v>
      </c>
      <c r="G234" s="731">
        <v>2020</v>
      </c>
      <c r="H234" s="731">
        <v>2025</v>
      </c>
      <c r="I234" s="731">
        <v>2030</v>
      </c>
      <c r="J234" s="731">
        <v>2035</v>
      </c>
      <c r="K234" s="731">
        <v>2040</v>
      </c>
      <c r="L234" s="731">
        <v>2045</v>
      </c>
      <c r="M234" s="731">
        <v>2050</v>
      </c>
      <c r="N234" s="20"/>
    </row>
    <row r="235" spans="4:14" ht="15" customHeight="1">
      <c r="D235" s="83"/>
      <c r="E235" s="30" t="s">
        <v>795</v>
      </c>
      <c r="F235" s="713">
        <v>6.4000000000000001E-2</v>
      </c>
      <c r="G235" s="713">
        <v>0.08</v>
      </c>
      <c r="H235" s="713">
        <v>0.12</v>
      </c>
      <c r="I235" s="713">
        <v>0.16</v>
      </c>
      <c r="J235" s="713">
        <v>0.19090000000000001</v>
      </c>
      <c r="K235" s="713">
        <v>0.20760000000000001</v>
      </c>
      <c r="L235" s="713">
        <v>0.20760000000000001</v>
      </c>
      <c r="M235" s="713">
        <v>0.20760000000000001</v>
      </c>
      <c r="N235" s="33"/>
    </row>
    <row r="236" spans="4:14" ht="15" customHeight="1">
      <c r="D236" s="83"/>
      <c r="E236" s="30" t="s">
        <v>791</v>
      </c>
      <c r="F236" s="713">
        <v>9.6000000000000002E-2</v>
      </c>
      <c r="G236" s="713">
        <v>0.12</v>
      </c>
      <c r="H236" s="713">
        <v>0.18</v>
      </c>
      <c r="I236" s="713">
        <v>0.24</v>
      </c>
      <c r="J236" s="713">
        <v>0.29254237288135593</v>
      </c>
      <c r="K236" s="713">
        <v>0.32203389830508478</v>
      </c>
      <c r="L236" s="713">
        <v>0.32203389830508478</v>
      </c>
      <c r="M236" s="713">
        <v>0.32203389830508478</v>
      </c>
      <c r="N236" s="86"/>
    </row>
    <row r="237" spans="4:14" ht="15" customHeight="1">
      <c r="D237" s="83"/>
      <c r="E237" s="30" t="s">
        <v>792</v>
      </c>
      <c r="F237" s="713">
        <v>0.08</v>
      </c>
      <c r="G237" s="713">
        <v>0.1</v>
      </c>
      <c r="H237" s="713">
        <v>0.15000000000000002</v>
      </c>
      <c r="I237" s="713">
        <v>0.2</v>
      </c>
      <c r="J237" s="713">
        <v>0.25</v>
      </c>
      <c r="K237" s="713">
        <v>0.28029999999999999</v>
      </c>
      <c r="L237" s="713">
        <v>0.28029999999999999</v>
      </c>
      <c r="M237" s="713">
        <v>0.28029999999999999</v>
      </c>
      <c r="N237" s="86"/>
    </row>
    <row r="238" spans="4:14" ht="15" customHeight="1">
      <c r="D238" s="83"/>
      <c r="E238" s="32" t="s">
        <v>793</v>
      </c>
      <c r="F238" s="714">
        <v>0.08</v>
      </c>
      <c r="G238" s="714">
        <v>0.1</v>
      </c>
      <c r="H238" s="714">
        <v>0.15000000000000002</v>
      </c>
      <c r="I238" s="714">
        <v>0.2</v>
      </c>
      <c r="J238" s="714">
        <v>0.25</v>
      </c>
      <c r="K238" s="714">
        <v>0.28420000000000001</v>
      </c>
      <c r="L238" s="714">
        <v>0.28420000000000001</v>
      </c>
      <c r="M238" s="714">
        <v>0.28420000000000001</v>
      </c>
      <c r="N238" s="86"/>
    </row>
    <row r="239" spans="4:14" ht="15" customHeight="1">
      <c r="D239" s="13"/>
      <c r="E239" s="30"/>
      <c r="F239" s="735"/>
      <c r="G239" s="733"/>
      <c r="H239" s="740"/>
      <c r="I239" s="740"/>
      <c r="J239" s="740"/>
      <c r="K239" s="740"/>
      <c r="L239" s="740"/>
      <c r="M239" s="740"/>
      <c r="N239" s="86"/>
    </row>
    <row r="240" spans="4:14" ht="15" customHeight="1">
      <c r="D240" s="83"/>
      <c r="E240" s="23" t="s">
        <v>1731</v>
      </c>
      <c r="F240" s="735"/>
      <c r="G240" s="735"/>
      <c r="H240" s="733"/>
      <c r="I240" s="734"/>
      <c r="J240" s="734"/>
      <c r="K240" s="734"/>
      <c r="L240" s="734"/>
      <c r="M240" s="734"/>
      <c r="N240" s="36"/>
    </row>
    <row r="241" spans="4:23" ht="15" customHeight="1">
      <c r="D241" s="83"/>
      <c r="E241" s="84"/>
      <c r="F241" s="732"/>
      <c r="G241" s="732"/>
      <c r="H241" s="732"/>
      <c r="I241" s="732"/>
      <c r="J241" s="732"/>
      <c r="K241" s="732"/>
      <c r="L241" s="732"/>
      <c r="M241" s="732"/>
      <c r="N241" s="20"/>
    </row>
    <row r="242" spans="4:23" ht="15" customHeight="1">
      <c r="D242" s="83"/>
      <c r="E242" s="26" t="s">
        <v>865</v>
      </c>
      <c r="F242" s="727"/>
      <c r="G242" s="727"/>
      <c r="H242" s="727"/>
      <c r="I242" s="727"/>
      <c r="J242" s="727"/>
      <c r="K242" s="727"/>
      <c r="L242" s="727"/>
      <c r="M242" s="730" t="s">
        <v>788</v>
      </c>
      <c r="N242" s="33"/>
    </row>
    <row r="243" spans="4:23" ht="15" customHeight="1">
      <c r="D243" s="83"/>
      <c r="E243" s="28" t="s">
        <v>789</v>
      </c>
      <c r="F243" s="731">
        <v>2018</v>
      </c>
      <c r="G243" s="731">
        <v>2020</v>
      </c>
      <c r="H243" s="731">
        <v>2025</v>
      </c>
      <c r="I243" s="731">
        <v>2030</v>
      </c>
      <c r="J243" s="731">
        <v>2035</v>
      </c>
      <c r="K243" s="731">
        <v>2040</v>
      </c>
      <c r="L243" s="731">
        <v>2045</v>
      </c>
      <c r="M243" s="731">
        <v>2050</v>
      </c>
      <c r="N243" s="86"/>
    </row>
    <row r="244" spans="4:23" ht="15" customHeight="1">
      <c r="D244" s="83"/>
      <c r="E244" s="30" t="s">
        <v>795</v>
      </c>
      <c r="F244" s="713">
        <v>6.4000000000000001E-2</v>
      </c>
      <c r="G244" s="713">
        <v>0.08</v>
      </c>
      <c r="H244" s="713">
        <v>0.12</v>
      </c>
      <c r="I244" s="713">
        <v>0.16</v>
      </c>
      <c r="J244" s="713">
        <v>0.19090000000000001</v>
      </c>
      <c r="K244" s="713">
        <v>0.20760000000000001</v>
      </c>
      <c r="L244" s="713">
        <v>0.20760000000000001</v>
      </c>
      <c r="M244" s="713">
        <v>0.20760000000000001</v>
      </c>
      <c r="N244" s="86"/>
    </row>
    <row r="245" spans="4:23" ht="15" customHeight="1">
      <c r="D245" s="83"/>
      <c r="E245" s="30" t="s">
        <v>791</v>
      </c>
      <c r="F245" s="713">
        <v>9.6000000000000002E-2</v>
      </c>
      <c r="G245" s="713">
        <v>0.12</v>
      </c>
      <c r="H245" s="713">
        <v>0.18</v>
      </c>
      <c r="I245" s="713">
        <v>0.24</v>
      </c>
      <c r="J245" s="713">
        <v>0.29254237288135593</v>
      </c>
      <c r="K245" s="713">
        <v>0.32203389830508478</v>
      </c>
      <c r="L245" s="713">
        <v>0.32203389830508478</v>
      </c>
      <c r="M245" s="713">
        <v>0.32203389830508478</v>
      </c>
      <c r="N245" s="86"/>
    </row>
    <row r="246" spans="4:23" ht="15" customHeight="1">
      <c r="D246" s="83"/>
      <c r="E246" s="30" t="s">
        <v>792</v>
      </c>
      <c r="F246" s="713">
        <v>0.08</v>
      </c>
      <c r="G246" s="713">
        <v>0.1</v>
      </c>
      <c r="H246" s="713">
        <v>0.15000000000000002</v>
      </c>
      <c r="I246" s="713">
        <v>0.2</v>
      </c>
      <c r="J246" s="713">
        <v>0.25</v>
      </c>
      <c r="K246" s="713">
        <v>0.28029999999999999</v>
      </c>
      <c r="L246" s="713">
        <v>0.28029999999999999</v>
      </c>
      <c r="M246" s="713">
        <v>0.28029999999999999</v>
      </c>
      <c r="N246" s="86"/>
    </row>
    <row r="247" spans="4:23" ht="15" customHeight="1">
      <c r="D247" s="83"/>
      <c r="E247" s="32" t="s">
        <v>793</v>
      </c>
      <c r="F247" s="714">
        <v>0.08</v>
      </c>
      <c r="G247" s="714">
        <v>0.1</v>
      </c>
      <c r="H247" s="714">
        <v>0.15000000000000002</v>
      </c>
      <c r="I247" s="714">
        <v>0.2</v>
      </c>
      <c r="J247" s="714">
        <v>0.25</v>
      </c>
      <c r="K247" s="714">
        <v>0.28420000000000001</v>
      </c>
      <c r="L247" s="714">
        <v>0.28420000000000001</v>
      </c>
      <c r="M247" s="714">
        <v>0.28420000000000001</v>
      </c>
      <c r="N247" s="36"/>
    </row>
    <row r="248" spans="4:23" ht="15" customHeight="1">
      <c r="D248" s="83"/>
      <c r="E248" s="26"/>
      <c r="F248" s="727"/>
      <c r="G248" s="727"/>
      <c r="H248" s="727"/>
      <c r="I248" s="727"/>
      <c r="J248" s="727"/>
      <c r="K248" s="727"/>
      <c r="L248" s="727"/>
      <c r="M248" s="727"/>
      <c r="N248" s="20"/>
    </row>
    <row r="249" spans="4:23" ht="15" customHeight="1">
      <c r="D249" s="83"/>
      <c r="E249" s="940" t="s">
        <v>2137</v>
      </c>
      <c r="F249" s="736"/>
      <c r="G249" s="736"/>
      <c r="H249" s="736"/>
      <c r="I249" s="736"/>
      <c r="J249" s="736"/>
      <c r="K249" s="736"/>
      <c r="L249" s="736"/>
      <c r="M249" s="736"/>
      <c r="N249" s="22"/>
    </row>
    <row r="250" spans="4:23" ht="15" customHeight="1">
      <c r="D250" s="13"/>
      <c r="E250" s="30"/>
      <c r="F250" s="735"/>
      <c r="G250" s="733"/>
      <c r="H250" s="740"/>
      <c r="I250" s="740"/>
      <c r="J250" s="740"/>
      <c r="K250" s="740"/>
      <c r="L250" s="740"/>
      <c r="M250" s="740"/>
      <c r="N250" s="86"/>
    </row>
    <row r="251" spans="4:23" ht="15" customHeight="1">
      <c r="D251" s="13"/>
      <c r="E251" s="23" t="s">
        <v>1726</v>
      </c>
      <c r="F251" s="735"/>
      <c r="G251" s="735"/>
      <c r="H251" s="733"/>
      <c r="I251" s="734"/>
      <c r="J251" s="734"/>
      <c r="K251" s="734"/>
      <c r="L251" s="734"/>
      <c r="M251" s="734"/>
      <c r="N251" s="86"/>
    </row>
    <row r="252" spans="4:23" ht="15" customHeight="1">
      <c r="D252" s="13"/>
      <c r="E252" s="84"/>
      <c r="F252" s="732"/>
      <c r="G252" s="732"/>
      <c r="H252" s="732"/>
      <c r="I252" s="732"/>
      <c r="J252" s="732"/>
      <c r="K252" s="732"/>
      <c r="L252" s="732"/>
      <c r="M252" s="732"/>
      <c r="N252" s="86"/>
    </row>
    <row r="253" spans="4:23" ht="15" customHeight="1">
      <c r="D253" s="13"/>
      <c r="E253" s="26" t="s">
        <v>2138</v>
      </c>
      <c r="F253" s="727"/>
      <c r="G253" s="727"/>
      <c r="H253" s="727"/>
      <c r="I253" s="727"/>
      <c r="J253" s="727"/>
      <c r="K253" s="727"/>
      <c r="L253" s="727"/>
      <c r="M253" s="730" t="s">
        <v>2139</v>
      </c>
      <c r="N253" s="86"/>
      <c r="W253" s="1630" t="s">
        <v>2132</v>
      </c>
    </row>
    <row r="254" spans="4:23" ht="15" customHeight="1">
      <c r="D254" s="13"/>
      <c r="E254" s="28" t="s">
        <v>789</v>
      </c>
      <c r="F254" s="731">
        <v>2018</v>
      </c>
      <c r="G254" s="731">
        <v>2020</v>
      </c>
      <c r="H254" s="731">
        <v>2025</v>
      </c>
      <c r="I254" s="731">
        <v>2030</v>
      </c>
      <c r="J254" s="731">
        <v>2035</v>
      </c>
      <c r="K254" s="731">
        <v>2040</v>
      </c>
      <c r="L254" s="731">
        <v>2045</v>
      </c>
      <c r="M254" s="731">
        <v>2050</v>
      </c>
      <c r="N254" s="86"/>
      <c r="P254" s="1636">
        <v>2015</v>
      </c>
      <c r="Q254" s="1637">
        <v>2020</v>
      </c>
      <c r="R254" s="1637">
        <v>2025</v>
      </c>
      <c r="S254" s="1637">
        <v>2030</v>
      </c>
      <c r="T254" s="1637">
        <v>2035</v>
      </c>
      <c r="U254" s="1637">
        <v>2040</v>
      </c>
      <c r="V254" s="1637">
        <v>2045</v>
      </c>
      <c r="W254" s="1638">
        <v>2050</v>
      </c>
    </row>
    <row r="255" spans="4:23" ht="15" customHeight="1">
      <c r="D255" s="13"/>
      <c r="E255" s="30" t="s">
        <v>795</v>
      </c>
      <c r="F255" s="745" cm="1">
        <f t="array" ref="F255:M255">P255:W255*12*GEN_HOGARES*INDEX(GEN_PORCENTAJE_HOGARES_POR_ZONA_CLIMATICA,FRIO,0)</f>
        <v>1.6081942557897704</v>
      </c>
      <c r="G255" s="745">
        <v>1.8282860086381916</v>
      </c>
      <c r="H255" s="745">
        <v>2.2890703695563919</v>
      </c>
      <c r="I255" s="745">
        <v>2.7062397440908281</v>
      </c>
      <c r="J255" s="745">
        <v>3.0757094940945207</v>
      </c>
      <c r="K255" s="745">
        <v>3.435772896565215</v>
      </c>
      <c r="L255" s="745">
        <v>3.7971144963134784</v>
      </c>
      <c r="M255" s="745">
        <v>4.1618514618029288</v>
      </c>
      <c r="N255" s="86"/>
      <c r="O255" s="1631" t="s">
        <v>795</v>
      </c>
      <c r="P255" s="1631">
        <v>2.030077693844925E-7</v>
      </c>
      <c r="Q255" s="1631">
        <v>2.030077693844925E-7</v>
      </c>
      <c r="R255" s="1631">
        <v>2.030077693844925E-7</v>
      </c>
      <c r="S255" s="1631">
        <v>2.030077693844925E-7</v>
      </c>
      <c r="T255" s="1631">
        <v>2.030077693844925E-7</v>
      </c>
      <c r="U255" s="1631">
        <v>2.030077693844925E-7</v>
      </c>
      <c r="V255" s="1631">
        <v>2.030077693844925E-7</v>
      </c>
      <c r="W255" s="1631">
        <v>2.030077693844925E-7</v>
      </c>
    </row>
    <row r="256" spans="4:23" ht="15" customHeight="1">
      <c r="D256" s="13"/>
      <c r="E256" s="30" t="s">
        <v>791</v>
      </c>
      <c r="F256" s="745" cm="1">
        <f t="array" ref="F256:M256">P256:W256*12*GEN_HOGARES*INDEX(GEN_PORCENTAJE_HOGARES_POR_ZONA_CLIMATICA,TEMPLADO,0)</f>
        <v>0.46602935066950041</v>
      </c>
      <c r="G256" s="745">
        <v>0.52980847206506276</v>
      </c>
      <c r="H256" s="745">
        <v>0.66333651803604721</v>
      </c>
      <c r="I256" s="745">
        <v>0.78422562831210052</v>
      </c>
      <c r="J256" s="745">
        <v>0.89129213913089778</v>
      </c>
      <c r="K256" s="745">
        <v>0.99563283867584407</v>
      </c>
      <c r="L256" s="745">
        <v>1.1003439396478245</v>
      </c>
      <c r="M256" s="745">
        <v>1.2060389641016569</v>
      </c>
      <c r="N256" s="86"/>
      <c r="O256" s="1631" t="s">
        <v>791</v>
      </c>
      <c r="P256" s="1631">
        <v>1.6765830732177276E-7</v>
      </c>
      <c r="Q256" s="1631">
        <v>1.6765830732177276E-7</v>
      </c>
      <c r="R256" s="1631">
        <v>1.6765830732177276E-7</v>
      </c>
      <c r="S256" s="1631">
        <v>1.6765830732177276E-7</v>
      </c>
      <c r="T256" s="1631">
        <v>1.6765830732177276E-7</v>
      </c>
      <c r="U256" s="1631">
        <v>1.6765830732177276E-7</v>
      </c>
      <c r="V256" s="1631">
        <v>1.6765830732177276E-7</v>
      </c>
      <c r="W256" s="1631">
        <v>1.6765830732177276E-7</v>
      </c>
    </row>
    <row r="257" spans="4:23" ht="15" customHeight="1">
      <c r="D257" s="13"/>
      <c r="E257" s="30" t="s">
        <v>792</v>
      </c>
      <c r="F257" s="745" cm="1">
        <f t="array" ref="F257:M257">P257:W257*12*GEN_HOGARES*INDEX(GEN_PORCENTAJE_HOGARES_POR_ZONA_CLIMATICA,CALIDO_SECO,0)</f>
        <v>7.8360360422825653E-2</v>
      </c>
      <c r="G257" s="745">
        <v>8.9084480980527903E-2</v>
      </c>
      <c r="H257" s="745">
        <v>0.11153651279743028</v>
      </c>
      <c r="I257" s="745">
        <v>0.13186337469747458</v>
      </c>
      <c r="J257" s="745">
        <v>0.14986603990498248</v>
      </c>
      <c r="K257" s="745">
        <v>0.16741037442246687</v>
      </c>
      <c r="L257" s="745">
        <v>0.18501698997285579</v>
      </c>
      <c r="M257" s="745">
        <v>0.20278904703150086</v>
      </c>
      <c r="N257" s="86"/>
      <c r="O257" s="1631" t="s">
        <v>792</v>
      </c>
      <c r="P257" s="1631">
        <v>1.6548479562178081E-7</v>
      </c>
      <c r="Q257" s="1631">
        <v>1.6548479562178081E-7</v>
      </c>
      <c r="R257" s="1631">
        <v>1.6548479562178081E-7</v>
      </c>
      <c r="S257" s="1631">
        <v>1.6548479562178081E-7</v>
      </c>
      <c r="T257" s="1631">
        <v>1.6548479562178081E-7</v>
      </c>
      <c r="U257" s="1631">
        <v>1.6548479562178081E-7</v>
      </c>
      <c r="V257" s="1631">
        <v>1.6548479562178081E-7</v>
      </c>
      <c r="W257" s="1631">
        <v>1.6548479562178081E-7</v>
      </c>
    </row>
    <row r="258" spans="4:23" ht="15" customHeight="1">
      <c r="D258" s="13"/>
      <c r="E258" s="32" t="s">
        <v>793</v>
      </c>
      <c r="F258" s="746" cm="1">
        <f t="array" ref="F258:M258">P258:W258*12*GEN_HOGARES*INDEX(GEN_PORCENTAJE_HOGARES_POR_ZONA_CLIMATICA,CALIDO_HUMEDO,0)</f>
        <v>9.279725399286981E-2</v>
      </c>
      <c r="G258" s="746">
        <v>0.10549715651850149</v>
      </c>
      <c r="H258" s="746">
        <v>0.1320856878617313</v>
      </c>
      <c r="I258" s="746">
        <v>0.1561575139283575</v>
      </c>
      <c r="J258" s="746">
        <v>0.17747693980638196</v>
      </c>
      <c r="K258" s="746">
        <v>0.1982535934303567</v>
      </c>
      <c r="L258" s="746">
        <v>0.2191040025704904</v>
      </c>
      <c r="M258" s="746">
        <v>0.24015033369949401</v>
      </c>
      <c r="N258" s="86"/>
      <c r="O258" s="1631" t="s">
        <v>793</v>
      </c>
      <c r="P258" s="1631">
        <v>1.6548479562178081E-7</v>
      </c>
      <c r="Q258" s="1631">
        <v>1.6548479562178081E-7</v>
      </c>
      <c r="R258" s="1631">
        <v>1.6548479562178081E-7</v>
      </c>
      <c r="S258" s="1631">
        <v>1.6548479562178081E-7</v>
      </c>
      <c r="T258" s="1631">
        <v>1.6548479562178081E-7</v>
      </c>
      <c r="U258" s="1631">
        <v>1.6548479562178081E-7</v>
      </c>
      <c r="V258" s="1631">
        <v>1.6548479562178081E-7</v>
      </c>
      <c r="W258" s="1631">
        <v>1.6548479562178081E-7</v>
      </c>
    </row>
    <row r="259" spans="4:23" ht="15" customHeight="1">
      <c r="D259" s="13"/>
      <c r="E259" s="84"/>
      <c r="F259" s="732"/>
      <c r="G259" s="732"/>
      <c r="H259" s="732"/>
      <c r="I259" s="732"/>
      <c r="J259" s="732"/>
      <c r="K259" s="732"/>
      <c r="L259" s="732"/>
      <c r="M259" s="732"/>
      <c r="N259" s="86"/>
    </row>
    <row r="260" spans="4:23" ht="15" customHeight="1">
      <c r="D260" s="13"/>
      <c r="E260" s="23" t="s">
        <v>1729</v>
      </c>
      <c r="F260" s="735"/>
      <c r="G260" s="735"/>
      <c r="H260" s="733"/>
      <c r="I260" s="734"/>
      <c r="J260" s="734"/>
      <c r="K260" s="734"/>
      <c r="L260" s="734"/>
      <c r="M260" s="734"/>
      <c r="N260" s="86"/>
    </row>
    <row r="261" spans="4:23" ht="15" customHeight="1">
      <c r="D261" s="13"/>
      <c r="E261" s="84"/>
      <c r="F261" s="732"/>
      <c r="G261" s="732"/>
      <c r="H261" s="732"/>
      <c r="I261" s="732"/>
      <c r="J261" s="732"/>
      <c r="K261" s="732"/>
      <c r="L261" s="732"/>
      <c r="M261" s="732"/>
      <c r="N261" s="86"/>
    </row>
    <row r="262" spans="4:23" ht="15" customHeight="1">
      <c r="D262" s="13"/>
      <c r="E262" s="26" t="s">
        <v>2138</v>
      </c>
      <c r="F262" s="727"/>
      <c r="G262" s="727"/>
      <c r="H262" s="727"/>
      <c r="I262" s="727"/>
      <c r="J262" s="727"/>
      <c r="K262" s="727"/>
      <c r="L262" s="727"/>
      <c r="M262" s="730" t="s">
        <v>2139</v>
      </c>
      <c r="N262" s="86"/>
      <c r="W262" s="1630" t="s">
        <v>2132</v>
      </c>
    </row>
    <row r="263" spans="4:23" ht="15" customHeight="1">
      <c r="D263" s="13"/>
      <c r="E263" s="28" t="s">
        <v>789</v>
      </c>
      <c r="F263" s="731">
        <v>2018</v>
      </c>
      <c r="G263" s="731">
        <v>2020</v>
      </c>
      <c r="H263" s="731">
        <v>2025</v>
      </c>
      <c r="I263" s="731">
        <v>2030</v>
      </c>
      <c r="J263" s="731">
        <v>2035</v>
      </c>
      <c r="K263" s="731">
        <v>2040</v>
      </c>
      <c r="L263" s="731">
        <v>2045</v>
      </c>
      <c r="M263" s="731">
        <v>2050</v>
      </c>
      <c r="N263" s="86"/>
      <c r="P263" s="1636">
        <v>2015</v>
      </c>
      <c r="Q263" s="1637">
        <v>2020</v>
      </c>
      <c r="R263" s="1637">
        <v>2025</v>
      </c>
      <c r="S263" s="1637">
        <v>2030</v>
      </c>
      <c r="T263" s="1637">
        <v>2035</v>
      </c>
      <c r="U263" s="1637">
        <v>2040</v>
      </c>
      <c r="V263" s="1637">
        <v>2045</v>
      </c>
      <c r="W263" s="1638">
        <v>2050</v>
      </c>
    </row>
    <row r="264" spans="4:23" ht="15" customHeight="1">
      <c r="D264" s="13"/>
      <c r="E264" s="30" t="s">
        <v>795</v>
      </c>
      <c r="F264" s="745" cm="1">
        <f t="array" ref="F264:M264">P264:W264*12*GEN_HOGARES*INDEX(GEN_PORCENTAJE_HOGARES_POR_ZONA_CLIMATICA,FRIO,0)</f>
        <v>1.6081942557897704</v>
      </c>
      <c r="G264" s="745">
        <v>1.2188573390921302</v>
      </c>
      <c r="H264" s="745">
        <v>1.526046913037598</v>
      </c>
      <c r="I264" s="745">
        <v>1.8041598293938894</v>
      </c>
      <c r="J264" s="745">
        <v>2.0504729960630179</v>
      </c>
      <c r="K264" s="745">
        <v>2.2905152643768147</v>
      </c>
      <c r="L264" s="745">
        <v>2.5314096642089909</v>
      </c>
      <c r="M264" s="745">
        <v>2.7745676412019584</v>
      </c>
      <c r="N264" s="86"/>
      <c r="O264" s="1631" t="s">
        <v>795</v>
      </c>
      <c r="P264" s="1631">
        <v>2.030077693844925E-7</v>
      </c>
      <c r="Q264" s="1631">
        <v>1.3533851292299528E-7</v>
      </c>
      <c r="R264" s="1631">
        <v>1.3533851292299528E-7</v>
      </c>
      <c r="S264" s="1631">
        <v>1.3533851292299528E-7</v>
      </c>
      <c r="T264" s="1631">
        <v>1.3533851292299528E-7</v>
      </c>
      <c r="U264" s="1631">
        <v>1.3533851292299528E-7</v>
      </c>
      <c r="V264" s="1631">
        <v>1.3533851292299528E-7</v>
      </c>
      <c r="W264" s="1631">
        <v>1.3533851292299528E-7</v>
      </c>
    </row>
    <row r="265" spans="4:23" ht="15" customHeight="1">
      <c r="D265" s="13"/>
      <c r="E265" s="30" t="s">
        <v>791</v>
      </c>
      <c r="F265" s="745" cm="1">
        <f t="array" ref="F265:M265">P265:W265*12*GEN_HOGARES*INDEX(GEN_PORCENTAJE_HOGARES_POR_ZONA_CLIMATICA,TEMPLADO,0)</f>
        <v>0.46602935066950041</v>
      </c>
      <c r="G265" s="745">
        <v>0.52980847206506276</v>
      </c>
      <c r="H265" s="745">
        <v>0.66333651803604721</v>
      </c>
      <c r="I265" s="745">
        <v>0.78422562831210052</v>
      </c>
      <c r="J265" s="745">
        <v>0.89129213913089778</v>
      </c>
      <c r="K265" s="745">
        <v>0.99563283867584407</v>
      </c>
      <c r="L265" s="745">
        <v>1.1003439396478245</v>
      </c>
      <c r="M265" s="745">
        <v>1.2060389641016569</v>
      </c>
      <c r="N265" s="86"/>
      <c r="O265" s="1631" t="s">
        <v>791</v>
      </c>
      <c r="P265" s="1631">
        <v>1.6765830732177276E-7</v>
      </c>
      <c r="Q265" s="1631">
        <v>1.6765830732177276E-7</v>
      </c>
      <c r="R265" s="1631">
        <v>1.6765830732177276E-7</v>
      </c>
      <c r="S265" s="1631">
        <v>1.6765830732177276E-7</v>
      </c>
      <c r="T265" s="1631">
        <v>1.6765830732177276E-7</v>
      </c>
      <c r="U265" s="1631">
        <v>1.6765830732177276E-7</v>
      </c>
      <c r="V265" s="1631">
        <v>1.6765830732177276E-7</v>
      </c>
      <c r="W265" s="1631">
        <v>1.6765830732177276E-7</v>
      </c>
    </row>
    <row r="266" spans="4:23" ht="15" customHeight="1">
      <c r="D266" s="13"/>
      <c r="E266" s="30" t="s">
        <v>792</v>
      </c>
      <c r="F266" s="745" cm="1">
        <f t="array" ref="F266:M266">P266:W266*12*GEN_HOGARES*INDEX(GEN_PORCENTAJE_HOGARES_POR_ZONA_CLIMATICA,CALIDO_SECO,0)</f>
        <v>7.8360360422825653E-2</v>
      </c>
      <c r="G266" s="745">
        <v>8.9084480980527903E-2</v>
      </c>
      <c r="H266" s="745">
        <v>0.11153651279743028</v>
      </c>
      <c r="I266" s="745">
        <v>0.13186337469747458</v>
      </c>
      <c r="J266" s="745">
        <v>0.14986603990498248</v>
      </c>
      <c r="K266" s="745">
        <v>0.16741037442246687</v>
      </c>
      <c r="L266" s="745">
        <v>0.18501698997285579</v>
      </c>
      <c r="M266" s="745">
        <v>0.20278904703150086</v>
      </c>
      <c r="N266" s="86"/>
      <c r="O266" s="1631" t="s">
        <v>792</v>
      </c>
      <c r="P266" s="1631">
        <v>1.6548479562178081E-7</v>
      </c>
      <c r="Q266" s="1631">
        <v>1.6548479562178081E-7</v>
      </c>
      <c r="R266" s="1631">
        <v>1.6548479562178081E-7</v>
      </c>
      <c r="S266" s="1631">
        <v>1.6548479562178081E-7</v>
      </c>
      <c r="T266" s="1631">
        <v>1.6548479562178081E-7</v>
      </c>
      <c r="U266" s="1631">
        <v>1.6548479562178081E-7</v>
      </c>
      <c r="V266" s="1631">
        <v>1.6548479562178081E-7</v>
      </c>
      <c r="W266" s="1631">
        <v>1.6548479562178081E-7</v>
      </c>
    </row>
    <row r="267" spans="4:23" ht="15" customHeight="1">
      <c r="D267" s="83"/>
      <c r="E267" s="32" t="s">
        <v>793</v>
      </c>
      <c r="F267" s="746" cm="1">
        <f t="array" ref="F267:M267">P267:W267*12*GEN_HOGARES*INDEX(GEN_PORCENTAJE_HOGARES_POR_ZONA_CLIMATICA,CALIDO_HUMEDO,0)</f>
        <v>9.279725399286981E-2</v>
      </c>
      <c r="G267" s="746">
        <v>0.10549715651850149</v>
      </c>
      <c r="H267" s="746">
        <v>0.1320856878617313</v>
      </c>
      <c r="I267" s="746">
        <v>0.1561575139283575</v>
      </c>
      <c r="J267" s="746">
        <v>0.17747693980638196</v>
      </c>
      <c r="K267" s="746">
        <v>0.1982535934303567</v>
      </c>
      <c r="L267" s="746">
        <v>0.2191040025704904</v>
      </c>
      <c r="M267" s="746">
        <v>0.24015033369949401</v>
      </c>
      <c r="N267" s="86"/>
      <c r="O267" s="1631" t="s">
        <v>793</v>
      </c>
      <c r="P267" s="1631">
        <v>1.6548479562178081E-7</v>
      </c>
      <c r="Q267" s="1631">
        <v>1.6548479562178081E-7</v>
      </c>
      <c r="R267" s="1631">
        <v>1.6548479562178081E-7</v>
      </c>
      <c r="S267" s="1631">
        <v>1.6548479562178081E-7</v>
      </c>
      <c r="T267" s="1631">
        <v>1.6548479562178081E-7</v>
      </c>
      <c r="U267" s="1631">
        <v>1.6548479562178081E-7</v>
      </c>
      <c r="V267" s="1631">
        <v>1.6548479562178081E-7</v>
      </c>
      <c r="W267" s="1631">
        <v>1.6548479562178081E-7</v>
      </c>
    </row>
    <row r="268" spans="4:23" ht="15" customHeight="1">
      <c r="D268" s="83"/>
      <c r="E268" s="30"/>
      <c r="F268" s="735"/>
      <c r="G268" s="733"/>
      <c r="H268" s="740"/>
      <c r="I268" s="740"/>
      <c r="J268" s="740"/>
      <c r="K268" s="740"/>
      <c r="L268" s="740"/>
      <c r="M268" s="740"/>
      <c r="N268" s="86"/>
    </row>
    <row r="269" spans="4:23" ht="15" customHeight="1">
      <c r="D269" s="83"/>
      <c r="E269" s="23" t="s">
        <v>1730</v>
      </c>
      <c r="F269" s="735"/>
      <c r="G269" s="735"/>
      <c r="H269" s="733"/>
      <c r="I269" s="734"/>
      <c r="J269" s="734"/>
      <c r="K269" s="734"/>
      <c r="L269" s="734"/>
      <c r="M269" s="734"/>
      <c r="N269" s="86"/>
    </row>
    <row r="270" spans="4:23" ht="15" customHeight="1">
      <c r="D270" s="83"/>
      <c r="E270" s="84"/>
      <c r="F270" s="732"/>
      <c r="G270" s="732"/>
      <c r="H270" s="732"/>
      <c r="I270" s="732"/>
      <c r="J270" s="732"/>
      <c r="K270" s="732"/>
      <c r="L270" s="732"/>
      <c r="M270" s="732"/>
      <c r="N270" s="36"/>
    </row>
    <row r="271" spans="4:23" ht="15" customHeight="1">
      <c r="D271" s="83"/>
      <c r="E271" s="26" t="s">
        <v>2138</v>
      </c>
      <c r="F271" s="727"/>
      <c r="G271" s="727"/>
      <c r="H271" s="727"/>
      <c r="I271" s="727"/>
      <c r="J271" s="727"/>
      <c r="K271" s="727"/>
      <c r="L271" s="727"/>
      <c r="M271" s="730" t="s">
        <v>2139</v>
      </c>
      <c r="N271" s="35"/>
      <c r="W271" s="1630" t="s">
        <v>2132</v>
      </c>
    </row>
    <row r="272" spans="4:23" ht="15" customHeight="1">
      <c r="D272" s="83"/>
      <c r="E272" s="28" t="s">
        <v>789</v>
      </c>
      <c r="F272" s="731">
        <v>2018</v>
      </c>
      <c r="G272" s="731">
        <v>2020</v>
      </c>
      <c r="H272" s="731">
        <v>2025</v>
      </c>
      <c r="I272" s="731">
        <v>2030</v>
      </c>
      <c r="J272" s="731">
        <v>2035</v>
      </c>
      <c r="K272" s="731">
        <v>2040</v>
      </c>
      <c r="L272" s="731">
        <v>2045</v>
      </c>
      <c r="M272" s="731">
        <v>2050</v>
      </c>
      <c r="N272" s="35"/>
      <c r="P272" s="1636">
        <v>2015</v>
      </c>
      <c r="Q272" s="1637">
        <v>2020</v>
      </c>
      <c r="R272" s="1637">
        <v>2025</v>
      </c>
      <c r="S272" s="1637">
        <v>2030</v>
      </c>
      <c r="T272" s="1637">
        <v>2035</v>
      </c>
      <c r="U272" s="1637">
        <v>2040</v>
      </c>
      <c r="V272" s="1637">
        <v>2045</v>
      </c>
      <c r="W272" s="1638">
        <v>2050</v>
      </c>
    </row>
    <row r="273" spans="4:23" ht="15" customHeight="1">
      <c r="D273" s="83"/>
      <c r="E273" s="30" t="s">
        <v>795</v>
      </c>
      <c r="F273" s="745" cm="1">
        <f t="array" ref="F273:M273">P273:W273*12*GEN_HOGARES*INDEX(GEN_PORCENTAJE_HOGARES_POR_ZONA_CLIMATICA,FRIO,0)</f>
        <v>1.6081942557897704</v>
      </c>
      <c r="G273" s="745">
        <v>1.2188573390921302</v>
      </c>
      <c r="H273" s="745">
        <v>1.526046913037598</v>
      </c>
      <c r="I273" s="745">
        <v>1.8041598293938894</v>
      </c>
      <c r="J273" s="745">
        <v>2.0504729960630179</v>
      </c>
      <c r="K273" s="745">
        <v>2.2905152643768147</v>
      </c>
      <c r="L273" s="745">
        <v>2.5314096642089909</v>
      </c>
      <c r="M273" s="745">
        <v>2.7745676412019584</v>
      </c>
      <c r="N273" s="20"/>
      <c r="O273" s="1631" t="s">
        <v>795</v>
      </c>
      <c r="P273" s="1631">
        <v>2.030077693844925E-7</v>
      </c>
      <c r="Q273" s="1631">
        <v>1.3533851292299528E-7</v>
      </c>
      <c r="R273" s="1631">
        <v>1.3533851292299528E-7</v>
      </c>
      <c r="S273" s="1631">
        <v>1.3533851292299528E-7</v>
      </c>
      <c r="T273" s="1631">
        <v>1.3533851292299528E-7</v>
      </c>
      <c r="U273" s="1631">
        <v>1.3533851292299528E-7</v>
      </c>
      <c r="V273" s="1631">
        <v>1.3533851292299528E-7</v>
      </c>
      <c r="W273" s="1631">
        <v>1.3533851292299528E-7</v>
      </c>
    </row>
    <row r="274" spans="4:23" ht="15" customHeight="1">
      <c r="D274" s="83"/>
      <c r="E274" s="30" t="s">
        <v>791</v>
      </c>
      <c r="F274" s="745" cm="1">
        <f t="array" ref="F274:M274">P274:W274*12*GEN_HOGARES*INDEX(GEN_PORCENTAJE_HOGARES_POR_ZONA_CLIMATICA,TEMPLADO,0)</f>
        <v>0.46602935066950041</v>
      </c>
      <c r="G274" s="745">
        <v>0.35320564804337551</v>
      </c>
      <c r="H274" s="745">
        <v>0.44222434535736521</v>
      </c>
      <c r="I274" s="745">
        <v>0.52281708554140083</v>
      </c>
      <c r="J274" s="745">
        <v>0.59419475942059907</v>
      </c>
      <c r="K274" s="745">
        <v>0.66375522578389656</v>
      </c>
      <c r="L274" s="745">
        <v>0.73356262643188375</v>
      </c>
      <c r="M274" s="745">
        <v>0.80402597606777193</v>
      </c>
      <c r="N274" s="33"/>
      <c r="O274" s="1631" t="s">
        <v>791</v>
      </c>
      <c r="P274" s="1631">
        <v>1.6765830732177276E-7</v>
      </c>
      <c r="Q274" s="1631">
        <v>1.1177220488118194E-7</v>
      </c>
      <c r="R274" s="1631">
        <v>1.1177220488118194E-7</v>
      </c>
      <c r="S274" s="1631">
        <v>1.1177220488118194E-7</v>
      </c>
      <c r="T274" s="1631">
        <v>1.1177220488118194E-7</v>
      </c>
      <c r="U274" s="1631">
        <v>1.1177220488118194E-7</v>
      </c>
      <c r="V274" s="1631">
        <v>1.1177220488118194E-7</v>
      </c>
      <c r="W274" s="1631">
        <v>1.1177220488118194E-7</v>
      </c>
    </row>
    <row r="275" spans="4:23" ht="15" customHeight="1">
      <c r="D275" s="83"/>
      <c r="E275" s="30" t="s">
        <v>792</v>
      </c>
      <c r="F275" s="745" cm="1">
        <f t="array" ref="F275:M275">P275:W275*12*GEN_HOGARES*INDEX(GEN_PORCENTAJE_HOGARES_POR_ZONA_CLIMATICA,CALIDO_SECO,0)</f>
        <v>7.8360360422825653E-2</v>
      </c>
      <c r="G275" s="745">
        <v>8.9084480980527903E-2</v>
      </c>
      <c r="H275" s="745">
        <v>0.11153651279743028</v>
      </c>
      <c r="I275" s="745">
        <v>0.13186337469747458</v>
      </c>
      <c r="J275" s="745">
        <v>0.14986603990498248</v>
      </c>
      <c r="K275" s="745">
        <v>0.16741037442246687</v>
      </c>
      <c r="L275" s="745">
        <v>0.18501698997285579</v>
      </c>
      <c r="M275" s="745">
        <v>0.20278904703150086</v>
      </c>
      <c r="N275" s="88"/>
      <c r="O275" s="1631" t="s">
        <v>792</v>
      </c>
      <c r="P275" s="1631">
        <v>1.6548479562178081E-7</v>
      </c>
      <c r="Q275" s="1631">
        <v>1.6548479562178081E-7</v>
      </c>
      <c r="R275" s="1631">
        <v>1.6548479562178081E-7</v>
      </c>
      <c r="S275" s="1631">
        <v>1.6548479562178081E-7</v>
      </c>
      <c r="T275" s="1631">
        <v>1.6548479562178081E-7</v>
      </c>
      <c r="U275" s="1631">
        <v>1.6548479562178081E-7</v>
      </c>
      <c r="V275" s="1631">
        <v>1.6548479562178081E-7</v>
      </c>
      <c r="W275" s="1631">
        <v>1.6548479562178081E-7</v>
      </c>
    </row>
    <row r="276" spans="4:23" ht="15" customHeight="1">
      <c r="D276" s="83"/>
      <c r="E276" s="32" t="s">
        <v>793</v>
      </c>
      <c r="F276" s="746" cm="1">
        <f t="array" ref="F276:M276">P276:W276*12*GEN_HOGARES*INDEX(GEN_PORCENTAJE_HOGARES_POR_ZONA_CLIMATICA,CALIDO_HUMEDO,0)</f>
        <v>9.279725399286981E-2</v>
      </c>
      <c r="G276" s="746">
        <v>0.10549715651850149</v>
      </c>
      <c r="H276" s="746">
        <v>0.1320856878617313</v>
      </c>
      <c r="I276" s="746">
        <v>0.1561575139283575</v>
      </c>
      <c r="J276" s="746">
        <v>0.17747693980638196</v>
      </c>
      <c r="K276" s="746">
        <v>0.1982535934303567</v>
      </c>
      <c r="L276" s="746">
        <v>0.2191040025704904</v>
      </c>
      <c r="M276" s="746">
        <v>0.24015033369949401</v>
      </c>
      <c r="N276" s="88"/>
      <c r="O276" s="1631" t="s">
        <v>793</v>
      </c>
      <c r="P276" s="1631">
        <v>1.6548479562178081E-7</v>
      </c>
      <c r="Q276" s="1631">
        <v>1.6548479562178081E-7</v>
      </c>
      <c r="R276" s="1631">
        <v>1.6548479562178081E-7</v>
      </c>
      <c r="S276" s="1631">
        <v>1.6548479562178081E-7</v>
      </c>
      <c r="T276" s="1631">
        <v>1.6548479562178081E-7</v>
      </c>
      <c r="U276" s="1631">
        <v>1.6548479562178081E-7</v>
      </c>
      <c r="V276" s="1631">
        <v>1.6548479562178081E-7</v>
      </c>
      <c r="W276" s="1631">
        <v>1.6548479562178081E-7</v>
      </c>
    </row>
    <row r="277" spans="4:23" ht="15" customHeight="1">
      <c r="D277" s="83"/>
      <c r="E277" s="84"/>
      <c r="F277" s="732"/>
      <c r="G277" s="732"/>
      <c r="H277" s="732"/>
      <c r="I277" s="732"/>
      <c r="J277" s="732"/>
      <c r="K277" s="732"/>
      <c r="L277" s="732"/>
      <c r="M277" s="732"/>
      <c r="N277" s="88"/>
    </row>
    <row r="278" spans="4:23" ht="15" customHeight="1">
      <c r="D278" s="83"/>
      <c r="E278" s="23" t="s">
        <v>1731</v>
      </c>
      <c r="F278" s="735"/>
      <c r="G278" s="735"/>
      <c r="H278" s="733"/>
      <c r="I278" s="734"/>
      <c r="J278" s="734"/>
      <c r="K278" s="734"/>
      <c r="L278" s="734"/>
      <c r="M278" s="734"/>
      <c r="N278" s="88"/>
    </row>
    <row r="279" spans="4:23" ht="15" customHeight="1">
      <c r="D279" s="83"/>
      <c r="E279" s="84"/>
      <c r="F279" s="732"/>
      <c r="G279" s="732"/>
      <c r="H279" s="732"/>
      <c r="I279" s="732"/>
      <c r="J279" s="732"/>
      <c r="K279" s="732"/>
      <c r="L279" s="732"/>
      <c r="M279" s="732"/>
      <c r="N279" s="36"/>
    </row>
    <row r="280" spans="4:23" ht="15" customHeight="1">
      <c r="D280" s="83"/>
      <c r="E280" s="26" t="s">
        <v>2138</v>
      </c>
      <c r="F280" s="727"/>
      <c r="G280" s="727"/>
      <c r="H280" s="727"/>
      <c r="I280" s="727"/>
      <c r="J280" s="727"/>
      <c r="K280" s="727"/>
      <c r="L280" s="727"/>
      <c r="M280" s="730" t="s">
        <v>2139</v>
      </c>
      <c r="N280" s="20"/>
      <c r="W280" s="1630" t="s">
        <v>2132</v>
      </c>
    </row>
    <row r="281" spans="4:23" ht="15" customHeight="1">
      <c r="D281" s="83"/>
      <c r="E281" s="28" t="s">
        <v>789</v>
      </c>
      <c r="F281" s="731">
        <v>2018</v>
      </c>
      <c r="G281" s="731">
        <v>2020</v>
      </c>
      <c r="H281" s="731">
        <v>2025</v>
      </c>
      <c r="I281" s="731">
        <v>2030</v>
      </c>
      <c r="J281" s="731">
        <v>2035</v>
      </c>
      <c r="K281" s="731">
        <v>2040</v>
      </c>
      <c r="L281" s="731">
        <v>2045</v>
      </c>
      <c r="M281" s="731">
        <v>2050</v>
      </c>
      <c r="N281" s="33"/>
      <c r="P281" s="1636">
        <v>2015</v>
      </c>
      <c r="Q281" s="1637">
        <v>2020</v>
      </c>
      <c r="R281" s="1637">
        <v>2025</v>
      </c>
      <c r="S281" s="1637">
        <v>2030</v>
      </c>
      <c r="T281" s="1637">
        <v>2035</v>
      </c>
      <c r="U281" s="1637">
        <v>2040</v>
      </c>
      <c r="V281" s="1637">
        <v>2045</v>
      </c>
      <c r="W281" s="1638">
        <v>2050</v>
      </c>
    </row>
    <row r="282" spans="4:23" ht="15" customHeight="1">
      <c r="D282" s="83"/>
      <c r="E282" s="30" t="s">
        <v>795</v>
      </c>
      <c r="F282" s="745" cm="1">
        <f t="array" ref="F282:M282">P282:W282*12*GEN_HOGARES*INDEX(GEN_PORCENTAJE_HOGARES_POR_ZONA_CLIMATICA,FRIO,0)</f>
        <v>1.6081942557897704</v>
      </c>
      <c r="G282" s="745">
        <v>1.2188573390921302</v>
      </c>
      <c r="H282" s="745">
        <v>1.526046913037598</v>
      </c>
      <c r="I282" s="745">
        <v>1.8041598293938894</v>
      </c>
      <c r="J282" s="745">
        <v>2.0504729960630179</v>
      </c>
      <c r="K282" s="745">
        <v>2.2905152643768147</v>
      </c>
      <c r="L282" s="745">
        <v>2.5314096642089909</v>
      </c>
      <c r="M282" s="745">
        <v>2.7745676412019584</v>
      </c>
      <c r="N282" s="88"/>
      <c r="O282" s="1631" t="s">
        <v>795</v>
      </c>
      <c r="P282" s="1631">
        <v>2.030077693844925E-7</v>
      </c>
      <c r="Q282" s="1631">
        <v>1.3533851292299528E-7</v>
      </c>
      <c r="R282" s="1631">
        <v>1.3533851292299528E-7</v>
      </c>
      <c r="S282" s="1631">
        <v>1.3533851292299528E-7</v>
      </c>
      <c r="T282" s="1631">
        <v>1.3533851292299528E-7</v>
      </c>
      <c r="U282" s="1631">
        <v>1.3533851292299528E-7</v>
      </c>
      <c r="V282" s="1631">
        <v>1.3533851292299528E-7</v>
      </c>
      <c r="W282" s="1631">
        <v>1.3533851292299528E-7</v>
      </c>
    </row>
    <row r="283" spans="4:23" ht="15" customHeight="1">
      <c r="D283" s="83"/>
      <c r="E283" s="30" t="s">
        <v>791</v>
      </c>
      <c r="F283" s="745" cm="1">
        <f t="array" ref="F283:M283">P283:W283*12*GEN_HOGARES*INDEX(GEN_PORCENTAJE_HOGARES_POR_ZONA_CLIMATICA,TEMPLADO,0)</f>
        <v>0.46602935066950041</v>
      </c>
      <c r="G283" s="745">
        <v>0.35320564804337551</v>
      </c>
      <c r="H283" s="745">
        <v>0.44222434535736521</v>
      </c>
      <c r="I283" s="745">
        <v>0.52281708554140083</v>
      </c>
      <c r="J283" s="745">
        <v>0.59419475942059907</v>
      </c>
      <c r="K283" s="745">
        <v>0.66375522578389656</v>
      </c>
      <c r="L283" s="745">
        <v>0.73356262643188375</v>
      </c>
      <c r="M283" s="745">
        <v>0.80402597606777193</v>
      </c>
      <c r="N283" s="88"/>
      <c r="O283" s="1631" t="s">
        <v>791</v>
      </c>
      <c r="P283" s="1631">
        <v>1.6765830732177276E-7</v>
      </c>
      <c r="Q283" s="1631">
        <v>1.1177220488118194E-7</v>
      </c>
      <c r="R283" s="1631">
        <v>1.1177220488118194E-7</v>
      </c>
      <c r="S283" s="1631">
        <v>1.1177220488118194E-7</v>
      </c>
      <c r="T283" s="1631">
        <v>1.1177220488118194E-7</v>
      </c>
      <c r="U283" s="1631">
        <v>1.1177220488118194E-7</v>
      </c>
      <c r="V283" s="1631">
        <v>1.1177220488118194E-7</v>
      </c>
      <c r="W283" s="1631">
        <v>1.1177220488118194E-7</v>
      </c>
    </row>
    <row r="284" spans="4:23" ht="15" customHeight="1">
      <c r="D284" s="83"/>
      <c r="E284" s="30" t="s">
        <v>792</v>
      </c>
      <c r="F284" s="745" cm="1">
        <f t="array" ref="F284:M284">P284:W284*12*GEN_HOGARES*INDEX(GEN_PORCENTAJE_HOGARES_POR_ZONA_CLIMATICA,CALIDO_SECO,0)</f>
        <v>7.8360360422825653E-2</v>
      </c>
      <c r="G284" s="745">
        <v>5.9389653987018454E-2</v>
      </c>
      <c r="H284" s="745">
        <v>7.4357675198286663E-2</v>
      </c>
      <c r="I284" s="745">
        <v>8.7908916464982834E-2</v>
      </c>
      <c r="J284" s="745">
        <v>9.9910693269988068E-2</v>
      </c>
      <c r="K284" s="745">
        <v>0.11160691628164429</v>
      </c>
      <c r="L284" s="745">
        <v>0.12334465998190357</v>
      </c>
      <c r="M284" s="745">
        <v>0.13519269802100023</v>
      </c>
      <c r="N284" s="88"/>
      <c r="O284" s="1631" t="s">
        <v>792</v>
      </c>
      <c r="P284" s="1631">
        <v>1.6548479562178081E-7</v>
      </c>
      <c r="Q284" s="1631">
        <v>1.1032319708118694E-7</v>
      </c>
      <c r="R284" s="1631">
        <v>1.1032319708118694E-7</v>
      </c>
      <c r="S284" s="1631">
        <v>1.1032319708118694E-7</v>
      </c>
      <c r="T284" s="1631">
        <v>1.1032319708118694E-7</v>
      </c>
      <c r="U284" s="1631">
        <v>1.1032319708118694E-7</v>
      </c>
      <c r="V284" s="1631">
        <v>1.1032319708118694E-7</v>
      </c>
      <c r="W284" s="1631">
        <v>1.1032319708118694E-7</v>
      </c>
    </row>
    <row r="285" spans="4:23" ht="15" customHeight="1">
      <c r="D285" s="83"/>
      <c r="E285" s="32" t="s">
        <v>793</v>
      </c>
      <c r="F285" s="746" cm="1">
        <f t="array" ref="F285:M285">P285:W285*12*GEN_HOGARES*INDEX(GEN_PORCENTAJE_HOGARES_POR_ZONA_CLIMATICA,CALIDO_HUMEDO,0)</f>
        <v>9.279725399286981E-2</v>
      </c>
      <c r="G285" s="746">
        <v>7.0331437679000811E-2</v>
      </c>
      <c r="H285" s="746">
        <v>8.8057125241153972E-2</v>
      </c>
      <c r="I285" s="746">
        <v>0.10410500928557141</v>
      </c>
      <c r="J285" s="746">
        <v>0.118317959870921</v>
      </c>
      <c r="K285" s="746">
        <v>0.13216906228690414</v>
      </c>
      <c r="L285" s="746">
        <v>0.14606933504699324</v>
      </c>
      <c r="M285" s="746">
        <v>0.16010022246632896</v>
      </c>
      <c r="N285" s="88"/>
      <c r="O285" s="1631" t="s">
        <v>793</v>
      </c>
      <c r="P285" s="1631">
        <v>1.6548479562178081E-7</v>
      </c>
      <c r="Q285" s="1631">
        <v>1.1032319708118694E-7</v>
      </c>
      <c r="R285" s="1631">
        <v>1.1032319708118694E-7</v>
      </c>
      <c r="S285" s="1631">
        <v>1.1032319708118694E-7</v>
      </c>
      <c r="T285" s="1631">
        <v>1.1032319708118694E-7</v>
      </c>
      <c r="U285" s="1631">
        <v>1.1032319708118694E-7</v>
      </c>
      <c r="V285" s="1631">
        <v>1.1032319708118694E-7</v>
      </c>
      <c r="W285" s="1631">
        <v>1.1032319708118694E-7</v>
      </c>
    </row>
    <row r="286" spans="4:23" ht="15" customHeight="1">
      <c r="D286" s="83"/>
      <c r="E286" s="35"/>
      <c r="F286" s="735"/>
      <c r="G286" s="735"/>
      <c r="H286" s="741"/>
      <c r="I286" s="734"/>
      <c r="J286" s="734"/>
      <c r="K286" s="734"/>
      <c r="L286" s="734"/>
      <c r="M286" s="734"/>
      <c r="N286" s="36"/>
    </row>
    <row r="287" spans="4:23" ht="15" customHeight="1">
      <c r="D287" s="83"/>
      <c r="E287" s="940" t="s">
        <v>2140</v>
      </c>
      <c r="F287" s="736"/>
      <c r="G287" s="736"/>
      <c r="H287" s="736"/>
      <c r="I287" s="736"/>
      <c r="J287" s="736"/>
      <c r="K287" s="736"/>
      <c r="L287" s="736"/>
      <c r="M287" s="736"/>
      <c r="N287" s="22"/>
    </row>
    <row r="288" spans="4:23" ht="15" customHeight="1">
      <c r="D288" s="83"/>
      <c r="E288" s="35"/>
      <c r="F288" s="742"/>
      <c r="G288" s="733"/>
      <c r="H288" s="733"/>
      <c r="I288" s="733"/>
      <c r="J288" s="733"/>
      <c r="K288" s="733"/>
      <c r="L288" s="733"/>
      <c r="M288" s="733"/>
      <c r="N288" s="33"/>
    </row>
    <row r="289" spans="4:23" ht="15" customHeight="1">
      <c r="D289" s="83"/>
      <c r="E289" s="30"/>
      <c r="F289" s="727"/>
      <c r="G289" s="727"/>
      <c r="H289" s="727"/>
      <c r="I289" s="727"/>
      <c r="J289" s="727"/>
      <c r="K289" s="727"/>
      <c r="L289" s="727"/>
      <c r="M289" s="730" t="s">
        <v>788</v>
      </c>
      <c r="N289" s="88"/>
    </row>
    <row r="290" spans="4:23" ht="15" customHeight="1">
      <c r="D290" s="83"/>
      <c r="E290" s="89" t="s">
        <v>879</v>
      </c>
      <c r="F290" s="731">
        <v>2018</v>
      </c>
      <c r="G290" s="731">
        <v>2020</v>
      </c>
      <c r="H290" s="731">
        <v>2025</v>
      </c>
      <c r="I290" s="731">
        <v>2030</v>
      </c>
      <c r="J290" s="731">
        <v>2035</v>
      </c>
      <c r="K290" s="731">
        <v>2040</v>
      </c>
      <c r="L290" s="731">
        <v>2045</v>
      </c>
      <c r="M290" s="731">
        <v>2050</v>
      </c>
      <c r="N290" s="88"/>
    </row>
    <row r="291" spans="4:23" ht="15" customHeight="1">
      <c r="D291" s="83"/>
      <c r="E291" s="90">
        <v>1</v>
      </c>
      <c r="F291" s="713">
        <v>0</v>
      </c>
      <c r="G291" s="713">
        <v>0</v>
      </c>
      <c r="H291" s="713">
        <v>0</v>
      </c>
      <c r="I291" s="713">
        <v>0</v>
      </c>
      <c r="J291" s="713">
        <v>0</v>
      </c>
      <c r="K291" s="713">
        <v>0</v>
      </c>
      <c r="L291" s="713">
        <v>0</v>
      </c>
      <c r="M291" s="713">
        <v>0</v>
      </c>
      <c r="N291" s="88"/>
    </row>
    <row r="292" spans="4:23" ht="15" customHeight="1">
      <c r="D292" s="83"/>
      <c r="E292" s="90">
        <v>2</v>
      </c>
      <c r="F292" s="713">
        <v>0</v>
      </c>
      <c r="G292" s="713">
        <v>0.31</v>
      </c>
      <c r="H292" s="713">
        <v>0.31</v>
      </c>
      <c r="I292" s="713">
        <v>0.31</v>
      </c>
      <c r="J292" s="713">
        <v>0.31</v>
      </c>
      <c r="K292" s="713">
        <v>0.31</v>
      </c>
      <c r="L292" s="713">
        <v>0.31</v>
      </c>
      <c r="M292" s="713">
        <v>0.31</v>
      </c>
      <c r="N292" s="88"/>
    </row>
    <row r="293" spans="4:23" ht="15" customHeight="1">
      <c r="D293" s="83"/>
      <c r="E293" s="90">
        <v>3</v>
      </c>
      <c r="F293" s="713">
        <v>0</v>
      </c>
      <c r="G293" s="713">
        <v>0.61</v>
      </c>
      <c r="H293" s="713">
        <v>0.61</v>
      </c>
      <c r="I293" s="713">
        <v>0.61</v>
      </c>
      <c r="J293" s="713">
        <v>0.61</v>
      </c>
      <c r="K293" s="713">
        <v>0.61</v>
      </c>
      <c r="L293" s="713">
        <v>0.61</v>
      </c>
      <c r="M293" s="713">
        <v>0.61</v>
      </c>
      <c r="N293" s="36"/>
    </row>
    <row r="294" spans="4:23" ht="15" customHeight="1">
      <c r="D294" s="83"/>
      <c r="E294" s="91">
        <v>4</v>
      </c>
      <c r="F294" s="714">
        <v>0</v>
      </c>
      <c r="G294" s="714">
        <v>1</v>
      </c>
      <c r="H294" s="714">
        <v>1</v>
      </c>
      <c r="I294" s="714">
        <v>1</v>
      </c>
      <c r="J294" s="714">
        <v>1</v>
      </c>
      <c r="K294" s="714">
        <v>1</v>
      </c>
      <c r="L294" s="714">
        <v>1</v>
      </c>
      <c r="M294" s="714">
        <v>1</v>
      </c>
      <c r="N294" s="20"/>
    </row>
    <row r="295" spans="4:23" ht="15" customHeight="1">
      <c r="D295" s="83"/>
      <c r="E295" s="30"/>
      <c r="F295" s="735"/>
      <c r="G295" s="733"/>
      <c r="H295" s="744"/>
      <c r="I295" s="744"/>
      <c r="J295" s="744"/>
      <c r="K295" s="744"/>
      <c r="L295" s="744"/>
      <c r="M295" s="744"/>
      <c r="N295" s="88"/>
    </row>
    <row r="296" spans="4:23" ht="15" customHeight="1">
      <c r="D296" s="83"/>
      <c r="E296" s="940" t="s">
        <v>1248</v>
      </c>
      <c r="F296" s="736"/>
      <c r="G296" s="736"/>
      <c r="H296" s="736"/>
      <c r="I296" s="736"/>
      <c r="J296" s="736"/>
      <c r="K296" s="736"/>
      <c r="L296" s="736"/>
      <c r="M296" s="736"/>
      <c r="N296" s="22"/>
    </row>
    <row r="297" spans="4:23" ht="15" customHeight="1">
      <c r="D297" s="83"/>
      <c r="E297" s="30"/>
      <c r="F297" s="735"/>
      <c r="G297" s="733"/>
      <c r="H297" s="744"/>
      <c r="I297" s="744"/>
      <c r="J297" s="744"/>
      <c r="K297" s="744"/>
      <c r="L297" s="744"/>
      <c r="M297" s="744"/>
      <c r="N297" s="88"/>
    </row>
    <row r="298" spans="4:23" ht="15" customHeight="1">
      <c r="D298" s="83"/>
      <c r="E298" s="23" t="s">
        <v>1726</v>
      </c>
      <c r="F298" s="735"/>
      <c r="G298" s="735"/>
      <c r="H298" s="733"/>
      <c r="I298" s="734"/>
      <c r="J298" s="734"/>
      <c r="K298" s="734"/>
      <c r="L298" s="734"/>
      <c r="M298" s="734"/>
      <c r="N298" s="88"/>
    </row>
    <row r="299" spans="4:23" ht="15" customHeight="1">
      <c r="D299" s="83"/>
      <c r="E299" s="84"/>
      <c r="F299" s="732"/>
      <c r="G299" s="732"/>
      <c r="H299" s="732"/>
      <c r="I299" s="732"/>
      <c r="J299" s="732"/>
      <c r="K299" s="732"/>
      <c r="L299" s="732"/>
      <c r="M299" s="732"/>
      <c r="N299" s="88"/>
      <c r="P299" s="1629"/>
    </row>
    <row r="300" spans="4:23" ht="15" customHeight="1">
      <c r="D300" s="83"/>
      <c r="E300" s="26" t="s">
        <v>2138</v>
      </c>
      <c r="F300" s="727"/>
      <c r="G300" s="727"/>
      <c r="H300" s="727"/>
      <c r="I300" s="727"/>
      <c r="J300" s="727"/>
      <c r="K300" s="727"/>
      <c r="L300" s="727"/>
      <c r="M300" s="730" t="s">
        <v>2141</v>
      </c>
      <c r="N300" s="88"/>
      <c r="W300" s="1630" t="s">
        <v>2132</v>
      </c>
    </row>
    <row r="301" spans="4:23" ht="15" customHeight="1">
      <c r="D301" s="83"/>
      <c r="E301" s="28" t="s">
        <v>789</v>
      </c>
      <c r="F301" s="731">
        <v>2018</v>
      </c>
      <c r="G301" s="731">
        <v>2020</v>
      </c>
      <c r="H301" s="731">
        <v>2025</v>
      </c>
      <c r="I301" s="731">
        <v>2030</v>
      </c>
      <c r="J301" s="731">
        <v>2035</v>
      </c>
      <c r="K301" s="731">
        <v>2040</v>
      </c>
      <c r="L301" s="731">
        <v>2045</v>
      </c>
      <c r="M301" s="731">
        <v>2050</v>
      </c>
      <c r="N301" s="88"/>
      <c r="P301" s="1636">
        <v>2015</v>
      </c>
      <c r="Q301" s="1637">
        <v>2020</v>
      </c>
      <c r="R301" s="1637">
        <v>2025</v>
      </c>
      <c r="S301" s="1637">
        <v>2030</v>
      </c>
      <c r="T301" s="1637">
        <v>2035</v>
      </c>
      <c r="U301" s="1637">
        <v>2040</v>
      </c>
      <c r="V301" s="1637">
        <v>2045</v>
      </c>
      <c r="W301" s="1638">
        <v>2050</v>
      </c>
    </row>
    <row r="302" spans="4:23" ht="15" customHeight="1">
      <c r="D302" s="83"/>
      <c r="E302" s="30" t="s">
        <v>795</v>
      </c>
      <c r="F302" s="745" cm="1">
        <f t="array" ref="F302:M302">P302:W302*12*GEN_HOGARES*INDEX(GEN_PORCENTAJE_HOGARES_POR_ZONA_CLIMATICA,FRIO,0)</f>
        <v>1.6283773999999998</v>
      </c>
      <c r="G302" s="745">
        <v>1.8512313462658077</v>
      </c>
      <c r="H302" s="745">
        <v>2.3177986386754923</v>
      </c>
      <c r="I302" s="745">
        <v>2.7402035683152941</v>
      </c>
      <c r="J302" s="745">
        <v>3.1143102340515196</v>
      </c>
      <c r="K302" s="745">
        <v>3.4788925008016558</v>
      </c>
      <c r="L302" s="745">
        <v>3.8447690064486428</v>
      </c>
      <c r="M302" s="745">
        <v>4.2140834903235564</v>
      </c>
      <c r="N302" s="88"/>
      <c r="O302" s="1631" t="s">
        <v>795</v>
      </c>
      <c r="P302" s="1631">
        <v>2.0555555555555553E-7</v>
      </c>
      <c r="Q302" s="1631">
        <v>2.0555555555555553E-7</v>
      </c>
      <c r="R302" s="1631">
        <v>2.0555555555555553E-7</v>
      </c>
      <c r="S302" s="1631">
        <v>2.0555555555555553E-7</v>
      </c>
      <c r="T302" s="1631">
        <v>2.0555555555555553E-7</v>
      </c>
      <c r="U302" s="1631">
        <v>2.0555555555555553E-7</v>
      </c>
      <c r="V302" s="1631">
        <v>2.0555555555555553E-7</v>
      </c>
      <c r="W302" s="1631">
        <v>2.0555555555555553E-7</v>
      </c>
    </row>
    <row r="303" spans="4:23" ht="15" customHeight="1">
      <c r="D303" s="83"/>
      <c r="E303" s="30" t="s">
        <v>791</v>
      </c>
      <c r="F303" s="745" cm="1">
        <f t="array" ref="F303:M303">P303:W303*12*GEN_HOGARES*INDEX(GEN_PORCENTAJE_HOGARES_POR_ZONA_CLIMATICA,TEMPLADO,0)</f>
        <v>0.24832974305602276</v>
      </c>
      <c r="G303" s="745">
        <v>0.2823152695164175</v>
      </c>
      <c r="H303" s="745">
        <v>0.35346740896667095</v>
      </c>
      <c r="I303" s="745">
        <v>0.41788472871272575</v>
      </c>
      <c r="J303" s="745">
        <v>0.47493649827045997</v>
      </c>
      <c r="K303" s="745">
        <v>0.53053578417607605</v>
      </c>
      <c r="L303" s="745">
        <v>0.58633244325372702</v>
      </c>
      <c r="M303" s="745">
        <v>0.64265339863392645</v>
      </c>
      <c r="N303" s="88"/>
      <c r="O303" s="1631" t="s">
        <v>791</v>
      </c>
      <c r="P303" s="1631">
        <v>8.9338888888888889E-8</v>
      </c>
      <c r="Q303" s="1631">
        <v>8.9338888888888889E-8</v>
      </c>
      <c r="R303" s="1631">
        <v>8.9338888888888889E-8</v>
      </c>
      <c r="S303" s="1631">
        <v>8.9338888888888889E-8</v>
      </c>
      <c r="T303" s="1631">
        <v>8.9338888888888889E-8</v>
      </c>
      <c r="U303" s="1631">
        <v>8.9338888888888889E-8</v>
      </c>
      <c r="V303" s="1631">
        <v>8.9338888888888889E-8</v>
      </c>
      <c r="W303" s="1631">
        <v>8.9338888888888889E-8</v>
      </c>
    </row>
    <row r="304" spans="4:23" ht="15" customHeight="1">
      <c r="D304" s="83"/>
      <c r="E304" s="30" t="s">
        <v>792</v>
      </c>
      <c r="F304" s="745" cm="1">
        <f t="array" ref="F304:M304">P304:W304*12*GEN_HOGARES*INDEX(GEN_PORCENTAJE_HOGARES_POR_ZONA_CLIMATICA,CALIDO_SECO,0)</f>
        <v>9.8914381999999995E-2</v>
      </c>
      <c r="G304" s="745">
        <v>0.11245145293401296</v>
      </c>
      <c r="H304" s="745">
        <v>0.14079268107321288</v>
      </c>
      <c r="I304" s="745">
        <v>0.16645130454039836</v>
      </c>
      <c r="J304" s="745">
        <v>0.18917609158508428</v>
      </c>
      <c r="K304" s="745">
        <v>0.21132232722047747</v>
      </c>
      <c r="L304" s="745">
        <v>0.23354718028242194</v>
      </c>
      <c r="M304" s="745">
        <v>0.25598087036933675</v>
      </c>
      <c r="N304" s="88"/>
      <c r="O304" s="1631" t="s">
        <v>792</v>
      </c>
      <c r="P304" s="1631">
        <v>2.0889166666666665E-7</v>
      </c>
      <c r="Q304" s="1631">
        <v>2.0889166666666665E-7</v>
      </c>
      <c r="R304" s="1631">
        <v>2.0889166666666665E-7</v>
      </c>
      <c r="S304" s="1631">
        <v>2.0889166666666665E-7</v>
      </c>
      <c r="T304" s="1631">
        <v>2.0889166666666665E-7</v>
      </c>
      <c r="U304" s="1631">
        <v>2.0889166666666665E-7</v>
      </c>
      <c r="V304" s="1631">
        <v>2.0889166666666665E-7</v>
      </c>
      <c r="W304" s="1631">
        <v>2.0889166666666665E-7</v>
      </c>
    </row>
    <row r="305" spans="4:23" ht="15" customHeight="1">
      <c r="D305" s="83"/>
      <c r="E305" s="32" t="s">
        <v>793</v>
      </c>
      <c r="F305" s="746" cm="1">
        <f t="array" ref="F305:M305">P305:W305*12*GEN_HOGARES*INDEX(GEN_PORCENTAJE_HOGARES_POR_ZONA_CLIMATICA,CALIDO_HUMEDO,0)</f>
        <v>0.11713809099999999</v>
      </c>
      <c r="G305" s="746">
        <v>0.13316919400928598</v>
      </c>
      <c r="H305" s="746">
        <v>0.16673193072861728</v>
      </c>
      <c r="I305" s="746">
        <v>0.19711782719647275</v>
      </c>
      <c r="J305" s="746">
        <v>0.22402936542754659</v>
      </c>
      <c r="K305" s="746">
        <v>0.25025576155633328</v>
      </c>
      <c r="L305" s="746">
        <v>0.27657525936638561</v>
      </c>
      <c r="M305" s="746">
        <v>0.30314206975061092</v>
      </c>
      <c r="N305" s="88"/>
      <c r="O305" s="1631" t="s">
        <v>793</v>
      </c>
      <c r="P305" s="1631">
        <v>2.0889166666666665E-7</v>
      </c>
      <c r="Q305" s="1631">
        <v>2.0889166666666665E-7</v>
      </c>
      <c r="R305" s="1631">
        <v>2.0889166666666665E-7</v>
      </c>
      <c r="S305" s="1631">
        <v>2.0889166666666665E-7</v>
      </c>
      <c r="T305" s="1631">
        <v>2.0889166666666665E-7</v>
      </c>
      <c r="U305" s="1631">
        <v>2.0889166666666665E-7</v>
      </c>
      <c r="V305" s="1631">
        <v>2.0889166666666665E-7</v>
      </c>
      <c r="W305" s="1631">
        <v>2.0889166666666665E-7</v>
      </c>
    </row>
    <row r="306" spans="4:23" ht="15" customHeight="1">
      <c r="D306" s="83"/>
      <c r="E306" s="84"/>
      <c r="F306" s="732"/>
      <c r="G306" s="732"/>
      <c r="H306" s="732"/>
      <c r="I306" s="732"/>
      <c r="J306" s="732"/>
      <c r="K306" s="732"/>
      <c r="L306" s="732"/>
      <c r="M306" s="732"/>
      <c r="N306" s="88"/>
    </row>
    <row r="307" spans="4:23" ht="15" customHeight="1">
      <c r="D307" s="83"/>
      <c r="E307" s="23" t="s">
        <v>1729</v>
      </c>
      <c r="F307" s="735"/>
      <c r="G307" s="735"/>
      <c r="H307" s="733"/>
      <c r="I307" s="734"/>
      <c r="J307" s="734"/>
      <c r="K307" s="734"/>
      <c r="L307" s="734"/>
      <c r="M307" s="734"/>
      <c r="N307" s="88"/>
    </row>
    <row r="308" spans="4:23" ht="15" customHeight="1">
      <c r="D308" s="83"/>
      <c r="E308" s="84"/>
      <c r="F308" s="732"/>
      <c r="G308" s="732"/>
      <c r="H308" s="732"/>
      <c r="I308" s="732"/>
      <c r="J308" s="732"/>
      <c r="K308" s="732"/>
      <c r="L308" s="732"/>
      <c r="M308" s="732"/>
      <c r="N308" s="88"/>
    </row>
    <row r="309" spans="4:23" ht="15" customHeight="1">
      <c r="D309" s="83"/>
      <c r="E309" s="26" t="s">
        <v>2138</v>
      </c>
      <c r="F309" s="727"/>
      <c r="G309" s="727"/>
      <c r="H309" s="727"/>
      <c r="I309" s="727"/>
      <c r="J309" s="727"/>
      <c r="K309" s="727"/>
      <c r="L309" s="727"/>
      <c r="M309" s="730" t="s">
        <v>2141</v>
      </c>
      <c r="N309" s="88"/>
      <c r="W309" s="1630" t="s">
        <v>2132</v>
      </c>
    </row>
    <row r="310" spans="4:23" ht="15" customHeight="1">
      <c r="D310" s="83"/>
      <c r="E310" s="28" t="s">
        <v>789</v>
      </c>
      <c r="F310" s="731">
        <v>2018</v>
      </c>
      <c r="G310" s="731">
        <v>2020</v>
      </c>
      <c r="H310" s="731">
        <v>2025</v>
      </c>
      <c r="I310" s="731">
        <v>2030</v>
      </c>
      <c r="J310" s="731">
        <v>2035</v>
      </c>
      <c r="K310" s="731">
        <v>2040</v>
      </c>
      <c r="L310" s="731">
        <v>2045</v>
      </c>
      <c r="M310" s="731">
        <v>2050</v>
      </c>
      <c r="N310" s="88"/>
      <c r="P310" s="1636">
        <v>2015</v>
      </c>
      <c r="Q310" s="1637">
        <v>2020</v>
      </c>
      <c r="R310" s="1637">
        <v>2025</v>
      </c>
      <c r="S310" s="1637">
        <v>2030</v>
      </c>
      <c r="T310" s="1637">
        <v>2035</v>
      </c>
      <c r="U310" s="1637">
        <v>2040</v>
      </c>
      <c r="V310" s="1637">
        <v>2045</v>
      </c>
      <c r="W310" s="1638">
        <v>2050</v>
      </c>
    </row>
    <row r="311" spans="4:23" ht="15" customHeight="1">
      <c r="D311" s="83"/>
      <c r="E311" s="30" t="s">
        <v>795</v>
      </c>
      <c r="F311" s="745" cm="1">
        <f t="array" ref="F311:M311">P311:W311*12*GEN_HOGARES*INDEX(GEN_PORCENTAJE_HOGARES_POR_ZONA_CLIMATICA,FRIO,0)</f>
        <v>1.6283773999999998</v>
      </c>
      <c r="G311" s="745">
        <v>1.8512313462658077</v>
      </c>
      <c r="H311" s="745">
        <v>2.3177986386754923</v>
      </c>
      <c r="I311" s="745">
        <v>2.7402035683152941</v>
      </c>
      <c r="J311" s="745">
        <v>3.1143102340515196</v>
      </c>
      <c r="K311" s="745">
        <v>3.4788925008016558</v>
      </c>
      <c r="L311" s="745">
        <v>3.8447690064486428</v>
      </c>
      <c r="M311" s="745">
        <v>4.2140834903235564</v>
      </c>
      <c r="N311" s="88"/>
      <c r="O311" s="1631" t="s">
        <v>795</v>
      </c>
      <c r="P311" s="1631">
        <v>2.0555555555555553E-7</v>
      </c>
      <c r="Q311" s="1631">
        <v>2.0555555555555553E-7</v>
      </c>
      <c r="R311" s="1631">
        <v>2.0555555555555553E-7</v>
      </c>
      <c r="S311" s="1631">
        <v>2.0555555555555553E-7</v>
      </c>
      <c r="T311" s="1631">
        <v>2.0555555555555553E-7</v>
      </c>
      <c r="U311" s="1631">
        <v>2.0555555555555553E-7</v>
      </c>
      <c r="V311" s="1631">
        <v>2.0555555555555553E-7</v>
      </c>
      <c r="W311" s="1631">
        <v>2.0555555555555553E-7</v>
      </c>
    </row>
    <row r="312" spans="4:23" ht="15" customHeight="1">
      <c r="D312" s="83"/>
      <c r="E312" s="30" t="s">
        <v>791</v>
      </c>
      <c r="F312" s="745" cm="1">
        <f t="array" ref="F312:M312">P312:W312*12*GEN_HOGARES*INDEX(GEN_PORCENTAJE_HOGARES_POR_ZONA_CLIMATICA,TEMPLADO,0)</f>
        <v>0.24832974305602276</v>
      </c>
      <c r="G312" s="745">
        <v>0.2823152695164175</v>
      </c>
      <c r="H312" s="745">
        <v>0.35346740896667095</v>
      </c>
      <c r="I312" s="745">
        <v>0.41788472871272575</v>
      </c>
      <c r="J312" s="745">
        <v>0.47493649827045997</v>
      </c>
      <c r="K312" s="745">
        <v>0.53053578417607605</v>
      </c>
      <c r="L312" s="745">
        <v>0.58633244325372702</v>
      </c>
      <c r="M312" s="745">
        <v>0.64265339863392645</v>
      </c>
      <c r="N312" s="88"/>
      <c r="O312" s="1631" t="s">
        <v>791</v>
      </c>
      <c r="P312" s="1631">
        <v>8.9338888888888889E-8</v>
      </c>
      <c r="Q312" s="1631">
        <v>8.9338888888888889E-8</v>
      </c>
      <c r="R312" s="1631">
        <v>8.9338888888888889E-8</v>
      </c>
      <c r="S312" s="1631">
        <v>8.9338888888888889E-8</v>
      </c>
      <c r="T312" s="1631">
        <v>8.9338888888888889E-8</v>
      </c>
      <c r="U312" s="1631">
        <v>8.9338888888888889E-8</v>
      </c>
      <c r="V312" s="1631">
        <v>8.9338888888888889E-8</v>
      </c>
      <c r="W312" s="1631">
        <v>8.9338888888888889E-8</v>
      </c>
    </row>
    <row r="313" spans="4:23" ht="15" customHeight="1">
      <c r="D313" s="83"/>
      <c r="E313" s="30" t="s">
        <v>792</v>
      </c>
      <c r="F313" s="745" cm="1">
        <f t="array" ref="F313:M313">P313:W313*12*GEN_HOGARES*INDEX(GEN_PORCENTAJE_HOGARES_POR_ZONA_CLIMATICA,CALIDO_SECO,0)</f>
        <v>9.8914381999999995E-2</v>
      </c>
      <c r="G313" s="745">
        <v>0.11245145293401296</v>
      </c>
      <c r="H313" s="745">
        <v>0.14079268107321288</v>
      </c>
      <c r="I313" s="745">
        <v>0.16645130454039836</v>
      </c>
      <c r="J313" s="745">
        <v>0.18917609158508428</v>
      </c>
      <c r="K313" s="745">
        <v>0.21132232722047747</v>
      </c>
      <c r="L313" s="745">
        <v>0.23354718028242194</v>
      </c>
      <c r="M313" s="745">
        <v>0.25598087036933675</v>
      </c>
      <c r="N313" s="88"/>
      <c r="O313" s="1631" t="s">
        <v>792</v>
      </c>
      <c r="P313" s="1631">
        <v>2.0889166666666665E-7</v>
      </c>
      <c r="Q313" s="1631">
        <v>2.0889166666666665E-7</v>
      </c>
      <c r="R313" s="1631">
        <v>2.0889166666666665E-7</v>
      </c>
      <c r="S313" s="1631">
        <v>2.0889166666666665E-7</v>
      </c>
      <c r="T313" s="1631">
        <v>2.0889166666666665E-7</v>
      </c>
      <c r="U313" s="1631">
        <v>2.0889166666666665E-7</v>
      </c>
      <c r="V313" s="1631">
        <v>2.0889166666666665E-7</v>
      </c>
      <c r="W313" s="1631">
        <v>2.0889166666666665E-7</v>
      </c>
    </row>
    <row r="314" spans="4:23" ht="15" customHeight="1">
      <c r="D314" s="83"/>
      <c r="E314" s="32" t="s">
        <v>793</v>
      </c>
      <c r="F314" s="746" cm="1">
        <f t="array" ref="F314:M314">P314:W314*12*GEN_HOGARES*INDEX(GEN_PORCENTAJE_HOGARES_POR_ZONA_CLIMATICA,CALIDO_HUMEDO,0)</f>
        <v>0.11713809099999999</v>
      </c>
      <c r="G314" s="746">
        <v>0.13316919400928598</v>
      </c>
      <c r="H314" s="746">
        <v>0.16673193072861728</v>
      </c>
      <c r="I314" s="746">
        <v>0.19711782719647275</v>
      </c>
      <c r="J314" s="746">
        <v>0.22402936542754659</v>
      </c>
      <c r="K314" s="746">
        <v>0.25025576155633328</v>
      </c>
      <c r="L314" s="746">
        <v>0.27657525936638561</v>
      </c>
      <c r="M314" s="746">
        <v>0.30314206975061092</v>
      </c>
      <c r="N314" s="88"/>
      <c r="O314" s="1631" t="s">
        <v>793</v>
      </c>
      <c r="P314" s="1631">
        <v>2.0889166666666665E-7</v>
      </c>
      <c r="Q314" s="1631">
        <v>2.0889166666666665E-7</v>
      </c>
      <c r="R314" s="1631">
        <v>2.0889166666666665E-7</v>
      </c>
      <c r="S314" s="1631">
        <v>2.0889166666666665E-7</v>
      </c>
      <c r="T314" s="1631">
        <v>2.0889166666666665E-7</v>
      </c>
      <c r="U314" s="1631">
        <v>2.0889166666666665E-7</v>
      </c>
      <c r="V314" s="1631">
        <v>2.0889166666666665E-7</v>
      </c>
      <c r="W314" s="1631">
        <v>2.0889166666666665E-7</v>
      </c>
    </row>
    <row r="315" spans="4:23" ht="15" customHeight="1">
      <c r="D315" s="83"/>
      <c r="E315" s="30"/>
      <c r="F315" s="735"/>
      <c r="G315" s="733"/>
      <c r="H315" s="740"/>
      <c r="I315" s="740"/>
      <c r="J315" s="740"/>
      <c r="K315" s="740"/>
      <c r="L315" s="740"/>
      <c r="M315" s="740"/>
      <c r="N315" s="88"/>
    </row>
    <row r="316" spans="4:23" ht="15" customHeight="1">
      <c r="D316" s="83"/>
      <c r="E316" s="23" t="s">
        <v>1730</v>
      </c>
      <c r="F316" s="735"/>
      <c r="G316" s="735"/>
      <c r="H316" s="733"/>
      <c r="I316" s="734"/>
      <c r="J316" s="734"/>
      <c r="K316" s="734"/>
      <c r="L316" s="734"/>
      <c r="M316" s="734"/>
      <c r="N316" s="88"/>
    </row>
    <row r="317" spans="4:23" ht="15" customHeight="1">
      <c r="D317" s="83"/>
      <c r="E317" s="84"/>
      <c r="F317" s="732"/>
      <c r="G317" s="732"/>
      <c r="H317" s="732"/>
      <c r="I317" s="732"/>
      <c r="J317" s="732"/>
      <c r="K317" s="732"/>
      <c r="L317" s="732"/>
      <c r="M317" s="732"/>
      <c r="N317" s="88"/>
    </row>
    <row r="318" spans="4:23" ht="15" customHeight="1">
      <c r="D318" s="83"/>
      <c r="E318" s="26" t="s">
        <v>2138</v>
      </c>
      <c r="F318" s="727"/>
      <c r="G318" s="727"/>
      <c r="H318" s="727"/>
      <c r="I318" s="727"/>
      <c r="J318" s="727"/>
      <c r="K318" s="727"/>
      <c r="L318" s="727"/>
      <c r="M318" s="730" t="s">
        <v>2141</v>
      </c>
      <c r="N318" s="88"/>
      <c r="P318" s="1639"/>
      <c r="Q318" s="1639"/>
      <c r="R318" s="1639"/>
      <c r="S318" s="1639"/>
      <c r="T318" s="1639"/>
      <c r="U318" s="1639"/>
      <c r="V318" s="1639"/>
      <c r="W318" s="1640" t="s">
        <v>2132</v>
      </c>
    </row>
    <row r="319" spans="4:23" ht="15" customHeight="1">
      <c r="D319" s="83"/>
      <c r="E319" s="28" t="s">
        <v>789</v>
      </c>
      <c r="F319" s="731">
        <v>2018</v>
      </c>
      <c r="G319" s="731">
        <v>2020</v>
      </c>
      <c r="H319" s="731">
        <v>2025</v>
      </c>
      <c r="I319" s="731">
        <v>2030</v>
      </c>
      <c r="J319" s="731">
        <v>2035</v>
      </c>
      <c r="K319" s="731">
        <v>2040</v>
      </c>
      <c r="L319" s="731">
        <v>2045</v>
      </c>
      <c r="M319" s="731">
        <v>2050</v>
      </c>
      <c r="N319" s="88"/>
      <c r="P319" s="1632">
        <v>2015</v>
      </c>
      <c r="Q319" s="1632">
        <v>2020</v>
      </c>
      <c r="R319" s="1632">
        <v>2025</v>
      </c>
      <c r="S319" s="1632">
        <v>2030</v>
      </c>
      <c r="T319" s="1632">
        <v>2035</v>
      </c>
      <c r="U319" s="1632">
        <v>2040</v>
      </c>
      <c r="V319" s="1632">
        <v>2045</v>
      </c>
      <c r="W319" s="1632">
        <v>2050</v>
      </c>
    </row>
    <row r="320" spans="4:23" ht="15" customHeight="1">
      <c r="D320" s="83"/>
      <c r="E320" s="30" t="s">
        <v>795</v>
      </c>
      <c r="F320" s="745" cm="1">
        <f t="array" ref="F320:M320">P320:W320*12*GEN_HOGARES*INDEX(GEN_PORCENTAJE_HOGARES_POR_ZONA_CLIMATICA,FRIO,0)</f>
        <v>1.6283773999999998</v>
      </c>
      <c r="G320" s="745">
        <v>1.8512313462658077</v>
      </c>
      <c r="H320" s="745">
        <v>2.3177986386754923</v>
      </c>
      <c r="I320" s="745">
        <v>2.7402035683152941</v>
      </c>
      <c r="J320" s="745">
        <v>3.1143102340515196</v>
      </c>
      <c r="K320" s="745">
        <v>3.4788925008016558</v>
      </c>
      <c r="L320" s="745">
        <v>3.8447690064486428</v>
      </c>
      <c r="M320" s="745">
        <v>4.2140834903235564</v>
      </c>
      <c r="N320" s="88"/>
      <c r="O320" s="1631" t="s">
        <v>795</v>
      </c>
      <c r="P320" s="1631">
        <v>2.0555555555555553E-7</v>
      </c>
      <c r="Q320" s="1631">
        <v>2.0555555555555553E-7</v>
      </c>
      <c r="R320" s="1631">
        <v>2.0555555555555553E-7</v>
      </c>
      <c r="S320" s="1631">
        <v>2.0555555555555553E-7</v>
      </c>
      <c r="T320" s="1631">
        <v>2.0555555555555553E-7</v>
      </c>
      <c r="U320" s="1631">
        <v>2.0555555555555553E-7</v>
      </c>
      <c r="V320" s="1631">
        <v>2.0555555555555553E-7</v>
      </c>
      <c r="W320" s="1631">
        <v>2.0555555555555553E-7</v>
      </c>
    </row>
    <row r="321" spans="4:23" ht="15" customHeight="1">
      <c r="D321" s="83"/>
      <c r="E321" s="30" t="s">
        <v>791</v>
      </c>
      <c r="F321" s="745" cm="1">
        <f t="array" ref="F321:M321">P321:W321*12*GEN_HOGARES*INDEX(GEN_PORCENTAJE_HOGARES_POR_ZONA_CLIMATICA,TEMPLADO,0)</f>
        <v>0.24832974305602276</v>
      </c>
      <c r="G321" s="745">
        <v>0.2823152695164175</v>
      </c>
      <c r="H321" s="745">
        <v>0.35346740896667095</v>
      </c>
      <c r="I321" s="745">
        <v>0.41788472871272575</v>
      </c>
      <c r="J321" s="745">
        <v>0.47493649827045997</v>
      </c>
      <c r="K321" s="745">
        <v>0.53053578417607605</v>
      </c>
      <c r="L321" s="745">
        <v>0.58633244325372702</v>
      </c>
      <c r="M321" s="745">
        <v>0.64265339863392645</v>
      </c>
      <c r="N321" s="88"/>
      <c r="O321" s="1631" t="s">
        <v>791</v>
      </c>
      <c r="P321" s="1631">
        <v>8.9338888888888889E-8</v>
      </c>
      <c r="Q321" s="1631">
        <v>8.9338888888888889E-8</v>
      </c>
      <c r="R321" s="1631">
        <v>8.9338888888888889E-8</v>
      </c>
      <c r="S321" s="1631">
        <v>8.9338888888888889E-8</v>
      </c>
      <c r="T321" s="1631">
        <v>8.9338888888888889E-8</v>
      </c>
      <c r="U321" s="1631">
        <v>8.9338888888888889E-8</v>
      </c>
      <c r="V321" s="1631">
        <v>8.9338888888888889E-8</v>
      </c>
      <c r="W321" s="1631">
        <v>8.9338888888888889E-8</v>
      </c>
    </row>
    <row r="322" spans="4:23" ht="15" customHeight="1">
      <c r="D322" s="83"/>
      <c r="E322" s="30" t="s">
        <v>792</v>
      </c>
      <c r="F322" s="745" cm="1">
        <f t="array" ref="F322:M322">P322:W322*12*GEN_HOGARES*INDEX(GEN_PORCENTAJE_HOGARES_POR_ZONA_CLIMATICA,CALIDO_SECO,0)</f>
        <v>9.8914381999999995E-2</v>
      </c>
      <c r="G322" s="745">
        <v>0.11245145293401296</v>
      </c>
      <c r="H322" s="745">
        <v>0.14079268107321288</v>
      </c>
      <c r="I322" s="745">
        <v>0.16645130454039836</v>
      </c>
      <c r="J322" s="745">
        <v>0.18917609158508428</v>
      </c>
      <c r="K322" s="745">
        <v>0.21132232722047747</v>
      </c>
      <c r="L322" s="745">
        <v>0.23354718028242194</v>
      </c>
      <c r="M322" s="745">
        <v>0.25598087036933675</v>
      </c>
      <c r="N322" s="88"/>
      <c r="O322" s="1631" t="s">
        <v>792</v>
      </c>
      <c r="P322" s="1631">
        <v>2.0889166666666665E-7</v>
      </c>
      <c r="Q322" s="1631">
        <v>2.0889166666666665E-7</v>
      </c>
      <c r="R322" s="1631">
        <v>2.0889166666666665E-7</v>
      </c>
      <c r="S322" s="1631">
        <v>2.0889166666666665E-7</v>
      </c>
      <c r="T322" s="1631">
        <v>2.0889166666666665E-7</v>
      </c>
      <c r="U322" s="1631">
        <v>2.0889166666666665E-7</v>
      </c>
      <c r="V322" s="1631">
        <v>2.0889166666666665E-7</v>
      </c>
      <c r="W322" s="1631">
        <v>2.0889166666666665E-7</v>
      </c>
    </row>
    <row r="323" spans="4:23" ht="15" customHeight="1">
      <c r="D323" s="83"/>
      <c r="E323" s="32" t="s">
        <v>793</v>
      </c>
      <c r="F323" s="746" cm="1">
        <f t="array" ref="F323:M323">P323:W323*12*GEN_HOGARES*INDEX(GEN_PORCENTAJE_HOGARES_POR_ZONA_CLIMATICA,CALIDO_HUMEDO,0)</f>
        <v>0.11713809099999999</v>
      </c>
      <c r="G323" s="746">
        <v>0.13316919400928598</v>
      </c>
      <c r="H323" s="746">
        <v>0.16673193072861728</v>
      </c>
      <c r="I323" s="746">
        <v>0.19711782719647275</v>
      </c>
      <c r="J323" s="746">
        <v>0.22402936542754659</v>
      </c>
      <c r="K323" s="746">
        <v>0.25025576155633328</v>
      </c>
      <c r="L323" s="746">
        <v>0.27657525936638561</v>
      </c>
      <c r="M323" s="746">
        <v>0.30314206975061092</v>
      </c>
      <c r="N323" s="88"/>
      <c r="O323" s="1631" t="s">
        <v>793</v>
      </c>
      <c r="P323" s="1631">
        <v>2.0889166666666665E-7</v>
      </c>
      <c r="Q323" s="1631">
        <v>2.0889166666666665E-7</v>
      </c>
      <c r="R323" s="1631">
        <v>2.0889166666666665E-7</v>
      </c>
      <c r="S323" s="1631">
        <v>2.0889166666666665E-7</v>
      </c>
      <c r="T323" s="1631">
        <v>2.0889166666666665E-7</v>
      </c>
      <c r="U323" s="1631">
        <v>2.0889166666666665E-7</v>
      </c>
      <c r="V323" s="1631">
        <v>2.0889166666666665E-7</v>
      </c>
      <c r="W323" s="1631">
        <v>2.0889166666666665E-7</v>
      </c>
    </row>
    <row r="324" spans="4:23" ht="15" customHeight="1">
      <c r="D324" s="83"/>
      <c r="E324" s="84"/>
      <c r="F324" s="732"/>
      <c r="G324" s="732"/>
      <c r="H324" s="732"/>
      <c r="I324" s="732"/>
      <c r="J324" s="732"/>
      <c r="K324" s="732"/>
      <c r="L324" s="732"/>
      <c r="M324" s="732"/>
      <c r="N324" s="88"/>
    </row>
    <row r="325" spans="4:23" ht="15" customHeight="1">
      <c r="D325" s="83"/>
      <c r="E325" s="23" t="s">
        <v>1731</v>
      </c>
      <c r="F325" s="735"/>
      <c r="G325" s="735"/>
      <c r="H325" s="733"/>
      <c r="I325" s="734"/>
      <c r="J325" s="734"/>
      <c r="K325" s="734"/>
      <c r="L325" s="734"/>
      <c r="M325" s="734"/>
      <c r="N325" s="88"/>
    </row>
    <row r="326" spans="4:23" ht="15" customHeight="1">
      <c r="D326" s="83"/>
      <c r="E326" s="84"/>
      <c r="F326" s="732"/>
      <c r="G326" s="732"/>
      <c r="H326" s="732"/>
      <c r="I326" s="732"/>
      <c r="J326" s="732"/>
      <c r="K326" s="732"/>
      <c r="L326" s="732"/>
      <c r="M326" s="732"/>
      <c r="N326" s="88"/>
    </row>
    <row r="327" spans="4:23" ht="15" customHeight="1">
      <c r="D327" s="83"/>
      <c r="E327" s="26" t="s">
        <v>2138</v>
      </c>
      <c r="F327" s="727"/>
      <c r="G327" s="727"/>
      <c r="H327" s="727"/>
      <c r="I327" s="727"/>
      <c r="J327" s="727"/>
      <c r="K327" s="727"/>
      <c r="L327" s="727"/>
      <c r="M327" s="730" t="s">
        <v>2141</v>
      </c>
      <c r="N327" s="88"/>
      <c r="W327" s="1630" t="s">
        <v>2132</v>
      </c>
    </row>
    <row r="328" spans="4:23" ht="15" customHeight="1">
      <c r="D328" s="83"/>
      <c r="E328" s="28" t="s">
        <v>789</v>
      </c>
      <c r="F328" s="731">
        <v>2018</v>
      </c>
      <c r="G328" s="731">
        <v>2020</v>
      </c>
      <c r="H328" s="731">
        <v>2025</v>
      </c>
      <c r="I328" s="731">
        <v>2030</v>
      </c>
      <c r="J328" s="731">
        <v>2035</v>
      </c>
      <c r="K328" s="731">
        <v>2040</v>
      </c>
      <c r="L328" s="731">
        <v>2045</v>
      </c>
      <c r="M328" s="731">
        <v>2050</v>
      </c>
      <c r="N328" s="88"/>
      <c r="P328" s="1636">
        <v>2015</v>
      </c>
      <c r="Q328" s="1637">
        <v>2020</v>
      </c>
      <c r="R328" s="1637">
        <v>2025</v>
      </c>
      <c r="S328" s="1637">
        <v>2030</v>
      </c>
      <c r="T328" s="1637">
        <v>2035</v>
      </c>
      <c r="U328" s="1637">
        <v>2040</v>
      </c>
      <c r="V328" s="1637">
        <v>2045</v>
      </c>
      <c r="W328" s="1638">
        <v>2050</v>
      </c>
    </row>
    <row r="329" spans="4:23" ht="15" customHeight="1">
      <c r="D329" s="83"/>
      <c r="E329" s="30" t="s">
        <v>795</v>
      </c>
      <c r="F329" s="745" cm="1">
        <f t="array" ref="F329:M329">P329:W329*12*GEN_HOGARES*INDEX(GEN_PORCENTAJE_HOGARES_POR_ZONA_CLIMATICA,FRIO,0)</f>
        <v>1.6283773999999998</v>
      </c>
      <c r="G329" s="745">
        <v>1.8512313462658077</v>
      </c>
      <c r="H329" s="745">
        <v>2.3177986386754923</v>
      </c>
      <c r="I329" s="745">
        <v>2.7402035683152941</v>
      </c>
      <c r="J329" s="745">
        <v>3.1143102340515196</v>
      </c>
      <c r="K329" s="745">
        <v>3.4788925008016558</v>
      </c>
      <c r="L329" s="745">
        <v>3.8447690064486428</v>
      </c>
      <c r="M329" s="745">
        <v>4.2140834903235564</v>
      </c>
      <c r="N329" s="88"/>
      <c r="O329" s="1631" t="s">
        <v>795</v>
      </c>
      <c r="P329" s="1631">
        <v>2.0555555555555553E-7</v>
      </c>
      <c r="Q329" s="1631">
        <v>2.0555555555555553E-7</v>
      </c>
      <c r="R329" s="1631">
        <v>2.0555555555555553E-7</v>
      </c>
      <c r="S329" s="1631">
        <v>2.0555555555555553E-7</v>
      </c>
      <c r="T329" s="1631">
        <v>2.0555555555555553E-7</v>
      </c>
      <c r="U329" s="1631">
        <v>2.0555555555555553E-7</v>
      </c>
      <c r="V329" s="1631">
        <v>2.0555555555555553E-7</v>
      </c>
      <c r="W329" s="1631">
        <v>2.0555555555555553E-7</v>
      </c>
    </row>
    <row r="330" spans="4:23" ht="15" customHeight="1">
      <c r="D330" s="83"/>
      <c r="E330" s="30" t="s">
        <v>791</v>
      </c>
      <c r="F330" s="745" cm="1">
        <f t="array" ref="F330:M330">P330:W330*12*GEN_HOGARES*INDEX(GEN_PORCENTAJE_HOGARES_POR_ZONA_CLIMATICA,TEMPLADO,0)</f>
        <v>0.24832974305602276</v>
      </c>
      <c r="G330" s="745">
        <v>0.2823152695164175</v>
      </c>
      <c r="H330" s="745">
        <v>0.35346740896667095</v>
      </c>
      <c r="I330" s="745">
        <v>0.41788472871272575</v>
      </c>
      <c r="J330" s="745">
        <v>0.47493649827045997</v>
      </c>
      <c r="K330" s="745">
        <v>0.53053578417607605</v>
      </c>
      <c r="L330" s="745">
        <v>0.58633244325372702</v>
      </c>
      <c r="M330" s="745">
        <v>0.64265339863392645</v>
      </c>
      <c r="N330" s="88"/>
      <c r="O330" s="1631" t="s">
        <v>791</v>
      </c>
      <c r="P330" s="1631">
        <v>8.9338888888888889E-8</v>
      </c>
      <c r="Q330" s="1631">
        <v>8.9338888888888889E-8</v>
      </c>
      <c r="R330" s="1631">
        <v>8.9338888888888889E-8</v>
      </c>
      <c r="S330" s="1631">
        <v>8.9338888888888889E-8</v>
      </c>
      <c r="T330" s="1631">
        <v>8.9338888888888889E-8</v>
      </c>
      <c r="U330" s="1631">
        <v>8.9338888888888889E-8</v>
      </c>
      <c r="V330" s="1631">
        <v>8.9338888888888889E-8</v>
      </c>
      <c r="W330" s="1631">
        <v>8.9338888888888889E-8</v>
      </c>
    </row>
    <row r="331" spans="4:23" ht="15" customHeight="1">
      <c r="D331" s="83"/>
      <c r="E331" s="30" t="s">
        <v>792</v>
      </c>
      <c r="F331" s="745" cm="1">
        <f t="array" ref="F331:M331">P331:W331*12*GEN_HOGARES*INDEX(GEN_PORCENTAJE_HOGARES_POR_ZONA_CLIMATICA,CALIDO_SECO,0)</f>
        <v>9.8914381999999995E-2</v>
      </c>
      <c r="G331" s="745">
        <v>0.11245145293401296</v>
      </c>
      <c r="H331" s="745">
        <v>0.14079268107321288</v>
      </c>
      <c r="I331" s="745">
        <v>0.16645130454039836</v>
      </c>
      <c r="J331" s="745">
        <v>0.18917609158508428</v>
      </c>
      <c r="K331" s="745">
        <v>0.21132232722047747</v>
      </c>
      <c r="L331" s="745">
        <v>0.23354718028242194</v>
      </c>
      <c r="M331" s="745">
        <v>0.25598087036933675</v>
      </c>
      <c r="N331" s="88"/>
      <c r="O331" s="1631" t="s">
        <v>792</v>
      </c>
      <c r="P331" s="1631">
        <v>2.0889166666666665E-7</v>
      </c>
      <c r="Q331" s="1631">
        <v>2.0889166666666665E-7</v>
      </c>
      <c r="R331" s="1631">
        <v>2.0889166666666665E-7</v>
      </c>
      <c r="S331" s="1631">
        <v>2.0889166666666665E-7</v>
      </c>
      <c r="T331" s="1631">
        <v>2.0889166666666665E-7</v>
      </c>
      <c r="U331" s="1631">
        <v>2.0889166666666665E-7</v>
      </c>
      <c r="V331" s="1631">
        <v>2.0889166666666665E-7</v>
      </c>
      <c r="W331" s="1631">
        <v>2.0889166666666665E-7</v>
      </c>
    </row>
    <row r="332" spans="4:23" ht="15" customHeight="1">
      <c r="D332" s="83"/>
      <c r="E332" s="32" t="s">
        <v>793</v>
      </c>
      <c r="F332" s="746" cm="1">
        <f t="array" ref="F332:M332">P332:W332*12*GEN_HOGARES*INDEX(GEN_PORCENTAJE_HOGARES_POR_ZONA_CLIMATICA,CALIDO_HUMEDO,0)</f>
        <v>0.11713809099999999</v>
      </c>
      <c r="G332" s="746">
        <v>0.13316919400928598</v>
      </c>
      <c r="H332" s="746">
        <v>0.16673193072861728</v>
      </c>
      <c r="I332" s="746">
        <v>0.19711782719647275</v>
      </c>
      <c r="J332" s="746">
        <v>0.22402936542754659</v>
      </c>
      <c r="K332" s="746">
        <v>0.25025576155633328</v>
      </c>
      <c r="L332" s="746">
        <v>0.27657525936638561</v>
      </c>
      <c r="M332" s="746">
        <v>0.30314206975061092</v>
      </c>
      <c r="N332" s="88"/>
      <c r="O332" s="1631" t="s">
        <v>793</v>
      </c>
      <c r="P332" s="1631">
        <v>2.0889166666666665E-7</v>
      </c>
      <c r="Q332" s="1631">
        <v>2.0889166666666665E-7</v>
      </c>
      <c r="R332" s="1631">
        <v>2.0889166666666665E-7</v>
      </c>
      <c r="S332" s="1631">
        <v>2.0889166666666665E-7</v>
      </c>
      <c r="T332" s="1631">
        <v>2.0889166666666665E-7</v>
      </c>
      <c r="U332" s="1631">
        <v>2.0889166666666665E-7</v>
      </c>
      <c r="V332" s="1631">
        <v>2.0889166666666665E-7</v>
      </c>
      <c r="W332" s="1631">
        <v>2.0889166666666665E-7</v>
      </c>
    </row>
    <row r="333" spans="4:23" ht="15" customHeight="1">
      <c r="D333" s="83"/>
      <c r="E333" s="30"/>
      <c r="F333" s="735"/>
      <c r="G333" s="733"/>
      <c r="H333" s="744"/>
      <c r="I333" s="744"/>
      <c r="J333" s="744"/>
      <c r="K333" s="744"/>
      <c r="L333" s="744"/>
      <c r="M333" s="744"/>
      <c r="N333" s="88"/>
    </row>
    <row r="334" spans="4:23" ht="15" customHeight="1">
      <c r="D334" s="83"/>
      <c r="E334" s="940" t="s">
        <v>2142</v>
      </c>
      <c r="F334" s="736"/>
      <c r="G334" s="736"/>
      <c r="H334" s="736"/>
      <c r="I334" s="736"/>
      <c r="J334" s="736"/>
      <c r="K334" s="736"/>
      <c r="L334" s="736"/>
      <c r="M334" s="736"/>
      <c r="N334" s="22"/>
    </row>
    <row r="335" spans="4:23" ht="15" customHeight="1">
      <c r="D335" s="83"/>
      <c r="E335" s="30"/>
      <c r="F335" s="735"/>
      <c r="G335" s="733"/>
      <c r="H335" s="744"/>
      <c r="I335" s="744"/>
      <c r="J335" s="744"/>
      <c r="K335" s="744"/>
      <c r="L335" s="744"/>
      <c r="M335" s="744"/>
      <c r="N335" s="88"/>
    </row>
    <row r="336" spans="4:23" ht="15" customHeight="1">
      <c r="D336" s="83"/>
      <c r="E336" s="23" t="s">
        <v>1726</v>
      </c>
      <c r="F336" s="735"/>
      <c r="G336" s="735"/>
      <c r="H336" s="733"/>
      <c r="I336" s="734"/>
      <c r="J336" s="734"/>
      <c r="K336" s="734"/>
      <c r="L336" s="734"/>
      <c r="M336" s="734"/>
      <c r="N336" s="88"/>
    </row>
    <row r="337" spans="4:14" ht="15" customHeight="1">
      <c r="D337" s="83"/>
      <c r="E337" s="84"/>
      <c r="F337" s="732"/>
      <c r="G337" s="732"/>
      <c r="H337" s="732"/>
      <c r="I337" s="732"/>
      <c r="J337" s="732"/>
      <c r="K337" s="732"/>
      <c r="L337" s="732"/>
      <c r="M337" s="732"/>
      <c r="N337" s="35"/>
    </row>
    <row r="338" spans="4:14" ht="15" customHeight="1">
      <c r="D338" s="83"/>
      <c r="E338" s="26" t="s">
        <v>2138</v>
      </c>
      <c r="F338" s="727"/>
      <c r="G338" s="727"/>
      <c r="H338" s="727"/>
      <c r="I338" s="727"/>
      <c r="J338" s="727"/>
      <c r="K338" s="727"/>
      <c r="L338" s="727"/>
      <c r="M338" s="730" t="s">
        <v>9</v>
      </c>
      <c r="N338" s="35"/>
    </row>
    <row r="339" spans="4:14" ht="15" customHeight="1">
      <c r="D339" s="83"/>
      <c r="E339" s="28" t="s">
        <v>789</v>
      </c>
      <c r="F339" s="731">
        <v>2018</v>
      </c>
      <c r="G339" s="731">
        <v>2020</v>
      </c>
      <c r="H339" s="731">
        <v>2025</v>
      </c>
      <c r="I339" s="731">
        <v>2030</v>
      </c>
      <c r="J339" s="731">
        <v>2035</v>
      </c>
      <c r="K339" s="731">
        <v>2040</v>
      </c>
      <c r="L339" s="731">
        <v>2045</v>
      </c>
      <c r="M339" s="731">
        <v>2050</v>
      </c>
      <c r="N339" s="20"/>
    </row>
    <row r="340" spans="4:14" ht="15" customHeight="1">
      <c r="D340" s="83"/>
      <c r="E340" s="30" t="s">
        <v>795</v>
      </c>
      <c r="F340" s="745">
        <v>0</v>
      </c>
      <c r="G340" s="745">
        <v>0</v>
      </c>
      <c r="H340" s="745">
        <v>0</v>
      </c>
      <c r="I340" s="745">
        <v>0</v>
      </c>
      <c r="J340" s="745">
        <v>0</v>
      </c>
      <c r="K340" s="745">
        <v>0</v>
      </c>
      <c r="L340" s="745">
        <v>0</v>
      </c>
      <c r="M340" s="745">
        <v>0</v>
      </c>
      <c r="N340" s="20"/>
    </row>
    <row r="341" spans="4:14" ht="15" customHeight="1">
      <c r="D341" s="83"/>
      <c r="E341" s="30" t="s">
        <v>791</v>
      </c>
      <c r="F341" s="745">
        <v>0</v>
      </c>
      <c r="G341" s="745">
        <v>0</v>
      </c>
      <c r="H341" s="745">
        <v>0</v>
      </c>
      <c r="I341" s="745">
        <v>0</v>
      </c>
      <c r="J341" s="745">
        <v>0</v>
      </c>
      <c r="K341" s="745">
        <v>0</v>
      </c>
      <c r="L341" s="745">
        <v>0</v>
      </c>
      <c r="M341" s="745">
        <v>0</v>
      </c>
      <c r="N341" s="20"/>
    </row>
    <row r="342" spans="4:14" ht="15" customHeight="1">
      <c r="D342" s="83"/>
      <c r="E342" s="30" t="s">
        <v>792</v>
      </c>
      <c r="F342" s="745">
        <v>0</v>
      </c>
      <c r="G342" s="745">
        <v>0</v>
      </c>
      <c r="H342" s="745">
        <v>0</v>
      </c>
      <c r="I342" s="745">
        <v>0</v>
      </c>
      <c r="J342" s="745">
        <v>0</v>
      </c>
      <c r="K342" s="745">
        <v>0</v>
      </c>
      <c r="L342" s="745">
        <v>0</v>
      </c>
      <c r="M342" s="745">
        <v>0</v>
      </c>
      <c r="N342" s="20"/>
    </row>
    <row r="343" spans="4:14" ht="15" customHeight="1">
      <c r="D343" s="83"/>
      <c r="E343" s="32" t="s">
        <v>793</v>
      </c>
      <c r="F343" s="746">
        <v>0</v>
      </c>
      <c r="G343" s="746">
        <v>0</v>
      </c>
      <c r="H343" s="746">
        <v>0</v>
      </c>
      <c r="I343" s="746">
        <v>0</v>
      </c>
      <c r="J343" s="746">
        <v>0</v>
      </c>
      <c r="K343" s="746">
        <v>0</v>
      </c>
      <c r="L343" s="746">
        <v>0</v>
      </c>
      <c r="M343" s="746">
        <v>0</v>
      </c>
      <c r="N343" s="20"/>
    </row>
    <row r="344" spans="4:14" ht="15" customHeight="1">
      <c r="D344" s="83"/>
      <c r="E344" s="84"/>
      <c r="F344" s="732"/>
      <c r="G344" s="732"/>
      <c r="H344" s="732"/>
      <c r="I344" s="732"/>
      <c r="J344" s="732"/>
      <c r="K344" s="732"/>
      <c r="L344" s="732"/>
      <c r="M344" s="732"/>
      <c r="N344" s="20"/>
    </row>
    <row r="345" spans="4:14" ht="15" customHeight="1">
      <c r="D345" s="83"/>
      <c r="E345" s="23" t="s">
        <v>1729</v>
      </c>
      <c r="F345" s="735"/>
      <c r="G345" s="735"/>
      <c r="H345" s="733"/>
      <c r="I345" s="734"/>
      <c r="J345" s="734"/>
      <c r="K345" s="734"/>
      <c r="L345" s="734"/>
      <c r="M345" s="734"/>
      <c r="N345" s="20"/>
    </row>
    <row r="346" spans="4:14" ht="15" customHeight="1">
      <c r="D346" s="83"/>
      <c r="E346" s="84"/>
      <c r="F346" s="732"/>
      <c r="G346" s="732"/>
      <c r="H346" s="732"/>
      <c r="I346" s="732"/>
      <c r="J346" s="732"/>
      <c r="K346" s="732"/>
      <c r="L346" s="732"/>
      <c r="M346" s="732"/>
      <c r="N346" s="20"/>
    </row>
    <row r="347" spans="4:14" ht="15" customHeight="1">
      <c r="D347" s="83"/>
      <c r="E347" s="26" t="s">
        <v>2138</v>
      </c>
      <c r="F347" s="727"/>
      <c r="G347" s="727"/>
      <c r="H347" s="727"/>
      <c r="I347" s="727"/>
      <c r="J347" s="727"/>
      <c r="K347" s="727"/>
      <c r="L347" s="727"/>
      <c r="M347" s="730" t="s">
        <v>9</v>
      </c>
      <c r="N347" s="20"/>
    </row>
    <row r="348" spans="4:14" ht="15" customHeight="1">
      <c r="D348" s="83"/>
      <c r="E348" s="28" t="s">
        <v>789</v>
      </c>
      <c r="F348" s="731">
        <v>2018</v>
      </c>
      <c r="G348" s="731">
        <v>2020</v>
      </c>
      <c r="H348" s="731">
        <v>2025</v>
      </c>
      <c r="I348" s="731">
        <v>2030</v>
      </c>
      <c r="J348" s="731">
        <v>2035</v>
      </c>
      <c r="K348" s="731">
        <v>2040</v>
      </c>
      <c r="L348" s="731">
        <v>2045</v>
      </c>
      <c r="M348" s="731">
        <v>2050</v>
      </c>
      <c r="N348" s="20"/>
    </row>
    <row r="349" spans="4:14" ht="15" customHeight="1">
      <c r="D349" s="83"/>
      <c r="E349" s="30" t="s">
        <v>795</v>
      </c>
      <c r="F349" s="745">
        <v>0</v>
      </c>
      <c r="G349" s="745">
        <v>0</v>
      </c>
      <c r="H349" s="745">
        <v>0</v>
      </c>
      <c r="I349" s="745">
        <v>0</v>
      </c>
      <c r="J349" s="745">
        <v>0</v>
      </c>
      <c r="K349" s="745">
        <v>0</v>
      </c>
      <c r="L349" s="745">
        <v>0</v>
      </c>
      <c r="M349" s="745">
        <v>0</v>
      </c>
      <c r="N349" s="20"/>
    </row>
    <row r="350" spans="4:14" ht="15" customHeight="1">
      <c r="D350" s="83"/>
      <c r="E350" s="30" t="s">
        <v>791</v>
      </c>
      <c r="F350" s="745">
        <v>0</v>
      </c>
      <c r="G350" s="745">
        <v>0</v>
      </c>
      <c r="H350" s="745">
        <v>0</v>
      </c>
      <c r="I350" s="745">
        <v>0</v>
      </c>
      <c r="J350" s="745">
        <v>0</v>
      </c>
      <c r="K350" s="745">
        <v>0</v>
      </c>
      <c r="L350" s="745">
        <v>0</v>
      </c>
      <c r="M350" s="745">
        <v>0</v>
      </c>
      <c r="N350" s="20"/>
    </row>
    <row r="351" spans="4:14" ht="15" customHeight="1">
      <c r="D351" s="83"/>
      <c r="E351" s="30" t="s">
        <v>792</v>
      </c>
      <c r="F351" s="745">
        <v>0</v>
      </c>
      <c r="G351" s="745">
        <v>0</v>
      </c>
      <c r="H351" s="745">
        <v>0</v>
      </c>
      <c r="I351" s="745">
        <v>0</v>
      </c>
      <c r="J351" s="745">
        <v>0</v>
      </c>
      <c r="K351" s="745">
        <v>0</v>
      </c>
      <c r="L351" s="745">
        <v>0</v>
      </c>
      <c r="M351" s="745">
        <v>0</v>
      </c>
      <c r="N351" s="20"/>
    </row>
    <row r="352" spans="4:14" ht="15" customHeight="1">
      <c r="D352" s="83"/>
      <c r="E352" s="32" t="s">
        <v>793</v>
      </c>
      <c r="F352" s="746">
        <v>0</v>
      </c>
      <c r="G352" s="746">
        <v>0</v>
      </c>
      <c r="H352" s="746">
        <v>0</v>
      </c>
      <c r="I352" s="746">
        <v>0</v>
      </c>
      <c r="J352" s="746">
        <v>0</v>
      </c>
      <c r="K352" s="746">
        <v>0</v>
      </c>
      <c r="L352" s="746">
        <v>0</v>
      </c>
      <c r="M352" s="746">
        <v>0</v>
      </c>
      <c r="N352" s="33"/>
    </row>
    <row r="353" spans="4:14" ht="15" customHeight="1">
      <c r="D353" s="83"/>
      <c r="E353" s="30"/>
      <c r="F353" s="735"/>
      <c r="G353" s="733"/>
      <c r="H353" s="740"/>
      <c r="I353" s="740"/>
      <c r="J353" s="740"/>
      <c r="K353" s="740"/>
      <c r="L353" s="740"/>
      <c r="M353" s="740"/>
      <c r="N353" s="88"/>
    </row>
    <row r="354" spans="4:14" ht="15" customHeight="1">
      <c r="D354" s="83"/>
      <c r="E354" s="23" t="s">
        <v>1730</v>
      </c>
      <c r="F354" s="735"/>
      <c r="G354" s="735"/>
      <c r="H354" s="733"/>
      <c r="I354" s="734"/>
      <c r="J354" s="734"/>
      <c r="K354" s="734"/>
      <c r="L354" s="734"/>
      <c r="M354" s="734"/>
      <c r="N354" s="88"/>
    </row>
    <row r="355" spans="4:14" ht="15" customHeight="1">
      <c r="D355" s="83"/>
      <c r="E355" s="84"/>
      <c r="F355" s="732"/>
      <c r="G355" s="732"/>
      <c r="H355" s="732"/>
      <c r="I355" s="732"/>
      <c r="J355" s="732"/>
      <c r="K355" s="732"/>
      <c r="L355" s="732"/>
      <c r="M355" s="732"/>
      <c r="N355" s="88"/>
    </row>
    <row r="356" spans="4:14" ht="15" customHeight="1">
      <c r="D356" s="83"/>
      <c r="E356" s="26" t="s">
        <v>2138</v>
      </c>
      <c r="F356" s="727"/>
      <c r="G356" s="727"/>
      <c r="H356" s="727"/>
      <c r="I356" s="727"/>
      <c r="J356" s="727"/>
      <c r="K356" s="727"/>
      <c r="L356" s="727"/>
      <c r="M356" s="730" t="s">
        <v>9</v>
      </c>
      <c r="N356" s="88"/>
    </row>
    <row r="357" spans="4:14" ht="15" customHeight="1">
      <c r="D357" s="83"/>
      <c r="E357" s="28" t="s">
        <v>789</v>
      </c>
      <c r="F357" s="731">
        <v>2018</v>
      </c>
      <c r="G357" s="731">
        <v>2020</v>
      </c>
      <c r="H357" s="731">
        <v>2025</v>
      </c>
      <c r="I357" s="731">
        <v>2030</v>
      </c>
      <c r="J357" s="731">
        <v>2035</v>
      </c>
      <c r="K357" s="731">
        <v>2040</v>
      </c>
      <c r="L357" s="731">
        <v>2045</v>
      </c>
      <c r="M357" s="731">
        <v>2050</v>
      </c>
      <c r="N357" s="36"/>
    </row>
    <row r="358" spans="4:14" ht="15" customHeight="1">
      <c r="D358" s="83"/>
      <c r="E358" s="30" t="s">
        <v>795</v>
      </c>
      <c r="F358" s="745">
        <v>0</v>
      </c>
      <c r="G358" s="745">
        <v>0</v>
      </c>
      <c r="H358" s="745">
        <v>0</v>
      </c>
      <c r="I358" s="745">
        <v>0</v>
      </c>
      <c r="J358" s="745">
        <v>0</v>
      </c>
      <c r="K358" s="745">
        <v>0</v>
      </c>
      <c r="L358" s="745">
        <v>0</v>
      </c>
      <c r="M358" s="745">
        <v>0</v>
      </c>
      <c r="N358" s="20"/>
    </row>
    <row r="359" spans="4:14" ht="15" customHeight="1">
      <c r="D359" s="83"/>
      <c r="E359" s="30" t="s">
        <v>791</v>
      </c>
      <c r="F359" s="745">
        <v>0</v>
      </c>
      <c r="G359" s="745">
        <v>0</v>
      </c>
      <c r="H359" s="745">
        <v>0</v>
      </c>
      <c r="I359" s="745">
        <v>0</v>
      </c>
      <c r="J359" s="745">
        <v>0</v>
      </c>
      <c r="K359" s="745">
        <v>0</v>
      </c>
      <c r="L359" s="745">
        <v>0</v>
      </c>
      <c r="M359" s="745">
        <v>0</v>
      </c>
      <c r="N359" s="33"/>
    </row>
    <row r="360" spans="4:14" ht="15" customHeight="1">
      <c r="D360" s="83"/>
      <c r="E360" s="30" t="s">
        <v>792</v>
      </c>
      <c r="F360" s="745">
        <v>0</v>
      </c>
      <c r="G360" s="745">
        <v>0</v>
      </c>
      <c r="H360" s="745">
        <v>0</v>
      </c>
      <c r="I360" s="745">
        <v>0</v>
      </c>
      <c r="J360" s="745">
        <v>0</v>
      </c>
      <c r="K360" s="745">
        <v>0</v>
      </c>
      <c r="L360" s="745">
        <v>0</v>
      </c>
      <c r="M360" s="745">
        <v>0</v>
      </c>
      <c r="N360" s="88"/>
    </row>
    <row r="361" spans="4:14" ht="15" customHeight="1">
      <c r="D361" s="83"/>
      <c r="E361" s="32" t="s">
        <v>793</v>
      </c>
      <c r="F361" s="746">
        <v>0</v>
      </c>
      <c r="G361" s="746">
        <v>0</v>
      </c>
      <c r="H361" s="746">
        <v>0</v>
      </c>
      <c r="I361" s="746">
        <v>0</v>
      </c>
      <c r="J361" s="746">
        <v>0</v>
      </c>
      <c r="K361" s="746">
        <v>0</v>
      </c>
      <c r="L361" s="746">
        <v>0</v>
      </c>
      <c r="M361" s="746">
        <v>0</v>
      </c>
      <c r="N361" s="88"/>
    </row>
    <row r="362" spans="4:14" ht="15" customHeight="1">
      <c r="D362" s="83"/>
      <c r="E362" s="84"/>
      <c r="F362" s="732"/>
      <c r="G362" s="732"/>
      <c r="H362" s="732"/>
      <c r="I362" s="732"/>
      <c r="J362" s="732"/>
      <c r="K362" s="732"/>
      <c r="L362" s="732"/>
      <c r="M362" s="732"/>
      <c r="N362" s="88"/>
    </row>
    <row r="363" spans="4:14" ht="15" customHeight="1">
      <c r="D363" s="83"/>
      <c r="E363" s="23" t="s">
        <v>1731</v>
      </c>
      <c r="F363" s="735"/>
      <c r="G363" s="735"/>
      <c r="H363" s="733"/>
      <c r="I363" s="734"/>
      <c r="J363" s="734"/>
      <c r="K363" s="734"/>
      <c r="L363" s="734"/>
      <c r="M363" s="734"/>
      <c r="N363" s="88"/>
    </row>
    <row r="364" spans="4:14" ht="15" customHeight="1">
      <c r="D364" s="83"/>
      <c r="E364" s="84"/>
      <c r="F364" s="732"/>
      <c r="G364" s="732"/>
      <c r="H364" s="732"/>
      <c r="I364" s="732"/>
      <c r="J364" s="732"/>
      <c r="K364" s="732"/>
      <c r="L364" s="732"/>
      <c r="M364" s="732"/>
      <c r="N364" s="36"/>
    </row>
    <row r="365" spans="4:14" ht="15" customHeight="1">
      <c r="D365" s="83"/>
      <c r="E365" s="26" t="s">
        <v>2138</v>
      </c>
      <c r="F365" s="727"/>
      <c r="G365" s="727"/>
      <c r="H365" s="727"/>
      <c r="I365" s="727"/>
      <c r="J365" s="727"/>
      <c r="K365" s="727"/>
      <c r="L365" s="727"/>
      <c r="M365" s="730" t="s">
        <v>9</v>
      </c>
      <c r="N365" s="20"/>
    </row>
    <row r="366" spans="4:14" ht="15" customHeight="1">
      <c r="D366" s="83"/>
      <c r="E366" s="28" t="s">
        <v>789</v>
      </c>
      <c r="F366" s="731">
        <v>2018</v>
      </c>
      <c r="G366" s="731">
        <v>2020</v>
      </c>
      <c r="H366" s="731">
        <v>2025</v>
      </c>
      <c r="I366" s="731">
        <v>2030</v>
      </c>
      <c r="J366" s="731">
        <v>2035</v>
      </c>
      <c r="K366" s="731">
        <v>2040</v>
      </c>
      <c r="L366" s="731">
        <v>2045</v>
      </c>
      <c r="M366" s="731">
        <v>2050</v>
      </c>
      <c r="N366" s="33"/>
    </row>
    <row r="367" spans="4:14" ht="15" customHeight="1">
      <c r="D367" s="83"/>
      <c r="E367" s="30" t="s">
        <v>795</v>
      </c>
      <c r="F367" s="745">
        <v>0</v>
      </c>
      <c r="G367" s="745">
        <v>0</v>
      </c>
      <c r="H367" s="745">
        <v>0</v>
      </c>
      <c r="I367" s="745">
        <v>0</v>
      </c>
      <c r="J367" s="745">
        <v>0</v>
      </c>
      <c r="K367" s="745">
        <v>0</v>
      </c>
      <c r="L367" s="745">
        <v>0</v>
      </c>
      <c r="M367" s="745">
        <v>0</v>
      </c>
      <c r="N367" s="88"/>
    </row>
    <row r="368" spans="4:14" ht="15" customHeight="1">
      <c r="D368" s="83"/>
      <c r="E368" s="30" t="s">
        <v>791</v>
      </c>
      <c r="F368" s="745">
        <v>0</v>
      </c>
      <c r="G368" s="745">
        <v>0</v>
      </c>
      <c r="H368" s="745">
        <v>0</v>
      </c>
      <c r="I368" s="745">
        <v>0</v>
      </c>
      <c r="J368" s="745">
        <v>0</v>
      </c>
      <c r="K368" s="745">
        <v>0</v>
      </c>
      <c r="L368" s="745">
        <v>0</v>
      </c>
      <c r="M368" s="745">
        <v>0</v>
      </c>
      <c r="N368" s="88"/>
    </row>
    <row r="369" spans="4:16" ht="15" customHeight="1">
      <c r="D369" s="83"/>
      <c r="E369" s="30" t="s">
        <v>792</v>
      </c>
      <c r="F369" s="745">
        <v>0</v>
      </c>
      <c r="G369" s="745">
        <v>0</v>
      </c>
      <c r="H369" s="745">
        <v>0</v>
      </c>
      <c r="I369" s="745">
        <v>0</v>
      </c>
      <c r="J369" s="745">
        <v>0</v>
      </c>
      <c r="K369" s="745">
        <v>0</v>
      </c>
      <c r="L369" s="745">
        <v>0</v>
      </c>
      <c r="M369" s="745">
        <v>0</v>
      </c>
      <c r="N369" s="88"/>
    </row>
    <row r="370" spans="4:16" ht="15" customHeight="1">
      <c r="D370" s="83"/>
      <c r="E370" s="32" t="s">
        <v>793</v>
      </c>
      <c r="F370" s="746">
        <v>0</v>
      </c>
      <c r="G370" s="746">
        <v>0</v>
      </c>
      <c r="H370" s="746">
        <v>0</v>
      </c>
      <c r="I370" s="746">
        <v>0</v>
      </c>
      <c r="J370" s="746">
        <v>0</v>
      </c>
      <c r="K370" s="746">
        <v>0</v>
      </c>
      <c r="L370" s="746">
        <v>0</v>
      </c>
      <c r="M370" s="746">
        <v>0</v>
      </c>
      <c r="N370" s="88"/>
    </row>
    <row r="371" spans="4:16" ht="15" customHeight="1">
      <c r="D371" s="83"/>
      <c r="E371" s="30"/>
      <c r="F371" s="1384"/>
      <c r="G371" s="1384"/>
      <c r="H371" s="1384"/>
      <c r="I371" s="1384"/>
      <c r="J371" s="1384"/>
      <c r="K371" s="1384"/>
      <c r="L371" s="1384"/>
      <c r="M371" s="1384"/>
      <c r="N371" s="88"/>
    </row>
    <row r="372" spans="4:16" ht="15" customHeight="1">
      <c r="D372" s="83"/>
      <c r="E372" s="940" t="s">
        <v>141</v>
      </c>
      <c r="F372" s="748"/>
      <c r="G372" s="748"/>
      <c r="H372" s="748"/>
      <c r="I372" s="748"/>
      <c r="J372" s="748"/>
      <c r="K372" s="748"/>
      <c r="L372" s="748"/>
      <c r="M372" s="748"/>
      <c r="N372" s="88"/>
    </row>
    <row r="373" spans="4:16" ht="15" customHeight="1">
      <c r="D373" s="83"/>
      <c r="E373" s="84"/>
      <c r="F373" s="84"/>
      <c r="G373" s="84"/>
      <c r="H373" s="84"/>
      <c r="I373" s="84"/>
      <c r="J373" s="84"/>
      <c r="K373" s="84"/>
      <c r="L373" s="84"/>
      <c r="M373" s="84"/>
      <c r="N373" s="84"/>
    </row>
    <row r="374" spans="4:16" ht="15" customHeight="1">
      <c r="D374" s="83"/>
      <c r="E374" s="35" t="s">
        <v>2143</v>
      </c>
      <c r="F374" s="745"/>
      <c r="G374" s="745"/>
      <c r="H374" s="745"/>
      <c r="I374" s="745"/>
      <c r="J374" s="745"/>
      <c r="K374" s="745"/>
      <c r="L374" s="745"/>
      <c r="M374" s="730" t="s">
        <v>2144</v>
      </c>
      <c r="N374" s="88"/>
    </row>
    <row r="375" spans="4:16" ht="15" customHeight="1">
      <c r="D375" s="83"/>
      <c r="E375" s="28" t="s">
        <v>2145</v>
      </c>
      <c r="F375" s="731">
        <v>2018</v>
      </c>
      <c r="G375" s="731">
        <v>2020</v>
      </c>
      <c r="H375" s="731">
        <v>2025</v>
      </c>
      <c r="I375" s="731">
        <v>2030</v>
      </c>
      <c r="J375" s="731">
        <v>2035</v>
      </c>
      <c r="K375" s="731">
        <v>2040</v>
      </c>
      <c r="L375" s="731">
        <v>2045</v>
      </c>
      <c r="M375" s="731">
        <v>2050</v>
      </c>
      <c r="N375" s="88"/>
    </row>
    <row r="376" spans="4:16" ht="15" customHeight="1">
      <c r="D376" s="83"/>
      <c r="E376" s="90">
        <v>1</v>
      </c>
      <c r="F376" s="1578">
        <v>0</v>
      </c>
      <c r="G376" s="1578">
        <v>8.7882651396536927E-9</v>
      </c>
      <c r="H376" s="1578">
        <v>3.8570999925499503E-8</v>
      </c>
      <c r="I376" s="1578">
        <v>7.8729989316349776E-8</v>
      </c>
      <c r="J376" s="1578">
        <v>1.2886985028548817E-7</v>
      </c>
      <c r="K376" s="1578">
        <v>1.9170023816729146E-7</v>
      </c>
      <c r="L376" s="1578">
        <v>2.6553039951584231E-7</v>
      </c>
      <c r="M376" s="1578">
        <v>3.4813038507133233E-5</v>
      </c>
      <c r="N376" s="88"/>
    </row>
    <row r="377" spans="4:16" ht="15" customHeight="1">
      <c r="D377" s="83"/>
      <c r="E377" s="90">
        <v>2</v>
      </c>
      <c r="F377" s="1578">
        <v>0</v>
      </c>
      <c r="G377" s="1578">
        <v>1.464710856608949E-8</v>
      </c>
      <c r="H377" s="1578">
        <v>6.4284999875832521E-6</v>
      </c>
      <c r="I377" s="1578">
        <v>1.31216648860583E-5</v>
      </c>
      <c r="J377" s="1578">
        <v>2.1478308380914697E-5</v>
      </c>
      <c r="K377" s="1578">
        <v>3.1950039694548583E-5</v>
      </c>
      <c r="L377" s="1578">
        <v>4.4255066585973723E-5</v>
      </c>
      <c r="M377" s="1578">
        <v>5.8021730845222054E-5</v>
      </c>
      <c r="N377" s="88"/>
      <c r="P377" s="1646"/>
    </row>
    <row r="378" spans="4:16" ht="15" customHeight="1">
      <c r="D378" s="83"/>
      <c r="E378" s="90">
        <v>3</v>
      </c>
      <c r="F378" s="1578">
        <v>0</v>
      </c>
      <c r="G378" s="1578">
        <v>2.3435373705743184E-8</v>
      </c>
      <c r="H378" s="1578">
        <v>1.0285599980133203E-7</v>
      </c>
      <c r="I378" s="1578">
        <v>2.0994663817693272E-7</v>
      </c>
      <c r="J378" s="1578">
        <v>3.4365293409463517E-7</v>
      </c>
      <c r="K378" s="1578">
        <v>5.112006351127773E-7</v>
      </c>
      <c r="L378" s="1578">
        <v>7.0808106537557957E-7</v>
      </c>
      <c r="M378" s="1578">
        <v>9.2834769352355287E-5</v>
      </c>
      <c r="N378" s="88"/>
    </row>
    <row r="379" spans="4:16" ht="15" customHeight="1">
      <c r="D379" s="83"/>
      <c r="E379" s="91">
        <v>4</v>
      </c>
      <c r="F379" s="1579">
        <v>0</v>
      </c>
      <c r="G379" s="1579">
        <v>4.3941325698268469E-8</v>
      </c>
      <c r="H379" s="1579">
        <v>1.9285499962749755E-5</v>
      </c>
      <c r="I379" s="1579">
        <v>3.936499465817488E-5</v>
      </c>
      <c r="J379" s="1579">
        <v>6.4434925142744083E-5</v>
      </c>
      <c r="K379" s="1579">
        <v>9.5850119083645748E-5</v>
      </c>
      <c r="L379" s="1579">
        <v>1.3276519975792114E-4</v>
      </c>
      <c r="M379" s="1579">
        <v>1.7406519253566617E-4</v>
      </c>
      <c r="N379" s="88"/>
    </row>
    <row r="380" spans="4:16" ht="15" customHeight="1">
      <c r="D380" s="83"/>
      <c r="E380" s="30"/>
      <c r="F380" s="745"/>
      <c r="G380" s="745"/>
      <c r="H380" s="745"/>
      <c r="I380" s="745"/>
      <c r="J380" s="745"/>
      <c r="K380" s="745"/>
      <c r="L380" s="745"/>
      <c r="M380" s="745"/>
      <c r="N380" s="1420"/>
    </row>
    <row r="382" spans="4:16" ht="15" customHeight="1">
      <c r="D382" s="335" t="s">
        <v>996</v>
      </c>
      <c r="E382" s="1421"/>
      <c r="F382" s="1422"/>
      <c r="G382" s="1422"/>
      <c r="H382" s="1422"/>
      <c r="I382" s="1422"/>
      <c r="J382" s="1422"/>
      <c r="K382" s="1422"/>
      <c r="L382" s="1422"/>
      <c r="M382" s="1422"/>
      <c r="N382" s="1421"/>
    </row>
    <row r="383" spans="4:16" ht="15" customHeight="1">
      <c r="D383" s="83"/>
      <c r="E383" s="84"/>
      <c r="F383" s="732"/>
      <c r="G383" s="732"/>
      <c r="H383" s="732"/>
      <c r="I383" s="732"/>
      <c r="J383" s="732"/>
      <c r="K383" s="732"/>
      <c r="L383" s="732"/>
      <c r="M383" s="732"/>
      <c r="N383" s="84"/>
    </row>
    <row r="384" spans="4:16" ht="15" customHeight="1">
      <c r="D384" s="83"/>
      <c r="E384" s="93" t="s">
        <v>2146</v>
      </c>
      <c r="F384" s="748"/>
      <c r="G384" s="748"/>
      <c r="H384" s="748"/>
      <c r="I384" s="748"/>
      <c r="J384" s="748"/>
      <c r="K384" s="748"/>
      <c r="L384" s="748"/>
      <c r="M384" s="748"/>
      <c r="N384" s="22"/>
    </row>
    <row r="385" spans="4:23" ht="15" customHeight="1">
      <c r="D385" s="83"/>
      <c r="E385" s="84"/>
      <c r="F385" s="732"/>
      <c r="G385" s="732"/>
      <c r="H385" s="732"/>
      <c r="I385" s="732"/>
      <c r="J385" s="732"/>
      <c r="K385" s="732"/>
      <c r="L385" s="732"/>
      <c r="M385" s="732"/>
      <c r="N385" s="84"/>
    </row>
    <row r="386" spans="4:23" ht="15" customHeight="1">
      <c r="D386" s="83"/>
      <c r="E386" s="26" t="s">
        <v>2138</v>
      </c>
      <c r="F386" s="727"/>
      <c r="G386" s="727"/>
      <c r="H386" s="727"/>
      <c r="I386" s="727"/>
      <c r="J386" s="727"/>
      <c r="K386" s="727"/>
      <c r="L386" s="727"/>
      <c r="M386" s="730" t="s">
        <v>9</v>
      </c>
      <c r="N386" s="84"/>
      <c r="W386" s="70" t="s">
        <v>2147</v>
      </c>
    </row>
    <row r="387" spans="4:23" ht="15" customHeight="1">
      <c r="D387" s="83"/>
      <c r="E387" s="28" t="s">
        <v>789</v>
      </c>
      <c r="F387" s="731">
        <v>2018</v>
      </c>
      <c r="G387" s="731">
        <v>2020</v>
      </c>
      <c r="H387" s="731">
        <v>2025</v>
      </c>
      <c r="I387" s="731">
        <v>2030</v>
      </c>
      <c r="J387" s="731">
        <v>2035</v>
      </c>
      <c r="K387" s="731">
        <v>2040</v>
      </c>
      <c r="L387" s="731">
        <v>2045</v>
      </c>
      <c r="M387" s="731">
        <v>2050</v>
      </c>
      <c r="N387" s="84"/>
      <c r="P387" s="1636">
        <v>2015</v>
      </c>
      <c r="Q387" s="1637">
        <v>2020</v>
      </c>
      <c r="R387" s="1637">
        <v>2025</v>
      </c>
      <c r="S387" s="1637">
        <v>2030</v>
      </c>
      <c r="T387" s="1637">
        <v>2035</v>
      </c>
      <c r="U387" s="1637">
        <v>2040</v>
      </c>
      <c r="V387" s="1637">
        <v>2045</v>
      </c>
      <c r="W387" s="1638">
        <v>2050</v>
      </c>
    </row>
    <row r="388" spans="4:23" ht="15" customHeight="1">
      <c r="D388" s="83"/>
      <c r="E388" s="30" t="s">
        <v>795</v>
      </c>
      <c r="F388" s="745" cm="1">
        <f t="array" ref="F388:M388">P388:W388*12*GEN_HOGARES*INDEX(GEN_PORCENTAJE_HOGARES_POR_ZONA_CLIMATICA,FRIO,0)</f>
        <v>1.6096275489469969</v>
      </c>
      <c r="G388" s="3654">
        <v>1.829915457205241</v>
      </c>
      <c r="H388" s="3654">
        <v>2.2911104893275471</v>
      </c>
      <c r="I388" s="3654">
        <v>2.7086516634799538</v>
      </c>
      <c r="J388" s="3654">
        <v>3.0784507011070628</v>
      </c>
      <c r="K388" s="3654">
        <v>3.4388350078522696</v>
      </c>
      <c r="L388" s="3654">
        <v>3.8004986510604417</v>
      </c>
      <c r="M388" s="3654">
        <v>4.1655606861084618</v>
      </c>
      <c r="N388" s="84"/>
      <c r="O388" s="1628" t="s">
        <v>795</v>
      </c>
      <c r="P388" s="1628">
        <v>2.0318869880000001E-7</v>
      </c>
      <c r="Q388" s="1628">
        <v>2.0318869880000001E-7</v>
      </c>
      <c r="R388" s="1628">
        <v>2.0318869880000001E-7</v>
      </c>
      <c r="S388" s="1628">
        <v>2.0318869880000001E-7</v>
      </c>
      <c r="T388" s="1628">
        <v>2.0318869880000001E-7</v>
      </c>
      <c r="U388" s="1628">
        <v>2.0318869880000001E-7</v>
      </c>
      <c r="V388" s="1628">
        <v>2.0318869880000001E-7</v>
      </c>
      <c r="W388" s="1628">
        <v>2.0318869880000001E-7</v>
      </c>
    </row>
    <row r="389" spans="4:23" ht="15" customHeight="1">
      <c r="D389" s="83"/>
      <c r="E389" s="30" t="s">
        <v>791</v>
      </c>
      <c r="F389" s="745" cm="1">
        <f t="array" ref="F389:M389">P389:W389*12*GEN_HOGARES*INDEX(GEN_PORCENTAJE_HOGARES_POR_ZONA_CLIMATICA,TEMPLADO,0)</f>
        <v>0.46638493715074703</v>
      </c>
      <c r="G389" s="3654">
        <v>0.5302127228489365</v>
      </c>
      <c r="H389" s="3654">
        <v>0.66384265246297125</v>
      </c>
      <c r="I389" s="3654">
        <v>0.78482400270906572</v>
      </c>
      <c r="J389" s="3654">
        <v>0.89197220667398514</v>
      </c>
      <c r="K389" s="3654">
        <v>0.99639251953545038</v>
      </c>
      <c r="L389" s="3654">
        <v>1.1011835164450763</v>
      </c>
      <c r="M389" s="3654">
        <v>1.2069591875830217</v>
      </c>
      <c r="N389" s="84"/>
      <c r="O389" s="1628" t="s">
        <v>791</v>
      </c>
      <c r="P389" s="1628">
        <v>1.677862328E-7</v>
      </c>
      <c r="Q389" s="1628">
        <v>1.677862328E-7</v>
      </c>
      <c r="R389" s="1628">
        <v>1.677862328E-7</v>
      </c>
      <c r="S389" s="1628">
        <v>1.677862328E-7</v>
      </c>
      <c r="T389" s="1628">
        <v>1.677862328E-7</v>
      </c>
      <c r="U389" s="1628">
        <v>1.677862328E-7</v>
      </c>
      <c r="V389" s="1628">
        <v>1.677862328E-7</v>
      </c>
      <c r="W389" s="1628">
        <v>1.677862328E-7</v>
      </c>
    </row>
    <row r="390" spans="4:23" ht="15" customHeight="1">
      <c r="D390" s="83"/>
      <c r="E390" s="30" t="s">
        <v>792</v>
      </c>
      <c r="F390" s="745" cm="1">
        <f t="array" ref="F390:M390">P390:W390*12*GEN_HOGARES*INDEX(GEN_PORCENTAJE_HOGARES_POR_ZONA_CLIMATICA,CALIDO_SECO,0)</f>
        <v>7.8434150549376011E-2</v>
      </c>
      <c r="G390" s="3654">
        <v>8.9168369761663605E-2</v>
      </c>
      <c r="H390" s="3654">
        <v>0.11164154413406396</v>
      </c>
      <c r="I390" s="3654">
        <v>0.13198754736658661</v>
      </c>
      <c r="J390" s="3654">
        <v>0.1500071652646735</v>
      </c>
      <c r="K390" s="3654">
        <v>0.16756802087339967</v>
      </c>
      <c r="L390" s="3654">
        <v>0.18519121616362871</v>
      </c>
      <c r="M390" s="3654">
        <v>0.2029800087545294</v>
      </c>
      <c r="N390" s="84"/>
      <c r="O390" s="1628" t="s">
        <v>792</v>
      </c>
      <c r="P390" s="1628">
        <v>1.6564062880000001E-7</v>
      </c>
      <c r="Q390" s="1628">
        <v>1.6564062880000001E-7</v>
      </c>
      <c r="R390" s="1628">
        <v>1.6564062880000001E-7</v>
      </c>
      <c r="S390" s="1628">
        <v>1.6564062880000001E-7</v>
      </c>
      <c r="T390" s="1628">
        <v>1.6564062880000001E-7</v>
      </c>
      <c r="U390" s="1628">
        <v>1.6564062880000001E-7</v>
      </c>
      <c r="V390" s="1628">
        <v>1.6564062880000001E-7</v>
      </c>
      <c r="W390" s="1628">
        <v>1.6564062880000001E-7</v>
      </c>
    </row>
    <row r="391" spans="4:23" ht="15" customHeight="1">
      <c r="D391" s="83"/>
      <c r="E391" s="32" t="s">
        <v>793</v>
      </c>
      <c r="F391" s="746" cm="1">
        <f t="array" ref="F391:M391">P391:W391*12*GEN_HOGARES*INDEX(GEN_PORCENTAJE_HOGARES_POR_ZONA_CLIMATICA,CALIDO_HUMEDO,0)</f>
        <v>9.2884639005888003E-2</v>
      </c>
      <c r="G391" s="3655">
        <v>0.10559650073397212</v>
      </c>
      <c r="H391" s="3655">
        <v>0.13221006987797285</v>
      </c>
      <c r="I391" s="3655">
        <v>0.15630456382262017</v>
      </c>
      <c r="J391" s="3655">
        <v>0.17764406570750615</v>
      </c>
      <c r="K391" s="3655">
        <v>0.19844028422235088</v>
      </c>
      <c r="L391" s="3655">
        <v>0.21931032770720651</v>
      </c>
      <c r="M391" s="3655">
        <v>0.2403764776761064</v>
      </c>
      <c r="N391" s="84"/>
      <c r="O391" s="1628" t="s">
        <v>793</v>
      </c>
      <c r="P391" s="1628">
        <v>1.6564062880000001E-7</v>
      </c>
      <c r="Q391" s="1628">
        <v>1.6564062880000001E-7</v>
      </c>
      <c r="R391" s="1628">
        <v>1.6564062880000001E-7</v>
      </c>
      <c r="S391" s="1628">
        <v>1.6564062880000001E-7</v>
      </c>
      <c r="T391" s="1628">
        <v>1.6564062880000001E-7</v>
      </c>
      <c r="U391" s="1628">
        <v>1.6564062880000001E-7</v>
      </c>
      <c r="V391" s="1628">
        <v>1.6564062880000001E-7</v>
      </c>
      <c r="W391" s="1628">
        <v>1.6564062880000001E-7</v>
      </c>
    </row>
    <row r="392" spans="4:23" ht="15" customHeight="1">
      <c r="D392" s="83"/>
      <c r="E392" s="84"/>
      <c r="F392" s="732"/>
      <c r="G392" s="732"/>
      <c r="H392" s="732"/>
      <c r="I392" s="732"/>
      <c r="J392" s="732"/>
      <c r="K392" s="732"/>
      <c r="L392" s="732"/>
      <c r="M392" s="732"/>
      <c r="N392" s="84"/>
    </row>
    <row r="393" spans="4:23" ht="15" customHeight="1">
      <c r="D393" s="83"/>
      <c r="E393" s="26" t="s">
        <v>2148</v>
      </c>
      <c r="F393" s="727"/>
      <c r="G393" s="727"/>
      <c r="H393" s="727"/>
      <c r="I393" s="727"/>
      <c r="J393" s="727"/>
      <c r="K393" s="727"/>
      <c r="L393" s="727"/>
      <c r="M393" s="730" t="s">
        <v>9</v>
      </c>
      <c r="N393" s="84"/>
      <c r="W393" s="70" t="s">
        <v>2147</v>
      </c>
    </row>
    <row r="394" spans="4:23" ht="15" customHeight="1">
      <c r="D394" s="83"/>
      <c r="E394" s="28" t="s">
        <v>789</v>
      </c>
      <c r="F394" s="731">
        <v>2018</v>
      </c>
      <c r="G394" s="731">
        <v>2020</v>
      </c>
      <c r="H394" s="731">
        <v>2025</v>
      </c>
      <c r="I394" s="731">
        <v>2030</v>
      </c>
      <c r="J394" s="731">
        <v>2035</v>
      </c>
      <c r="K394" s="731">
        <v>2040</v>
      </c>
      <c r="L394" s="731">
        <v>2045</v>
      </c>
      <c r="M394" s="731">
        <v>2050</v>
      </c>
      <c r="N394" s="84"/>
      <c r="P394" s="1636">
        <v>2015</v>
      </c>
      <c r="Q394" s="1637">
        <v>2020</v>
      </c>
      <c r="R394" s="1637">
        <v>2025</v>
      </c>
      <c r="S394" s="1637">
        <v>2030</v>
      </c>
      <c r="T394" s="1637">
        <v>2035</v>
      </c>
      <c r="U394" s="1637">
        <v>2040</v>
      </c>
      <c r="V394" s="1637">
        <v>2045</v>
      </c>
      <c r="W394" s="1638">
        <v>2050</v>
      </c>
    </row>
    <row r="395" spans="4:23" ht="15" customHeight="1">
      <c r="D395" s="83"/>
      <c r="E395" s="30" t="s">
        <v>795</v>
      </c>
      <c r="F395" s="745" cm="1">
        <f t="array" ref="F395:M395">P395:W395*12*GEN_HOGARES*INDEX(GEN_PORCENTAJE_HOGARES_POR_ZONA_CLIMATICA,FRIO,0)</f>
        <v>0.19804590000000005</v>
      </c>
      <c r="G395" s="3654">
        <v>0.2251497583296253</v>
      </c>
      <c r="H395" s="3654">
        <v>0.28189442902810047</v>
      </c>
      <c r="I395" s="3654">
        <v>0.33326800155186015</v>
      </c>
      <c r="J395" s="3654">
        <v>0.37876746089815788</v>
      </c>
      <c r="K395" s="3654">
        <v>0.42310854739479614</v>
      </c>
      <c r="L395" s="3654">
        <v>0.4676070413248351</v>
      </c>
      <c r="M395" s="3654">
        <v>0.51252366774205438</v>
      </c>
      <c r="N395" s="84"/>
      <c r="O395" s="1628" t="s">
        <v>795</v>
      </c>
      <c r="P395" s="1628">
        <v>2.5000000000000002E-8</v>
      </c>
      <c r="Q395" s="1628">
        <v>2.5000000000000002E-8</v>
      </c>
      <c r="R395" s="1628">
        <v>2.5000000000000002E-8</v>
      </c>
      <c r="S395" s="1628">
        <v>2.5000000000000002E-8</v>
      </c>
      <c r="T395" s="1628">
        <v>2.5000000000000002E-8</v>
      </c>
      <c r="U395" s="1628">
        <v>2.5000000000000002E-8</v>
      </c>
      <c r="V395" s="1628">
        <v>2.5000000000000002E-8</v>
      </c>
      <c r="W395" s="1628">
        <v>2.5000000000000002E-8</v>
      </c>
    </row>
    <row r="396" spans="4:23" ht="15" customHeight="1">
      <c r="D396" s="83"/>
      <c r="E396" s="30" t="s">
        <v>791</v>
      </c>
      <c r="F396" s="745" cm="1">
        <f t="array" ref="F396:M396">P396:W396*12*GEN_HOGARES*INDEX(GEN_PORCENTAJE_HOGARES_POR_ZONA_CLIMATICA,TEMPLADO,0)</f>
        <v>6.8448290655104882E-2</v>
      </c>
      <c r="G396" s="3654">
        <v>7.7815880556339784E-2</v>
      </c>
      <c r="H396" s="3654">
        <v>9.7427878144259752E-2</v>
      </c>
      <c r="I396" s="3654">
        <v>0.11518352582036621</v>
      </c>
      <c r="J396" s="3654">
        <v>0.13090897238596294</v>
      </c>
      <c r="K396" s="3654">
        <v>0.14623406407675299</v>
      </c>
      <c r="L396" s="3654">
        <v>0.16161355865976496</v>
      </c>
      <c r="M396" s="3654">
        <v>0.17713756748929685</v>
      </c>
      <c r="N396" s="84"/>
      <c r="O396" s="1628" t="s">
        <v>791</v>
      </c>
      <c r="P396" s="1628">
        <v>2.4624896551724099E-8</v>
      </c>
      <c r="Q396" s="1628">
        <v>2.4624896551724099E-8</v>
      </c>
      <c r="R396" s="1628">
        <v>2.4624896551724099E-8</v>
      </c>
      <c r="S396" s="1628">
        <v>2.4624896551724099E-8</v>
      </c>
      <c r="T396" s="1628">
        <v>2.4624896551724099E-8</v>
      </c>
      <c r="U396" s="1628">
        <v>2.4624896551724099E-8</v>
      </c>
      <c r="V396" s="1628">
        <v>2.4624896551724099E-8</v>
      </c>
      <c r="W396" s="1628">
        <v>2.4624896551724099E-8</v>
      </c>
    </row>
    <row r="397" spans="4:23" ht="15" customHeight="1">
      <c r="D397" s="83"/>
      <c r="E397" s="30" t="s">
        <v>792</v>
      </c>
      <c r="F397" s="745" cm="1">
        <f t="array" ref="F397:M397">P397:W397*12*GEN_HOGARES*INDEX(GEN_PORCENTAJE_HOGARES_POR_ZONA_CLIMATICA,CALIDO_SECO,0)</f>
        <v>8.3310885298559997E-3</v>
      </c>
      <c r="G397" s="3654">
        <v>9.4712517104357692E-3</v>
      </c>
      <c r="H397" s="3654">
        <v>1.1858298729265859E-2</v>
      </c>
      <c r="I397" s="3654">
        <v>1.4019402699559716E-2</v>
      </c>
      <c r="J397" s="3654">
        <v>1.5933403564382415E-2</v>
      </c>
      <c r="K397" s="3654">
        <v>1.7798675792252295E-2</v>
      </c>
      <c r="L397" s="3654">
        <v>1.9670569592509783E-2</v>
      </c>
      <c r="M397" s="3654">
        <v>2.1560052743356747E-2</v>
      </c>
      <c r="N397" s="84"/>
      <c r="O397" s="1628" t="s">
        <v>792</v>
      </c>
      <c r="P397" s="1628">
        <v>1.75939528E-8</v>
      </c>
      <c r="Q397" s="1628">
        <v>1.75939528E-8</v>
      </c>
      <c r="R397" s="1628">
        <v>1.75939528E-8</v>
      </c>
      <c r="S397" s="1628">
        <v>1.75939528E-8</v>
      </c>
      <c r="T397" s="1628">
        <v>1.75939528E-8</v>
      </c>
      <c r="U397" s="1628">
        <v>1.75939528E-8</v>
      </c>
      <c r="V397" s="1628">
        <v>1.75939528E-8</v>
      </c>
      <c r="W397" s="1628">
        <v>1.75939528E-8</v>
      </c>
    </row>
    <row r="398" spans="4:23" ht="15" customHeight="1">
      <c r="D398" s="83"/>
      <c r="E398" s="32" t="s">
        <v>793</v>
      </c>
      <c r="F398" s="746" cm="1">
        <f t="array" ref="F398:M398">P398:W398*12*GEN_HOGARES*INDEX(GEN_PORCENTAJE_HOGARES_POR_ZONA_CLIMATICA,CALIDO_HUMEDO,0)</f>
        <v>9.8659849721279991E-3</v>
      </c>
      <c r="G398" s="3655">
        <v>1.1216208627183566E-2</v>
      </c>
      <c r="H398" s="3655">
        <v>1.4043038510354627E-2</v>
      </c>
      <c r="I398" s="3655">
        <v>1.66022982298638E-2</v>
      </c>
      <c r="J398" s="3655">
        <v>1.8868929259087435E-2</v>
      </c>
      <c r="K398" s="3655">
        <v>2.107785402361758E-2</v>
      </c>
      <c r="L398" s="3655">
        <v>2.3294620300506389E-2</v>
      </c>
      <c r="M398" s="3655">
        <v>2.5532216540726325E-2</v>
      </c>
      <c r="N398" s="84"/>
      <c r="O398" s="1628" t="s">
        <v>793</v>
      </c>
      <c r="P398" s="1628">
        <v>1.75939528E-8</v>
      </c>
      <c r="Q398" s="1628">
        <v>1.75939528E-8</v>
      </c>
      <c r="R398" s="1628">
        <v>1.75939528E-8</v>
      </c>
      <c r="S398" s="1628">
        <v>1.75939528E-8</v>
      </c>
      <c r="T398" s="1628">
        <v>1.75939528E-8</v>
      </c>
      <c r="U398" s="1628">
        <v>1.75939528E-8</v>
      </c>
      <c r="V398" s="1628">
        <v>1.75939528E-8</v>
      </c>
      <c r="W398" s="1628">
        <v>1.75939528E-8</v>
      </c>
    </row>
    <row r="399" spans="4:23" ht="15" customHeight="1">
      <c r="D399" s="83"/>
      <c r="E399" s="84"/>
      <c r="F399" s="732"/>
      <c r="G399" s="732"/>
      <c r="H399" s="732"/>
      <c r="I399" s="732"/>
      <c r="J399" s="732"/>
      <c r="K399" s="732"/>
      <c r="L399" s="732"/>
      <c r="M399" s="732"/>
      <c r="N399" s="84"/>
    </row>
    <row r="400" spans="4:23" ht="15" customHeight="1">
      <c r="D400" s="83"/>
      <c r="E400" s="26" t="s">
        <v>564</v>
      </c>
      <c r="F400" s="727"/>
      <c r="G400" s="727"/>
      <c r="H400" s="727"/>
      <c r="I400" s="727"/>
      <c r="J400" s="727"/>
      <c r="K400" s="727"/>
      <c r="L400" s="727"/>
      <c r="M400" s="730" t="s">
        <v>9</v>
      </c>
      <c r="N400" s="84"/>
      <c r="W400" s="70" t="s">
        <v>2147</v>
      </c>
    </row>
    <row r="401" spans="4:23" ht="15" customHeight="1">
      <c r="D401" s="83"/>
      <c r="E401" s="28" t="s">
        <v>789</v>
      </c>
      <c r="F401" s="731">
        <v>2018</v>
      </c>
      <c r="G401" s="731">
        <v>2020</v>
      </c>
      <c r="H401" s="731">
        <v>2025</v>
      </c>
      <c r="I401" s="731">
        <v>2030</v>
      </c>
      <c r="J401" s="731">
        <v>2035</v>
      </c>
      <c r="K401" s="731">
        <v>2040</v>
      </c>
      <c r="L401" s="731">
        <v>2045</v>
      </c>
      <c r="M401" s="731">
        <v>2050</v>
      </c>
      <c r="N401" s="84"/>
      <c r="P401" s="1636">
        <v>2015</v>
      </c>
      <c r="Q401" s="1637">
        <v>2020</v>
      </c>
      <c r="R401" s="1637">
        <v>2025</v>
      </c>
      <c r="S401" s="1637">
        <v>2030</v>
      </c>
      <c r="T401" s="1637">
        <v>2035</v>
      </c>
      <c r="U401" s="1637">
        <v>2040</v>
      </c>
      <c r="V401" s="1637">
        <v>2045</v>
      </c>
      <c r="W401" s="1638">
        <v>2050</v>
      </c>
    </row>
    <row r="402" spans="4:23" ht="15" customHeight="1">
      <c r="D402" s="83"/>
      <c r="E402" s="30" t="s">
        <v>795</v>
      </c>
      <c r="F402" s="745" cm="1">
        <f t="array" ref="F402:M402">P402:W402*12*GEN_HOGARES*INDEX(GEN_PORCENTAJE_HOGARES_POR_ZONA_CLIMATICA,FRIO,0)</f>
        <v>0.27726426000000004</v>
      </c>
      <c r="G402" s="3654">
        <v>0.32151385489470491</v>
      </c>
      <c r="H402" s="3654">
        <v>0.41043828866491427</v>
      </c>
      <c r="I402" s="3654">
        <v>0.49456971430296043</v>
      </c>
      <c r="J402" s="3654">
        <v>0.57269640087801466</v>
      </c>
      <c r="K402" s="3654">
        <v>0.65158716298798591</v>
      </c>
      <c r="L402" s="3654">
        <v>0.72011484364024581</v>
      </c>
      <c r="M402" s="3654">
        <v>0.78928644832276351</v>
      </c>
      <c r="N402" s="84"/>
      <c r="O402" s="1628" t="s">
        <v>795</v>
      </c>
      <c r="P402" s="1633">
        <v>3.5000000000000002E-8</v>
      </c>
      <c r="Q402" s="1633">
        <v>3.5700000000000002E-8</v>
      </c>
      <c r="R402" s="1633">
        <v>3.6400000000000002E-8</v>
      </c>
      <c r="S402" s="1633">
        <v>3.7100000000000001E-8</v>
      </c>
      <c r="T402" s="1633">
        <v>3.7800000000000001E-8</v>
      </c>
      <c r="U402" s="1633">
        <v>3.8500000000000001E-8</v>
      </c>
      <c r="V402" s="1633">
        <v>3.8500000000000001E-8</v>
      </c>
      <c r="W402" s="1633">
        <v>3.8500000000000001E-8</v>
      </c>
    </row>
    <row r="403" spans="4:23" ht="15" customHeight="1">
      <c r="D403" s="83"/>
      <c r="E403" s="30" t="s">
        <v>791</v>
      </c>
      <c r="F403" s="745" cm="1">
        <f t="array" ref="F403:M403">P403:W403*12*GEN_HOGARES*INDEX(GEN_PORCENTAJE_HOGARES_POR_ZONA_CLIMATICA,TEMPLADO,0)</f>
        <v>5.5592753871132529E-2</v>
      </c>
      <c r="G403" s="3654">
        <v>6.4465000290049451E-2</v>
      </c>
      <c r="H403" s="3654">
        <v>8.2294756493452914E-2</v>
      </c>
      <c r="I403" s="3654">
        <v>9.9163492616613502E-2</v>
      </c>
      <c r="J403" s="3654">
        <v>0.11482825105873691</v>
      </c>
      <c r="K403" s="3654">
        <v>0.13064621014472119</v>
      </c>
      <c r="L403" s="3654">
        <v>0.14438632394034945</v>
      </c>
      <c r="M403" s="3654">
        <v>0.15825554745291642</v>
      </c>
      <c r="N403" s="84"/>
      <c r="O403" s="1628" t="s">
        <v>791</v>
      </c>
      <c r="P403" s="1633">
        <v>2E-8</v>
      </c>
      <c r="Q403" s="1633">
        <v>2.0400000000000001E-8</v>
      </c>
      <c r="R403" s="1633">
        <v>2.0800000000000001E-8</v>
      </c>
      <c r="S403" s="1633">
        <v>2.1200000000000001E-8</v>
      </c>
      <c r="T403" s="1633">
        <v>2.1600000000000002E-8</v>
      </c>
      <c r="U403" s="1633">
        <v>2.2000000000000002E-8</v>
      </c>
      <c r="V403" s="1633">
        <v>2.2000000000000002E-8</v>
      </c>
      <c r="W403" s="1633">
        <v>2.2000000000000002E-8</v>
      </c>
    </row>
    <row r="404" spans="4:23" ht="15" customHeight="1">
      <c r="D404" s="83"/>
      <c r="E404" s="30" t="s">
        <v>792</v>
      </c>
      <c r="F404" s="745" cm="1">
        <f t="array" ref="F404:M404">P404:W404*12*GEN_HOGARES*INDEX(GEN_PORCENTAJE_HOGARES_POR_ZONA_CLIMATICA,CALIDO_SECO,0)</f>
        <v>1.943570369440412E-2</v>
      </c>
      <c r="G404" s="3654">
        <v>2.2537517159186414E-2</v>
      </c>
      <c r="H404" s="3654">
        <v>2.8770952892845141E-2</v>
      </c>
      <c r="I404" s="3654">
        <v>3.4668407761672702E-2</v>
      </c>
      <c r="J404" s="3654">
        <v>4.0144941704050731E-2</v>
      </c>
      <c r="K404" s="3654">
        <v>4.5675035905860639E-2</v>
      </c>
      <c r="L404" s="3654">
        <v>5.0478697567922934E-2</v>
      </c>
      <c r="M404" s="3654">
        <v>5.5327497094684402E-2</v>
      </c>
      <c r="N404" s="84"/>
      <c r="O404" s="1628" t="s">
        <v>792</v>
      </c>
      <c r="P404" s="1633">
        <v>4.1045159009976601E-8</v>
      </c>
      <c r="Q404" s="1633">
        <v>4.1866062190176108E-8</v>
      </c>
      <c r="R404" s="1633">
        <v>4.2686965370375608E-8</v>
      </c>
      <c r="S404" s="1633">
        <v>4.3507868550575207E-8</v>
      </c>
      <c r="T404" s="1633">
        <v>4.43287717307747E-8</v>
      </c>
      <c r="U404" s="1633">
        <v>4.51496749109742E-8</v>
      </c>
      <c r="V404" s="1633">
        <v>4.51496749109742E-8</v>
      </c>
      <c r="W404" s="1633">
        <v>4.51496749109742E-8</v>
      </c>
    </row>
    <row r="405" spans="4:23" ht="15" customHeight="1">
      <c r="D405" s="83"/>
      <c r="E405" s="32" t="s">
        <v>793</v>
      </c>
      <c r="F405" s="746" cm="1">
        <f t="array" ref="F405:M405">P405:W405*12*GEN_HOGARES*INDEX(GEN_PORCENTAJE_HOGARES_POR_ZONA_CLIMATICA,CALIDO_HUMEDO,0)</f>
        <v>2.6000129387589978E-2</v>
      </c>
      <c r="G405" s="3655">
        <v>3.0149583026550797E-2</v>
      </c>
      <c r="H405" s="3655">
        <v>3.8488367057870274E-2</v>
      </c>
      <c r="I405" s="3655">
        <v>4.6377692397355418E-2</v>
      </c>
      <c r="J405" s="3655">
        <v>5.3703930404284686E-2</v>
      </c>
      <c r="K405" s="3655">
        <v>6.1101818694484153E-2</v>
      </c>
      <c r="L405" s="3655">
        <v>6.7527921227822585E-2</v>
      </c>
      <c r="M405" s="3655">
        <v>7.4014406978610253E-2</v>
      </c>
      <c r="N405" s="84"/>
      <c r="O405" s="1628" t="s">
        <v>793</v>
      </c>
      <c r="P405" s="1633">
        <v>4.6365877358566904E-8</v>
      </c>
      <c r="Q405" s="1633">
        <v>4.72931949057383E-8</v>
      </c>
      <c r="R405" s="1633">
        <v>4.8220512452909604E-8</v>
      </c>
      <c r="S405" s="1633">
        <v>4.9147830000080901E-8</v>
      </c>
      <c r="T405" s="1633">
        <v>5.0075147547252304E-8</v>
      </c>
      <c r="U405" s="1633">
        <v>5.1002465094423602E-8</v>
      </c>
      <c r="V405" s="1633">
        <v>5.1002465094423602E-8</v>
      </c>
      <c r="W405" s="1633">
        <v>5.1002465094423602E-8</v>
      </c>
    </row>
    <row r="406" spans="4:23" ht="15" customHeight="1">
      <c r="D406" s="83"/>
      <c r="E406" s="84"/>
      <c r="F406" s="732"/>
      <c r="G406" s="732"/>
      <c r="H406" s="732"/>
      <c r="I406" s="732"/>
      <c r="J406" s="732"/>
      <c r="K406" s="732"/>
      <c r="L406" s="732"/>
      <c r="M406" s="732"/>
      <c r="N406" s="84"/>
    </row>
    <row r="407" spans="4:23" ht="15" customHeight="1">
      <c r="D407" s="83"/>
      <c r="E407" s="93" t="s">
        <v>2149</v>
      </c>
      <c r="F407" s="748"/>
      <c r="G407" s="748"/>
      <c r="H407" s="748"/>
      <c r="I407" s="748"/>
      <c r="J407" s="748"/>
      <c r="K407" s="748"/>
      <c r="L407" s="748"/>
      <c r="M407" s="748"/>
      <c r="N407" s="22"/>
    </row>
    <row r="408" spans="4:23" ht="15" customHeight="1">
      <c r="D408" s="83"/>
      <c r="E408" s="84"/>
      <c r="F408" s="732"/>
      <c r="G408" s="732"/>
      <c r="H408" s="732"/>
      <c r="I408" s="732"/>
      <c r="J408" s="732"/>
      <c r="K408" s="732"/>
      <c r="L408" s="732"/>
      <c r="M408" s="732"/>
      <c r="N408" s="84"/>
    </row>
    <row r="409" spans="4:23" ht="15" customHeight="1">
      <c r="D409" s="83"/>
      <c r="E409" s="26" t="s">
        <v>2148</v>
      </c>
      <c r="F409" s="727"/>
      <c r="G409" s="727"/>
      <c r="H409" s="727"/>
      <c r="I409" s="727"/>
      <c r="J409" s="727"/>
      <c r="K409" s="727"/>
      <c r="L409" s="727"/>
      <c r="M409" s="730" t="s">
        <v>9</v>
      </c>
      <c r="N409" s="84"/>
      <c r="W409" s="70" t="s">
        <v>2147</v>
      </c>
    </row>
    <row r="410" spans="4:23" ht="15" customHeight="1">
      <c r="D410" s="83"/>
      <c r="E410" s="28" t="s">
        <v>789</v>
      </c>
      <c r="F410" s="731">
        <v>2018</v>
      </c>
      <c r="G410" s="731">
        <v>2020</v>
      </c>
      <c r="H410" s="731">
        <v>2025</v>
      </c>
      <c r="I410" s="731">
        <v>2030</v>
      </c>
      <c r="J410" s="731">
        <v>2035</v>
      </c>
      <c r="K410" s="731">
        <v>2040</v>
      </c>
      <c r="L410" s="731">
        <v>2045</v>
      </c>
      <c r="M410" s="731">
        <v>2050</v>
      </c>
      <c r="N410" s="84"/>
      <c r="P410" s="1636">
        <v>2015</v>
      </c>
      <c r="Q410" s="1637">
        <v>2020</v>
      </c>
      <c r="R410" s="1637">
        <v>2025</v>
      </c>
      <c r="S410" s="1637">
        <v>2030</v>
      </c>
      <c r="T410" s="1637">
        <v>2035</v>
      </c>
      <c r="U410" s="1637">
        <v>2040</v>
      </c>
      <c r="V410" s="1637">
        <v>2045</v>
      </c>
      <c r="W410" s="1638">
        <v>2050</v>
      </c>
    </row>
    <row r="411" spans="4:23" ht="15" customHeight="1">
      <c r="D411" s="83"/>
      <c r="E411" s="30" t="s">
        <v>795</v>
      </c>
      <c r="F411" s="745" cm="1">
        <f t="array" ref="F411:M411">P411:W411*12*GEN_HOGARES*INDEX(GEN_PORCENTAJE_HOGARES_POR_ZONA_CLIMATICA,FRIO,0)</f>
        <v>0.22108133618660977</v>
      </c>
      <c r="G411" s="3654">
        <v>0.25133774248093915</v>
      </c>
      <c r="H411" s="3654">
        <v>0.31468259142498722</v>
      </c>
      <c r="I411" s="3654">
        <v>0.37203161030511805</v>
      </c>
      <c r="J411" s="3654">
        <v>0.42282327662109748</v>
      </c>
      <c r="K411" s="3654">
        <v>0.47232183554427037</v>
      </c>
      <c r="L411" s="3654">
        <v>0.52199611052973971</v>
      </c>
      <c r="M411" s="3654">
        <v>0.57213715250694597</v>
      </c>
      <c r="N411" s="84"/>
      <c r="O411" s="1628" t="s">
        <v>795</v>
      </c>
      <c r="P411" s="1628">
        <v>2.7907840579710278E-8</v>
      </c>
      <c r="Q411" s="1628">
        <v>2.7907840579710278E-8</v>
      </c>
      <c r="R411" s="1628">
        <v>2.7907840579710278E-8</v>
      </c>
      <c r="S411" s="1628">
        <v>2.7907840579710278E-8</v>
      </c>
      <c r="T411" s="1628">
        <v>2.7907840579710278E-8</v>
      </c>
      <c r="U411" s="1628">
        <v>2.7907840579710278E-8</v>
      </c>
      <c r="V411" s="1628">
        <v>2.7907840579710278E-8</v>
      </c>
      <c r="W411" s="1628">
        <v>2.7907840579710278E-8</v>
      </c>
    </row>
    <row r="412" spans="4:23" ht="15" customHeight="1">
      <c r="D412" s="83"/>
      <c r="E412" s="30" t="s">
        <v>791</v>
      </c>
      <c r="F412" s="745" cm="1">
        <f t="array" ref="F412:M412">P412:W412*12*GEN_HOGARES*INDEX(GEN_PORCENTAJE_HOGARES_POR_ZONA_CLIMATICA,TEMPLADO,0)</f>
        <v>3.9508215181990818E-2</v>
      </c>
      <c r="G412" s="3654">
        <v>4.4915169161593674E-2</v>
      </c>
      <c r="H412" s="3654">
        <v>5.6235174576432179E-2</v>
      </c>
      <c r="I412" s="3654">
        <v>6.6483698569790833E-2</v>
      </c>
      <c r="J412" s="3654">
        <v>7.5560394580754836E-2</v>
      </c>
      <c r="K412" s="3654">
        <v>8.4406006566221076E-2</v>
      </c>
      <c r="L412" s="3654">
        <v>9.3283019791248659E-2</v>
      </c>
      <c r="M412" s="3654">
        <v>0.10224344634762067</v>
      </c>
      <c r="N412" s="84"/>
      <c r="O412" s="1628" t="s">
        <v>791</v>
      </c>
      <c r="P412" s="1628">
        <v>1.421344057665261E-8</v>
      </c>
      <c r="Q412" s="1628">
        <v>1.421344057665261E-8</v>
      </c>
      <c r="R412" s="1628">
        <v>1.421344057665261E-8</v>
      </c>
      <c r="S412" s="1628">
        <v>1.421344057665261E-8</v>
      </c>
      <c r="T412" s="1628">
        <v>1.421344057665261E-8</v>
      </c>
      <c r="U412" s="1628">
        <v>1.421344057665261E-8</v>
      </c>
      <c r="V412" s="1628">
        <v>1.421344057665261E-8</v>
      </c>
      <c r="W412" s="1628">
        <v>1.421344057665261E-8</v>
      </c>
    </row>
    <row r="413" spans="4:23" ht="15" customHeight="1">
      <c r="D413" s="83"/>
      <c r="E413" s="30" t="s">
        <v>792</v>
      </c>
      <c r="F413" s="745" cm="1">
        <f t="array" ref="F413:M413">P413:W413*12*GEN_HOGARES*INDEX(GEN_PORCENTAJE_HOGARES_POR_ZONA_CLIMATICA,CALIDO_SECO,0)</f>
        <v>8.3244289866666668E-3</v>
      </c>
      <c r="G413" s="3654">
        <v>9.4636807658231119E-3</v>
      </c>
      <c r="H413" s="3654">
        <v>1.184881967352704E-2</v>
      </c>
      <c r="I413" s="3654">
        <v>1.4008196142645599E-2</v>
      </c>
      <c r="J413" s="3654">
        <v>1.5920667030757809E-2</v>
      </c>
      <c r="K413" s="3654">
        <v>1.7784448233665363E-2</v>
      </c>
      <c r="L413" s="3654">
        <v>1.9654845715937036E-2</v>
      </c>
      <c r="M413" s="3654">
        <v>2.1542818488565891E-2</v>
      </c>
      <c r="N413" s="84"/>
      <c r="O413" s="1628" t="s">
        <v>792</v>
      </c>
      <c r="P413" s="1628">
        <v>1.7579888888888888E-8</v>
      </c>
      <c r="Q413" s="1628">
        <v>1.7579888888888888E-8</v>
      </c>
      <c r="R413" s="1628">
        <v>1.7579888888888888E-8</v>
      </c>
      <c r="S413" s="1628">
        <v>1.7579888888888888E-8</v>
      </c>
      <c r="T413" s="1628">
        <v>1.7579888888888888E-8</v>
      </c>
      <c r="U413" s="1628">
        <v>1.7579888888888888E-8</v>
      </c>
      <c r="V413" s="1628">
        <v>1.7579888888888888E-8</v>
      </c>
      <c r="W413" s="1628">
        <v>1.7579888888888888E-8</v>
      </c>
    </row>
    <row r="414" spans="4:23" ht="15" customHeight="1">
      <c r="D414" s="83"/>
      <c r="E414" s="32" t="s">
        <v>793</v>
      </c>
      <c r="F414" s="746" cm="1">
        <f t="array" ref="F414:M414">P414:W414*12*GEN_HOGARES*INDEX(GEN_PORCENTAJE_HOGARES_POR_ZONA_CLIMATICA,CALIDO_HUMEDO,0)</f>
        <v>9.8580984933333334E-3</v>
      </c>
      <c r="G414" s="3655">
        <v>1.1207242832917233E-2</v>
      </c>
      <c r="H414" s="3655">
        <v>1.4031813059906703E-2</v>
      </c>
      <c r="I414" s="3655">
        <v>1.6589027008257193E-2</v>
      </c>
      <c r="J414" s="3655">
        <v>1.8853846182141726E-2</v>
      </c>
      <c r="K414" s="3655">
        <v>2.1061005219442028E-2</v>
      </c>
      <c r="L414" s="3655">
        <v>2.3275999500905666E-2</v>
      </c>
      <c r="M414" s="3655">
        <v>2.5511807095050281E-2</v>
      </c>
      <c r="N414" s="84"/>
      <c r="O414" s="1628" t="s">
        <v>793</v>
      </c>
      <c r="P414" s="1628">
        <v>1.7579888888888888E-8</v>
      </c>
      <c r="Q414" s="1628">
        <v>1.7579888888888888E-8</v>
      </c>
      <c r="R414" s="1628">
        <v>1.7579888888888888E-8</v>
      </c>
      <c r="S414" s="1628">
        <v>1.7579888888888888E-8</v>
      </c>
      <c r="T414" s="1628">
        <v>1.7579888888888888E-8</v>
      </c>
      <c r="U414" s="1628">
        <v>1.7579888888888888E-8</v>
      </c>
      <c r="V414" s="1628">
        <v>1.7579888888888888E-8</v>
      </c>
      <c r="W414" s="1628">
        <v>1.7579888888888888E-8</v>
      </c>
    </row>
    <row r="415" spans="4:23" ht="15" customHeight="1">
      <c r="D415" s="83"/>
      <c r="E415" s="84"/>
      <c r="F415" s="732"/>
      <c r="G415" s="732"/>
      <c r="H415" s="732"/>
      <c r="I415" s="732"/>
      <c r="J415" s="732"/>
      <c r="K415" s="732"/>
      <c r="L415" s="732"/>
      <c r="M415" s="732"/>
      <c r="N415" s="84"/>
    </row>
    <row r="416" spans="4:23" ht="15" customHeight="1">
      <c r="D416" s="83"/>
      <c r="E416" s="26" t="s">
        <v>564</v>
      </c>
      <c r="F416" s="727"/>
      <c r="G416" s="727"/>
      <c r="H416" s="727"/>
      <c r="I416" s="727"/>
      <c r="J416" s="727"/>
      <c r="K416" s="727"/>
      <c r="L416" s="727"/>
      <c r="M416" s="730" t="s">
        <v>9</v>
      </c>
      <c r="N416" s="84"/>
      <c r="W416" s="70" t="s">
        <v>2147</v>
      </c>
    </row>
    <row r="417" spans="4:23" ht="15" customHeight="1">
      <c r="D417" s="83"/>
      <c r="E417" s="28" t="s">
        <v>789</v>
      </c>
      <c r="F417" s="731">
        <v>2018</v>
      </c>
      <c r="G417" s="731">
        <v>2020</v>
      </c>
      <c r="H417" s="731">
        <v>2025</v>
      </c>
      <c r="I417" s="731">
        <v>2030</v>
      </c>
      <c r="J417" s="731">
        <v>2035</v>
      </c>
      <c r="K417" s="731">
        <v>2040</v>
      </c>
      <c r="L417" s="731">
        <v>2045</v>
      </c>
      <c r="M417" s="731">
        <v>2050</v>
      </c>
      <c r="N417" s="84"/>
      <c r="P417" s="1636">
        <v>2015</v>
      </c>
      <c r="Q417" s="1637">
        <v>2020</v>
      </c>
      <c r="R417" s="1637">
        <v>2025</v>
      </c>
      <c r="S417" s="1637">
        <v>2030</v>
      </c>
      <c r="T417" s="1637">
        <v>2035</v>
      </c>
      <c r="U417" s="1637">
        <v>2040</v>
      </c>
      <c r="V417" s="1637">
        <v>2045</v>
      </c>
      <c r="W417" s="1638">
        <v>2050</v>
      </c>
    </row>
    <row r="418" spans="4:23" ht="15" customHeight="1">
      <c r="D418" s="83"/>
      <c r="E418" s="30" t="s">
        <v>795</v>
      </c>
      <c r="F418" s="745" cm="1">
        <f t="array" ref="F418:M418">P418:W418*12*GEN_HOGARES*INDEX(GEN_PORCENTAJE_HOGARES_POR_ZONA_CLIMATICA,FRIO,0)</f>
        <v>0</v>
      </c>
      <c r="G418" s="3654">
        <v>0</v>
      </c>
      <c r="H418" s="3654">
        <v>0</v>
      </c>
      <c r="I418" s="3654">
        <v>0</v>
      </c>
      <c r="J418" s="3654">
        <v>0</v>
      </c>
      <c r="K418" s="3654">
        <v>0</v>
      </c>
      <c r="L418" s="3654">
        <v>0</v>
      </c>
      <c r="M418" s="3654">
        <v>0</v>
      </c>
      <c r="N418" s="84"/>
      <c r="O418" s="1628" t="s">
        <v>795</v>
      </c>
      <c r="P418" s="1628">
        <v>0</v>
      </c>
      <c r="Q418" s="1628">
        <v>0</v>
      </c>
      <c r="R418" s="1628">
        <v>0</v>
      </c>
      <c r="S418" s="1628">
        <v>0</v>
      </c>
      <c r="T418" s="1628">
        <v>0</v>
      </c>
      <c r="U418" s="1628">
        <v>0</v>
      </c>
      <c r="V418" s="1628">
        <v>0</v>
      </c>
      <c r="W418" s="1628">
        <v>0</v>
      </c>
    </row>
    <row r="419" spans="4:23" ht="15" customHeight="1">
      <c r="D419" s="83"/>
      <c r="E419" s="30" t="s">
        <v>791</v>
      </c>
      <c r="F419" s="745" cm="1">
        <f t="array" ref="F419:M419">P419:W419*12*GEN_HOGARES*INDEX(GEN_PORCENTAJE_HOGARES_POR_ZONA_CLIMATICA,TEMPLADO,0)</f>
        <v>0</v>
      </c>
      <c r="G419" s="3654">
        <v>0</v>
      </c>
      <c r="H419" s="3654">
        <v>0</v>
      </c>
      <c r="I419" s="3654">
        <v>0</v>
      </c>
      <c r="J419" s="3654">
        <v>0</v>
      </c>
      <c r="K419" s="3654">
        <v>0</v>
      </c>
      <c r="L419" s="3654">
        <v>0</v>
      </c>
      <c r="M419" s="3654">
        <v>0</v>
      </c>
      <c r="N419" s="84"/>
      <c r="O419" s="1628" t="s">
        <v>791</v>
      </c>
      <c r="P419" s="1628">
        <v>0</v>
      </c>
      <c r="Q419" s="1628">
        <v>0</v>
      </c>
      <c r="R419" s="1628">
        <v>0</v>
      </c>
      <c r="S419" s="1628">
        <v>0</v>
      </c>
      <c r="T419" s="1628">
        <v>0</v>
      </c>
      <c r="U419" s="1628">
        <v>0</v>
      </c>
      <c r="V419" s="1628">
        <v>0</v>
      </c>
      <c r="W419" s="1628">
        <v>0</v>
      </c>
    </row>
    <row r="420" spans="4:23" ht="15" customHeight="1">
      <c r="D420" s="83"/>
      <c r="E420" s="30" t="s">
        <v>792</v>
      </c>
      <c r="F420" s="745" cm="1">
        <f t="array" ref="F420:M420">P420:W420*12*GEN_HOGARES*INDEX(GEN_PORCENTAJE_HOGARES_POR_ZONA_CLIMATICA,CALIDO_SECO,0)</f>
        <v>0</v>
      </c>
      <c r="G420" s="3654">
        <v>0</v>
      </c>
      <c r="H420" s="3654">
        <v>0</v>
      </c>
      <c r="I420" s="3654">
        <v>0</v>
      </c>
      <c r="J420" s="3654">
        <v>0</v>
      </c>
      <c r="K420" s="3654">
        <v>0</v>
      </c>
      <c r="L420" s="3654">
        <v>0</v>
      </c>
      <c r="M420" s="3654">
        <v>0</v>
      </c>
      <c r="N420" s="84"/>
      <c r="O420" s="1628" t="s">
        <v>792</v>
      </c>
      <c r="P420" s="1628">
        <v>0</v>
      </c>
      <c r="Q420" s="1628">
        <v>0</v>
      </c>
      <c r="R420" s="1628">
        <v>0</v>
      </c>
      <c r="S420" s="1628">
        <v>0</v>
      </c>
      <c r="T420" s="1628">
        <v>0</v>
      </c>
      <c r="U420" s="1628">
        <v>0</v>
      </c>
      <c r="V420" s="1628">
        <v>0</v>
      </c>
      <c r="W420" s="1628">
        <v>0</v>
      </c>
    </row>
    <row r="421" spans="4:23" ht="15" customHeight="1">
      <c r="D421" s="83"/>
      <c r="E421" s="32" t="s">
        <v>793</v>
      </c>
      <c r="F421" s="746" cm="1">
        <f t="array" ref="F421:M421">P421:W421*12*GEN_HOGARES*INDEX(GEN_PORCENTAJE_HOGARES_POR_ZONA_CLIMATICA,CALIDO_HUMEDO,0)</f>
        <v>0</v>
      </c>
      <c r="G421" s="3655">
        <v>0</v>
      </c>
      <c r="H421" s="3655">
        <v>0</v>
      </c>
      <c r="I421" s="3655">
        <v>0</v>
      </c>
      <c r="J421" s="3655">
        <v>0</v>
      </c>
      <c r="K421" s="3655">
        <v>0</v>
      </c>
      <c r="L421" s="3655">
        <v>0</v>
      </c>
      <c r="M421" s="3655">
        <v>0</v>
      </c>
      <c r="N421" s="84"/>
      <c r="O421" s="1628" t="s">
        <v>793</v>
      </c>
      <c r="P421" s="1628">
        <v>0</v>
      </c>
      <c r="Q421" s="1628">
        <v>0</v>
      </c>
      <c r="R421" s="1628">
        <v>0</v>
      </c>
      <c r="S421" s="1628">
        <v>0</v>
      </c>
      <c r="T421" s="1628">
        <v>0</v>
      </c>
      <c r="U421" s="1628">
        <v>0</v>
      </c>
      <c r="V421" s="1628">
        <v>0</v>
      </c>
      <c r="W421" s="1628">
        <v>0</v>
      </c>
    </row>
    <row r="422" spans="4:23" ht="15" customHeight="1">
      <c r="D422" s="83"/>
      <c r="E422" s="84"/>
      <c r="F422" s="732"/>
      <c r="G422" s="732"/>
      <c r="H422" s="732"/>
      <c r="I422" s="732"/>
      <c r="J422" s="732"/>
      <c r="K422" s="732"/>
      <c r="L422" s="732"/>
      <c r="M422" s="732"/>
      <c r="N422" s="84"/>
    </row>
    <row r="423" spans="4:23" ht="15" customHeight="1">
      <c r="D423" s="83"/>
      <c r="E423" s="93" t="s">
        <v>2150</v>
      </c>
      <c r="F423" s="748"/>
      <c r="G423" s="748"/>
      <c r="H423" s="748"/>
      <c r="I423" s="748"/>
      <c r="J423" s="748"/>
      <c r="K423" s="748"/>
      <c r="L423" s="748"/>
      <c r="M423" s="748"/>
      <c r="N423" s="22"/>
    </row>
    <row r="424" spans="4:23" ht="15" customHeight="1">
      <c r="D424" s="83"/>
      <c r="E424" s="84"/>
      <c r="F424" s="732"/>
      <c r="G424" s="732"/>
      <c r="H424" s="732"/>
      <c r="I424" s="732"/>
      <c r="J424" s="732"/>
      <c r="K424" s="732"/>
      <c r="L424" s="732"/>
      <c r="M424" s="732"/>
      <c r="N424" s="84"/>
    </row>
    <row r="425" spans="4:23" ht="15" customHeight="1">
      <c r="D425" s="83"/>
      <c r="E425" s="26" t="s">
        <v>2148</v>
      </c>
      <c r="F425" s="727"/>
      <c r="G425" s="727"/>
      <c r="H425" s="727"/>
      <c r="I425" s="727"/>
      <c r="J425" s="727"/>
      <c r="K425" s="727"/>
      <c r="L425" s="727"/>
      <c r="M425" s="730" t="s">
        <v>9</v>
      </c>
      <c r="N425" s="84"/>
      <c r="W425" s="70" t="s">
        <v>2147</v>
      </c>
    </row>
    <row r="426" spans="4:23" ht="15" customHeight="1">
      <c r="D426" s="83"/>
      <c r="E426" s="28" t="s">
        <v>789</v>
      </c>
      <c r="F426" s="731">
        <v>2018</v>
      </c>
      <c r="G426" s="731">
        <v>2020</v>
      </c>
      <c r="H426" s="731">
        <v>2025</v>
      </c>
      <c r="I426" s="731">
        <v>2030</v>
      </c>
      <c r="J426" s="731">
        <v>2035</v>
      </c>
      <c r="K426" s="731">
        <v>2040</v>
      </c>
      <c r="L426" s="731">
        <v>2045</v>
      </c>
      <c r="M426" s="731">
        <v>2050</v>
      </c>
      <c r="N426" s="84"/>
      <c r="P426" s="1636">
        <v>2015</v>
      </c>
      <c r="Q426" s="1637">
        <v>2020</v>
      </c>
      <c r="R426" s="1637">
        <v>2025</v>
      </c>
      <c r="S426" s="1637">
        <v>2030</v>
      </c>
      <c r="T426" s="1637">
        <v>2035</v>
      </c>
      <c r="U426" s="1637">
        <v>2040</v>
      </c>
      <c r="V426" s="1637">
        <v>2045</v>
      </c>
      <c r="W426" s="1638">
        <v>2050</v>
      </c>
    </row>
    <row r="427" spans="4:23" ht="15" customHeight="1">
      <c r="D427" s="83"/>
      <c r="E427" s="30" t="s">
        <v>795</v>
      </c>
      <c r="F427" s="745" cm="1">
        <f t="array" ref="F427:M427">P427:W427*12*GEN_HOGARES*INDEX(GEN_PORCENTAJE_HOGARES_POR_ZONA_CLIMATICA,FRIO,0)</f>
        <v>0.12102805</v>
      </c>
      <c r="G427" s="745">
        <v>0.13759151897921545</v>
      </c>
      <c r="H427" s="745">
        <v>0.1722688177393947</v>
      </c>
      <c r="I427" s="745">
        <v>0.20366377872613675</v>
      </c>
      <c r="J427" s="745">
        <v>0.23146900388220759</v>
      </c>
      <c r="K427" s="745">
        <v>0.25856633451904204</v>
      </c>
      <c r="L427" s="745">
        <v>0.28575985858739916</v>
      </c>
      <c r="M427" s="745">
        <v>0.31320890806458873</v>
      </c>
      <c r="N427" s="84"/>
      <c r="O427" s="1628" t="s">
        <v>795</v>
      </c>
      <c r="P427" s="1633">
        <v>1.5277777777777778E-8</v>
      </c>
      <c r="Q427" s="1633">
        <v>1.5277777777777778E-8</v>
      </c>
      <c r="R427" s="1633">
        <v>1.5277777777777778E-8</v>
      </c>
      <c r="S427" s="1633">
        <v>1.5277777777777778E-8</v>
      </c>
      <c r="T427" s="1633">
        <v>1.5277777777777778E-8</v>
      </c>
      <c r="U427" s="1633">
        <v>1.5277777777777778E-8</v>
      </c>
      <c r="V427" s="1633">
        <v>1.5277777777777778E-8</v>
      </c>
      <c r="W427" s="1633">
        <v>1.5277777777777778E-8</v>
      </c>
    </row>
    <row r="428" spans="4:23" ht="15" customHeight="1">
      <c r="D428" s="83"/>
      <c r="E428" s="30" t="s">
        <v>791</v>
      </c>
      <c r="F428" s="745" cm="1">
        <f t="array" ref="F428:M428">P428:W428*12*GEN_HOGARES*INDEX(GEN_PORCENTAJE_HOGARES_POR_ZONA_CLIMATICA,TEMPLADO,0)</f>
        <v>0</v>
      </c>
      <c r="G428" s="745">
        <v>0</v>
      </c>
      <c r="H428" s="745">
        <v>0</v>
      </c>
      <c r="I428" s="745">
        <v>0</v>
      </c>
      <c r="J428" s="745">
        <v>0</v>
      </c>
      <c r="K428" s="745">
        <v>0</v>
      </c>
      <c r="L428" s="745">
        <v>0</v>
      </c>
      <c r="M428" s="745">
        <v>0</v>
      </c>
      <c r="N428" s="84"/>
      <c r="O428" s="1628" t="s">
        <v>791</v>
      </c>
      <c r="P428" s="1633">
        <v>0</v>
      </c>
      <c r="Q428" s="1633">
        <v>0</v>
      </c>
      <c r="R428" s="1633">
        <v>0</v>
      </c>
      <c r="S428" s="1633">
        <v>0</v>
      </c>
      <c r="T428" s="1633">
        <v>0</v>
      </c>
      <c r="U428" s="1633">
        <v>0</v>
      </c>
      <c r="V428" s="1633">
        <v>0</v>
      </c>
      <c r="W428" s="1633">
        <v>0</v>
      </c>
    </row>
    <row r="429" spans="4:23" ht="15" customHeight="1">
      <c r="D429" s="83"/>
      <c r="E429" s="30" t="s">
        <v>792</v>
      </c>
      <c r="F429" s="745" cm="1">
        <f t="array" ref="F429:M429">P429:W429*12*GEN_HOGARES*INDEX(GEN_PORCENTAJE_HOGARES_POR_ZONA_CLIMATICA,CALIDO_SECO,0)</f>
        <v>0</v>
      </c>
      <c r="G429" s="745">
        <v>0</v>
      </c>
      <c r="H429" s="745">
        <v>0</v>
      </c>
      <c r="I429" s="745">
        <v>0</v>
      </c>
      <c r="J429" s="745">
        <v>0</v>
      </c>
      <c r="K429" s="745">
        <v>0</v>
      </c>
      <c r="L429" s="745">
        <v>0</v>
      </c>
      <c r="M429" s="745">
        <v>0</v>
      </c>
      <c r="N429" s="84"/>
      <c r="O429" s="1628" t="s">
        <v>792</v>
      </c>
      <c r="P429" s="1633">
        <v>0</v>
      </c>
      <c r="Q429" s="1633">
        <v>0</v>
      </c>
      <c r="R429" s="1633">
        <v>0</v>
      </c>
      <c r="S429" s="1633">
        <v>0</v>
      </c>
      <c r="T429" s="1633">
        <v>0</v>
      </c>
      <c r="U429" s="1633">
        <v>0</v>
      </c>
      <c r="V429" s="1633">
        <v>0</v>
      </c>
      <c r="W429" s="1633">
        <v>0</v>
      </c>
    </row>
    <row r="430" spans="4:23" ht="15" customHeight="1">
      <c r="D430" s="13"/>
      <c r="E430" s="32" t="s">
        <v>793</v>
      </c>
      <c r="F430" s="746" cm="1">
        <f t="array" ref="F430:M430">P430:W430*12*GEN_HOGARES*INDEX(GEN_PORCENTAJE_HOGARES_POR_ZONA_CLIMATICA,CALIDO_HUMEDO,0)</f>
        <v>0</v>
      </c>
      <c r="G430" s="746">
        <v>0</v>
      </c>
      <c r="H430" s="746">
        <v>0</v>
      </c>
      <c r="I430" s="746">
        <v>0</v>
      </c>
      <c r="J430" s="746">
        <v>0</v>
      </c>
      <c r="K430" s="746">
        <v>0</v>
      </c>
      <c r="L430" s="746">
        <v>0</v>
      </c>
      <c r="M430" s="746">
        <v>0</v>
      </c>
      <c r="N430" s="84"/>
      <c r="O430" s="1628" t="s">
        <v>793</v>
      </c>
      <c r="P430" s="1633">
        <v>0</v>
      </c>
      <c r="Q430" s="1633">
        <v>0</v>
      </c>
      <c r="R430" s="1633">
        <v>0</v>
      </c>
      <c r="S430" s="1633">
        <v>0</v>
      </c>
      <c r="T430" s="1633">
        <v>0</v>
      </c>
      <c r="U430" s="1633">
        <v>0</v>
      </c>
      <c r="V430" s="1633">
        <v>0</v>
      </c>
      <c r="W430" s="1633">
        <v>0</v>
      </c>
    </row>
    <row r="431" spans="4:23" ht="15" customHeight="1">
      <c r="D431" s="83"/>
      <c r="E431" s="35"/>
      <c r="F431" s="742"/>
      <c r="G431" s="742"/>
      <c r="H431" s="733"/>
      <c r="I431" s="733"/>
      <c r="J431" s="733"/>
      <c r="K431" s="733"/>
      <c r="L431" s="733"/>
      <c r="M431" s="733"/>
      <c r="N431" s="33"/>
    </row>
    <row r="432" spans="4:23" ht="15" customHeight="1">
      <c r="D432" s="83"/>
      <c r="E432" s="93" t="s">
        <v>2151</v>
      </c>
      <c r="F432" s="748"/>
      <c r="G432" s="748"/>
      <c r="H432" s="748"/>
      <c r="I432" s="748"/>
      <c r="J432" s="748"/>
      <c r="K432" s="748"/>
      <c r="L432" s="748"/>
      <c r="M432" s="748"/>
      <c r="N432" s="22"/>
    </row>
    <row r="433" spans="4:14" ht="15" customHeight="1">
      <c r="D433" s="83"/>
      <c r="E433" s="84"/>
      <c r="F433" s="732"/>
      <c r="G433" s="732"/>
      <c r="H433" s="732"/>
      <c r="I433" s="732"/>
      <c r="J433" s="732"/>
      <c r="K433" s="732"/>
      <c r="L433" s="732"/>
      <c r="M433" s="732"/>
      <c r="N433" s="84"/>
    </row>
    <row r="434" spans="4:14" ht="15" customHeight="1">
      <c r="D434" s="83"/>
      <c r="E434" s="26" t="s">
        <v>2138</v>
      </c>
      <c r="F434" s="727"/>
      <c r="G434" s="727"/>
      <c r="H434" s="727"/>
      <c r="I434" s="727"/>
      <c r="J434" s="727"/>
      <c r="K434" s="727"/>
      <c r="L434" s="727"/>
      <c r="M434" s="730" t="s">
        <v>788</v>
      </c>
      <c r="N434" s="84"/>
    </row>
    <row r="435" spans="4:14" ht="15" customHeight="1">
      <c r="D435" s="83"/>
      <c r="E435" s="28" t="s">
        <v>789</v>
      </c>
      <c r="F435" s="731">
        <v>2018</v>
      </c>
      <c r="G435" s="731">
        <v>2020</v>
      </c>
      <c r="H435" s="731">
        <v>2025</v>
      </c>
      <c r="I435" s="731">
        <v>2030</v>
      </c>
      <c r="J435" s="731">
        <v>2035</v>
      </c>
      <c r="K435" s="731">
        <v>2040</v>
      </c>
      <c r="L435" s="731">
        <v>2045</v>
      </c>
      <c r="M435" s="731">
        <v>2050</v>
      </c>
      <c r="N435" s="84"/>
    </row>
    <row r="436" spans="4:14" ht="15" customHeight="1">
      <c r="D436" s="83"/>
      <c r="E436" s="30" t="s">
        <v>795</v>
      </c>
      <c r="F436" s="713">
        <v>0.15</v>
      </c>
      <c r="G436" s="3656">
        <v>0.15</v>
      </c>
      <c r="H436" s="3656">
        <v>0.15</v>
      </c>
      <c r="I436" s="3656">
        <v>0.15</v>
      </c>
      <c r="J436" s="3656">
        <v>0.15</v>
      </c>
      <c r="K436" s="3656">
        <v>0.15</v>
      </c>
      <c r="L436" s="3656">
        <v>0.15</v>
      </c>
      <c r="M436" s="3656">
        <v>0.15</v>
      </c>
      <c r="N436" s="84"/>
    </row>
    <row r="437" spans="4:14" ht="15" customHeight="1">
      <c r="D437" s="83"/>
      <c r="E437" s="30" t="s">
        <v>791</v>
      </c>
      <c r="F437" s="713">
        <v>0.25</v>
      </c>
      <c r="G437" s="3656">
        <v>0.25</v>
      </c>
      <c r="H437" s="3656">
        <v>0.25</v>
      </c>
      <c r="I437" s="3656">
        <v>0.25</v>
      </c>
      <c r="J437" s="3656">
        <v>0.25</v>
      </c>
      <c r="K437" s="3656">
        <v>0.25</v>
      </c>
      <c r="L437" s="3656">
        <v>0.25</v>
      </c>
      <c r="M437" s="3656">
        <v>0.25</v>
      </c>
      <c r="N437" s="84"/>
    </row>
    <row r="438" spans="4:14" ht="15" customHeight="1">
      <c r="D438" s="83"/>
      <c r="E438" s="30" t="s">
        <v>792</v>
      </c>
      <c r="F438" s="713">
        <v>0.17</v>
      </c>
      <c r="G438" s="3656">
        <v>0.17</v>
      </c>
      <c r="H438" s="3656">
        <v>0.17</v>
      </c>
      <c r="I438" s="3656">
        <v>0.17</v>
      </c>
      <c r="J438" s="3656">
        <v>0.17</v>
      </c>
      <c r="K438" s="3656">
        <v>0.17</v>
      </c>
      <c r="L438" s="3656">
        <v>0.17</v>
      </c>
      <c r="M438" s="3656">
        <v>0.17</v>
      </c>
      <c r="N438" s="84"/>
    </row>
    <row r="439" spans="4:14" ht="15" customHeight="1">
      <c r="D439" s="83"/>
      <c r="E439" s="32" t="s">
        <v>793</v>
      </c>
      <c r="F439" s="714">
        <v>0.17</v>
      </c>
      <c r="G439" s="1043">
        <v>0.17</v>
      </c>
      <c r="H439" s="1043">
        <v>0.17</v>
      </c>
      <c r="I439" s="1043">
        <v>0.17</v>
      </c>
      <c r="J439" s="1043">
        <v>0.17</v>
      </c>
      <c r="K439" s="1043">
        <v>0.17</v>
      </c>
      <c r="L439" s="1043">
        <v>0.17</v>
      </c>
      <c r="M439" s="1043">
        <v>0.17</v>
      </c>
      <c r="N439" s="84"/>
    </row>
    <row r="440" spans="4:14" ht="15" customHeight="1">
      <c r="D440" s="83"/>
      <c r="E440" s="84"/>
      <c r="F440" s="732"/>
      <c r="G440" s="732"/>
      <c r="H440" s="732"/>
      <c r="I440" s="732"/>
      <c r="J440" s="732"/>
      <c r="K440" s="732"/>
      <c r="L440" s="732"/>
      <c r="M440" s="732"/>
      <c r="N440" s="84"/>
    </row>
    <row r="441" spans="4:14" ht="15" customHeight="1">
      <c r="D441" s="83"/>
      <c r="E441" s="26" t="s">
        <v>2148</v>
      </c>
      <c r="F441" s="727"/>
      <c r="G441" s="727"/>
      <c r="H441" s="727"/>
      <c r="I441" s="727"/>
      <c r="J441" s="727"/>
      <c r="K441" s="727"/>
      <c r="L441" s="727"/>
      <c r="M441" s="730" t="s">
        <v>788</v>
      </c>
      <c r="N441" s="84"/>
    </row>
    <row r="442" spans="4:14" ht="15" customHeight="1">
      <c r="D442" s="83"/>
      <c r="E442" s="28" t="s">
        <v>789</v>
      </c>
      <c r="F442" s="731">
        <v>2018</v>
      </c>
      <c r="G442" s="731">
        <v>2020</v>
      </c>
      <c r="H442" s="731">
        <v>2025</v>
      </c>
      <c r="I442" s="731">
        <v>2030</v>
      </c>
      <c r="J442" s="731">
        <v>2035</v>
      </c>
      <c r="K442" s="731">
        <v>2040</v>
      </c>
      <c r="L442" s="731">
        <v>2045</v>
      </c>
      <c r="M442" s="731">
        <v>2050</v>
      </c>
      <c r="N442" s="84"/>
    </row>
    <row r="443" spans="4:14" ht="15" customHeight="1">
      <c r="D443" s="83"/>
      <c r="E443" s="30" t="s">
        <v>795</v>
      </c>
      <c r="F443" s="713">
        <v>0.21</v>
      </c>
      <c r="G443" s="3656">
        <v>0.21</v>
      </c>
      <c r="H443" s="3656">
        <v>0.21</v>
      </c>
      <c r="I443" s="3656">
        <v>0.21</v>
      </c>
      <c r="J443" s="3656">
        <v>0.21</v>
      </c>
      <c r="K443" s="3656">
        <v>0.21</v>
      </c>
      <c r="L443" s="3656">
        <v>0.21</v>
      </c>
      <c r="M443" s="3656">
        <v>0.21</v>
      </c>
      <c r="N443" s="84"/>
    </row>
    <row r="444" spans="4:14" ht="15" customHeight="1">
      <c r="D444" s="83"/>
      <c r="E444" s="30" t="s">
        <v>791</v>
      </c>
      <c r="F444" s="713">
        <v>7.0000000000000007E-2</v>
      </c>
      <c r="G444" s="3656">
        <v>7.0000000000000007E-2</v>
      </c>
      <c r="H444" s="3656">
        <v>7.0000000000000007E-2</v>
      </c>
      <c r="I444" s="3656">
        <v>7.0000000000000007E-2</v>
      </c>
      <c r="J444" s="3656">
        <v>7.0000000000000007E-2</v>
      </c>
      <c r="K444" s="3656">
        <v>7.0000000000000007E-2</v>
      </c>
      <c r="L444" s="3656">
        <v>7.0000000000000007E-2</v>
      </c>
      <c r="M444" s="3656">
        <v>7.0000000000000007E-2</v>
      </c>
      <c r="N444" s="84"/>
    </row>
    <row r="445" spans="4:14" ht="15" customHeight="1">
      <c r="D445" s="83"/>
      <c r="E445" s="30" t="s">
        <v>792</v>
      </c>
      <c r="F445" s="713">
        <v>3.5799999999999998E-2</v>
      </c>
      <c r="G445" s="3656">
        <v>3.5799999999999998E-2</v>
      </c>
      <c r="H445" s="3656">
        <v>3.5799999999999998E-2</v>
      </c>
      <c r="I445" s="3656">
        <v>3.5799999999999998E-2</v>
      </c>
      <c r="J445" s="3656">
        <v>3.5799999999999998E-2</v>
      </c>
      <c r="K445" s="3656">
        <v>3.5799999999999998E-2</v>
      </c>
      <c r="L445" s="3656">
        <v>3.5799999999999998E-2</v>
      </c>
      <c r="M445" s="3656">
        <v>3.5799999999999998E-2</v>
      </c>
      <c r="N445" s="84"/>
    </row>
    <row r="446" spans="4:14" ht="15" customHeight="1">
      <c r="D446" s="83"/>
      <c r="E446" s="32" t="s">
        <v>793</v>
      </c>
      <c r="F446" s="714">
        <v>3.5799999999999998E-2</v>
      </c>
      <c r="G446" s="1043">
        <v>3.5799999999999998E-2</v>
      </c>
      <c r="H446" s="1043">
        <v>3.5799999999999998E-2</v>
      </c>
      <c r="I446" s="1043">
        <v>3.5799999999999998E-2</v>
      </c>
      <c r="J446" s="1043">
        <v>3.5799999999999998E-2</v>
      </c>
      <c r="K446" s="1043">
        <v>3.5799999999999998E-2</v>
      </c>
      <c r="L446" s="1043">
        <v>3.5799999999999998E-2</v>
      </c>
      <c r="M446" s="1043">
        <v>3.5799999999999998E-2</v>
      </c>
      <c r="N446" s="84"/>
    </row>
    <row r="447" spans="4:14" ht="15" customHeight="1">
      <c r="D447" s="83"/>
      <c r="E447" s="84"/>
      <c r="F447" s="732"/>
      <c r="G447" s="732"/>
      <c r="H447" s="732"/>
      <c r="I447" s="732"/>
      <c r="J447" s="732"/>
      <c r="K447" s="732"/>
      <c r="L447" s="732"/>
      <c r="M447" s="732"/>
      <c r="N447" s="84"/>
    </row>
    <row r="448" spans="4:14" ht="15" customHeight="1">
      <c r="D448" s="83"/>
      <c r="E448" s="26" t="s">
        <v>564</v>
      </c>
      <c r="F448" s="727"/>
      <c r="G448" s="727"/>
      <c r="H448" s="727"/>
      <c r="I448" s="727"/>
      <c r="J448" s="727"/>
      <c r="K448" s="727"/>
      <c r="L448" s="727"/>
      <c r="M448" s="730" t="s">
        <v>788</v>
      </c>
      <c r="N448" s="84"/>
    </row>
    <row r="449" spans="4:14" ht="15" customHeight="1">
      <c r="D449" s="83"/>
      <c r="E449" s="28" t="s">
        <v>789</v>
      </c>
      <c r="F449" s="731">
        <v>2018</v>
      </c>
      <c r="G449" s="731">
        <v>2020</v>
      </c>
      <c r="H449" s="731">
        <v>2025</v>
      </c>
      <c r="I449" s="731">
        <v>2030</v>
      </c>
      <c r="J449" s="731">
        <v>2035</v>
      </c>
      <c r="K449" s="731">
        <v>2040</v>
      </c>
      <c r="L449" s="731">
        <v>2045</v>
      </c>
      <c r="M449" s="731">
        <v>2050</v>
      </c>
      <c r="N449" s="84"/>
    </row>
    <row r="450" spans="4:14" ht="15" customHeight="1">
      <c r="D450" s="83"/>
      <c r="E450" s="30" t="s">
        <v>795</v>
      </c>
      <c r="F450" s="713">
        <v>1</v>
      </c>
      <c r="G450" s="3656">
        <v>1</v>
      </c>
      <c r="H450" s="3656">
        <v>1</v>
      </c>
      <c r="I450" s="3656">
        <v>1</v>
      </c>
      <c r="J450" s="3656">
        <v>1</v>
      </c>
      <c r="K450" s="3656">
        <v>1</v>
      </c>
      <c r="L450" s="3656">
        <v>1</v>
      </c>
      <c r="M450" s="3656">
        <v>1</v>
      </c>
      <c r="N450" s="84"/>
    </row>
    <row r="451" spans="4:14" ht="15" customHeight="1">
      <c r="D451" s="83"/>
      <c r="E451" s="30" t="s">
        <v>791</v>
      </c>
      <c r="F451" s="713">
        <v>1</v>
      </c>
      <c r="G451" s="3656">
        <v>1</v>
      </c>
      <c r="H451" s="3656">
        <v>1</v>
      </c>
      <c r="I451" s="3656">
        <v>1</v>
      </c>
      <c r="J451" s="3656">
        <v>1</v>
      </c>
      <c r="K451" s="3656">
        <v>1</v>
      </c>
      <c r="L451" s="3656">
        <v>1</v>
      </c>
      <c r="M451" s="3656">
        <v>1</v>
      </c>
      <c r="N451" s="84"/>
    </row>
    <row r="452" spans="4:14" ht="15" customHeight="1">
      <c r="D452" s="83"/>
      <c r="E452" s="30" t="s">
        <v>792</v>
      </c>
      <c r="F452" s="713">
        <v>1</v>
      </c>
      <c r="G452" s="3656">
        <v>1</v>
      </c>
      <c r="H452" s="3656">
        <v>1</v>
      </c>
      <c r="I452" s="3656">
        <v>1</v>
      </c>
      <c r="J452" s="3656">
        <v>1</v>
      </c>
      <c r="K452" s="3656">
        <v>1</v>
      </c>
      <c r="L452" s="3656">
        <v>1</v>
      </c>
      <c r="M452" s="3656">
        <v>1</v>
      </c>
      <c r="N452" s="84"/>
    </row>
    <row r="453" spans="4:14" ht="15" customHeight="1">
      <c r="D453" s="83"/>
      <c r="E453" s="32" t="s">
        <v>793</v>
      </c>
      <c r="F453" s="714">
        <v>1</v>
      </c>
      <c r="G453" s="1043">
        <v>1</v>
      </c>
      <c r="H453" s="1043">
        <v>1</v>
      </c>
      <c r="I453" s="1043">
        <v>1</v>
      </c>
      <c r="J453" s="1043">
        <v>1</v>
      </c>
      <c r="K453" s="1043">
        <v>1</v>
      </c>
      <c r="L453" s="1043">
        <v>1</v>
      </c>
      <c r="M453" s="1043">
        <v>1</v>
      </c>
      <c r="N453" s="84"/>
    </row>
    <row r="454" spans="4:14" ht="15" customHeight="1">
      <c r="D454" s="83"/>
      <c r="E454" s="30"/>
      <c r="F454" s="735"/>
      <c r="G454" s="735"/>
      <c r="H454" s="732"/>
      <c r="I454" s="732"/>
      <c r="J454" s="732"/>
      <c r="K454" s="732"/>
      <c r="L454" s="732"/>
      <c r="M454" s="732"/>
      <c r="N454" s="84"/>
    </row>
    <row r="455" spans="4:14" ht="15" customHeight="1">
      <c r="D455" s="83"/>
      <c r="E455" s="93" t="s">
        <v>2152</v>
      </c>
      <c r="F455" s="748"/>
      <c r="G455" s="748"/>
      <c r="H455" s="748"/>
      <c r="I455" s="748"/>
      <c r="J455" s="748"/>
      <c r="K455" s="748"/>
      <c r="L455" s="748"/>
      <c r="M455" s="748"/>
      <c r="N455" s="22"/>
    </row>
    <row r="456" spans="4:14" ht="15" customHeight="1">
      <c r="D456" s="83"/>
      <c r="E456" s="84"/>
      <c r="F456" s="732"/>
      <c r="G456" s="732"/>
      <c r="H456" s="732"/>
      <c r="I456" s="732"/>
      <c r="J456" s="732"/>
      <c r="K456" s="732"/>
      <c r="L456" s="732"/>
      <c r="M456" s="732"/>
      <c r="N456" s="84"/>
    </row>
    <row r="457" spans="4:14" ht="15" customHeight="1">
      <c r="D457" s="83"/>
      <c r="E457" s="26" t="s">
        <v>2138</v>
      </c>
      <c r="F457" s="727"/>
      <c r="G457" s="727"/>
      <c r="H457" s="727"/>
      <c r="I457" s="727"/>
      <c r="J457" s="727"/>
      <c r="K457" s="727"/>
      <c r="L457" s="727"/>
      <c r="M457" s="730" t="s">
        <v>788</v>
      </c>
      <c r="N457" s="84"/>
    </row>
    <row r="458" spans="4:14" ht="15" customHeight="1">
      <c r="D458" s="83"/>
      <c r="E458" s="28" t="s">
        <v>789</v>
      </c>
      <c r="F458" s="731">
        <v>2018</v>
      </c>
      <c r="G458" s="731">
        <v>2020</v>
      </c>
      <c r="H458" s="731">
        <v>2025</v>
      </c>
      <c r="I458" s="731">
        <v>2030</v>
      </c>
      <c r="J458" s="731">
        <v>2035</v>
      </c>
      <c r="K458" s="731">
        <v>2040</v>
      </c>
      <c r="L458" s="731">
        <v>2045</v>
      </c>
      <c r="M458" s="731">
        <v>2050</v>
      </c>
      <c r="N458" s="84"/>
    </row>
    <row r="459" spans="4:14" ht="15" customHeight="1">
      <c r="D459" s="83"/>
      <c r="E459" s="30" t="s">
        <v>795</v>
      </c>
      <c r="F459" s="713">
        <v>0.62</v>
      </c>
      <c r="G459" s="3656">
        <v>0.62</v>
      </c>
      <c r="H459" s="3656">
        <v>0.62</v>
      </c>
      <c r="I459" s="3656">
        <v>0.62</v>
      </c>
      <c r="J459" s="3656">
        <v>0.62</v>
      </c>
      <c r="K459" s="3656">
        <v>0.62</v>
      </c>
      <c r="L459" s="3656">
        <v>0.62</v>
      </c>
      <c r="M459" s="3656">
        <v>0.62</v>
      </c>
      <c r="N459" s="84"/>
    </row>
    <row r="460" spans="4:14" ht="15" customHeight="1">
      <c r="D460" s="83"/>
      <c r="E460" s="30" t="s">
        <v>791</v>
      </c>
      <c r="F460" s="713">
        <v>0.4</v>
      </c>
      <c r="G460" s="3656">
        <v>0.4</v>
      </c>
      <c r="H460" s="3656">
        <v>0.4</v>
      </c>
      <c r="I460" s="3656">
        <v>0.4</v>
      </c>
      <c r="J460" s="3656">
        <v>0.4</v>
      </c>
      <c r="K460" s="3656">
        <v>0.4</v>
      </c>
      <c r="L460" s="3656">
        <v>0.4</v>
      </c>
      <c r="M460" s="3656">
        <v>0.4</v>
      </c>
      <c r="N460" s="84"/>
    </row>
    <row r="461" spans="4:14" ht="15" customHeight="1">
      <c r="D461" s="83"/>
      <c r="E461" s="30" t="s">
        <v>792</v>
      </c>
      <c r="F461" s="713">
        <v>0.55000000000000004</v>
      </c>
      <c r="G461" s="3656">
        <v>0.55000000000000004</v>
      </c>
      <c r="H461" s="3656">
        <v>0.55000000000000004</v>
      </c>
      <c r="I461" s="3656">
        <v>0.55000000000000004</v>
      </c>
      <c r="J461" s="3656">
        <v>0.55000000000000004</v>
      </c>
      <c r="K461" s="3656">
        <v>0.55000000000000004</v>
      </c>
      <c r="L461" s="3656">
        <v>0.55000000000000004</v>
      </c>
      <c r="M461" s="3656">
        <v>0.55000000000000004</v>
      </c>
      <c r="N461" s="84"/>
    </row>
    <row r="462" spans="4:14" ht="15" customHeight="1">
      <c r="D462" s="83"/>
      <c r="E462" s="32" t="s">
        <v>793</v>
      </c>
      <c r="F462" s="714">
        <v>0.55000000000000004</v>
      </c>
      <c r="G462" s="1043">
        <v>0.55000000000000004</v>
      </c>
      <c r="H462" s="1043">
        <v>0.55000000000000004</v>
      </c>
      <c r="I462" s="1043">
        <v>0.55000000000000004</v>
      </c>
      <c r="J462" s="1043">
        <v>0.55000000000000004</v>
      </c>
      <c r="K462" s="1043">
        <v>0.55000000000000004</v>
      </c>
      <c r="L462" s="1043">
        <v>0.55000000000000004</v>
      </c>
      <c r="M462" s="1043">
        <v>0.55000000000000004</v>
      </c>
      <c r="N462" s="84"/>
    </row>
    <row r="463" spans="4:14" ht="15" customHeight="1">
      <c r="D463" s="83"/>
      <c r="E463" s="84"/>
      <c r="F463" s="732"/>
      <c r="G463" s="732"/>
      <c r="H463" s="732"/>
      <c r="I463" s="732"/>
      <c r="J463" s="732"/>
      <c r="K463" s="732"/>
      <c r="L463" s="732"/>
      <c r="M463" s="732"/>
      <c r="N463" s="84"/>
    </row>
    <row r="464" spans="4:14" ht="15" customHeight="1">
      <c r="D464" s="83"/>
      <c r="E464" s="26" t="s">
        <v>2148</v>
      </c>
      <c r="F464" s="727"/>
      <c r="G464" s="727"/>
      <c r="H464" s="727"/>
      <c r="I464" s="727"/>
      <c r="J464" s="727"/>
      <c r="K464" s="727"/>
      <c r="L464" s="727"/>
      <c r="M464" s="730" t="s">
        <v>788</v>
      </c>
      <c r="N464" s="84"/>
    </row>
    <row r="465" spans="4:14" ht="15" customHeight="1">
      <c r="D465" s="83"/>
      <c r="E465" s="28" t="s">
        <v>789</v>
      </c>
      <c r="F465" s="731">
        <v>2018</v>
      </c>
      <c r="G465" s="731">
        <v>2020</v>
      </c>
      <c r="H465" s="731">
        <v>2025</v>
      </c>
      <c r="I465" s="731">
        <v>2030</v>
      </c>
      <c r="J465" s="731">
        <v>2035</v>
      </c>
      <c r="K465" s="731">
        <v>2040</v>
      </c>
      <c r="L465" s="731">
        <v>2045</v>
      </c>
      <c r="M465" s="731">
        <v>2050</v>
      </c>
      <c r="N465" s="84"/>
    </row>
    <row r="466" spans="4:14" ht="15" customHeight="1">
      <c r="D466" s="83"/>
      <c r="E466" s="30" t="s">
        <v>795</v>
      </c>
      <c r="F466" s="713">
        <v>0.3</v>
      </c>
      <c r="G466" s="3656">
        <v>0.3</v>
      </c>
      <c r="H466" s="3656">
        <v>0.3</v>
      </c>
      <c r="I466" s="3656">
        <v>0.3</v>
      </c>
      <c r="J466" s="3656">
        <v>0.3</v>
      </c>
      <c r="K466" s="3656">
        <v>0.3</v>
      </c>
      <c r="L466" s="3656">
        <v>0.3</v>
      </c>
      <c r="M466" s="3656">
        <v>0.3</v>
      </c>
      <c r="N466" s="84"/>
    </row>
    <row r="467" spans="4:14" ht="15" customHeight="1">
      <c r="D467" s="83"/>
      <c r="E467" s="30" t="s">
        <v>791</v>
      </c>
      <c r="F467" s="713">
        <v>0.08</v>
      </c>
      <c r="G467" s="3656">
        <v>0.08</v>
      </c>
      <c r="H467" s="3656">
        <v>0.08</v>
      </c>
      <c r="I467" s="3656">
        <v>0.08</v>
      </c>
      <c r="J467" s="3656">
        <v>0.08</v>
      </c>
      <c r="K467" s="3656">
        <v>0.08</v>
      </c>
      <c r="L467" s="3656">
        <v>0.08</v>
      </c>
      <c r="M467" s="3656">
        <v>0.08</v>
      </c>
      <c r="N467" s="84"/>
    </row>
    <row r="468" spans="4:14" ht="15" customHeight="1">
      <c r="D468" s="83"/>
      <c r="E468" s="30" t="s">
        <v>792</v>
      </c>
      <c r="F468" s="713">
        <v>0.01</v>
      </c>
      <c r="G468" s="3656">
        <v>0.01</v>
      </c>
      <c r="H468" s="3656">
        <v>0.01</v>
      </c>
      <c r="I468" s="3656">
        <v>0.01</v>
      </c>
      <c r="J468" s="3656">
        <v>0.01</v>
      </c>
      <c r="K468" s="3656">
        <v>0.01</v>
      </c>
      <c r="L468" s="3656">
        <v>0.01</v>
      </c>
      <c r="M468" s="3656">
        <v>0.01</v>
      </c>
      <c r="N468" s="84"/>
    </row>
    <row r="469" spans="4:14" ht="15" customHeight="1">
      <c r="D469" s="83"/>
      <c r="E469" s="32" t="s">
        <v>793</v>
      </c>
      <c r="F469" s="714">
        <v>0.01</v>
      </c>
      <c r="G469" s="1043">
        <v>0.01</v>
      </c>
      <c r="H469" s="1043">
        <v>0.01</v>
      </c>
      <c r="I469" s="1043">
        <v>0.01</v>
      </c>
      <c r="J469" s="1043">
        <v>0.01</v>
      </c>
      <c r="K469" s="1043">
        <v>0.01</v>
      </c>
      <c r="L469" s="1043">
        <v>0.01</v>
      </c>
      <c r="M469" s="1043">
        <v>0.01</v>
      </c>
      <c r="N469" s="84"/>
    </row>
    <row r="470" spans="4:14" ht="15" customHeight="1">
      <c r="D470" s="83"/>
      <c r="E470" s="84"/>
      <c r="F470" s="732"/>
      <c r="G470" s="732"/>
      <c r="H470" s="732"/>
      <c r="I470" s="732"/>
      <c r="J470" s="732"/>
      <c r="K470" s="732"/>
      <c r="L470" s="732"/>
      <c r="M470" s="732"/>
      <c r="N470" s="84"/>
    </row>
    <row r="471" spans="4:14" ht="15" customHeight="1">
      <c r="D471" s="83"/>
      <c r="E471" s="26" t="s">
        <v>564</v>
      </c>
      <c r="F471" s="727"/>
      <c r="G471" s="727"/>
      <c r="H471" s="727"/>
      <c r="I471" s="727"/>
      <c r="J471" s="727"/>
      <c r="K471" s="727"/>
      <c r="L471" s="727"/>
      <c r="M471" s="730" t="s">
        <v>788</v>
      </c>
      <c r="N471" s="84"/>
    </row>
    <row r="472" spans="4:14" ht="15" customHeight="1">
      <c r="D472" s="83"/>
      <c r="E472" s="28" t="s">
        <v>789</v>
      </c>
      <c r="F472" s="731">
        <v>2018</v>
      </c>
      <c r="G472" s="731">
        <v>2020</v>
      </c>
      <c r="H472" s="731">
        <v>2025</v>
      </c>
      <c r="I472" s="731">
        <v>2030</v>
      </c>
      <c r="J472" s="731">
        <v>2035</v>
      </c>
      <c r="K472" s="731">
        <v>2040</v>
      </c>
      <c r="L472" s="731">
        <v>2045</v>
      </c>
      <c r="M472" s="731">
        <v>2050</v>
      </c>
      <c r="N472" s="84"/>
    </row>
    <row r="473" spans="4:14" ht="15" customHeight="1">
      <c r="D473" s="83"/>
      <c r="E473" s="30" t="s">
        <v>795</v>
      </c>
      <c r="F473" s="713">
        <v>0</v>
      </c>
      <c r="G473" s="3656">
        <v>0</v>
      </c>
      <c r="H473" s="3656">
        <v>0</v>
      </c>
      <c r="I473" s="3656">
        <v>0</v>
      </c>
      <c r="J473" s="3656">
        <v>0</v>
      </c>
      <c r="K473" s="3656">
        <v>0</v>
      </c>
      <c r="L473" s="3656">
        <v>0</v>
      </c>
      <c r="M473" s="3656">
        <v>0</v>
      </c>
      <c r="N473" s="84"/>
    </row>
    <row r="474" spans="4:14" ht="15" customHeight="1">
      <c r="D474" s="83"/>
      <c r="E474" s="30" t="s">
        <v>791</v>
      </c>
      <c r="F474" s="713">
        <v>0</v>
      </c>
      <c r="G474" s="3656">
        <v>0</v>
      </c>
      <c r="H474" s="3656">
        <v>0</v>
      </c>
      <c r="I474" s="3656">
        <v>0</v>
      </c>
      <c r="J474" s="3656">
        <v>0</v>
      </c>
      <c r="K474" s="3656">
        <v>0</v>
      </c>
      <c r="L474" s="3656">
        <v>0</v>
      </c>
      <c r="M474" s="3656">
        <v>0</v>
      </c>
      <c r="N474" s="84"/>
    </row>
    <row r="475" spans="4:14" ht="15" customHeight="1">
      <c r="D475" s="83"/>
      <c r="E475" s="30" t="s">
        <v>792</v>
      </c>
      <c r="F475" s="713">
        <v>0</v>
      </c>
      <c r="G475" s="3656">
        <v>0</v>
      </c>
      <c r="H475" s="3656">
        <v>0</v>
      </c>
      <c r="I475" s="3656">
        <v>0</v>
      </c>
      <c r="J475" s="3656">
        <v>0</v>
      </c>
      <c r="K475" s="3656">
        <v>0</v>
      </c>
      <c r="L475" s="3656">
        <v>0</v>
      </c>
      <c r="M475" s="3656">
        <v>0</v>
      </c>
      <c r="N475" s="84"/>
    </row>
    <row r="476" spans="4:14" ht="15" customHeight="1">
      <c r="D476" s="83"/>
      <c r="E476" s="32" t="s">
        <v>793</v>
      </c>
      <c r="F476" s="714">
        <v>0</v>
      </c>
      <c r="G476" s="1043">
        <v>0</v>
      </c>
      <c r="H476" s="1043">
        <v>0</v>
      </c>
      <c r="I476" s="1043">
        <v>0</v>
      </c>
      <c r="J476" s="1043">
        <v>0</v>
      </c>
      <c r="K476" s="1043">
        <v>0</v>
      </c>
      <c r="L476" s="1043">
        <v>0</v>
      </c>
      <c r="M476" s="1043">
        <v>0</v>
      </c>
      <c r="N476" s="84"/>
    </row>
    <row r="477" spans="4:14" ht="15" customHeight="1">
      <c r="D477" s="83"/>
      <c r="E477" s="30"/>
      <c r="F477" s="735"/>
      <c r="G477" s="735"/>
      <c r="H477" s="732"/>
      <c r="I477" s="732"/>
      <c r="J477" s="732"/>
      <c r="K477" s="732"/>
      <c r="L477" s="732"/>
      <c r="M477" s="732"/>
      <c r="N477" s="84"/>
    </row>
    <row r="478" spans="4:14" ht="15" customHeight="1">
      <c r="D478" s="83"/>
      <c r="E478" s="93" t="s">
        <v>2153</v>
      </c>
      <c r="F478" s="748"/>
      <c r="G478" s="748"/>
      <c r="H478" s="748"/>
      <c r="I478" s="748"/>
      <c r="J478" s="748"/>
      <c r="K478" s="748"/>
      <c r="L478" s="748"/>
      <c r="M478" s="748"/>
      <c r="N478" s="22"/>
    </row>
    <row r="479" spans="4:14" ht="15" customHeight="1">
      <c r="D479" s="83"/>
      <c r="E479" s="84"/>
      <c r="F479" s="732"/>
      <c r="G479" s="732"/>
      <c r="H479" s="732"/>
      <c r="I479" s="732"/>
      <c r="J479" s="732"/>
      <c r="K479" s="732"/>
      <c r="L479" s="732"/>
      <c r="M479" s="732"/>
      <c r="N479" s="84"/>
    </row>
    <row r="480" spans="4:14" ht="15" customHeight="1">
      <c r="D480" s="83"/>
      <c r="E480" s="26" t="s">
        <v>2138</v>
      </c>
      <c r="F480" s="727"/>
      <c r="G480" s="727"/>
      <c r="H480" s="727"/>
      <c r="I480" s="727"/>
      <c r="J480" s="727"/>
      <c r="K480" s="727"/>
      <c r="L480" s="727"/>
      <c r="M480" s="730" t="s">
        <v>788</v>
      </c>
      <c r="N480" s="84"/>
    </row>
    <row r="481" spans="4:14" ht="15" customHeight="1">
      <c r="D481" s="83"/>
      <c r="E481" s="28" t="s">
        <v>789</v>
      </c>
      <c r="F481" s="731">
        <v>2018</v>
      </c>
      <c r="G481" s="731">
        <v>2020</v>
      </c>
      <c r="H481" s="731">
        <v>2025</v>
      </c>
      <c r="I481" s="731">
        <v>2030</v>
      </c>
      <c r="J481" s="731">
        <v>2035</v>
      </c>
      <c r="K481" s="731">
        <v>2040</v>
      </c>
      <c r="L481" s="731">
        <v>2045</v>
      </c>
      <c r="M481" s="731">
        <v>2050</v>
      </c>
      <c r="N481" s="84"/>
    </row>
    <row r="482" spans="4:14" ht="15" customHeight="1">
      <c r="D482" s="83"/>
      <c r="E482" s="30" t="s">
        <v>795</v>
      </c>
      <c r="F482" s="713">
        <v>0.23</v>
      </c>
      <c r="G482" s="3656">
        <v>0.23</v>
      </c>
      <c r="H482" s="3656">
        <v>0.23</v>
      </c>
      <c r="I482" s="3656">
        <v>0.23</v>
      </c>
      <c r="J482" s="3656">
        <v>0.23</v>
      </c>
      <c r="K482" s="3656">
        <v>0.23</v>
      </c>
      <c r="L482" s="3656">
        <v>0.23</v>
      </c>
      <c r="M482" s="3656">
        <v>0.23</v>
      </c>
      <c r="N482" s="84"/>
    </row>
    <row r="483" spans="4:14" ht="15" customHeight="1">
      <c r="D483" s="83"/>
      <c r="E483" s="30" t="s">
        <v>791</v>
      </c>
      <c r="F483" s="713">
        <v>0.35</v>
      </c>
      <c r="G483" s="3656">
        <v>0.35</v>
      </c>
      <c r="H483" s="3656">
        <v>0.35</v>
      </c>
      <c r="I483" s="3656">
        <v>0.35</v>
      </c>
      <c r="J483" s="3656">
        <v>0.35</v>
      </c>
      <c r="K483" s="3656">
        <v>0.35</v>
      </c>
      <c r="L483" s="3656">
        <v>0.35</v>
      </c>
      <c r="M483" s="3656">
        <v>0.35</v>
      </c>
      <c r="N483" s="84"/>
    </row>
    <row r="484" spans="4:14" ht="15" customHeight="1">
      <c r="D484" s="83"/>
      <c r="E484" s="30" t="s">
        <v>792</v>
      </c>
      <c r="F484" s="713">
        <v>0.28000000000000003</v>
      </c>
      <c r="G484" s="3656">
        <v>0.28000000000000003</v>
      </c>
      <c r="H484" s="3656">
        <v>0.28000000000000003</v>
      </c>
      <c r="I484" s="3656">
        <v>0.28000000000000003</v>
      </c>
      <c r="J484" s="3656">
        <v>0.28000000000000003</v>
      </c>
      <c r="K484" s="3656">
        <v>0.28000000000000003</v>
      </c>
      <c r="L484" s="3656">
        <v>0.28000000000000003</v>
      </c>
      <c r="M484" s="3656">
        <v>0.28000000000000003</v>
      </c>
      <c r="N484" s="84"/>
    </row>
    <row r="485" spans="4:14" ht="15" customHeight="1">
      <c r="D485" s="83"/>
      <c r="E485" s="32" t="s">
        <v>793</v>
      </c>
      <c r="F485" s="714">
        <v>0.28000000000000003</v>
      </c>
      <c r="G485" s="1043">
        <v>0.28000000000000003</v>
      </c>
      <c r="H485" s="1043">
        <v>0.28000000000000003</v>
      </c>
      <c r="I485" s="1043">
        <v>0.28000000000000003</v>
      </c>
      <c r="J485" s="1043">
        <v>0.28000000000000003</v>
      </c>
      <c r="K485" s="1043">
        <v>0.28000000000000003</v>
      </c>
      <c r="L485" s="1043">
        <v>0.28000000000000003</v>
      </c>
      <c r="M485" s="1043">
        <v>0.28000000000000003</v>
      </c>
      <c r="N485" s="84"/>
    </row>
    <row r="486" spans="4:14" ht="15" customHeight="1">
      <c r="D486" s="83"/>
      <c r="E486" s="84"/>
      <c r="F486" s="732"/>
      <c r="G486" s="732"/>
      <c r="H486" s="732"/>
      <c r="I486" s="732"/>
      <c r="J486" s="732"/>
      <c r="K486" s="732"/>
      <c r="L486" s="732"/>
      <c r="M486" s="732"/>
      <c r="N486" s="84"/>
    </row>
    <row r="487" spans="4:14" ht="15" customHeight="1">
      <c r="D487" s="83"/>
      <c r="E487" s="26" t="s">
        <v>2148</v>
      </c>
      <c r="F487" s="727"/>
      <c r="G487" s="727"/>
      <c r="H487" s="727"/>
      <c r="I487" s="727"/>
      <c r="J487" s="727"/>
      <c r="K487" s="727"/>
      <c r="L487" s="727"/>
      <c r="M487" s="730" t="s">
        <v>788</v>
      </c>
      <c r="N487" s="84"/>
    </row>
    <row r="488" spans="4:14" ht="15" customHeight="1">
      <c r="D488" s="83"/>
      <c r="E488" s="28" t="s">
        <v>789</v>
      </c>
      <c r="F488" s="731">
        <v>2018</v>
      </c>
      <c r="G488" s="731">
        <v>2020</v>
      </c>
      <c r="H488" s="731">
        <v>2025</v>
      </c>
      <c r="I488" s="731">
        <v>2030</v>
      </c>
      <c r="J488" s="731">
        <v>2035</v>
      </c>
      <c r="K488" s="731">
        <v>2040</v>
      </c>
      <c r="L488" s="731">
        <v>2045</v>
      </c>
      <c r="M488" s="731">
        <v>2050</v>
      </c>
      <c r="N488" s="84"/>
    </row>
    <row r="489" spans="4:14" ht="15" customHeight="1">
      <c r="D489" s="83"/>
      <c r="E489" s="30" t="s">
        <v>795</v>
      </c>
      <c r="F489" s="713">
        <v>0.01</v>
      </c>
      <c r="G489" s="3656">
        <v>0.01</v>
      </c>
      <c r="H489" s="3656">
        <v>0.01</v>
      </c>
      <c r="I489" s="3656">
        <v>0.01</v>
      </c>
      <c r="J489" s="3656">
        <v>0.01</v>
      </c>
      <c r="K489" s="3656">
        <v>0.01</v>
      </c>
      <c r="L489" s="3656">
        <v>0.01</v>
      </c>
      <c r="M489" s="3656">
        <v>0.01</v>
      </c>
      <c r="N489" s="84"/>
    </row>
    <row r="490" spans="4:14" ht="15" customHeight="1">
      <c r="D490" s="83"/>
      <c r="E490" s="30" t="s">
        <v>791</v>
      </c>
      <c r="F490" s="713">
        <v>0</v>
      </c>
      <c r="G490" s="3656">
        <v>0</v>
      </c>
      <c r="H490" s="3656">
        <v>0</v>
      </c>
      <c r="I490" s="3656">
        <v>0</v>
      </c>
      <c r="J490" s="3656">
        <v>0</v>
      </c>
      <c r="K490" s="3656">
        <v>0</v>
      </c>
      <c r="L490" s="3656">
        <v>0</v>
      </c>
      <c r="M490" s="3656">
        <v>0</v>
      </c>
      <c r="N490" s="84"/>
    </row>
    <row r="491" spans="4:14" ht="15" customHeight="1">
      <c r="D491" s="83"/>
      <c r="E491" s="30" t="s">
        <v>792</v>
      </c>
      <c r="F491" s="713">
        <v>0</v>
      </c>
      <c r="G491" s="3656">
        <v>0</v>
      </c>
      <c r="H491" s="3656">
        <v>0</v>
      </c>
      <c r="I491" s="3656">
        <v>0</v>
      </c>
      <c r="J491" s="3656">
        <v>0</v>
      </c>
      <c r="K491" s="3656">
        <v>0</v>
      </c>
      <c r="L491" s="3656">
        <v>0</v>
      </c>
      <c r="M491" s="3656">
        <v>0</v>
      </c>
      <c r="N491" s="84"/>
    </row>
    <row r="492" spans="4:14" ht="15" customHeight="1">
      <c r="D492" s="83"/>
      <c r="E492" s="32" t="s">
        <v>793</v>
      </c>
      <c r="F492" s="714">
        <v>0</v>
      </c>
      <c r="G492" s="1043">
        <v>0</v>
      </c>
      <c r="H492" s="1043">
        <v>0</v>
      </c>
      <c r="I492" s="1043">
        <v>0</v>
      </c>
      <c r="J492" s="1043">
        <v>0</v>
      </c>
      <c r="K492" s="1043">
        <v>0</v>
      </c>
      <c r="L492" s="1043">
        <v>0</v>
      </c>
      <c r="M492" s="1043">
        <v>0</v>
      </c>
      <c r="N492" s="84"/>
    </row>
    <row r="493" spans="4:14" ht="15" customHeight="1">
      <c r="D493" s="83"/>
      <c r="E493" s="84"/>
      <c r="F493" s="732"/>
      <c r="G493" s="732"/>
      <c r="H493" s="732"/>
      <c r="I493" s="732"/>
      <c r="J493" s="732"/>
      <c r="K493" s="732"/>
      <c r="L493" s="732"/>
      <c r="M493" s="732"/>
      <c r="N493" s="84"/>
    </row>
    <row r="494" spans="4:14" ht="15" customHeight="1">
      <c r="D494" s="83"/>
      <c r="E494" s="93" t="s">
        <v>1259</v>
      </c>
      <c r="F494" s="748"/>
      <c r="G494" s="748"/>
      <c r="H494" s="748"/>
      <c r="I494" s="748"/>
      <c r="J494" s="748"/>
      <c r="K494" s="748"/>
      <c r="L494" s="748"/>
      <c r="M494" s="748"/>
      <c r="N494" s="22"/>
    </row>
    <row r="495" spans="4:14" ht="15" customHeight="1">
      <c r="D495" s="83"/>
      <c r="E495" s="84"/>
      <c r="F495" s="732"/>
      <c r="G495" s="732"/>
      <c r="H495" s="732"/>
      <c r="I495" s="732"/>
      <c r="J495" s="732"/>
      <c r="K495" s="732"/>
      <c r="L495" s="732"/>
      <c r="M495" s="732"/>
      <c r="N495" s="84"/>
    </row>
    <row r="496" spans="4:14" ht="15" customHeight="1">
      <c r="D496" s="83"/>
      <c r="E496" s="26" t="s">
        <v>861</v>
      </c>
      <c r="F496" s="727"/>
      <c r="G496" s="727"/>
      <c r="H496" s="727"/>
      <c r="I496" s="727"/>
      <c r="J496" s="727"/>
      <c r="K496" s="727"/>
      <c r="L496" s="727"/>
      <c r="M496" s="730" t="s">
        <v>2154</v>
      </c>
      <c r="N496" s="84"/>
    </row>
    <row r="497" spans="4:14" ht="15" customHeight="1">
      <c r="D497" s="83"/>
      <c r="E497" s="28" t="s">
        <v>789</v>
      </c>
      <c r="F497" s="731">
        <v>2018</v>
      </c>
      <c r="G497" s="731">
        <v>2020</v>
      </c>
      <c r="H497" s="731">
        <v>2025</v>
      </c>
      <c r="I497" s="731">
        <v>2030</v>
      </c>
      <c r="J497" s="731">
        <v>2035</v>
      </c>
      <c r="K497" s="731">
        <v>2040</v>
      </c>
      <c r="L497" s="731">
        <v>2045</v>
      </c>
      <c r="M497" s="731">
        <v>2050</v>
      </c>
      <c r="N497" s="84"/>
    </row>
    <row r="498" spans="4:14" ht="15" customHeight="1">
      <c r="D498" s="83"/>
      <c r="E498" s="30" t="s">
        <v>795</v>
      </c>
      <c r="F498" s="3657">
        <v>15</v>
      </c>
      <c r="G498" s="3658">
        <v>15</v>
      </c>
      <c r="H498" s="3658">
        <v>15</v>
      </c>
      <c r="I498" s="3658">
        <v>16</v>
      </c>
      <c r="J498" s="3658">
        <v>16</v>
      </c>
      <c r="K498" s="3658">
        <v>17</v>
      </c>
      <c r="L498" s="3658">
        <v>18</v>
      </c>
      <c r="M498" s="3658">
        <v>18</v>
      </c>
      <c r="N498" s="84"/>
    </row>
    <row r="499" spans="4:14" ht="15" customHeight="1">
      <c r="D499" s="83"/>
      <c r="E499" s="30" t="s">
        <v>791</v>
      </c>
      <c r="F499" s="3657">
        <v>11</v>
      </c>
      <c r="G499" s="3658">
        <v>12</v>
      </c>
      <c r="H499" s="3658">
        <v>13</v>
      </c>
      <c r="I499" s="3658">
        <v>14</v>
      </c>
      <c r="J499" s="3658">
        <v>15</v>
      </c>
      <c r="K499" s="3658">
        <v>16</v>
      </c>
      <c r="L499" s="3658">
        <v>17</v>
      </c>
      <c r="M499" s="3658">
        <v>18</v>
      </c>
      <c r="N499" s="84"/>
    </row>
    <row r="500" spans="4:14" ht="15" customHeight="1">
      <c r="D500" s="83"/>
      <c r="E500" s="30" t="s">
        <v>792</v>
      </c>
      <c r="F500" s="3657">
        <v>12</v>
      </c>
      <c r="G500" s="3658">
        <v>13</v>
      </c>
      <c r="H500" s="3658">
        <v>14</v>
      </c>
      <c r="I500" s="3658">
        <v>15</v>
      </c>
      <c r="J500" s="3658">
        <v>16</v>
      </c>
      <c r="K500" s="3658">
        <v>17</v>
      </c>
      <c r="L500" s="3658">
        <v>18</v>
      </c>
      <c r="M500" s="3658">
        <v>19</v>
      </c>
      <c r="N500" s="84"/>
    </row>
    <row r="501" spans="4:14" ht="15" customHeight="1">
      <c r="D501" s="83"/>
      <c r="E501" s="32" t="s">
        <v>793</v>
      </c>
      <c r="F501" s="3659">
        <v>12</v>
      </c>
      <c r="G501" s="1733">
        <v>13</v>
      </c>
      <c r="H501" s="1733">
        <v>14</v>
      </c>
      <c r="I501" s="1733">
        <v>15</v>
      </c>
      <c r="J501" s="1733">
        <v>16</v>
      </c>
      <c r="K501" s="1733">
        <v>17</v>
      </c>
      <c r="L501" s="1733">
        <v>18</v>
      </c>
      <c r="M501" s="1733">
        <v>19</v>
      </c>
      <c r="N501" s="84"/>
    </row>
    <row r="502" spans="4:14" ht="15" customHeight="1">
      <c r="D502" s="83"/>
      <c r="E502" s="84"/>
      <c r="F502" s="732"/>
      <c r="G502" s="732"/>
      <c r="H502" s="732"/>
      <c r="I502" s="732"/>
      <c r="J502" s="732"/>
      <c r="K502" s="732"/>
      <c r="L502" s="732"/>
      <c r="M502" s="732"/>
      <c r="N502" s="84"/>
    </row>
    <row r="503" spans="4:14" ht="15" customHeight="1">
      <c r="D503" s="83"/>
      <c r="E503" s="26" t="s">
        <v>863</v>
      </c>
      <c r="F503" s="727"/>
      <c r="G503" s="727"/>
      <c r="H503" s="727"/>
      <c r="I503" s="727"/>
      <c r="J503" s="727"/>
      <c r="K503" s="727"/>
      <c r="L503" s="727"/>
      <c r="M503" s="730" t="s">
        <v>2154</v>
      </c>
      <c r="N503" s="84"/>
    </row>
    <row r="504" spans="4:14" ht="15" customHeight="1">
      <c r="D504" s="83"/>
      <c r="E504" s="28" t="s">
        <v>789</v>
      </c>
      <c r="F504" s="731">
        <v>2018</v>
      </c>
      <c r="G504" s="731">
        <v>2020</v>
      </c>
      <c r="H504" s="731">
        <v>2025</v>
      </c>
      <c r="I504" s="731">
        <v>2030</v>
      </c>
      <c r="J504" s="731">
        <v>2035</v>
      </c>
      <c r="K504" s="731">
        <v>2040</v>
      </c>
      <c r="L504" s="731">
        <v>2045</v>
      </c>
      <c r="M504" s="731">
        <v>2050</v>
      </c>
      <c r="N504" s="84"/>
    </row>
    <row r="505" spans="4:14" ht="15" customHeight="1">
      <c r="D505" s="83"/>
      <c r="E505" s="30" t="s">
        <v>795</v>
      </c>
      <c r="F505" s="3657">
        <v>15</v>
      </c>
      <c r="G505" s="3658">
        <v>15</v>
      </c>
      <c r="H505" s="3658">
        <v>15</v>
      </c>
      <c r="I505" s="3658">
        <v>16</v>
      </c>
      <c r="J505" s="3658">
        <v>16</v>
      </c>
      <c r="K505" s="3658">
        <v>17</v>
      </c>
      <c r="L505" s="3658">
        <v>18</v>
      </c>
      <c r="M505" s="3658">
        <v>18</v>
      </c>
      <c r="N505" s="84"/>
    </row>
    <row r="506" spans="4:14" ht="15" customHeight="1">
      <c r="D506" s="83"/>
      <c r="E506" s="30" t="s">
        <v>791</v>
      </c>
      <c r="F506" s="3657">
        <v>11</v>
      </c>
      <c r="G506" s="3658">
        <v>12</v>
      </c>
      <c r="H506" s="3658">
        <v>13</v>
      </c>
      <c r="I506" s="3658">
        <v>14</v>
      </c>
      <c r="J506" s="3658">
        <v>15</v>
      </c>
      <c r="K506" s="3658">
        <v>16</v>
      </c>
      <c r="L506" s="3658">
        <v>17</v>
      </c>
      <c r="M506" s="3658">
        <v>18</v>
      </c>
      <c r="N506" s="84"/>
    </row>
    <row r="507" spans="4:14" ht="15" customHeight="1">
      <c r="D507" s="83"/>
      <c r="E507" s="30" t="s">
        <v>792</v>
      </c>
      <c r="F507" s="3657">
        <v>12</v>
      </c>
      <c r="G507" s="3658">
        <v>13</v>
      </c>
      <c r="H507" s="3658">
        <v>14</v>
      </c>
      <c r="I507" s="3658">
        <v>15</v>
      </c>
      <c r="J507" s="3658">
        <v>16</v>
      </c>
      <c r="K507" s="3658">
        <v>17</v>
      </c>
      <c r="L507" s="3658">
        <v>18</v>
      </c>
      <c r="M507" s="3658">
        <v>19</v>
      </c>
      <c r="N507" s="84"/>
    </row>
    <row r="508" spans="4:14" ht="15" customHeight="1">
      <c r="D508" s="83"/>
      <c r="E508" s="32" t="s">
        <v>793</v>
      </c>
      <c r="F508" s="3659">
        <v>12</v>
      </c>
      <c r="G508" s="1733">
        <v>13</v>
      </c>
      <c r="H508" s="1733">
        <v>14</v>
      </c>
      <c r="I508" s="1733">
        <v>15</v>
      </c>
      <c r="J508" s="1733">
        <v>16</v>
      </c>
      <c r="K508" s="1733">
        <v>17</v>
      </c>
      <c r="L508" s="1733">
        <v>18</v>
      </c>
      <c r="M508" s="1733">
        <v>19</v>
      </c>
      <c r="N508" s="84"/>
    </row>
    <row r="509" spans="4:14" ht="15" customHeight="1">
      <c r="D509" s="83"/>
      <c r="E509" s="26"/>
      <c r="F509" s="727"/>
      <c r="G509" s="727"/>
      <c r="H509" s="727"/>
      <c r="I509" s="727"/>
      <c r="J509" s="727"/>
      <c r="K509" s="727"/>
      <c r="L509" s="727"/>
      <c r="M509" s="730"/>
      <c r="N509" s="84"/>
    </row>
    <row r="510" spans="4:14" ht="15" customHeight="1">
      <c r="D510" s="83"/>
      <c r="E510" s="26" t="s">
        <v>862</v>
      </c>
      <c r="F510" s="727"/>
      <c r="G510" s="727"/>
      <c r="H510" s="727"/>
      <c r="I510" s="727"/>
      <c r="J510" s="727"/>
      <c r="K510" s="727"/>
      <c r="L510" s="727"/>
      <c r="M510" s="730" t="s">
        <v>2154</v>
      </c>
      <c r="N510" s="84"/>
    </row>
    <row r="511" spans="4:14" ht="15" customHeight="1">
      <c r="D511" s="83"/>
      <c r="E511" s="28" t="s">
        <v>789</v>
      </c>
      <c r="F511" s="731">
        <v>2018</v>
      </c>
      <c r="G511" s="731">
        <v>2020</v>
      </c>
      <c r="H511" s="731">
        <v>2025</v>
      </c>
      <c r="I511" s="731">
        <v>2030</v>
      </c>
      <c r="J511" s="731">
        <v>2035</v>
      </c>
      <c r="K511" s="731">
        <v>2040</v>
      </c>
      <c r="L511" s="731">
        <v>2045</v>
      </c>
      <c r="M511" s="731">
        <v>2050</v>
      </c>
      <c r="N511" s="84"/>
    </row>
    <row r="512" spans="4:14" ht="15" customHeight="1">
      <c r="D512" s="83"/>
      <c r="E512" s="30" t="s">
        <v>795</v>
      </c>
      <c r="F512" s="3657">
        <v>15</v>
      </c>
      <c r="G512" s="3658">
        <v>15</v>
      </c>
      <c r="H512" s="3658">
        <v>15</v>
      </c>
      <c r="I512" s="3658">
        <v>16</v>
      </c>
      <c r="J512" s="3658">
        <v>16</v>
      </c>
      <c r="K512" s="3658">
        <v>17</v>
      </c>
      <c r="L512" s="3658">
        <v>18</v>
      </c>
      <c r="M512" s="3658">
        <v>18</v>
      </c>
      <c r="N512" s="84"/>
    </row>
    <row r="513" spans="4:14" ht="15" customHeight="1">
      <c r="D513" s="83"/>
      <c r="E513" s="30" t="s">
        <v>791</v>
      </c>
      <c r="F513" s="3657">
        <v>11</v>
      </c>
      <c r="G513" s="3658">
        <v>12</v>
      </c>
      <c r="H513" s="3658">
        <v>13</v>
      </c>
      <c r="I513" s="3658">
        <v>14</v>
      </c>
      <c r="J513" s="3658">
        <v>15</v>
      </c>
      <c r="K513" s="3658">
        <v>16</v>
      </c>
      <c r="L513" s="3658">
        <v>17</v>
      </c>
      <c r="M513" s="3658">
        <v>18</v>
      </c>
      <c r="N513" s="84"/>
    </row>
    <row r="514" spans="4:14" ht="15" customHeight="1">
      <c r="D514" s="83"/>
      <c r="E514" s="30" t="s">
        <v>792</v>
      </c>
      <c r="F514" s="3657">
        <v>12</v>
      </c>
      <c r="G514" s="3658">
        <v>13</v>
      </c>
      <c r="H514" s="3658">
        <v>14</v>
      </c>
      <c r="I514" s="3658">
        <v>15</v>
      </c>
      <c r="J514" s="3658">
        <v>16</v>
      </c>
      <c r="K514" s="3658">
        <v>17</v>
      </c>
      <c r="L514" s="3658">
        <v>18</v>
      </c>
      <c r="M514" s="3658">
        <v>19</v>
      </c>
      <c r="N514" s="84"/>
    </row>
    <row r="515" spans="4:14" ht="15" customHeight="1">
      <c r="D515" s="83"/>
      <c r="E515" s="32" t="s">
        <v>793</v>
      </c>
      <c r="F515" s="3659">
        <v>12</v>
      </c>
      <c r="G515" s="1733">
        <v>13</v>
      </c>
      <c r="H515" s="1733">
        <v>14</v>
      </c>
      <c r="I515" s="1733">
        <v>15</v>
      </c>
      <c r="J515" s="1733">
        <v>16</v>
      </c>
      <c r="K515" s="1733">
        <v>17</v>
      </c>
      <c r="L515" s="1733">
        <v>18</v>
      </c>
      <c r="M515" s="1733">
        <v>19</v>
      </c>
      <c r="N515" s="84"/>
    </row>
    <row r="516" spans="4:14" ht="15" customHeight="1">
      <c r="D516" s="83"/>
      <c r="E516" s="84"/>
      <c r="F516" s="732"/>
      <c r="G516" s="732"/>
      <c r="H516" s="732"/>
      <c r="I516" s="732"/>
      <c r="J516" s="732"/>
      <c r="K516" s="732"/>
      <c r="L516" s="732"/>
      <c r="M516" s="732"/>
      <c r="N516" s="84"/>
    </row>
    <row r="517" spans="4:14" ht="15" customHeight="1">
      <c r="D517" s="83"/>
      <c r="E517" s="26" t="s">
        <v>564</v>
      </c>
      <c r="F517" s="727"/>
      <c r="G517" s="727"/>
      <c r="H517" s="727"/>
      <c r="I517" s="727"/>
      <c r="J517" s="727"/>
      <c r="K517" s="727"/>
      <c r="L517" s="727"/>
      <c r="M517" s="730" t="s">
        <v>2154</v>
      </c>
      <c r="N517" s="84"/>
    </row>
    <row r="518" spans="4:14" ht="15" customHeight="1">
      <c r="D518" s="83"/>
      <c r="E518" s="28" t="s">
        <v>789</v>
      </c>
      <c r="F518" s="731">
        <v>2018</v>
      </c>
      <c r="G518" s="731">
        <v>2020</v>
      </c>
      <c r="H518" s="731">
        <v>2025</v>
      </c>
      <c r="I518" s="731">
        <v>2030</v>
      </c>
      <c r="J518" s="731">
        <v>2035</v>
      </c>
      <c r="K518" s="731">
        <v>2040</v>
      </c>
      <c r="L518" s="731">
        <v>2045</v>
      </c>
      <c r="M518" s="731">
        <v>2050</v>
      </c>
      <c r="N518" s="84"/>
    </row>
    <row r="519" spans="4:14" ht="15" customHeight="1">
      <c r="D519" s="83"/>
      <c r="E519" s="30" t="s">
        <v>795</v>
      </c>
      <c r="F519" s="3657">
        <v>15</v>
      </c>
      <c r="G519" s="3658">
        <v>15</v>
      </c>
      <c r="H519" s="3658">
        <v>15</v>
      </c>
      <c r="I519" s="3658">
        <v>16</v>
      </c>
      <c r="J519" s="3658">
        <v>16</v>
      </c>
      <c r="K519" s="3658">
        <v>17</v>
      </c>
      <c r="L519" s="3658">
        <v>18</v>
      </c>
      <c r="M519" s="3658">
        <v>18</v>
      </c>
      <c r="N519" s="84"/>
    </row>
    <row r="520" spans="4:14" ht="15" customHeight="1">
      <c r="D520" s="83"/>
      <c r="E520" s="30" t="s">
        <v>791</v>
      </c>
      <c r="F520" s="3657">
        <v>11</v>
      </c>
      <c r="G520" s="3658">
        <v>12</v>
      </c>
      <c r="H520" s="3658">
        <v>13</v>
      </c>
      <c r="I520" s="3658">
        <v>14</v>
      </c>
      <c r="J520" s="3658">
        <v>15</v>
      </c>
      <c r="K520" s="3658">
        <v>16</v>
      </c>
      <c r="L520" s="3658">
        <v>17</v>
      </c>
      <c r="M520" s="3658">
        <v>18</v>
      </c>
      <c r="N520" s="84"/>
    </row>
    <row r="521" spans="4:14" ht="15" customHeight="1">
      <c r="D521" s="83"/>
      <c r="E521" s="30" t="s">
        <v>792</v>
      </c>
      <c r="F521" s="3657">
        <v>12</v>
      </c>
      <c r="G521" s="3658">
        <v>13</v>
      </c>
      <c r="H521" s="3658">
        <v>14</v>
      </c>
      <c r="I521" s="3658">
        <v>15</v>
      </c>
      <c r="J521" s="3658">
        <v>16</v>
      </c>
      <c r="K521" s="3658">
        <v>17</v>
      </c>
      <c r="L521" s="3658">
        <v>18</v>
      </c>
      <c r="M521" s="3658">
        <v>19</v>
      </c>
      <c r="N521" s="84"/>
    </row>
    <row r="522" spans="4:14" ht="15" customHeight="1">
      <c r="D522" s="83"/>
      <c r="E522" s="32" t="s">
        <v>793</v>
      </c>
      <c r="F522" s="3659">
        <v>12</v>
      </c>
      <c r="G522" s="1733">
        <v>13</v>
      </c>
      <c r="H522" s="1733">
        <v>14</v>
      </c>
      <c r="I522" s="1733">
        <v>15</v>
      </c>
      <c r="J522" s="1733">
        <v>16</v>
      </c>
      <c r="K522" s="1733">
        <v>17</v>
      </c>
      <c r="L522" s="1733">
        <v>18</v>
      </c>
      <c r="M522" s="1733">
        <v>19</v>
      </c>
      <c r="N522" s="84"/>
    </row>
    <row r="523" spans="4:14" ht="15" customHeight="1">
      <c r="D523" s="83"/>
      <c r="E523" s="35"/>
      <c r="F523" s="735"/>
      <c r="G523" s="735"/>
      <c r="H523" s="734"/>
      <c r="I523" s="734"/>
      <c r="J523" s="734"/>
      <c r="K523" s="734"/>
      <c r="L523" s="734"/>
      <c r="M523" s="734"/>
      <c r="N523" s="36"/>
    </row>
    <row r="524" spans="4:14" ht="15" customHeight="1">
      <c r="D524" s="83"/>
      <c r="E524" s="93" t="s">
        <v>2155</v>
      </c>
      <c r="F524" s="748"/>
      <c r="G524" s="748"/>
      <c r="H524" s="748"/>
      <c r="I524" s="748"/>
      <c r="J524" s="748"/>
      <c r="K524" s="748"/>
      <c r="L524" s="748"/>
      <c r="M524" s="748"/>
      <c r="N524" s="22"/>
    </row>
    <row r="525" spans="4:14" ht="15" customHeight="1">
      <c r="D525" s="83"/>
      <c r="E525" s="84"/>
      <c r="F525" s="732"/>
      <c r="G525" s="732"/>
      <c r="H525" s="732"/>
      <c r="I525" s="732"/>
      <c r="J525" s="732"/>
      <c r="K525" s="732"/>
      <c r="L525" s="732"/>
      <c r="M525" s="732"/>
      <c r="N525" s="84"/>
    </row>
    <row r="526" spans="4:14" ht="15" customHeight="1">
      <c r="D526" s="83"/>
      <c r="E526" s="26" t="s">
        <v>2156</v>
      </c>
      <c r="F526" s="727"/>
      <c r="G526" s="727"/>
      <c r="H526" s="727"/>
      <c r="I526" s="727"/>
      <c r="J526" s="727"/>
      <c r="K526" s="727"/>
      <c r="L526" s="727"/>
      <c r="M526" s="730" t="s">
        <v>788</v>
      </c>
      <c r="N526" s="84"/>
    </row>
    <row r="527" spans="4:14" ht="15" customHeight="1">
      <c r="D527" s="83"/>
      <c r="E527" s="28" t="s">
        <v>789</v>
      </c>
      <c r="F527" s="731">
        <v>2018</v>
      </c>
      <c r="G527" s="731">
        <v>2020</v>
      </c>
      <c r="H527" s="731">
        <v>2025</v>
      </c>
      <c r="I527" s="731">
        <v>2030</v>
      </c>
      <c r="J527" s="731">
        <v>2035</v>
      </c>
      <c r="K527" s="731">
        <v>2040</v>
      </c>
      <c r="L527" s="731">
        <v>2045</v>
      </c>
      <c r="M527" s="731">
        <v>2050</v>
      </c>
      <c r="N527" s="84"/>
    </row>
    <row r="528" spans="4:14" ht="15" customHeight="1">
      <c r="D528" s="83"/>
      <c r="E528" s="30" t="s">
        <v>795</v>
      </c>
      <c r="F528" s="713">
        <v>0.85</v>
      </c>
      <c r="G528" s="3656">
        <v>0.85</v>
      </c>
      <c r="H528" s="3656">
        <v>0.88</v>
      </c>
      <c r="I528" s="3656">
        <v>0.91</v>
      </c>
      <c r="J528" s="3656">
        <v>0.94</v>
      </c>
      <c r="K528" s="3656">
        <v>0.97</v>
      </c>
      <c r="L528" s="3656">
        <v>1</v>
      </c>
      <c r="M528" s="3656">
        <v>1</v>
      </c>
      <c r="N528" s="84"/>
    </row>
    <row r="529" spans="4:14" ht="15" customHeight="1">
      <c r="D529" s="83"/>
      <c r="E529" s="30" t="s">
        <v>791</v>
      </c>
      <c r="F529" s="713">
        <v>0.69</v>
      </c>
      <c r="G529" s="3656">
        <v>0.69</v>
      </c>
      <c r="H529" s="3656">
        <v>0.72</v>
      </c>
      <c r="I529" s="3656">
        <v>0.75</v>
      </c>
      <c r="J529" s="3656">
        <v>0.78</v>
      </c>
      <c r="K529" s="3656">
        <v>0.82</v>
      </c>
      <c r="L529" s="3656">
        <v>0.86</v>
      </c>
      <c r="M529" s="3656">
        <v>0.86</v>
      </c>
      <c r="N529" s="84"/>
    </row>
    <row r="530" spans="4:14" ht="15" customHeight="1">
      <c r="D530" s="83"/>
      <c r="E530" s="30" t="s">
        <v>792</v>
      </c>
      <c r="F530" s="713">
        <v>0.86</v>
      </c>
      <c r="G530" s="3656">
        <v>0.86</v>
      </c>
      <c r="H530" s="3656">
        <v>0.89</v>
      </c>
      <c r="I530" s="3656">
        <v>0.92</v>
      </c>
      <c r="J530" s="3656">
        <v>0.95</v>
      </c>
      <c r="K530" s="3656">
        <v>0.98</v>
      </c>
      <c r="L530" s="3656">
        <v>1</v>
      </c>
      <c r="M530" s="3656">
        <v>1</v>
      </c>
      <c r="N530" s="84"/>
    </row>
    <row r="531" spans="4:14" ht="15" customHeight="1">
      <c r="D531" s="83"/>
      <c r="E531" s="32" t="s">
        <v>793</v>
      </c>
      <c r="F531" s="714">
        <v>0.86</v>
      </c>
      <c r="G531" s="1043">
        <v>0.86</v>
      </c>
      <c r="H531" s="1043">
        <v>0.89</v>
      </c>
      <c r="I531" s="1043">
        <v>0.92</v>
      </c>
      <c r="J531" s="1043">
        <v>0.95</v>
      </c>
      <c r="K531" s="1043">
        <v>0.98</v>
      </c>
      <c r="L531" s="1043">
        <v>1</v>
      </c>
      <c r="M531" s="1043">
        <v>1</v>
      </c>
      <c r="N531" s="84"/>
    </row>
    <row r="532" spans="4:14" ht="15" customHeight="1">
      <c r="D532" s="83"/>
      <c r="E532" s="30"/>
      <c r="F532" s="740"/>
      <c r="G532" s="740"/>
      <c r="H532" s="740"/>
      <c r="I532" s="740"/>
      <c r="J532" s="740"/>
      <c r="K532" s="740"/>
      <c r="L532" s="740"/>
      <c r="M532" s="740"/>
      <c r="N532" s="84"/>
    </row>
    <row r="533" spans="4:14" ht="15" customHeight="1">
      <c r="D533" s="83"/>
      <c r="E533" s="93" t="s">
        <v>2157</v>
      </c>
      <c r="F533" s="1416"/>
      <c r="G533" s="1416"/>
      <c r="H533" s="1416"/>
      <c r="I533" s="1416"/>
      <c r="J533" s="1416"/>
      <c r="K533" s="1416"/>
      <c r="L533" s="1416"/>
      <c r="M533" s="1416"/>
      <c r="N533" s="84"/>
    </row>
    <row r="534" spans="4:14" ht="15" customHeight="1">
      <c r="D534" s="83"/>
      <c r="E534" s="30"/>
      <c r="F534" s="740"/>
      <c r="G534" s="740"/>
      <c r="H534" s="740"/>
      <c r="I534" s="740"/>
      <c r="J534" s="740"/>
      <c r="K534" s="740"/>
      <c r="L534" s="740"/>
      <c r="M534" s="1418" t="s">
        <v>768</v>
      </c>
      <c r="N534" s="84"/>
    </row>
    <row r="535" spans="4:14" ht="15" customHeight="1">
      <c r="D535" s="83"/>
      <c r="E535" s="28"/>
      <c r="F535" s="731">
        <v>2018</v>
      </c>
      <c r="G535" s="731">
        <v>2020</v>
      </c>
      <c r="H535" s="731">
        <v>2025</v>
      </c>
      <c r="I535" s="731">
        <v>2030</v>
      </c>
      <c r="J535" s="731">
        <v>2035</v>
      </c>
      <c r="K535" s="731">
        <v>2040</v>
      </c>
      <c r="L535" s="731">
        <v>2045</v>
      </c>
      <c r="M535" s="731">
        <v>2050</v>
      </c>
      <c r="N535" s="84"/>
    </row>
    <row r="536" spans="4:14" ht="15" customHeight="1">
      <c r="D536" s="83"/>
      <c r="E536" s="1417" t="s">
        <v>2158</v>
      </c>
      <c r="F536" s="1417" cm="1">
        <f t="array" ref="F536:M536">'ELECT_ Electricidad'!HORAS_OPERACION_AÑO*'ELECT_ Electricidad'!F178:M178</f>
        <v>525.6</v>
      </c>
      <c r="G536" s="1417">
        <v>525.6</v>
      </c>
      <c r="H536" s="1417">
        <v>525.6</v>
      </c>
      <c r="I536" s="1417">
        <v>525.6</v>
      </c>
      <c r="J536" s="1417">
        <v>525.6</v>
      </c>
      <c r="K536" s="1417">
        <v>525.6</v>
      </c>
      <c r="L536" s="1417">
        <v>525.6</v>
      </c>
      <c r="M536" s="1417">
        <v>525.6</v>
      </c>
      <c r="N536" s="84"/>
    </row>
    <row r="537" spans="4:14" ht="15" customHeight="1">
      <c r="D537" s="83"/>
      <c r="E537" s="35"/>
      <c r="F537" s="733"/>
      <c r="G537" s="733"/>
      <c r="H537" s="733"/>
      <c r="I537" s="733"/>
      <c r="J537" s="733"/>
      <c r="K537" s="733"/>
      <c r="L537" s="733"/>
      <c r="M537" s="733"/>
      <c r="N537" s="84"/>
    </row>
    <row r="538" spans="4:14" ht="15" customHeight="1">
      <c r="D538" s="83"/>
      <c r="E538" s="35"/>
      <c r="F538" s="733"/>
      <c r="G538" s="733"/>
      <c r="H538" s="733"/>
      <c r="I538" s="733"/>
      <c r="J538" s="733"/>
      <c r="K538" s="733"/>
      <c r="L538" s="733"/>
      <c r="M538" s="733"/>
      <c r="N538" s="84"/>
    </row>
    <row r="539" spans="4:14" ht="15" customHeight="1">
      <c r="D539" s="83"/>
      <c r="E539" s="30"/>
      <c r="F539" s="735"/>
      <c r="G539" s="735"/>
      <c r="H539" s="732"/>
      <c r="I539" s="732"/>
      <c r="J539" s="732"/>
      <c r="K539" s="732"/>
      <c r="L539" s="732"/>
      <c r="M539" s="732"/>
      <c r="N539" s="84"/>
    </row>
    <row r="540" spans="4:14" ht="15" customHeight="1">
      <c r="F540" s="747"/>
      <c r="G540" s="747"/>
      <c r="H540" s="747"/>
      <c r="I540" s="747"/>
      <c r="J540" s="747"/>
      <c r="K540" s="747"/>
      <c r="L540" s="747"/>
      <c r="M540" s="747"/>
    </row>
    <row r="541" spans="4:14" ht="15" customHeight="1">
      <c r="D541" s="335" t="s">
        <v>51</v>
      </c>
      <c r="E541" s="1421"/>
      <c r="F541" s="1422"/>
      <c r="G541" s="1422"/>
      <c r="H541" s="1422"/>
      <c r="I541" s="1422"/>
      <c r="J541" s="1422"/>
      <c r="K541" s="1422"/>
      <c r="L541" s="1422"/>
      <c r="M541" s="1422"/>
      <c r="N541" s="1421"/>
    </row>
    <row r="542" spans="4:14" ht="15" customHeight="1">
      <c r="D542" s="83"/>
      <c r="E542" s="19"/>
      <c r="F542" s="732"/>
      <c r="G542" s="732"/>
      <c r="H542" s="732"/>
      <c r="I542" s="732"/>
      <c r="J542" s="732"/>
      <c r="K542" s="732"/>
      <c r="L542" s="732"/>
      <c r="M542" s="732"/>
      <c r="N542" s="84"/>
    </row>
    <row r="543" spans="4:14" ht="15" customHeight="1">
      <c r="D543" s="83"/>
      <c r="E543" s="93" t="s">
        <v>2159</v>
      </c>
      <c r="F543" s="748"/>
      <c r="G543" s="748"/>
      <c r="H543" s="748"/>
      <c r="I543" s="748"/>
      <c r="J543" s="748"/>
      <c r="K543" s="748"/>
      <c r="L543" s="748"/>
      <c r="M543" s="748"/>
      <c r="N543" s="22"/>
    </row>
    <row r="544" spans="4:14" ht="15" customHeight="1">
      <c r="D544" s="83"/>
      <c r="E544" s="19"/>
      <c r="F544" s="732"/>
      <c r="G544" s="732"/>
      <c r="H544" s="732"/>
      <c r="I544" s="732"/>
      <c r="J544" s="732"/>
      <c r="K544" s="732"/>
      <c r="L544" s="732"/>
      <c r="M544" s="732"/>
      <c r="N544" s="84"/>
    </row>
    <row r="545" spans="4:14" ht="15" customHeight="1">
      <c r="D545" s="13"/>
      <c r="E545" s="26" t="s">
        <v>2160</v>
      </c>
      <c r="F545" s="732"/>
      <c r="G545" s="732"/>
      <c r="H545" s="732"/>
      <c r="I545" s="732"/>
      <c r="J545" s="732"/>
      <c r="K545" s="732"/>
      <c r="L545" s="732"/>
      <c r="M545" s="732"/>
      <c r="N545" s="84"/>
    </row>
    <row r="546" spans="4:14" ht="15" customHeight="1">
      <c r="D546" s="83"/>
      <c r="E546" s="26" t="s">
        <v>861</v>
      </c>
      <c r="F546" s="788"/>
      <c r="G546" s="788"/>
      <c r="H546" s="788"/>
      <c r="I546" s="788"/>
      <c r="J546" s="788"/>
      <c r="K546" s="788"/>
      <c r="L546" s="788"/>
      <c r="M546" s="971" t="s">
        <v>803</v>
      </c>
      <c r="N546" s="84"/>
    </row>
    <row r="547" spans="4:14" ht="15" customHeight="1">
      <c r="D547" s="96"/>
      <c r="E547" s="28" t="s">
        <v>859</v>
      </c>
      <c r="F547" s="972">
        <v>2018</v>
      </c>
      <c r="G547" s="972">
        <v>2020</v>
      </c>
      <c r="H547" s="972">
        <v>2025</v>
      </c>
      <c r="I547" s="972">
        <v>2030</v>
      </c>
      <c r="J547" s="972">
        <v>2035</v>
      </c>
      <c r="K547" s="972">
        <v>2040</v>
      </c>
      <c r="L547" s="972">
        <v>2045</v>
      </c>
      <c r="M547" s="972">
        <v>2050</v>
      </c>
      <c r="N547" s="84"/>
    </row>
    <row r="548" spans="4:14" ht="15" customHeight="1">
      <c r="D548" s="83"/>
      <c r="E548" s="30" t="s">
        <v>795</v>
      </c>
      <c r="F548" s="3660" cm="1">
        <f t="array" ref="F548:M548">INDEX(ST_PORCENTAJE_TECNOLOGIA_ILUMINACION_INCANDESCENTE,FRIO,0)*INDEX(SF_BOMBILLOS_INCANDESCENTES,FRIO,0)*GEN_HOGARES*INDEX(GEN_PORCENTAJE_HOGARES_POR_ZONA_CLIMATICA,FRIO,0)*INDEX(COSTOS_Iluminacion_Costosdecapital_ALTO_,Incandescente,0)*COSTOS_Pesos_Colombianos_COP_MMCOP</f>
        <v>3.8475367222500005</v>
      </c>
      <c r="G548" s="3660">
        <v>4.374096929948796</v>
      </c>
      <c r="H548" s="3660">
        <v>5.4765040199434205</v>
      </c>
      <c r="I548" s="3660">
        <v>6.906201706825347</v>
      </c>
      <c r="J548" s="3660">
        <v>7.8490718363722252</v>
      </c>
      <c r="K548" s="3660">
        <v>9.315933478447386</v>
      </c>
      <c r="L548" s="3660">
        <v>10.901322954405877</v>
      </c>
      <c r="M548" s="3660">
        <v>11.948464266070511</v>
      </c>
      <c r="N548" s="84"/>
    </row>
    <row r="549" spans="4:14" ht="15" customHeight="1">
      <c r="D549" s="83"/>
      <c r="E549" s="30" t="s">
        <v>791</v>
      </c>
      <c r="F549" s="3661" cm="1">
        <f t="array" ref="F549:M549">INDEX(ST_PORCENTAJE_TECNOLOGIA_ILUMINACION_INCANDESCENTE,TEMPLADO,0)*INDEX(SF_BOMBILLOS_INCANDESCENTES,TEMPLADO,0)*GEN_HOGARES*INDEX(GEN_PORCENTAJE_HOGARES_POR_ZONA_CLIMATICA,TEMPLADO,0)*INDEX(COSTOS_Iluminacion_Costosdecapital_ALTO_,Incandescente,0)*COSTOS_Pesos_Colombianos_COP_MMCOP</f>
        <v>1.2248241860182809</v>
      </c>
      <c r="G549" s="3662">
        <v>1.5190355705601359</v>
      </c>
      <c r="H549" s="3662">
        <v>2.0603692420001467</v>
      </c>
      <c r="I549" s="3662">
        <v>2.6232329898242357</v>
      </c>
      <c r="J549" s="3662">
        <v>3.1943252479128961</v>
      </c>
      <c r="K549" s="3662">
        <v>3.8061595888828772</v>
      </c>
      <c r="L549" s="3662">
        <v>4.4693583356368993</v>
      </c>
      <c r="M549" s="3662">
        <v>5.1868255677693353</v>
      </c>
      <c r="N549" s="84"/>
    </row>
    <row r="550" spans="4:14" ht="15" customHeight="1">
      <c r="D550" s="83"/>
      <c r="E550" s="30" t="s">
        <v>792</v>
      </c>
      <c r="F550" s="3661" cm="1">
        <f t="array" ref="F550:M550">INDEX(ST_PORCENTAJE_TECNOLOGIA_ILUMINACION_INCANDESCENTE,CALIDO_SECO,0)*INDEX(SF_BOMBILLOS_INCANDESCENTES,CALIDO_SECO,0)*GEN_HOGARES*INDEX(GEN_PORCENTAJE_HOGARES_POR_ZONA_CLIMATICA,CALIDO_SECO,0)*INDEX(COSTOS_Iluminacion_Costosdecapital_ALTO_,Incandescente,0)*COSTOS_Pesos_Colombianos_COP_MMCOP</f>
        <v>0.17094072000000005</v>
      </c>
      <c r="G550" s="3662">
        <v>0.21052964799111298</v>
      </c>
      <c r="H550" s="3662">
        <v>0.28386572391750825</v>
      </c>
      <c r="I550" s="3662">
        <v>0.35956987836049681</v>
      </c>
      <c r="J550" s="3662">
        <v>0.43590421869208407</v>
      </c>
      <c r="K550" s="3662">
        <v>0.51736750395024156</v>
      </c>
      <c r="L550" s="3662">
        <v>0.60541332328367092</v>
      </c>
      <c r="M550" s="3662">
        <v>0.70043195829707627</v>
      </c>
      <c r="N550" s="84"/>
    </row>
    <row r="551" spans="4:14" ht="15" customHeight="1">
      <c r="D551" s="83"/>
      <c r="E551" s="30" t="s">
        <v>793</v>
      </c>
      <c r="F551" s="3661" cm="1">
        <f t="array" ref="F551:M551">INDEX(ST_PORCENTAJE_TECNOLOGIA_ILUMINACION_INCANDESCENTE,CALIDO_HUMEDO,0)*INDEX(SF_BOMBILLOS_INCANDESCENTES,CALIDO_HUMEDO,0)*GEN_HOGARES*INDEX(GEN_PORCENTAJE_HOGARES_POR_ZONA_CLIMATICA,CALIDO_HUMEDO,0)*INDEX(COSTOS_Iluminacion_Costosdecapital_ALTO_,CALIDO_HUMEDO,0)*COSTOS_Pesos_Colombianos_COP_MMCOP</f>
        <v>1.2785328</v>
      </c>
      <c r="G551" s="3662">
        <v>1.5746339452009561</v>
      </c>
      <c r="H551" s="3662">
        <v>2.1231432675858555</v>
      </c>
      <c r="I551" s="3662">
        <v>2.6893643795106597</v>
      </c>
      <c r="J551" s="3662">
        <v>3.2602988992687205</v>
      </c>
      <c r="K551" s="3662">
        <v>3.8695948130703637</v>
      </c>
      <c r="L551" s="3662">
        <v>4.5281240852102238</v>
      </c>
      <c r="M551" s="3662">
        <v>5.2388057851344261</v>
      </c>
      <c r="N551" s="84"/>
    </row>
    <row r="552" spans="4:14" ht="15" customHeight="1">
      <c r="D552" s="83"/>
      <c r="E552" s="945" t="s">
        <v>1626</v>
      </c>
      <c r="F552" s="946" cm="1">
        <f t="array" ref="F552:M552">_xlfn.ANCHORARRAY(F548)+_xlfn.ANCHORARRAY(F549)+_xlfn.ANCHORARRAY(F550)++_xlfn.ANCHORARRAY(F551)</f>
        <v>6.5218344282682814</v>
      </c>
      <c r="G552" s="947">
        <v>7.6782960937010012</v>
      </c>
      <c r="H552" s="947">
        <v>9.9438822534469313</v>
      </c>
      <c r="I552" s="947">
        <v>12.578368954520741</v>
      </c>
      <c r="J552" s="947">
        <v>14.739600202245926</v>
      </c>
      <c r="K552" s="947">
        <v>17.509055384350869</v>
      </c>
      <c r="L552" s="947">
        <v>20.504218698536672</v>
      </c>
      <c r="M552" s="947">
        <v>23.074527577271347</v>
      </c>
      <c r="N552" s="84"/>
    </row>
    <row r="553" spans="4:14" ht="15" customHeight="1">
      <c r="D553" s="83"/>
      <c r="E553" s="30"/>
      <c r="F553" s="751"/>
      <c r="G553" s="751"/>
      <c r="H553" s="751"/>
      <c r="I553" s="751"/>
      <c r="J553" s="751"/>
      <c r="K553" s="751"/>
      <c r="L553" s="751"/>
      <c r="M553" s="751"/>
      <c r="N553" s="84"/>
    </row>
    <row r="554" spans="4:14" ht="15" customHeight="1">
      <c r="D554" s="83"/>
      <c r="E554" s="26" t="s">
        <v>863</v>
      </c>
      <c r="F554" s="751"/>
      <c r="G554" s="751"/>
      <c r="H554" s="751"/>
      <c r="I554" s="751"/>
      <c r="J554" s="751"/>
      <c r="K554" s="751"/>
      <c r="L554" s="751"/>
      <c r="M554" s="751"/>
      <c r="N554" s="84"/>
    </row>
    <row r="555" spans="4:14" ht="15" customHeight="1">
      <c r="D555" s="83"/>
      <c r="E555" s="28" t="s">
        <v>859</v>
      </c>
      <c r="F555" s="972">
        <v>2018</v>
      </c>
      <c r="G555" s="972">
        <v>2020</v>
      </c>
      <c r="H555" s="972">
        <v>2025</v>
      </c>
      <c r="I555" s="972">
        <v>2030</v>
      </c>
      <c r="J555" s="972">
        <v>2035</v>
      </c>
      <c r="K555" s="972">
        <v>2040</v>
      </c>
      <c r="L555" s="972">
        <v>2045</v>
      </c>
      <c r="M555" s="972">
        <v>2050</v>
      </c>
      <c r="N555" s="84"/>
    </row>
    <row r="556" spans="4:14" ht="15" customHeight="1">
      <c r="D556" s="83"/>
      <c r="E556" s="30" t="s">
        <v>795</v>
      </c>
      <c r="F556" s="3660" cm="1">
        <f t="array" ref="F556:M556">INDEX(ST_PORCENTAJE_TECNOLOGIA_ILUMINACION_LFC,FRIO,0)*INDEX(SF_BOMBILLOS_LFC,FRIO,0)*GEN_HOGARES*INDEX(GEN_PORCENTAJE_HOGARES_POR_ZONA_CLIMATICA,FRIO,0)*INDEX(COSTOS_Iluminacion_Costosdecapital_ALTO_,LFC,0)*COSTOS_Pesos_Colombianos_COP_MMCOP</f>
        <v>278.88378034725008</v>
      </c>
      <c r="G556" s="3660">
        <v>317.05082381021595</v>
      </c>
      <c r="H556" s="3660">
        <v>396.95739233271797</v>
      </c>
      <c r="I556" s="3660">
        <v>500.58720133898083</v>
      </c>
      <c r="J556" s="3660">
        <v>568.92993724684345</v>
      </c>
      <c r="K556" s="3660">
        <v>675.25352803224018</v>
      </c>
      <c r="L556" s="3660">
        <v>790.16845732224351</v>
      </c>
      <c r="M556" s="3660">
        <v>866.06915655820399</v>
      </c>
      <c r="N556" s="84"/>
    </row>
    <row r="557" spans="4:14" ht="15" customHeight="1">
      <c r="D557" s="83"/>
      <c r="E557" s="30" t="s">
        <v>791</v>
      </c>
      <c r="F557" s="3661" cm="1">
        <f t="array" ref="F557:M557">INDEX(ST_PORCENTAJE_TECNOLOGIA_ILUMINACION_LFC,TEMPLADO,0)*INDEX(SF_BOMBILLOS_LFC,TEMPLADO,0)*GEN_HOGARES*INDEX(GEN_PORCENTAJE_HOGARES_POR_ZONA_CLIMATICA,TEMPLADO,0)*INDEX(COSTOS_Iluminacion_Costosdecapital_ALTO_,LFC,0)*COSTOS_Pesos_Colombianos_COP_MMCOP</f>
        <v>61.881649407333228</v>
      </c>
      <c r="G557" s="3662">
        <v>76.746056852658924</v>
      </c>
      <c r="H557" s="3662">
        <v>104.09579475858177</v>
      </c>
      <c r="I557" s="3662">
        <v>132.53329420099402</v>
      </c>
      <c r="J557" s="3662">
        <v>161.38652170719652</v>
      </c>
      <c r="K557" s="3662">
        <v>192.29815671201513</v>
      </c>
      <c r="L557" s="3662">
        <v>225.80486959578784</v>
      </c>
      <c r="M557" s="3662">
        <v>262.05338283294111</v>
      </c>
      <c r="N557" s="84"/>
    </row>
    <row r="558" spans="4:14" ht="15" customHeight="1">
      <c r="D558" s="83"/>
      <c r="E558" s="30" t="s">
        <v>792</v>
      </c>
      <c r="F558" s="3661" cm="1">
        <f t="array" ref="F558:M558">INDEX(ST_PORCENTAJE_TECNOLOGIA_ILUMINACION_LFC,CALIDO_SECO,0)*INDEX(SF_BOMBILLOS_LFC,CALIDO_SECO,0)*GEN_HOGARES*INDEX(GEN_PORCENTAJE_HOGARES_POR_ZONA_CLIMATICA,CALIDO_HUMEDO,0)*INDEX(COSTOS_Iluminacion_Costosdecapital_ALTO_,LFC,0)*COSTOS_Pesos_Colombianos_COP_MMCOP</f>
        <v>16.608309300000002</v>
      </c>
      <c r="G558" s="3662">
        <v>20.454702136837426</v>
      </c>
      <c r="H558" s="3662">
        <v>27.579910406896531</v>
      </c>
      <c r="I558" s="3662">
        <v>34.935197153577612</v>
      </c>
      <c r="J558" s="3662">
        <v>42.351711688197952</v>
      </c>
      <c r="K558" s="3662">
        <v>50.266545778996274</v>
      </c>
      <c r="L558" s="3662">
        <v>58.820927672681492</v>
      </c>
      <c r="M558" s="3662">
        <v>68.052776465446868</v>
      </c>
      <c r="N558" s="84"/>
    </row>
    <row r="559" spans="4:14" ht="15" customHeight="1">
      <c r="D559" s="83"/>
      <c r="E559" s="32" t="s">
        <v>793</v>
      </c>
      <c r="F559" s="3663" cm="1">
        <f t="array" ref="F559:M559">INDEX(ST_PORCENTAJE_TECNOLOGIA_ILUMINACION_LFC,CALIDO_HUMEDO,0)*INDEX(SF_BOMBILLOS_LFC,CALIDO_HUMEDO,0)*GEN_HOGARES*INDEX(GEN_PORCENTAJE_HOGARES_POR_ZONA_CLIMATICA,CALIDO_HUMEDO,0)*INDEX(COSTOS_Iluminacion_Costosdecapital_ALTO_,LFC,0)*COSTOS_Pesos_Colombianos_COP_MMCOP</f>
        <v>16.608309300000002</v>
      </c>
      <c r="G559" s="3664">
        <v>20.454702136837426</v>
      </c>
      <c r="H559" s="3664">
        <v>27.579910406896531</v>
      </c>
      <c r="I559" s="3664">
        <v>34.935197153577612</v>
      </c>
      <c r="J559" s="3664">
        <v>42.351711688197952</v>
      </c>
      <c r="K559" s="3664">
        <v>50.266545778996274</v>
      </c>
      <c r="L559" s="3664">
        <v>58.820927672681492</v>
      </c>
      <c r="M559" s="3664">
        <v>68.052776465446868</v>
      </c>
      <c r="N559" s="84"/>
    </row>
    <row r="560" spans="4:14" ht="15" customHeight="1">
      <c r="D560" s="83"/>
      <c r="E560" s="945" t="s">
        <v>1626</v>
      </c>
      <c r="F560" s="946" cm="1">
        <f t="array" ref="F560:M560">_xlfn.ANCHORARRAY(F556)+_xlfn.ANCHORARRAY(F557)+_xlfn.ANCHORARRAY(F558)++_xlfn.ANCHORARRAY(F559)</f>
        <v>373.9820483545833</v>
      </c>
      <c r="G560" s="947">
        <v>434.70628493654976</v>
      </c>
      <c r="H560" s="947">
        <v>556.2130079050927</v>
      </c>
      <c r="I560" s="947">
        <v>702.99088984713012</v>
      </c>
      <c r="J560" s="947">
        <v>815.01988233043585</v>
      </c>
      <c r="K560" s="947">
        <v>968.08477630224786</v>
      </c>
      <c r="L560" s="947">
        <v>1133.6151822633944</v>
      </c>
      <c r="M560" s="947">
        <v>1264.2280923220387</v>
      </c>
      <c r="N560" s="84"/>
    </row>
    <row r="561" spans="4:14" ht="15" customHeight="1">
      <c r="D561" s="83"/>
      <c r="E561" s="30"/>
      <c r="F561" s="751"/>
      <c r="G561" s="751"/>
      <c r="H561" s="751"/>
      <c r="I561" s="751"/>
      <c r="J561" s="751"/>
      <c r="K561" s="751"/>
      <c r="L561" s="751"/>
      <c r="M561" s="751"/>
      <c r="N561" s="84"/>
    </row>
    <row r="562" spans="4:14" ht="15" customHeight="1">
      <c r="D562" s="83"/>
      <c r="E562" s="26" t="s">
        <v>862</v>
      </c>
      <c r="F562" s="751"/>
      <c r="G562" s="751"/>
      <c r="H562" s="751"/>
      <c r="I562" s="751"/>
      <c r="J562" s="751"/>
      <c r="K562" s="751"/>
      <c r="L562" s="751"/>
      <c r="M562" s="751"/>
      <c r="N562" s="84"/>
    </row>
    <row r="563" spans="4:14" ht="15" customHeight="1">
      <c r="D563" s="83"/>
      <c r="E563" s="28" t="s">
        <v>859</v>
      </c>
      <c r="F563" s="972">
        <v>2018</v>
      </c>
      <c r="G563" s="972">
        <v>2020</v>
      </c>
      <c r="H563" s="972">
        <v>2025</v>
      </c>
      <c r="I563" s="972">
        <v>2030</v>
      </c>
      <c r="J563" s="972">
        <v>2035</v>
      </c>
      <c r="K563" s="972">
        <v>2040</v>
      </c>
      <c r="L563" s="972">
        <v>2045</v>
      </c>
      <c r="M563" s="972">
        <v>2050</v>
      </c>
      <c r="N563" s="84"/>
    </row>
    <row r="564" spans="4:14" ht="15" customHeight="1">
      <c r="D564" s="83"/>
      <c r="E564" s="30" t="s">
        <v>795</v>
      </c>
      <c r="F564" s="3660" cm="1">
        <f t="array" ref="F564:M564">INDEX(ST_PORCENTAJE_TECNOLOGIA_ILUMINACION_LED,FRIO,0)*INDEX(SF_BOMBILLOS_LED,FRIO,0)*GEN_HOGARES*INDEX(GEN_PORCENTAJE_HOGARES_POR_ZONA_CLIMATICA,FRIO,0)*INDEX(COSTOS_Iluminacion_Costosdecapital_ALTO_,LED,0)*COSTOS_Pesos_Colombianos_COP_MMCOP</f>
        <v>0</v>
      </c>
      <c r="G564" s="3660">
        <v>0</v>
      </c>
      <c r="H564" s="3660">
        <v>0</v>
      </c>
      <c r="I564" s="3660">
        <v>0</v>
      </c>
      <c r="J564" s="3660">
        <v>0</v>
      </c>
      <c r="K564" s="3660">
        <v>0</v>
      </c>
      <c r="L564" s="3660">
        <v>0</v>
      </c>
      <c r="M564" s="3660">
        <v>0</v>
      </c>
      <c r="N564" s="84"/>
    </row>
    <row r="565" spans="4:14" ht="15" customHeight="1">
      <c r="D565" s="83"/>
      <c r="E565" s="30" t="s">
        <v>791</v>
      </c>
      <c r="F565" s="3661" cm="1">
        <f t="array" ref="F565:M565">INDEX(ST_PORCENTAJE_TECNOLOGIA_ILUMINACION_LED,TEMPLADO,0)*INDEX(SF_BOMBILLOS_LED,TEMPLADO,0)*GEN_HOGARES*INDEX(GEN_PORCENTAJE_HOGARES_POR_ZONA_CLIMATICA,TEMPLADO,0)*INDEX(COSTOS_Iluminacion_Costosdecapital_ALTO_,LED,0)*COSTOS_Pesos_Colombianos_COP_MMCOP</f>
        <v>0</v>
      </c>
      <c r="G565" s="3662">
        <v>0</v>
      </c>
      <c r="H565" s="3662">
        <v>0</v>
      </c>
      <c r="I565" s="3662">
        <v>0</v>
      </c>
      <c r="J565" s="3662">
        <v>0</v>
      </c>
      <c r="K565" s="3662">
        <v>0</v>
      </c>
      <c r="L565" s="3662">
        <v>0</v>
      </c>
      <c r="M565" s="3662">
        <v>0</v>
      </c>
      <c r="N565" s="84"/>
    </row>
    <row r="566" spans="4:14" ht="15" customHeight="1">
      <c r="D566" s="83"/>
      <c r="E566" s="30" t="s">
        <v>792</v>
      </c>
      <c r="F566" s="3661" cm="1">
        <f t="array" ref="F566:M566">INDEX(ST_PORCENTAJE_TECNOLOGIA_ILUMINACION_LED,CALIDO_SECO,0)*INDEX(SF_BOMBILLOS_LED,CALIDO_SECO,0)*GEN_HOGARES*INDEX(GEN_PORCENTAJE_HOGARES_POR_ZONA_CLIMATICA,CALIDO_HUMEDO,0)*INDEX(COSTOS_Iluminacion_Costosdecapital_ALTO_,LED,0)*COSTOS_Pesos_Colombianos_COP_MMCOP</f>
        <v>0</v>
      </c>
      <c r="G566" s="3662">
        <v>0</v>
      </c>
      <c r="H566" s="3662">
        <v>0</v>
      </c>
      <c r="I566" s="3662">
        <v>0</v>
      </c>
      <c r="J566" s="3662">
        <v>0</v>
      </c>
      <c r="K566" s="3662">
        <v>0</v>
      </c>
      <c r="L566" s="3662">
        <v>0</v>
      </c>
      <c r="M566" s="3662">
        <v>0</v>
      </c>
      <c r="N566" s="84"/>
    </row>
    <row r="567" spans="4:14" ht="15" customHeight="1">
      <c r="D567" s="83"/>
      <c r="E567" s="32" t="s">
        <v>793</v>
      </c>
      <c r="F567" s="3663" cm="1">
        <f t="array" ref="F567:M567">INDEX(ST_PORCENTAJE_TECNOLOGIA_ILUMINACION_LED,CALIDO_HUMEDO,0)*INDEX(SF_BOMBILLOS_LED,CALIDO_HUMEDO,0)*GEN_HOGARES*INDEX(GEN_PORCENTAJE_HOGARES_POR_ZONA_CLIMATICA,CALIDO_HUMEDO,0)*INDEX(COSTOS_Iluminacion_Costosdecapital_ALTO_,LED,0)*COSTOS_Pesos_Colombianos_COP_MMCOP</f>
        <v>0</v>
      </c>
      <c r="G567" s="3664">
        <v>0</v>
      </c>
      <c r="H567" s="3664">
        <v>0</v>
      </c>
      <c r="I567" s="3664">
        <v>0</v>
      </c>
      <c r="J567" s="3664">
        <v>0</v>
      </c>
      <c r="K567" s="3664">
        <v>0</v>
      </c>
      <c r="L567" s="3664">
        <v>0</v>
      </c>
      <c r="M567" s="3664">
        <v>0</v>
      </c>
      <c r="N567" s="84"/>
    </row>
    <row r="568" spans="4:14" ht="15" customHeight="1">
      <c r="D568" s="83"/>
      <c r="E568" s="945" t="s">
        <v>1626</v>
      </c>
      <c r="F568" s="946" cm="1">
        <f t="array" ref="F568:M568">_xlfn.ANCHORARRAY(F564)+_xlfn.ANCHORARRAY(F565)+_xlfn.ANCHORARRAY(F566)++_xlfn.ANCHORARRAY(F567)</f>
        <v>0</v>
      </c>
      <c r="G568" s="947">
        <v>0</v>
      </c>
      <c r="H568" s="947">
        <v>0</v>
      </c>
      <c r="I568" s="947">
        <v>0</v>
      </c>
      <c r="J568" s="947">
        <v>0</v>
      </c>
      <c r="K568" s="947">
        <v>0</v>
      </c>
      <c r="L568" s="947">
        <v>0</v>
      </c>
      <c r="M568" s="947">
        <v>0</v>
      </c>
      <c r="N568" s="84"/>
    </row>
    <row r="569" spans="4:14" ht="15" customHeight="1">
      <c r="D569" s="83"/>
      <c r="E569" s="30"/>
      <c r="F569" s="751"/>
      <c r="G569" s="751"/>
      <c r="H569" s="751"/>
      <c r="I569" s="751"/>
      <c r="J569" s="751"/>
      <c r="K569" s="751"/>
      <c r="L569" s="751"/>
      <c r="M569" s="751"/>
      <c r="N569" s="84"/>
    </row>
    <row r="570" spans="4:14" ht="15" customHeight="1">
      <c r="D570" s="83"/>
      <c r="E570" s="26" t="s">
        <v>564</v>
      </c>
      <c r="F570" s="751"/>
      <c r="G570" s="751"/>
      <c r="H570" s="751"/>
      <c r="I570" s="751"/>
      <c r="J570" s="751"/>
      <c r="K570" s="751"/>
      <c r="L570" s="751"/>
      <c r="M570" s="751"/>
      <c r="N570" s="84"/>
    </row>
    <row r="571" spans="4:14" ht="15" customHeight="1">
      <c r="D571" s="83"/>
      <c r="E571" s="28" t="s">
        <v>859</v>
      </c>
      <c r="F571" s="972">
        <v>2018</v>
      </c>
      <c r="G571" s="972">
        <v>2020</v>
      </c>
      <c r="H571" s="972">
        <v>2025</v>
      </c>
      <c r="I571" s="972">
        <v>2030</v>
      </c>
      <c r="J571" s="972">
        <v>2035</v>
      </c>
      <c r="K571" s="972">
        <v>2040</v>
      </c>
      <c r="L571" s="972">
        <v>2045</v>
      </c>
      <c r="M571" s="972">
        <v>2050</v>
      </c>
      <c r="N571" s="84"/>
    </row>
    <row r="572" spans="4:14" ht="15" customHeight="1">
      <c r="D572" s="83"/>
      <c r="E572" s="30" t="s">
        <v>795</v>
      </c>
      <c r="F572" s="3660" cm="1">
        <f t="array" ref="F572:M572">INDEX(ST_PORCENTAJE_TECNOLOGIA_ILUMINACION_OTROS,FRIO,0)*INDEX(SF_BOMBILLOS_OTROS,FRIO,0)*GEN_HOGARES*INDEX(GEN_PORCENTAJE_HOGARES_POR_ZONA_CLIMATICA,FRIO,0)*INDEX(COSTOS_Iluminacion_Costosdecapital_ALTO_,OTROS_ILUMINACION,0)*COSTOS_Pesos_Colombianos_COP_MMCOP</f>
        <v>4.0401363600000044</v>
      </c>
      <c r="G572" s="3660">
        <v>4.5930550699243602</v>
      </c>
      <c r="H572" s="3660">
        <v>5.7506463521732547</v>
      </c>
      <c r="I572" s="3660">
        <v>7.2519117137684823</v>
      </c>
      <c r="J572" s="3660">
        <v>8.2419799491439232</v>
      </c>
      <c r="K572" s="3660">
        <v>9.7822696157676958</v>
      </c>
      <c r="L572" s="3660">
        <v>11.447020371631972</v>
      </c>
      <c r="M572" s="3660">
        <v>12.546579386325501</v>
      </c>
      <c r="N572" s="84"/>
    </row>
    <row r="573" spans="4:14" ht="15" customHeight="1">
      <c r="D573" s="83"/>
      <c r="E573" s="30" t="s">
        <v>791</v>
      </c>
      <c r="F573" s="3661" cm="1">
        <f t="array" ref="F573:M573">INDEX(ST_PORCENTAJE_TECNOLOGIA_ILUMINACION_OTROS,TEMPLADO,0)*INDEX(SF_BOMBILLOS_OTROS,TEMPLADO,0)*GEN_HOGARES*INDEX(GEN_PORCENTAJE_HOGARES_POR_ZONA_CLIMATICA,TEMPLADO,0)*INDEX(COSTOS_Iluminacion_Costosdecapital_ALTO_,OTROS_ILUMINACION,0)*COSTOS_Pesos_Colombianos_COP_MMCOP</f>
        <v>0.65738431452614099</v>
      </c>
      <c r="G573" s="3662">
        <v>0.81529265072709456</v>
      </c>
      <c r="H573" s="3662">
        <v>1.1058357903807714</v>
      </c>
      <c r="I573" s="3662">
        <v>1.407934494226444</v>
      </c>
      <c r="J573" s="3662">
        <v>1.7144495817797496</v>
      </c>
      <c r="K573" s="3662">
        <v>2.0428316495356365</v>
      </c>
      <c r="L573" s="3662">
        <v>2.3987818818271647</v>
      </c>
      <c r="M573" s="3662">
        <v>2.7838589483762974</v>
      </c>
      <c r="N573" s="84"/>
    </row>
    <row r="574" spans="4:14" ht="15" customHeight="1">
      <c r="D574" s="83"/>
      <c r="E574" s="30" t="s">
        <v>792</v>
      </c>
      <c r="F574" s="3661" cm="1">
        <f t="array" ref="F574:M574">INDEX(ST_PORCENTAJE_TECNOLOGIA_ILUMINACION_OTROS,CALIDO_SECO,0)*INDEX(SF_BOMBILLOS_OTROS,CALIDO_SECO,0)*GEN_HOGARES*INDEX(GEN_PORCENTAJE_HOGARES_POR_ZONA_CLIMATICA,CALIDO_SECO,0)*INDEX(COSTOS_Iluminacion_Costosdecapital_ALTO_,OTROS_ILUMINACION,0)*COSTOS_Pesos_Colombianos_COP_MMCOP</f>
        <v>0.19887839999999984</v>
      </c>
      <c r="G574" s="3662">
        <v>0.24493754059907857</v>
      </c>
      <c r="H574" s="3662">
        <v>0.33025929098435852</v>
      </c>
      <c r="I574" s="3662">
        <v>0.41833614656899881</v>
      </c>
      <c r="J574" s="3662">
        <v>0.50714618241184262</v>
      </c>
      <c r="K574" s="3662">
        <v>0.60192341179806441</v>
      </c>
      <c r="L574" s="3662">
        <v>0.70435899107795474</v>
      </c>
      <c r="M574" s="3662">
        <v>0.81490698749244272</v>
      </c>
      <c r="N574" s="84"/>
    </row>
    <row r="575" spans="4:14" ht="15" customHeight="1">
      <c r="D575" s="83"/>
      <c r="E575" s="32" t="s">
        <v>793</v>
      </c>
      <c r="F575" s="3663" cm="1">
        <f t="array" ref="F575:M575">INDEX(ST_PORCENTAJE_TECNOLOGIA_ILUMINACION_OTROS,CALIDO_HUMEDO,0)*INDEX(SF_BOMBILLOS_OTROS,CALIDO_HUMEDO,0)*GEN_HOGARES*INDEX(GEN_PORCENTAJE_HOGARES_POR_ZONA_CLIMATICA,CALIDO_HUMEDO,0)*INDEX(COSTOS_Iluminacion_Costosdecapital_ALTO_,OTROS_ILUMINACION,0)*COSTOS_Pesos_Colombianos_COP_MMCOP</f>
        <v>0.23551919999999985</v>
      </c>
      <c r="G575" s="3664">
        <v>0.29006414780017598</v>
      </c>
      <c r="H575" s="3664">
        <v>0.39110533876581527</v>
      </c>
      <c r="I575" s="3664">
        <v>0.49540922780459484</v>
      </c>
      <c r="J575" s="3664">
        <v>0.60058137618107965</v>
      </c>
      <c r="K575" s="3664">
        <v>0.71282009714453998</v>
      </c>
      <c r="L575" s="3664">
        <v>0.83412812095977751</v>
      </c>
      <c r="M575" s="3664">
        <v>0.96504317094581482</v>
      </c>
      <c r="N575" s="84"/>
    </row>
    <row r="576" spans="4:14" ht="15" customHeight="1">
      <c r="D576" s="83"/>
      <c r="E576" s="945" t="s">
        <v>1626</v>
      </c>
      <c r="F576" s="946" cm="1">
        <f t="array" ref="F576:M576">_xlfn.ANCHORARRAY(F572)+_xlfn.ANCHORARRAY(F573)+_xlfn.ANCHORARRAY(F574)++_xlfn.ANCHORARRAY(F575)</f>
        <v>5.1319182745261447</v>
      </c>
      <c r="G576" s="947">
        <v>5.9433494090507093</v>
      </c>
      <c r="H576" s="947">
        <v>7.5778467723041993</v>
      </c>
      <c r="I576" s="947">
        <v>9.57359158236852</v>
      </c>
      <c r="J576" s="947">
        <v>11.064157089516595</v>
      </c>
      <c r="K576" s="947">
        <v>13.139844774245937</v>
      </c>
      <c r="L576" s="947">
        <v>15.384289365496869</v>
      </c>
      <c r="M576" s="947">
        <v>17.110388493140057</v>
      </c>
      <c r="N576" s="84"/>
    </row>
    <row r="577" spans="4:14" ht="15" customHeight="1">
      <c r="D577" s="83"/>
      <c r="E577" s="30"/>
      <c r="F577" s="751"/>
      <c r="G577" s="751"/>
      <c r="H577" s="751"/>
      <c r="I577" s="751"/>
      <c r="J577" s="751"/>
      <c r="K577" s="751"/>
      <c r="L577" s="751"/>
      <c r="M577" s="751"/>
      <c r="N577" s="84"/>
    </row>
    <row r="578" spans="4:14" ht="15" customHeight="1">
      <c r="D578" s="13"/>
      <c r="E578" s="26" t="s">
        <v>2161</v>
      </c>
      <c r="F578" s="3094"/>
      <c r="G578" s="3094"/>
      <c r="H578" s="3094"/>
      <c r="I578" s="3094"/>
      <c r="J578" s="3094"/>
      <c r="K578" s="3094"/>
      <c r="L578" s="3094"/>
      <c r="M578" s="3094"/>
      <c r="N578" s="84"/>
    </row>
    <row r="579" spans="4:14" ht="15" customHeight="1">
      <c r="D579" s="83"/>
      <c r="E579" s="26" t="s">
        <v>861</v>
      </c>
      <c r="F579" s="788"/>
      <c r="G579" s="788"/>
      <c r="H579" s="788"/>
      <c r="I579" s="788"/>
      <c r="J579" s="788"/>
      <c r="K579" s="788"/>
      <c r="L579" s="788"/>
      <c r="M579" s="971" t="s">
        <v>803</v>
      </c>
      <c r="N579" s="84"/>
    </row>
    <row r="580" spans="4:14" ht="15" customHeight="1">
      <c r="D580" s="96"/>
      <c r="E580" s="28" t="s">
        <v>859</v>
      </c>
      <c r="F580" s="972">
        <v>2018</v>
      </c>
      <c r="G580" s="972">
        <v>2020</v>
      </c>
      <c r="H580" s="972">
        <v>2025</v>
      </c>
      <c r="I580" s="972">
        <v>2030</v>
      </c>
      <c r="J580" s="972">
        <v>2035</v>
      </c>
      <c r="K580" s="972">
        <v>2040</v>
      </c>
      <c r="L580" s="972">
        <v>2045</v>
      </c>
      <c r="M580" s="972">
        <v>2050</v>
      </c>
      <c r="N580" s="84"/>
    </row>
    <row r="581" spans="4:14" ht="15" customHeight="1">
      <c r="D581" s="83"/>
      <c r="E581" s="30" t="s">
        <v>795</v>
      </c>
      <c r="F581" s="3660" cm="1">
        <f t="array" ref="F581:M581">INDEX(ST_PORCENTAJE_TECNOLOGIA_ILUMINACION_INCANDESCENTE,FRIO,0)*INDEX(SF_BOMBILLOS_INCANDESCENTES,FRIO,0)*GEN_HOGARES*INDEX(GEN_PORCENTAJE_HOGARES_POR_ZONA_CLIMATICA,FRIO,0)*INDEX(COSTOS_Iluminacion_Costosdecapital_MEDIO,Incandescente,0)*COSTOS_Pesos_Colombianos_COP_MMCOP</f>
        <v>3.0780293778000005</v>
      </c>
      <c r="G581" s="3660">
        <v>3.4992775439590367</v>
      </c>
      <c r="H581" s="3660">
        <v>4.3812032159547361</v>
      </c>
      <c r="I581" s="3660">
        <v>5.5249613654602783</v>
      </c>
      <c r="J581" s="3660">
        <v>6.2792574690977805</v>
      </c>
      <c r="K581" s="3660">
        <v>7.4527467827579095</v>
      </c>
      <c r="L581" s="3660">
        <v>8.721058363524703</v>
      </c>
      <c r="M581" s="3660">
        <v>9.5587714128564105</v>
      </c>
      <c r="N581" s="84"/>
    </row>
    <row r="582" spans="4:14" ht="15" customHeight="1">
      <c r="D582" s="83"/>
      <c r="E582" s="30" t="s">
        <v>791</v>
      </c>
      <c r="F582" s="3661" cm="1">
        <f t="array" ref="F582:M582">INDEX(ST_PORCENTAJE_TECNOLOGIA_ILUMINACION_INCANDESCENTE,TEMPLADO,0)*INDEX(SF_BOMBILLOS_INCANDESCENTES,TEMPLADO,0)*GEN_HOGARES*INDEX(GEN_PORCENTAJE_HOGARES_POR_ZONA_CLIMATICA,TEMPLADO,0)*INDEX(COSTOS_Iluminacion_Costosdecapital_MEDIO,Incandescente,0)*COSTOS_Pesos_Colombianos_COP_MMCOP</f>
        <v>0.97985934881462478</v>
      </c>
      <c r="G582" s="3662">
        <v>1.2152284564481088</v>
      </c>
      <c r="H582" s="3662">
        <v>1.6482953936001175</v>
      </c>
      <c r="I582" s="3662">
        <v>2.0985863918593886</v>
      </c>
      <c r="J582" s="3662">
        <v>2.5554601983303167</v>
      </c>
      <c r="K582" s="3662">
        <v>3.0449276711063016</v>
      </c>
      <c r="L582" s="3662">
        <v>3.5754866685095195</v>
      </c>
      <c r="M582" s="3662">
        <v>4.1494604542154683</v>
      </c>
      <c r="N582" s="84"/>
    </row>
    <row r="583" spans="4:14" ht="15" customHeight="1">
      <c r="D583" s="83"/>
      <c r="E583" s="30" t="s">
        <v>792</v>
      </c>
      <c r="F583" s="3661" cm="1">
        <f t="array" ref="F583:M583">INDEX(ST_PORCENTAJE_TECNOLOGIA_ILUMINACION_INCANDESCENTE,CALIDO_SECO,0)*INDEX(SF_BOMBILLOS_INCANDESCENTES,CALIDO_SECO,0)*GEN_HOGARES*INDEX(GEN_PORCENTAJE_HOGARES_POR_ZONA_CLIMATICA,CALIDO_SECO,0)*INDEX(COSTOS_Iluminacion_Costosdecapital_MEDIO,Incandescente,0)*COSTOS_Pesos_Colombianos_COP_MMCOP</f>
        <v>0.13675257600000004</v>
      </c>
      <c r="G583" s="3662">
        <v>0.16842371839289039</v>
      </c>
      <c r="H583" s="3662">
        <v>0.2270925791340066</v>
      </c>
      <c r="I583" s="3662">
        <v>0.28765590268839741</v>
      </c>
      <c r="J583" s="3662">
        <v>0.34872337495366723</v>
      </c>
      <c r="K583" s="3662">
        <v>0.41389400316019326</v>
      </c>
      <c r="L583" s="3662">
        <v>0.48433065862693675</v>
      </c>
      <c r="M583" s="3662">
        <v>0.560345566637661</v>
      </c>
      <c r="N583" s="84"/>
    </row>
    <row r="584" spans="4:14" ht="15" customHeight="1">
      <c r="D584" s="83"/>
      <c r="E584" s="32" t="s">
        <v>793</v>
      </c>
      <c r="F584" s="3663" cm="1">
        <f t="array" ref="F584:M584">INDEX(ST_PORCENTAJE_TECNOLOGIA_ILUMINACION_INCANDESCENTE,CALIDO_HUMEDO,0)*INDEX(SF_BOMBILLOS_INCANDESCENTES,CALIDO_HUMEDO,0)*GEN_HOGARES*INDEX(GEN_PORCENTAJE_HOGARES_POR_ZONA_CLIMATICA,CALIDO_HUMEDO,0)*INDEX(COSTOS_Iluminacion_Costosdecapital_MEDIO,Incandescente,0)*COSTOS_Pesos_Colombianos_COP_MMCOP</f>
        <v>0.161947488</v>
      </c>
      <c r="G584" s="3664">
        <v>0.1994536330587878</v>
      </c>
      <c r="H584" s="3664">
        <v>0.26893148056087501</v>
      </c>
      <c r="I584" s="3664">
        <v>0.34065282140468356</v>
      </c>
      <c r="J584" s="3664">
        <v>0.41297119390737125</v>
      </c>
      <c r="K584" s="3664">
        <v>0.49014867632224607</v>
      </c>
      <c r="L584" s="3664">
        <v>0.5735623841266283</v>
      </c>
      <c r="M584" s="3664">
        <v>0.6635820661170273</v>
      </c>
      <c r="N584" s="84"/>
    </row>
    <row r="585" spans="4:14" ht="15" customHeight="1">
      <c r="D585" s="83"/>
      <c r="E585" s="945" t="s">
        <v>1626</v>
      </c>
      <c r="F585" s="946" cm="1">
        <f t="array" ref="F585:M585">_xlfn.ANCHORARRAY(F581)+_xlfn.ANCHORARRAY(F582)+_xlfn.ANCHORARRAY(F583)++_xlfn.ANCHORARRAY(F584)</f>
        <v>4.3565887906146257</v>
      </c>
      <c r="G585" s="947">
        <v>5.0823833518588239</v>
      </c>
      <c r="H585" s="947">
        <v>6.5255226692497343</v>
      </c>
      <c r="I585" s="947">
        <v>8.251856481412748</v>
      </c>
      <c r="J585" s="947">
        <v>9.5964122362891366</v>
      </c>
      <c r="K585" s="947">
        <v>11.401717133346649</v>
      </c>
      <c r="L585" s="947">
        <v>13.354438074787787</v>
      </c>
      <c r="M585" s="947">
        <v>14.932159499826568</v>
      </c>
      <c r="N585" s="84"/>
    </row>
    <row r="586" spans="4:14" ht="15" customHeight="1">
      <c r="D586" s="83"/>
      <c r="E586" s="30"/>
      <c r="F586" s="751"/>
      <c r="G586" s="751"/>
      <c r="H586" s="751"/>
      <c r="I586" s="751"/>
      <c r="J586" s="751"/>
      <c r="K586" s="751"/>
      <c r="L586" s="751"/>
      <c r="M586" s="751"/>
      <c r="N586" s="84"/>
    </row>
    <row r="587" spans="4:14" ht="15" customHeight="1">
      <c r="D587" s="83"/>
      <c r="E587" s="26" t="s">
        <v>863</v>
      </c>
      <c r="F587" s="751"/>
      <c r="G587" s="751"/>
      <c r="H587" s="751"/>
      <c r="I587" s="751"/>
      <c r="J587" s="751"/>
      <c r="K587" s="751"/>
      <c r="L587" s="751"/>
      <c r="M587" s="751"/>
      <c r="N587" s="84"/>
    </row>
    <row r="588" spans="4:14" ht="15" customHeight="1">
      <c r="D588" s="83"/>
      <c r="E588" s="28" t="s">
        <v>859</v>
      </c>
      <c r="F588" s="972">
        <v>2018</v>
      </c>
      <c r="G588" s="972">
        <v>2020</v>
      </c>
      <c r="H588" s="972">
        <v>2025</v>
      </c>
      <c r="I588" s="972">
        <v>2030</v>
      </c>
      <c r="J588" s="972">
        <v>2035</v>
      </c>
      <c r="K588" s="972">
        <v>2040</v>
      </c>
      <c r="L588" s="972">
        <v>2045</v>
      </c>
      <c r="M588" s="972">
        <v>2050</v>
      </c>
      <c r="N588" s="84"/>
    </row>
    <row r="589" spans="4:14" ht="15" customHeight="1">
      <c r="D589" s="83"/>
      <c r="E589" s="30" t="s">
        <v>795</v>
      </c>
      <c r="F589" s="3660" cm="1">
        <f t="array" ref="F589:M589">INDEX(ST_PORCENTAJE_TECNOLOGIA_ILUMINACION_LFC,FRIO,0)*INDEX(SF_BOMBILLOS_LFC,FRIO,0)*GEN_HOGARES*INDEX(GEN_PORCENTAJE_HOGARES_POR_ZONA_CLIMATICA,FRIO,0)*INDEX(COSTOS_Iluminacion_Costosdecapital_ALTO_,LFC,0)*COSTOS_Pesos_Colombianos_COP_MMCOP</f>
        <v>278.88378034725008</v>
      </c>
      <c r="G589" s="3660">
        <v>317.05082381021595</v>
      </c>
      <c r="H589" s="3660">
        <v>396.95739233271797</v>
      </c>
      <c r="I589" s="3660">
        <v>500.58720133898083</v>
      </c>
      <c r="J589" s="3660">
        <v>568.92993724684345</v>
      </c>
      <c r="K589" s="3660">
        <v>675.25352803224018</v>
      </c>
      <c r="L589" s="3660">
        <v>790.16845732224351</v>
      </c>
      <c r="M589" s="3660">
        <v>866.06915655820399</v>
      </c>
      <c r="N589" s="84"/>
    </row>
    <row r="590" spans="4:14" ht="15" customHeight="1">
      <c r="D590" s="83"/>
      <c r="E590" s="30" t="s">
        <v>791</v>
      </c>
      <c r="F590" s="3661" cm="1">
        <f t="array" ref="F590:M590">INDEX(ST_PORCENTAJE_TECNOLOGIA_ILUMINACION_LFC,TEMPLADO,0)*INDEX(SF_BOMBILLOS_LFC,TEMPLADO,0)*GEN_HOGARES*INDEX(GEN_PORCENTAJE_HOGARES_POR_ZONA_CLIMATICA,TEMPLADO,0)*INDEX(COSTOS_Iluminacion_Costosdecapital_ALTO_,LFC,0)*COSTOS_Pesos_Colombianos_COP_MMCOP</f>
        <v>61.881649407333228</v>
      </c>
      <c r="G590" s="3662">
        <v>76.746056852658924</v>
      </c>
      <c r="H590" s="3662">
        <v>104.09579475858177</v>
      </c>
      <c r="I590" s="3662">
        <v>132.53329420099402</v>
      </c>
      <c r="J590" s="3662">
        <v>161.38652170719652</v>
      </c>
      <c r="K590" s="3662">
        <v>192.29815671201513</v>
      </c>
      <c r="L590" s="3662">
        <v>225.80486959578784</v>
      </c>
      <c r="M590" s="3662">
        <v>262.05338283294111</v>
      </c>
      <c r="N590" s="84"/>
    </row>
    <row r="591" spans="4:14" ht="15" customHeight="1">
      <c r="D591" s="83"/>
      <c r="E591" s="30" t="s">
        <v>792</v>
      </c>
      <c r="F591" s="3661" cm="1">
        <f t="array" ref="F591:M591">INDEX(ST_PORCENTAJE_TECNOLOGIA_ILUMINACION_LFC,CALIDO_SECO,0)*INDEX(SF_BOMBILLOS_LFC,CALIDO_SECO,0)*GEN_HOGARES*INDEX(GEN_PORCENTAJE_HOGARES_POR_ZONA_CLIMATICA,CALIDO_HUMEDO,0)*INDEX(COSTOS_Iluminacion_Costosdecapital_ALTO_,LFC,0)*COSTOS_Pesos_Colombianos_COP_MMCOP</f>
        <v>16.608309300000002</v>
      </c>
      <c r="G591" s="3662">
        <v>20.454702136837426</v>
      </c>
      <c r="H591" s="3662">
        <v>27.579910406896531</v>
      </c>
      <c r="I591" s="3662">
        <v>34.935197153577612</v>
      </c>
      <c r="J591" s="3662">
        <v>42.351711688197952</v>
      </c>
      <c r="K591" s="3662">
        <v>50.266545778996274</v>
      </c>
      <c r="L591" s="3662">
        <v>58.820927672681492</v>
      </c>
      <c r="M591" s="3662">
        <v>68.052776465446868</v>
      </c>
      <c r="N591" s="84"/>
    </row>
    <row r="592" spans="4:14" ht="15" customHeight="1">
      <c r="D592" s="83"/>
      <c r="E592" s="32" t="s">
        <v>793</v>
      </c>
      <c r="F592" s="3663" cm="1">
        <f t="array" ref="F592:M592">INDEX(ST_PORCENTAJE_TECNOLOGIA_ILUMINACION_LFC,CALIDO_HUMEDO,0)*INDEX(SF_BOMBILLOS_LFC,CALIDO_HUMEDO,0)*GEN_HOGARES*INDEX(GEN_PORCENTAJE_HOGARES_POR_ZONA_CLIMATICA,CALIDO_HUMEDO,0)*INDEX(COSTOS_Iluminacion_Costosdecapital_ALTO_,LFC,0)*COSTOS_Pesos_Colombianos_COP_MMCOP</f>
        <v>16.608309300000002</v>
      </c>
      <c r="G592" s="3664">
        <v>20.454702136837426</v>
      </c>
      <c r="H592" s="3664">
        <v>27.579910406896531</v>
      </c>
      <c r="I592" s="3664">
        <v>34.935197153577612</v>
      </c>
      <c r="J592" s="3664">
        <v>42.351711688197952</v>
      </c>
      <c r="K592" s="3664">
        <v>50.266545778996274</v>
      </c>
      <c r="L592" s="3664">
        <v>58.820927672681492</v>
      </c>
      <c r="M592" s="3664">
        <v>68.052776465446868</v>
      </c>
      <c r="N592" s="84"/>
    </row>
    <row r="593" spans="4:14" ht="15" customHeight="1">
      <c r="D593" s="83"/>
      <c r="E593" s="945" t="s">
        <v>1626</v>
      </c>
      <c r="F593" s="946" cm="1">
        <f t="array" ref="F593:M593">_xlfn.ANCHORARRAY(F589)+_xlfn.ANCHORARRAY(F590)+_xlfn.ANCHORARRAY(F591)++_xlfn.ANCHORARRAY(F592)</f>
        <v>373.9820483545833</v>
      </c>
      <c r="G593" s="947">
        <v>434.70628493654976</v>
      </c>
      <c r="H593" s="947">
        <v>556.2130079050927</v>
      </c>
      <c r="I593" s="947">
        <v>702.99088984713012</v>
      </c>
      <c r="J593" s="947">
        <v>815.01988233043585</v>
      </c>
      <c r="K593" s="947">
        <v>968.08477630224786</v>
      </c>
      <c r="L593" s="947">
        <v>1133.6151822633944</v>
      </c>
      <c r="M593" s="947">
        <v>1264.2280923220387</v>
      </c>
      <c r="N593" s="84"/>
    </row>
    <row r="594" spans="4:14" ht="15" customHeight="1">
      <c r="D594" s="83"/>
      <c r="E594" s="30"/>
      <c r="F594" s="751"/>
      <c r="G594" s="751"/>
      <c r="H594" s="751"/>
      <c r="I594" s="751"/>
      <c r="J594" s="751"/>
      <c r="K594" s="751"/>
      <c r="L594" s="751"/>
      <c r="M594" s="751"/>
      <c r="N594" s="84"/>
    </row>
    <row r="595" spans="4:14" ht="15" customHeight="1">
      <c r="D595" s="83"/>
      <c r="E595" s="26" t="s">
        <v>862</v>
      </c>
      <c r="F595" s="751"/>
      <c r="G595" s="751"/>
      <c r="H595" s="751"/>
      <c r="I595" s="751"/>
      <c r="J595" s="751"/>
      <c r="K595" s="751"/>
      <c r="L595" s="751"/>
      <c r="M595" s="751"/>
      <c r="N595" s="84"/>
    </row>
    <row r="596" spans="4:14" ht="15" customHeight="1">
      <c r="D596" s="83"/>
      <c r="E596" s="28" t="s">
        <v>859</v>
      </c>
      <c r="F596" s="972">
        <v>2018</v>
      </c>
      <c r="G596" s="972">
        <v>2020</v>
      </c>
      <c r="H596" s="972">
        <v>2025</v>
      </c>
      <c r="I596" s="972">
        <v>2030</v>
      </c>
      <c r="J596" s="972">
        <v>2035</v>
      </c>
      <c r="K596" s="972">
        <v>2040</v>
      </c>
      <c r="L596" s="972">
        <v>2045</v>
      </c>
      <c r="M596" s="972">
        <v>2050</v>
      </c>
      <c r="N596" s="84"/>
    </row>
    <row r="597" spans="4:14" ht="15" customHeight="1">
      <c r="D597" s="83"/>
      <c r="E597" s="30" t="s">
        <v>795</v>
      </c>
      <c r="F597" s="3660" cm="1">
        <f t="array" ref="F597:M597">INDEX(ST_PORCENTAJE_TECNOLOGIA_ILUMINACION_LED,FRIO,0)*INDEX(SF_BOMBILLOS_LED,FRIO,0)*GEN_HOGARES*INDEX(GEN_PORCENTAJE_HOGARES_POR_ZONA_CLIMATICA,FRIO,0)*INDEX(COSTOS_Iluminacion_Costosdecapital_MEDIO,LED,0)*COSTOS_Pesos_Colombianos_COP_MMCOP</f>
        <v>0</v>
      </c>
      <c r="G597" s="3660">
        <v>0</v>
      </c>
      <c r="H597" s="3660">
        <v>0</v>
      </c>
      <c r="I597" s="3660">
        <v>0</v>
      </c>
      <c r="J597" s="3660">
        <v>0</v>
      </c>
      <c r="K597" s="3660">
        <v>0</v>
      </c>
      <c r="L597" s="3660">
        <v>0</v>
      </c>
      <c r="M597" s="3660">
        <v>0</v>
      </c>
      <c r="N597" s="84"/>
    </row>
    <row r="598" spans="4:14" ht="15" customHeight="1">
      <c r="D598" s="83"/>
      <c r="E598" s="30" t="s">
        <v>791</v>
      </c>
      <c r="F598" s="3661" cm="1">
        <f t="array" ref="F598:M598">INDEX(ST_PORCENTAJE_TECNOLOGIA_ILUMINACION_LED,TEMPLADO,0)*INDEX(SF_BOMBILLOS_LED,TEMPLADO,0)*GEN_HOGARES*INDEX(GEN_PORCENTAJE_HOGARES_POR_ZONA_CLIMATICA,TEMPLADO,0)*INDEX(COSTOS_Iluminacion_Costosdecapital_MEDIO,LED,0)*COSTOS_Pesos_Colombianos_COP_MMCOP</f>
        <v>0</v>
      </c>
      <c r="G598" s="3662">
        <v>0</v>
      </c>
      <c r="H598" s="3662">
        <v>0</v>
      </c>
      <c r="I598" s="3662">
        <v>0</v>
      </c>
      <c r="J598" s="3662">
        <v>0</v>
      </c>
      <c r="K598" s="3662">
        <v>0</v>
      </c>
      <c r="L598" s="3662">
        <v>0</v>
      </c>
      <c r="M598" s="3662">
        <v>0</v>
      </c>
      <c r="N598" s="84"/>
    </row>
    <row r="599" spans="4:14" ht="15" customHeight="1">
      <c r="D599" s="83"/>
      <c r="E599" s="30" t="s">
        <v>792</v>
      </c>
      <c r="F599" s="3661" cm="1">
        <f t="array" ref="F599:M599">INDEX(ST_PORCENTAJE_TECNOLOGIA_ILUMINACION_LED,CALIDO_SECO,0)*INDEX(SF_BOMBILLOS_LED,CALIDO_SECO,0)*GEN_HOGARES*INDEX(GEN_PORCENTAJE_HOGARES_POR_ZONA_CLIMATICA,CALIDO_HUMEDO,0)*INDEX(COSTOS_Iluminacion_Costosdecapital_MEDIO,LED,0)*COSTOS_Pesos_Colombianos_COP_MMCOP</f>
        <v>0</v>
      </c>
      <c r="G599" s="3662">
        <v>0</v>
      </c>
      <c r="H599" s="3662">
        <v>0</v>
      </c>
      <c r="I599" s="3662">
        <v>0</v>
      </c>
      <c r="J599" s="3662">
        <v>0</v>
      </c>
      <c r="K599" s="3662">
        <v>0</v>
      </c>
      <c r="L599" s="3662">
        <v>0</v>
      </c>
      <c r="M599" s="3662">
        <v>0</v>
      </c>
      <c r="N599" s="84"/>
    </row>
    <row r="600" spans="4:14" ht="15" customHeight="1">
      <c r="D600" s="83"/>
      <c r="E600" s="32" t="s">
        <v>793</v>
      </c>
      <c r="F600" s="3663" cm="1">
        <f t="array" ref="F600:M600">INDEX(ST_PORCENTAJE_TECNOLOGIA_ILUMINACION_LED,CALIDO_HUMEDO,0)*INDEX(SF_BOMBILLOS_LED,CALIDO_HUMEDO,0)*GEN_HOGARES*INDEX(GEN_PORCENTAJE_HOGARES_POR_ZONA_CLIMATICA,CALIDO_HUMEDO,0)*INDEX(COSTOS_Iluminacion_Costosdecapital_MEDIO,LED,0)*COSTOS_Pesos_Colombianos_COP_MMCOP</f>
        <v>0</v>
      </c>
      <c r="G600" s="3664">
        <v>0</v>
      </c>
      <c r="H600" s="3664">
        <v>0</v>
      </c>
      <c r="I600" s="3664">
        <v>0</v>
      </c>
      <c r="J600" s="3664">
        <v>0</v>
      </c>
      <c r="K600" s="3664">
        <v>0</v>
      </c>
      <c r="L600" s="3664">
        <v>0</v>
      </c>
      <c r="M600" s="3664">
        <v>0</v>
      </c>
      <c r="N600" s="84"/>
    </row>
    <row r="601" spans="4:14" ht="15" customHeight="1">
      <c r="D601" s="83"/>
      <c r="E601" s="945" t="s">
        <v>1626</v>
      </c>
      <c r="F601" s="946" cm="1">
        <f t="array" ref="F601:M601">_xlfn.ANCHORARRAY(F597)+_xlfn.ANCHORARRAY(F598)+_xlfn.ANCHORARRAY(F599)++_xlfn.ANCHORARRAY(F600)</f>
        <v>0</v>
      </c>
      <c r="G601" s="947">
        <v>0</v>
      </c>
      <c r="H601" s="947">
        <v>0</v>
      </c>
      <c r="I601" s="947">
        <v>0</v>
      </c>
      <c r="J601" s="947">
        <v>0</v>
      </c>
      <c r="K601" s="947">
        <v>0</v>
      </c>
      <c r="L601" s="947">
        <v>0</v>
      </c>
      <c r="M601" s="947">
        <v>0</v>
      </c>
      <c r="N601" s="84"/>
    </row>
    <row r="602" spans="4:14" ht="15" customHeight="1">
      <c r="D602" s="83"/>
      <c r="E602" s="30"/>
      <c r="F602" s="751"/>
      <c r="G602" s="751"/>
      <c r="H602" s="751"/>
      <c r="I602" s="751"/>
      <c r="J602" s="751"/>
      <c r="K602" s="751"/>
      <c r="L602" s="751"/>
      <c r="M602" s="751"/>
      <c r="N602" s="84"/>
    </row>
    <row r="603" spans="4:14" ht="15" customHeight="1">
      <c r="D603" s="83"/>
      <c r="E603" s="26" t="s">
        <v>564</v>
      </c>
      <c r="F603" s="751"/>
      <c r="G603" s="751"/>
      <c r="H603" s="751"/>
      <c r="I603" s="751"/>
      <c r="J603" s="751"/>
      <c r="K603" s="751"/>
      <c r="L603" s="751"/>
      <c r="M603" s="751"/>
      <c r="N603" s="84"/>
    </row>
    <row r="604" spans="4:14" ht="15" customHeight="1">
      <c r="D604" s="83"/>
      <c r="E604" s="28" t="s">
        <v>859</v>
      </c>
      <c r="F604" s="972">
        <v>2018</v>
      </c>
      <c r="G604" s="972">
        <v>2020</v>
      </c>
      <c r="H604" s="972">
        <v>2025</v>
      </c>
      <c r="I604" s="972">
        <v>2030</v>
      </c>
      <c r="J604" s="972">
        <v>2035</v>
      </c>
      <c r="K604" s="972">
        <v>2040</v>
      </c>
      <c r="L604" s="972">
        <v>2045</v>
      </c>
      <c r="M604" s="972">
        <v>2050</v>
      </c>
      <c r="N604" s="84"/>
    </row>
    <row r="605" spans="4:14" ht="15" customHeight="1">
      <c r="D605" s="83"/>
      <c r="E605" s="30" t="s">
        <v>795</v>
      </c>
      <c r="F605" s="3660" cm="1">
        <f t="array" ref="F605:M605">INDEX(ST_PORCENTAJE_TECNOLOGIA_ILUMINACION_OTROS,FRIO,0)*INDEX(SF_BOMBILLOS_OTROS,FRIO,0)*GEN_HOGARES*INDEX(GEN_PORCENTAJE_HOGARES_POR_ZONA_CLIMATICA,FRIO,0)*INDEX(COSTOS_Iluminacion_Costosdecapital_MEDIO,OTROS_ILUMINACION,0)*COSTOS_Pesos_Colombianos_COP_MMCOP</f>
        <v>3.2321090880000032</v>
      </c>
      <c r="G605" s="3660">
        <v>3.6744440559394884</v>
      </c>
      <c r="H605" s="3660">
        <v>4.6005170817386043</v>
      </c>
      <c r="I605" s="3660">
        <v>5.8015293710147864</v>
      </c>
      <c r="J605" s="3660">
        <v>6.5935839593151382</v>
      </c>
      <c r="K605" s="3660">
        <v>7.8258156926141549</v>
      </c>
      <c r="L605" s="3660">
        <v>9.1576162973055766</v>
      </c>
      <c r="M605" s="3660">
        <v>10.0372635090604</v>
      </c>
      <c r="N605" s="84"/>
    </row>
    <row r="606" spans="4:14" ht="15" customHeight="1">
      <c r="D606" s="83"/>
      <c r="E606" s="30" t="s">
        <v>791</v>
      </c>
      <c r="F606" s="3661" cm="1">
        <f t="array" ref="F606:M606">INDEX(ST_PORCENTAJE_TECNOLOGIA_ILUMINACION_OTROS,TEMPLADO,0)*INDEX(SF_BOMBILLOS_OTROS,TEMPLADO,0)*GEN_HOGARES*INDEX(GEN_PORCENTAJE_HOGARES_POR_ZONA_CLIMATICA,TEMPLADO,0)*INDEX(COSTOS_Iluminacion_Costosdecapital_MEDIO,OTROS_ILUMINACION,0)*COSTOS_Pesos_Colombianos_COP_MMCOP</f>
        <v>0.52590745162091279</v>
      </c>
      <c r="G606" s="3662">
        <v>0.65223412058167574</v>
      </c>
      <c r="H606" s="3662">
        <v>0.88466863230461723</v>
      </c>
      <c r="I606" s="3662">
        <v>1.1263475953811553</v>
      </c>
      <c r="J606" s="3662">
        <v>1.3715596654237996</v>
      </c>
      <c r="K606" s="3662">
        <v>1.6342653196285093</v>
      </c>
      <c r="L606" s="3662">
        <v>1.9190255054617318</v>
      </c>
      <c r="M606" s="3662">
        <v>2.2270871587010381</v>
      </c>
      <c r="N606" s="84"/>
    </row>
    <row r="607" spans="4:14" ht="15" customHeight="1">
      <c r="D607" s="83"/>
      <c r="E607" s="30" t="s">
        <v>792</v>
      </c>
      <c r="F607" s="3661" cm="1">
        <f t="array" ref="F607:M607">INDEX(ST_PORCENTAJE_TECNOLOGIA_ILUMINACION_OTROS,CALIDO_SECO,0)*INDEX(SF_BOMBILLOS_OTROS,CALIDO_SECO,0)*GEN_HOGARES*INDEX(GEN_PORCENTAJE_HOGARES_POR_ZONA_CLIMATICA,CALIDO_SECO,0)*INDEX(COSTOS_Iluminacion_Costosdecapital_MEDIO,OTROS_ILUMINACION,0)*COSTOS_Pesos_Colombianos_COP_MMCOP</f>
        <v>0.15910271999999989</v>
      </c>
      <c r="G607" s="3662">
        <v>0.19595003247926288</v>
      </c>
      <c r="H607" s="3662">
        <v>0.26420743278748676</v>
      </c>
      <c r="I607" s="3662">
        <v>0.33466891725519909</v>
      </c>
      <c r="J607" s="3662">
        <v>0.4057169459294741</v>
      </c>
      <c r="K607" s="3662">
        <v>0.4815387294384515</v>
      </c>
      <c r="L607" s="3662">
        <v>0.56348719286236371</v>
      </c>
      <c r="M607" s="3662">
        <v>0.65192558999395422</v>
      </c>
      <c r="N607" s="84"/>
    </row>
    <row r="608" spans="4:14" ht="15" customHeight="1">
      <c r="D608" s="83"/>
      <c r="E608" s="32" t="s">
        <v>793</v>
      </c>
      <c r="F608" s="3663" cm="1">
        <f t="array" ref="F608:M608">INDEX(ST_PORCENTAJE_TECNOLOGIA_ILUMINACION_OTROS,CALIDO_HUMEDO,0)*INDEX(SF_BOMBILLOS_OTROS,CALIDO_HUMEDO,0)*GEN_HOGARES*INDEX(GEN_PORCENTAJE_HOGARES_POR_ZONA_CLIMATICA,CALIDO_HUMEDO,0)*INDEX(COSTOS_Iluminacion_Costosdecapital_MEDIO,OTROS_ILUMINACION,0)*COSTOS_Pesos_Colombianos_COP_MMCOP</f>
        <v>0.18841535999999987</v>
      </c>
      <c r="G608" s="3664">
        <v>0.23205131824014075</v>
      </c>
      <c r="H608" s="3664">
        <v>0.3128842710126522</v>
      </c>
      <c r="I608" s="3664">
        <v>0.39632738224367586</v>
      </c>
      <c r="J608" s="3664">
        <v>0.48046510094486372</v>
      </c>
      <c r="K608" s="3664">
        <v>0.57025607771563203</v>
      </c>
      <c r="L608" s="3664">
        <v>0.66730249676782205</v>
      </c>
      <c r="M608" s="3664">
        <v>0.77203453675665179</v>
      </c>
      <c r="N608" s="84"/>
    </row>
    <row r="609" spans="4:14" ht="15" customHeight="1">
      <c r="D609" s="83"/>
      <c r="E609" s="945" t="s">
        <v>1626</v>
      </c>
      <c r="F609" s="946" cm="1">
        <f t="array" ref="F609:M609">_xlfn.ANCHORARRAY(F605)+_xlfn.ANCHORARRAY(F606)+_xlfn.ANCHORARRAY(F607)++_xlfn.ANCHORARRAY(F608)</f>
        <v>4.1055346196209159</v>
      </c>
      <c r="G609" s="947">
        <v>4.754679527240568</v>
      </c>
      <c r="H609" s="947">
        <v>6.0622774178433598</v>
      </c>
      <c r="I609" s="947">
        <v>7.6588732658948171</v>
      </c>
      <c r="J609" s="947">
        <v>8.8513256716132744</v>
      </c>
      <c r="K609" s="947">
        <v>10.511875819396748</v>
      </c>
      <c r="L609" s="947">
        <v>12.307431492397496</v>
      </c>
      <c r="M609" s="947">
        <v>13.688310794512043</v>
      </c>
      <c r="N609" s="84"/>
    </row>
    <row r="610" spans="4:14" ht="15" customHeight="1">
      <c r="D610" s="13"/>
      <c r="E610" s="30"/>
      <c r="F610" s="751"/>
      <c r="G610" s="751"/>
      <c r="H610" s="751"/>
      <c r="I610" s="751"/>
      <c r="J610" s="751"/>
      <c r="K610" s="751"/>
      <c r="L610" s="751"/>
      <c r="M610" s="751"/>
      <c r="N610" s="84"/>
    </row>
    <row r="611" spans="4:14" ht="15" customHeight="1">
      <c r="D611" s="13"/>
      <c r="E611" s="26" t="s">
        <v>2162</v>
      </c>
      <c r="F611" s="3094"/>
      <c r="G611" s="3094"/>
      <c r="H611" s="3094"/>
      <c r="I611" s="3094"/>
      <c r="J611" s="3094"/>
      <c r="K611" s="3094"/>
      <c r="L611" s="3094"/>
      <c r="M611" s="3094"/>
      <c r="N611" s="84"/>
    </row>
    <row r="612" spans="4:14" ht="15" customHeight="1">
      <c r="D612" s="83"/>
      <c r="E612" s="26" t="s">
        <v>861</v>
      </c>
      <c r="F612" s="788"/>
      <c r="G612" s="788"/>
      <c r="H612" s="788"/>
      <c r="I612" s="788"/>
      <c r="J612" s="788"/>
      <c r="K612" s="788"/>
      <c r="L612" s="788"/>
      <c r="M612" s="971" t="s">
        <v>803</v>
      </c>
      <c r="N612" s="84"/>
    </row>
    <row r="613" spans="4:14" ht="15" customHeight="1">
      <c r="D613" s="96"/>
      <c r="E613" s="28" t="s">
        <v>859</v>
      </c>
      <c r="F613" s="972">
        <v>2018</v>
      </c>
      <c r="G613" s="972">
        <v>2020</v>
      </c>
      <c r="H613" s="972">
        <v>2025</v>
      </c>
      <c r="I613" s="972">
        <v>2030</v>
      </c>
      <c r="J613" s="972">
        <v>2035</v>
      </c>
      <c r="K613" s="972">
        <v>2040</v>
      </c>
      <c r="L613" s="972">
        <v>2045</v>
      </c>
      <c r="M613" s="972">
        <v>2050</v>
      </c>
      <c r="N613" s="84"/>
    </row>
    <row r="614" spans="4:14" ht="15" customHeight="1">
      <c r="D614" s="83"/>
      <c r="E614" s="30" t="s">
        <v>795</v>
      </c>
      <c r="F614" s="3660" cm="1">
        <f t="array" ref="F614:M614">INDEX(ST_PORCENTAJE_TECNOLOGIA_ILUMINACION_INCANDESCENTE,FRIO,0)*INDEX(SF_BOMBILLOS_INCANDESCENTES,FRIO,0)*GEN_HOGARES*INDEX(GEN_PORCENTAJE_HOGARES_POR_ZONA_CLIMATICA,FRIO,0)*INDEX(COSTOS_Iluminacion_Costosdecapital_BAJO,Incandescente,0)*COSTOS_Pesos_Colombianos_COP_MMCOP</f>
        <v>2.6932757055750005</v>
      </c>
      <c r="G614" s="3660">
        <v>3.0618678509641568</v>
      </c>
      <c r="H614" s="3660">
        <v>3.8335528139603943</v>
      </c>
      <c r="I614" s="3660">
        <v>4.8343411947777426</v>
      </c>
      <c r="J614" s="3660">
        <v>5.4943502854605573</v>
      </c>
      <c r="K614" s="3660">
        <v>6.5211534349131712</v>
      </c>
      <c r="L614" s="3660">
        <v>7.6309260680841149</v>
      </c>
      <c r="M614" s="3660">
        <v>8.3639249862493585</v>
      </c>
      <c r="N614" s="84"/>
    </row>
    <row r="615" spans="4:14" ht="15" customHeight="1">
      <c r="D615" s="83"/>
      <c r="E615" s="30" t="s">
        <v>791</v>
      </c>
      <c r="F615" s="3661" cm="1">
        <f t="array" ref="F615:M615">INDEX(ST_PORCENTAJE_TECNOLOGIA_ILUMINACION_INCANDESCENTE,TEMPLADO,0)*INDEX(SF_BOMBILLOS_INCANDESCENTES,TEMPLADO,0)*GEN_HOGARES*INDEX(GEN_PORCENTAJE_HOGARES_POR_ZONA_CLIMATICA,TEMPLADO,0)*INDEX(COSTOS_Iluminacion_Costosdecapital_BAJO,Incandescente,0)*COSTOS_Pesos_Colombianos_COP_MMCOP</f>
        <v>0.8573769302127966</v>
      </c>
      <c r="G615" s="3662">
        <v>1.0633248993920952</v>
      </c>
      <c r="H615" s="3662">
        <v>1.4422584694001026</v>
      </c>
      <c r="I615" s="3662">
        <v>1.836263092876965</v>
      </c>
      <c r="J615" s="3662">
        <v>2.2360276735390272</v>
      </c>
      <c r="K615" s="3662">
        <v>2.664311712218014</v>
      </c>
      <c r="L615" s="3662">
        <v>3.1285508349458295</v>
      </c>
      <c r="M615" s="3662">
        <v>3.6307778974385352</v>
      </c>
      <c r="N615" s="84"/>
    </row>
    <row r="616" spans="4:14" ht="15" customHeight="1">
      <c r="D616" s="83"/>
      <c r="E616" s="30" t="s">
        <v>792</v>
      </c>
      <c r="F616" s="3661" cm="1">
        <f t="array" ref="F616:M616">INDEX(ST_PORCENTAJE_TECNOLOGIA_ILUMINACION_INCANDESCENTE,CALIDO_SECO,0)*INDEX(SF_BOMBILLOS_INCANDESCENTES,CALIDO_SECO,0)*GEN_HOGARES*INDEX(GEN_PORCENTAJE_HOGARES_POR_ZONA_CLIMATICA,CALIDO_SECO,0)*INDEX(COSTOS_Iluminacion_Costosdecapital_BAJO,Incandescente,0)*COSTOS_Pesos_Colombianos_COP_MMCOP</f>
        <v>0.11965850400000004</v>
      </c>
      <c r="G616" s="3662">
        <v>0.1473707535937791</v>
      </c>
      <c r="H616" s="3662">
        <v>0.1987060067422558</v>
      </c>
      <c r="I616" s="3662">
        <v>0.25169891485234774</v>
      </c>
      <c r="J616" s="3662">
        <v>0.30513295308445887</v>
      </c>
      <c r="K616" s="3662">
        <v>0.36215725276516908</v>
      </c>
      <c r="L616" s="3662">
        <v>0.42378932629856964</v>
      </c>
      <c r="M616" s="3662">
        <v>0.49030237080795341</v>
      </c>
      <c r="N616" s="84"/>
    </row>
    <row r="617" spans="4:14" ht="15" customHeight="1">
      <c r="D617" s="83"/>
      <c r="E617" s="32" t="s">
        <v>793</v>
      </c>
      <c r="F617" s="3663" cm="1">
        <f t="array" ref="F617:M617">INDEX(ST_PORCENTAJE_TECNOLOGIA_ILUMINACION_INCANDESCENTE,CALIDO_HUMEDO,0)*INDEX(SF_BOMBILLOS_INCANDESCENTES,CALIDO_HUMEDO,0)*GEN_HOGARES*INDEX(GEN_PORCENTAJE_HOGARES_POR_ZONA_CLIMATICA,CALIDO_HUMEDO,0)*INDEX(COSTOS_Iluminacion_Costosdecapital_BAJO,Incandescente,0)*COSTOS_Pesos_Colombianos_COP_MMCOP</f>
        <v>0.141704052</v>
      </c>
      <c r="G617" s="3664">
        <v>0.17452192892643933</v>
      </c>
      <c r="H617" s="3664">
        <v>0.23531504549076565</v>
      </c>
      <c r="I617" s="3664">
        <v>0.29807121872909809</v>
      </c>
      <c r="J617" s="3664">
        <v>0.36134979466894984</v>
      </c>
      <c r="K617" s="3664">
        <v>0.42888009178196529</v>
      </c>
      <c r="L617" s="3664">
        <v>0.50186708611079978</v>
      </c>
      <c r="M617" s="3664">
        <v>0.58063430785239889</v>
      </c>
      <c r="N617" s="84"/>
    </row>
    <row r="618" spans="4:14" ht="15" customHeight="1">
      <c r="D618" s="83"/>
      <c r="E618" s="945" t="s">
        <v>1626</v>
      </c>
      <c r="F618" s="946" cm="1">
        <f t="array" ref="F618:M618">_xlfn.ANCHORARRAY(F614)+_xlfn.ANCHORARRAY(F615)+_xlfn.ANCHORARRAY(F616)++_xlfn.ANCHORARRAY(F617)</f>
        <v>3.8120151917877974</v>
      </c>
      <c r="G618" s="947">
        <v>4.4470854328764702</v>
      </c>
      <c r="H618" s="947">
        <v>5.7098323355935188</v>
      </c>
      <c r="I618" s="947">
        <v>7.220374421236154</v>
      </c>
      <c r="J618" s="947">
        <v>8.3968607067529923</v>
      </c>
      <c r="K618" s="947">
        <v>9.9765024916783194</v>
      </c>
      <c r="L618" s="947">
        <v>11.685133315439314</v>
      </c>
      <c r="M618" s="947">
        <v>13.065639562348245</v>
      </c>
      <c r="N618" s="84"/>
    </row>
    <row r="619" spans="4:14" ht="15" customHeight="1">
      <c r="D619" s="83"/>
      <c r="E619" s="30"/>
      <c r="F619" s="751"/>
      <c r="G619" s="751"/>
      <c r="H619" s="751"/>
      <c r="I619" s="751"/>
      <c r="J619" s="751"/>
      <c r="K619" s="751"/>
      <c r="L619" s="751"/>
      <c r="M619" s="751"/>
      <c r="N619" s="84"/>
    </row>
    <row r="620" spans="4:14" ht="15" customHeight="1">
      <c r="D620" s="83"/>
      <c r="E620" s="26" t="s">
        <v>863</v>
      </c>
      <c r="F620" s="751"/>
      <c r="G620" s="751"/>
      <c r="H620" s="751"/>
      <c r="I620" s="751"/>
      <c r="J620" s="751"/>
      <c r="K620" s="751"/>
      <c r="L620" s="751"/>
      <c r="M620" s="971" t="s">
        <v>803</v>
      </c>
      <c r="N620" s="84"/>
    </row>
    <row r="621" spans="4:14" ht="15" customHeight="1">
      <c r="D621" s="83"/>
      <c r="E621" s="28" t="s">
        <v>859</v>
      </c>
      <c r="F621" s="972">
        <v>2018</v>
      </c>
      <c r="G621" s="972">
        <v>2020</v>
      </c>
      <c r="H621" s="972">
        <v>2025</v>
      </c>
      <c r="I621" s="972">
        <v>2030</v>
      </c>
      <c r="J621" s="972">
        <v>2035</v>
      </c>
      <c r="K621" s="972">
        <v>2040</v>
      </c>
      <c r="L621" s="972">
        <v>2045</v>
      </c>
      <c r="M621" s="972">
        <v>2050</v>
      </c>
      <c r="N621" s="84"/>
    </row>
    <row r="622" spans="4:14" ht="15" customHeight="1">
      <c r="D622" s="83"/>
      <c r="E622" s="30" t="s">
        <v>795</v>
      </c>
      <c r="F622" s="3660" cm="1">
        <f t="array" ref="F622:M622">INDEX(ST_PORCENTAJE_TECNOLOGIA_ILUMINACION_LFC,FRIO,0)*INDEX(SF_BOMBILLOS_LFC,FRIO,0)*GEN_HOGARES*INDEX(GEN_PORCENTAJE_HOGARES_POR_ZONA_CLIMATICA,FRIO,0)*INDEX(COSTOS_Iluminacion_Costosdecapital_BAJO,LFC,0)*COSTOS_Pesos_Colombianos_COP_MMCOP</f>
        <v>195.21864624307506</v>
      </c>
      <c r="G622" s="3660">
        <v>221.93557666715117</v>
      </c>
      <c r="H622" s="3660">
        <v>277.8701746329026</v>
      </c>
      <c r="I622" s="3660">
        <v>350.4110409372866</v>
      </c>
      <c r="J622" s="3660">
        <v>398.25095607279036</v>
      </c>
      <c r="K622" s="3660">
        <v>472.67746962256814</v>
      </c>
      <c r="L622" s="3660">
        <v>553.11792012557044</v>
      </c>
      <c r="M622" s="3660">
        <v>606.24840959074288</v>
      </c>
      <c r="N622" s="84"/>
    </row>
    <row r="623" spans="4:14" ht="15" customHeight="1">
      <c r="D623" s="83"/>
      <c r="E623" s="30" t="s">
        <v>791</v>
      </c>
      <c r="F623" s="3661" cm="1">
        <f t="array" ref="F623:M623">INDEX(ST_PORCENTAJE_TECNOLOGIA_ILUMINACION_LFC,TEMPLADO,0)*INDEX(SF_BOMBILLOS_LFC,TEMPLADO,0)*GEN_HOGARES*INDEX(GEN_PORCENTAJE_HOGARES_POR_ZONA_CLIMATICA,TEMPLADO,0)*INDEX(COSTOS_Iluminacion_Costosdecapital_BAJO,LFC,0)*COSTOS_Pesos_Colombianos_COP_MMCOP</f>
        <v>43.31715458513326</v>
      </c>
      <c r="G623" s="3662">
        <v>53.722239796861253</v>
      </c>
      <c r="H623" s="3662">
        <v>72.867056331007234</v>
      </c>
      <c r="I623" s="3662">
        <v>92.77330594069582</v>
      </c>
      <c r="J623" s="3662">
        <v>112.97056519503757</v>
      </c>
      <c r="K623" s="3662">
        <v>134.60870969841056</v>
      </c>
      <c r="L623" s="3662">
        <v>158.06340871705149</v>
      </c>
      <c r="M623" s="3662">
        <v>183.43736798305878</v>
      </c>
      <c r="N623" s="84"/>
    </row>
    <row r="624" spans="4:14" ht="15" customHeight="1">
      <c r="D624" s="83"/>
      <c r="E624" s="30" t="s">
        <v>792</v>
      </c>
      <c r="F624" s="3661" cm="1">
        <f t="array" ref="F624:M624">INDEX(ST_PORCENTAJE_TECNOLOGIA_ILUMINACION_LFC,CALIDO_SECO,0)*INDEX(SF_BOMBILLOS_LFC,CALIDO_SECO,0)*GEN_HOGARES*INDEX(GEN_PORCENTAJE_HOGARES_POR_ZONA_CLIMATICA,CALIDO_HUMEDO,0)*INDEX(COSTOS_Iluminacion_Costosdecapital_BAJO,LFC,0)*COSTOS_Pesos_Colombianos_COP_MMCOP</f>
        <v>11.62581651</v>
      </c>
      <c r="G624" s="3662">
        <v>14.318291495786196</v>
      </c>
      <c r="H624" s="3662">
        <v>19.305937284827571</v>
      </c>
      <c r="I624" s="3662">
        <v>24.454638007504329</v>
      </c>
      <c r="J624" s="3662">
        <v>29.646198181738566</v>
      </c>
      <c r="K624" s="3662">
        <v>35.186582045297399</v>
      </c>
      <c r="L624" s="3662">
        <v>41.174649370877049</v>
      </c>
      <c r="M624" s="3662">
        <v>47.636943525812818</v>
      </c>
      <c r="N624" s="84"/>
    </row>
    <row r="625" spans="4:16" ht="15" customHeight="1">
      <c r="D625" s="83"/>
      <c r="E625" s="32" t="s">
        <v>793</v>
      </c>
      <c r="F625" s="3663" cm="1">
        <f t="array" ref="F625:M625">INDEX(ST_PORCENTAJE_TECNOLOGIA_ILUMINACION_LFC,CALIDO_HUMEDO,0)*INDEX(SF_BOMBILLOS_LFC,CALIDO_HUMEDO,0)*GEN_HOGARES*INDEX(GEN_PORCENTAJE_HOGARES_POR_ZONA_CLIMATICA,CALIDO_HUMEDO,0)*INDEX(COSTOS_Iluminacion_Costosdecapital_BAJO,LFC,0)*COSTOS_Pesos_Colombianos_COP_MMCOP</f>
        <v>11.62581651</v>
      </c>
      <c r="G625" s="3664">
        <v>14.318291495786196</v>
      </c>
      <c r="H625" s="3664">
        <v>19.305937284827571</v>
      </c>
      <c r="I625" s="3664">
        <v>24.454638007504329</v>
      </c>
      <c r="J625" s="3664">
        <v>29.646198181738566</v>
      </c>
      <c r="K625" s="3664">
        <v>35.186582045297399</v>
      </c>
      <c r="L625" s="3664">
        <v>41.174649370877049</v>
      </c>
      <c r="M625" s="3664">
        <v>47.636943525812818</v>
      </c>
      <c r="N625" s="84"/>
      <c r="P625" s="1634"/>
    </row>
    <row r="626" spans="4:16" ht="15" customHeight="1">
      <c r="D626" s="83"/>
      <c r="E626" s="945" t="s">
        <v>1626</v>
      </c>
      <c r="F626" s="946" cm="1">
        <f t="array" ref="F626:M626">_xlfn.ANCHORARRAY(F622)+_xlfn.ANCHORARRAY(F623)+_xlfn.ANCHORARRAY(F624)++_xlfn.ANCHORARRAY(F625)</f>
        <v>261.78743384820831</v>
      </c>
      <c r="G626" s="947">
        <v>304.29439945558477</v>
      </c>
      <c r="H626" s="947">
        <v>389.34910553356497</v>
      </c>
      <c r="I626" s="947">
        <v>492.09362289299111</v>
      </c>
      <c r="J626" s="947">
        <v>570.51391763130505</v>
      </c>
      <c r="K626" s="947">
        <v>677.65934341157356</v>
      </c>
      <c r="L626" s="947">
        <v>793.53062758437613</v>
      </c>
      <c r="M626" s="947">
        <v>884.95966462542742</v>
      </c>
      <c r="N626" s="84"/>
    </row>
    <row r="627" spans="4:16" ht="15" customHeight="1">
      <c r="D627" s="83"/>
      <c r="E627" s="30"/>
      <c r="F627" s="751"/>
      <c r="G627" s="751"/>
      <c r="H627" s="751"/>
      <c r="I627" s="751"/>
      <c r="J627" s="751"/>
      <c r="K627" s="751"/>
      <c r="L627" s="751"/>
      <c r="M627" s="751"/>
      <c r="N627" s="84"/>
    </row>
    <row r="628" spans="4:16" ht="15" customHeight="1">
      <c r="D628" s="83"/>
      <c r="E628" s="26" t="s">
        <v>862</v>
      </c>
      <c r="F628" s="751"/>
      <c r="G628" s="751"/>
      <c r="H628" s="751"/>
      <c r="I628" s="751"/>
      <c r="J628" s="751"/>
      <c r="K628" s="751"/>
      <c r="L628" s="751"/>
      <c r="M628" s="971" t="s">
        <v>803</v>
      </c>
      <c r="N628" s="84"/>
    </row>
    <row r="629" spans="4:16" ht="15" customHeight="1">
      <c r="D629" s="83"/>
      <c r="E629" s="28" t="s">
        <v>859</v>
      </c>
      <c r="F629" s="972">
        <v>2018</v>
      </c>
      <c r="G629" s="972">
        <v>2020</v>
      </c>
      <c r="H629" s="972">
        <v>2025</v>
      </c>
      <c r="I629" s="972">
        <v>2030</v>
      </c>
      <c r="J629" s="972">
        <v>2035</v>
      </c>
      <c r="K629" s="972">
        <v>2040</v>
      </c>
      <c r="L629" s="972">
        <v>2045</v>
      </c>
      <c r="M629" s="972">
        <v>2050</v>
      </c>
      <c r="N629" s="84"/>
    </row>
    <row r="630" spans="4:16" ht="15" customHeight="1">
      <c r="D630" s="83"/>
      <c r="E630" s="30" t="s">
        <v>795</v>
      </c>
      <c r="F630" s="3660" cm="1">
        <f t="array" ref="F630:M630">INDEX(ST_PORCENTAJE_TECNOLOGIA_ILUMINACION_LED,FRIO,0)*INDEX(SF_BOMBILLOS_LED,FRIO,0)*GEN_HOGARES*INDEX(GEN_PORCENTAJE_HOGARES_POR_ZONA_CLIMATICA,FRIO,0)*INDEX(COSTOS_Iluminacion_Costosdecapital_BAJO,LED,0)*COSTOS_Pesos_Colombianos_COP_MMCOP</f>
        <v>0</v>
      </c>
      <c r="G630" s="3660">
        <v>0</v>
      </c>
      <c r="H630" s="3660">
        <v>0</v>
      </c>
      <c r="I630" s="3660">
        <v>0</v>
      </c>
      <c r="J630" s="3660">
        <v>0</v>
      </c>
      <c r="K630" s="3660">
        <v>0</v>
      </c>
      <c r="L630" s="3660">
        <v>0</v>
      </c>
      <c r="M630" s="3660">
        <v>0</v>
      </c>
      <c r="N630" s="84"/>
    </row>
    <row r="631" spans="4:16" ht="15" customHeight="1">
      <c r="D631" s="83"/>
      <c r="E631" s="30" t="s">
        <v>791</v>
      </c>
      <c r="F631" s="3661" cm="1">
        <f t="array" ref="F631:M631">INDEX(ST_PORCENTAJE_TECNOLOGIA_ILUMINACION_LED,TEMPLADO,0)*INDEX(SF_BOMBILLOS_LED,TEMPLADO,0)*GEN_HOGARES*INDEX(GEN_PORCENTAJE_HOGARES_POR_ZONA_CLIMATICA,TEMPLADO,0)*INDEX(COSTOS_Iluminacion_Costosdecapital_BAJO,LED,0)*COSTOS_Pesos_Colombianos_COP_MMCOP</f>
        <v>0</v>
      </c>
      <c r="G631" s="3662">
        <v>0</v>
      </c>
      <c r="H631" s="3662">
        <v>0</v>
      </c>
      <c r="I631" s="3662">
        <v>0</v>
      </c>
      <c r="J631" s="3662">
        <v>0</v>
      </c>
      <c r="K631" s="3662">
        <v>0</v>
      </c>
      <c r="L631" s="3662">
        <v>0</v>
      </c>
      <c r="M631" s="3662">
        <v>0</v>
      </c>
      <c r="N631" s="84"/>
    </row>
    <row r="632" spans="4:16" ht="15" customHeight="1">
      <c r="D632" s="83"/>
      <c r="E632" s="30" t="s">
        <v>792</v>
      </c>
      <c r="F632" s="3661" cm="1">
        <f t="array" ref="F632:M632">INDEX(ST_PORCENTAJE_TECNOLOGIA_ILUMINACION_LED,CALIDO_SECO,0)*INDEX(SF_BOMBILLOS_LED,CALIDO_SECO,0)*GEN_HOGARES*INDEX(GEN_PORCENTAJE_HOGARES_POR_ZONA_CLIMATICA,CALIDO_HUMEDO,0)*INDEX(COSTOS_Iluminacion_Costosdecapital_BAJO,LED,0)*COSTOS_Pesos_Colombianos_COP_MMCOP</f>
        <v>0</v>
      </c>
      <c r="G632" s="3662">
        <v>0</v>
      </c>
      <c r="H632" s="3662">
        <v>0</v>
      </c>
      <c r="I632" s="3662">
        <v>0</v>
      </c>
      <c r="J632" s="3662">
        <v>0</v>
      </c>
      <c r="K632" s="3662">
        <v>0</v>
      </c>
      <c r="L632" s="3662">
        <v>0</v>
      </c>
      <c r="M632" s="3662">
        <v>0</v>
      </c>
      <c r="N632" s="84"/>
    </row>
    <row r="633" spans="4:16" ht="15" customHeight="1">
      <c r="D633" s="83"/>
      <c r="E633" s="32" t="s">
        <v>793</v>
      </c>
      <c r="F633" s="3663" cm="1">
        <f t="array" ref="F633:M633">INDEX(ST_PORCENTAJE_TECNOLOGIA_ILUMINACION_LED,CALIDO_HUMEDO,0)*INDEX(SF_BOMBILLOS_LED,CALIDO_HUMEDO,0)*GEN_HOGARES*INDEX(GEN_PORCENTAJE_HOGARES_POR_ZONA_CLIMATICA,CALIDO_HUMEDO,0)*INDEX(COSTOS_Iluminacion_Costosdecapital_BAJO,LED,0)*COSTOS_Pesos_Colombianos_COP_MMCOP</f>
        <v>0</v>
      </c>
      <c r="G633" s="3664">
        <v>0</v>
      </c>
      <c r="H633" s="3664">
        <v>0</v>
      </c>
      <c r="I633" s="3664">
        <v>0</v>
      </c>
      <c r="J633" s="3664">
        <v>0</v>
      </c>
      <c r="K633" s="3664">
        <v>0</v>
      </c>
      <c r="L633" s="3664">
        <v>0</v>
      </c>
      <c r="M633" s="3664">
        <v>0</v>
      </c>
      <c r="N633" s="84"/>
    </row>
    <row r="634" spans="4:16" ht="15" customHeight="1">
      <c r="D634" s="83"/>
      <c r="E634" s="945" t="s">
        <v>1626</v>
      </c>
      <c r="F634" s="946" cm="1">
        <f t="array" ref="F634:M634">_xlfn.ANCHORARRAY(F630)+_xlfn.ANCHORARRAY(F631)+_xlfn.ANCHORARRAY(F632)++_xlfn.ANCHORARRAY(F633)</f>
        <v>0</v>
      </c>
      <c r="G634" s="947">
        <v>0</v>
      </c>
      <c r="H634" s="947">
        <v>0</v>
      </c>
      <c r="I634" s="947">
        <v>0</v>
      </c>
      <c r="J634" s="947">
        <v>0</v>
      </c>
      <c r="K634" s="947">
        <v>0</v>
      </c>
      <c r="L634" s="947">
        <v>0</v>
      </c>
      <c r="M634" s="947">
        <v>0</v>
      </c>
      <c r="N634" s="84"/>
    </row>
    <row r="635" spans="4:16" ht="15" customHeight="1">
      <c r="D635" s="83"/>
      <c r="E635" s="30"/>
      <c r="F635" s="751"/>
      <c r="G635" s="751"/>
      <c r="H635" s="751"/>
      <c r="I635" s="751"/>
      <c r="J635" s="751"/>
      <c r="K635" s="751"/>
      <c r="L635" s="751"/>
      <c r="M635" s="751"/>
      <c r="N635" s="84"/>
    </row>
    <row r="636" spans="4:16" ht="15" customHeight="1">
      <c r="D636" s="83"/>
      <c r="E636" s="26" t="s">
        <v>564</v>
      </c>
      <c r="F636" s="751"/>
      <c r="G636" s="751"/>
      <c r="H636" s="751"/>
      <c r="I636" s="751"/>
      <c r="J636" s="751"/>
      <c r="K636" s="751"/>
      <c r="L636" s="751"/>
      <c r="M636" s="971" t="s">
        <v>803</v>
      </c>
      <c r="N636" s="84"/>
    </row>
    <row r="637" spans="4:16" ht="15" customHeight="1">
      <c r="D637" s="83"/>
      <c r="E637" s="28" t="s">
        <v>859</v>
      </c>
      <c r="F637" s="972">
        <v>2018</v>
      </c>
      <c r="G637" s="972">
        <v>2020</v>
      </c>
      <c r="H637" s="972">
        <v>2025</v>
      </c>
      <c r="I637" s="972">
        <v>2030</v>
      </c>
      <c r="J637" s="972">
        <v>2035</v>
      </c>
      <c r="K637" s="972">
        <v>2040</v>
      </c>
      <c r="L637" s="972">
        <v>2045</v>
      </c>
      <c r="M637" s="972">
        <v>2050</v>
      </c>
      <c r="N637" s="84"/>
    </row>
    <row r="638" spans="4:16" ht="15" customHeight="1">
      <c r="D638" s="83"/>
      <c r="E638" s="30" t="s">
        <v>795</v>
      </c>
      <c r="F638" s="3660" cm="1">
        <f t="array" ref="F638:M638">INDEX(ST_PORCENTAJE_TECNOLOGIA_ILUMINACION_OTROS,FRIO,0)*INDEX(SF_BOMBILLOS_OTROS,FRIO,0)*GEN_HOGARES*INDEX(GEN_PORCENTAJE_HOGARES_POR_ZONA_CLIMATICA,FRIO,0)*INDEX(COSTOS_Iluminacion_Costosdecapital_BAJO,OTROS_ILUMINACION,0)*COSTOS_Pesos_Colombianos_COP_MMCOP</f>
        <v>2.828095452000003</v>
      </c>
      <c r="G638" s="3660">
        <v>3.2151385489470528</v>
      </c>
      <c r="H638" s="3660">
        <v>4.0254524465212782</v>
      </c>
      <c r="I638" s="3660">
        <v>5.076338199637938</v>
      </c>
      <c r="J638" s="3660">
        <v>5.7693859644007457</v>
      </c>
      <c r="K638" s="3660">
        <v>6.8475887310373862</v>
      </c>
      <c r="L638" s="3660">
        <v>8.0129142601423808</v>
      </c>
      <c r="M638" s="3660">
        <v>8.7826055704278509</v>
      </c>
      <c r="N638" s="84"/>
    </row>
    <row r="639" spans="4:16" ht="15" customHeight="1">
      <c r="D639" s="83"/>
      <c r="E639" s="30" t="s">
        <v>791</v>
      </c>
      <c r="F639" s="3661" cm="1">
        <f t="array" ref="F639:M639">INDEX(ST_PORCENTAJE_TECNOLOGIA_ILUMINACION_OTROS,TEMPLADO,0)*INDEX(SF_BOMBILLOS_OTROS,TEMPLADO,0)*GEN_HOGARES*INDEX(GEN_PORCENTAJE_HOGARES_POR_ZONA_CLIMATICA,TEMPLADO,0)*INDEX(COSTOS_Iluminacion_Costosdecapital_BAJO,OTROS_ILUMINACION,0)*COSTOS_Pesos_Colombianos_COP_MMCOP</f>
        <v>0.46016902016829869</v>
      </c>
      <c r="G639" s="3662">
        <v>0.57070485550896621</v>
      </c>
      <c r="H639" s="3662">
        <v>0.77408505326654009</v>
      </c>
      <c r="I639" s="3662">
        <v>0.98555414595851076</v>
      </c>
      <c r="J639" s="3662">
        <v>1.2001147072458247</v>
      </c>
      <c r="K639" s="3662">
        <v>1.4299821546749456</v>
      </c>
      <c r="L639" s="3662">
        <v>1.6791473172790154</v>
      </c>
      <c r="M639" s="3662">
        <v>1.9487012638634083</v>
      </c>
      <c r="N639" s="84"/>
    </row>
    <row r="640" spans="4:16" ht="15" customHeight="1">
      <c r="D640" s="83"/>
      <c r="E640" s="30" t="s">
        <v>792</v>
      </c>
      <c r="F640" s="3661" cm="1">
        <f t="array" ref="F640:M640">INDEX(ST_PORCENTAJE_TECNOLOGIA_ILUMINACION_OTROS,CALIDO_SECO,0)*INDEX(SF_BOMBILLOS_OTROS,CALIDO_SECO,0)*GEN_HOGARES*INDEX(GEN_PORCENTAJE_HOGARES_POR_ZONA_CLIMATICA,CALIDO_SECO,0)*INDEX(COSTOS_Iluminacion_Costosdecapital_BAJO,OTROS_ILUMINACION,0)*COSTOS_Pesos_Colombianos_COP_MMCOP</f>
        <v>0.1392148799999999</v>
      </c>
      <c r="G640" s="3662">
        <v>0.17145627841935501</v>
      </c>
      <c r="H640" s="3662">
        <v>0.23118150368905094</v>
      </c>
      <c r="I640" s="3662">
        <v>0.29283530259829915</v>
      </c>
      <c r="J640" s="3662">
        <v>0.35500232768828982</v>
      </c>
      <c r="K640" s="3662">
        <v>0.42134638825864507</v>
      </c>
      <c r="L640" s="3662">
        <v>0.49305129375456824</v>
      </c>
      <c r="M640" s="3662">
        <v>0.57043489124471003</v>
      </c>
      <c r="N640" s="84"/>
    </row>
    <row r="641" spans="4:16" ht="15" customHeight="1">
      <c r="D641" s="83"/>
      <c r="E641" s="32" t="s">
        <v>793</v>
      </c>
      <c r="F641" s="3663" cm="1">
        <f t="array" ref="F641:M641">INDEX(ST_PORCENTAJE_TECNOLOGIA_ILUMINACION_OTROS,CALIDO_HUMEDO,0)*INDEX(SF_BOMBILLOS_OTROS,CALIDO_HUMEDO,0)*GEN_HOGARES*INDEX(GEN_PORCENTAJE_HOGARES_POR_ZONA_CLIMATICA,CALIDO_HUMEDO,0)*INDEX(COSTOS_Iluminacion_Costosdecapital_BAJO,OTROS_ILUMINACION,0)*COSTOS_Pesos_Colombianos_COP_MMCOP</f>
        <v>0.16486343999999986</v>
      </c>
      <c r="G641" s="3664">
        <v>0.20304490346012316</v>
      </c>
      <c r="H641" s="3664">
        <v>0.27377373713607067</v>
      </c>
      <c r="I641" s="3664">
        <v>0.3467864594632164</v>
      </c>
      <c r="J641" s="3664">
        <v>0.42040696332675581</v>
      </c>
      <c r="K641" s="3664">
        <v>0.49897406800117799</v>
      </c>
      <c r="L641" s="3664">
        <v>0.58388968467184432</v>
      </c>
      <c r="M641" s="3664">
        <v>0.67553021966207027</v>
      </c>
      <c r="N641" s="84"/>
    </row>
    <row r="642" spans="4:16" ht="15" customHeight="1">
      <c r="D642" s="83"/>
      <c r="E642" s="945" t="s">
        <v>1626</v>
      </c>
      <c r="F642" s="946" cm="1">
        <f t="array" ref="F642:M642">_xlfn.ANCHORARRAY(F638)+_xlfn.ANCHORARRAY(F639)+_xlfn.ANCHORARRAY(F640)++_xlfn.ANCHORARRAY(F641)</f>
        <v>3.5923427921683015</v>
      </c>
      <c r="G642" s="947">
        <v>4.1603445863354969</v>
      </c>
      <c r="H642" s="947">
        <v>5.3044927406129396</v>
      </c>
      <c r="I642" s="947">
        <v>6.7015141076579647</v>
      </c>
      <c r="J642" s="947">
        <v>7.744909962661616</v>
      </c>
      <c r="K642" s="947">
        <v>9.1978913419721557</v>
      </c>
      <c r="L642" s="947">
        <v>10.769002555847809</v>
      </c>
      <c r="M642" s="947">
        <v>11.977271945198041</v>
      </c>
      <c r="N642" s="84"/>
    </row>
    <row r="643" spans="4:16" ht="15" customHeight="1">
      <c r="D643" s="83"/>
      <c r="E643" s="30"/>
      <c r="F643" s="751"/>
      <c r="G643" s="751"/>
      <c r="H643" s="751"/>
      <c r="I643" s="751"/>
      <c r="J643" s="751"/>
      <c r="K643" s="751"/>
      <c r="L643" s="751"/>
      <c r="M643" s="751"/>
      <c r="N643" s="84"/>
    </row>
    <row r="644" spans="4:16" ht="15" customHeight="1">
      <c r="D644" s="83"/>
      <c r="E644" s="30"/>
      <c r="F644" s="3400"/>
      <c r="G644" s="3665"/>
      <c r="H644" s="751"/>
      <c r="I644" s="751"/>
      <c r="J644" s="751"/>
      <c r="K644" s="751"/>
      <c r="L644" s="751"/>
      <c r="M644" s="751"/>
      <c r="N644" s="98"/>
    </row>
    <row r="645" spans="4:16" ht="15" customHeight="1">
      <c r="D645" s="83"/>
      <c r="E645" s="93" t="s">
        <v>2135</v>
      </c>
      <c r="F645" s="3666"/>
      <c r="G645" s="3666"/>
      <c r="H645" s="3666"/>
      <c r="I645" s="3666"/>
      <c r="J645" s="3666"/>
      <c r="K645" s="3666"/>
      <c r="L645" s="3666"/>
      <c r="M645" s="3666"/>
      <c r="N645" s="84"/>
    </row>
    <row r="646" spans="4:16" ht="15" customHeight="1">
      <c r="D646" s="83"/>
      <c r="E646" s="30"/>
      <c r="F646" s="3400"/>
      <c r="G646" s="3665"/>
      <c r="H646" s="751"/>
      <c r="I646" s="751"/>
      <c r="J646" s="751"/>
      <c r="K646" s="751"/>
      <c r="L646" s="751"/>
      <c r="M646" s="751"/>
      <c r="N646" s="84"/>
    </row>
    <row r="647" spans="4:16" ht="15" customHeight="1">
      <c r="D647" s="83"/>
      <c r="E647" s="26" t="s">
        <v>2163</v>
      </c>
      <c r="F647" s="788"/>
      <c r="G647" s="788"/>
      <c r="H647" s="788"/>
      <c r="I647" s="788"/>
      <c r="J647" s="788"/>
      <c r="K647" s="788"/>
      <c r="L647" s="788"/>
      <c r="M647" s="971" t="s">
        <v>803</v>
      </c>
      <c r="N647" s="84"/>
    </row>
    <row r="648" spans="4:16" ht="15" customHeight="1">
      <c r="D648" s="83"/>
      <c r="E648" s="89" t="s">
        <v>2164</v>
      </c>
      <c r="F648" s="972">
        <v>2018</v>
      </c>
      <c r="G648" s="972">
        <v>2020</v>
      </c>
      <c r="H648" s="972">
        <v>2025</v>
      </c>
      <c r="I648" s="972">
        <v>2030</v>
      </c>
      <c r="J648" s="972">
        <v>2035</v>
      </c>
      <c r="K648" s="972">
        <v>2040</v>
      </c>
      <c r="L648" s="972">
        <v>2045</v>
      </c>
      <c r="M648" s="972">
        <v>2050</v>
      </c>
      <c r="N648" s="84"/>
      <c r="P648" s="1634"/>
    </row>
    <row r="649" spans="4:16" ht="15" customHeight="1">
      <c r="D649" s="83"/>
      <c r="E649" s="30" t="s">
        <v>795</v>
      </c>
      <c r="F649" s="3667" cm="1">
        <f t="array" ref="F649:M649">INDEX(SF_TENENCIA_REFRIGERADORES,FRIO,0)*INDEX(ST_PORCENTAJE_NEVERAS_MAS_EFICIENTES,FRIO,0)*GEN_HOGARES*INDEX(GEN_PORCENTAJE_HOGARES_POR_ZONA_CLIMATICA,FRIO,0)*INDEX(COSTOS_Costosdecapital_NEVERASYESTUFAS_ALTO,NEVERAS,0)*COSTOS_2019_US_dolares_MMCOP</f>
        <v>0</v>
      </c>
      <c r="G649" s="3667">
        <v>0</v>
      </c>
      <c r="H649" s="3667">
        <v>0</v>
      </c>
      <c r="I649" s="3667">
        <v>0</v>
      </c>
      <c r="J649" s="3667">
        <v>0</v>
      </c>
      <c r="K649" s="3667">
        <v>0</v>
      </c>
      <c r="L649" s="3667">
        <v>0</v>
      </c>
      <c r="M649" s="3667">
        <v>0</v>
      </c>
      <c r="N649" s="84"/>
    </row>
    <row r="650" spans="4:16" ht="15" customHeight="1">
      <c r="D650" s="45"/>
      <c r="E650" s="30" t="s">
        <v>791</v>
      </c>
      <c r="F650" s="3668" cm="1">
        <f t="array" ref="F650:M650">INDEX(SF_TENENCIA_REFRIGERADORES,TEMPLADO,0)*INDEX(ST_PORCENTAJE_NEVERAS_MAS_EFICIENTES,TEMPLADO,0)*GEN_HOGARES*INDEX(GEN_PORCENTAJE_HOGARES_POR_ZONA_CLIMATICA,TEMPLADO,0)*INDEX(COSTOS_Costosdecapital_NEVERASYESTUFAS_ALTO,NEVERAS,0)*COSTOS_2019_US_dolares_MMCOP</f>
        <v>0</v>
      </c>
      <c r="G650" s="3668">
        <v>0</v>
      </c>
      <c r="H650" s="3668">
        <v>0</v>
      </c>
      <c r="I650" s="3668">
        <v>0</v>
      </c>
      <c r="J650" s="3668">
        <v>0</v>
      </c>
      <c r="K650" s="3668">
        <v>0</v>
      </c>
      <c r="L650" s="3668">
        <v>0</v>
      </c>
      <c r="M650" s="3668">
        <v>0</v>
      </c>
      <c r="N650" s="84"/>
    </row>
    <row r="651" spans="4:16" ht="15" customHeight="1">
      <c r="D651" s="13"/>
      <c r="E651" s="30" t="s">
        <v>792</v>
      </c>
      <c r="F651" s="3668" cm="1">
        <f t="array" ref="F651:M651">INDEX(SF_TENENCIA_REFRIGERADORES,CALIDO_SECO,0)*INDEX(ST_PORCENTAJE_NEVERAS_MAS_EFICIENTES,CALIDO_SECO,0)*GEN_HOGARES*INDEX(GEN_PORCENTAJE_HOGARES_POR_ZONA_CLIMATICA,CALIDO_SECO,0)*INDEX(COSTOS_Costosdecapital_NEVERASYESTUFAS_ALTO,NEVERAS,0)*COSTOS_2019_US_dolares_MMCOP</f>
        <v>0</v>
      </c>
      <c r="G651" s="3668">
        <v>0</v>
      </c>
      <c r="H651" s="3668">
        <v>0</v>
      </c>
      <c r="I651" s="3668">
        <v>0</v>
      </c>
      <c r="J651" s="3668">
        <v>0</v>
      </c>
      <c r="K651" s="3668">
        <v>0</v>
      </c>
      <c r="L651" s="3668">
        <v>0</v>
      </c>
      <c r="M651" s="3668">
        <v>0</v>
      </c>
      <c r="N651" s="84"/>
    </row>
    <row r="652" spans="4:16" ht="15" customHeight="1">
      <c r="D652" s="13"/>
      <c r="E652" s="32" t="s">
        <v>793</v>
      </c>
      <c r="F652" s="3669" cm="1">
        <f t="array" ref="F652:M652">INDEX(SF_TENENCIA_REFRIGERADORES,CALIDO_HUMEDO,0)*INDEX(ST_PORCENTAJE_NEVERAS_MAS_EFICIENTES,CALIDO_HUMEDO,0)*GEN_HOGARES*INDEX(GEN_PORCENTAJE_HOGARES_POR_ZONA_CLIMATICA,CALIDO_HUMEDO,0)*INDEX(COSTOS_Costosdecapital_NEVERASYESTUFAS_ALTO,NEVERAS,0)*COSTOS_2019_US_dolares_MMCOP</f>
        <v>0</v>
      </c>
      <c r="G652" s="3669">
        <v>0</v>
      </c>
      <c r="H652" s="3669">
        <v>0</v>
      </c>
      <c r="I652" s="3669">
        <v>0</v>
      </c>
      <c r="J652" s="3669">
        <v>0</v>
      </c>
      <c r="K652" s="3669">
        <v>0</v>
      </c>
      <c r="L652" s="3669">
        <v>0</v>
      </c>
      <c r="M652" s="3669">
        <v>0</v>
      </c>
      <c r="N652" s="84"/>
    </row>
    <row r="653" spans="4:16" ht="15" customHeight="1">
      <c r="D653" s="13"/>
      <c r="E653" s="945" t="s">
        <v>1626</v>
      </c>
      <c r="F653" s="946" cm="1">
        <f t="array" ref="F653:M653">_xlfn.ANCHORARRAY(F649)+_xlfn.ANCHORARRAY(F650)+_xlfn.ANCHORARRAY(F651)++_xlfn.ANCHORARRAY(F652)</f>
        <v>0</v>
      </c>
      <c r="G653" s="947">
        <v>0</v>
      </c>
      <c r="H653" s="947">
        <v>0</v>
      </c>
      <c r="I653" s="947">
        <v>0</v>
      </c>
      <c r="J653" s="947">
        <v>0</v>
      </c>
      <c r="K653" s="947">
        <v>0</v>
      </c>
      <c r="L653" s="947">
        <v>0</v>
      </c>
      <c r="M653" s="947">
        <v>0</v>
      </c>
      <c r="N653" s="84"/>
    </row>
    <row r="654" spans="4:16" ht="15" customHeight="1">
      <c r="D654" s="13"/>
      <c r="E654" s="36"/>
      <c r="F654" s="3670"/>
      <c r="G654" s="3668"/>
      <c r="H654" s="3668"/>
      <c r="I654" s="3668"/>
      <c r="J654" s="3668"/>
      <c r="K654" s="3668"/>
      <c r="L654" s="3668"/>
      <c r="M654" s="3668"/>
      <c r="N654" s="84"/>
    </row>
    <row r="655" spans="4:16" ht="15" customHeight="1">
      <c r="D655" s="83"/>
      <c r="E655" s="26" t="s">
        <v>2165</v>
      </c>
      <c r="F655" s="788"/>
      <c r="G655" s="788"/>
      <c r="H655" s="788"/>
      <c r="I655" s="788"/>
      <c r="J655" s="788"/>
      <c r="K655" s="788"/>
      <c r="L655" s="788"/>
      <c r="M655" s="971" t="s">
        <v>803</v>
      </c>
      <c r="N655" s="84"/>
    </row>
    <row r="656" spans="4:16" ht="15" customHeight="1">
      <c r="D656" s="97"/>
      <c r="E656" s="89" t="s">
        <v>2164</v>
      </c>
      <c r="F656" s="972">
        <v>2018</v>
      </c>
      <c r="G656" s="972">
        <v>2020</v>
      </c>
      <c r="H656" s="972">
        <v>2025</v>
      </c>
      <c r="I656" s="972">
        <v>2030</v>
      </c>
      <c r="J656" s="972">
        <v>2035</v>
      </c>
      <c r="K656" s="972">
        <v>2040</v>
      </c>
      <c r="L656" s="972">
        <v>2045</v>
      </c>
      <c r="M656" s="972">
        <v>2050</v>
      </c>
      <c r="N656" s="84"/>
    </row>
    <row r="657" spans="4:14" ht="15" customHeight="1">
      <c r="D657" s="83"/>
      <c r="E657" s="30" t="s">
        <v>795</v>
      </c>
      <c r="F657" s="3667" cm="1">
        <f t="array" ref="F657:M657">INDEX(SF_TENENCIA_REFRIGERADORES,FRIO,0)*INDEX(ST_PORCENTAJE_NEVERAS_MAS_EFICIENTES,FRIO,0)*GEN_HOGARES*INDEX(GEN_PORCENTAJE_HOGARES_POR_ZONA_CLIMATICA,FRIO,0)*INDEX(COSTOS_Costosdecapital_NEVERASYESTUFAS_MEDIO,NEVERAS,0)*COSTOS_2019_US_dolares_MMCOP</f>
        <v>0</v>
      </c>
      <c r="G657" s="3667">
        <v>0</v>
      </c>
      <c r="H657" s="3667">
        <v>0</v>
      </c>
      <c r="I657" s="3667">
        <v>0</v>
      </c>
      <c r="J657" s="3667">
        <v>0</v>
      </c>
      <c r="K657" s="3667">
        <v>0</v>
      </c>
      <c r="L657" s="3667">
        <v>0</v>
      </c>
      <c r="M657" s="3667">
        <v>0</v>
      </c>
      <c r="N657" s="84"/>
    </row>
    <row r="658" spans="4:14" ht="15" customHeight="1">
      <c r="D658" s="83"/>
      <c r="E658" s="30" t="s">
        <v>791</v>
      </c>
      <c r="F658" s="3668" cm="1">
        <f t="array" ref="F658:M658">INDEX(SF_TENENCIA_REFRIGERADORES,TEMPLADO,0)*INDEX(ST_PORCENTAJE_NEVERAS_MAS_EFICIENTES,TEMPLADO,0)*GEN_HOGARES*INDEX(GEN_PORCENTAJE_HOGARES_POR_ZONA_CLIMATICA,TEMPLADO,0)*INDEX(COSTOS_Costosdecapital_NEVERASYESTUFAS_MEDIO,NEVERAS,0)*COSTOS_2019_US_dolares_MMCOP</f>
        <v>0</v>
      </c>
      <c r="G658" s="3668">
        <v>0</v>
      </c>
      <c r="H658" s="3668">
        <v>0</v>
      </c>
      <c r="I658" s="3668">
        <v>0</v>
      </c>
      <c r="J658" s="3668">
        <v>0</v>
      </c>
      <c r="K658" s="3668">
        <v>0</v>
      </c>
      <c r="L658" s="3668">
        <v>0</v>
      </c>
      <c r="M658" s="3668">
        <v>0</v>
      </c>
      <c r="N658" s="84"/>
    </row>
    <row r="659" spans="4:14" ht="15" customHeight="1">
      <c r="D659" s="83"/>
      <c r="E659" s="30" t="s">
        <v>792</v>
      </c>
      <c r="F659" s="3668" cm="1">
        <f t="array" ref="F659:M659">INDEX(SF_TENENCIA_REFRIGERADORES,CALIDO_SECO,0)*INDEX(ST_PORCENTAJE_NEVERAS_MAS_EFICIENTES,CALIDO_SECO,0)*GEN_HOGARES*INDEX(GEN_PORCENTAJE_HOGARES_POR_ZONA_CLIMATICA,CALIDO_SECO,0)*INDEX(COSTOS_Costosdecapital_NEVERASYESTUFAS_MEDIO,NEVERAS,0)*COSTOS_2019_US_dolares_MMCOP</f>
        <v>0</v>
      </c>
      <c r="G659" s="3668">
        <v>0</v>
      </c>
      <c r="H659" s="3668">
        <v>0</v>
      </c>
      <c r="I659" s="3668">
        <v>0</v>
      </c>
      <c r="J659" s="3668">
        <v>0</v>
      </c>
      <c r="K659" s="3668">
        <v>0</v>
      </c>
      <c r="L659" s="3668">
        <v>0</v>
      </c>
      <c r="M659" s="3668">
        <v>0</v>
      </c>
      <c r="N659" s="84"/>
    </row>
    <row r="660" spans="4:14" ht="15" customHeight="1">
      <c r="D660" s="83"/>
      <c r="E660" s="32" t="s">
        <v>793</v>
      </c>
      <c r="F660" s="3669" cm="1">
        <f t="array" ref="F660:M660">INDEX(SF_TENENCIA_REFRIGERADORES,CALIDO_HUMEDO,0)*INDEX(ST_PORCENTAJE_NEVERAS_MAS_EFICIENTES,CALIDO_HUMEDO,0)*GEN_HOGARES*INDEX(GEN_PORCENTAJE_HOGARES_POR_ZONA_CLIMATICA,CALIDO_HUMEDO,0)*INDEX(COSTOS_Costosdecapital_NEVERASYESTUFAS_MEDIO,NEVERAS,0)*COSTOS_2019_US_dolares_MMCOP</f>
        <v>0</v>
      </c>
      <c r="G660" s="3669">
        <v>0</v>
      </c>
      <c r="H660" s="3669">
        <v>0</v>
      </c>
      <c r="I660" s="3669">
        <v>0</v>
      </c>
      <c r="J660" s="3669">
        <v>0</v>
      </c>
      <c r="K660" s="3669">
        <v>0</v>
      </c>
      <c r="L660" s="3669">
        <v>0</v>
      </c>
      <c r="M660" s="3669">
        <v>0</v>
      </c>
      <c r="N660" s="84"/>
    </row>
    <row r="661" spans="4:14" ht="15" customHeight="1">
      <c r="D661" s="83"/>
      <c r="E661" s="945" t="s">
        <v>1626</v>
      </c>
      <c r="F661" s="946" cm="1">
        <f t="array" ref="F661:M661">_xlfn.ANCHORARRAY(F657)+_xlfn.ANCHORARRAY(F658)+_xlfn.ANCHORARRAY(F659)++_xlfn.ANCHORARRAY(F660)</f>
        <v>0</v>
      </c>
      <c r="G661" s="947">
        <v>0</v>
      </c>
      <c r="H661" s="947">
        <v>0</v>
      </c>
      <c r="I661" s="947">
        <v>0</v>
      </c>
      <c r="J661" s="947">
        <v>0</v>
      </c>
      <c r="K661" s="947">
        <v>0</v>
      </c>
      <c r="L661" s="947">
        <v>0</v>
      </c>
      <c r="M661" s="947">
        <v>0</v>
      </c>
      <c r="N661" s="84"/>
    </row>
    <row r="662" spans="4:14" ht="15" customHeight="1">
      <c r="D662" s="83"/>
      <c r="E662" s="30"/>
      <c r="F662" s="751"/>
      <c r="G662" s="751"/>
      <c r="H662" s="751"/>
      <c r="I662" s="751"/>
      <c r="J662" s="751"/>
      <c r="K662" s="751"/>
      <c r="L662" s="751"/>
      <c r="M662" s="751"/>
      <c r="N662" s="84"/>
    </row>
    <row r="663" spans="4:14" ht="15" customHeight="1">
      <c r="D663" s="83"/>
      <c r="E663" s="26" t="s">
        <v>2166</v>
      </c>
      <c r="F663" s="788"/>
      <c r="G663" s="788"/>
      <c r="H663" s="788"/>
      <c r="I663" s="788"/>
      <c r="J663" s="788"/>
      <c r="K663" s="788"/>
      <c r="L663" s="788"/>
      <c r="M663" s="971" t="s">
        <v>803</v>
      </c>
      <c r="N663" s="84"/>
    </row>
    <row r="664" spans="4:14" ht="15" customHeight="1">
      <c r="D664" s="83"/>
      <c r="E664" s="89" t="s">
        <v>2164</v>
      </c>
      <c r="F664" s="972">
        <v>2018</v>
      </c>
      <c r="G664" s="972">
        <v>2020</v>
      </c>
      <c r="H664" s="972">
        <v>2025</v>
      </c>
      <c r="I664" s="972">
        <v>2030</v>
      </c>
      <c r="J664" s="972">
        <v>2035</v>
      </c>
      <c r="K664" s="972">
        <v>2040</v>
      </c>
      <c r="L664" s="972">
        <v>2045</v>
      </c>
      <c r="M664" s="972">
        <v>2050</v>
      </c>
      <c r="N664" s="84"/>
    </row>
    <row r="665" spans="4:14" ht="15" customHeight="1">
      <c r="D665" s="83"/>
      <c r="E665" s="30" t="s">
        <v>795</v>
      </c>
      <c r="F665" s="3667" cm="1">
        <f t="array" ref="F665:M665">INDEX(SF_TENENCIA_REFRIGERADORES,FRIO,0)*INDEX(ST_PORCENTAJE_NEVERAS_MAS_EFICIENTES,FRIO,0)*GEN_HOGARES*INDEX(GEN_PORCENTAJE_HOGARES_POR_ZONA_CLIMATICA,FRIO,0)*INDEX(COSTOS_Costosdecapital_NEVERASYESTUFAS_BAJO,NEVERAS,0)*COSTOS_2019_US_dolares_MMCOP</f>
        <v>0</v>
      </c>
      <c r="G665" s="3667">
        <v>0</v>
      </c>
      <c r="H665" s="3667">
        <v>0</v>
      </c>
      <c r="I665" s="3667">
        <v>0</v>
      </c>
      <c r="J665" s="3667">
        <v>0</v>
      </c>
      <c r="K665" s="3667">
        <v>0</v>
      </c>
      <c r="L665" s="3667">
        <v>0</v>
      </c>
      <c r="M665" s="3667">
        <v>0</v>
      </c>
      <c r="N665" s="84"/>
    </row>
    <row r="666" spans="4:14" ht="15" customHeight="1">
      <c r="D666" s="13"/>
      <c r="E666" s="30" t="s">
        <v>791</v>
      </c>
      <c r="F666" s="3668" cm="1">
        <f t="array" ref="F666:M666">INDEX(SF_TENENCIA_REFRIGERADORES,TEMPLADO,0)*INDEX(ST_PORCENTAJE_NEVERAS_MAS_EFICIENTES,TEMPLADO,0)*GEN_HOGARES*INDEX(GEN_PORCENTAJE_HOGARES_POR_ZONA_CLIMATICA,TEMPLADO,0)*INDEX(COSTOS_Costosdecapital_NEVERASYESTUFAS_BAJO,NEVERAS,0)*COSTOS_2019_US_dolares_MMCOP</f>
        <v>0</v>
      </c>
      <c r="G666" s="3668">
        <v>0</v>
      </c>
      <c r="H666" s="3668">
        <v>0</v>
      </c>
      <c r="I666" s="3668">
        <v>0</v>
      </c>
      <c r="J666" s="3668">
        <v>0</v>
      </c>
      <c r="K666" s="3668">
        <v>0</v>
      </c>
      <c r="L666" s="3668">
        <v>0</v>
      </c>
      <c r="M666" s="3668">
        <v>0</v>
      </c>
      <c r="N666" s="84"/>
    </row>
    <row r="667" spans="4:14" ht="15" customHeight="1">
      <c r="D667" s="13"/>
      <c r="E667" s="30" t="s">
        <v>792</v>
      </c>
      <c r="F667" s="3668" cm="1">
        <f t="array" ref="F667:M667">INDEX(SF_TENENCIA_REFRIGERADORES,CALIDO_SECO,0)*INDEX(ST_PORCENTAJE_NEVERAS_MAS_EFICIENTES,CALIDO_SECO,0)*GEN_HOGARES*INDEX(GEN_PORCENTAJE_HOGARES_POR_ZONA_CLIMATICA,CALIDO_SECO,0)*INDEX(COSTOS_Costosdecapital_NEVERASYESTUFAS_BAJO,NEVERAS,0)*COSTOS_2019_US_dolares_MMCOP</f>
        <v>0</v>
      </c>
      <c r="G667" s="3668">
        <v>0</v>
      </c>
      <c r="H667" s="3668">
        <v>0</v>
      </c>
      <c r="I667" s="3668">
        <v>0</v>
      </c>
      <c r="J667" s="3668">
        <v>0</v>
      </c>
      <c r="K667" s="3668">
        <v>0</v>
      </c>
      <c r="L667" s="3668">
        <v>0</v>
      </c>
      <c r="M667" s="3668">
        <v>0</v>
      </c>
      <c r="N667" s="98"/>
    </row>
    <row r="668" spans="4:14" ht="15" customHeight="1">
      <c r="D668" s="83"/>
      <c r="E668" s="32" t="s">
        <v>793</v>
      </c>
      <c r="F668" s="3669" cm="1">
        <f t="array" ref="F668:M668">INDEX(SF_TENENCIA_REFRIGERADORES,CALIDO_HUMEDO,0)*INDEX(ST_PORCENTAJE_NEVERAS_MAS_EFICIENTES,CALIDO_HUMEDO,0)*GEN_HOGARES*INDEX(GEN_PORCENTAJE_HOGARES_POR_ZONA_CLIMATICA,CALIDO_HUMEDO,0)*INDEX(COSTOS_Costosdecapital_NEVERASYESTUFAS_BAJO,NEVERAS,0)*COSTOS_2019_US_dolares_MMCOP</f>
        <v>0</v>
      </c>
      <c r="G668" s="3669">
        <v>0</v>
      </c>
      <c r="H668" s="3669">
        <v>0</v>
      </c>
      <c r="I668" s="3669">
        <v>0</v>
      </c>
      <c r="J668" s="3669">
        <v>0</v>
      </c>
      <c r="K668" s="3669">
        <v>0</v>
      </c>
      <c r="L668" s="3669">
        <v>0</v>
      </c>
      <c r="M668" s="3669">
        <v>0</v>
      </c>
      <c r="N668" s="98"/>
    </row>
    <row r="669" spans="4:14" ht="15" customHeight="1">
      <c r="D669" s="83"/>
      <c r="E669" s="945" t="s">
        <v>1626</v>
      </c>
      <c r="F669" s="946" cm="1">
        <f t="array" ref="F669:M669">_xlfn.ANCHORARRAY(F665)+_xlfn.ANCHORARRAY(F666)+_xlfn.ANCHORARRAY(F667)++_xlfn.ANCHORARRAY(F668)</f>
        <v>0</v>
      </c>
      <c r="G669" s="947">
        <v>0</v>
      </c>
      <c r="H669" s="947">
        <v>0</v>
      </c>
      <c r="I669" s="947">
        <v>0</v>
      </c>
      <c r="J669" s="947">
        <v>0</v>
      </c>
      <c r="K669" s="947">
        <v>0</v>
      </c>
      <c r="L669" s="947">
        <v>0</v>
      </c>
      <c r="M669" s="947">
        <v>0</v>
      </c>
      <c r="N669" s="98"/>
    </row>
    <row r="670" spans="4:14" ht="15" customHeight="1">
      <c r="D670" s="97"/>
      <c r="E670" s="30"/>
      <c r="F670" s="3400"/>
      <c r="G670" s="3665"/>
      <c r="H670" s="751"/>
      <c r="I670" s="751"/>
      <c r="J670" s="751"/>
      <c r="K670" s="751"/>
      <c r="L670" s="751"/>
      <c r="M670" s="751"/>
      <c r="N670" s="98"/>
    </row>
    <row r="671" spans="4:14" ht="15" customHeight="1">
      <c r="D671" s="83"/>
      <c r="E671" s="93" t="s">
        <v>2138</v>
      </c>
      <c r="F671" s="3666"/>
      <c r="G671" s="3666"/>
      <c r="H671" s="3666"/>
      <c r="I671" s="3666"/>
      <c r="J671" s="3666"/>
      <c r="K671" s="3666"/>
      <c r="L671" s="3666"/>
      <c r="M671" s="3666"/>
      <c r="N671" s="22"/>
    </row>
    <row r="672" spans="4:14" ht="15" customHeight="1">
      <c r="D672" s="83"/>
      <c r="E672" s="30"/>
      <c r="F672" s="3400"/>
      <c r="G672" s="3665"/>
      <c r="H672" s="751"/>
      <c r="I672" s="751"/>
      <c r="J672" s="751"/>
      <c r="K672" s="751"/>
      <c r="L672" s="751"/>
      <c r="M672" s="751"/>
      <c r="N672" s="98"/>
    </row>
    <row r="673" spans="4:14" ht="15" customHeight="1">
      <c r="D673" s="83"/>
      <c r="E673" s="26" t="s">
        <v>2167</v>
      </c>
      <c r="F673" s="368"/>
      <c r="G673" s="368"/>
      <c r="H673" s="368"/>
      <c r="I673" s="368"/>
      <c r="J673" s="368"/>
      <c r="K673" s="368"/>
      <c r="L673" s="368"/>
      <c r="M673" s="536" t="s">
        <v>803</v>
      </c>
      <c r="N673" s="98"/>
    </row>
    <row r="674" spans="4:14" ht="15" customHeight="1">
      <c r="D674" s="83"/>
      <c r="E674" s="664"/>
      <c r="F674" s="932">
        <v>2018</v>
      </c>
      <c r="G674" s="932">
        <v>2020</v>
      </c>
      <c r="H674" s="932">
        <v>2025</v>
      </c>
      <c r="I674" s="932">
        <v>2030</v>
      </c>
      <c r="J674" s="932">
        <v>2035</v>
      </c>
      <c r="K674" s="932">
        <v>2040</v>
      </c>
      <c r="L674" s="932">
        <v>2045</v>
      </c>
      <c r="M674" s="932">
        <v>2050</v>
      </c>
      <c r="N674" s="98"/>
    </row>
    <row r="675" spans="4:14" ht="15" customHeight="1">
      <c r="D675" s="83"/>
      <c r="E675" s="904" t="s">
        <v>795</v>
      </c>
      <c r="F675" s="3667" cm="1">
        <f t="array" ref="F675:M675">(((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ALTO,ESTUFA_ELECTRICA,0)))*(INDEX(ST_PORCENTAJE_ESTUFAS_CON_EFICIENCIA_MEJORADA,0,0)*COSTOS_2019_US_dolares_MMCOP)</f>
        <v>0</v>
      </c>
      <c r="G675" s="3667">
        <v>0</v>
      </c>
      <c r="H675" s="3667">
        <v>0</v>
      </c>
      <c r="I675" s="3667">
        <v>0</v>
      </c>
      <c r="J675" s="3667">
        <v>0</v>
      </c>
      <c r="K675" s="3667">
        <v>0</v>
      </c>
      <c r="L675" s="3667">
        <v>0</v>
      </c>
      <c r="M675" s="3667">
        <v>0</v>
      </c>
      <c r="N675" s="98"/>
    </row>
    <row r="676" spans="4:14" ht="15" customHeight="1">
      <c r="D676" s="83"/>
      <c r="E676" s="904" t="s">
        <v>791</v>
      </c>
      <c r="F676" s="3668" cm="1">
        <f t="array" ref="F676:M676">(((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ALTO,ESTUFA_ELECTRICA,0)))*(INDEX(ST_PORCENTAJE_ESTUFAS_CON_EFICIENCIA_MEJORADA,0,0)*COSTOS_2019_US_dolares_MMCOP)</f>
        <v>0</v>
      </c>
      <c r="G676" s="3668">
        <v>0</v>
      </c>
      <c r="H676" s="3668">
        <v>0</v>
      </c>
      <c r="I676" s="3668">
        <v>0</v>
      </c>
      <c r="J676" s="3668">
        <v>0</v>
      </c>
      <c r="K676" s="3668">
        <v>0</v>
      </c>
      <c r="L676" s="3668">
        <v>0</v>
      </c>
      <c r="M676" s="3668">
        <v>0</v>
      </c>
      <c r="N676" s="98"/>
    </row>
    <row r="677" spans="4:14" ht="15" customHeight="1">
      <c r="D677" s="83"/>
      <c r="E677" s="904" t="s">
        <v>792</v>
      </c>
      <c r="F677" s="3668" cm="1">
        <f t="array" ref="F677:M677">(((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ALTO,ESTUFA_ELECTRICA,0)))*(INDEX(ST_PORCENTAJE_ESTUFAS_CON_EFICIENCIA_MEJORADA,0,0)*COSTOS_2019_US_dolares_MMCOP)</f>
        <v>0</v>
      </c>
      <c r="G677" s="3668">
        <v>0</v>
      </c>
      <c r="H677" s="3668">
        <v>0</v>
      </c>
      <c r="I677" s="3668">
        <v>0</v>
      </c>
      <c r="J677" s="3668">
        <v>0</v>
      </c>
      <c r="K677" s="3668">
        <v>0</v>
      </c>
      <c r="L677" s="3668">
        <v>0</v>
      </c>
      <c r="M677" s="3668">
        <v>0</v>
      </c>
      <c r="N677" s="98"/>
    </row>
    <row r="678" spans="4:14" ht="15" customHeight="1">
      <c r="D678" s="83"/>
      <c r="E678" s="905" t="s">
        <v>793</v>
      </c>
      <c r="F678" s="3669" cm="1">
        <f t="array" ref="F678:M678">(((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ALTO,ESTUFA_ELECTRICA,0)))*(INDEX(ST_PORCENTAJE_ESTUFAS_CON_EFICIENCIA_MEJORADA,0,0)*COSTOS_2019_US_dolares_MMCOP)</f>
        <v>0</v>
      </c>
      <c r="G678" s="3669">
        <v>0</v>
      </c>
      <c r="H678" s="3669">
        <v>0</v>
      </c>
      <c r="I678" s="3669">
        <v>0</v>
      </c>
      <c r="J678" s="3669">
        <v>0</v>
      </c>
      <c r="K678" s="3669">
        <v>0</v>
      </c>
      <c r="L678" s="3669">
        <v>0</v>
      </c>
      <c r="M678" s="3669">
        <v>0</v>
      </c>
      <c r="N678" s="98"/>
    </row>
    <row r="679" spans="4:14" ht="15" customHeight="1">
      <c r="D679" s="83"/>
      <c r="E679" s="945" t="s">
        <v>1626</v>
      </c>
      <c r="F679" s="946" cm="1">
        <f t="array" ref="F679:M679">_xlfn.ANCHORARRAY(F675)+_xlfn.ANCHORARRAY(F676)+_xlfn.ANCHORARRAY(F677)++_xlfn.ANCHORARRAY(F678)</f>
        <v>0</v>
      </c>
      <c r="G679" s="947">
        <v>0</v>
      </c>
      <c r="H679" s="947">
        <v>0</v>
      </c>
      <c r="I679" s="947">
        <v>0</v>
      </c>
      <c r="J679" s="947">
        <v>0</v>
      </c>
      <c r="K679" s="947">
        <v>0</v>
      </c>
      <c r="L679" s="947">
        <v>0</v>
      </c>
      <c r="M679" s="947">
        <v>0</v>
      </c>
      <c r="N679" s="98"/>
    </row>
    <row r="680" spans="4:14" ht="15" customHeight="1">
      <c r="D680" s="83"/>
      <c r="E680" s="906"/>
      <c r="F680" s="934"/>
      <c r="G680" s="935"/>
      <c r="H680" s="935"/>
      <c r="I680" s="935"/>
      <c r="J680" s="935"/>
      <c r="K680" s="935"/>
      <c r="L680" s="935"/>
      <c r="M680" s="935"/>
      <c r="N680" s="98"/>
    </row>
    <row r="681" spans="4:14" ht="15" customHeight="1">
      <c r="D681" s="83"/>
      <c r="E681" s="907" t="s">
        <v>2168</v>
      </c>
      <c r="F681" s="368"/>
      <c r="G681" s="368"/>
      <c r="H681" s="368"/>
      <c r="I681" s="368"/>
      <c r="J681" s="368"/>
      <c r="K681" s="368"/>
      <c r="L681" s="368"/>
      <c r="M681" s="536" t="s">
        <v>803</v>
      </c>
      <c r="N681" s="98"/>
    </row>
    <row r="682" spans="4:14" ht="15" customHeight="1">
      <c r="D682" s="83"/>
      <c r="E682" s="664"/>
      <c r="F682" s="932">
        <v>2018</v>
      </c>
      <c r="G682" s="932">
        <v>2020</v>
      </c>
      <c r="H682" s="932">
        <v>2025</v>
      </c>
      <c r="I682" s="932">
        <v>2030</v>
      </c>
      <c r="J682" s="932">
        <v>2035</v>
      </c>
      <c r="K682" s="932">
        <v>2040</v>
      </c>
      <c r="L682" s="932">
        <v>2045</v>
      </c>
      <c r="M682" s="932">
        <v>2050</v>
      </c>
      <c r="N682" s="98"/>
    </row>
    <row r="683" spans="4:14" ht="15" customHeight="1">
      <c r="D683" s="83"/>
      <c r="E683" s="904" t="s">
        <v>795</v>
      </c>
      <c r="F683" s="3667" cm="1">
        <f t="array" ref="F683:M683">(((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MEDIO,ESTUFA_ELECTRICA,0)))*(INDEX(ST_PORCENTAJE_ESTUFAS_CON_EFICIENCIA_MEJORADA,0,0)*COSTOS_2019_US_dolares_MMCOP)</f>
        <v>0</v>
      </c>
      <c r="G683" s="3667">
        <v>0</v>
      </c>
      <c r="H683" s="3667">
        <v>0</v>
      </c>
      <c r="I683" s="3667">
        <v>0</v>
      </c>
      <c r="J683" s="3667">
        <v>0</v>
      </c>
      <c r="K683" s="3667">
        <v>0</v>
      </c>
      <c r="L683" s="3667">
        <v>0</v>
      </c>
      <c r="M683" s="3667">
        <v>0</v>
      </c>
      <c r="N683" s="98"/>
    </row>
    <row r="684" spans="4:14" ht="15" customHeight="1">
      <c r="D684" s="83"/>
      <c r="E684" s="904" t="s">
        <v>791</v>
      </c>
      <c r="F684" s="3668" cm="1">
        <f t="array" ref="F684:M684">(((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MEDIO,ESTUFA_ELECTRICA,0)))*(INDEX(ST_PORCENTAJE_ESTUFAS_CON_EFICIENCIA_MEJORADA,0,0)*COSTOS_2019_US_dolares_MMCOP)</f>
        <v>0</v>
      </c>
      <c r="G684" s="3668">
        <v>0</v>
      </c>
      <c r="H684" s="3668">
        <v>0</v>
      </c>
      <c r="I684" s="3668">
        <v>0</v>
      </c>
      <c r="J684" s="3668">
        <v>0</v>
      </c>
      <c r="K684" s="3668">
        <v>0</v>
      </c>
      <c r="L684" s="3668">
        <v>0</v>
      </c>
      <c r="M684" s="3668">
        <v>0</v>
      </c>
      <c r="N684" s="98"/>
    </row>
    <row r="685" spans="4:14" ht="15" customHeight="1">
      <c r="D685" s="83"/>
      <c r="E685" s="904" t="s">
        <v>792</v>
      </c>
      <c r="F685" s="3668" cm="1">
        <f t="array" ref="F685:M685">(((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MEDIO,ESTUFA_ELECTRICA,0)))*(INDEX(ST_PORCENTAJE_ESTUFAS_CON_EFICIENCIA_MEJORADA,0,0)*COSTOS_2019_US_dolares_MMCOP)</f>
        <v>0</v>
      </c>
      <c r="G685" s="3668">
        <v>0</v>
      </c>
      <c r="H685" s="3668">
        <v>0</v>
      </c>
      <c r="I685" s="3668">
        <v>0</v>
      </c>
      <c r="J685" s="3668">
        <v>0</v>
      </c>
      <c r="K685" s="3668">
        <v>0</v>
      </c>
      <c r="L685" s="3668">
        <v>0</v>
      </c>
      <c r="M685" s="3668">
        <v>0</v>
      </c>
      <c r="N685" s="98"/>
    </row>
    <row r="686" spans="4:14" ht="15" customHeight="1">
      <c r="D686" s="83"/>
      <c r="E686" s="905" t="s">
        <v>793</v>
      </c>
      <c r="F686" s="3669" cm="1">
        <f t="array" ref="F686:M686">(((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MEDIO,ESTUFA_ELECTRICA,0)))*(INDEX(ST_PORCENTAJE_ESTUFAS_CON_EFICIENCIA_MEJORADA,0,0)*COSTOS_2019_US_dolares_MMCOP)</f>
        <v>0</v>
      </c>
      <c r="G686" s="3669">
        <v>0</v>
      </c>
      <c r="H686" s="3669">
        <v>0</v>
      </c>
      <c r="I686" s="3669">
        <v>0</v>
      </c>
      <c r="J686" s="3669">
        <v>0</v>
      </c>
      <c r="K686" s="3669">
        <v>0</v>
      </c>
      <c r="L686" s="3669">
        <v>0</v>
      </c>
      <c r="M686" s="3669">
        <v>0</v>
      </c>
      <c r="N686" s="84"/>
    </row>
    <row r="687" spans="4:14" ht="15" customHeight="1">
      <c r="D687" s="83"/>
      <c r="E687" s="945" t="s">
        <v>1626</v>
      </c>
      <c r="F687" s="946" cm="1">
        <f t="array" ref="F687:M687">_xlfn.ANCHORARRAY(F683)+_xlfn.ANCHORARRAY(F684)+_xlfn.ANCHORARRAY(F685)++_xlfn.ANCHORARRAY(F686)</f>
        <v>0</v>
      </c>
      <c r="G687" s="947">
        <v>0</v>
      </c>
      <c r="H687" s="947">
        <v>0</v>
      </c>
      <c r="I687" s="947">
        <v>0</v>
      </c>
      <c r="J687" s="947">
        <v>0</v>
      </c>
      <c r="K687" s="947">
        <v>0</v>
      </c>
      <c r="L687" s="947">
        <v>0</v>
      </c>
      <c r="M687" s="947">
        <v>0</v>
      </c>
      <c r="N687" s="84"/>
    </row>
    <row r="688" spans="4:14" ht="15" customHeight="1">
      <c r="D688" s="83"/>
      <c r="E688" s="906"/>
      <c r="F688" s="98"/>
      <c r="G688" s="98"/>
      <c r="H688" s="98"/>
      <c r="I688" s="98"/>
      <c r="J688" s="98"/>
      <c r="K688" s="98"/>
      <c r="L688" s="98"/>
      <c r="M688" s="98"/>
      <c r="N688" s="84"/>
    </row>
    <row r="689" spans="4:14" ht="15" customHeight="1">
      <c r="D689" s="83"/>
      <c r="E689" s="907" t="s">
        <v>2169</v>
      </c>
      <c r="F689" s="368"/>
      <c r="G689" s="368"/>
      <c r="H689" s="368"/>
      <c r="I689" s="368"/>
      <c r="J689" s="368"/>
      <c r="K689" s="368"/>
      <c r="L689" s="368"/>
      <c r="M689" s="536" t="s">
        <v>803</v>
      </c>
      <c r="N689" s="84"/>
    </row>
    <row r="690" spans="4:14" ht="15" customHeight="1">
      <c r="D690" s="83"/>
      <c r="E690" s="664"/>
      <c r="F690" s="932">
        <v>2018</v>
      </c>
      <c r="G690" s="932">
        <v>2020</v>
      </c>
      <c r="H690" s="932">
        <v>2025</v>
      </c>
      <c r="I690" s="932">
        <v>2030</v>
      </c>
      <c r="J690" s="932">
        <v>2035</v>
      </c>
      <c r="K690" s="932">
        <v>2040</v>
      </c>
      <c r="L690" s="932">
        <v>2045</v>
      </c>
      <c r="M690" s="932">
        <v>2050</v>
      </c>
      <c r="N690" s="84"/>
    </row>
    <row r="691" spans="4:14" ht="15" customHeight="1">
      <c r="D691" s="83"/>
      <c r="E691" s="904" t="s">
        <v>795</v>
      </c>
      <c r="F691" s="3667" cm="1">
        <f t="array" ref="F691:M691">(((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BAJO,ESTUFA_ELECTRICA,0)))*(INDEX(ST_PORCENTAJE_ESTUFAS_CON_EFICIENCIA_MEJORADA,0,0)*COSTOS_2019_US_dolares_MMCOP)</f>
        <v>0</v>
      </c>
      <c r="G691" s="3667">
        <v>0</v>
      </c>
      <c r="H691" s="3667">
        <v>0</v>
      </c>
      <c r="I691" s="3667">
        <v>0</v>
      </c>
      <c r="J691" s="3667">
        <v>0</v>
      </c>
      <c r="K691" s="3667">
        <v>0</v>
      </c>
      <c r="L691" s="3667">
        <v>0</v>
      </c>
      <c r="M691" s="3667">
        <v>0</v>
      </c>
      <c r="N691" s="84"/>
    </row>
    <row r="692" spans="4:14" ht="15" customHeight="1">
      <c r="D692" s="45"/>
      <c r="E692" s="904" t="s">
        <v>791</v>
      </c>
      <c r="F692" s="3668" cm="1">
        <f t="array" ref="F692:M692">(((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BAJO,ESTUFA_ELECTRICA,0)))*(INDEX(ST_PORCENTAJE_ESTUFAS_CON_EFICIENCIA_MEJORADA,0,0)*COSTOS_2019_US_dolares_MMCOP)</f>
        <v>0</v>
      </c>
      <c r="G692" s="3668">
        <v>0</v>
      </c>
      <c r="H692" s="3668">
        <v>0</v>
      </c>
      <c r="I692" s="3668">
        <v>0</v>
      </c>
      <c r="J692" s="3668">
        <v>0</v>
      </c>
      <c r="K692" s="3668">
        <v>0</v>
      </c>
      <c r="L692" s="3668">
        <v>0</v>
      </c>
      <c r="M692" s="3668">
        <v>0</v>
      </c>
      <c r="N692" s="98"/>
    </row>
    <row r="693" spans="4:14" ht="15" customHeight="1">
      <c r="D693" s="84"/>
      <c r="E693" s="904" t="s">
        <v>792</v>
      </c>
      <c r="F693" s="3668" cm="1">
        <f t="array" ref="F693:M693">(((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BAJO,ESTUFA_ELECTRICA,0)))*(INDEX(ST_PORCENTAJE_ESTUFAS_CON_EFICIENCIA_MEJORADA,0,0)*COSTOS_2019_US_dolares_MMCOP)</f>
        <v>0</v>
      </c>
      <c r="G693" s="3668">
        <v>0</v>
      </c>
      <c r="H693" s="3668">
        <v>0</v>
      </c>
      <c r="I693" s="3668">
        <v>0</v>
      </c>
      <c r="J693" s="3668">
        <v>0</v>
      </c>
      <c r="K693" s="3668">
        <v>0</v>
      </c>
      <c r="L693" s="3668">
        <v>0</v>
      </c>
      <c r="M693" s="3668">
        <v>0</v>
      </c>
      <c r="N693" s="84"/>
    </row>
    <row r="694" spans="4:14" ht="15" customHeight="1">
      <c r="D694" s="84"/>
      <c r="E694" s="905" t="s">
        <v>793</v>
      </c>
      <c r="F694" s="3669" cm="1">
        <f t="array" ref="F694:M694">(((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BAJO,ESTUFA_ELECTRICA,0)))*(INDEX(ST_PORCENTAJE_ESTUFAS_CON_EFICIENCIA_MEJORADA,0,0)*COSTOS_2019_US_dolares_MMCOP)</f>
        <v>0</v>
      </c>
      <c r="G694" s="3669">
        <v>0</v>
      </c>
      <c r="H694" s="3669">
        <v>0</v>
      </c>
      <c r="I694" s="3669">
        <v>0</v>
      </c>
      <c r="J694" s="3669">
        <v>0</v>
      </c>
      <c r="K694" s="3669">
        <v>0</v>
      </c>
      <c r="L694" s="3669">
        <v>0</v>
      </c>
      <c r="M694" s="3669">
        <v>0</v>
      </c>
      <c r="N694" s="84"/>
    </row>
    <row r="695" spans="4:14" ht="15" customHeight="1">
      <c r="D695" s="84"/>
      <c r="E695" s="945" t="s">
        <v>1626</v>
      </c>
      <c r="F695" s="946" cm="1">
        <f t="array" ref="F695:M695">_xlfn.ANCHORARRAY(F691)+_xlfn.ANCHORARRAY(F692)+_xlfn.ANCHORARRAY(F693)++_xlfn.ANCHORARRAY(F694)</f>
        <v>0</v>
      </c>
      <c r="G695" s="947">
        <v>0</v>
      </c>
      <c r="H695" s="947">
        <v>0</v>
      </c>
      <c r="I695" s="947">
        <v>0</v>
      </c>
      <c r="J695" s="947">
        <v>0</v>
      </c>
      <c r="K695" s="947">
        <v>0</v>
      </c>
      <c r="L695" s="947">
        <v>0</v>
      </c>
      <c r="M695" s="947">
        <v>0</v>
      </c>
      <c r="N695" s="84"/>
    </row>
    <row r="696" spans="4:14" ht="15" customHeight="1">
      <c r="D696" s="84"/>
      <c r="E696" s="904"/>
      <c r="F696" s="43"/>
      <c r="G696" s="43"/>
      <c r="H696" s="43"/>
      <c r="I696" s="43"/>
      <c r="J696" s="84"/>
      <c r="K696" s="84"/>
      <c r="L696" s="84"/>
      <c r="M696" s="84"/>
      <c r="N696" s="84"/>
    </row>
    <row r="698" spans="4:14" ht="15" customHeight="1">
      <c r="D698" s="99" t="s">
        <v>52</v>
      </c>
      <c r="E698" s="100"/>
      <c r="F698" s="100"/>
      <c r="G698" s="100"/>
      <c r="H698" s="100"/>
      <c r="I698" s="100"/>
      <c r="J698" s="100"/>
      <c r="K698" s="100"/>
      <c r="L698" s="100"/>
      <c r="M698" s="100"/>
      <c r="N698" s="100"/>
    </row>
    <row r="699" spans="4:14" ht="15" customHeight="1">
      <c r="D699" s="101"/>
      <c r="E699" s="101"/>
      <c r="F699" s="101"/>
      <c r="G699" s="101"/>
      <c r="H699" s="101"/>
      <c r="I699" s="101"/>
      <c r="J699" s="101"/>
      <c r="K699" s="101"/>
      <c r="L699" s="101"/>
      <c r="M699" s="101"/>
      <c r="N699" s="101"/>
    </row>
    <row r="700" spans="4:14" ht="15" customHeight="1">
      <c r="D700" s="101"/>
      <c r="E700" s="102" t="s">
        <v>1896</v>
      </c>
      <c r="F700" s="101"/>
      <c r="G700" s="101"/>
      <c r="H700" s="101"/>
      <c r="I700" s="101"/>
      <c r="J700" s="101"/>
      <c r="K700" s="101"/>
      <c r="L700" s="101"/>
      <c r="M700" s="101"/>
      <c r="N700" s="101"/>
    </row>
    <row r="701" spans="4:14" ht="15" customHeight="1">
      <c r="D701" s="101"/>
      <c r="E701" s="101"/>
      <c r="F701" s="101"/>
      <c r="G701" s="101"/>
      <c r="H701" s="101"/>
      <c r="I701" s="101"/>
      <c r="J701" s="101"/>
      <c r="K701" s="101"/>
      <c r="L701" s="101"/>
      <c r="M701" s="103" t="s">
        <v>9</v>
      </c>
      <c r="N701" s="101"/>
    </row>
    <row r="702" spans="4:14" ht="15" customHeight="1">
      <c r="D702" s="101"/>
      <c r="E702" s="53" t="s">
        <v>1722</v>
      </c>
      <c r="F702" s="104">
        <v>2018</v>
      </c>
      <c r="G702" s="104" t="s">
        <v>322</v>
      </c>
      <c r="H702" s="104" t="s">
        <v>323</v>
      </c>
      <c r="I702" s="104" t="s">
        <v>324</v>
      </c>
      <c r="J702" s="104" t="s">
        <v>325</v>
      </c>
      <c r="K702" s="104" t="s">
        <v>326</v>
      </c>
      <c r="L702" s="104" t="s">
        <v>327</v>
      </c>
      <c r="M702" s="104" t="s">
        <v>328</v>
      </c>
      <c r="N702" s="101"/>
    </row>
    <row r="703" spans="4:14" ht="15" customHeight="1">
      <c r="D703" s="101"/>
      <c r="E703" s="101" t="s">
        <v>2170</v>
      </c>
      <c r="F703" s="1481">
        <f>(F704+F706+F705)</f>
        <v>3.3660399699661063</v>
      </c>
      <c r="G703" s="1481">
        <f t="shared" ref="G703:M703" si="0">(G704+G706+G705)</f>
        <v>3.8846397807273982</v>
      </c>
      <c r="H703" s="1481">
        <f t="shared" si="0"/>
        <v>4.9000743760756471</v>
      </c>
      <c r="I703" s="1481">
        <f t="shared" si="0"/>
        <v>5.8384080759976928</v>
      </c>
      <c r="J703" s="1481">
        <f t="shared" si="0"/>
        <v>6.6926936505914281</v>
      </c>
      <c r="K703" s="1481">
        <f t="shared" si="0"/>
        <v>7.559651011844787</v>
      </c>
      <c r="L703" s="1481">
        <f t="shared" si="0"/>
        <v>8.4143145262671108</v>
      </c>
      <c r="M703" s="1481">
        <f t="shared" si="0"/>
        <v>9.2610064520694877</v>
      </c>
      <c r="N703" s="101"/>
    </row>
    <row r="704" spans="4:14" ht="15" customHeight="1">
      <c r="D704" s="101"/>
      <c r="E704" s="1482" t="s">
        <v>589</v>
      </c>
      <c r="F704" s="1483" cm="1">
        <f t="array" ref="F704:M704">F870:M870</f>
        <v>1.4955970348250662</v>
      </c>
      <c r="G704" s="1483">
        <v>1.7582146701022339</v>
      </c>
      <c r="H704" s="1483">
        <v>2.2377246721371771</v>
      </c>
      <c r="I704" s="1483">
        <v>2.6908610729481461</v>
      </c>
      <c r="J704" s="1483">
        <v>3.1154273638454284</v>
      </c>
      <c r="K704" s="1483">
        <v>3.5636056846131479</v>
      </c>
      <c r="L704" s="1483">
        <v>3.9980035252908612</v>
      </c>
      <c r="M704" s="1483">
        <v>4.4204807283827074</v>
      </c>
      <c r="N704" s="101"/>
    </row>
    <row r="705" spans="4:15" ht="15" customHeight="1">
      <c r="D705" s="101"/>
      <c r="E705" s="1482" t="s">
        <v>590</v>
      </c>
      <c r="F705" s="1483" cm="1">
        <f t="array" ref="F705:M705">F878:M878</f>
        <v>1.3472957501314324</v>
      </c>
      <c r="G705" s="1483">
        <v>1.5316818603193667</v>
      </c>
      <c r="H705" s="1483">
        <v>1.9177128444228655</v>
      </c>
      <c r="I705" s="1483">
        <v>2.2672045326139894</v>
      </c>
      <c r="J705" s="1483">
        <v>2.5767349405171309</v>
      </c>
      <c r="K705" s="1483">
        <v>2.8783849993829338</v>
      </c>
      <c r="L705" s="1483">
        <v>3.1811058926667175</v>
      </c>
      <c r="M705" s="1483">
        <v>3.4866713190762555</v>
      </c>
      <c r="N705" s="101"/>
    </row>
    <row r="706" spans="4:15" ht="15" customHeight="1">
      <c r="D706" s="101"/>
      <c r="E706" s="1484" t="s">
        <v>498</v>
      </c>
      <c r="F706" s="1485" cm="1">
        <f t="array" ref="F706:M706">F886:M886</f>
        <v>0.52314718500960788</v>
      </c>
      <c r="G706" s="1485">
        <v>0.59474325030579767</v>
      </c>
      <c r="H706" s="1485">
        <v>0.74463685951560454</v>
      </c>
      <c r="I706" s="1485">
        <v>0.88034247043555702</v>
      </c>
      <c r="J706" s="1485">
        <v>1.0005313462288692</v>
      </c>
      <c r="K706" s="1485">
        <v>1.1176603278487047</v>
      </c>
      <c r="L706" s="1485">
        <v>1.2352051083095326</v>
      </c>
      <c r="M706" s="1485">
        <v>1.3538544046105234</v>
      </c>
      <c r="N706" s="101"/>
    </row>
    <row r="707" spans="4:15" ht="15" customHeight="1">
      <c r="D707" s="101"/>
      <c r="E707" s="1597" t="s">
        <v>2171</v>
      </c>
      <c r="F707" s="1598" cm="1">
        <f t="array" ref="F707:M707">SALIDA_DEMANDA_EDI_RES_URB_IRCO_CONSUMOTOTAL</f>
        <v>3.3660399699661063</v>
      </c>
      <c r="G707" s="1598">
        <v>3.8846397807273982</v>
      </c>
      <c r="H707" s="1598">
        <v>4.9000743760756471</v>
      </c>
      <c r="I707" s="1598">
        <v>5.8384080759976928</v>
      </c>
      <c r="J707" s="1598">
        <v>6.6926936505914281</v>
      </c>
      <c r="K707" s="1598">
        <v>7.559651011844787</v>
      </c>
      <c r="L707" s="1598">
        <v>8.4143145262671108</v>
      </c>
      <c r="M707" s="1598">
        <v>9.2610064520694877</v>
      </c>
      <c r="N707" s="101"/>
    </row>
    <row r="708" spans="4:15" ht="15" customHeight="1">
      <c r="D708" s="101"/>
      <c r="E708" s="1482"/>
      <c r="F708" s="1483"/>
      <c r="G708" s="1483"/>
      <c r="H708" s="1483"/>
      <c r="I708" s="1483"/>
      <c r="J708" s="1483"/>
      <c r="K708" s="1483"/>
      <c r="L708" s="1483"/>
      <c r="M708" s="1483"/>
      <c r="N708" s="101"/>
    </row>
    <row r="709" spans="4:15" ht="15" customHeight="1">
      <c r="D709" s="101"/>
      <c r="E709" s="1482"/>
      <c r="F709" s="1483"/>
      <c r="G709" s="1483"/>
      <c r="H709" s="1483"/>
      <c r="I709" s="1483"/>
      <c r="J709" s="1483"/>
      <c r="K709" s="1483"/>
      <c r="L709" s="1483"/>
      <c r="M709" s="103" t="s">
        <v>9</v>
      </c>
      <c r="N709" s="101"/>
    </row>
    <row r="710" spans="4:15" ht="15" customHeight="1">
      <c r="D710" s="101"/>
      <c r="E710" s="53" t="s">
        <v>2172</v>
      </c>
      <c r="F710" s="104">
        <v>2018</v>
      </c>
      <c r="G710" s="104" t="s">
        <v>322</v>
      </c>
      <c r="H710" s="104" t="s">
        <v>323</v>
      </c>
      <c r="I710" s="104" t="s">
        <v>324</v>
      </c>
      <c r="J710" s="104" t="s">
        <v>325</v>
      </c>
      <c r="K710" s="104" t="s">
        <v>326</v>
      </c>
      <c r="L710" s="104" t="s">
        <v>327</v>
      </c>
      <c r="M710" s="104" t="s">
        <v>328</v>
      </c>
      <c r="N710" s="101"/>
    </row>
    <row r="711" spans="4:15" ht="15" customHeight="1">
      <c r="D711" s="101"/>
      <c r="E711" s="1599" t="s">
        <v>2173</v>
      </c>
      <c r="F711" s="1600" cm="1">
        <f t="array" ref="F711:M711">F893:M893</f>
        <v>0</v>
      </c>
      <c r="G711" s="1600">
        <v>4.619112157401981E-6</v>
      </c>
      <c r="H711" s="1600">
        <v>2.0272917560842541E-5</v>
      </c>
      <c r="I711" s="1600">
        <v>4.1380482384673446E-5</v>
      </c>
      <c r="J711" s="1600">
        <v>6.7733993310052588E-5</v>
      </c>
      <c r="K711" s="1600">
        <v>1.0075764518072839E-4</v>
      </c>
      <c r="L711" s="1600">
        <v>1.3956277798552673E-4</v>
      </c>
      <c r="M711" s="1600">
        <v>1.8297733039349229E-2</v>
      </c>
      <c r="N711" s="101"/>
    </row>
    <row r="712" spans="4:15" ht="15" customHeight="1">
      <c r="D712" s="101"/>
      <c r="E712" s="101"/>
      <c r="F712" s="1481"/>
      <c r="G712" s="1481"/>
      <c r="H712" s="1481"/>
      <c r="I712" s="1481"/>
      <c r="J712" s="1481"/>
      <c r="K712" s="1481"/>
      <c r="L712" s="1481"/>
      <c r="M712" s="1481"/>
      <c r="N712" s="101"/>
    </row>
    <row r="713" spans="4:15" ht="15" customHeight="1">
      <c r="D713" s="101"/>
      <c r="E713" s="101"/>
      <c r="F713" s="568"/>
      <c r="G713" s="568"/>
      <c r="H713" s="568"/>
      <c r="I713" s="568"/>
      <c r="J713" s="568"/>
      <c r="K713" s="568"/>
      <c r="L713" s="568"/>
      <c r="M713" s="103" t="s">
        <v>9</v>
      </c>
      <c r="N713" s="101"/>
      <c r="O713" s="1635"/>
    </row>
    <row r="714" spans="4:15" ht="15" customHeight="1">
      <c r="D714" s="101"/>
      <c r="E714" s="1130" t="s">
        <v>2174</v>
      </c>
      <c r="F714" s="1601" cm="1">
        <f t="array" ref="F714:M714">_xlfn.ANCHORARRAY(F707)-_xlfn.ANCHORARRAY(F711)</f>
        <v>3.3660399699661063</v>
      </c>
      <c r="G714" s="1601">
        <v>3.884635161615241</v>
      </c>
      <c r="H714" s="1601">
        <v>4.9000541031580864</v>
      </c>
      <c r="I714" s="1601">
        <v>5.8383666955153082</v>
      </c>
      <c r="J714" s="1601">
        <v>6.6926259165981179</v>
      </c>
      <c r="K714" s="1601">
        <v>7.559550254199606</v>
      </c>
      <c r="L714" s="1601">
        <v>8.4141749634891259</v>
      </c>
      <c r="M714" s="1601">
        <v>9.2427087190301389</v>
      </c>
      <c r="N714" s="101"/>
    </row>
    <row r="715" spans="4:15" ht="15" customHeight="1">
      <c r="D715" s="101"/>
      <c r="E715" s="1130" t="s">
        <v>1984</v>
      </c>
      <c r="F715" s="1600" cm="1">
        <f t="array" ref="F715:M715">IF(SALIDA_DEMANDA_EDI_RES_URB_IRCO_ELECTRICIDAD-SALIDA_GENERACION_EDIF_RES_IRCO_SOLAR&lt;0,SALIDA_DEMANDA_EDI_RES_URB_IRCO_ELECTRICIDAD-SALIDA_GENERACION_EDIF_RES_IRCO_SOLAR,0)</f>
        <v>0</v>
      </c>
      <c r="G715" s="1600">
        <v>0</v>
      </c>
      <c r="H715" s="1600">
        <v>0</v>
      </c>
      <c r="I715" s="1600">
        <v>0</v>
      </c>
      <c r="J715" s="1600">
        <v>0</v>
      </c>
      <c r="K715" s="1600">
        <v>0</v>
      </c>
      <c r="L715" s="1600">
        <v>0</v>
      </c>
      <c r="M715" s="1600">
        <v>0</v>
      </c>
      <c r="N715" s="101"/>
    </row>
    <row r="716" spans="4:15" ht="15" customHeight="1">
      <c r="D716" s="101"/>
      <c r="E716" s="101"/>
      <c r="F716" s="101"/>
      <c r="G716" s="101"/>
      <c r="H716" s="101"/>
      <c r="I716" s="101"/>
      <c r="J716" s="101"/>
      <c r="K716" s="101"/>
      <c r="L716" s="101"/>
      <c r="M716" s="101"/>
      <c r="N716" s="101"/>
    </row>
    <row r="717" spans="4:15" ht="15" customHeight="1">
      <c r="D717" s="101"/>
      <c r="E717" s="101"/>
      <c r="F717" s="101"/>
      <c r="G717" s="101"/>
      <c r="H717" s="101"/>
      <c r="I717" s="101"/>
      <c r="J717" s="101"/>
      <c r="K717" s="101"/>
      <c r="L717" s="101"/>
      <c r="M717" s="101"/>
      <c r="N717" s="101"/>
    </row>
    <row r="718" spans="4:15" ht="15" customHeight="1">
      <c r="D718" s="101"/>
      <c r="E718" s="101"/>
      <c r="F718" s="101"/>
      <c r="G718" s="101"/>
      <c r="H718" s="101"/>
      <c r="I718" s="101"/>
      <c r="J718" s="101"/>
      <c r="K718" s="101"/>
      <c r="L718" s="101"/>
      <c r="M718" s="101"/>
      <c r="N718" s="101"/>
    </row>
    <row r="720" spans="4:15" ht="15" customHeight="1">
      <c r="D720" s="105" t="s">
        <v>1671</v>
      </c>
      <c r="E720" s="106"/>
      <c r="F720" s="106"/>
      <c r="G720" s="106"/>
      <c r="H720" s="106"/>
      <c r="I720" s="106"/>
      <c r="J720" s="106"/>
      <c r="K720" s="106"/>
      <c r="L720" s="106"/>
      <c r="M720" s="106"/>
      <c r="N720" s="106"/>
    </row>
    <row r="721" spans="4:14" ht="15" customHeight="1">
      <c r="D721" s="107"/>
      <c r="E721" s="107"/>
      <c r="F721" s="107"/>
      <c r="G721" s="107"/>
      <c r="H721" s="107"/>
      <c r="I721" s="107"/>
      <c r="J721" s="107"/>
      <c r="K721" s="107"/>
      <c r="L721" s="107"/>
      <c r="M721" s="107"/>
      <c r="N721" s="107"/>
    </row>
    <row r="722" spans="4:14" ht="15" customHeight="1">
      <c r="D722" s="107"/>
      <c r="E722" s="108" t="s">
        <v>2106</v>
      </c>
      <c r="F722" s="107"/>
      <c r="G722" s="107"/>
      <c r="H722" s="107"/>
      <c r="I722" s="107"/>
      <c r="J722" s="107"/>
      <c r="K722" s="107"/>
      <c r="L722" s="107"/>
      <c r="M722" s="107"/>
      <c r="N722" s="107"/>
    </row>
    <row r="723" spans="4:14" ht="15" customHeight="1">
      <c r="D723" s="107"/>
      <c r="E723" s="107"/>
      <c r="F723" s="107"/>
      <c r="G723" s="107"/>
      <c r="H723" s="107"/>
      <c r="I723" s="107"/>
      <c r="J723" s="107"/>
      <c r="K723" s="107"/>
      <c r="L723" s="107"/>
      <c r="M723" s="109" t="s">
        <v>29</v>
      </c>
      <c r="N723" s="107"/>
    </row>
    <row r="724" spans="4:14" ht="15" customHeight="1">
      <c r="D724" s="107"/>
      <c r="E724" s="1149" t="s">
        <v>1986</v>
      </c>
      <c r="F724" s="61">
        <v>2018</v>
      </c>
      <c r="G724" s="61" t="s">
        <v>322</v>
      </c>
      <c r="H724" s="61" t="s">
        <v>323</v>
      </c>
      <c r="I724" s="61" t="s">
        <v>324</v>
      </c>
      <c r="J724" s="61" t="s">
        <v>325</v>
      </c>
      <c r="K724" s="61" t="s">
        <v>326</v>
      </c>
      <c r="L724" s="61" t="s">
        <v>327</v>
      </c>
      <c r="M724" s="61" t="s">
        <v>328</v>
      </c>
      <c r="N724" s="107"/>
    </row>
    <row r="725" spans="4:14" ht="15" customHeight="1">
      <c r="D725" s="107"/>
      <c r="E725" s="58" t="s">
        <v>590</v>
      </c>
      <c r="F725" s="1265" cm="1">
        <f t="array" ref="F725:M725">_xlfn.ANCHORARRAY(F915)</f>
        <v>0.27018695380132451</v>
      </c>
      <c r="G725" s="1265">
        <v>0.30716378047809045</v>
      </c>
      <c r="H725" s="1265">
        <v>0.38457850969227902</v>
      </c>
      <c r="I725" s="1265">
        <v>0.45466564134249782</v>
      </c>
      <c r="J725" s="1265">
        <v>0.51673893001135385</v>
      </c>
      <c r="K725" s="1265">
        <v>0.57723189193971347</v>
      </c>
      <c r="L725" s="1265">
        <v>0.63793959921213861</v>
      </c>
      <c r="M725" s="1265">
        <v>0.69921774971513084</v>
      </c>
      <c r="N725" s="107"/>
    </row>
    <row r="726" spans="4:14" ht="15" customHeight="1">
      <c r="D726" s="107"/>
      <c r="E726" s="1232" t="s">
        <v>498</v>
      </c>
      <c r="F726" s="1265" cm="1">
        <f t="array" ref="F726:M726">_xlfn.ANCHORARRAY(F916)</f>
        <v>0.12684531747181249</v>
      </c>
      <c r="G726" s="1266">
        <v>0.14420491701177948</v>
      </c>
      <c r="H726" s="1266">
        <v>0.18054899568031818</v>
      </c>
      <c r="I726" s="1266">
        <v>0.21345296953909276</v>
      </c>
      <c r="J726" s="1266">
        <v>0.24259466530546284</v>
      </c>
      <c r="K726" s="1266">
        <v>0.27099444128522898</v>
      </c>
      <c r="L726" s="1266">
        <v>0.29949503427692092</v>
      </c>
      <c r="M726" s="1266">
        <v>0.32826343462075525</v>
      </c>
      <c r="N726" s="107"/>
    </row>
    <row r="727" spans="4:14" ht="15" customHeight="1">
      <c r="D727" s="107"/>
      <c r="E727" s="1145" t="s">
        <v>1990</v>
      </c>
      <c r="F727" s="1264">
        <f t="shared" ref="F727:M727" si="1">SUM(F725:F726)</f>
        <v>0.39703227127313701</v>
      </c>
      <c r="G727" s="1264">
        <f t="shared" si="1"/>
        <v>0.45136869748986996</v>
      </c>
      <c r="H727" s="1264">
        <f t="shared" si="1"/>
        <v>0.56512750537259726</v>
      </c>
      <c r="I727" s="1264">
        <f t="shared" si="1"/>
        <v>0.66811861088159064</v>
      </c>
      <c r="J727" s="1264">
        <f t="shared" si="1"/>
        <v>0.75933359531681666</v>
      </c>
      <c r="K727" s="1264">
        <f t="shared" si="1"/>
        <v>0.84822633322494245</v>
      </c>
      <c r="L727" s="1264">
        <f t="shared" si="1"/>
        <v>0.93743463348905953</v>
      </c>
      <c r="M727" s="1264">
        <f t="shared" si="1"/>
        <v>1.027481184335886</v>
      </c>
      <c r="N727" s="107"/>
    </row>
    <row r="728" spans="4:14" ht="15" customHeight="1">
      <c r="D728" s="107"/>
      <c r="E728" s="107"/>
      <c r="F728" s="107"/>
      <c r="G728" s="107"/>
      <c r="H728" s="107"/>
      <c r="I728" s="107"/>
      <c r="J728" s="107"/>
      <c r="K728" s="107"/>
      <c r="L728" s="107"/>
      <c r="M728" s="107"/>
      <c r="N728" s="107"/>
    </row>
    <row r="730" spans="4:14" ht="15" customHeight="1">
      <c r="D730" s="110" t="s">
        <v>797</v>
      </c>
      <c r="E730" s="111"/>
      <c r="F730" s="111"/>
      <c r="G730" s="111"/>
      <c r="H730" s="111"/>
      <c r="I730" s="111"/>
      <c r="J730" s="111"/>
      <c r="K730" s="111"/>
      <c r="L730" s="111"/>
      <c r="M730" s="111"/>
      <c r="N730" s="111"/>
    </row>
    <row r="731" spans="4:14" ht="15" customHeight="1">
      <c r="D731" s="112"/>
      <c r="E731" s="112"/>
      <c r="F731" s="112"/>
      <c r="G731" s="112"/>
      <c r="H731" s="112"/>
      <c r="I731" s="112"/>
      <c r="J731" s="112"/>
      <c r="K731" s="112"/>
      <c r="L731" s="112"/>
      <c r="M731" s="112"/>
      <c r="N731" s="112"/>
    </row>
    <row r="732" spans="4:14" ht="15" customHeight="1">
      <c r="D732" s="112"/>
      <c r="E732" s="113" t="s">
        <v>1687</v>
      </c>
      <c r="F732" s="112"/>
      <c r="G732" s="112"/>
      <c r="H732" s="112"/>
      <c r="I732" s="112"/>
      <c r="J732" s="112"/>
      <c r="K732" s="112"/>
      <c r="L732" s="112"/>
      <c r="M732" s="112"/>
      <c r="N732" s="112"/>
    </row>
    <row r="733" spans="4:14" ht="15" customHeight="1">
      <c r="D733" s="112"/>
      <c r="E733" s="112"/>
      <c r="F733" s="112"/>
      <c r="G733" s="112"/>
      <c r="H733" s="112"/>
      <c r="I733" s="112"/>
      <c r="J733" s="112"/>
      <c r="K733" s="112"/>
      <c r="L733" s="112"/>
      <c r="M733" s="953" t="s">
        <v>803</v>
      </c>
      <c r="N733" s="112"/>
    </row>
    <row r="734" spans="4:14" ht="15" customHeight="1">
      <c r="D734" s="112"/>
      <c r="E734" s="1148" t="s">
        <v>699</v>
      </c>
      <c r="F734" s="68">
        <v>2018</v>
      </c>
      <c r="G734" s="68" t="s">
        <v>322</v>
      </c>
      <c r="H734" s="68" t="s">
        <v>323</v>
      </c>
      <c r="I734" s="68" t="s">
        <v>324</v>
      </c>
      <c r="J734" s="68" t="s">
        <v>325</v>
      </c>
      <c r="K734" s="68" t="s">
        <v>326</v>
      </c>
      <c r="L734" s="68" t="s">
        <v>327</v>
      </c>
      <c r="M734" s="68" t="s">
        <v>328</v>
      </c>
      <c r="N734" s="112"/>
    </row>
    <row r="735" spans="4:14" ht="15" customHeight="1">
      <c r="D735" s="112"/>
      <c r="E735" s="948" t="s">
        <v>2107</v>
      </c>
      <c r="F735" s="950" cm="1">
        <f t="array" ref="F735:M735">_xlfn.ANCHORARRAY(F552)+_xlfn.ANCHORARRAY(F560)+_xlfn.ANCHORARRAY(F568)+_xlfn.ANCHORARRAY(F576)+_xlfn.ANCHORARRAY(F653)+_xlfn.ANCHORARRAY(F679)</f>
        <v>385.63580105737771</v>
      </c>
      <c r="G735" s="950">
        <v>448.3279304393015</v>
      </c>
      <c r="H735" s="950">
        <v>573.73473693084384</v>
      </c>
      <c r="I735" s="950">
        <v>725.14285038401943</v>
      </c>
      <c r="J735" s="950">
        <v>840.82363962219836</v>
      </c>
      <c r="K735" s="950">
        <v>998.73367646084466</v>
      </c>
      <c r="L735" s="950">
        <v>1169.5036903274281</v>
      </c>
      <c r="M735" s="950">
        <v>1304.4130083924501</v>
      </c>
      <c r="N735" s="112"/>
    </row>
    <row r="736" spans="4:14" ht="15" customHeight="1">
      <c r="D736" s="112"/>
      <c r="E736" s="112" t="s">
        <v>2108</v>
      </c>
      <c r="F736" s="951" cm="1">
        <f t="array" ref="F736:M736">_xlfn.ANCHORARRAY(F687)+_xlfn.ANCHORARRAY(F661)+_xlfn.ANCHORARRAY(F609)+_xlfn.ANCHORARRAY(F601)+_xlfn.ANCHORARRAY(F593)+_xlfn.ANCHORARRAY(F585)</f>
        <v>382.44417176481886</v>
      </c>
      <c r="G736" s="951">
        <v>444.54334781564916</v>
      </c>
      <c r="H736" s="951">
        <v>568.80080799218581</v>
      </c>
      <c r="I736" s="951">
        <v>718.90161959443776</v>
      </c>
      <c r="J736" s="951">
        <v>833.46762023833821</v>
      </c>
      <c r="K736" s="951">
        <v>989.9983692549913</v>
      </c>
      <c r="L736" s="951">
        <v>1159.2770518305797</v>
      </c>
      <c r="M736" s="951">
        <v>1292.8485626163774</v>
      </c>
      <c r="N736" s="112"/>
    </row>
    <row r="737" spans="4:14" ht="15" customHeight="1">
      <c r="D737" s="112"/>
      <c r="E737" s="949" t="s">
        <v>2175</v>
      </c>
      <c r="F737" s="952" cm="1">
        <f t="array" ref="F737:M737">_xlfn.ANCHORARRAY(F695)+_xlfn.ANCHORARRAY(F669)+_xlfn.ANCHORARRAY(F642)+_xlfn.ANCHORARRAY(F634)+_xlfn.ANCHORARRAY(F626)+_xlfn.ANCHORARRAY(F618)</f>
        <v>269.19179183216443</v>
      </c>
      <c r="G737" s="952">
        <v>312.90182947479673</v>
      </c>
      <c r="H737" s="952">
        <v>400.36343060977146</v>
      </c>
      <c r="I737" s="952">
        <v>506.01551142188521</v>
      </c>
      <c r="J737" s="952">
        <v>586.6556883007197</v>
      </c>
      <c r="K737" s="952">
        <v>696.83373724522403</v>
      </c>
      <c r="L737" s="952">
        <v>815.98476345566326</v>
      </c>
      <c r="M737" s="952">
        <v>910.00257613297367</v>
      </c>
      <c r="N737" s="112"/>
    </row>
    <row r="738" spans="4:14" ht="15" customHeight="1">
      <c r="D738" s="112"/>
      <c r="E738" s="112"/>
      <c r="F738" s="112"/>
      <c r="G738" s="112"/>
      <c r="H738" s="115"/>
      <c r="I738" s="115"/>
      <c r="J738" s="115"/>
      <c r="K738" s="115"/>
      <c r="L738" s="115"/>
      <c r="M738" s="115"/>
      <c r="N738" s="115"/>
    </row>
    <row r="740" spans="4:14" ht="15" customHeight="1">
      <c r="D740" s="71" t="s">
        <v>1893</v>
      </c>
    </row>
    <row r="742" spans="4:14" ht="15" customHeight="1">
      <c r="D742" s="71">
        <v>1</v>
      </c>
      <c r="E742" s="71" t="s">
        <v>2176</v>
      </c>
    </row>
    <row r="743" spans="4:14" ht="15" customHeight="1">
      <c r="M743" s="1262" t="s">
        <v>9</v>
      </c>
    </row>
    <row r="744" spans="4:14" ht="15" customHeight="1">
      <c r="E744" s="550" t="s">
        <v>789</v>
      </c>
      <c r="F744" s="551">
        <v>2018</v>
      </c>
      <c r="G744" s="551">
        <v>2020</v>
      </c>
      <c r="H744" s="551">
        <v>2025</v>
      </c>
      <c r="I744" s="551">
        <v>2030</v>
      </c>
      <c r="J744" s="551">
        <v>2035</v>
      </c>
      <c r="K744" s="551">
        <v>2040</v>
      </c>
      <c r="L744" s="551">
        <v>2045</v>
      </c>
      <c r="M744" s="551">
        <v>2050</v>
      </c>
    </row>
    <row r="745" spans="4:14" ht="15" customHeight="1">
      <c r="E745" s="553" t="s">
        <v>795</v>
      </c>
      <c r="F745" s="560" cm="1">
        <f t="array" ref="F745:M745">INDEX(ST_DEMANDA_ILUMINACION,FRIO,0)</f>
        <v>0.25741930824558001</v>
      </c>
      <c r="G745" s="560">
        <v>0.30103585395530219</v>
      </c>
      <c r="H745" s="560">
        <v>0.39214621554416662</v>
      </c>
      <c r="I745" s="560">
        <v>0.48330173654041131</v>
      </c>
      <c r="J745" s="560">
        <v>0.56711342910716955</v>
      </c>
      <c r="K745" s="560">
        <v>0.65909134848721251</v>
      </c>
      <c r="L745" s="560">
        <v>0.75321057368268551</v>
      </c>
      <c r="M745" s="560">
        <v>0.84847165642628064</v>
      </c>
    </row>
    <row r="746" spans="4:14" ht="15" customHeight="1">
      <c r="E746" s="553" t="s">
        <v>791</v>
      </c>
      <c r="F746" s="560" cm="1">
        <f t="array" ref="F746:M746">INDEX(ST_DEMANDA_ILUMINACION,TEMPLADO,0)</f>
        <v>5.0654243851570496E-2</v>
      </c>
      <c r="G746" s="560">
        <v>6.282174951206769E-2</v>
      </c>
      <c r="H746" s="560">
        <v>8.5440782165752002E-2</v>
      </c>
      <c r="I746" s="560">
        <v>0.10878199590865903</v>
      </c>
      <c r="J746" s="560">
        <v>0.13383280506000397</v>
      </c>
      <c r="K746" s="560">
        <v>0.1598944285330913</v>
      </c>
      <c r="L746" s="560">
        <v>0.18775500088686917</v>
      </c>
      <c r="M746" s="560">
        <v>0.21789535900745577</v>
      </c>
    </row>
    <row r="747" spans="4:14" ht="15" customHeight="1">
      <c r="E747" s="553" t="s">
        <v>792</v>
      </c>
      <c r="F747" s="560" cm="1">
        <f t="array" ref="F747:M747">INDEX(ST_DEMANDA_ILUMINACION,CALIDO_SECO,0)</f>
        <v>1.04332745088E-2</v>
      </c>
      <c r="G747" s="560">
        <v>1.3226207299423514E-2</v>
      </c>
      <c r="H747" s="560">
        <v>1.8341279984107343E-2</v>
      </c>
      <c r="I747" s="560">
        <v>2.3622127426005012E-2</v>
      </c>
      <c r="J747" s="560">
        <v>2.9338551551434375E-2</v>
      </c>
      <c r="K747" s="560">
        <v>3.5381746057960885E-2</v>
      </c>
      <c r="L747" s="560">
        <v>4.1835301652362135E-2</v>
      </c>
      <c r="M747" s="560">
        <v>4.9159846096901279E-2</v>
      </c>
    </row>
    <row r="748" spans="4:14" ht="15" customHeight="1">
      <c r="E748" s="553" t="s">
        <v>793</v>
      </c>
      <c r="F748" s="560" cm="1">
        <f t="array" ref="F748:M748">INDEX(ST_DEMANDA_ILUMINACION,CALIDO_HUMEDO,0)</f>
        <v>1.3535826753599999E-2</v>
      </c>
      <c r="G748" s="560">
        <v>1.6670649577842523E-2</v>
      </c>
      <c r="H748" s="560">
        <v>2.2717744707551162E-2</v>
      </c>
      <c r="I748" s="560">
        <v>2.8776340406257709E-2</v>
      </c>
      <c r="J748" s="560">
        <v>3.4885369816854216E-2</v>
      </c>
      <c r="K748" s="560">
        <v>4.1842336039499634E-2</v>
      </c>
      <c r="L748" s="560">
        <v>4.9542920583245886E-2</v>
      </c>
      <c r="M748" s="560">
        <v>5.6866133891153102E-2</v>
      </c>
    </row>
    <row r="749" spans="4:14" ht="15" customHeight="1">
      <c r="E749" s="554" t="s">
        <v>1714</v>
      </c>
      <c r="F749" s="561">
        <f>SUM(F745:F748)</f>
        <v>0.33204265335955047</v>
      </c>
      <c r="G749" s="561">
        <f t="shared" ref="G749:M749" si="2">SUM(G745:G748)</f>
        <v>0.39375446034463596</v>
      </c>
      <c r="H749" s="561">
        <f t="shared" si="2"/>
        <v>0.51864602240157709</v>
      </c>
      <c r="I749" s="561">
        <f t="shared" si="2"/>
        <v>0.64448220028133307</v>
      </c>
      <c r="J749" s="561">
        <f t="shared" si="2"/>
        <v>0.76517015553546208</v>
      </c>
      <c r="K749" s="561">
        <f t="shared" si="2"/>
        <v>0.8962098591177643</v>
      </c>
      <c r="L749" s="561">
        <f t="shared" si="2"/>
        <v>1.0323437968051628</v>
      </c>
      <c r="M749" s="561">
        <f t="shared" si="2"/>
        <v>1.1723929954217909</v>
      </c>
    </row>
    <row r="752" spans="4:14" ht="15" customHeight="1">
      <c r="D752" s="71">
        <v>2</v>
      </c>
      <c r="E752" s="71" t="s">
        <v>2177</v>
      </c>
    </row>
    <row r="753" spans="4:13" ht="15" customHeight="1">
      <c r="M753" s="1262" t="s">
        <v>9</v>
      </c>
    </row>
    <row r="754" spans="4:13" ht="15" customHeight="1">
      <c r="E754" s="550" t="s">
        <v>789</v>
      </c>
      <c r="F754" s="551">
        <v>2018</v>
      </c>
      <c r="G754" s="551">
        <v>2020</v>
      </c>
      <c r="H754" s="551">
        <v>2025</v>
      </c>
      <c r="I754" s="551">
        <v>2030</v>
      </c>
      <c r="J754" s="551">
        <v>2035</v>
      </c>
      <c r="K754" s="551">
        <v>2040</v>
      </c>
      <c r="L754" s="551">
        <v>2045</v>
      </c>
      <c r="M754" s="551">
        <v>2050</v>
      </c>
    </row>
    <row r="755" spans="4:13" ht="15" customHeight="1">
      <c r="E755" s="553" t="s">
        <v>795</v>
      </c>
      <c r="F755" s="560" cm="1">
        <f t="array" ref="F755:M755">INDEX(ST_DEMANDA_TOTAL_REFRIGERACION,FRIO,0)</f>
        <v>9.3092035685091556E-2</v>
      </c>
      <c r="G755" s="560">
        <v>0.11453852722127862</v>
      </c>
      <c r="H755" s="560">
        <v>0.14318442716446234</v>
      </c>
      <c r="I755" s="560">
        <v>0.16938330641036911</v>
      </c>
      <c r="J755" s="560">
        <v>0.19490687757942618</v>
      </c>
      <c r="K755" s="560">
        <v>0.22367042185952307</v>
      </c>
      <c r="L755" s="560">
        <v>0.25222469253627267</v>
      </c>
      <c r="M755" s="560">
        <v>0.2758094001048822</v>
      </c>
    </row>
    <row r="756" spans="4:13" ht="15" customHeight="1">
      <c r="E756" s="553" t="s">
        <v>791</v>
      </c>
      <c r="F756" s="560" cm="1">
        <f t="array" ref="F756:M756">INDEX(ST_DEMANDA_TOTAL_REFRIGERACION,TEMPLADO,0)</f>
        <v>7.445716202239247E-2</v>
      </c>
      <c r="G756" s="560">
        <v>9.2112192680826946E-2</v>
      </c>
      <c r="H756" s="560">
        <v>0.1160595738856421</v>
      </c>
      <c r="I756" s="560">
        <v>0.13830116494360351</v>
      </c>
      <c r="J756" s="560">
        <v>0.16022462885690922</v>
      </c>
      <c r="K756" s="560">
        <v>0.18732081387004512</v>
      </c>
      <c r="L756" s="560">
        <v>0.21489257680758483</v>
      </c>
      <c r="M756" s="560">
        <v>0.23498648011145362</v>
      </c>
    </row>
    <row r="757" spans="4:13" ht="15" customHeight="1">
      <c r="E757" s="553" t="s">
        <v>792</v>
      </c>
      <c r="F757" s="560" cm="1">
        <f t="array" ref="F757:M757">INDEX(ST_DEMANDA_TOTAL_REFRIGERACION,CALIDO_SECO,0)</f>
        <v>9.8461209941142158E-2</v>
      </c>
      <c r="G757" s="560">
        <v>0.12099999031168564</v>
      </c>
      <c r="H757" s="560">
        <v>0.15120193058775852</v>
      </c>
      <c r="I757" s="560">
        <v>0.17880154069898457</v>
      </c>
      <c r="J757" s="560">
        <v>0.20567292824346808</v>
      </c>
      <c r="K757" s="560">
        <v>0.2359484419049154</v>
      </c>
      <c r="L757" s="560">
        <v>0.2633551507667673</v>
      </c>
      <c r="M757" s="560">
        <v>0.28798063114723316</v>
      </c>
    </row>
    <row r="758" spans="4:13" ht="15" customHeight="1">
      <c r="E758" s="553" t="s">
        <v>793</v>
      </c>
      <c r="F758" s="560" cm="1">
        <f t="array" ref="F758:M758">INDEX(ST_DEMANDA_TOTAL_REFRIGERACION,CALIDO_HUMEDO,0)</f>
        <v>8.5054091432403306E-2</v>
      </c>
      <c r="G758" s="560">
        <v>0.10452384492778515</v>
      </c>
      <c r="H758" s="560">
        <v>0.13061329265255547</v>
      </c>
      <c r="I758" s="560">
        <v>0.15445476040723979</v>
      </c>
      <c r="J758" s="560">
        <v>0.17766716511453851</v>
      </c>
      <c r="K758" s="560">
        <v>0.20382016799417954</v>
      </c>
      <c r="L758" s="560">
        <v>0.2274950011877864</v>
      </c>
      <c r="M758" s="560">
        <v>0.24876731605268734</v>
      </c>
    </row>
    <row r="759" spans="4:13" ht="15" customHeight="1">
      <c r="E759" s="554" t="s">
        <v>1714</v>
      </c>
      <c r="F759" s="561">
        <f>SUM(F755:F758)</f>
        <v>0.35106449908102944</v>
      </c>
      <c r="G759" s="561">
        <f t="shared" ref="G759:M759" si="3">SUM(G755:G758)</f>
        <v>0.43217455514157638</v>
      </c>
      <c r="H759" s="561">
        <f t="shared" si="3"/>
        <v>0.54105922429041842</v>
      </c>
      <c r="I759" s="561">
        <f t="shared" si="3"/>
        <v>0.64094077246019698</v>
      </c>
      <c r="J759" s="561">
        <f t="shared" si="3"/>
        <v>0.73847159979434196</v>
      </c>
      <c r="K759" s="561">
        <f t="shared" si="3"/>
        <v>0.85075984562866314</v>
      </c>
      <c r="L759" s="561">
        <f t="shared" si="3"/>
        <v>0.95796742129841117</v>
      </c>
      <c r="M759" s="561">
        <f t="shared" si="3"/>
        <v>1.0475438274162563</v>
      </c>
    </row>
    <row r="761" spans="4:13" ht="15" customHeight="1">
      <c r="D761" s="71"/>
      <c r="E761" s="71" t="s">
        <v>2178</v>
      </c>
    </row>
    <row r="762" spans="4:13" ht="15" customHeight="1">
      <c r="D762" s="71">
        <v>2</v>
      </c>
      <c r="E762" s="71" t="s">
        <v>2179</v>
      </c>
    </row>
    <row r="763" spans="4:13" ht="15" customHeight="1">
      <c r="D763" s="71"/>
      <c r="E763" s="71"/>
    </row>
    <row r="764" spans="4:13" ht="15" customHeight="1">
      <c r="E764" s="71" t="s">
        <v>294</v>
      </c>
      <c r="M764" s="1262" t="s">
        <v>9</v>
      </c>
    </row>
    <row r="765" spans="4:13" ht="15" customHeight="1">
      <c r="E765" s="550" t="s">
        <v>789</v>
      </c>
      <c r="F765" s="551">
        <v>2018</v>
      </c>
      <c r="G765" s="551">
        <v>2020</v>
      </c>
      <c r="H765" s="551">
        <v>2025</v>
      </c>
      <c r="I765" s="551">
        <v>2030</v>
      </c>
      <c r="J765" s="551">
        <v>2035</v>
      </c>
      <c r="K765" s="551">
        <v>2040</v>
      </c>
      <c r="L765" s="551">
        <v>2045</v>
      </c>
      <c r="M765" s="551">
        <v>2050</v>
      </c>
    </row>
    <row r="766" spans="4:13" ht="15" customHeight="1">
      <c r="E766" s="553" t="s">
        <v>795</v>
      </c>
      <c r="F766" s="560" cm="1">
        <f t="array" ref="F766:M766">INDEX(SF_DEMANDA_ELECTRICIDAD_COCCION,FRIO,0)*INDEX(SF_TENENCIA_ELECTRICIDAD_COCCION,FRIO,0)</f>
        <v>0.24144413234204953</v>
      </c>
      <c r="G766" s="560">
        <v>0.27448731858078612</v>
      </c>
      <c r="H766" s="560">
        <v>0.34366657339913204</v>
      </c>
      <c r="I766" s="560">
        <v>0.40629774952199305</v>
      </c>
      <c r="J766" s="560">
        <v>0.46176760516605941</v>
      </c>
      <c r="K766" s="560">
        <v>0.51582525117784039</v>
      </c>
      <c r="L766" s="560">
        <v>0.57007479765906621</v>
      </c>
      <c r="M766" s="560">
        <v>0.62483410291626929</v>
      </c>
    </row>
    <row r="767" spans="4:13" ht="15" customHeight="1">
      <c r="E767" s="553" t="s">
        <v>791</v>
      </c>
      <c r="F767" s="560" cm="1">
        <f t="array" ref="F767:M767">INDEX(SF_DEMANDA_ELECTRICIDAD_COCCION,TEMPLADO,0)*INDEX(SF_TENENCIA_ELECTRICIDAD_COCCION,TEMPLADO,0)</f>
        <v>0.11659623428768676</v>
      </c>
      <c r="G767" s="560">
        <v>0.13255318071223413</v>
      </c>
      <c r="H767" s="560">
        <v>0.16596066311574281</v>
      </c>
      <c r="I767" s="560">
        <v>0.19620600067726643</v>
      </c>
      <c r="J767" s="560">
        <v>0.22299305166849628</v>
      </c>
      <c r="K767" s="560">
        <v>0.2490981298838626</v>
      </c>
      <c r="L767" s="560">
        <v>0.27529587911126907</v>
      </c>
      <c r="M767" s="560">
        <v>0.30173979689575542</v>
      </c>
    </row>
    <row r="768" spans="4:13" ht="15" customHeight="1">
      <c r="E768" s="553" t="s">
        <v>792</v>
      </c>
      <c r="F768" s="560" cm="1">
        <f t="array" ref="F768:M768">INDEX(SF_DEMANDA_ELECTRICIDAD_COCCION,CALIDO_SECO,0)*INDEX(SF_TENENCIA_ELECTRICIDAD_COCCION,CALIDO_SECO,0)</f>
        <v>1.3333805593393923E-2</v>
      </c>
      <c r="G768" s="560">
        <v>1.5158622859482813E-2</v>
      </c>
      <c r="H768" s="560">
        <v>1.8979062502790876E-2</v>
      </c>
      <c r="I768" s="560">
        <v>2.2437883052319724E-2</v>
      </c>
      <c r="J768" s="560">
        <v>2.5501218094994497E-2</v>
      </c>
      <c r="K768" s="560">
        <v>2.8486563548477947E-2</v>
      </c>
      <c r="L768" s="560">
        <v>3.1482506747816885E-2</v>
      </c>
      <c r="M768" s="560">
        <v>3.4506601488269999E-2</v>
      </c>
    </row>
    <row r="769" spans="5:13" ht="15" customHeight="1">
      <c r="E769" s="553" t="s">
        <v>793</v>
      </c>
      <c r="F769" s="560" cm="1">
        <f t="array" ref="F769:M769">INDEX(SF_DEMANDA_ELECTRICIDAD_COCCION,CALIDO_HUMEDO,0)*INDEX(SF_TENENCIA_ELECTRICIDAD_COCCION,CALIDO_HUMEDO,0)</f>
        <v>1.5790388631000962E-2</v>
      </c>
      <c r="G769" s="560">
        <v>1.795140512477526E-2</v>
      </c>
      <c r="H769" s="560">
        <v>2.2475711879255386E-2</v>
      </c>
      <c r="I769" s="560">
        <v>2.6571775849845432E-2</v>
      </c>
      <c r="J769" s="560">
        <v>3.0199491170276049E-2</v>
      </c>
      <c r="K769" s="560">
        <v>3.3734848317799652E-2</v>
      </c>
      <c r="L769" s="560">
        <v>3.7282755710225109E-2</v>
      </c>
      <c r="M769" s="560">
        <v>4.0864001204938091E-2</v>
      </c>
    </row>
    <row r="770" spans="5:13" ht="15" customHeight="1">
      <c r="E770" s="554" t="s">
        <v>1714</v>
      </c>
      <c r="F770" s="561">
        <f>SUM(F766:F769)</f>
        <v>0.38716456085413115</v>
      </c>
      <c r="G770" s="561">
        <f t="shared" ref="G770:M770" si="4">SUM(G766:G769)</f>
        <v>0.44015052727727833</v>
      </c>
      <c r="H770" s="561">
        <f t="shared" si="4"/>
        <v>0.5510820108969211</v>
      </c>
      <c r="I770" s="561">
        <f t="shared" si="4"/>
        <v>0.65151340910142463</v>
      </c>
      <c r="J770" s="561">
        <f t="shared" si="4"/>
        <v>0.74046136609982627</v>
      </c>
      <c r="K770" s="561">
        <f t="shared" si="4"/>
        <v>0.82714479292798049</v>
      </c>
      <c r="L770" s="561">
        <f t="shared" si="4"/>
        <v>0.91413593922837721</v>
      </c>
      <c r="M770" s="561">
        <f t="shared" si="4"/>
        <v>1.0019445025052329</v>
      </c>
    </row>
    <row r="772" spans="5:13" ht="15" customHeight="1">
      <c r="E772" s="71" t="s">
        <v>590</v>
      </c>
      <c r="M772" s="1262" t="s">
        <v>9</v>
      </c>
    </row>
    <row r="773" spans="5:13" ht="15" customHeight="1">
      <c r="E773" s="550" t="s">
        <v>789</v>
      </c>
      <c r="F773" s="551">
        <v>2018</v>
      </c>
      <c r="G773" s="551">
        <v>2020</v>
      </c>
      <c r="H773" s="551">
        <v>2025</v>
      </c>
      <c r="I773" s="551">
        <v>2030</v>
      </c>
      <c r="J773" s="551">
        <v>2035</v>
      </c>
      <c r="K773" s="551">
        <v>2040</v>
      </c>
      <c r="L773" s="551">
        <v>2045</v>
      </c>
      <c r="M773" s="551">
        <v>2050</v>
      </c>
    </row>
    <row r="774" spans="5:13" ht="15" customHeight="1">
      <c r="E774" s="553" t="s">
        <v>795</v>
      </c>
      <c r="F774" s="560" cm="1">
        <f t="array" ref="F774:M774">INDEX(ST_DEMANDA_COCCION_GAS_NATURAL,FRIO,0)*INDEX(SF_TENENCIA_GAS_NATURAL_COCCION,FRIO,0)</f>
        <v>0.99708043858965767</v>
      </c>
      <c r="G774" s="560">
        <v>1.1335373253556789</v>
      </c>
      <c r="H774" s="560">
        <v>1.4192236291249629</v>
      </c>
      <c r="I774" s="560">
        <v>1.6778686413363135</v>
      </c>
      <c r="J774" s="560">
        <v>1.9069398863386029</v>
      </c>
      <c r="K774" s="560">
        <v>2.1301791958704333</v>
      </c>
      <c r="L774" s="560">
        <v>2.3542109877143567</v>
      </c>
      <c r="M774" s="560">
        <v>2.5803479063178156</v>
      </c>
    </row>
    <row r="775" spans="5:13" ht="15" customHeight="1">
      <c r="E775" s="553" t="s">
        <v>791</v>
      </c>
      <c r="F775" s="560" cm="1">
        <f t="array" ref="F775:M775">INDEX(ST_DEMANDA_COCCION_GAS_NATURAL,TEMPLADO,0)*INDEX(SF_TENENCIA_GAS_NATURAL_COCCION,TEMPLADO,0)</f>
        <v>0.18641174026780016</v>
      </c>
      <c r="G775" s="560">
        <v>0.21192338882602513</v>
      </c>
      <c r="H775" s="560">
        <v>0.26533460721441887</v>
      </c>
      <c r="I775" s="560">
        <v>0.31369025132484024</v>
      </c>
      <c r="J775" s="560">
        <v>0.35651685565235913</v>
      </c>
      <c r="K775" s="560">
        <v>0.39825313547033764</v>
      </c>
      <c r="L775" s="560">
        <v>0.44013757585912983</v>
      </c>
      <c r="M775" s="560">
        <v>0.48241558564066278</v>
      </c>
    </row>
    <row r="776" spans="5:13" ht="15" customHeight="1">
      <c r="E776" s="553" t="s">
        <v>792</v>
      </c>
      <c r="F776" s="560" cm="1">
        <f t="array" ref="F776:M776">INDEX(ST_DEMANDA_COCCION_GAS_NATURAL,CALIDO_SECO,0)*INDEX(SF_TENENCIA_GAS_NATURAL_COCCION,CALIDO_SECO,0)</f>
        <v>4.3098198232554112E-2</v>
      </c>
      <c r="G776" s="560">
        <v>4.8996464539290352E-2</v>
      </c>
      <c r="H776" s="560">
        <v>6.1345082038586657E-2</v>
      </c>
      <c r="I776" s="560">
        <v>7.2524856083611033E-2</v>
      </c>
      <c r="J776" s="560">
        <v>8.2426321947740369E-2</v>
      </c>
      <c r="K776" s="560">
        <v>9.2075705932356783E-2</v>
      </c>
      <c r="L776" s="560">
        <v>0.10175934448507069</v>
      </c>
      <c r="M776" s="560">
        <v>0.11153397586732548</v>
      </c>
    </row>
    <row r="777" spans="5:13" ht="15" customHeight="1">
      <c r="E777" s="553" t="s">
        <v>793</v>
      </c>
      <c r="F777" s="560" cm="1">
        <f t="array" ref="F777:M777">INDEX(ST_DEMANDA_COCCION_GAS_NATURAL,CALIDO_HUMEDO,0)*INDEX(SF_TENENCIA_GAS_NATURAL_COCCION,CALIDO_HUMEDO,0)</f>
        <v>5.1038489696078403E-2</v>
      </c>
      <c r="G777" s="560">
        <v>5.8023436085175822E-2</v>
      </c>
      <c r="H777" s="560">
        <v>7.2647128323952218E-2</v>
      </c>
      <c r="I777" s="560">
        <v>8.5886632660596637E-2</v>
      </c>
      <c r="J777" s="560">
        <v>9.761231689351009E-2</v>
      </c>
      <c r="K777" s="560">
        <v>0.1090394763866962</v>
      </c>
      <c r="L777" s="560">
        <v>0.12050720141376974</v>
      </c>
      <c r="M777" s="560">
        <v>0.13208268353472172</v>
      </c>
    </row>
    <row r="778" spans="5:13" ht="15" customHeight="1">
      <c r="E778" s="554" t="s">
        <v>1714</v>
      </c>
      <c r="F778" s="561">
        <f>SUM(F774:F777)</f>
        <v>1.2776288667860904</v>
      </c>
      <c r="G778" s="561">
        <f t="shared" ref="G778:M778" si="5">SUM(G774:G777)</f>
        <v>1.4524806148061704</v>
      </c>
      <c r="H778" s="561">
        <f t="shared" si="5"/>
        <v>1.8185504467019207</v>
      </c>
      <c r="I778" s="561">
        <f t="shared" si="5"/>
        <v>2.1499703814053617</v>
      </c>
      <c r="J778" s="561">
        <f t="shared" si="5"/>
        <v>2.4434953808322124</v>
      </c>
      <c r="K778" s="561">
        <f t="shared" si="5"/>
        <v>2.7295475136598242</v>
      </c>
      <c r="L778" s="561">
        <f t="shared" si="5"/>
        <v>3.0166151094723266</v>
      </c>
      <c r="M778" s="561">
        <f t="shared" si="5"/>
        <v>3.3063801513605253</v>
      </c>
    </row>
    <row r="780" spans="5:13" ht="15" customHeight="1">
      <c r="E780" s="71" t="s">
        <v>498</v>
      </c>
      <c r="M780" s="1262" t="s">
        <v>9</v>
      </c>
    </row>
    <row r="781" spans="5:13" ht="15" customHeight="1">
      <c r="E781" s="550" t="s">
        <v>789</v>
      </c>
      <c r="F781" s="551">
        <v>2018</v>
      </c>
      <c r="G781" s="551">
        <v>2020</v>
      </c>
      <c r="H781" s="551">
        <v>2025</v>
      </c>
      <c r="I781" s="551">
        <v>2030</v>
      </c>
      <c r="J781" s="551">
        <v>2035</v>
      </c>
      <c r="K781" s="551">
        <v>2040</v>
      </c>
      <c r="L781" s="551">
        <v>2045</v>
      </c>
      <c r="M781" s="551">
        <v>2050</v>
      </c>
    </row>
    <row r="782" spans="5:13" ht="15" customHeight="1">
      <c r="E782" s="553" t="s">
        <v>795</v>
      </c>
      <c r="F782" s="566" cm="1">
        <f t="array" ref="F782:M782">INDEX(ST_DEMANDA_COCCION_GLP,FRIO,0)*INDEX(SF_TENENCIA_GLP_COCCION,FRIO,0)</f>
        <v>0.37452680199999994</v>
      </c>
      <c r="G782" s="566">
        <v>0.42578320964113575</v>
      </c>
      <c r="H782" s="566">
        <v>0.53309368689536329</v>
      </c>
      <c r="I782" s="566">
        <v>0.6302468207125177</v>
      </c>
      <c r="J782" s="566">
        <v>0.7162913538318495</v>
      </c>
      <c r="K782" s="566">
        <v>0.80014527518438083</v>
      </c>
      <c r="L782" s="566">
        <v>0.88429687148318792</v>
      </c>
      <c r="M782" s="566">
        <v>0.969239202774418</v>
      </c>
    </row>
    <row r="783" spans="5:13" ht="15" customHeight="1">
      <c r="E783" s="553" t="s">
        <v>791</v>
      </c>
      <c r="F783" s="566" cm="1">
        <f t="array" ref="F783:M783">INDEX(ST_DEMANDA_COCCION_GLP,TEMPLADO,0)*INDEX(SF_TENENCIA_GLP_COCCION,TEMPLADO,0)</f>
        <v>8.6915410069607957E-2</v>
      </c>
      <c r="G783" s="566">
        <v>9.8810344330746119E-2</v>
      </c>
      <c r="H783" s="566">
        <v>0.12371359313833483</v>
      </c>
      <c r="I783" s="566">
        <v>0.14625965504945401</v>
      </c>
      <c r="J783" s="566">
        <v>0.16622777439466099</v>
      </c>
      <c r="K783" s="566">
        <v>0.18568752446162662</v>
      </c>
      <c r="L783" s="566">
        <v>0.20521635513880446</v>
      </c>
      <c r="M783" s="566">
        <v>0.22492868952187425</v>
      </c>
    </row>
    <row r="784" spans="5:13" ht="15" customHeight="1">
      <c r="E784" s="553" t="s">
        <v>792</v>
      </c>
      <c r="F784" s="566" cm="1">
        <f t="array" ref="F784:M784">INDEX(ST_DEMANDA_COCCION_GLP,CALIDO_SECO,0)*INDEX(SF_TENENCIA_GLP_COCCION,CALIDO_SECO,0)</f>
        <v>2.7696026960000002E-2</v>
      </c>
      <c r="G784" s="566">
        <v>3.1486406821523628E-2</v>
      </c>
      <c r="H784" s="566">
        <v>3.9421950700499614E-2</v>
      </c>
      <c r="I784" s="566">
        <v>4.6606365271311546E-2</v>
      </c>
      <c r="J784" s="566">
        <v>5.29693056438236E-2</v>
      </c>
      <c r="K784" s="566">
        <v>5.9170251621733699E-2</v>
      </c>
      <c r="L784" s="566">
        <v>6.5393210479078145E-2</v>
      </c>
      <c r="M784" s="566">
        <v>7.1674643703414295E-2</v>
      </c>
    </row>
    <row r="785" spans="4:13" ht="15" customHeight="1">
      <c r="E785" s="553" t="s">
        <v>793</v>
      </c>
      <c r="F785" s="566" cm="1">
        <f t="array" ref="F785:M785">INDEX(ST_DEMANDA_COCCION_GLP,CALIDO_HUMEDO,0)*INDEX(SF_TENENCIA_GLP_COCCION,CALIDO_HUMEDO,0)</f>
        <v>3.2798665479999996E-2</v>
      </c>
      <c r="G785" s="566">
        <v>3.7287374322600077E-2</v>
      </c>
      <c r="H785" s="566">
        <v>4.6684940604012841E-2</v>
      </c>
      <c r="I785" s="566">
        <v>5.5192991615012378E-2</v>
      </c>
      <c r="J785" s="566">
        <v>6.2728222319713048E-2</v>
      </c>
      <c r="K785" s="566">
        <v>7.0071613235773322E-2</v>
      </c>
      <c r="L785" s="566">
        <v>7.7441072622587981E-2</v>
      </c>
      <c r="M785" s="566">
        <v>8.4879779530171062E-2</v>
      </c>
    </row>
    <row r="786" spans="4:13" ht="15" customHeight="1">
      <c r="E786" s="554" t="s">
        <v>1714</v>
      </c>
      <c r="F786" s="561">
        <f>SUM(F782:F785)</f>
        <v>0.52193690450960795</v>
      </c>
      <c r="G786" s="561">
        <f t="shared" ref="G786:M786" si="6">SUM(G782:G785)</f>
        <v>0.59336733511600559</v>
      </c>
      <c r="H786" s="561">
        <f t="shared" si="6"/>
        <v>0.74291417133821058</v>
      </c>
      <c r="I786" s="561">
        <f t="shared" si="6"/>
        <v>0.87830583264829565</v>
      </c>
      <c r="J786" s="561">
        <f t="shared" si="6"/>
        <v>0.99821665619004718</v>
      </c>
      <c r="K786" s="561">
        <f t="shared" si="6"/>
        <v>1.1150746645035143</v>
      </c>
      <c r="L786" s="561">
        <f t="shared" si="6"/>
        <v>1.2323475097236587</v>
      </c>
      <c r="M786" s="561">
        <f t="shared" si="6"/>
        <v>1.3507223155298775</v>
      </c>
    </row>
    <row r="789" spans="4:13" ht="15" customHeight="1">
      <c r="D789" s="71"/>
      <c r="E789" s="71" t="s">
        <v>2180</v>
      </c>
    </row>
    <row r="790" spans="4:13" ht="15" customHeight="1">
      <c r="D790" s="71">
        <v>2</v>
      </c>
      <c r="E790" s="71" t="s">
        <v>2181</v>
      </c>
    </row>
    <row r="792" spans="4:13" ht="15" customHeight="1">
      <c r="E792" s="71" t="s">
        <v>294</v>
      </c>
      <c r="M792" s="1262" t="s">
        <v>9</v>
      </c>
    </row>
    <row r="793" spans="4:13" ht="15" customHeight="1">
      <c r="E793" s="550" t="s">
        <v>789</v>
      </c>
      <c r="F793" s="551">
        <v>2018</v>
      </c>
      <c r="G793" s="551">
        <v>2020</v>
      </c>
      <c r="H793" s="551">
        <v>2025</v>
      </c>
      <c r="I793" s="551">
        <v>2030</v>
      </c>
      <c r="J793" s="551">
        <v>2035</v>
      </c>
      <c r="K793" s="551">
        <v>2040</v>
      </c>
      <c r="L793" s="551">
        <v>2045</v>
      </c>
      <c r="M793" s="551">
        <v>2050</v>
      </c>
    </row>
    <row r="794" spans="4:13" ht="15" customHeight="1">
      <c r="E794" s="553" t="s">
        <v>795</v>
      </c>
      <c r="F794" s="565" cm="1">
        <f t="array" ref="F794:M794">INDEX(SF_DEMANDA_ELECTRICIDAD_CALENTAR_AGUA,FRIO,0)*INDEX(SF_TENENCIA_ELECTRICIDAD_CALENTAR_AGUA,FRIO,0)</f>
        <v>4.1589639000000012E-2</v>
      </c>
      <c r="G794" s="565">
        <v>4.7281449249221313E-2</v>
      </c>
      <c r="H794" s="565">
        <v>5.9197830095901099E-2</v>
      </c>
      <c r="I794" s="565">
        <v>6.9986280325890632E-2</v>
      </c>
      <c r="J794" s="565">
        <v>7.9541166788613157E-2</v>
      </c>
      <c r="K794" s="565">
        <v>8.8852794952907183E-2</v>
      </c>
      <c r="L794" s="565">
        <v>9.8197478678215364E-2</v>
      </c>
      <c r="M794" s="565">
        <v>0.10762997022583141</v>
      </c>
    </row>
    <row r="795" spans="4:13" ht="15" customHeight="1">
      <c r="E795" s="553" t="s">
        <v>791</v>
      </c>
      <c r="F795" s="565" cm="1">
        <f t="array" ref="F795:M795">INDEX(SF_DEMANDA_ELECTRICIDAD_CALENTAR_AGUA,TEMPLADO,0)*INDEX(SF_TENENCIA_ELECTRICIDAD_CALENTAR_AGUA,TEMPLADO,0)</f>
        <v>4.7913803458573424E-3</v>
      </c>
      <c r="G795" s="565">
        <v>5.4471116389437852E-3</v>
      </c>
      <c r="H795" s="565">
        <v>6.8199514700981829E-3</v>
      </c>
      <c r="I795" s="565">
        <v>8.0628468074256353E-3</v>
      </c>
      <c r="J795" s="565">
        <v>9.1636280670174073E-3</v>
      </c>
      <c r="K795" s="565">
        <v>1.023638448537271E-2</v>
      </c>
      <c r="L795" s="565">
        <v>1.1312949106183547E-2</v>
      </c>
      <c r="M795" s="565">
        <v>1.2399629724250781E-2</v>
      </c>
    </row>
    <row r="796" spans="4:13" ht="15" customHeight="1">
      <c r="E796" s="553" t="s">
        <v>792</v>
      </c>
      <c r="F796" s="565" cm="1">
        <f t="array" ref="F796:M796">INDEX(SF_DEMANDA_ELECTRICIDAD_CALENTAR_AGUA,CALIDO_SECO,0)*INDEX(SF_TENENCIA_ELECTRICIDAD_CALENTAR_AGUA,CALIDO_SECO,0)</f>
        <v>2.9825296936884479E-4</v>
      </c>
      <c r="G796" s="565">
        <v>3.3907081123360055E-4</v>
      </c>
      <c r="H796" s="565">
        <v>4.2452709450771774E-4</v>
      </c>
      <c r="I796" s="565">
        <v>5.0189461664423786E-4</v>
      </c>
      <c r="J796" s="565">
        <v>5.7041584760489047E-4</v>
      </c>
      <c r="K796" s="565">
        <v>6.3719259336263211E-4</v>
      </c>
      <c r="L796" s="565">
        <v>7.0420639141185017E-4</v>
      </c>
      <c r="M796" s="565">
        <v>7.7184988821217147E-4</v>
      </c>
    </row>
    <row r="797" spans="4:13" ht="15" customHeight="1">
      <c r="E797" s="553" t="s">
        <v>793</v>
      </c>
      <c r="F797" s="565" cm="1">
        <f t="array" ref="F797:M797">INDEX(SF_DEMANDA_ELECTRICIDAD_CALENTAR_AGUA,CALIDO_HUMEDO,0)*INDEX(SF_TENENCIA_ELECTRICIDAD_CALENTAR_AGUA,CALIDO_HUMEDO,0)</f>
        <v>3.5320226200218237E-4</v>
      </c>
      <c r="G797" s="565">
        <v>4.0154026885317164E-4</v>
      </c>
      <c r="H797" s="565">
        <v>5.0274077867069563E-4</v>
      </c>
      <c r="I797" s="565">
        <v>5.9436227662912398E-4</v>
      </c>
      <c r="J797" s="565">
        <v>6.755076674753301E-4</v>
      </c>
      <c r="K797" s="565">
        <v>7.5458717404550937E-4</v>
      </c>
      <c r="L797" s="565">
        <v>8.3394740675812873E-4</v>
      </c>
      <c r="M797" s="565">
        <v>9.1405335215800237E-4</v>
      </c>
    </row>
    <row r="798" spans="4:13" ht="15" customHeight="1">
      <c r="E798" s="554" t="s">
        <v>1714</v>
      </c>
      <c r="F798" s="561">
        <f>SUM(F794:F797)</f>
        <v>4.7032474577228381E-2</v>
      </c>
      <c r="G798" s="561">
        <f t="shared" ref="G798:M798" si="7">SUM(G794:G797)</f>
        <v>5.346917196825187E-2</v>
      </c>
      <c r="H798" s="561">
        <f t="shared" si="7"/>
        <v>6.6945049439177701E-2</v>
      </c>
      <c r="I798" s="561">
        <f t="shared" si="7"/>
        <v>7.9145384026589632E-2</v>
      </c>
      <c r="J798" s="561">
        <f t="shared" si="7"/>
        <v>8.9950718370710794E-2</v>
      </c>
      <c r="K798" s="561">
        <f t="shared" si="7"/>
        <v>0.10048095920568804</v>
      </c>
      <c r="L798" s="561">
        <f t="shared" si="7"/>
        <v>0.11104858158256889</v>
      </c>
      <c r="M798" s="561">
        <f t="shared" si="7"/>
        <v>0.12171550319045238</v>
      </c>
    </row>
    <row r="800" spans="4:13" ht="15" customHeight="1">
      <c r="E800" s="71" t="s">
        <v>590</v>
      </c>
      <c r="M800" s="1262" t="s">
        <v>9</v>
      </c>
    </row>
    <row r="801" spans="4:13" ht="15" customHeight="1">
      <c r="E801" s="550" t="s">
        <v>789</v>
      </c>
      <c r="F801" s="551">
        <v>2018</v>
      </c>
      <c r="G801" s="551">
        <v>2020</v>
      </c>
      <c r="H801" s="551">
        <v>2025</v>
      </c>
      <c r="I801" s="551">
        <v>2030</v>
      </c>
      <c r="J801" s="551">
        <v>2035</v>
      </c>
      <c r="K801" s="551">
        <v>2040</v>
      </c>
      <c r="L801" s="551">
        <v>2045</v>
      </c>
      <c r="M801" s="551">
        <v>2050</v>
      </c>
    </row>
    <row r="802" spans="4:13" ht="15" customHeight="1">
      <c r="E802" s="553" t="s">
        <v>795</v>
      </c>
      <c r="F802" s="564" cm="1">
        <f t="array" ref="F802:M802">INDEX(SF_DEMANDA_GAS_NATURAL_CALENTAR_AGUA,FRIO,0)*INDEX(SF_TENENCIA_GAS_NATURAL_CALENTAR_AGUA,FRIO,0)</f>
        <v>6.6324400855982929E-2</v>
      </c>
      <c r="G802" s="564">
        <v>7.540132274428174E-2</v>
      </c>
      <c r="H802" s="564">
        <v>9.4404777427496159E-2</v>
      </c>
      <c r="I802" s="564">
        <v>0.11160948309153541</v>
      </c>
      <c r="J802" s="564">
        <v>0.12684698298632924</v>
      </c>
      <c r="K802" s="564">
        <v>0.1416965506632811</v>
      </c>
      <c r="L802" s="564">
        <v>0.1565988331589219</v>
      </c>
      <c r="M802" s="564">
        <v>0.17164114575208378</v>
      </c>
    </row>
    <row r="803" spans="4:13" ht="15" customHeight="1">
      <c r="E803" s="553" t="s">
        <v>791</v>
      </c>
      <c r="F803" s="564" cm="1">
        <f t="array" ref="F803:M803">INDEX(SF_DEMANDA_GAS_NATURAL_CALENTAR_AGUA,TEMPLADO,0)*INDEX(SF_TENENCIA_GAS_NATURAL_CALENTAR_AGUA,TEMPLADO,0)</f>
        <v>3.1606572145592656E-3</v>
      </c>
      <c r="G803" s="564">
        <v>3.5932135329274939E-3</v>
      </c>
      <c r="H803" s="564">
        <v>4.4988139661145746E-3</v>
      </c>
      <c r="I803" s="564">
        <v>5.3186958855832665E-3</v>
      </c>
      <c r="J803" s="564">
        <v>6.0448315664603869E-3</v>
      </c>
      <c r="K803" s="564">
        <v>6.7524805252976864E-3</v>
      </c>
      <c r="L803" s="564">
        <v>7.4626415832998927E-3</v>
      </c>
      <c r="M803" s="564">
        <v>8.1794757078096532E-3</v>
      </c>
    </row>
    <row r="804" spans="4:13" ht="15" customHeight="1">
      <c r="E804" s="553" t="s">
        <v>792</v>
      </c>
      <c r="F804" s="564" cm="1">
        <f t="array" ref="F804:M804">INDEX(SF_DEMANDA_GAS_NATURAL_CALENTAR_AGUA,CALIDO_SECO,0)*INDEX(SF_TENENCIA_GAS_NATURAL_CALENTAR_AGUA,CALIDO_SECO,0)</f>
        <v>8.3244289866666671E-5</v>
      </c>
      <c r="G804" s="564">
        <v>9.4636807658231127E-5</v>
      </c>
      <c r="H804" s="564">
        <v>1.184881967352704E-4</v>
      </c>
      <c r="I804" s="564">
        <v>1.4008196142645599E-4</v>
      </c>
      <c r="J804" s="564">
        <v>1.5920667030757809E-4</v>
      </c>
      <c r="K804" s="564">
        <v>1.7784448233665364E-4</v>
      </c>
      <c r="L804" s="564">
        <v>1.9654845715937037E-4</v>
      </c>
      <c r="M804" s="564">
        <v>2.154281848856589E-4</v>
      </c>
    </row>
    <row r="805" spans="4:13" ht="15" customHeight="1">
      <c r="E805" s="553" t="s">
        <v>793</v>
      </c>
      <c r="F805" s="564" cm="1">
        <f t="array" ref="F805:M805">INDEX(SF_DEMANDA_GAS_NATURAL_CALENTAR_AGUA,CALIDO_HUMEDO,0)*INDEX(SF_TENENCIA_GAS_NATURAL_CALENTAR_AGUA,CALIDO_HUMEDO,0)</f>
        <v>9.8580984933333333E-5</v>
      </c>
      <c r="G805" s="564">
        <v>1.1207242832917232E-4</v>
      </c>
      <c r="H805" s="564">
        <v>1.4031813059906705E-4</v>
      </c>
      <c r="I805" s="564">
        <v>1.6589027008257192E-4</v>
      </c>
      <c r="J805" s="564">
        <v>1.8853846182141727E-4</v>
      </c>
      <c r="K805" s="564">
        <v>2.1061005219442027E-4</v>
      </c>
      <c r="L805" s="564">
        <v>2.3275999500905667E-4</v>
      </c>
      <c r="M805" s="564">
        <v>2.5511807095050283E-4</v>
      </c>
    </row>
    <row r="806" spans="4:13" ht="15" customHeight="1">
      <c r="E806" s="554" t="s">
        <v>1714</v>
      </c>
      <c r="F806" s="561">
        <f>SUM(F802:F805)</f>
        <v>6.9666883345342198E-2</v>
      </c>
      <c r="G806" s="561">
        <f t="shared" ref="G806:M806" si="8">SUM(G802:G805)</f>
        <v>7.9201245513196628E-2</v>
      </c>
      <c r="H806" s="561">
        <f t="shared" si="8"/>
        <v>9.9162397720945081E-2</v>
      </c>
      <c r="I806" s="561">
        <f t="shared" si="8"/>
        <v>0.11723415120862771</v>
      </c>
      <c r="J806" s="561">
        <f t="shared" si="8"/>
        <v>0.13323955968491863</v>
      </c>
      <c r="K806" s="561">
        <f t="shared" si="8"/>
        <v>0.14883748572310987</v>
      </c>
      <c r="L806" s="561">
        <f t="shared" si="8"/>
        <v>0.1644907831943902</v>
      </c>
      <c r="M806" s="561">
        <f t="shared" si="8"/>
        <v>0.18029116771572959</v>
      </c>
    </row>
    <row r="808" spans="4:13" ht="15" customHeight="1">
      <c r="E808" s="71" t="s">
        <v>498</v>
      </c>
      <c r="M808" s="1262" t="s">
        <v>9</v>
      </c>
    </row>
    <row r="809" spans="4:13" ht="15" customHeight="1">
      <c r="E809" s="550" t="s">
        <v>789</v>
      </c>
      <c r="F809" s="551">
        <v>2018</v>
      </c>
      <c r="G809" s="551">
        <v>2020</v>
      </c>
      <c r="H809" s="551">
        <v>2025</v>
      </c>
      <c r="I809" s="551">
        <v>2030</v>
      </c>
      <c r="J809" s="551">
        <v>2035</v>
      </c>
      <c r="K809" s="551">
        <v>2040</v>
      </c>
      <c r="L809" s="551">
        <v>2045</v>
      </c>
      <c r="M809" s="551">
        <v>2050</v>
      </c>
    </row>
    <row r="810" spans="4:13" ht="15" customHeight="1">
      <c r="E810" s="553" t="s">
        <v>795</v>
      </c>
      <c r="F810" s="565" cm="1">
        <f t="array" ref="F810:M810">INDEX(SF_DEMANDA_GLP_CALENTAR_AGUA,FRIO,0)*INDEX(SF_TENENCIA_GLP_CALENTAR_AGUA,FRIO,0)</f>
        <v>1.2102804999999999E-3</v>
      </c>
      <c r="G810" s="565">
        <v>1.3759151897921546E-3</v>
      </c>
      <c r="H810" s="565">
        <v>1.722688177393947E-3</v>
      </c>
      <c r="I810" s="565">
        <v>2.0366377872613676E-3</v>
      </c>
      <c r="J810" s="565">
        <v>2.3146900388220761E-3</v>
      </c>
      <c r="K810" s="565">
        <v>2.5856633451904203E-3</v>
      </c>
      <c r="L810" s="565">
        <v>2.8575985858739915E-3</v>
      </c>
      <c r="M810" s="565">
        <v>3.1320890806458873E-3</v>
      </c>
    </row>
    <row r="811" spans="4:13" ht="15" customHeight="1">
      <c r="E811" s="553" t="s">
        <v>791</v>
      </c>
      <c r="F811" s="565" cm="1">
        <f t="array" ref="F811:M811">INDEX(SF_DEMANDA_GLP_CALENTAR_AGUA,TEMPLADO,0)*INDEX(SF_TENENCIA_GLP_CALENTAR_AGUA,TEMPLADO,0)</f>
        <v>0</v>
      </c>
      <c r="G811" s="565">
        <v>0</v>
      </c>
      <c r="H811" s="565">
        <v>0</v>
      </c>
      <c r="I811" s="565">
        <v>0</v>
      </c>
      <c r="J811" s="565">
        <v>0</v>
      </c>
      <c r="K811" s="565">
        <v>0</v>
      </c>
      <c r="L811" s="565">
        <v>0</v>
      </c>
      <c r="M811" s="565">
        <v>0</v>
      </c>
    </row>
    <row r="812" spans="4:13" ht="15" customHeight="1">
      <c r="E812" s="553" t="s">
        <v>792</v>
      </c>
      <c r="F812" s="565" cm="1">
        <f t="array" ref="F812:M812">INDEX(SF_DEMANDA_GLP_CALENTAR_AGUA,CALIDO_SECO,0)*INDEX(SF_TENENCIA_GLP_CALENTAR_AGUA,CALIDO_SECO,0)</f>
        <v>0</v>
      </c>
      <c r="G812" s="565">
        <v>0</v>
      </c>
      <c r="H812" s="565">
        <v>0</v>
      </c>
      <c r="I812" s="565">
        <v>0</v>
      </c>
      <c r="J812" s="565">
        <v>0</v>
      </c>
      <c r="K812" s="565">
        <v>0</v>
      </c>
      <c r="L812" s="565">
        <v>0</v>
      </c>
      <c r="M812" s="565">
        <v>0</v>
      </c>
    </row>
    <row r="813" spans="4:13" ht="15" customHeight="1">
      <c r="E813" s="553" t="s">
        <v>793</v>
      </c>
      <c r="F813" s="565" cm="1">
        <f t="array" ref="F813:M813">INDEX(SF_DEMANDA_GLP_CALENTAR_AGUA,CALIDO_HUMEDO,0)*INDEX(SF_TENENCIA_GLP_CALENTAR_AGUA,CALIDO_HUMEDO,0)</f>
        <v>0</v>
      </c>
      <c r="G813" s="565">
        <v>0</v>
      </c>
      <c r="H813" s="565">
        <v>0</v>
      </c>
      <c r="I813" s="565">
        <v>0</v>
      </c>
      <c r="J813" s="565">
        <v>0</v>
      </c>
      <c r="K813" s="565">
        <v>0</v>
      </c>
      <c r="L813" s="565">
        <v>0</v>
      </c>
      <c r="M813" s="565">
        <v>0</v>
      </c>
    </row>
    <row r="814" spans="4:13" ht="15" customHeight="1">
      <c r="E814" s="554" t="s">
        <v>1714</v>
      </c>
      <c r="F814" s="567">
        <f>SUM(F810:F813)</f>
        <v>1.2102804999999999E-3</v>
      </c>
      <c r="G814" s="567">
        <f t="shared" ref="G814:M814" si="9">SUM(G810:G813)</f>
        <v>1.3759151897921546E-3</v>
      </c>
      <c r="H814" s="567">
        <f t="shared" si="9"/>
        <v>1.722688177393947E-3</v>
      </c>
      <c r="I814" s="567">
        <f t="shared" si="9"/>
        <v>2.0366377872613676E-3</v>
      </c>
      <c r="J814" s="567">
        <f t="shared" si="9"/>
        <v>2.3146900388220761E-3</v>
      </c>
      <c r="K814" s="567">
        <f t="shared" si="9"/>
        <v>2.5856633451904203E-3</v>
      </c>
      <c r="L814" s="567">
        <f t="shared" si="9"/>
        <v>2.8575985858739915E-3</v>
      </c>
      <c r="M814" s="567">
        <f t="shared" si="9"/>
        <v>3.1320890806458873E-3</v>
      </c>
    </row>
    <row r="816" spans="4:13" ht="15" customHeight="1">
      <c r="D816" s="71"/>
      <c r="E816" s="71" t="s">
        <v>2180</v>
      </c>
    </row>
    <row r="817" spans="4:13" ht="15" customHeight="1">
      <c r="D817" s="71">
        <v>2</v>
      </c>
      <c r="E817" s="71" t="s">
        <v>2182</v>
      </c>
    </row>
    <row r="819" spans="4:13" ht="15" customHeight="1">
      <c r="E819" s="71" t="s">
        <v>294</v>
      </c>
      <c r="M819" s="1262" t="s">
        <v>9</v>
      </c>
    </row>
    <row r="820" spans="4:13" ht="15" customHeight="1">
      <c r="E820" s="550" t="s">
        <v>789</v>
      </c>
      <c r="F820" s="551">
        <v>2018</v>
      </c>
      <c r="G820" s="551">
        <v>2020</v>
      </c>
      <c r="H820" s="551">
        <v>2025</v>
      </c>
      <c r="I820" s="551">
        <v>2030</v>
      </c>
      <c r="J820" s="551">
        <v>2035</v>
      </c>
      <c r="K820" s="551">
        <v>2040</v>
      </c>
      <c r="L820" s="551">
        <v>2045</v>
      </c>
      <c r="M820" s="551">
        <v>2050</v>
      </c>
    </row>
    <row r="821" spans="4:13" ht="15" customHeight="1">
      <c r="E821" s="553" t="s">
        <v>795</v>
      </c>
      <c r="F821" s="560" cm="1">
        <f t="array" ref="F821:M821">INDEX(SF_DEMANDA_ELECTRICIDAD_OTROS,FRIO,0)*INDEX(SF_TENENCIA_ELECTRICIDAD_OTROS,FRIO,0)</f>
        <v>0.27726426000000004</v>
      </c>
      <c r="G821" s="560">
        <v>0.32151385489470491</v>
      </c>
      <c r="H821" s="560">
        <v>0.41043828866491427</v>
      </c>
      <c r="I821" s="560">
        <v>0.49456971430296043</v>
      </c>
      <c r="J821" s="560">
        <v>0.57269640087801466</v>
      </c>
      <c r="K821" s="560">
        <v>0.65158716298798591</v>
      </c>
      <c r="L821" s="560">
        <v>0.72011484364024581</v>
      </c>
      <c r="M821" s="560">
        <v>0.78928644832276351</v>
      </c>
    </row>
    <row r="822" spans="4:13" ht="15" customHeight="1">
      <c r="E822" s="553" t="s">
        <v>791</v>
      </c>
      <c r="F822" s="560" cm="1">
        <f t="array" ref="F822:M822">INDEX(SF_DEMANDA_ELECTRICIDAD_OTROS,TEMPLADO,0)*INDEX(SF_TENENCIA_ELECTRICIDAD_OTROS,TEMPLADO,0)</f>
        <v>5.5592753871132529E-2</v>
      </c>
      <c r="G822" s="560">
        <v>6.4465000290049451E-2</v>
      </c>
      <c r="H822" s="560">
        <v>8.2294756493452914E-2</v>
      </c>
      <c r="I822" s="560">
        <v>9.9163492616613502E-2</v>
      </c>
      <c r="J822" s="560">
        <v>0.11482825105873691</v>
      </c>
      <c r="K822" s="560">
        <v>0.13064621014472119</v>
      </c>
      <c r="L822" s="560">
        <v>0.14438632394034945</v>
      </c>
      <c r="M822" s="560">
        <v>0.15825554745291642</v>
      </c>
    </row>
    <row r="823" spans="4:13" ht="15" customHeight="1">
      <c r="E823" s="553" t="s">
        <v>792</v>
      </c>
      <c r="F823" s="560" cm="1">
        <f t="array" ref="F823:M823">INDEX(SF_DEMANDA_ELECTRICIDAD_OTROS,CALIDO_SECO,0)*INDEX(SF_TENENCIA_ELECTRICIDAD_OTROS,CALIDO_SECO,0)</f>
        <v>1.943570369440412E-2</v>
      </c>
      <c r="G823" s="560">
        <v>2.2537517159186414E-2</v>
      </c>
      <c r="H823" s="560">
        <v>2.8770952892845141E-2</v>
      </c>
      <c r="I823" s="560">
        <v>3.4668407761672702E-2</v>
      </c>
      <c r="J823" s="560">
        <v>4.0144941704050731E-2</v>
      </c>
      <c r="K823" s="560">
        <v>4.5675035905860639E-2</v>
      </c>
      <c r="L823" s="560">
        <v>5.0478697567922934E-2</v>
      </c>
      <c r="M823" s="560">
        <v>5.5327497094684402E-2</v>
      </c>
    </row>
    <row r="824" spans="4:13" ht="15" customHeight="1">
      <c r="E824" s="553" t="s">
        <v>793</v>
      </c>
      <c r="F824" s="560" cm="1">
        <f t="array" ref="F824:M824">INDEX(SF_DEMANDA_ELECTRICIDAD_OTROS,CALIDO_HUMEDO,0)*INDEX(SF_TENENCIA_ELECTRICIDAD_OTROS,CALIDO_HUMEDO,0)</f>
        <v>2.6000129387589978E-2</v>
      </c>
      <c r="G824" s="560">
        <v>3.0149583026550797E-2</v>
      </c>
      <c r="H824" s="560">
        <v>3.8488367057870274E-2</v>
      </c>
      <c r="I824" s="560">
        <v>4.6377692397355418E-2</v>
      </c>
      <c r="J824" s="560">
        <v>5.3703930404284686E-2</v>
      </c>
      <c r="K824" s="560">
        <v>6.1101818694484153E-2</v>
      </c>
      <c r="L824" s="560">
        <v>6.7527921227822585E-2</v>
      </c>
      <c r="M824" s="560">
        <v>7.4014406978610253E-2</v>
      </c>
    </row>
    <row r="825" spans="4:13" ht="15" customHeight="1">
      <c r="E825" s="554" t="s">
        <v>1714</v>
      </c>
      <c r="F825" s="561">
        <f>SUM(F821:F824)</f>
        <v>0.3782928469531267</v>
      </c>
      <c r="G825" s="561">
        <f t="shared" ref="G825:M825" si="10">SUM(G821:G824)</f>
        <v>0.43866595537049158</v>
      </c>
      <c r="H825" s="561">
        <f t="shared" si="10"/>
        <v>0.55999236510908257</v>
      </c>
      <c r="I825" s="561">
        <f t="shared" si="10"/>
        <v>0.67477930707860212</v>
      </c>
      <c r="J825" s="561">
        <f t="shared" si="10"/>
        <v>0.78137352404508698</v>
      </c>
      <c r="K825" s="561">
        <f t="shared" si="10"/>
        <v>0.88901022773305194</v>
      </c>
      <c r="L825" s="561">
        <f t="shared" si="10"/>
        <v>0.98250778637634073</v>
      </c>
      <c r="M825" s="561">
        <f t="shared" si="10"/>
        <v>1.0768838998489745</v>
      </c>
    </row>
    <row r="827" spans="4:13" ht="15" customHeight="1">
      <c r="E827" s="71" t="s">
        <v>590</v>
      </c>
      <c r="M827" s="1262" t="s">
        <v>9</v>
      </c>
    </row>
    <row r="828" spans="4:13" ht="15" customHeight="1">
      <c r="E828" s="550" t="s">
        <v>789</v>
      </c>
      <c r="F828" s="551">
        <v>2018</v>
      </c>
      <c r="G828" s="551">
        <v>2020</v>
      </c>
      <c r="H828" s="551">
        <v>2025</v>
      </c>
      <c r="I828" s="551">
        <v>2030</v>
      </c>
      <c r="J828" s="551">
        <v>2035</v>
      </c>
      <c r="K828" s="551">
        <v>2040</v>
      </c>
      <c r="L828" s="551">
        <v>2045</v>
      </c>
      <c r="M828" s="551">
        <v>2050</v>
      </c>
    </row>
    <row r="829" spans="4:13" ht="15" customHeight="1">
      <c r="E829" s="553" t="s">
        <v>795</v>
      </c>
      <c r="F829" s="72" cm="1">
        <f t="array" ref="F829:M829">INDEX(SF_DEMANDA_GAS_NATURAL_OTROS,FRIO,0)*INDEX(SF_TENENCIA_GAS_NATURAL_OTROS,FRIO,0)</f>
        <v>0</v>
      </c>
      <c r="G829" s="72">
        <v>0</v>
      </c>
      <c r="H829" s="72">
        <v>0</v>
      </c>
      <c r="I829" s="72">
        <v>0</v>
      </c>
      <c r="J829" s="72">
        <v>0</v>
      </c>
      <c r="K829" s="72">
        <v>0</v>
      </c>
      <c r="L829" s="72">
        <v>0</v>
      </c>
      <c r="M829" s="72">
        <v>0</v>
      </c>
    </row>
    <row r="830" spans="4:13" ht="15" customHeight="1">
      <c r="E830" s="553" t="s">
        <v>791</v>
      </c>
      <c r="F830" s="72" cm="1">
        <f t="array" ref="F830:M830">INDEX(SF_DEMANDA_GAS_NATURAL_OTROS,TEMPLADO,0)*INDEX(SF_TENENCIA_GAS_NATURAL_OTROS,TEMPLADO,0)</f>
        <v>0</v>
      </c>
      <c r="G830" s="72">
        <v>0</v>
      </c>
      <c r="H830" s="72">
        <v>0</v>
      </c>
      <c r="I830" s="72">
        <v>0</v>
      </c>
      <c r="J830" s="72">
        <v>0</v>
      </c>
      <c r="K830" s="72">
        <v>0</v>
      </c>
      <c r="L830" s="72">
        <v>0</v>
      </c>
      <c r="M830" s="72">
        <v>0</v>
      </c>
    </row>
    <row r="831" spans="4:13" ht="15" customHeight="1">
      <c r="E831" s="553" t="s">
        <v>792</v>
      </c>
      <c r="F831" s="72" cm="1">
        <f t="array" ref="F831:M831">INDEX(SF_DEMANDA_GAS_NATURAL_OTROS,CALIDO_SECO,0)*INDEX(SF_TENENCIA_GAS_NATURAL_OTROS,CALIDO_SECO,0)</f>
        <v>0</v>
      </c>
      <c r="G831" s="72">
        <v>0</v>
      </c>
      <c r="H831" s="72">
        <v>0</v>
      </c>
      <c r="I831" s="72">
        <v>0</v>
      </c>
      <c r="J831" s="72">
        <v>0</v>
      </c>
      <c r="K831" s="72">
        <v>0</v>
      </c>
      <c r="L831" s="72">
        <v>0</v>
      </c>
      <c r="M831" s="72">
        <v>0</v>
      </c>
    </row>
    <row r="832" spans="4:13" ht="15" customHeight="1">
      <c r="E832" s="553" t="s">
        <v>793</v>
      </c>
      <c r="F832" s="72" cm="1">
        <f t="array" ref="F832:M832">INDEX(SF_DEMANDA_GAS_NATURAL_OTROS,CALIDO_HUMEDO,0)*INDEX(SF_TENENCIA_GAS_NATURAL_OTROS,CALIDO_HUMEDO,0)</f>
        <v>0</v>
      </c>
      <c r="G832" s="72">
        <v>0</v>
      </c>
      <c r="H832" s="72">
        <v>0</v>
      </c>
      <c r="I832" s="72">
        <v>0</v>
      </c>
      <c r="J832" s="72">
        <v>0</v>
      </c>
      <c r="K832" s="72">
        <v>0</v>
      </c>
      <c r="L832" s="72">
        <v>0</v>
      </c>
      <c r="M832" s="72">
        <v>0</v>
      </c>
    </row>
    <row r="833" spans="4:13" ht="15" customHeight="1">
      <c r="E833" s="554" t="s">
        <v>1714</v>
      </c>
      <c r="F833" s="561">
        <f>SUM(F829:F832)</f>
        <v>0</v>
      </c>
      <c r="G833" s="561">
        <f t="shared" ref="G833:M833" si="11">SUM(G829:G832)</f>
        <v>0</v>
      </c>
      <c r="H833" s="561">
        <f t="shared" si="11"/>
        <v>0</v>
      </c>
      <c r="I833" s="561">
        <f t="shared" si="11"/>
        <v>0</v>
      </c>
      <c r="J833" s="561">
        <f t="shared" si="11"/>
        <v>0</v>
      </c>
      <c r="K833" s="561">
        <f t="shared" si="11"/>
        <v>0</v>
      </c>
      <c r="L833" s="561">
        <f t="shared" si="11"/>
        <v>0</v>
      </c>
      <c r="M833" s="561">
        <f t="shared" si="11"/>
        <v>0</v>
      </c>
    </row>
    <row r="836" spans="4:13" ht="15" customHeight="1">
      <c r="D836" s="71">
        <v>2</v>
      </c>
      <c r="E836" s="71" t="s">
        <v>2183</v>
      </c>
    </row>
    <row r="838" spans="4:13" ht="15" customHeight="1">
      <c r="E838" s="71" t="s">
        <v>294</v>
      </c>
      <c r="M838" s="1262" t="s">
        <v>9</v>
      </c>
    </row>
    <row r="839" spans="4:13" ht="15" customHeight="1">
      <c r="E839" s="550" t="s">
        <v>789</v>
      </c>
      <c r="F839" s="551">
        <v>2018</v>
      </c>
      <c r="G839" s="551">
        <v>2020</v>
      </c>
      <c r="H839" s="551">
        <v>2025</v>
      </c>
      <c r="I839" s="551">
        <v>2030</v>
      </c>
      <c r="J839" s="551">
        <v>2035</v>
      </c>
      <c r="K839" s="551">
        <v>2040</v>
      </c>
      <c r="L839" s="551">
        <v>2045</v>
      </c>
      <c r="M839" s="551">
        <v>2050</v>
      </c>
    </row>
    <row r="840" spans="4:13" ht="15" customHeight="1">
      <c r="E840" s="553" t="s">
        <v>795</v>
      </c>
      <c r="F840" s="1230" cm="1">
        <f t="array" ref="F840:M840">_xlfn.ANCHORARRAY(F745)+_xlfn.ANCHORARRAY(F755)+_xlfn.ANCHORARRAY(F766)+_xlfn.ANCHORARRAY(F794)+_xlfn.ANCHORARRAY(F821)</f>
        <v>0.9108093752727211</v>
      </c>
      <c r="G840" s="1230">
        <v>1.0588570039012932</v>
      </c>
      <c r="H840" s="1230">
        <v>1.3486333348685764</v>
      </c>
      <c r="I840" s="1230">
        <v>1.6235387871016245</v>
      </c>
      <c r="J840" s="1230">
        <v>1.876025479519283</v>
      </c>
      <c r="K840" s="1230">
        <v>2.139026979465469</v>
      </c>
      <c r="L840" s="1230">
        <v>2.3938223861964856</v>
      </c>
      <c r="M840" s="1230">
        <v>2.6460315779960268</v>
      </c>
    </row>
    <row r="841" spans="4:13" ht="15" customHeight="1">
      <c r="E841" s="553" t="s">
        <v>791</v>
      </c>
      <c r="F841" s="1230" cm="1">
        <f t="array" ref="F841:M841">_xlfn.ANCHORARRAY(F746)+_xlfn.ANCHORARRAY(F756)+_xlfn.ANCHORARRAY(F767)+_xlfn.ANCHORARRAY(F795)+_xlfn.ANCHORARRAY(F822)</f>
        <v>0.3020917743786396</v>
      </c>
      <c r="G841" s="1230">
        <v>0.35739923483412206</v>
      </c>
      <c r="H841" s="1230">
        <v>0.456575727130688</v>
      </c>
      <c r="I841" s="1230">
        <v>0.55051550095356805</v>
      </c>
      <c r="J841" s="1230">
        <v>0.64104236471116383</v>
      </c>
      <c r="K841" s="1230">
        <v>0.73719596691709288</v>
      </c>
      <c r="L841" s="1230">
        <v>0.83364272985225607</v>
      </c>
      <c r="M841" s="1230">
        <v>0.92527681319183208</v>
      </c>
    </row>
    <row r="842" spans="4:13" ht="15" customHeight="1">
      <c r="E842" s="553" t="s">
        <v>792</v>
      </c>
      <c r="F842" s="1230" cm="1">
        <f t="array" ref="F842:M842">_xlfn.ANCHORARRAY(F747)+_xlfn.ANCHORARRAY(F757)+_xlfn.ANCHORARRAY(F768)+_xlfn.ANCHORARRAY(F796)+_xlfn.ANCHORARRAY(F823)</f>
        <v>0.14196224670710905</v>
      </c>
      <c r="G842" s="1230">
        <v>0.17226140844101198</v>
      </c>
      <c r="H842" s="1230">
        <v>0.21771775306200961</v>
      </c>
      <c r="I842" s="1230">
        <v>0.26003185355562625</v>
      </c>
      <c r="J842" s="1230">
        <v>0.30122805544155257</v>
      </c>
      <c r="K842" s="1230">
        <v>0.34612898001057751</v>
      </c>
      <c r="L842" s="1230">
        <v>0.38785586312628112</v>
      </c>
      <c r="M842" s="1230">
        <v>0.42774642571530097</v>
      </c>
    </row>
    <row r="843" spans="4:13" ht="15" customHeight="1">
      <c r="E843" s="553" t="s">
        <v>793</v>
      </c>
      <c r="F843" s="1230" cm="1">
        <f t="array" ref="F843:M843">_xlfn.ANCHORARRAY(F748)+_xlfn.ANCHORARRAY(F758)+_xlfn.ANCHORARRAY(F769)+_xlfn.ANCHORARRAY(F797)+_xlfn.ANCHORARRAY(F824)</f>
        <v>0.14073363846659642</v>
      </c>
      <c r="G843" s="1230">
        <v>0.16969702292580688</v>
      </c>
      <c r="H843" s="1230">
        <v>0.21479785707590299</v>
      </c>
      <c r="I843" s="1230">
        <v>0.25677493133732748</v>
      </c>
      <c r="J843" s="1230">
        <v>0.29713146417342878</v>
      </c>
      <c r="K843" s="1230">
        <v>0.34125375822000853</v>
      </c>
      <c r="L843" s="1230">
        <v>0.38268254611583807</v>
      </c>
      <c r="M843" s="1230">
        <v>0.42142591147954678</v>
      </c>
    </row>
    <row r="844" spans="4:13" ht="15" customHeight="1">
      <c r="E844" s="554" t="s">
        <v>1714</v>
      </c>
      <c r="F844" s="561">
        <f>SUM(F840:F843)</f>
        <v>1.4955970348250662</v>
      </c>
      <c r="G844" s="561">
        <f t="shared" ref="G844:M844" si="12">SUM(G840:G843)</f>
        <v>1.7582146701022339</v>
      </c>
      <c r="H844" s="561">
        <f t="shared" si="12"/>
        <v>2.2377246721371771</v>
      </c>
      <c r="I844" s="561">
        <f t="shared" si="12"/>
        <v>2.6908610729481461</v>
      </c>
      <c r="J844" s="561">
        <f t="shared" si="12"/>
        <v>3.1154273638454284</v>
      </c>
      <c r="K844" s="561">
        <f t="shared" si="12"/>
        <v>3.5636056846131479</v>
      </c>
      <c r="L844" s="561">
        <f t="shared" si="12"/>
        <v>3.9980035252908612</v>
      </c>
      <c r="M844" s="561">
        <f t="shared" si="12"/>
        <v>4.4204807283827074</v>
      </c>
    </row>
    <row r="846" spans="4:13" ht="15" customHeight="1">
      <c r="E846" s="71" t="s">
        <v>590</v>
      </c>
      <c r="M846" s="1262" t="s">
        <v>9</v>
      </c>
    </row>
    <row r="847" spans="4:13" ht="15" customHeight="1">
      <c r="E847" s="550" t="s">
        <v>789</v>
      </c>
      <c r="F847" s="551">
        <v>2018</v>
      </c>
      <c r="G847" s="551">
        <v>2020</v>
      </c>
      <c r="H847" s="551">
        <v>2025</v>
      </c>
      <c r="I847" s="551">
        <v>2030</v>
      </c>
      <c r="J847" s="551">
        <v>2035</v>
      </c>
      <c r="K847" s="551">
        <v>2040</v>
      </c>
      <c r="L847" s="551">
        <v>2045</v>
      </c>
      <c r="M847" s="551">
        <v>2050</v>
      </c>
    </row>
    <row r="848" spans="4:13" ht="15" customHeight="1">
      <c r="E848" s="553" t="s">
        <v>795</v>
      </c>
      <c r="F848" s="560" cm="1">
        <f t="array" ref="F848:M848">_xlfn.ANCHORARRAY(F774)+_xlfn.ANCHORARRAY(F802)+_xlfn.ANCHORARRAY(F829)</f>
        <v>1.0634048394456406</v>
      </c>
      <c r="G848" s="560">
        <v>1.2089386480999607</v>
      </c>
      <c r="H848" s="560">
        <v>1.513628406552459</v>
      </c>
      <c r="I848" s="560">
        <v>1.789478124427849</v>
      </c>
      <c r="J848" s="560">
        <v>2.0337868693249321</v>
      </c>
      <c r="K848" s="560">
        <v>2.2718757465337145</v>
      </c>
      <c r="L848" s="560">
        <v>2.5108098208732788</v>
      </c>
      <c r="M848" s="560">
        <v>2.7519890520698995</v>
      </c>
    </row>
    <row r="849" spans="4:13" ht="15" customHeight="1">
      <c r="E849" s="553" t="s">
        <v>791</v>
      </c>
      <c r="F849" s="560" cm="1">
        <f t="array" ref="F849:M849">_xlfn.ANCHORARRAY(F775)+_xlfn.ANCHORARRAY(F803)+_xlfn.ANCHORARRAY(F830)</f>
        <v>0.18957239748235943</v>
      </c>
      <c r="G849" s="560">
        <v>0.21551660235895262</v>
      </c>
      <c r="H849" s="560">
        <v>0.26983342118053344</v>
      </c>
      <c r="I849" s="560">
        <v>0.3190089472104235</v>
      </c>
      <c r="J849" s="560">
        <v>0.36256168721881954</v>
      </c>
      <c r="K849" s="560">
        <v>0.40500561599563534</v>
      </c>
      <c r="L849" s="560">
        <v>0.44760021744242973</v>
      </c>
      <c r="M849" s="560">
        <v>0.49059506134847242</v>
      </c>
    </row>
    <row r="850" spans="4:13" ht="15" customHeight="1">
      <c r="E850" s="553" t="s">
        <v>792</v>
      </c>
      <c r="F850" s="560" cm="1">
        <f t="array" ref="F850:M850">_xlfn.ANCHORARRAY(F776)+_xlfn.ANCHORARRAY(F804)+_xlfn.ANCHORARRAY(F831)</f>
        <v>4.3181442522420781E-2</v>
      </c>
      <c r="G850" s="560">
        <v>4.9091101346948586E-2</v>
      </c>
      <c r="H850" s="560">
        <v>6.1463570235321931E-2</v>
      </c>
      <c r="I850" s="560">
        <v>7.2664938045037486E-2</v>
      </c>
      <c r="J850" s="560">
        <v>8.2585528618047951E-2</v>
      </c>
      <c r="K850" s="560">
        <v>9.2253550414693436E-2</v>
      </c>
      <c r="L850" s="560">
        <v>0.10195589294223006</v>
      </c>
      <c r="M850" s="560">
        <v>0.11174940405221113</v>
      </c>
    </row>
    <row r="851" spans="4:13" ht="15" customHeight="1">
      <c r="E851" s="553" t="s">
        <v>793</v>
      </c>
      <c r="F851" s="560" cm="1">
        <f t="array" ref="F851:M851">_xlfn.ANCHORARRAY(F777)+_xlfn.ANCHORARRAY(F805)+_xlfn.ANCHORARRAY(F832)</f>
        <v>5.1137070681011733E-2</v>
      </c>
      <c r="G851" s="560">
        <v>5.8135508513504998E-2</v>
      </c>
      <c r="H851" s="560">
        <v>7.2787446454551291E-2</v>
      </c>
      <c r="I851" s="560">
        <v>8.6052522930679207E-2</v>
      </c>
      <c r="J851" s="560">
        <v>9.7800855355331506E-2</v>
      </c>
      <c r="K851" s="560">
        <v>0.10925008643889061</v>
      </c>
      <c r="L851" s="560">
        <v>0.1207399614087788</v>
      </c>
      <c r="M851" s="560">
        <v>0.13233780160567221</v>
      </c>
    </row>
    <row r="852" spans="4:13" ht="15" customHeight="1">
      <c r="E852" s="554" t="s">
        <v>1714</v>
      </c>
      <c r="F852" s="561">
        <f t="shared" ref="F852:M852" si="13">SUM(F848:F851)</f>
        <v>1.3472957501314324</v>
      </c>
      <c r="G852" s="561">
        <f t="shared" si="13"/>
        <v>1.5316818603193667</v>
      </c>
      <c r="H852" s="561">
        <f t="shared" si="13"/>
        <v>1.9177128444228655</v>
      </c>
      <c r="I852" s="561">
        <f t="shared" si="13"/>
        <v>2.2672045326139894</v>
      </c>
      <c r="J852" s="561">
        <f t="shared" si="13"/>
        <v>2.5767349405171309</v>
      </c>
      <c r="K852" s="561">
        <f t="shared" si="13"/>
        <v>2.8783849993829338</v>
      </c>
      <c r="L852" s="561">
        <f t="shared" si="13"/>
        <v>3.1811058926667175</v>
      </c>
      <c r="M852" s="561">
        <f t="shared" si="13"/>
        <v>3.4866713190762555</v>
      </c>
    </row>
    <row r="853" spans="4:13" ht="15" customHeight="1">
      <c r="E853" s="554"/>
      <c r="F853" s="1306"/>
      <c r="G853" s="1306"/>
      <c r="H853" s="1306"/>
      <c r="I853" s="1306"/>
      <c r="J853" s="1306"/>
      <c r="K853" s="1306"/>
      <c r="L853" s="1306"/>
      <c r="M853" s="1306"/>
    </row>
    <row r="854" spans="4:13" ht="15" customHeight="1">
      <c r="E854" s="71" t="s">
        <v>498</v>
      </c>
      <c r="M854" s="1262" t="s">
        <v>9</v>
      </c>
    </row>
    <row r="855" spans="4:13" ht="15" customHeight="1">
      <c r="E855" s="550" t="s">
        <v>789</v>
      </c>
      <c r="F855" s="551">
        <v>2018</v>
      </c>
      <c r="G855" s="551">
        <v>2020</v>
      </c>
      <c r="H855" s="551">
        <v>2025</v>
      </c>
      <c r="I855" s="551">
        <v>2030</v>
      </c>
      <c r="J855" s="551">
        <v>2035</v>
      </c>
      <c r="K855" s="551">
        <v>2040</v>
      </c>
      <c r="L855" s="551">
        <v>2045</v>
      </c>
      <c r="M855" s="551">
        <v>2050</v>
      </c>
    </row>
    <row r="856" spans="4:13" ht="15" customHeight="1">
      <c r="E856" s="553" t="s">
        <v>795</v>
      </c>
      <c r="F856" s="560" cm="1">
        <f t="array" ref="F856:M856">_xlfn.ANCHORARRAY(F782)+_xlfn.ANCHORARRAY(F810)</f>
        <v>0.37573708249999993</v>
      </c>
      <c r="G856" s="560">
        <v>0.42715912483092788</v>
      </c>
      <c r="H856" s="560">
        <v>0.53481637507275726</v>
      </c>
      <c r="I856" s="560">
        <v>0.63228345849977907</v>
      </c>
      <c r="J856" s="560">
        <v>0.71860604387067162</v>
      </c>
      <c r="K856" s="560">
        <v>0.80273093852957123</v>
      </c>
      <c r="L856" s="560">
        <v>0.8871544700690619</v>
      </c>
      <c r="M856" s="560">
        <v>0.97237129185506388</v>
      </c>
    </row>
    <row r="857" spans="4:13" ht="15" customHeight="1">
      <c r="E857" s="553" t="s">
        <v>791</v>
      </c>
      <c r="F857" s="560" cm="1">
        <f t="array" ref="F857:M857">_xlfn.ANCHORARRAY(F783)+_xlfn.ANCHORARRAY(F811)</f>
        <v>8.6915410069607957E-2</v>
      </c>
      <c r="G857" s="560">
        <v>9.8810344330746119E-2</v>
      </c>
      <c r="H857" s="560">
        <v>0.12371359313833483</v>
      </c>
      <c r="I857" s="560">
        <v>0.14625965504945401</v>
      </c>
      <c r="J857" s="560">
        <v>0.16622777439466099</v>
      </c>
      <c r="K857" s="560">
        <v>0.18568752446162662</v>
      </c>
      <c r="L857" s="560">
        <v>0.20521635513880446</v>
      </c>
      <c r="M857" s="560">
        <v>0.22492868952187425</v>
      </c>
    </row>
    <row r="858" spans="4:13" ht="15" customHeight="1">
      <c r="E858" s="553" t="s">
        <v>792</v>
      </c>
      <c r="F858" s="560" cm="1">
        <f t="array" ref="F858:M858">_xlfn.ANCHORARRAY(F784)+_xlfn.ANCHORARRAY(F812)</f>
        <v>2.7696026960000002E-2</v>
      </c>
      <c r="G858" s="560">
        <v>3.1486406821523628E-2</v>
      </c>
      <c r="H858" s="560">
        <v>3.9421950700499614E-2</v>
      </c>
      <c r="I858" s="560">
        <v>4.6606365271311546E-2</v>
      </c>
      <c r="J858" s="560">
        <v>5.29693056438236E-2</v>
      </c>
      <c r="K858" s="560">
        <v>5.9170251621733699E-2</v>
      </c>
      <c r="L858" s="560">
        <v>6.5393210479078145E-2</v>
      </c>
      <c r="M858" s="560">
        <v>7.1674643703414295E-2</v>
      </c>
    </row>
    <row r="859" spans="4:13" ht="15" customHeight="1">
      <c r="E859" s="553" t="s">
        <v>793</v>
      </c>
      <c r="F859" s="560" cm="1">
        <f t="array" ref="F859:M859">_xlfn.ANCHORARRAY(F785)+_xlfn.ANCHORARRAY(F813)</f>
        <v>3.2798665479999996E-2</v>
      </c>
      <c r="G859" s="560">
        <v>3.7287374322600077E-2</v>
      </c>
      <c r="H859" s="560">
        <v>4.6684940604012841E-2</v>
      </c>
      <c r="I859" s="560">
        <v>5.5192991615012378E-2</v>
      </c>
      <c r="J859" s="560">
        <v>6.2728222319713048E-2</v>
      </c>
      <c r="K859" s="560">
        <v>7.0071613235773322E-2</v>
      </c>
      <c r="L859" s="560">
        <v>7.7441072622587981E-2</v>
      </c>
      <c r="M859" s="560">
        <v>8.4879779530171062E-2</v>
      </c>
    </row>
    <row r="860" spans="4:13" ht="15" customHeight="1">
      <c r="E860" s="554" t="s">
        <v>1714</v>
      </c>
      <c r="F860" s="561">
        <f t="shared" ref="F860:M860" si="14">SUM(F856:F859)</f>
        <v>0.52314718500960788</v>
      </c>
      <c r="G860" s="561">
        <f t="shared" si="14"/>
        <v>0.59474325030579767</v>
      </c>
      <c r="H860" s="561">
        <f t="shared" si="14"/>
        <v>0.74463685951560454</v>
      </c>
      <c r="I860" s="561">
        <f t="shared" si="14"/>
        <v>0.88034247043555702</v>
      </c>
      <c r="J860" s="561">
        <f t="shared" si="14"/>
        <v>1.0005313462288692</v>
      </c>
      <c r="K860" s="561">
        <f t="shared" si="14"/>
        <v>1.1176603278487047</v>
      </c>
      <c r="L860" s="561">
        <f t="shared" si="14"/>
        <v>1.2352051083095326</v>
      </c>
      <c r="M860" s="561">
        <f t="shared" si="14"/>
        <v>1.3538544046105234</v>
      </c>
    </row>
    <row r="862" spans="4:13" ht="15" customHeight="1">
      <c r="D862" s="71">
        <v>2</v>
      </c>
      <c r="E862" s="71" t="s">
        <v>2184</v>
      </c>
    </row>
    <row r="864" spans="4:13" ht="15" customHeight="1">
      <c r="E864" s="71" t="s">
        <v>294</v>
      </c>
      <c r="M864" s="1262" t="s">
        <v>9</v>
      </c>
    </row>
    <row r="865" spans="5:13" ht="15" customHeight="1">
      <c r="E865" s="550" t="s">
        <v>789</v>
      </c>
      <c r="F865" s="551">
        <v>2018</v>
      </c>
      <c r="G865" s="551">
        <v>2020</v>
      </c>
      <c r="H865" s="551">
        <v>2025</v>
      </c>
      <c r="I865" s="551">
        <v>2030</v>
      </c>
      <c r="J865" s="551">
        <v>2035</v>
      </c>
      <c r="K865" s="551">
        <v>2040</v>
      </c>
      <c r="L865" s="551">
        <v>2045</v>
      </c>
      <c r="M865" s="551">
        <v>2050</v>
      </c>
    </row>
    <row r="866" spans="5:13" ht="15" customHeight="1">
      <c r="E866" s="553" t="s">
        <v>795</v>
      </c>
      <c r="F866" s="560" cm="1">
        <f t="array" ref="F866:M866">INDEX(DEMANDA_TOTAL_POR_ZONA_CLIMATICA_Y_ENERGETICO,FRIO,0)-INDEX(ST_REDUCCION_TOTAL_DEMANDA_ENERGIA_ELECTRICA,FRIO,0)</f>
        <v>0.9108093752727211</v>
      </c>
      <c r="G866" s="560">
        <v>1.0588570039012932</v>
      </c>
      <c r="H866" s="560">
        <v>1.3486333348685764</v>
      </c>
      <c r="I866" s="560">
        <v>1.6235387871016245</v>
      </c>
      <c r="J866" s="560">
        <v>1.876025479519283</v>
      </c>
      <c r="K866" s="560">
        <v>2.139026979465469</v>
      </c>
      <c r="L866" s="560">
        <v>2.3938223861964856</v>
      </c>
      <c r="M866" s="560">
        <v>2.6460315779960268</v>
      </c>
    </row>
    <row r="867" spans="5:13" ht="15" customHeight="1">
      <c r="E867" s="553" t="s">
        <v>791</v>
      </c>
      <c r="F867" s="560" cm="1">
        <f t="array" ref="F867:M867">INDEX(DEMANDA_TOTAL_POR_ZONA_CLIMATICA_Y_ENERGETICO,TEMPLADO,0)-INDEX(ST_REDUCCION_TOTAL_DEMANDA_ENERGIA_ELECTRICA,TEMPLADO,0)</f>
        <v>0.3020917743786396</v>
      </c>
      <c r="G867" s="560">
        <v>0.35739923483412206</v>
      </c>
      <c r="H867" s="560">
        <v>0.456575727130688</v>
      </c>
      <c r="I867" s="560">
        <v>0.55051550095356805</v>
      </c>
      <c r="J867" s="560">
        <v>0.64104236471116383</v>
      </c>
      <c r="K867" s="560">
        <v>0.73719596691709288</v>
      </c>
      <c r="L867" s="560">
        <v>0.83364272985225607</v>
      </c>
      <c r="M867" s="560">
        <v>0.92527681319183208</v>
      </c>
    </row>
    <row r="868" spans="5:13" ht="15" customHeight="1">
      <c r="E868" s="553" t="s">
        <v>792</v>
      </c>
      <c r="F868" s="560" cm="1">
        <f t="array" ref="F868:M868">INDEX(DEMANDA_TOTAL_POR_ZONA_CLIMATICA_Y_ENERGETICO,CALIDO_SECO,0)-INDEX(ST_REDUCCION_TOTAL_DEMANDA_ENERGIA_ELECTRICA,CALIDO_SECO,0)</f>
        <v>0.14196224670710905</v>
      </c>
      <c r="G868" s="560">
        <v>0.17226140844101198</v>
      </c>
      <c r="H868" s="560">
        <v>0.21771775306200961</v>
      </c>
      <c r="I868" s="560">
        <v>0.26003185355562625</v>
      </c>
      <c r="J868" s="560">
        <v>0.30122805544155257</v>
      </c>
      <c r="K868" s="560">
        <v>0.34612898001057751</v>
      </c>
      <c r="L868" s="560">
        <v>0.38785586312628112</v>
      </c>
      <c r="M868" s="560">
        <v>0.42774642571530097</v>
      </c>
    </row>
    <row r="869" spans="5:13" ht="15" customHeight="1">
      <c r="E869" s="553" t="s">
        <v>793</v>
      </c>
      <c r="F869" s="560" cm="1">
        <f t="array" ref="F869:M869">INDEX(DEMANDA_TOTAL_POR_ZONA_CLIMATICA_Y_ENERGETICO,CALIDO_HUMEDO,0)-INDEX(ST_REDUCCION_TOTAL_DEMANDA_ENERGIA_ELECTRICA,CALIDO_HUMEDO,0)</f>
        <v>0.14073363846659642</v>
      </c>
      <c r="G869" s="560">
        <v>0.16969702292580688</v>
      </c>
      <c r="H869" s="560">
        <v>0.21479785707590299</v>
      </c>
      <c r="I869" s="560">
        <v>0.25677493133732748</v>
      </c>
      <c r="J869" s="560">
        <v>0.29713146417342878</v>
      </c>
      <c r="K869" s="560">
        <v>0.34125375822000853</v>
      </c>
      <c r="L869" s="560">
        <v>0.38268254611583807</v>
      </c>
      <c r="M869" s="560">
        <v>0.42142591147954678</v>
      </c>
    </row>
    <row r="870" spans="5:13" ht="15" customHeight="1">
      <c r="E870" s="554" t="s">
        <v>1714</v>
      </c>
      <c r="F870" s="561">
        <f>SUM(F866:F869)</f>
        <v>1.4955970348250662</v>
      </c>
      <c r="G870" s="561">
        <f t="shared" ref="G870:M870" si="15">SUM(G866:G869)</f>
        <v>1.7582146701022339</v>
      </c>
      <c r="H870" s="561">
        <f t="shared" si="15"/>
        <v>2.2377246721371771</v>
      </c>
      <c r="I870" s="561">
        <f t="shared" si="15"/>
        <v>2.6908610729481461</v>
      </c>
      <c r="J870" s="561">
        <f t="shared" si="15"/>
        <v>3.1154273638454284</v>
      </c>
      <c r="K870" s="561">
        <f t="shared" si="15"/>
        <v>3.5636056846131479</v>
      </c>
      <c r="L870" s="561">
        <f t="shared" si="15"/>
        <v>3.9980035252908612</v>
      </c>
      <c r="M870" s="561">
        <f t="shared" si="15"/>
        <v>4.4204807283827074</v>
      </c>
    </row>
    <row r="872" spans="5:13" ht="15" customHeight="1">
      <c r="E872" s="71" t="s">
        <v>590</v>
      </c>
      <c r="M872" s="1262" t="s">
        <v>9</v>
      </c>
    </row>
    <row r="873" spans="5:13" ht="15" customHeight="1">
      <c r="E873" s="550" t="s">
        <v>789</v>
      </c>
      <c r="F873" s="551">
        <v>2018</v>
      </c>
      <c r="G873" s="551">
        <v>2020</v>
      </c>
      <c r="H873" s="551">
        <v>2025</v>
      </c>
      <c r="I873" s="551">
        <v>2030</v>
      </c>
      <c r="J873" s="551">
        <v>2035</v>
      </c>
      <c r="K873" s="551">
        <v>2040</v>
      </c>
      <c r="L873" s="551">
        <v>2045</v>
      </c>
      <c r="M873" s="551">
        <v>2050</v>
      </c>
    </row>
    <row r="874" spans="5:13" ht="15" customHeight="1">
      <c r="E874" s="553" t="s">
        <v>795</v>
      </c>
      <c r="F874" s="1230" cm="1">
        <f t="array" ref="F874:M874">_xlfn.ANCHORARRAY(F774)+_xlfn.ANCHORARRAY(F802)+_xlfn.ANCHORARRAY(F829)</f>
        <v>1.0634048394456406</v>
      </c>
      <c r="G874" s="560">
        <v>1.2089386480999607</v>
      </c>
      <c r="H874" s="560">
        <v>1.513628406552459</v>
      </c>
      <c r="I874" s="560">
        <v>1.789478124427849</v>
      </c>
      <c r="J874" s="560">
        <v>2.0337868693249321</v>
      </c>
      <c r="K874" s="560">
        <v>2.2718757465337145</v>
      </c>
      <c r="L874" s="560">
        <v>2.5108098208732788</v>
      </c>
      <c r="M874" s="560">
        <v>2.7519890520698995</v>
      </c>
    </row>
    <row r="875" spans="5:13" ht="15" customHeight="1">
      <c r="E875" s="553" t="s">
        <v>791</v>
      </c>
      <c r="F875" s="560" cm="1">
        <f t="array" ref="F875:M875">_xlfn.ANCHORARRAY(F775)+_xlfn.ANCHORARRAY(F803)+_xlfn.ANCHORARRAY(F830)</f>
        <v>0.18957239748235943</v>
      </c>
      <c r="G875" s="560">
        <v>0.21551660235895262</v>
      </c>
      <c r="H875" s="560">
        <v>0.26983342118053344</v>
      </c>
      <c r="I875" s="560">
        <v>0.3190089472104235</v>
      </c>
      <c r="J875" s="560">
        <v>0.36256168721881954</v>
      </c>
      <c r="K875" s="560">
        <v>0.40500561599563534</v>
      </c>
      <c r="L875" s="560">
        <v>0.44760021744242973</v>
      </c>
      <c r="M875" s="560">
        <v>0.49059506134847242</v>
      </c>
    </row>
    <row r="876" spans="5:13" ht="15" customHeight="1">
      <c r="E876" s="553" t="s">
        <v>792</v>
      </c>
      <c r="F876" s="560" cm="1">
        <f t="array" ref="F876:M876">_xlfn.ANCHORARRAY(F776)+_xlfn.ANCHORARRAY(F804)+_xlfn.ANCHORARRAY(F831)</f>
        <v>4.3181442522420781E-2</v>
      </c>
      <c r="G876" s="560">
        <v>4.9091101346948586E-2</v>
      </c>
      <c r="H876" s="560">
        <v>6.1463570235321931E-2</v>
      </c>
      <c r="I876" s="560">
        <v>7.2664938045037486E-2</v>
      </c>
      <c r="J876" s="560">
        <v>8.2585528618047951E-2</v>
      </c>
      <c r="K876" s="560">
        <v>9.2253550414693436E-2</v>
      </c>
      <c r="L876" s="560">
        <v>0.10195589294223006</v>
      </c>
      <c r="M876" s="560">
        <v>0.11174940405221113</v>
      </c>
    </row>
    <row r="877" spans="5:13" ht="15" customHeight="1">
      <c r="E877" s="553" t="s">
        <v>793</v>
      </c>
      <c r="F877" s="560" cm="1">
        <f t="array" ref="F877:M877">_xlfn.ANCHORARRAY(F777)+_xlfn.ANCHORARRAY(F805)+_xlfn.ANCHORARRAY(F832)</f>
        <v>5.1137070681011733E-2</v>
      </c>
      <c r="G877" s="560">
        <v>5.8135508513504998E-2</v>
      </c>
      <c r="H877" s="560">
        <v>7.2787446454551291E-2</v>
      </c>
      <c r="I877" s="560">
        <v>8.6052522930679207E-2</v>
      </c>
      <c r="J877" s="560">
        <v>9.7800855355331506E-2</v>
      </c>
      <c r="K877" s="560">
        <v>0.10925008643889061</v>
      </c>
      <c r="L877" s="560">
        <v>0.1207399614087788</v>
      </c>
      <c r="M877" s="560">
        <v>0.13233780160567221</v>
      </c>
    </row>
    <row r="878" spans="5:13" ht="15" customHeight="1">
      <c r="E878" s="554" t="s">
        <v>1714</v>
      </c>
      <c r="F878" s="561">
        <f>SUM(F874:F877)</f>
        <v>1.3472957501314324</v>
      </c>
      <c r="G878" s="561">
        <f t="shared" ref="G878:M878" si="16">SUM(G874:G877)</f>
        <v>1.5316818603193667</v>
      </c>
      <c r="H878" s="561">
        <f t="shared" si="16"/>
        <v>1.9177128444228655</v>
      </c>
      <c r="I878" s="561">
        <f t="shared" si="16"/>
        <v>2.2672045326139894</v>
      </c>
      <c r="J878" s="561">
        <f t="shared" si="16"/>
        <v>2.5767349405171309</v>
      </c>
      <c r="K878" s="561">
        <f t="shared" si="16"/>
        <v>2.8783849993829338</v>
      </c>
      <c r="L878" s="561">
        <f t="shared" si="16"/>
        <v>3.1811058926667175</v>
      </c>
      <c r="M878" s="561">
        <f t="shared" si="16"/>
        <v>3.4866713190762555</v>
      </c>
    </row>
    <row r="880" spans="5:13" ht="15" customHeight="1">
      <c r="E880" s="71" t="s">
        <v>498</v>
      </c>
      <c r="M880" s="1262" t="s">
        <v>9</v>
      </c>
    </row>
    <row r="881" spans="4:13" ht="15" customHeight="1">
      <c r="E881" s="550" t="s">
        <v>789</v>
      </c>
      <c r="F881" s="551">
        <v>2018</v>
      </c>
      <c r="G881" s="551">
        <v>2020</v>
      </c>
      <c r="H881" s="551">
        <v>2025</v>
      </c>
      <c r="I881" s="551">
        <v>2030</v>
      </c>
      <c r="J881" s="551">
        <v>2035</v>
      </c>
      <c r="K881" s="551">
        <v>2040</v>
      </c>
      <c r="L881" s="551">
        <v>2045</v>
      </c>
      <c r="M881" s="551">
        <v>2050</v>
      </c>
    </row>
    <row r="882" spans="4:13" ht="15" customHeight="1">
      <c r="E882" s="553" t="s">
        <v>795</v>
      </c>
      <c r="F882" s="1230" cm="1">
        <f t="array" ref="F882:M882">_xlfn.ANCHORARRAY(F782)+_xlfn.ANCHORARRAY(F810)</f>
        <v>0.37573708249999993</v>
      </c>
      <c r="G882" s="560">
        <v>0.42715912483092788</v>
      </c>
      <c r="H882" s="560">
        <v>0.53481637507275726</v>
      </c>
      <c r="I882" s="560">
        <v>0.63228345849977907</v>
      </c>
      <c r="J882" s="560">
        <v>0.71860604387067162</v>
      </c>
      <c r="K882" s="560">
        <v>0.80273093852957123</v>
      </c>
      <c r="L882" s="560">
        <v>0.8871544700690619</v>
      </c>
      <c r="M882" s="560">
        <v>0.97237129185506388</v>
      </c>
    </row>
    <row r="883" spans="4:13" ht="15" customHeight="1">
      <c r="E883" s="553" t="s">
        <v>791</v>
      </c>
      <c r="F883" s="1230" cm="1">
        <f t="array" ref="F883:M883">_xlfn.ANCHORARRAY(F783)+_xlfn.ANCHORARRAY(F811)</f>
        <v>8.6915410069607957E-2</v>
      </c>
      <c r="G883" s="560">
        <v>9.8810344330746119E-2</v>
      </c>
      <c r="H883" s="560">
        <v>0.12371359313833483</v>
      </c>
      <c r="I883" s="560">
        <v>0.14625965504945401</v>
      </c>
      <c r="J883" s="560">
        <v>0.16622777439466099</v>
      </c>
      <c r="K883" s="560">
        <v>0.18568752446162662</v>
      </c>
      <c r="L883" s="560">
        <v>0.20521635513880446</v>
      </c>
      <c r="M883" s="560">
        <v>0.22492868952187425</v>
      </c>
    </row>
    <row r="884" spans="4:13" ht="15" customHeight="1">
      <c r="E884" s="553" t="s">
        <v>792</v>
      </c>
      <c r="F884" s="1230" cm="1">
        <f t="array" ref="F884:M884">_xlfn.ANCHORARRAY(F784)+_xlfn.ANCHORARRAY(F812)</f>
        <v>2.7696026960000002E-2</v>
      </c>
      <c r="G884" s="560">
        <v>3.1486406821523628E-2</v>
      </c>
      <c r="H884" s="560">
        <v>3.9421950700499614E-2</v>
      </c>
      <c r="I884" s="560">
        <v>4.6606365271311546E-2</v>
      </c>
      <c r="J884" s="560">
        <v>5.29693056438236E-2</v>
      </c>
      <c r="K884" s="560">
        <v>5.9170251621733699E-2</v>
      </c>
      <c r="L884" s="560">
        <v>6.5393210479078145E-2</v>
      </c>
      <c r="M884" s="560">
        <v>7.1674643703414295E-2</v>
      </c>
    </row>
    <row r="885" spans="4:13" ht="15" customHeight="1">
      <c r="E885" s="553" t="s">
        <v>793</v>
      </c>
      <c r="F885" s="1230" cm="1">
        <f t="array" ref="F885:M885">_xlfn.ANCHORARRAY(F785)+_xlfn.ANCHORARRAY(F813)</f>
        <v>3.2798665479999996E-2</v>
      </c>
      <c r="G885" s="560">
        <v>3.7287374322600077E-2</v>
      </c>
      <c r="H885" s="560">
        <v>4.6684940604012841E-2</v>
      </c>
      <c r="I885" s="560">
        <v>5.5192991615012378E-2</v>
      </c>
      <c r="J885" s="560">
        <v>6.2728222319713048E-2</v>
      </c>
      <c r="K885" s="560">
        <v>7.0071613235773322E-2</v>
      </c>
      <c r="L885" s="560">
        <v>7.7441072622587981E-2</v>
      </c>
      <c r="M885" s="560">
        <v>8.4879779530171062E-2</v>
      </c>
    </row>
    <row r="886" spans="4:13" ht="15" customHeight="1">
      <c r="E886" s="554" t="s">
        <v>1714</v>
      </c>
      <c r="F886" s="561">
        <f>SUM(F882:F885)</f>
        <v>0.52314718500960788</v>
      </c>
      <c r="G886" s="561">
        <f t="shared" ref="G886:M886" si="17">SUM(G882:G885)</f>
        <v>0.59474325030579767</v>
      </c>
      <c r="H886" s="561">
        <f t="shared" si="17"/>
        <v>0.74463685951560454</v>
      </c>
      <c r="I886" s="561">
        <f t="shared" si="17"/>
        <v>0.88034247043555702</v>
      </c>
      <c r="J886" s="561">
        <f t="shared" si="17"/>
        <v>1.0005313462288692</v>
      </c>
      <c r="K886" s="561">
        <f t="shared" si="17"/>
        <v>1.1176603278487047</v>
      </c>
      <c r="L886" s="561">
        <f t="shared" si="17"/>
        <v>1.2352051083095326</v>
      </c>
      <c r="M886" s="561">
        <f t="shared" si="17"/>
        <v>1.3538544046105234</v>
      </c>
    </row>
    <row r="889" spans="4:13" ht="15" customHeight="1">
      <c r="D889" s="71">
        <v>3</v>
      </c>
      <c r="E889" s="71" t="s">
        <v>2185</v>
      </c>
    </row>
    <row r="891" spans="4:13" ht="15" customHeight="1">
      <c r="M891" s="556" t="s">
        <v>9</v>
      </c>
    </row>
    <row r="892" spans="4:13" ht="15" customHeight="1">
      <c r="E892" s="551"/>
      <c r="F892" s="551">
        <v>2018</v>
      </c>
      <c r="G892" s="551">
        <v>2020</v>
      </c>
      <c r="H892" s="551">
        <v>2025</v>
      </c>
      <c r="I892" s="551">
        <v>2030</v>
      </c>
      <c r="J892" s="551">
        <v>2035</v>
      </c>
      <c r="K892" s="551">
        <v>2040</v>
      </c>
      <c r="L892" s="551">
        <v>2045</v>
      </c>
      <c r="M892" s="551">
        <v>2050</v>
      </c>
    </row>
    <row r="893" spans="4:13" ht="15" customHeight="1">
      <c r="E893" s="557" t="s">
        <v>1148</v>
      </c>
      <c r="F893" s="1577" cm="1">
        <f t="array" ref="F893:M893">INDEX(ST_POTENCIA_INSTALADA_AUTOGENERACION_SOLAR_FOTOVOLTAICA,0)*SF_HORAS_UTILES_SOLAR_FOTOVOLTAICA</f>
        <v>0</v>
      </c>
      <c r="G893" s="1577">
        <v>4.619112157401981E-6</v>
      </c>
      <c r="H893" s="1577">
        <v>2.0272917560842541E-5</v>
      </c>
      <c r="I893" s="1577">
        <v>4.1380482384673446E-5</v>
      </c>
      <c r="J893" s="1577">
        <v>6.7733993310052588E-5</v>
      </c>
      <c r="K893" s="1577">
        <v>1.0075764518072839E-4</v>
      </c>
      <c r="L893" s="1577">
        <v>1.3956277798552673E-4</v>
      </c>
      <c r="M893" s="1577">
        <v>1.8297733039349229E-2</v>
      </c>
    </row>
    <row r="896" spans="4:13" ht="15" customHeight="1">
      <c r="D896" s="71">
        <v>4</v>
      </c>
      <c r="E896" s="71" t="s">
        <v>2186</v>
      </c>
    </row>
    <row r="897" spans="5:13" ht="15" customHeight="1">
      <c r="M897" s="71"/>
    </row>
    <row r="898" spans="5:13" ht="15" customHeight="1">
      <c r="E898" s="1118" t="s">
        <v>2187</v>
      </c>
      <c r="F898" s="959"/>
      <c r="G898" s="1119"/>
      <c r="H898" s="959"/>
      <c r="I898" s="959"/>
      <c r="J898" s="959"/>
      <c r="K898" s="959"/>
      <c r="L898" s="959"/>
      <c r="M898" s="554" t="s">
        <v>1716</v>
      </c>
    </row>
    <row r="899" spans="5:13" ht="15" customHeight="1">
      <c r="E899" s="1121" t="s">
        <v>520</v>
      </c>
      <c r="F899" s="551">
        <v>2018</v>
      </c>
      <c r="G899" s="1251">
        <v>2020</v>
      </c>
      <c r="H899" s="551">
        <v>2025</v>
      </c>
      <c r="I899" s="551">
        <v>2030</v>
      </c>
      <c r="J899" s="551">
        <v>2035</v>
      </c>
      <c r="K899" s="551">
        <v>2040</v>
      </c>
      <c r="L899" s="551">
        <v>2045</v>
      </c>
      <c r="M899" s="551">
        <v>2050</v>
      </c>
    </row>
    <row r="900" spans="5:13" ht="15" customHeight="1">
      <c r="E900" s="72" t="s">
        <v>590</v>
      </c>
      <c r="F900" s="1314" cm="1">
        <f t="array" ref="F900:M900">F878:M878*FE_EDIFICACIONES_RESIDENCIAL_GAS_NATURAL_CO2*UNIDAD_TWH_A_TJ*UNIDAD_KG_A_MT</f>
        <v>0.26937938472869571</v>
      </c>
      <c r="G900" s="1312">
        <v>0.30624569037101501</v>
      </c>
      <c r="H900" s="1312">
        <v>0.38342903261333194</v>
      </c>
      <c r="I900" s="1312">
        <v>0.45330667894564902</v>
      </c>
      <c r="J900" s="1312">
        <v>0.51519443508800788</v>
      </c>
      <c r="K900" s="1312">
        <v>0.57550658797108334</v>
      </c>
      <c r="L900" s="1312">
        <v>0.63603284434007412</v>
      </c>
      <c r="M900" s="1312">
        <v>0.69712783892647656</v>
      </c>
    </row>
    <row r="901" spans="5:13" ht="15" customHeight="1">
      <c r="E901" s="558" t="s">
        <v>498</v>
      </c>
      <c r="F901" s="1313" cm="1">
        <f t="array" ref="F901:M901">F886:M886*FE_EDIFICACIONES_RESIDENCIAL_GLP_CO2*UNIDAD_TWH_A_TJ*UNIDAD_KG_A_MT</f>
        <v>0.12653174304911774</v>
      </c>
      <c r="G901" s="1313">
        <v>0.14384842790754618</v>
      </c>
      <c r="H901" s="1313">
        <v>0.18010266034672451</v>
      </c>
      <c r="I901" s="1313">
        <v>0.21292529226231369</v>
      </c>
      <c r="J901" s="1313">
        <v>0.24199494681653325</v>
      </c>
      <c r="K901" s="1313">
        <v>0.27032451568471644</v>
      </c>
      <c r="L901" s="1313">
        <v>0.2987546523350002</v>
      </c>
      <c r="M901" s="1313">
        <v>0.32745193429063169</v>
      </c>
    </row>
    <row r="902" spans="5:13" ht="15" customHeight="1">
      <c r="F902" s="1252"/>
      <c r="G902" s="1252"/>
      <c r="H902" s="1252"/>
      <c r="I902" s="1252"/>
      <c r="J902" s="1252"/>
      <c r="K902" s="1252"/>
      <c r="L902" s="1252"/>
      <c r="M902" s="1252"/>
    </row>
    <row r="903" spans="5:13" ht="15" customHeight="1">
      <c r="E903" s="1118" t="s">
        <v>695</v>
      </c>
      <c r="F903" s="959"/>
      <c r="G903" s="1119"/>
      <c r="H903" s="959"/>
      <c r="I903" s="959"/>
      <c r="J903" s="959"/>
      <c r="K903" s="959"/>
      <c r="L903" s="959"/>
      <c r="M903" s="554" t="s">
        <v>1705</v>
      </c>
    </row>
    <row r="904" spans="5:13" ht="15" customHeight="1">
      <c r="E904" s="1121" t="s">
        <v>520</v>
      </c>
      <c r="F904" s="551">
        <v>2018</v>
      </c>
      <c r="G904" s="1251">
        <v>2020</v>
      </c>
      <c r="H904" s="551">
        <v>2025</v>
      </c>
      <c r="I904" s="551">
        <v>2030</v>
      </c>
      <c r="J904" s="551">
        <v>2035</v>
      </c>
      <c r="K904" s="551">
        <v>2040</v>
      </c>
      <c r="L904" s="551">
        <v>2045</v>
      </c>
      <c r="M904" s="551">
        <v>2050</v>
      </c>
    </row>
    <row r="905" spans="5:13" ht="15" customHeight="1">
      <c r="E905" s="72" t="s">
        <v>590</v>
      </c>
      <c r="F905" s="1254" cm="1">
        <f t="array" ref="F905:M905">F878:M878*FE_EDIFICACIONES_RESIDENCIAL_GAS_NATURAL_CH4*UNIDAD_TWH_A_TJ*UNIDAD_KG_A_MT</f>
        <v>2.4251323502365784E-5</v>
      </c>
      <c r="G905" s="1254">
        <v>2.75702734857486E-5</v>
      </c>
      <c r="H905" s="1254">
        <v>3.4518831199611578E-5</v>
      </c>
      <c r="I905" s="1254">
        <v>4.0809681587051815E-5</v>
      </c>
      <c r="J905" s="1254">
        <v>4.638122892930836E-5</v>
      </c>
      <c r="K905" s="1254">
        <v>5.1810929988892807E-5</v>
      </c>
      <c r="L905" s="1254">
        <v>5.7259906068000916E-5</v>
      </c>
      <c r="M905" s="1254">
        <v>6.2760083743372604E-5</v>
      </c>
    </row>
    <row r="906" spans="5:13" ht="15" customHeight="1">
      <c r="E906" s="558" t="s">
        <v>498</v>
      </c>
      <c r="F906" s="1255" cm="1">
        <f t="array" ref="F906:M906">F886:M886*FE_EDIFICACIONES_RESIDENCIAL_GLP_CH4*UNIDAD_TWH_A_TJ*UNIDAD_KG_A_MT</f>
        <v>9.4166493301729427E-6</v>
      </c>
      <c r="G906" s="1255">
        <v>1.0705378505504358E-5</v>
      </c>
      <c r="H906" s="1255">
        <v>1.340346347128088E-5</v>
      </c>
      <c r="I906" s="1255">
        <v>1.584616446784003E-5</v>
      </c>
      <c r="J906" s="1255">
        <v>1.8009564232119648E-5</v>
      </c>
      <c r="K906" s="1255">
        <v>2.0117885901276685E-5</v>
      </c>
      <c r="L906" s="1255">
        <v>2.2233691949571587E-5</v>
      </c>
      <c r="M906" s="1255">
        <v>2.4369379282989422E-5</v>
      </c>
    </row>
    <row r="907" spans="5:13" ht="15" customHeight="1">
      <c r="F907" s="1252"/>
      <c r="G907" s="1252"/>
      <c r="H907" s="1252"/>
      <c r="I907" s="1252"/>
      <c r="J907" s="1252"/>
      <c r="K907" s="1252"/>
      <c r="L907" s="1252"/>
      <c r="M907" s="1252"/>
    </row>
    <row r="908" spans="5:13" ht="15" customHeight="1">
      <c r="E908" s="1118" t="s">
        <v>2188</v>
      </c>
      <c r="F908" s="959"/>
      <c r="G908" s="1119"/>
      <c r="H908" s="959"/>
      <c r="I908" s="959"/>
      <c r="J908" s="959"/>
      <c r="K908" s="959"/>
      <c r="L908" s="959"/>
      <c r="M908" s="554" t="s">
        <v>1706</v>
      </c>
    </row>
    <row r="909" spans="5:13" ht="15" customHeight="1">
      <c r="E909" s="1121" t="s">
        <v>520</v>
      </c>
      <c r="F909" s="551">
        <v>2018</v>
      </c>
      <c r="G909" s="1251">
        <v>2020</v>
      </c>
      <c r="H909" s="551">
        <v>2025</v>
      </c>
      <c r="I909" s="551">
        <v>2030</v>
      </c>
      <c r="J909" s="551">
        <v>2035</v>
      </c>
      <c r="K909" s="551">
        <v>2040</v>
      </c>
      <c r="L909" s="551">
        <v>2045</v>
      </c>
      <c r="M909" s="551">
        <v>2050</v>
      </c>
    </row>
    <row r="910" spans="5:13" ht="15" customHeight="1">
      <c r="E910" s="72" t="s">
        <v>590</v>
      </c>
      <c r="F910" s="1254" cm="1">
        <f t="array" ref="F910:M910">F878:M878*FE_EDIFICACIONES_RESIDENCIAL_GAS_NATURAL_N2O*UNIDAD_TWH_A_TJ*UNIDAD_KG_A_MT</f>
        <v>4.8502647004731579E-7</v>
      </c>
      <c r="G910" s="1254">
        <v>5.5140546971497221E-7</v>
      </c>
      <c r="H910" s="1254">
        <v>6.9037662399223154E-7</v>
      </c>
      <c r="I910" s="1254">
        <v>8.161936317410363E-7</v>
      </c>
      <c r="J910" s="1254">
        <v>9.2762457858616716E-7</v>
      </c>
      <c r="K910" s="1254">
        <v>1.0362185997778563E-6</v>
      </c>
      <c r="L910" s="1254">
        <v>1.1451981213600184E-6</v>
      </c>
      <c r="M910" s="1254">
        <v>1.2552016748674522E-6</v>
      </c>
    </row>
    <row r="911" spans="5:13" ht="15" customHeight="1">
      <c r="E911" s="558" t="s">
        <v>498</v>
      </c>
      <c r="F911" s="1255" cm="1">
        <f t="array" ref="F911:M911">F886:M886*FE_EDIFICACIONES_RESIDENCIAL_GLP_N2O*UNIDAD_TWH_A_TJ*UNIDAD_KG_A_MT</f>
        <v>1.8833298660345885E-7</v>
      </c>
      <c r="G911" s="1255">
        <v>2.1410757011008721E-7</v>
      </c>
      <c r="H911" s="1255">
        <v>2.6806926942561763E-7</v>
      </c>
      <c r="I911" s="1255">
        <v>3.1692328935680059E-7</v>
      </c>
      <c r="J911" s="1255">
        <v>3.6019128464239296E-7</v>
      </c>
      <c r="K911" s="1255">
        <v>4.0235771802553375E-7</v>
      </c>
      <c r="L911" s="1255">
        <v>4.4467383899143176E-7</v>
      </c>
      <c r="M911" s="1255">
        <v>4.8738758565978853E-7</v>
      </c>
    </row>
    <row r="912" spans="5:13" ht="15" customHeight="1">
      <c r="F912" s="1252"/>
      <c r="G912" s="1252"/>
      <c r="H912" s="1252"/>
      <c r="I912" s="1252"/>
      <c r="J912" s="1252"/>
      <c r="K912" s="1252"/>
      <c r="L912" s="1252"/>
      <c r="M912" s="1252"/>
    </row>
    <row r="913" spans="5:13" ht="15" customHeight="1">
      <c r="E913" s="1257" t="s">
        <v>1988</v>
      </c>
      <c r="F913" s="959"/>
      <c r="G913" s="554"/>
      <c r="H913" s="959"/>
      <c r="I913" s="959"/>
      <c r="J913" s="959"/>
      <c r="K913" s="959"/>
      <c r="L913" s="959"/>
      <c r="M913" s="554" t="s">
        <v>29</v>
      </c>
    </row>
    <row r="914" spans="5:13" ht="15" customHeight="1">
      <c r="E914" s="1258" t="s">
        <v>520</v>
      </c>
      <c r="F914" s="551">
        <v>2018</v>
      </c>
      <c r="G914" s="551">
        <v>2020</v>
      </c>
      <c r="H914" s="551">
        <v>2025</v>
      </c>
      <c r="I914" s="551">
        <v>2030</v>
      </c>
      <c r="J914" s="551">
        <v>2035</v>
      </c>
      <c r="K914" s="551">
        <v>2040</v>
      </c>
      <c r="L914" s="551">
        <v>2045</v>
      </c>
      <c r="M914" s="551">
        <v>2050</v>
      </c>
    </row>
    <row r="915" spans="5:13" ht="15" customHeight="1">
      <c r="E915" s="2" t="s">
        <v>590</v>
      </c>
      <c r="F915" s="1256" cm="1">
        <f t="array" ref="F915:M915">_xlfn.ANCHORARRAY(F900)*PCG_CO2+_xlfn.ANCHORARRAY(F905)*PCG_CH4+_xlfn.ANCHORARRAY(F910)*PCG_N2O</f>
        <v>0.27018695380132451</v>
      </c>
      <c r="G915" s="1256">
        <v>0.30716378047809045</v>
      </c>
      <c r="H915" s="1256">
        <v>0.38457850969227902</v>
      </c>
      <c r="I915" s="1256">
        <v>0.45466564134249782</v>
      </c>
      <c r="J915" s="1256">
        <v>0.51673893001135385</v>
      </c>
      <c r="K915" s="1256">
        <v>0.57723189193971347</v>
      </c>
      <c r="L915" s="1256">
        <v>0.63793959921213861</v>
      </c>
      <c r="M915" s="1256">
        <v>0.69921774971513084</v>
      </c>
    </row>
    <row r="916" spans="5:13" ht="15" customHeight="1">
      <c r="E916" s="1080" t="s">
        <v>498</v>
      </c>
      <c r="F916" s="1259" cm="1">
        <f t="array" ref="F916:M916">F901:M901*PCG_CO2+F906:M906*PCG_CH4+F911:M911*PCG_N2O</f>
        <v>0.12684531747181249</v>
      </c>
      <c r="G916" s="1259">
        <v>0.14420491701177948</v>
      </c>
      <c r="H916" s="1259">
        <v>0.18054899568031818</v>
      </c>
      <c r="I916" s="1259">
        <v>0.21345296953909276</v>
      </c>
      <c r="J916" s="1259">
        <v>0.24259466530546284</v>
      </c>
      <c r="K916" s="1259">
        <v>0.27099444128522898</v>
      </c>
      <c r="L916" s="1259">
        <v>0.29949503427692092</v>
      </c>
      <c r="M916" s="1259">
        <v>0.32826343462075525</v>
      </c>
    </row>
  </sheetData>
  <sheetProtection algorithmName="SHA-512" hashValue="1lMCrmHTvziweCl+n/5fWGZrZ6kdU38NLERgdU4Dm48URD53R8bA8g/RuFDqnvgAHPkwSEwyWxu38Wo/JaPCJw==" saltValue="kPFUQdaPjf6pp9rPlnoiSQ==" spinCount="100000" sheet="1" objects="1" scenarios="1"/>
  <mergeCells count="6">
    <mergeCell ref="M7:M8"/>
    <mergeCell ref="E9:E10"/>
    <mergeCell ref="M11:M12"/>
    <mergeCell ref="E11:H12"/>
    <mergeCell ref="M9:M10"/>
    <mergeCell ref="E7:G8"/>
  </mergeCells>
  <dataValidations count="1">
    <dataValidation type="whole" allowBlank="1" showErrorMessage="1" errorTitle="ERROR" error="El valor de trayectoria introducido no es valido. Las trayectorias estan comprendidas entre los valores 1 y 4." sqref="M7 M13 M9 M11" xr:uid="{74910744-71B2-45D8-860F-4CAAC6F78D06}">
      <formula1>1</formula1>
      <formula2>4</formula2>
    </dataValidation>
  </dataValidations>
  <pageMargins left="0.7" right="0.7" top="0.75" bottom="0.75" header="0.3" footer="0.3"/>
  <pageSetup paperSize="9" orientation="portrait" r:id="rId1"/>
  <customProperties>
    <customPr name="_pios_id" r:id="rId2"/>
  </customProperties>
  <ignoredErrors>
    <ignoredError sqref="F22:M25 F30:G30" unlockedFormula="1"/>
  </ignoredErrors>
  <drawing r:id="rId3"/>
  <legacyDrawing r:id="rId4"/>
  <mc:AlternateContent xmlns:mc="http://schemas.openxmlformats.org/markup-compatibility/2006">
    <mc:Choice Requires="x14">
      <controls>
        <mc:AlternateContent xmlns:mc="http://schemas.openxmlformats.org/markup-compatibility/2006">
          <mc:Choice Requires="x14">
            <control shapeId="36869" r:id="rId5" name="Spinner 5">
              <controlPr defaultSize="0" autoPict="0">
                <anchor moveWithCells="1" sizeWithCells="1">
                  <from>
                    <xdr:col>13</xdr:col>
                    <xdr:colOff>9525</xdr:colOff>
                    <xdr:row>6</xdr:row>
                    <xdr:rowOff>47625</xdr:rowOff>
                  </from>
                  <to>
                    <xdr:col>13</xdr:col>
                    <xdr:colOff>200025</xdr:colOff>
                    <xdr:row>7</xdr:row>
                    <xdr:rowOff>152400</xdr:rowOff>
                  </to>
                </anchor>
              </controlPr>
            </control>
          </mc:Choice>
        </mc:AlternateContent>
        <mc:AlternateContent xmlns:mc="http://schemas.openxmlformats.org/markup-compatibility/2006">
          <mc:Choice Requires="x14">
            <control shapeId="36870" r:id="rId6" name="Spinner 6">
              <controlPr defaultSize="0" autoPict="0">
                <anchor moveWithCells="1" sizeWithCells="1">
                  <from>
                    <xdr:col>13</xdr:col>
                    <xdr:colOff>9525</xdr:colOff>
                    <xdr:row>8</xdr:row>
                    <xdr:rowOff>66675</xdr:rowOff>
                  </from>
                  <to>
                    <xdr:col>13</xdr:col>
                    <xdr:colOff>200025</xdr:colOff>
                    <xdr:row>9</xdr:row>
                    <xdr:rowOff>171450</xdr:rowOff>
                  </to>
                </anchor>
              </controlPr>
            </control>
          </mc:Choice>
        </mc:AlternateContent>
        <mc:AlternateContent xmlns:mc="http://schemas.openxmlformats.org/markup-compatibility/2006">
          <mc:Choice Requires="x14">
            <control shapeId="36872" r:id="rId7" name="Spinner 8">
              <controlPr defaultSize="0" autoPict="0">
                <anchor moveWithCells="1" sizeWithCells="1">
                  <from>
                    <xdr:col>13</xdr:col>
                    <xdr:colOff>9525</xdr:colOff>
                    <xdr:row>10</xdr:row>
                    <xdr:rowOff>85725</xdr:rowOff>
                  </from>
                  <to>
                    <xdr:col>13</xdr:col>
                    <xdr:colOff>200025</xdr:colOff>
                    <xdr:row>12</xdr:row>
                    <xdr:rowOff>0</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7A1CA-88A8-481D-8EB1-7734AE5D2A23}">
  <sheetPr codeName="Hoja14"/>
  <dimension ref="A4:Q143"/>
  <sheetViews>
    <sheetView zoomScale="80" zoomScaleNormal="80" workbookViewId="0">
      <selection activeCell="I25" sqref="I25"/>
    </sheetView>
  </sheetViews>
  <sheetFormatPr baseColWidth="10" defaultColWidth="11.5703125" defaultRowHeight="15" customHeight="1"/>
  <cols>
    <col min="1" max="1" width="20.7109375" style="663" customWidth="1"/>
    <col min="2" max="2" width="30.7109375" style="667" customWidth="1"/>
    <col min="3" max="3" width="7.7109375" style="72" customWidth="1"/>
    <col min="4" max="4" width="5.7109375" style="72" customWidth="1"/>
    <col min="5" max="5" width="33.5703125" style="72" customWidth="1"/>
    <col min="6" max="6" width="21.85546875" style="72" bestFit="1" customWidth="1"/>
    <col min="7" max="21" width="11.5703125" style="72"/>
    <col min="22" max="22" width="15.42578125" style="72" bestFit="1" customWidth="1"/>
    <col min="23" max="23" width="11.5703125" style="72"/>
    <col min="24" max="26" width="16.140625" style="72" bestFit="1" customWidth="1"/>
    <col min="27" max="27" width="15.7109375" style="72" bestFit="1" customWidth="1"/>
    <col min="28" max="28" width="16.42578125" style="72" bestFit="1" customWidth="1"/>
    <col min="29" max="29" width="16.140625" style="72" bestFit="1" customWidth="1"/>
    <col min="30" max="31" width="16.85546875" style="72" bestFit="1" customWidth="1"/>
    <col min="32" max="16384" width="11.5703125" style="72"/>
  </cols>
  <sheetData>
    <row r="4" spans="1:17" ht="15" customHeight="1">
      <c r="D4" s="8" t="s">
        <v>1622</v>
      </c>
      <c r="E4" s="73"/>
      <c r="F4" s="73"/>
      <c r="G4" s="73"/>
      <c r="H4" s="73"/>
      <c r="I4" s="73"/>
      <c r="J4" s="73"/>
      <c r="K4" s="73"/>
      <c r="L4" s="73"/>
      <c r="M4" s="73"/>
      <c r="N4" s="73"/>
    </row>
    <row r="5" spans="1:17" ht="15" customHeight="1">
      <c r="A5" s="1559"/>
      <c r="D5" s="74"/>
      <c r="E5" s="74"/>
      <c r="F5" s="74"/>
      <c r="G5" s="74"/>
      <c r="H5" s="74"/>
      <c r="I5" s="74"/>
      <c r="J5" s="74"/>
      <c r="K5" s="74"/>
      <c r="L5" s="74"/>
      <c r="M5" s="74"/>
      <c r="N5" s="74"/>
    </row>
    <row r="6" spans="1:17" ht="15" customHeight="1">
      <c r="D6" s="74"/>
      <c r="E6" s="75" t="s">
        <v>1623</v>
      </c>
      <c r="F6" s="76"/>
      <c r="G6" s="76"/>
      <c r="H6" s="76"/>
      <c r="I6" s="76"/>
      <c r="J6" s="76"/>
      <c r="K6" s="76"/>
      <c r="L6" s="76"/>
      <c r="M6" s="77" t="s">
        <v>879</v>
      </c>
      <c r="N6" s="74"/>
    </row>
    <row r="7" spans="1:17" ht="15" customHeight="1">
      <c r="D7" s="74"/>
      <c r="E7" s="3913" t="s">
        <v>143</v>
      </c>
      <c r="F7" s="3913"/>
      <c r="G7" s="126"/>
      <c r="H7" s="126"/>
      <c r="I7" s="126"/>
      <c r="J7" s="126"/>
      <c r="K7" s="126"/>
      <c r="L7" s="126"/>
      <c r="M7" s="3922">
        <f>TRAYECTORIA_EDIF_RES__RURAL</f>
        <v>1</v>
      </c>
      <c r="N7" s="74"/>
    </row>
    <row r="8" spans="1:17" ht="15" customHeight="1">
      <c r="D8" s="74"/>
      <c r="E8" s="3924"/>
      <c r="F8" s="3924"/>
      <c r="G8" s="1566"/>
      <c r="H8" s="1566"/>
      <c r="I8" s="1566"/>
      <c r="J8" s="1566"/>
      <c r="K8" s="1566"/>
      <c r="L8" s="1566"/>
      <c r="M8" s="3923"/>
      <c r="N8" s="74"/>
    </row>
    <row r="9" spans="1:17" ht="15" customHeight="1">
      <c r="D9" s="74"/>
      <c r="E9" s="74"/>
      <c r="F9" s="74"/>
      <c r="G9" s="74"/>
      <c r="H9" s="74"/>
      <c r="I9" s="74"/>
      <c r="J9" s="74"/>
      <c r="K9" s="74"/>
      <c r="L9" s="74"/>
      <c r="M9" s="74"/>
      <c r="N9" s="74"/>
    </row>
    <row r="11" spans="1:17" ht="15" customHeight="1">
      <c r="D11" s="335" t="s">
        <v>1190</v>
      </c>
      <c r="E11" s="1421"/>
      <c r="F11" s="1421"/>
      <c r="G11" s="1421"/>
      <c r="H11" s="1421"/>
      <c r="I11" s="1421"/>
      <c r="J11" s="1421"/>
      <c r="K11" s="1421"/>
      <c r="L11" s="1421"/>
      <c r="M11" s="1421"/>
      <c r="N11" s="1421"/>
      <c r="O11" s="562"/>
    </row>
    <row r="12" spans="1:17" ht="15" customHeight="1">
      <c r="D12" s="83"/>
      <c r="E12" s="84"/>
      <c r="F12" s="84"/>
      <c r="G12" s="84"/>
      <c r="H12" s="84"/>
      <c r="I12" s="84"/>
      <c r="J12" s="84"/>
      <c r="K12" s="84"/>
      <c r="L12" s="84"/>
      <c r="M12" s="84"/>
      <c r="N12" s="84"/>
      <c r="O12" s="562"/>
      <c r="P12" s="70"/>
      <c r="Q12" s="71"/>
    </row>
    <row r="13" spans="1:17" ht="15" customHeight="1">
      <c r="D13" s="13"/>
      <c r="E13" s="2784" t="s">
        <v>2189</v>
      </c>
      <c r="F13" s="87"/>
      <c r="G13" s="119"/>
      <c r="H13" s="87"/>
      <c r="I13" s="120"/>
      <c r="J13" s="87"/>
      <c r="K13" s="120"/>
      <c r="L13" s="120"/>
      <c r="M13" s="120"/>
      <c r="N13" s="20"/>
      <c r="O13" s="562"/>
      <c r="P13" s="70"/>
      <c r="Q13" s="71"/>
    </row>
    <row r="14" spans="1:17" ht="15" customHeight="1">
      <c r="D14" s="13"/>
      <c r="E14" s="26"/>
      <c r="F14" s="20"/>
      <c r="G14" s="20"/>
      <c r="H14" s="20"/>
      <c r="I14" s="20"/>
      <c r="J14" s="20"/>
      <c r="K14" s="20"/>
      <c r="L14" s="20"/>
      <c r="M14" s="27" t="s">
        <v>9</v>
      </c>
      <c r="N14" s="84"/>
      <c r="O14" s="562"/>
      <c r="P14" s="70"/>
      <c r="Q14" s="71"/>
    </row>
    <row r="15" spans="1:17" ht="15" customHeight="1">
      <c r="D15" s="83"/>
      <c r="E15" s="89" t="s">
        <v>879</v>
      </c>
      <c r="F15" s="972">
        <v>2018</v>
      </c>
      <c r="G15" s="972">
        <v>2020</v>
      </c>
      <c r="H15" s="972">
        <v>2025</v>
      </c>
      <c r="I15" s="972">
        <v>2030</v>
      </c>
      <c r="J15" s="972">
        <v>2035</v>
      </c>
      <c r="K15" s="972">
        <v>2040</v>
      </c>
      <c r="L15" s="972">
        <v>2045</v>
      </c>
      <c r="M15" s="972">
        <v>2050</v>
      </c>
      <c r="N15" s="84"/>
      <c r="O15" s="562"/>
      <c r="P15" s="70"/>
      <c r="Q15" s="71"/>
    </row>
    <row r="16" spans="1:17" ht="15" customHeight="1">
      <c r="D16" s="83"/>
      <c r="E16" s="90">
        <v>1</v>
      </c>
      <c r="F16" s="3093">
        <v>0.15317938127278657</v>
      </c>
      <c r="G16" s="3093">
        <v>0.15891936618036848</v>
      </c>
      <c r="H16" s="3093">
        <v>0.15425965851662016</v>
      </c>
      <c r="I16" s="3093">
        <v>0.14350400130802066</v>
      </c>
      <c r="J16" s="3093">
        <v>0.14847150243856874</v>
      </c>
      <c r="K16" s="3093">
        <v>0.15376686541413287</v>
      </c>
      <c r="L16" s="3093">
        <v>0.15987924262414793</v>
      </c>
      <c r="M16" s="3093">
        <v>0.16690716175763465</v>
      </c>
      <c r="N16" s="84"/>
      <c r="O16" s="562"/>
      <c r="P16" s="70"/>
      <c r="Q16" s="71"/>
    </row>
    <row r="17" spans="4:17" ht="15" customHeight="1">
      <c r="D17" s="83"/>
      <c r="E17" s="90">
        <v>2</v>
      </c>
      <c r="F17" s="3093">
        <v>0.16775623651367974</v>
      </c>
      <c r="G17" s="3093">
        <v>0.18141397097179601</v>
      </c>
      <c r="H17" s="3093">
        <v>0.18270523730864724</v>
      </c>
      <c r="I17" s="3093">
        <v>0.17447480349347114</v>
      </c>
      <c r="J17" s="3093">
        <v>0.18420221990344304</v>
      </c>
      <c r="K17" s="3093">
        <v>0.19095262034106866</v>
      </c>
      <c r="L17" s="3093">
        <v>0.1969061125241392</v>
      </c>
      <c r="M17" s="3093">
        <v>0.1958123073649515</v>
      </c>
      <c r="N17" s="84"/>
      <c r="O17" s="562"/>
      <c r="P17" s="70"/>
      <c r="Q17" s="71"/>
    </row>
    <row r="18" spans="4:17" ht="15" customHeight="1">
      <c r="D18" s="83"/>
      <c r="E18" s="90">
        <v>3</v>
      </c>
      <c r="F18" s="3093">
        <v>0.18233309175457224</v>
      </c>
      <c r="G18" s="3093">
        <v>0.20390857576322405</v>
      </c>
      <c r="H18" s="3093">
        <v>0.21115081610067371</v>
      </c>
      <c r="I18" s="3093">
        <v>0.20544560567892095</v>
      </c>
      <c r="J18" s="3093">
        <v>0.18420221990344304</v>
      </c>
      <c r="K18" s="3093">
        <v>0.2281383752680044</v>
      </c>
      <c r="L18" s="3093">
        <v>0.23393298242413035</v>
      </c>
      <c r="M18" s="3093">
        <v>0.22471745297226831</v>
      </c>
      <c r="N18" s="84"/>
      <c r="O18" s="562"/>
      <c r="P18" s="70"/>
      <c r="Q18" s="71"/>
    </row>
    <row r="19" spans="4:17" ht="15" customHeight="1">
      <c r="D19" s="83"/>
      <c r="E19" s="91">
        <v>4</v>
      </c>
      <c r="F19" s="2908">
        <v>0.19690994699546174</v>
      </c>
      <c r="G19" s="2908">
        <v>0.32667427350302192</v>
      </c>
      <c r="H19" s="2908">
        <v>0.39283943857531967</v>
      </c>
      <c r="I19" s="2908">
        <v>0.42312459470504815</v>
      </c>
      <c r="J19" s="2908">
        <v>0.18420221990344304</v>
      </c>
      <c r="K19" s="2908">
        <v>0.53360918013480851</v>
      </c>
      <c r="L19" s="2908">
        <v>0.54777174654574667</v>
      </c>
      <c r="M19" s="2908">
        <v>0.4819911257563993</v>
      </c>
      <c r="N19" s="84"/>
      <c r="O19" s="562"/>
      <c r="P19" s="70"/>
      <c r="Q19" s="71"/>
    </row>
    <row r="20" spans="4:17" ht="15" customHeight="1">
      <c r="D20" s="83"/>
      <c r="E20" s="84"/>
      <c r="F20" s="3094"/>
      <c r="G20" s="3094"/>
      <c r="H20" s="3094"/>
      <c r="I20" s="3094"/>
      <c r="J20" s="3094"/>
      <c r="K20" s="3094"/>
      <c r="L20" s="3094"/>
      <c r="M20" s="3094"/>
      <c r="N20" s="84"/>
      <c r="O20" s="562"/>
      <c r="P20" s="70"/>
      <c r="Q20" s="71"/>
    </row>
    <row r="21" spans="4:17" ht="15" customHeight="1">
      <c r="D21" s="13"/>
      <c r="E21" s="2784" t="s">
        <v>1268</v>
      </c>
      <c r="F21" s="3095"/>
      <c r="G21" s="3096"/>
      <c r="H21" s="3095"/>
      <c r="I21" s="3097"/>
      <c r="J21" s="3095"/>
      <c r="K21" s="3097"/>
      <c r="L21" s="3097"/>
      <c r="M21" s="3097"/>
      <c r="N21" s="84"/>
      <c r="O21" s="562"/>
      <c r="P21" s="70"/>
      <c r="Q21" s="71"/>
    </row>
    <row r="22" spans="4:17" ht="15" customHeight="1">
      <c r="D22" s="13"/>
      <c r="E22" s="26"/>
      <c r="F22" s="788"/>
      <c r="G22" s="788"/>
      <c r="H22" s="788"/>
      <c r="I22" s="788"/>
      <c r="J22" s="788"/>
      <c r="K22" s="788"/>
      <c r="L22" s="788"/>
      <c r="M22" s="971" t="s">
        <v>9</v>
      </c>
      <c r="N22" s="84"/>
      <c r="O22" s="562"/>
      <c r="P22" s="70"/>
      <c r="Q22" s="71"/>
    </row>
    <row r="23" spans="4:17" ht="15" customHeight="1">
      <c r="D23" s="13"/>
      <c r="E23" s="89" t="s">
        <v>879</v>
      </c>
      <c r="F23" s="972">
        <v>2018</v>
      </c>
      <c r="G23" s="972">
        <v>2020</v>
      </c>
      <c r="H23" s="972">
        <v>2025</v>
      </c>
      <c r="I23" s="972">
        <v>2030</v>
      </c>
      <c r="J23" s="972">
        <v>2035</v>
      </c>
      <c r="K23" s="972">
        <v>2040</v>
      </c>
      <c r="L23" s="972">
        <v>2045</v>
      </c>
      <c r="M23" s="972">
        <v>2050</v>
      </c>
      <c r="N23" s="84"/>
      <c r="O23" s="1652"/>
      <c r="P23" s="70"/>
      <c r="Q23" s="71"/>
    </row>
    <row r="24" spans="4:17" ht="15" customHeight="1">
      <c r="D24" s="83"/>
      <c r="E24" s="90">
        <v>1</v>
      </c>
      <c r="F24" s="3093">
        <v>2.0309698378916816</v>
      </c>
      <c r="G24" s="3093">
        <v>1.7930817851862304</v>
      </c>
      <c r="H24" s="3093">
        <v>1.5052663613852877</v>
      </c>
      <c r="I24" s="3093">
        <v>1.2113348985625563</v>
      </c>
      <c r="J24" s="3093">
        <v>1.0340448093185364</v>
      </c>
      <c r="K24" s="3093">
        <v>0.87214744066421745</v>
      </c>
      <c r="L24" s="3093">
        <v>0.72708444025521057</v>
      </c>
      <c r="M24" s="3093">
        <v>0.59724707586173975</v>
      </c>
      <c r="N24" s="84"/>
      <c r="O24" s="562"/>
      <c r="P24" s="70"/>
      <c r="Q24" s="71"/>
    </row>
    <row r="25" spans="4:17" ht="15" customHeight="1">
      <c r="D25" s="83"/>
      <c r="E25" s="90">
        <v>2</v>
      </c>
      <c r="F25" s="3093">
        <v>2.0210026360142299</v>
      </c>
      <c r="G25" s="3093">
        <v>1.7091384055767271</v>
      </c>
      <c r="H25" s="3093">
        <v>1.3810333118616123</v>
      </c>
      <c r="I25" s="3093">
        <v>1.0624927517312637</v>
      </c>
      <c r="J25" s="3093">
        <v>0.84873572645125339</v>
      </c>
      <c r="K25" s="3093">
        <v>0.66327597082657908</v>
      </c>
      <c r="L25" s="3093">
        <v>0.51249121920192031</v>
      </c>
      <c r="M25" s="3093">
        <v>0.38658142020439618</v>
      </c>
      <c r="N25" s="84"/>
      <c r="O25" s="562"/>
      <c r="P25" s="70"/>
      <c r="Q25" s="71"/>
    </row>
    <row r="26" spans="4:17" ht="15" customHeight="1">
      <c r="D26" s="83"/>
      <c r="E26" s="90">
        <v>3</v>
      </c>
      <c r="F26" s="3093">
        <v>2.0110354341367747</v>
      </c>
      <c r="G26" s="3093">
        <v>1.6251950259672241</v>
      </c>
      <c r="H26" s="3093">
        <v>1.2568002623379362</v>
      </c>
      <c r="I26" s="3093">
        <v>0.9136506048999713</v>
      </c>
      <c r="J26" s="3093">
        <v>0.66342664358396686</v>
      </c>
      <c r="K26" s="3093">
        <v>0.45440450098894447</v>
      </c>
      <c r="L26" s="3093">
        <v>0.2978979981486285</v>
      </c>
      <c r="M26" s="3093">
        <v>0.17591576454705499</v>
      </c>
      <c r="N26" s="84"/>
      <c r="O26" s="562"/>
      <c r="P26" s="70"/>
      <c r="Q26" s="71"/>
    </row>
    <row r="27" spans="4:17" ht="15" customHeight="1">
      <c r="D27" s="83"/>
      <c r="E27" s="91">
        <v>4</v>
      </c>
      <c r="F27" s="2908">
        <v>2.0010682322593225</v>
      </c>
      <c r="G27" s="2908">
        <v>1.5412516463577206</v>
      </c>
      <c r="H27" s="2908">
        <v>1.1325672128142605</v>
      </c>
      <c r="I27" s="2908">
        <v>0.76480845806867881</v>
      </c>
      <c r="J27" s="2908">
        <v>0.47811756071668021</v>
      </c>
      <c r="K27" s="2908">
        <v>0.24553303115130787</v>
      </c>
      <c r="L27" s="2908">
        <v>8.3304777095337249E-2</v>
      </c>
      <c r="M27" s="2908">
        <v>0</v>
      </c>
      <c r="N27" s="84"/>
      <c r="P27" s="70"/>
      <c r="Q27" s="71"/>
    </row>
    <row r="28" spans="4:17" ht="15" customHeight="1">
      <c r="D28" s="83"/>
      <c r="E28" s="84"/>
      <c r="F28" s="732"/>
      <c r="G28" s="732"/>
      <c r="H28" s="732"/>
      <c r="I28" s="732"/>
      <c r="J28" s="732"/>
      <c r="K28" s="732"/>
      <c r="L28" s="732"/>
      <c r="M28" s="732"/>
      <c r="N28" s="84"/>
      <c r="P28" s="70"/>
      <c r="Q28" s="71"/>
    </row>
    <row r="29" spans="4:17" ht="15" customHeight="1">
      <c r="D29" s="83"/>
      <c r="E29" s="35"/>
      <c r="F29" s="735"/>
      <c r="G29" s="735"/>
      <c r="H29" s="733"/>
      <c r="I29" s="734"/>
      <c r="J29" s="734"/>
      <c r="K29" s="734"/>
      <c r="L29" s="734"/>
      <c r="M29" s="734"/>
      <c r="N29" s="36"/>
      <c r="P29" s="70"/>
      <c r="Q29" s="71"/>
    </row>
    <row r="30" spans="4:17" ht="15" customHeight="1">
      <c r="F30" s="747"/>
      <c r="G30" s="747"/>
      <c r="H30" s="747"/>
      <c r="I30" s="747"/>
      <c r="J30" s="747"/>
      <c r="K30" s="747"/>
      <c r="L30" s="747"/>
      <c r="M30" s="747"/>
      <c r="P30" s="70"/>
      <c r="Q30" s="71"/>
    </row>
    <row r="31" spans="4:17" ht="15" customHeight="1">
      <c r="D31" s="956" t="s">
        <v>996</v>
      </c>
      <c r="E31" s="1421"/>
      <c r="F31" s="1422"/>
      <c r="G31" s="1422"/>
      <c r="H31" s="1422"/>
      <c r="I31" s="1422"/>
      <c r="J31" s="1422"/>
      <c r="K31" s="1422"/>
      <c r="L31" s="1422"/>
      <c r="M31" s="1422"/>
      <c r="N31" s="1421"/>
      <c r="P31" s="70"/>
      <c r="Q31" s="71"/>
    </row>
    <row r="32" spans="4:17" ht="15" customHeight="1">
      <c r="D32" s="83"/>
      <c r="E32" s="84"/>
      <c r="F32" s="732"/>
      <c r="G32" s="732"/>
      <c r="H32" s="732"/>
      <c r="I32" s="732"/>
      <c r="J32" s="732"/>
      <c r="K32" s="732"/>
      <c r="L32" s="732"/>
      <c r="M32" s="732"/>
      <c r="N32" s="84"/>
      <c r="P32" s="70"/>
      <c r="Q32" s="71"/>
    </row>
    <row r="33" spans="4:17" ht="15" customHeight="1">
      <c r="D33" s="83"/>
      <c r="E33" s="2784" t="s">
        <v>1269</v>
      </c>
      <c r="F33" s="2785"/>
      <c r="G33" s="2785"/>
      <c r="H33" s="2785"/>
      <c r="I33" s="2785"/>
      <c r="J33" s="2785"/>
      <c r="K33" s="2785"/>
      <c r="L33" s="2785"/>
      <c r="M33" s="2785"/>
      <c r="N33" s="84"/>
      <c r="P33" s="70"/>
      <c r="Q33" s="71"/>
    </row>
    <row r="34" spans="4:17" ht="15" customHeight="1">
      <c r="D34" s="13"/>
      <c r="E34" s="26"/>
      <c r="F34" s="727"/>
      <c r="G34" s="727"/>
      <c r="H34" s="727"/>
      <c r="I34" s="727"/>
      <c r="J34" s="727"/>
      <c r="K34" s="727"/>
      <c r="L34" s="730"/>
      <c r="M34" s="730" t="s">
        <v>9</v>
      </c>
      <c r="N34" s="84"/>
    </row>
    <row r="35" spans="4:17" ht="15" customHeight="1">
      <c r="D35" s="83"/>
      <c r="E35" s="664" t="s">
        <v>765</v>
      </c>
      <c r="F35" s="731">
        <v>2018</v>
      </c>
      <c r="G35" s="731">
        <v>2020</v>
      </c>
      <c r="H35" s="731">
        <v>2025</v>
      </c>
      <c r="I35" s="731">
        <v>2030</v>
      </c>
      <c r="J35" s="731">
        <v>2035</v>
      </c>
      <c r="K35" s="731">
        <v>2040</v>
      </c>
      <c r="L35" s="731">
        <v>2045</v>
      </c>
      <c r="M35" s="731">
        <v>2050</v>
      </c>
      <c r="N35" s="84"/>
    </row>
    <row r="36" spans="4:17" ht="15" customHeight="1">
      <c r="D36" s="83"/>
      <c r="E36" s="665" t="s">
        <v>1269</v>
      </c>
      <c r="F36" s="2720">
        <v>0.2189613931777098</v>
      </c>
      <c r="G36" s="2720">
        <v>0.29523071416922003</v>
      </c>
      <c r="H36" s="2720">
        <v>0.42556214254858321</v>
      </c>
      <c r="I36" s="2720">
        <v>0.56096035222778284</v>
      </c>
      <c r="J36" s="2720">
        <v>0.67661985137631719</v>
      </c>
      <c r="K36" s="2720">
        <v>0.78791488545392085</v>
      </c>
      <c r="L36" s="2720">
        <v>0.89027663984119865</v>
      </c>
      <c r="M36" s="2720">
        <v>0.98129063684713058</v>
      </c>
      <c r="N36" s="84"/>
    </row>
    <row r="37" spans="4:17" ht="15" customHeight="1">
      <c r="D37" s="83"/>
      <c r="E37" s="35"/>
      <c r="F37" s="735"/>
      <c r="G37" s="735"/>
      <c r="H37" s="734"/>
      <c r="I37" s="734"/>
      <c r="J37" s="734"/>
      <c r="K37" s="734"/>
      <c r="L37" s="734"/>
      <c r="M37" s="734"/>
      <c r="N37" s="36"/>
    </row>
    <row r="38" spans="4:17" ht="15" customHeight="1">
      <c r="F38" s="747"/>
      <c r="G38" s="747"/>
      <c r="H38" s="747"/>
      <c r="I38" s="747"/>
      <c r="J38" s="747"/>
      <c r="K38" s="747"/>
      <c r="L38" s="747"/>
      <c r="M38" s="747"/>
    </row>
    <row r="39" spans="4:17" ht="15" customHeight="1">
      <c r="D39" s="956" t="s">
        <v>51</v>
      </c>
      <c r="E39" s="1421"/>
      <c r="F39" s="1421"/>
      <c r="G39" s="1421"/>
      <c r="H39" s="1421"/>
      <c r="I39" s="1421"/>
      <c r="J39" s="1421"/>
      <c r="K39" s="1421"/>
      <c r="L39" s="1421"/>
      <c r="M39" s="1421"/>
      <c r="N39" s="1421"/>
    </row>
    <row r="40" spans="4:17" ht="15" customHeight="1">
      <c r="D40" s="83"/>
      <c r="E40" s="19"/>
      <c r="F40" s="84"/>
      <c r="G40" s="84"/>
      <c r="H40" s="84"/>
      <c r="I40" s="84"/>
      <c r="J40" s="84"/>
      <c r="K40" s="84"/>
      <c r="L40" s="84"/>
      <c r="M40" s="84"/>
      <c r="N40" s="84"/>
    </row>
    <row r="41" spans="4:17" ht="15" customHeight="1">
      <c r="D41" s="83"/>
      <c r="E41" s="2888" t="s">
        <v>2190</v>
      </c>
      <c r="F41" s="2888"/>
      <c r="G41" s="2888"/>
      <c r="H41" s="2888"/>
      <c r="I41" s="2888"/>
      <c r="J41" s="2888"/>
      <c r="K41" s="2888"/>
      <c r="L41" s="2888"/>
      <c r="M41" s="2888"/>
      <c r="N41" s="84"/>
    </row>
    <row r="42" spans="4:17" ht="15" customHeight="1">
      <c r="D42" s="83"/>
      <c r="E42" s="19"/>
      <c r="F42" s="19"/>
      <c r="G42" s="19"/>
      <c r="H42" s="19"/>
      <c r="I42" s="19"/>
      <c r="J42" s="19"/>
      <c r="K42" s="19"/>
      <c r="L42" s="19"/>
      <c r="M42" s="19"/>
      <c r="N42" s="84"/>
    </row>
    <row r="43" spans="4:17" ht="15" customHeight="1" thickBot="1">
      <c r="D43" s="83"/>
      <c r="E43" s="2889" t="s">
        <v>879</v>
      </c>
      <c r="F43" s="2890">
        <v>2018</v>
      </c>
      <c r="G43" s="2890">
        <v>2020</v>
      </c>
      <c r="H43" s="2890">
        <v>2025</v>
      </c>
      <c r="I43" s="2890">
        <v>2030</v>
      </c>
      <c r="J43" s="2890">
        <v>2035</v>
      </c>
      <c r="K43" s="2890">
        <v>2040</v>
      </c>
      <c r="L43" s="2890">
        <v>2045</v>
      </c>
      <c r="M43" s="2890">
        <v>2050</v>
      </c>
      <c r="N43" s="84"/>
    </row>
    <row r="44" spans="4:17" ht="15" customHeight="1">
      <c r="D44" s="83"/>
      <c r="E44" s="117">
        <v>1</v>
      </c>
      <c r="F44" s="2891">
        <f>F16/DGEN_SupuestosCostos!$F$198</f>
        <v>9741.083060854613</v>
      </c>
      <c r="G44" s="2891">
        <f>G16/DGEN_SupuestosCostos!$F$198</f>
        <v>10106.103922593402</v>
      </c>
      <c r="H44" s="2891">
        <f>H16/DGEN_SupuestosCostos!$F$198</f>
        <v>9809.7807555018717</v>
      </c>
      <c r="I44" s="2891">
        <f>I16/DGEN_SupuestosCostos!$F$198</f>
        <v>9125.7999914298034</v>
      </c>
      <c r="J44" s="2891">
        <f>J16/DGEN_SupuestosCostos!$F$198</f>
        <v>9441.696561291159</v>
      </c>
      <c r="K44" s="2891">
        <f>K16/DGEN_SupuestosCostos!$F$198</f>
        <v>9778.4427353110459</v>
      </c>
      <c r="L44" s="2891">
        <f>L16/DGEN_SupuestosCostos!$F$198</f>
        <v>10167.145011082735</v>
      </c>
      <c r="M44" s="2891">
        <f>M16/DGEN_SupuestosCostos!$F$198</f>
        <v>10614.069025629762</v>
      </c>
      <c r="N44" s="84"/>
    </row>
    <row r="45" spans="4:17" ht="15" customHeight="1">
      <c r="D45" s="83"/>
      <c r="E45" s="117">
        <v>2</v>
      </c>
      <c r="F45" s="2891">
        <f>F17/DGEN_SupuestosCostos!$F$198</f>
        <v>10668.063940968799</v>
      </c>
      <c r="G45" s="2891">
        <f>G17/DGEN_SupuestosCostos!$F$198</f>
        <v>11536.5954931539</v>
      </c>
      <c r="H45" s="2891">
        <f>H17/DGEN_SupuestosCostos!$F$198</f>
        <v>11618.710543733412</v>
      </c>
      <c r="I45" s="2891">
        <f>I17/DGEN_SupuestosCostos!$F$198</f>
        <v>11095.315431712939</v>
      </c>
      <c r="J45" s="2891">
        <f>J17/DGEN_SupuestosCostos!$F$198</f>
        <v>11713.907636680218</v>
      </c>
      <c r="K45" s="2891">
        <f>K17/DGEN_SupuestosCostos!$F$198</f>
        <v>12143.183501424963</v>
      </c>
      <c r="L45" s="2891">
        <f>L17/DGEN_SupuestosCostos!$F$198</f>
        <v>12521.78185699713</v>
      </c>
      <c r="M45" s="2891">
        <f>M17/DGEN_SupuestosCostos!$F$198</f>
        <v>12452.223886338767</v>
      </c>
      <c r="N45" s="84"/>
    </row>
    <row r="46" spans="4:17" ht="15" customHeight="1">
      <c r="D46" s="83"/>
      <c r="E46" s="117">
        <v>3</v>
      </c>
      <c r="F46" s="2891">
        <f>F18/DGEN_SupuestosCostos!$F$198</f>
        <v>11595.044821082944</v>
      </c>
      <c r="G46" s="2891">
        <f>G18/DGEN_SupuestosCostos!$F$198</f>
        <v>12967.087063714431</v>
      </c>
      <c r="H46" s="2891">
        <f>H18/DGEN_SupuestosCostos!$F$198</f>
        <v>13427.640331964914</v>
      </c>
      <c r="I46" s="2891">
        <f>I18/DGEN_SupuestosCostos!$F$198</f>
        <v>13064.830871996033</v>
      </c>
      <c r="J46" s="2891">
        <f>J18/DGEN_SupuestosCostos!$F$198</f>
        <v>11713.907636680218</v>
      </c>
      <c r="K46" s="2891">
        <f>K18/DGEN_SupuestosCostos!$F$198</f>
        <v>14507.924267538878</v>
      </c>
      <c r="L46" s="2891">
        <f>L18/DGEN_SupuestosCostos!$F$198</f>
        <v>14876.418702911515</v>
      </c>
      <c r="M46" s="2891">
        <f>M18/DGEN_SupuestosCostos!$F$198</f>
        <v>14290.378747047766</v>
      </c>
      <c r="N46" s="84"/>
    </row>
    <row r="47" spans="4:17" ht="15" customHeight="1">
      <c r="D47" s="83"/>
      <c r="E47" s="3035">
        <v>4</v>
      </c>
      <c r="F47" s="3036">
        <f>F19/DGEN_SupuestosCostos!$F$198</f>
        <v>12522.025701196897</v>
      </c>
      <c r="G47" s="3036">
        <f>G19/DGEN_SupuestosCostos!$F$198</f>
        <v>20774.083336780051</v>
      </c>
      <c r="H47" s="3036">
        <f>H19/DGEN_SupuestosCostos!$F$198</f>
        <v>24981.70164251421</v>
      </c>
      <c r="I47" s="3036">
        <f>I19/DGEN_SupuestosCostos!$F$198</f>
        <v>26907.615031897029</v>
      </c>
      <c r="J47" s="3036">
        <f>J19/DGEN_SupuestosCostos!$F$198</f>
        <v>11713.907636680218</v>
      </c>
      <c r="K47" s="3036">
        <f>K19/DGEN_SupuestosCostos!$F$198</f>
        <v>33933.622805742139</v>
      </c>
      <c r="L47" s="3036">
        <f>L19/DGEN_SupuestosCostos!$F$198</f>
        <v>34834.257960535833</v>
      </c>
      <c r="M47" s="3036">
        <f>M19/DGEN_SupuestosCostos!$F$198</f>
        <v>30651.093845500654</v>
      </c>
      <c r="N47" s="84"/>
    </row>
    <row r="48" spans="4:17" ht="15" customHeight="1">
      <c r="D48" s="83"/>
      <c r="E48" s="117"/>
      <c r="F48" s="90"/>
      <c r="G48" s="90"/>
      <c r="H48" s="90"/>
      <c r="I48" s="2892"/>
      <c r="J48" s="2892"/>
      <c r="K48" s="2892"/>
      <c r="L48" s="84"/>
      <c r="M48" s="84"/>
      <c r="N48" s="84"/>
    </row>
    <row r="49" spans="4:14" ht="15" customHeight="1">
      <c r="D49" s="83"/>
      <c r="E49" s="2893" t="s">
        <v>2191</v>
      </c>
      <c r="F49" s="2894"/>
      <c r="G49" s="2894"/>
      <c r="H49" s="2894"/>
      <c r="I49" s="2895"/>
      <c r="J49" s="2895"/>
      <c r="K49" s="2895"/>
      <c r="L49" s="2896"/>
      <c r="M49" s="2896"/>
      <c r="N49" s="84"/>
    </row>
    <row r="50" spans="4:14" ht="15" customHeight="1">
      <c r="D50" s="83"/>
      <c r="E50" s="117"/>
      <c r="F50" s="90"/>
      <c r="G50" s="90"/>
      <c r="H50" s="90"/>
      <c r="I50" s="2892"/>
      <c r="J50" s="2892"/>
      <c r="K50" s="2892"/>
      <c r="L50" s="84"/>
      <c r="M50" s="267" t="s">
        <v>1662</v>
      </c>
      <c r="N50" s="84"/>
    </row>
    <row r="51" spans="4:14" ht="15" customHeight="1" thickBot="1">
      <c r="D51" s="83"/>
      <c r="E51" s="2897"/>
      <c r="F51" s="2890">
        <v>2018</v>
      </c>
      <c r="G51" s="2890">
        <v>2020</v>
      </c>
      <c r="H51" s="2890">
        <v>2025</v>
      </c>
      <c r="I51" s="2890">
        <v>2030</v>
      </c>
      <c r="J51" s="2890">
        <v>2035</v>
      </c>
      <c r="K51" s="2890">
        <v>2040</v>
      </c>
      <c r="L51" s="2890">
        <v>2045</v>
      </c>
      <c r="M51" s="2890">
        <v>2050</v>
      </c>
      <c r="N51" s="84"/>
    </row>
    <row r="52" spans="4:14" ht="15" customHeight="1">
      <c r="D52" s="84"/>
      <c r="E52" s="3037" t="s">
        <v>2192</v>
      </c>
      <c r="F52" s="3038">
        <v>0</v>
      </c>
      <c r="G52" s="3038">
        <v>15.975570358388548</v>
      </c>
      <c r="H52" s="3038">
        <v>13.483750978478934</v>
      </c>
      <c r="I52" s="3038">
        <v>10.903711119274925</v>
      </c>
      <c r="J52" s="3038">
        <v>17.656398573981431</v>
      </c>
      <c r="K52" s="3038">
        <v>18.888361908740105</v>
      </c>
      <c r="L52" s="3038">
        <v>20.328334843479244</v>
      </c>
      <c r="M52" s="3038">
        <v>21.954523772829273</v>
      </c>
      <c r="N52" s="84"/>
    </row>
    <row r="53" spans="4:14" ht="15" customHeight="1">
      <c r="D53" s="84"/>
      <c r="E53" s="35" t="s">
        <v>1738</v>
      </c>
      <c r="F53" s="3039">
        <v>0</v>
      </c>
      <c r="G53" s="3040">
        <v>15.754313973629525</v>
      </c>
      <c r="H53" s="3040">
        <v>13.021725428389525</v>
      </c>
      <c r="I53" s="3040">
        <v>10.530091557779041</v>
      </c>
      <c r="J53" s="3040">
        <v>17.051395761576934</v>
      </c>
      <c r="K53" s="3040">
        <v>18.241145432026595</v>
      </c>
      <c r="L53" s="3040">
        <v>19.631777179113381</v>
      </c>
      <c r="M53" s="3040">
        <v>21.202244163150755</v>
      </c>
      <c r="N53" s="84"/>
    </row>
    <row r="54" spans="4:14" ht="15" customHeight="1">
      <c r="D54" s="84"/>
      <c r="E54" s="912" t="s">
        <v>1739</v>
      </c>
      <c r="F54" s="3041">
        <v>0</v>
      </c>
      <c r="G54" s="3042">
        <v>15.623380133865393</v>
      </c>
      <c r="H54" s="3042">
        <v>12.752851189166586</v>
      </c>
      <c r="I54" s="3042">
        <v>10.312664890927881</v>
      </c>
      <c r="J54" s="3042">
        <v>16.69931637791186</v>
      </c>
      <c r="K54" s="3042">
        <v>17.864499946175822</v>
      </c>
      <c r="L54" s="3042">
        <v>19.226417752464712</v>
      </c>
      <c r="M54" s="3042">
        <v>20.764457534908882</v>
      </c>
      <c r="N54" s="84"/>
    </row>
    <row r="55" spans="4:14" ht="15" customHeight="1">
      <c r="D55" s="84"/>
      <c r="E55" s="35"/>
      <c r="F55" s="90"/>
      <c r="G55" s="90"/>
      <c r="H55" s="90"/>
      <c r="I55" s="2892"/>
      <c r="J55" s="2892"/>
      <c r="K55" s="2892"/>
      <c r="L55" s="84"/>
      <c r="M55" s="84"/>
      <c r="N55" s="84"/>
    </row>
    <row r="57" spans="4:14" ht="15" customHeight="1">
      <c r="D57" s="99" t="s">
        <v>52</v>
      </c>
      <c r="E57" s="100"/>
      <c r="F57" s="100"/>
      <c r="G57" s="100"/>
      <c r="H57" s="100"/>
      <c r="I57" s="100"/>
      <c r="J57" s="100"/>
      <c r="K57" s="100"/>
      <c r="L57" s="100"/>
      <c r="M57" s="100"/>
      <c r="N57" s="100"/>
    </row>
    <row r="58" spans="4:14" ht="15" customHeight="1">
      <c r="D58" s="101"/>
      <c r="E58" s="101"/>
      <c r="F58" s="101"/>
      <c r="G58" s="101"/>
      <c r="H58" s="101"/>
      <c r="I58" s="101"/>
      <c r="J58" s="101"/>
      <c r="K58" s="101"/>
      <c r="L58" s="101"/>
      <c r="M58" s="101"/>
      <c r="N58" s="101"/>
    </row>
    <row r="59" spans="4:14" ht="15" customHeight="1">
      <c r="D59" s="101"/>
      <c r="E59" s="51" t="s">
        <v>1896</v>
      </c>
      <c r="F59" s="50"/>
      <c r="G59" s="50"/>
      <c r="H59" s="50"/>
      <c r="I59" s="50"/>
      <c r="J59" s="50"/>
      <c r="K59" s="50"/>
      <c r="L59" s="50"/>
      <c r="M59" s="50"/>
      <c r="N59" s="101"/>
    </row>
    <row r="60" spans="4:14" ht="15" customHeight="1">
      <c r="D60" s="101"/>
      <c r="E60" s="101"/>
      <c r="F60" s="101"/>
      <c r="G60" s="101"/>
      <c r="H60" s="101"/>
      <c r="I60" s="101"/>
      <c r="J60" s="101"/>
      <c r="K60" s="101"/>
      <c r="L60" s="101"/>
      <c r="M60" s="103" t="s">
        <v>9</v>
      </c>
      <c r="N60" s="101"/>
    </row>
    <row r="61" spans="4:14" ht="15" customHeight="1">
      <c r="D61" s="101"/>
      <c r="E61" s="104" t="s">
        <v>699</v>
      </c>
      <c r="F61" s="54">
        <v>2018</v>
      </c>
      <c r="G61" s="54" t="s">
        <v>322</v>
      </c>
      <c r="H61" s="54" t="s">
        <v>323</v>
      </c>
      <c r="I61" s="54" t="s">
        <v>324</v>
      </c>
      <c r="J61" s="54" t="s">
        <v>325</v>
      </c>
      <c r="K61" s="54" t="s">
        <v>326</v>
      </c>
      <c r="L61" s="54" t="s">
        <v>327</v>
      </c>
      <c r="M61" s="54" t="s">
        <v>328</v>
      </c>
      <c r="N61" s="101"/>
    </row>
    <row r="62" spans="4:14" ht="15" customHeight="1">
      <c r="D62" s="101"/>
      <c r="E62" s="1039" t="s">
        <v>2193</v>
      </c>
      <c r="F62" s="1676" cm="1">
        <f t="array" ref="F62:M62">F100:M100</f>
        <v>2.4031106123421777</v>
      </c>
      <c r="G62" s="1676">
        <v>2.2472318655358188</v>
      </c>
      <c r="H62" s="1676">
        <v>2.0850881624504911</v>
      </c>
      <c r="I62" s="1676">
        <v>1.9157992520983598</v>
      </c>
      <c r="J62" s="1676">
        <v>1.8591361631334222</v>
      </c>
      <c r="K62" s="1676">
        <v>1.8138291915322713</v>
      </c>
      <c r="L62" s="1676">
        <v>1.7772403227205573</v>
      </c>
      <c r="M62" s="1676">
        <v>1.745444874466505</v>
      </c>
      <c r="N62" s="101"/>
    </row>
    <row r="63" spans="4:14" ht="15" customHeight="1">
      <c r="D63" s="101"/>
      <c r="E63" s="1352" t="s">
        <v>589</v>
      </c>
      <c r="F63" s="1677" cm="1">
        <f t="array" ref="F63:M63">_xlfn.ANCHORARRAY(F99)</f>
        <v>0.2189613931777098</v>
      </c>
      <c r="G63" s="1677">
        <v>0.29523071416922003</v>
      </c>
      <c r="H63" s="1677">
        <v>0.42556214254858321</v>
      </c>
      <c r="I63" s="1677">
        <v>0.56096035222778284</v>
      </c>
      <c r="J63" s="1677">
        <v>0.67661985137631719</v>
      </c>
      <c r="K63" s="1677">
        <v>0.78791488545392085</v>
      </c>
      <c r="L63" s="1677">
        <v>0.89027663984119865</v>
      </c>
      <c r="M63" s="1677">
        <v>0.98129063684713058</v>
      </c>
      <c r="N63" s="101"/>
    </row>
    <row r="64" spans="4:14" ht="15" customHeight="1">
      <c r="D64" s="101"/>
      <c r="E64" s="1353" t="s">
        <v>2194</v>
      </c>
      <c r="F64" s="1677" cm="1">
        <f t="array" ref="F64:M64">_xlfn.ANCHORARRAY(F97)</f>
        <v>0.15317938127278657</v>
      </c>
      <c r="G64" s="1677">
        <v>0.15891936618036848</v>
      </c>
      <c r="H64" s="1677">
        <v>0.15425965851662016</v>
      </c>
      <c r="I64" s="1677">
        <v>0.14350400130802066</v>
      </c>
      <c r="J64" s="1677">
        <v>0.14847150243856874</v>
      </c>
      <c r="K64" s="1677">
        <v>0.15376686541413287</v>
      </c>
      <c r="L64" s="1677">
        <v>0.15987924262414793</v>
      </c>
      <c r="M64" s="1677">
        <v>0.16690716175763465</v>
      </c>
      <c r="N64" s="101"/>
    </row>
    <row r="65" spans="4:14" ht="15" customHeight="1">
      <c r="D65" s="101"/>
      <c r="E65" s="1353" t="s">
        <v>592</v>
      </c>
      <c r="F65" s="1677" cm="1">
        <f t="array" ref="F65:M65">_xlfn.ANCHORARRAY(F98)</f>
        <v>2.0309698378916816</v>
      </c>
      <c r="G65" s="1677">
        <v>1.7930817851862304</v>
      </c>
      <c r="H65" s="1677">
        <v>1.5052663613852877</v>
      </c>
      <c r="I65" s="1677">
        <v>1.2113348985625563</v>
      </c>
      <c r="J65" s="1677">
        <v>1.0340448093185364</v>
      </c>
      <c r="K65" s="1677">
        <v>0.87214744066421745</v>
      </c>
      <c r="L65" s="1677">
        <v>0.72708444025521057</v>
      </c>
      <c r="M65" s="1677">
        <v>0.59724707586173975</v>
      </c>
      <c r="N65" s="101"/>
    </row>
    <row r="66" spans="4:14" ht="15" customHeight="1">
      <c r="D66" s="101"/>
      <c r="E66" s="1146" t="s">
        <v>338</v>
      </c>
      <c r="F66" s="1675" cm="1">
        <f t="array" ref="F66:M66">SALIDA_DEMANDA_EDI_RES_RURAL_CONSUMOTOTAL-SALIDA_DEMANDA_EDI_RES_RURAL_ELECTRICIDAD-SALIDA_DEMANDA_EDI_RES_RURAL_HIDROCARBUROS_GLP-SALIDA_DEMANDA_EDI_RES_RURAL_LEÑA</f>
        <v>0</v>
      </c>
      <c r="G66" s="1675">
        <v>0</v>
      </c>
      <c r="H66" s="1675">
        <v>0</v>
      </c>
      <c r="I66" s="1675">
        <v>0</v>
      </c>
      <c r="J66" s="1675">
        <v>0</v>
      </c>
      <c r="K66" s="1675">
        <v>0</v>
      </c>
      <c r="L66" s="1675">
        <v>0</v>
      </c>
      <c r="M66" s="569">
        <v>0</v>
      </c>
      <c r="N66" s="101"/>
    </row>
    <row r="67" spans="4:14" ht="15" customHeight="1">
      <c r="D67" s="101"/>
      <c r="E67" s="101"/>
      <c r="F67" s="101"/>
      <c r="G67" s="101"/>
      <c r="H67" s="101"/>
      <c r="I67" s="101"/>
      <c r="J67" s="101"/>
      <c r="K67" s="101"/>
      <c r="L67" s="101"/>
      <c r="M67" s="101"/>
      <c r="N67" s="101"/>
    </row>
    <row r="69" spans="4:14" ht="15" customHeight="1">
      <c r="D69" s="105" t="s">
        <v>1671</v>
      </c>
      <c r="E69" s="106"/>
      <c r="F69" s="106"/>
      <c r="G69" s="106"/>
      <c r="H69" s="106"/>
      <c r="I69" s="106"/>
      <c r="J69" s="106"/>
      <c r="K69" s="106"/>
      <c r="L69" s="106"/>
      <c r="M69" s="106"/>
      <c r="N69" s="106"/>
    </row>
    <row r="70" spans="4:14" ht="15" customHeight="1">
      <c r="D70" s="107"/>
      <c r="E70" s="107"/>
      <c r="F70" s="107"/>
      <c r="G70" s="107"/>
      <c r="H70" s="107"/>
      <c r="I70" s="107"/>
      <c r="J70" s="107"/>
      <c r="K70" s="107"/>
      <c r="L70" s="107"/>
      <c r="M70" s="107"/>
      <c r="N70" s="107"/>
    </row>
    <row r="71" spans="4:14" ht="15" customHeight="1">
      <c r="D71" s="107"/>
      <c r="E71" s="59" t="s">
        <v>2106</v>
      </c>
      <c r="F71" s="107"/>
      <c r="G71" s="107"/>
      <c r="H71" s="107"/>
      <c r="I71" s="107"/>
      <c r="J71" s="107"/>
      <c r="K71" s="107"/>
      <c r="L71" s="107"/>
      <c r="M71" s="107"/>
      <c r="N71" s="107"/>
    </row>
    <row r="72" spans="4:14" ht="15" customHeight="1">
      <c r="D72" s="107"/>
      <c r="E72" s="107"/>
      <c r="F72" s="107"/>
      <c r="G72" s="107"/>
      <c r="H72" s="107"/>
      <c r="I72" s="107"/>
      <c r="J72" s="107"/>
      <c r="K72" s="107"/>
      <c r="L72" s="107"/>
      <c r="M72" s="109" t="s">
        <v>29</v>
      </c>
      <c r="N72" s="107"/>
    </row>
    <row r="73" spans="4:14" ht="15" customHeight="1">
      <c r="D73" s="107"/>
      <c r="E73" s="1149" t="s">
        <v>1986</v>
      </c>
      <c r="F73" s="61">
        <v>2018</v>
      </c>
      <c r="G73" s="61" t="s">
        <v>322</v>
      </c>
      <c r="H73" s="61" t="s">
        <v>323</v>
      </c>
      <c r="I73" s="61" t="s">
        <v>324</v>
      </c>
      <c r="J73" s="61" t="s">
        <v>325</v>
      </c>
      <c r="K73" s="61" t="s">
        <v>326</v>
      </c>
      <c r="L73" s="61" t="s">
        <v>327</v>
      </c>
      <c r="M73" s="61" t="s">
        <v>328</v>
      </c>
      <c r="N73" s="107"/>
    </row>
    <row r="74" spans="4:14" ht="15" customHeight="1">
      <c r="D74" s="107"/>
      <c r="E74" s="58" t="s">
        <v>498</v>
      </c>
      <c r="F74" s="1297" cm="1">
        <f t="array" ref="F74:M74">_xlfn.ANCHORARRAY(F122)</f>
        <v>3.7140766125551415E-2</v>
      </c>
      <c r="G74" s="1296">
        <v>3.8532516341835708E-2</v>
      </c>
      <c r="H74" s="1296">
        <v>3.7402696446268195E-2</v>
      </c>
      <c r="I74" s="1296">
        <v>3.4794817072478314E-2</v>
      </c>
      <c r="J74" s="1296">
        <v>3.5999266367057602E-2</v>
      </c>
      <c r="K74" s="1296">
        <v>3.7283210956669754E-2</v>
      </c>
      <c r="L74" s="1296">
        <v>3.8765253582393897E-2</v>
      </c>
      <c r="M74" s="1296">
        <v>4.0469283842323477E-2</v>
      </c>
      <c r="N74" s="107"/>
    </row>
    <row r="75" spans="4:14" ht="15" customHeight="1">
      <c r="D75" s="107"/>
      <c r="E75" s="1232" t="s">
        <v>503</v>
      </c>
      <c r="F75" s="1297" cm="1">
        <f t="array" ref="F75:M75">_xlfn.ANCHORARRAY(F123)</f>
        <v>0.72372817526361755</v>
      </c>
      <c r="G75" s="1298">
        <v>0.63895769611152198</v>
      </c>
      <c r="H75" s="1298">
        <v>0.53639579312609198</v>
      </c>
      <c r="I75" s="1298">
        <v>0.43165446350492487</v>
      </c>
      <c r="J75" s="1298">
        <v>0.36847783213057866</v>
      </c>
      <c r="K75" s="1298">
        <v>0.31078633666366245</v>
      </c>
      <c r="L75" s="1298">
        <v>0.25909370261979087</v>
      </c>
      <c r="M75" s="1298">
        <v>0.21282666454744331</v>
      </c>
      <c r="N75" s="107"/>
    </row>
    <row r="76" spans="4:14" ht="15" customHeight="1">
      <c r="D76" s="107"/>
      <c r="E76" s="1145" t="s">
        <v>1990</v>
      </c>
      <c r="F76" s="1264">
        <f>SUM(F74:F75)</f>
        <v>0.76086894138916894</v>
      </c>
      <c r="G76" s="1264">
        <f t="shared" ref="G76:M76" si="0">SUM(G74:G75)</f>
        <v>0.67749021245335772</v>
      </c>
      <c r="H76" s="1264">
        <f t="shared" si="0"/>
        <v>0.57379848957236013</v>
      </c>
      <c r="I76" s="1264">
        <f t="shared" si="0"/>
        <v>0.4664492805774032</v>
      </c>
      <c r="J76" s="1264">
        <f t="shared" si="0"/>
        <v>0.40447709849763624</v>
      </c>
      <c r="K76" s="1264">
        <f t="shared" si="0"/>
        <v>0.34806954762033221</v>
      </c>
      <c r="L76" s="1264">
        <f t="shared" si="0"/>
        <v>0.29785895620218478</v>
      </c>
      <c r="M76" s="2238">
        <f t="shared" si="0"/>
        <v>0.25329594838976677</v>
      </c>
      <c r="N76" s="107"/>
    </row>
    <row r="77" spans="4:14" ht="15" customHeight="1">
      <c r="D77" s="107"/>
      <c r="E77" s="107"/>
      <c r="F77" s="107"/>
      <c r="G77" s="107"/>
      <c r="H77" s="107"/>
      <c r="I77" s="107"/>
      <c r="J77" s="107"/>
      <c r="K77" s="107"/>
      <c r="L77" s="107"/>
      <c r="M77" s="107"/>
      <c r="N77" s="107"/>
    </row>
    <row r="79" spans="4:14" ht="15" customHeight="1">
      <c r="D79" s="110" t="s">
        <v>797</v>
      </c>
      <c r="E79" s="111"/>
      <c r="F79" s="111"/>
      <c r="G79" s="111"/>
      <c r="H79" s="111"/>
      <c r="I79" s="111"/>
      <c r="J79" s="111"/>
      <c r="K79" s="111"/>
      <c r="L79" s="111"/>
      <c r="M79" s="111"/>
      <c r="N79" s="111"/>
    </row>
    <row r="80" spans="4:14" ht="15" customHeight="1">
      <c r="D80" s="112"/>
      <c r="E80" s="112"/>
      <c r="F80" s="112"/>
      <c r="G80" s="112"/>
      <c r="H80" s="112"/>
      <c r="I80" s="112"/>
      <c r="J80" s="112"/>
      <c r="K80" s="112"/>
      <c r="L80" s="112"/>
      <c r="M80" s="112"/>
      <c r="N80" s="112"/>
    </row>
    <row r="81" spans="4:15" ht="15" customHeight="1">
      <c r="D81" s="112"/>
      <c r="E81" s="67" t="s">
        <v>1687</v>
      </c>
      <c r="F81" s="112"/>
      <c r="G81" s="112"/>
      <c r="H81" s="112"/>
      <c r="I81" s="112"/>
      <c r="J81" s="112"/>
      <c r="K81" s="112"/>
      <c r="L81" s="112"/>
      <c r="M81" s="112"/>
      <c r="N81" s="112"/>
    </row>
    <row r="82" spans="4:15" ht="15" customHeight="1">
      <c r="D82" s="112"/>
      <c r="E82" s="112"/>
      <c r="F82" s="112"/>
      <c r="G82" s="112"/>
      <c r="H82" s="112"/>
      <c r="I82" s="112"/>
      <c r="J82" s="112"/>
      <c r="K82" s="112"/>
      <c r="L82" s="112"/>
      <c r="M82" s="953" t="s">
        <v>803</v>
      </c>
      <c r="N82" s="112"/>
    </row>
    <row r="83" spans="4:15" ht="15" customHeight="1">
      <c r="D83" s="112"/>
      <c r="E83" s="68" t="s">
        <v>699</v>
      </c>
      <c r="F83" s="68">
        <v>2018</v>
      </c>
      <c r="G83" s="68" t="s">
        <v>322</v>
      </c>
      <c r="H83" s="68" t="s">
        <v>323</v>
      </c>
      <c r="I83" s="68" t="s">
        <v>324</v>
      </c>
      <c r="J83" s="68" t="s">
        <v>325</v>
      </c>
      <c r="K83" s="68" t="s">
        <v>326</v>
      </c>
      <c r="L83" s="68" t="s">
        <v>327</v>
      </c>
      <c r="M83" s="68" t="s">
        <v>328</v>
      </c>
      <c r="N83" s="112"/>
    </row>
    <row r="84" spans="4:15" ht="15" customHeight="1">
      <c r="D84" s="112"/>
      <c r="E84" s="112" t="s">
        <v>2107</v>
      </c>
      <c r="F84" s="115">
        <v>0</v>
      </c>
      <c r="G84" s="115">
        <v>0</v>
      </c>
      <c r="H84" s="115">
        <v>0</v>
      </c>
      <c r="I84" s="115">
        <v>0</v>
      </c>
      <c r="J84" s="115">
        <v>0</v>
      </c>
      <c r="K84" s="115">
        <v>0</v>
      </c>
      <c r="L84" s="115">
        <v>0</v>
      </c>
      <c r="M84" s="115">
        <v>0</v>
      </c>
      <c r="N84" s="112"/>
    </row>
    <row r="85" spans="4:15" ht="15" customHeight="1">
      <c r="D85" s="112"/>
      <c r="E85" s="112" t="s">
        <v>2108</v>
      </c>
      <c r="F85" s="115">
        <v>0</v>
      </c>
      <c r="G85" s="115">
        <v>0</v>
      </c>
      <c r="H85" s="115">
        <v>0</v>
      </c>
      <c r="I85" s="115">
        <v>0</v>
      </c>
      <c r="J85" s="115">
        <v>0</v>
      </c>
      <c r="K85" s="115">
        <v>0</v>
      </c>
      <c r="L85" s="115">
        <v>0</v>
      </c>
      <c r="M85" s="115">
        <v>0</v>
      </c>
      <c r="N85" s="112"/>
    </row>
    <row r="86" spans="4:15" ht="15" customHeight="1">
      <c r="D86" s="112"/>
      <c r="E86" s="949" t="s">
        <v>2175</v>
      </c>
      <c r="F86" s="2687">
        <v>0</v>
      </c>
      <c r="G86" s="2687">
        <v>0</v>
      </c>
      <c r="H86" s="2687">
        <v>0</v>
      </c>
      <c r="I86" s="2687">
        <v>0</v>
      </c>
      <c r="J86" s="2687">
        <v>0</v>
      </c>
      <c r="K86" s="2687">
        <v>0</v>
      </c>
      <c r="L86" s="2687">
        <v>0</v>
      </c>
      <c r="M86" s="2687">
        <v>0</v>
      </c>
      <c r="N86" s="112"/>
    </row>
    <row r="87" spans="4:15" ht="15" customHeight="1">
      <c r="D87" s="112"/>
      <c r="E87" s="112"/>
      <c r="F87" s="112"/>
      <c r="G87" s="112"/>
      <c r="H87" s="112"/>
      <c r="I87" s="112"/>
      <c r="J87" s="112"/>
      <c r="K87" s="112"/>
      <c r="L87" s="112"/>
      <c r="M87" s="112"/>
      <c r="N87" s="112"/>
    </row>
    <row r="89" spans="4:15" ht="15" customHeight="1">
      <c r="D89" s="71" t="s">
        <v>1893</v>
      </c>
      <c r="E89" s="71"/>
    </row>
    <row r="90" spans="4:15" ht="15" customHeight="1">
      <c r="D90" s="71">
        <v>1</v>
      </c>
      <c r="E90" s="71" t="s">
        <v>2195</v>
      </c>
    </row>
    <row r="91" spans="4:15" ht="15" customHeight="1">
      <c r="D91" s="71">
        <v>2</v>
      </c>
      <c r="E91" s="71" t="s">
        <v>2196</v>
      </c>
    </row>
    <row r="92" spans="4:15" ht="15" customHeight="1">
      <c r="D92" s="71">
        <v>3</v>
      </c>
      <c r="E92" s="71" t="s">
        <v>2197</v>
      </c>
    </row>
    <row r="95" spans="4:15" ht="15" customHeight="1">
      <c r="D95" s="71">
        <v>1</v>
      </c>
      <c r="E95" s="71" t="s">
        <v>2198</v>
      </c>
      <c r="M95" s="1253" t="s">
        <v>9</v>
      </c>
      <c r="O95" s="563"/>
    </row>
    <row r="96" spans="4:15" ht="15" customHeight="1">
      <c r="E96" s="550"/>
      <c r="F96" s="551">
        <v>2018</v>
      </c>
      <c r="G96" s="551">
        <v>2020</v>
      </c>
      <c r="H96" s="551">
        <v>2025</v>
      </c>
      <c r="I96" s="551">
        <v>2030</v>
      </c>
      <c r="J96" s="551">
        <v>2035</v>
      </c>
      <c r="K96" s="551">
        <v>2040</v>
      </c>
      <c r="L96" s="551">
        <v>2045</v>
      </c>
      <c r="M96" s="551">
        <v>2050</v>
      </c>
    </row>
    <row r="97" spans="4:13" ht="15" customHeight="1">
      <c r="E97" s="553" t="s">
        <v>498</v>
      </c>
      <c r="F97" s="560" cm="1">
        <f t="array" ref="F97:M97">INDEX(ST_DEMANDA_GLP,0)</f>
        <v>0.15317938127278657</v>
      </c>
      <c r="G97" s="560">
        <v>0.15891936618036848</v>
      </c>
      <c r="H97" s="560">
        <v>0.15425965851662016</v>
      </c>
      <c r="I97" s="560">
        <v>0.14350400130802066</v>
      </c>
      <c r="J97" s="560">
        <v>0.14847150243856874</v>
      </c>
      <c r="K97" s="560">
        <v>0.15376686541413287</v>
      </c>
      <c r="L97" s="560">
        <v>0.15987924262414793</v>
      </c>
      <c r="M97" s="560">
        <v>0.16690716175763465</v>
      </c>
    </row>
    <row r="98" spans="4:13" ht="15" customHeight="1">
      <c r="E98" s="553" t="s">
        <v>503</v>
      </c>
      <c r="F98" s="560" cm="1">
        <f t="array" ref="F98:M98">INDEX(ST_DEMANDA_LENA,0)</f>
        <v>2.0309698378916816</v>
      </c>
      <c r="G98" s="560">
        <v>1.7930817851862304</v>
      </c>
      <c r="H98" s="560">
        <v>1.5052663613852877</v>
      </c>
      <c r="I98" s="560">
        <v>1.2113348985625563</v>
      </c>
      <c r="J98" s="560">
        <v>1.0340448093185364</v>
      </c>
      <c r="K98" s="560">
        <v>0.87214744066421745</v>
      </c>
      <c r="L98" s="560">
        <v>0.72708444025521057</v>
      </c>
      <c r="M98" s="560">
        <v>0.59724707586173975</v>
      </c>
    </row>
    <row r="99" spans="4:13" ht="15" customHeight="1">
      <c r="E99" s="553" t="s">
        <v>2199</v>
      </c>
      <c r="F99" s="563" cm="1">
        <f t="array" ref="F99:M99">F36:M36</f>
        <v>0.2189613931777098</v>
      </c>
      <c r="G99" s="563">
        <v>0.29523071416922003</v>
      </c>
      <c r="H99" s="563">
        <v>0.42556214254858321</v>
      </c>
      <c r="I99" s="563">
        <v>0.56096035222778284</v>
      </c>
      <c r="J99" s="563">
        <v>0.67661985137631719</v>
      </c>
      <c r="K99" s="563">
        <v>0.78791488545392085</v>
      </c>
      <c r="L99" s="563">
        <v>0.89027663984119865</v>
      </c>
      <c r="M99" s="563">
        <v>0.98129063684713058</v>
      </c>
    </row>
    <row r="100" spans="4:13" ht="15" customHeight="1">
      <c r="E100" s="551" t="s">
        <v>2200</v>
      </c>
      <c r="F100" s="561">
        <f>SUM(F97:F99)</f>
        <v>2.4031106123421777</v>
      </c>
      <c r="G100" s="561">
        <f t="shared" ref="G100:M100" si="1">SUM(G97:G99)</f>
        <v>2.2472318655358188</v>
      </c>
      <c r="H100" s="561">
        <f t="shared" si="1"/>
        <v>2.0850881624504911</v>
      </c>
      <c r="I100" s="561">
        <f t="shared" si="1"/>
        <v>1.9157992520983598</v>
      </c>
      <c r="J100" s="561">
        <f t="shared" si="1"/>
        <v>1.8591361631334222</v>
      </c>
      <c r="K100" s="561">
        <f t="shared" si="1"/>
        <v>1.8138291915322713</v>
      </c>
      <c r="L100" s="561">
        <f t="shared" si="1"/>
        <v>1.7772403227205573</v>
      </c>
      <c r="M100" s="561">
        <f t="shared" si="1"/>
        <v>1.745444874466505</v>
      </c>
    </row>
    <row r="103" spans="4:13" ht="15" customHeight="1">
      <c r="D103" s="71">
        <v>2</v>
      </c>
      <c r="E103" s="71" t="s">
        <v>2201</v>
      </c>
    </row>
    <row r="104" spans="4:13" ht="15" customHeight="1">
      <c r="D104" s="71"/>
      <c r="E104" s="71"/>
    </row>
    <row r="105" spans="4:13" ht="15" customHeight="1">
      <c r="E105" s="1118" t="s">
        <v>694</v>
      </c>
      <c r="F105" s="3"/>
      <c r="G105" s="1119"/>
      <c r="H105" s="1120"/>
      <c r="I105" s="1120"/>
      <c r="J105" s="1120"/>
      <c r="K105" s="1120"/>
      <c r="L105" s="1120"/>
      <c r="M105" s="554" t="s">
        <v>1716</v>
      </c>
    </row>
    <row r="106" spans="4:13" ht="15" customHeight="1">
      <c r="E106" s="1121" t="s">
        <v>520</v>
      </c>
      <c r="F106" s="1093">
        <v>2018</v>
      </c>
      <c r="G106" s="1122">
        <v>2020</v>
      </c>
      <c r="H106" s="1093">
        <v>2025</v>
      </c>
      <c r="I106" s="1093">
        <v>2030</v>
      </c>
      <c r="J106" s="1093">
        <v>2035</v>
      </c>
      <c r="K106" s="1093">
        <v>2040</v>
      </c>
      <c r="L106" s="1093">
        <v>2045</v>
      </c>
      <c r="M106" s="1093">
        <v>2050</v>
      </c>
    </row>
    <row r="107" spans="4:13" ht="15" customHeight="1">
      <c r="E107" s="72" t="s">
        <v>498</v>
      </c>
      <c r="F107" s="1230" cm="1">
        <f t="array" ref="F107:M107">F97:M97*FE_EDIFICACIONES_RESIDENCIAL_GLP_CO2*UNIDAD_TWH_A_TJ*UNIDAD_KG_A_MT</f>
        <v>3.7048950404416511E-2</v>
      </c>
      <c r="G107" s="1230">
        <v>3.8437260073747197E-2</v>
      </c>
      <c r="H107" s="1230">
        <v>3.7310233206953328E-2</v>
      </c>
      <c r="I107" s="1230">
        <v>3.4708800774094287E-2</v>
      </c>
      <c r="J107" s="1230">
        <v>3.5910272548495922E-2</v>
      </c>
      <c r="K107" s="1230">
        <v>3.7191043097540524E-2</v>
      </c>
      <c r="L107" s="1230">
        <v>3.8669421964364979E-2</v>
      </c>
      <c r="M107" s="1230">
        <v>4.0369239689565947E-2</v>
      </c>
    </row>
    <row r="108" spans="4:13" ht="15" customHeight="1">
      <c r="E108" s="558" t="s">
        <v>503</v>
      </c>
      <c r="F108" s="1263" cm="1">
        <f t="array" ref="F108:M108">_xlfn.ANCHORARRAY(F98)*FE_EDIFICACIONES_RESIDENCIAL_LENA_CO2*UNIDAD_TWH_A_TJ*UNIDAD_KG_A_MT</f>
        <v>0.65456146646437841</v>
      </c>
      <c r="G108" s="1263">
        <v>0.57789250283521976</v>
      </c>
      <c r="H108" s="1263">
        <v>0.48513244192275468</v>
      </c>
      <c r="I108" s="1263">
        <v>0.39040124219947847</v>
      </c>
      <c r="J108" s="1263">
        <v>0.33326240210442659</v>
      </c>
      <c r="K108" s="1263">
        <v>0.2810844834244019</v>
      </c>
      <c r="L108" s="1263">
        <v>0.23433211492245939</v>
      </c>
      <c r="M108" s="1263">
        <v>0.19248681813189591</v>
      </c>
    </row>
    <row r="110" spans="4:13" ht="15" customHeight="1">
      <c r="E110" s="1118" t="s">
        <v>695</v>
      </c>
      <c r="F110" s="3"/>
      <c r="G110" s="1119"/>
      <c r="H110" s="1120"/>
      <c r="I110" s="1120"/>
      <c r="J110" s="1120"/>
      <c r="K110" s="1120"/>
      <c r="L110" s="1120"/>
      <c r="M110" s="554" t="s">
        <v>1705</v>
      </c>
    </row>
    <row r="111" spans="4:13" ht="15" customHeight="1">
      <c r="E111" s="1121" t="s">
        <v>520</v>
      </c>
      <c r="F111" s="1093">
        <v>2018</v>
      </c>
      <c r="G111" s="1122">
        <v>2020</v>
      </c>
      <c r="H111" s="1093">
        <v>2025</v>
      </c>
      <c r="I111" s="1093">
        <v>2030</v>
      </c>
      <c r="J111" s="1093">
        <v>2035</v>
      </c>
      <c r="K111" s="1093">
        <v>2040</v>
      </c>
      <c r="L111" s="1093">
        <v>2045</v>
      </c>
      <c r="M111" s="1093">
        <v>2050</v>
      </c>
    </row>
    <row r="112" spans="4:13" ht="15" customHeight="1">
      <c r="E112" s="72" t="s">
        <v>498</v>
      </c>
      <c r="F112" s="1230" cm="1">
        <f t="array" ref="F112:M112">_xlfn.ANCHORARRAY(F97)*FE_EDIFICACIONES_RESIDENCIAL_GLP_CH4*UNIDAD_TWH_A_TJ*UNIDAD_KG_A_MT</f>
        <v>2.7572288629101588E-6</v>
      </c>
      <c r="G112" s="1230">
        <v>2.8605485912466333E-6</v>
      </c>
      <c r="H112" s="1230">
        <v>2.7766738532991631E-6</v>
      </c>
      <c r="I112" s="1230">
        <v>2.5830720235443721E-6</v>
      </c>
      <c r="J112" s="1230">
        <v>2.6724870438942376E-6</v>
      </c>
      <c r="K112" s="1230">
        <v>2.7678035774543923E-6</v>
      </c>
      <c r="L112" s="1230">
        <v>2.8778263672346631E-6</v>
      </c>
      <c r="M112" s="1230">
        <v>3.0043289116374238E-6</v>
      </c>
    </row>
    <row r="113" spans="4:13" ht="15" customHeight="1">
      <c r="E113" s="558" t="s">
        <v>503</v>
      </c>
      <c r="F113" s="1263" cm="1">
        <f t="array" ref="F113:M113">_xlfn.ANCHORARRAY(F98)*FE_EDIFICACIONES_RESIDENCIAL_LENA_CH4*UNIDAD_TWH_A_TJ*UNIDAD_KG_A_MT</f>
        <v>2.1934474249230163E-3</v>
      </c>
      <c r="G113" s="1263">
        <v>1.9365283280011292E-3</v>
      </c>
      <c r="H113" s="1263">
        <v>1.6256876702961107E-3</v>
      </c>
      <c r="I113" s="1263">
        <v>1.3082416904475608E-3</v>
      </c>
      <c r="J113" s="1263">
        <v>1.1167683940640195E-3</v>
      </c>
      <c r="K113" s="1263">
        <v>9.4191923591735493E-4</v>
      </c>
      <c r="L113" s="1263">
        <v>7.8525119547562749E-4</v>
      </c>
      <c r="M113" s="1263">
        <v>6.4502684193067897E-4</v>
      </c>
    </row>
    <row r="115" spans="4:13" ht="15" customHeight="1">
      <c r="E115" s="1118" t="s">
        <v>2188</v>
      </c>
      <c r="F115" s="3"/>
      <c r="G115" s="1119"/>
      <c r="H115" s="1120"/>
      <c r="I115" s="1120"/>
      <c r="J115" s="1120"/>
      <c r="K115" s="1120"/>
      <c r="L115" s="1120"/>
      <c r="M115" s="554" t="s">
        <v>1706</v>
      </c>
    </row>
    <row r="116" spans="4:13" ht="15" customHeight="1">
      <c r="E116" s="1121" t="s">
        <v>520</v>
      </c>
      <c r="F116" s="1093">
        <v>2018</v>
      </c>
      <c r="G116" s="1122">
        <v>2020</v>
      </c>
      <c r="H116" s="1093">
        <v>2025</v>
      </c>
      <c r="I116" s="1093">
        <v>2030</v>
      </c>
      <c r="J116" s="1093">
        <v>2035</v>
      </c>
      <c r="K116" s="1093">
        <v>2040</v>
      </c>
      <c r="L116" s="1093">
        <v>2045</v>
      </c>
      <c r="M116" s="1093">
        <v>2050</v>
      </c>
    </row>
    <row r="117" spans="4:13" ht="15" customHeight="1">
      <c r="E117" s="72" t="s">
        <v>498</v>
      </c>
      <c r="F117" s="1230" cm="1">
        <f t="array" ref="F117:M117">_xlfn.ANCHORARRAY(F97)*FE_EDIFICACIONES_RESIDENCIAL_GLP_N2O*UNIDAD_TWH_A_TJ*UNIDAD_KG_A_MT</f>
        <v>5.5144577258203173E-8</v>
      </c>
      <c r="G117" s="1230">
        <v>5.7210971824932662E-8</v>
      </c>
      <c r="H117" s="1230">
        <v>5.5533477065983266E-8</v>
      </c>
      <c r="I117" s="1230">
        <v>5.1661440470887443E-8</v>
      </c>
      <c r="J117" s="1230">
        <v>5.3449740877884755E-8</v>
      </c>
      <c r="K117" s="1230">
        <v>5.535607154908784E-8</v>
      </c>
      <c r="L117" s="1230">
        <v>5.755652734469327E-8</v>
      </c>
      <c r="M117" s="1230">
        <v>6.0086578232748473E-8</v>
      </c>
    </row>
    <row r="118" spans="4:13" ht="15" customHeight="1">
      <c r="E118" s="558" t="s">
        <v>503</v>
      </c>
      <c r="F118" s="1263" cm="1">
        <f t="array" ref="F118:M118">_xlfn.ANCHORARRAY(F98)*FE_EDIFICACIONES_RESIDENCIAL_LENA_N2O*UNIDAD_TWH_A_TJ*UNIDAD_KG_A_MT</f>
        <v>2.9245965665640217E-5</v>
      </c>
      <c r="G118" s="1263">
        <v>2.5820377706681717E-5</v>
      </c>
      <c r="H118" s="1263">
        <v>2.1675835603948145E-5</v>
      </c>
      <c r="I118" s="1263">
        <v>1.7443222539300812E-5</v>
      </c>
      <c r="J118" s="1263">
        <v>1.4890245254186925E-5</v>
      </c>
      <c r="K118" s="1263">
        <v>1.2558923145564732E-5</v>
      </c>
      <c r="L118" s="1263">
        <v>1.0470015939675032E-5</v>
      </c>
      <c r="M118" s="1263">
        <v>8.6003578924090534E-6</v>
      </c>
    </row>
    <row r="120" spans="4:13" ht="15" customHeight="1">
      <c r="E120" s="1118" t="s">
        <v>1988</v>
      </c>
      <c r="F120" s="3"/>
      <c r="G120" s="1119"/>
      <c r="H120" s="1120"/>
      <c r="I120" s="1120"/>
      <c r="J120" s="1120"/>
      <c r="K120" s="1120"/>
      <c r="L120" s="1120"/>
      <c r="M120" s="554" t="s">
        <v>29</v>
      </c>
    </row>
    <row r="121" spans="4:13" ht="15" customHeight="1">
      <c r="E121" s="1121" t="s">
        <v>520</v>
      </c>
      <c r="F121" s="1093">
        <v>2018</v>
      </c>
      <c r="G121" s="1122">
        <v>2020</v>
      </c>
      <c r="H121" s="1093">
        <v>2025</v>
      </c>
      <c r="I121" s="1093">
        <v>2030</v>
      </c>
      <c r="J121" s="1093">
        <v>2035</v>
      </c>
      <c r="K121" s="1093">
        <v>2040</v>
      </c>
      <c r="L121" s="1093">
        <v>2045</v>
      </c>
      <c r="M121" s="1093">
        <v>2050</v>
      </c>
    </row>
    <row r="122" spans="4:13" ht="15" customHeight="1">
      <c r="E122" s="72" t="s">
        <v>498</v>
      </c>
      <c r="F122" s="1230" cm="1">
        <f t="array" ref="F122:M122">_xlfn.ANCHORARRAY(F107)*PCG_CO2+_xlfn.ANCHORARRAY(F112)*PCG_CH4+_xlfn.ANCHORARRAY(F117)*PCG_N2O</f>
        <v>3.7140766125551415E-2</v>
      </c>
      <c r="G122" s="1230">
        <v>3.8532516341835708E-2</v>
      </c>
      <c r="H122" s="1230">
        <v>3.7402696446268195E-2</v>
      </c>
      <c r="I122" s="1230">
        <v>3.4794817072478314E-2</v>
      </c>
      <c r="J122" s="1230">
        <v>3.5999266367057602E-2</v>
      </c>
      <c r="K122" s="1230">
        <v>3.7283210956669754E-2</v>
      </c>
      <c r="L122" s="1230">
        <v>3.8765253582393897E-2</v>
      </c>
      <c r="M122" s="1230">
        <v>4.0469283842323477E-2</v>
      </c>
    </row>
    <row r="123" spans="4:13" ht="15" customHeight="1">
      <c r="E123" s="558" t="s">
        <v>503</v>
      </c>
      <c r="F123" s="1263" cm="1">
        <f t="array" ref="F123:M123">_xlfn.ANCHORARRAY(F108)*PCG_CO2+_xlfn.ANCHORARRAY(F113)*PCG_CH4+_xlfn.ANCHORARRAY(F118)*PCG_N2O</f>
        <v>0.72372817526361755</v>
      </c>
      <c r="G123" s="1263">
        <v>0.63895769611152198</v>
      </c>
      <c r="H123" s="1263">
        <v>0.53639579312609198</v>
      </c>
      <c r="I123" s="1263">
        <v>0.43165446350492487</v>
      </c>
      <c r="J123" s="1263">
        <v>0.36847783213057866</v>
      </c>
      <c r="K123" s="1263">
        <v>0.31078633666366245</v>
      </c>
      <c r="L123" s="1263">
        <v>0.25909370261979087</v>
      </c>
      <c r="M123" s="1263">
        <v>0.21282666454744331</v>
      </c>
    </row>
    <row r="126" spans="4:13" ht="15" customHeight="1">
      <c r="E126" s="71" t="s">
        <v>2202</v>
      </c>
    </row>
    <row r="127" spans="4:13" ht="15" customHeight="1">
      <c r="D127" s="71">
        <v>3</v>
      </c>
    </row>
    <row r="128" spans="4:13" ht="15" customHeight="1">
      <c r="E128" s="71" t="s">
        <v>2203</v>
      </c>
    </row>
    <row r="130" spans="5:13" ht="15" customHeight="1">
      <c r="E130" s="71" t="s">
        <v>2204</v>
      </c>
    </row>
    <row r="131" spans="5:13" ht="15" customHeight="1">
      <c r="M131" s="556" t="s">
        <v>803</v>
      </c>
    </row>
    <row r="132" spans="5:13" ht="15" customHeight="1">
      <c r="E132" s="1114" t="s">
        <v>965</v>
      </c>
      <c r="F132" s="551">
        <v>2018</v>
      </c>
      <c r="G132" s="551">
        <v>2020</v>
      </c>
      <c r="H132" s="551">
        <v>2025</v>
      </c>
      <c r="I132" s="551">
        <v>2030</v>
      </c>
      <c r="J132" s="551">
        <v>2035</v>
      </c>
      <c r="K132" s="551">
        <v>2040</v>
      </c>
      <c r="L132" s="551">
        <v>2045</v>
      </c>
      <c r="M132" s="551">
        <v>2050</v>
      </c>
    </row>
    <row r="133" spans="5:13" ht="15" customHeight="1">
      <c r="E133" s="551" t="s">
        <v>1714</v>
      </c>
      <c r="F133" s="549"/>
      <c r="G133" s="549"/>
      <c r="H133" s="549"/>
      <c r="I133" s="549"/>
      <c r="J133" s="549"/>
      <c r="K133" s="549"/>
      <c r="L133" s="549"/>
      <c r="M133" s="549"/>
    </row>
    <row r="135" spans="5:13" ht="15" customHeight="1">
      <c r="E135" s="71" t="s">
        <v>2205</v>
      </c>
    </row>
    <row r="136" spans="5:13" ht="15" customHeight="1">
      <c r="M136" s="556" t="s">
        <v>803</v>
      </c>
    </row>
    <row r="137" spans="5:13" ht="15" customHeight="1">
      <c r="E137" s="557" t="s">
        <v>965</v>
      </c>
      <c r="F137" s="551">
        <v>2018</v>
      </c>
      <c r="G137" s="551">
        <v>2020</v>
      </c>
      <c r="H137" s="551">
        <v>2025</v>
      </c>
      <c r="I137" s="551">
        <v>2030</v>
      </c>
      <c r="J137" s="551">
        <v>2035</v>
      </c>
      <c r="K137" s="551">
        <v>2040</v>
      </c>
      <c r="L137" s="551">
        <v>2045</v>
      </c>
      <c r="M137" s="551">
        <v>2050</v>
      </c>
    </row>
    <row r="138" spans="5:13" ht="15" customHeight="1">
      <c r="E138" s="551" t="s">
        <v>1714</v>
      </c>
      <c r="F138" s="549"/>
      <c r="G138" s="549"/>
      <c r="H138" s="549"/>
      <c r="I138" s="549"/>
      <c r="J138" s="549"/>
      <c r="K138" s="549"/>
      <c r="L138" s="549"/>
      <c r="M138" s="549"/>
    </row>
    <row r="140" spans="5:13" ht="15" customHeight="1">
      <c r="E140" s="71" t="s">
        <v>2206</v>
      </c>
    </row>
    <row r="141" spans="5:13" ht="15" customHeight="1">
      <c r="M141" s="556" t="s">
        <v>803</v>
      </c>
    </row>
    <row r="142" spans="5:13" ht="15" customHeight="1">
      <c r="E142" s="557" t="s">
        <v>965</v>
      </c>
      <c r="F142" s="551">
        <v>2018</v>
      </c>
      <c r="G142" s="551">
        <v>2020</v>
      </c>
      <c r="H142" s="551">
        <v>2025</v>
      </c>
      <c r="I142" s="551">
        <v>2030</v>
      </c>
      <c r="J142" s="551">
        <v>2035</v>
      </c>
      <c r="K142" s="551">
        <v>2040</v>
      </c>
      <c r="L142" s="551">
        <v>2045</v>
      </c>
      <c r="M142" s="551">
        <v>2050</v>
      </c>
    </row>
    <row r="143" spans="5:13" ht="15" customHeight="1">
      <c r="E143" s="551" t="s">
        <v>1714</v>
      </c>
      <c r="F143" s="549"/>
      <c r="G143" s="549"/>
      <c r="H143" s="549"/>
      <c r="I143" s="549"/>
      <c r="J143" s="549"/>
      <c r="K143" s="549"/>
      <c r="L143" s="549"/>
      <c r="M143" s="549"/>
    </row>
  </sheetData>
  <sheetProtection algorithmName="SHA-512" hashValue="dwczySO2iQAZ010Hg2TisQOfqxFtnRC8ObKoJh7guuug1IvQc05YD3j5KdT0sETSDzQ81ii9DP1uZVbdFOyeBg==" saltValue="Q22QbGQfvu/ky4Aj3wWNRg==" spinCount="100000" sheet="1" objects="1" scenarios="1"/>
  <mergeCells count="2">
    <mergeCell ref="E7:F8"/>
    <mergeCell ref="M7:M8"/>
  </mergeCells>
  <dataValidations count="1">
    <dataValidation type="whole" allowBlank="1" showErrorMessage="1" errorTitle="ERROR" error="El valor de trayectoria introducido no es valido. Las trayectorias estan comprendidas entre los valores 1 y 4." sqref="M7" xr:uid="{2901FB93-57C7-480A-BBBB-08497AF42DC6}">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7889" r:id="rId5" name="Spinner 1">
              <controlPr defaultSize="0" autoPict="0">
                <anchor moveWithCells="1" sizeWithCells="1">
                  <from>
                    <xdr:col>12</xdr:col>
                    <xdr:colOff>762000</xdr:colOff>
                    <xdr:row>6</xdr:row>
                    <xdr:rowOff>47625</xdr:rowOff>
                  </from>
                  <to>
                    <xdr:col>13</xdr:col>
                    <xdr:colOff>180975</xdr:colOff>
                    <xdr:row>7</xdr:row>
                    <xdr:rowOff>152400</xdr:rowOff>
                  </to>
                </anchor>
              </controlPr>
            </control>
          </mc:Choice>
        </mc:AlternateContent>
      </controls>
    </mc:Choice>
  </mc:AlternateConten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41EB0-D9D3-4107-92F0-C3F1501FD7CE}">
  <sheetPr codeName="Hoja13"/>
  <dimension ref="A4:O195"/>
  <sheetViews>
    <sheetView zoomScale="80" zoomScaleNormal="80" workbookViewId="0">
      <selection activeCell="F83" sqref="F83:M86"/>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5.42578125" style="3" customWidth="1"/>
    <col min="6" max="6" width="20.28515625" style="3" bestFit="1" customWidth="1"/>
    <col min="7" max="13" width="11.5703125" style="3" bestFit="1" customWidth="1"/>
    <col min="14" max="14" width="5.7109375" style="3" customWidth="1"/>
    <col min="15"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4" spans="1:14" ht="15" customHeight="1">
      <c r="D4" s="118" t="s">
        <v>1622</v>
      </c>
      <c r="E4" s="5"/>
      <c r="F4" s="5"/>
      <c r="G4" s="5"/>
      <c r="H4" s="5"/>
      <c r="I4" s="5"/>
      <c r="J4" s="5"/>
      <c r="K4" s="5"/>
      <c r="L4" s="5"/>
      <c r="M4" s="5"/>
      <c r="N4" s="5"/>
    </row>
    <row r="5" spans="1:14" ht="15" customHeight="1">
      <c r="A5" s="1559"/>
      <c r="D5" s="6"/>
      <c r="E5" s="6"/>
      <c r="F5" s="6"/>
      <c r="G5" s="6"/>
      <c r="H5" s="6"/>
      <c r="I5" s="6"/>
      <c r="J5" s="6"/>
      <c r="K5" s="6"/>
      <c r="L5" s="6"/>
      <c r="M5" s="6"/>
      <c r="N5" s="6"/>
    </row>
    <row r="6" spans="1:14" ht="15" customHeight="1">
      <c r="D6" s="6"/>
      <c r="E6" s="126" t="s">
        <v>1623</v>
      </c>
      <c r="F6" s="127"/>
      <c r="G6" s="127"/>
      <c r="H6" s="127"/>
      <c r="I6" s="127"/>
      <c r="J6" s="127"/>
      <c r="K6" s="127"/>
      <c r="L6" s="127"/>
      <c r="M6" s="179" t="s">
        <v>879</v>
      </c>
      <c r="N6" s="6"/>
    </row>
    <row r="7" spans="1:14" ht="15" customHeight="1">
      <c r="D7" s="6"/>
      <c r="E7" s="3913" t="s">
        <v>137</v>
      </c>
      <c r="F7" s="3913"/>
      <c r="G7" s="3913"/>
      <c r="H7" s="3913"/>
      <c r="I7" s="3913"/>
      <c r="J7" s="1568"/>
      <c r="K7" s="1568"/>
      <c r="L7" s="1568"/>
      <c r="M7" s="3922">
        <f>TRAYECTORIA_EDIF_COMERCIALES_ACONDI</f>
        <v>1</v>
      </c>
      <c r="N7" s="6"/>
    </row>
    <row r="8" spans="1:14" ht="15" customHeight="1">
      <c r="D8" s="6"/>
      <c r="E8" s="3924"/>
      <c r="F8" s="3924"/>
      <c r="G8" s="3924"/>
      <c r="H8" s="3924"/>
      <c r="I8" s="3924"/>
      <c r="J8" s="1567"/>
      <c r="K8" s="1567"/>
      <c r="L8" s="1567"/>
      <c r="M8" s="3923"/>
      <c r="N8" s="6"/>
    </row>
    <row r="9" spans="1:14" ht="15" customHeight="1">
      <c r="D9" s="6"/>
      <c r="E9" s="6"/>
      <c r="F9" s="6"/>
      <c r="G9" s="6"/>
      <c r="H9" s="6"/>
      <c r="I9" s="6"/>
      <c r="J9" s="6"/>
      <c r="K9" s="6"/>
      <c r="L9" s="6"/>
      <c r="M9" s="6"/>
      <c r="N9" s="6"/>
    </row>
    <row r="11" spans="1:14" ht="15" customHeight="1">
      <c r="D11" s="1887" t="s">
        <v>1190</v>
      </c>
      <c r="E11" s="336"/>
      <c r="F11" s="336"/>
      <c r="G11" s="336"/>
      <c r="H11" s="336"/>
      <c r="I11" s="336"/>
      <c r="J11" s="336"/>
      <c r="K11" s="336"/>
      <c r="L11" s="336"/>
      <c r="M11" s="336"/>
      <c r="N11" s="336"/>
    </row>
    <row r="12" spans="1:14" ht="15" customHeight="1">
      <c r="D12" s="11"/>
      <c r="E12" s="12"/>
      <c r="F12" s="12"/>
      <c r="G12" s="12"/>
      <c r="H12" s="12"/>
      <c r="I12" s="12"/>
      <c r="J12" s="12"/>
      <c r="K12" s="12"/>
      <c r="L12" s="12"/>
      <c r="M12" s="12"/>
      <c r="N12" s="12"/>
    </row>
    <row r="13" spans="1:14" ht="15" customHeight="1">
      <c r="D13" s="13"/>
      <c r="E13" s="14" t="s">
        <v>2207</v>
      </c>
      <c r="F13" s="15"/>
      <c r="G13" s="16"/>
      <c r="H13" s="15"/>
      <c r="I13" s="17"/>
      <c r="J13" s="15"/>
      <c r="K13" s="17"/>
      <c r="L13" s="17"/>
      <c r="M13" s="17"/>
      <c r="N13" s="98"/>
    </row>
    <row r="14" spans="1:14" ht="15" customHeight="1">
      <c r="D14" s="13"/>
      <c r="E14" s="19"/>
      <c r="F14" s="20"/>
      <c r="G14" s="21"/>
      <c r="H14" s="20"/>
      <c r="I14" s="22"/>
      <c r="J14" s="20"/>
      <c r="K14" s="22"/>
      <c r="L14" s="22"/>
      <c r="M14" s="22"/>
      <c r="N14" s="20"/>
    </row>
    <row r="15" spans="1:14" ht="15" customHeight="1">
      <c r="D15" s="13"/>
      <c r="E15" s="23" t="s">
        <v>1726</v>
      </c>
      <c r="F15" s="20"/>
      <c r="G15" s="21"/>
      <c r="H15" s="20"/>
      <c r="I15" s="22"/>
      <c r="J15" s="20"/>
      <c r="K15" s="22"/>
      <c r="L15" s="22"/>
      <c r="M15" s="22"/>
      <c r="N15" s="20"/>
    </row>
    <row r="16" spans="1:14" ht="15" customHeight="1">
      <c r="D16" s="13"/>
      <c r="E16" s="26"/>
      <c r="F16" s="727"/>
      <c r="G16" s="727"/>
      <c r="H16" s="727"/>
      <c r="I16" s="727"/>
      <c r="J16" s="727"/>
      <c r="K16" s="727"/>
      <c r="L16" s="727"/>
      <c r="M16" s="730" t="s">
        <v>9</v>
      </c>
      <c r="N16" s="12"/>
    </row>
    <row r="17" spans="4:14" ht="15" customHeight="1">
      <c r="D17" s="25"/>
      <c r="E17" s="28" t="s">
        <v>789</v>
      </c>
      <c r="F17" s="731">
        <v>2018</v>
      </c>
      <c r="G17" s="731">
        <v>2020</v>
      </c>
      <c r="H17" s="731">
        <v>2025</v>
      </c>
      <c r="I17" s="731">
        <v>2030</v>
      </c>
      <c r="J17" s="731">
        <v>2035</v>
      </c>
      <c r="K17" s="731">
        <v>2040</v>
      </c>
      <c r="L17" s="731">
        <v>2045</v>
      </c>
      <c r="M17" s="731">
        <v>2050</v>
      </c>
      <c r="N17" s="12"/>
    </row>
    <row r="18" spans="4:14" ht="15" customHeight="1">
      <c r="D18" s="25"/>
      <c r="E18" s="30" t="s">
        <v>795</v>
      </c>
      <c r="F18" s="745">
        <v>1.0946532618929382E-2</v>
      </c>
      <c r="G18" s="745">
        <v>1.2740905511231202E-2</v>
      </c>
      <c r="H18" s="745">
        <v>1.5124425606915777E-2</v>
      </c>
      <c r="I18" s="745">
        <v>1.7026342996825167E-2</v>
      </c>
      <c r="J18" s="745">
        <v>1.8699708195540347E-2</v>
      </c>
      <c r="K18" s="745">
        <v>2.0383052292022495E-2</v>
      </c>
      <c r="L18" s="745">
        <v>2.2159040490736068E-2</v>
      </c>
      <c r="M18" s="745">
        <v>2.3987868843791244E-2</v>
      </c>
      <c r="N18" s="12"/>
    </row>
    <row r="19" spans="4:14" ht="15" customHeight="1">
      <c r="D19" s="25"/>
      <c r="E19" s="30" t="s">
        <v>791</v>
      </c>
      <c r="F19" s="745">
        <v>2.1893065237858823E-2</v>
      </c>
      <c r="G19" s="745">
        <v>2.5481811022462404E-2</v>
      </c>
      <c r="H19" s="745">
        <v>3.0248851213831623E-2</v>
      </c>
      <c r="I19" s="745">
        <v>3.4052685993650335E-2</v>
      </c>
      <c r="J19" s="745">
        <v>3.739941639108077E-2</v>
      </c>
      <c r="K19" s="745">
        <v>4.0766104584044907E-2</v>
      </c>
      <c r="L19" s="745">
        <v>4.4318080981472135E-2</v>
      </c>
      <c r="M19" s="745">
        <v>4.7975737687582488E-2</v>
      </c>
      <c r="N19" s="12"/>
    </row>
    <row r="20" spans="4:14" ht="15" customHeight="1">
      <c r="D20" s="25"/>
      <c r="E20" s="30" t="s">
        <v>792</v>
      </c>
      <c r="F20" s="745">
        <v>3.831286416625293E-2</v>
      </c>
      <c r="G20" s="745">
        <v>4.4593169289309204E-2</v>
      </c>
      <c r="H20" s="745">
        <v>5.2935489624205322E-2</v>
      </c>
      <c r="I20" s="745">
        <v>5.959220048888815E-2</v>
      </c>
      <c r="J20" s="745">
        <v>6.5448978684391326E-2</v>
      </c>
      <c r="K20" s="745">
        <v>7.1340683022078646E-2</v>
      </c>
      <c r="L20" s="745">
        <v>7.7556641717576244E-2</v>
      </c>
      <c r="M20" s="745">
        <v>8.395754095326903E-2</v>
      </c>
      <c r="N20" s="12"/>
    </row>
    <row r="21" spans="4:14" ht="15" customHeight="1">
      <c r="D21" s="25"/>
      <c r="E21" s="32" t="s">
        <v>793</v>
      </c>
      <c r="F21" s="746">
        <v>3.831286416625293E-2</v>
      </c>
      <c r="G21" s="746">
        <v>4.4593169289309204E-2</v>
      </c>
      <c r="H21" s="746">
        <v>5.2935489624205322E-2</v>
      </c>
      <c r="I21" s="746">
        <v>5.959220048888815E-2</v>
      </c>
      <c r="J21" s="746">
        <v>6.5448978684391326E-2</v>
      </c>
      <c r="K21" s="746">
        <v>7.1340683022078646E-2</v>
      </c>
      <c r="L21" s="746">
        <v>7.7556641717576244E-2</v>
      </c>
      <c r="M21" s="746">
        <v>8.395754095326903E-2</v>
      </c>
      <c r="N21" s="12"/>
    </row>
    <row r="22" spans="4:14" ht="15" customHeight="1">
      <c r="D22" s="25"/>
      <c r="E22" s="92" t="s">
        <v>338</v>
      </c>
      <c r="F22" s="3676">
        <f>SUM(F18:F21)</f>
        <v>0.10946532618929407</v>
      </c>
      <c r="G22" s="3676">
        <f t="shared" ref="G22:M22" si="0">SUM(G18:G21)</f>
        <v>0.12740905511231201</v>
      </c>
      <c r="H22" s="3676">
        <f t="shared" si="0"/>
        <v>0.15124425606915803</v>
      </c>
      <c r="I22" s="3676">
        <f t="shared" si="0"/>
        <v>0.17026342996825181</v>
      </c>
      <c r="J22" s="3676">
        <f t="shared" si="0"/>
        <v>0.18699708195540377</v>
      </c>
      <c r="K22" s="3676">
        <f t="shared" si="0"/>
        <v>0.20383052292022469</v>
      </c>
      <c r="L22" s="3676">
        <f t="shared" si="0"/>
        <v>0.22159040490736071</v>
      </c>
      <c r="M22" s="3676">
        <f t="shared" si="0"/>
        <v>0.23987868843791177</v>
      </c>
      <c r="N22" s="12"/>
    </row>
    <row r="23" spans="4:14" ht="15" customHeight="1">
      <c r="D23" s="11"/>
      <c r="E23" s="12"/>
      <c r="F23" s="752"/>
      <c r="G23" s="752"/>
      <c r="H23" s="752"/>
      <c r="I23" s="752"/>
      <c r="J23" s="752"/>
      <c r="K23" s="752"/>
      <c r="L23" s="752"/>
      <c r="M23" s="752"/>
      <c r="N23" s="12"/>
    </row>
    <row r="24" spans="4:14" ht="15" customHeight="1">
      <c r="D24" s="11"/>
      <c r="E24" s="23" t="s">
        <v>1729</v>
      </c>
      <c r="F24" s="752"/>
      <c r="G24" s="752"/>
      <c r="H24" s="752"/>
      <c r="I24" s="752"/>
      <c r="J24" s="752"/>
      <c r="K24" s="752"/>
      <c r="L24" s="752"/>
      <c r="M24" s="752"/>
      <c r="N24" s="12"/>
    </row>
    <row r="25" spans="4:14" ht="15" customHeight="1">
      <c r="D25" s="13"/>
      <c r="E25" s="26"/>
      <c r="F25" s="727"/>
      <c r="G25" s="727"/>
      <c r="H25" s="727"/>
      <c r="I25" s="727"/>
      <c r="J25" s="727"/>
      <c r="K25" s="727"/>
      <c r="L25" s="727"/>
      <c r="M25" s="730" t="s">
        <v>9</v>
      </c>
      <c r="N25" s="12"/>
    </row>
    <row r="26" spans="4:14" ht="15" customHeight="1">
      <c r="D26" s="25"/>
      <c r="E26" s="28" t="s">
        <v>789</v>
      </c>
      <c r="F26" s="731">
        <v>2018</v>
      </c>
      <c r="G26" s="731">
        <v>2020</v>
      </c>
      <c r="H26" s="731">
        <v>2025</v>
      </c>
      <c r="I26" s="731">
        <v>2030</v>
      </c>
      <c r="J26" s="731">
        <v>2035</v>
      </c>
      <c r="K26" s="731">
        <v>2040</v>
      </c>
      <c r="L26" s="731">
        <v>2045</v>
      </c>
      <c r="M26" s="731">
        <v>2050</v>
      </c>
      <c r="N26" s="12"/>
    </row>
    <row r="27" spans="4:14" ht="15" customHeight="1">
      <c r="D27" s="25"/>
      <c r="E27" s="30" t="s">
        <v>795</v>
      </c>
      <c r="F27" s="745">
        <v>1.0852333838556405E-2</v>
      </c>
      <c r="G27" s="745">
        <v>1.2560832968463082E-2</v>
      </c>
      <c r="H27" s="745">
        <v>1.479442055049974E-2</v>
      </c>
      <c r="I27" s="745">
        <v>1.6515972850186873E-2</v>
      </c>
      <c r="J27" s="745">
        <v>1.7941445768539805E-2</v>
      </c>
      <c r="K27" s="745">
        <v>1.9345126192784154E-2</v>
      </c>
      <c r="L27" s="745">
        <v>2.0725182706079155E-2</v>
      </c>
      <c r="M27" s="745">
        <v>2.2092165557454451E-2</v>
      </c>
      <c r="N27" s="12"/>
    </row>
    <row r="28" spans="4:14" ht="15" customHeight="1">
      <c r="D28" s="25"/>
      <c r="E28" s="30" t="s">
        <v>791</v>
      </c>
      <c r="F28" s="745">
        <v>2.1704667677112811E-2</v>
      </c>
      <c r="G28" s="745">
        <v>2.5121665936926097E-2</v>
      </c>
      <c r="H28" s="745">
        <v>2.9588841100999411E-2</v>
      </c>
      <c r="I28" s="745">
        <v>3.3031945700373821E-2</v>
      </c>
      <c r="J28" s="745">
        <v>3.5882891537079686E-2</v>
      </c>
      <c r="K28" s="745">
        <v>3.8690252385568308E-2</v>
      </c>
      <c r="L28" s="745">
        <v>4.1450365412158227E-2</v>
      </c>
      <c r="M28" s="745">
        <v>4.4184331114908985E-2</v>
      </c>
      <c r="N28" s="12"/>
    </row>
    <row r="29" spans="4:14" ht="15" customHeight="1">
      <c r="D29" s="25"/>
      <c r="E29" s="30" t="s">
        <v>792</v>
      </c>
      <c r="F29" s="745">
        <v>3.7983168434947416E-2</v>
      </c>
      <c r="G29" s="745">
        <v>4.3962915389620653E-2</v>
      </c>
      <c r="H29" s="745">
        <v>5.1780471926748992E-2</v>
      </c>
      <c r="I29" s="745">
        <v>5.7805904975654167E-2</v>
      </c>
      <c r="J29" s="745">
        <v>6.2795060189889396E-2</v>
      </c>
      <c r="K29" s="745">
        <v>6.7707941674744615E-2</v>
      </c>
      <c r="L29" s="745">
        <v>7.2538139471276991E-2</v>
      </c>
      <c r="M29" s="745">
        <v>7.7322579451090626E-2</v>
      </c>
      <c r="N29" s="12"/>
    </row>
    <row r="30" spans="4:14" ht="15" customHeight="1">
      <c r="D30" s="25"/>
      <c r="E30" s="32" t="s">
        <v>793</v>
      </c>
      <c r="F30" s="746">
        <v>3.7983168434947416E-2</v>
      </c>
      <c r="G30" s="746">
        <v>4.3962915389620653E-2</v>
      </c>
      <c r="H30" s="746">
        <v>5.1780471926748992E-2</v>
      </c>
      <c r="I30" s="746">
        <v>5.7805904975654167E-2</v>
      </c>
      <c r="J30" s="746">
        <v>6.2795060189889396E-2</v>
      </c>
      <c r="K30" s="746">
        <v>6.7707941674744615E-2</v>
      </c>
      <c r="L30" s="746">
        <v>7.2538139471276991E-2</v>
      </c>
      <c r="M30" s="746">
        <v>7.7322579451090626E-2</v>
      </c>
      <c r="N30" s="12"/>
    </row>
    <row r="31" spans="4:14" ht="15" customHeight="1">
      <c r="D31" s="25"/>
      <c r="E31" s="92" t="s">
        <v>338</v>
      </c>
      <c r="F31" s="3676">
        <f t="shared" ref="F31:M31" si="1">SUM(F27:F30)</f>
        <v>0.10852333838556405</v>
      </c>
      <c r="G31" s="3676">
        <f t="shared" si="1"/>
        <v>0.12560832968463048</v>
      </c>
      <c r="H31" s="3676">
        <f t="shared" si="1"/>
        <v>0.14794420550499715</v>
      </c>
      <c r="I31" s="3676">
        <f t="shared" si="1"/>
        <v>0.16515972850186902</v>
      </c>
      <c r="J31" s="3676">
        <f t="shared" si="1"/>
        <v>0.17941445768539827</v>
      </c>
      <c r="K31" s="3676">
        <f t="shared" si="1"/>
        <v>0.19345126192784171</v>
      </c>
      <c r="L31" s="3676">
        <f t="shared" si="1"/>
        <v>0.20725182706079137</v>
      </c>
      <c r="M31" s="3676">
        <f t="shared" si="1"/>
        <v>0.22092165557454468</v>
      </c>
      <c r="N31" s="12"/>
    </row>
    <row r="32" spans="4:14" ht="15" customHeight="1">
      <c r="D32" s="11"/>
      <c r="E32" s="12"/>
      <c r="F32" s="752"/>
      <c r="G32" s="752"/>
      <c r="H32" s="752"/>
      <c r="I32" s="752"/>
      <c r="J32" s="752"/>
      <c r="K32" s="752"/>
      <c r="L32" s="752"/>
      <c r="M32" s="752"/>
      <c r="N32" s="12"/>
    </row>
    <row r="33" spans="4:14" ht="15" customHeight="1">
      <c r="D33" s="11"/>
      <c r="E33" s="23" t="s">
        <v>1730</v>
      </c>
      <c r="F33" s="752"/>
      <c r="G33" s="752"/>
      <c r="H33" s="752"/>
      <c r="I33" s="752"/>
      <c r="J33" s="752"/>
      <c r="K33" s="752"/>
      <c r="L33" s="752"/>
      <c r="M33" s="752"/>
      <c r="N33" s="12"/>
    </row>
    <row r="34" spans="4:14" ht="15" customHeight="1">
      <c r="D34" s="13"/>
      <c r="E34" s="26"/>
      <c r="F34" s="727"/>
      <c r="G34" s="727"/>
      <c r="H34" s="727"/>
      <c r="I34" s="727"/>
      <c r="J34" s="727"/>
      <c r="K34" s="727"/>
      <c r="L34" s="727"/>
      <c r="M34" s="730" t="s">
        <v>9</v>
      </c>
      <c r="N34" s="12"/>
    </row>
    <row r="35" spans="4:14" ht="15" customHeight="1">
      <c r="D35" s="25"/>
      <c r="E35" s="28" t="s">
        <v>789</v>
      </c>
      <c r="F35" s="731">
        <v>2018</v>
      </c>
      <c r="G35" s="731">
        <v>2020</v>
      </c>
      <c r="H35" s="731">
        <v>2025</v>
      </c>
      <c r="I35" s="731">
        <v>2030</v>
      </c>
      <c r="J35" s="731">
        <v>2035</v>
      </c>
      <c r="K35" s="731">
        <v>2040</v>
      </c>
      <c r="L35" s="731">
        <v>2045</v>
      </c>
      <c r="M35" s="731">
        <v>2050</v>
      </c>
      <c r="N35" s="12"/>
    </row>
    <row r="36" spans="4:14" ht="15" customHeight="1">
      <c r="D36" s="25"/>
      <c r="E36" s="30" t="s">
        <v>795</v>
      </c>
      <c r="F36" s="745">
        <v>1.083487932700425E-2</v>
      </c>
      <c r="G36" s="745">
        <v>1.2405647145888595E-2</v>
      </c>
      <c r="H36" s="745">
        <v>1.4397213210998037E-2</v>
      </c>
      <c r="I36" s="745">
        <v>1.5786858275455354E-2</v>
      </c>
      <c r="J36" s="745">
        <v>1.673301469705021E-2</v>
      </c>
      <c r="K36" s="745">
        <v>1.7535975424032419E-2</v>
      </c>
      <c r="L36" s="745">
        <v>1.8089306929527479E-2</v>
      </c>
      <c r="M36" s="745">
        <v>1.8455480550717947E-2</v>
      </c>
      <c r="N36" s="12"/>
    </row>
    <row r="37" spans="4:14" ht="15" customHeight="1">
      <c r="D37" s="25"/>
      <c r="E37" s="30" t="s">
        <v>791</v>
      </c>
      <c r="F37" s="745">
        <v>2.1669758654008501E-2</v>
      </c>
      <c r="G37" s="745">
        <v>2.481129429177719E-2</v>
      </c>
      <c r="H37" s="745">
        <v>2.8794426421996002E-2</v>
      </c>
      <c r="I37" s="745">
        <v>3.1573716550910784E-2</v>
      </c>
      <c r="J37" s="745">
        <v>3.346602939410042E-2</v>
      </c>
      <c r="K37" s="745">
        <v>3.5071950848064838E-2</v>
      </c>
      <c r="L37" s="745">
        <v>3.6178613859054957E-2</v>
      </c>
      <c r="M37" s="745">
        <v>3.6910961101435977E-2</v>
      </c>
      <c r="N37" s="12"/>
    </row>
    <row r="38" spans="4:14" ht="15" customHeight="1">
      <c r="D38" s="25"/>
      <c r="E38" s="30" t="s">
        <v>792</v>
      </c>
      <c r="F38" s="745">
        <v>3.7922077644514815E-2</v>
      </c>
      <c r="G38" s="745">
        <v>4.3419765010610019E-2</v>
      </c>
      <c r="H38" s="745">
        <v>5.0390246238493024E-2</v>
      </c>
      <c r="I38" s="745">
        <v>5.5254003964093815E-2</v>
      </c>
      <c r="J38" s="745">
        <v>5.8565551439675706E-2</v>
      </c>
      <c r="K38" s="745">
        <v>6.1375913984113462E-2</v>
      </c>
      <c r="L38" s="745">
        <v>6.331257425334616E-2</v>
      </c>
      <c r="M38" s="745">
        <v>6.4594181927512942E-2</v>
      </c>
      <c r="N38" s="12"/>
    </row>
    <row r="39" spans="4:14" ht="15" customHeight="1">
      <c r="D39" s="25"/>
      <c r="E39" s="32" t="s">
        <v>793</v>
      </c>
      <c r="F39" s="746">
        <v>3.7922077644514815E-2</v>
      </c>
      <c r="G39" s="746">
        <v>4.3419765010610019E-2</v>
      </c>
      <c r="H39" s="746">
        <v>5.0390246238493024E-2</v>
      </c>
      <c r="I39" s="746">
        <v>5.5254003964093815E-2</v>
      </c>
      <c r="J39" s="746">
        <v>5.8565551439675706E-2</v>
      </c>
      <c r="K39" s="746">
        <v>6.1375913984113462E-2</v>
      </c>
      <c r="L39" s="746">
        <v>6.331257425334616E-2</v>
      </c>
      <c r="M39" s="746">
        <v>6.4594181927512942E-2</v>
      </c>
      <c r="N39" s="12"/>
    </row>
    <row r="40" spans="4:14" ht="15" customHeight="1">
      <c r="D40" s="25"/>
      <c r="E40" s="92" t="s">
        <v>338</v>
      </c>
      <c r="F40" s="3676">
        <f t="shared" ref="F40:M40" si="2">SUM(F36:F39)</f>
        <v>0.10834879327004239</v>
      </c>
      <c r="G40" s="3676">
        <f t="shared" si="2"/>
        <v>0.12405647145888582</v>
      </c>
      <c r="H40" s="3676">
        <f t="shared" si="2"/>
        <v>0.14397213210998008</v>
      </c>
      <c r="I40" s="3676">
        <f t="shared" si="2"/>
        <v>0.15786858275455379</v>
      </c>
      <c r="J40" s="3676">
        <f t="shared" si="2"/>
        <v>0.16733014697050203</v>
      </c>
      <c r="K40" s="3676">
        <f t="shared" si="2"/>
        <v>0.17535975424032418</v>
      </c>
      <c r="L40" s="3676">
        <f t="shared" si="2"/>
        <v>0.18089306929527477</v>
      </c>
      <c r="M40" s="3676">
        <f t="shared" si="2"/>
        <v>0.18455480550717979</v>
      </c>
      <c r="N40" s="12"/>
    </row>
    <row r="41" spans="4:14" ht="15" customHeight="1">
      <c r="D41" s="25"/>
      <c r="E41" s="35"/>
      <c r="F41" s="733"/>
      <c r="G41" s="734"/>
      <c r="H41" s="734"/>
      <c r="I41" s="734"/>
      <c r="J41" s="734"/>
      <c r="K41" s="734"/>
      <c r="L41" s="734"/>
      <c r="M41" s="734"/>
      <c r="N41" s="12"/>
    </row>
    <row r="42" spans="4:14" ht="15" customHeight="1">
      <c r="D42" s="25"/>
      <c r="E42" s="23" t="s">
        <v>1731</v>
      </c>
      <c r="F42" s="733"/>
      <c r="G42" s="734"/>
      <c r="H42" s="734"/>
      <c r="I42" s="734"/>
      <c r="J42" s="734"/>
      <c r="K42" s="734"/>
      <c r="L42" s="734"/>
      <c r="M42" s="734"/>
      <c r="N42" s="12"/>
    </row>
    <row r="43" spans="4:14" ht="15" customHeight="1">
      <c r="D43" s="13"/>
      <c r="E43" s="26"/>
      <c r="F43" s="727"/>
      <c r="G43" s="727"/>
      <c r="H43" s="727"/>
      <c r="I43" s="727"/>
      <c r="J43" s="727"/>
      <c r="K43" s="727"/>
      <c r="L43" s="727"/>
      <c r="M43" s="730" t="s">
        <v>9</v>
      </c>
      <c r="N43" s="12"/>
    </row>
    <row r="44" spans="4:14" ht="15" customHeight="1">
      <c r="D44" s="25"/>
      <c r="E44" s="28" t="s">
        <v>789</v>
      </c>
      <c r="F44" s="731">
        <v>2018</v>
      </c>
      <c r="G44" s="731">
        <v>2020</v>
      </c>
      <c r="H44" s="731">
        <v>2025</v>
      </c>
      <c r="I44" s="731">
        <v>2030</v>
      </c>
      <c r="J44" s="731">
        <v>2035</v>
      </c>
      <c r="K44" s="731">
        <v>2040</v>
      </c>
      <c r="L44" s="731">
        <v>2045</v>
      </c>
      <c r="M44" s="731">
        <v>2050</v>
      </c>
      <c r="N44" s="12"/>
    </row>
    <row r="45" spans="4:14" ht="15" customHeight="1">
      <c r="D45" s="25"/>
      <c r="E45" s="30" t="s">
        <v>795</v>
      </c>
      <c r="F45" s="745">
        <v>1.0810443010831236E-2</v>
      </c>
      <c r="G45" s="745">
        <v>1.2195720460961429E-2</v>
      </c>
      <c r="H45" s="745">
        <v>1.3861491732592711E-2</v>
      </c>
      <c r="I45" s="745">
        <v>1.4804906068631855E-2</v>
      </c>
      <c r="J45" s="745">
        <v>1.5107058529431661E-2</v>
      </c>
      <c r="K45" s="745">
        <v>1.5104048285637859E-2</v>
      </c>
      <c r="L45" s="745">
        <v>1.4547500961218589E-2</v>
      </c>
      <c r="M45" s="745">
        <v>1.3570594842573332E-2</v>
      </c>
      <c r="N45" s="12"/>
    </row>
    <row r="46" spans="4:14" ht="15" customHeight="1">
      <c r="D46" s="25"/>
      <c r="E46" s="30" t="s">
        <v>791</v>
      </c>
      <c r="F46" s="745">
        <v>2.1620886021662473E-2</v>
      </c>
      <c r="G46" s="745">
        <v>2.4391440921922792E-2</v>
      </c>
      <c r="H46" s="745">
        <v>2.7722983465185421E-2</v>
      </c>
      <c r="I46" s="745">
        <v>2.960981213726363E-2</v>
      </c>
      <c r="J46" s="745">
        <v>3.0214117058863323E-2</v>
      </c>
      <c r="K46" s="745">
        <v>3.0208096571275642E-2</v>
      </c>
      <c r="L46" s="745">
        <v>2.9095001922437178E-2</v>
      </c>
      <c r="M46" s="745">
        <v>2.7141189685146585E-2</v>
      </c>
      <c r="N46" s="12"/>
    </row>
    <row r="47" spans="4:14" ht="15" customHeight="1">
      <c r="D47" s="25"/>
      <c r="E47" s="30" t="s">
        <v>792</v>
      </c>
      <c r="F47" s="745">
        <v>3.7836550537909262E-2</v>
      </c>
      <c r="G47" s="745">
        <v>4.2685021613364904E-2</v>
      </c>
      <c r="H47" s="745">
        <v>4.8515221064074458E-2</v>
      </c>
      <c r="I47" s="745">
        <v>5.1817171240211381E-2</v>
      </c>
      <c r="J47" s="745">
        <v>5.2874704853010816E-2</v>
      </c>
      <c r="K47" s="745">
        <v>5.2864168999732425E-2</v>
      </c>
      <c r="L47" s="745">
        <v>5.0916253364265106E-2</v>
      </c>
      <c r="M47" s="745">
        <v>4.7497081949006627E-2</v>
      </c>
      <c r="N47" s="12"/>
    </row>
    <row r="48" spans="4:14" ht="15" customHeight="1">
      <c r="D48" s="25"/>
      <c r="E48" s="32" t="s">
        <v>793</v>
      </c>
      <c r="F48" s="746">
        <v>3.7836550537909262E-2</v>
      </c>
      <c r="G48" s="746">
        <v>4.2685021613364904E-2</v>
      </c>
      <c r="H48" s="746">
        <v>4.8515221064074458E-2</v>
      </c>
      <c r="I48" s="746">
        <v>5.1817171240211381E-2</v>
      </c>
      <c r="J48" s="746">
        <v>5.2874704853010816E-2</v>
      </c>
      <c r="K48" s="746">
        <v>5.2864168999732425E-2</v>
      </c>
      <c r="L48" s="746">
        <v>5.0916253364265106E-2</v>
      </c>
      <c r="M48" s="746">
        <v>4.7497081949006627E-2</v>
      </c>
      <c r="N48" s="12"/>
    </row>
    <row r="49" spans="4:14" ht="15" customHeight="1">
      <c r="D49" s="25"/>
      <c r="E49" s="92" t="s">
        <v>338</v>
      </c>
      <c r="F49" s="3676">
        <f t="shared" ref="F49:M49" si="3">SUM(F45:F48)</f>
        <v>0.10810443010831225</v>
      </c>
      <c r="G49" s="3676">
        <f t="shared" si="3"/>
        <v>0.12195720460961403</v>
      </c>
      <c r="H49" s="3676">
        <f t="shared" si="3"/>
        <v>0.13861491732592704</v>
      </c>
      <c r="I49" s="3676">
        <f t="shared" si="3"/>
        <v>0.14804906068631823</v>
      </c>
      <c r="J49" s="3676">
        <f t="shared" si="3"/>
        <v>0.15107058529431663</v>
      </c>
      <c r="K49" s="3676">
        <f t="shared" si="3"/>
        <v>0.15104048285637833</v>
      </c>
      <c r="L49" s="3676">
        <f t="shared" si="3"/>
        <v>0.14547500961218598</v>
      </c>
      <c r="M49" s="3676">
        <f t="shared" si="3"/>
        <v>0.13570594842573316</v>
      </c>
      <c r="N49" s="12"/>
    </row>
    <row r="50" spans="4:14" ht="15" customHeight="1">
      <c r="D50" s="25"/>
      <c r="E50" s="35"/>
      <c r="F50" s="735"/>
      <c r="G50" s="735"/>
      <c r="H50" s="733"/>
      <c r="I50" s="734"/>
      <c r="J50" s="734"/>
      <c r="K50" s="734"/>
      <c r="L50" s="734"/>
      <c r="M50" s="734"/>
      <c r="N50" s="36"/>
    </row>
    <row r="51" spans="4:14" ht="15" customHeight="1">
      <c r="D51" s="13"/>
      <c r="E51" s="14" t="s">
        <v>2208</v>
      </c>
      <c r="F51" s="736"/>
      <c r="G51" s="736"/>
      <c r="H51" s="736"/>
      <c r="I51" s="736"/>
      <c r="J51" s="736"/>
      <c r="K51" s="736"/>
      <c r="L51" s="736"/>
      <c r="M51" s="736"/>
      <c r="N51" s="98"/>
    </row>
    <row r="52" spans="4:14" ht="15" customHeight="1">
      <c r="D52" s="13"/>
      <c r="E52" s="19"/>
      <c r="F52" s="727"/>
      <c r="G52" s="728"/>
      <c r="H52" s="727"/>
      <c r="I52" s="729"/>
      <c r="J52" s="727"/>
      <c r="K52" s="729"/>
      <c r="L52" s="729"/>
      <c r="M52" s="729"/>
      <c r="N52" s="20"/>
    </row>
    <row r="53" spans="4:14" ht="15" customHeight="1">
      <c r="D53" s="13"/>
      <c r="E53" s="23" t="s">
        <v>1726</v>
      </c>
      <c r="F53" s="727"/>
      <c r="G53" s="728"/>
      <c r="H53" s="727"/>
      <c r="I53" s="729"/>
      <c r="J53" s="727"/>
      <c r="K53" s="729"/>
      <c r="L53" s="729"/>
      <c r="M53" s="729"/>
      <c r="N53" s="20"/>
    </row>
    <row r="54" spans="4:14" ht="15" customHeight="1">
      <c r="D54" s="13"/>
      <c r="E54" s="26"/>
      <c r="F54" s="727"/>
      <c r="G54" s="727"/>
      <c r="H54" s="727"/>
      <c r="I54" s="727"/>
      <c r="J54" s="727"/>
      <c r="K54" s="727"/>
      <c r="L54" s="727"/>
      <c r="M54" s="730" t="s">
        <v>9</v>
      </c>
      <c r="N54" s="12"/>
    </row>
    <row r="55" spans="4:14" ht="15" customHeight="1">
      <c r="D55" s="25"/>
      <c r="E55" s="28" t="s">
        <v>789</v>
      </c>
      <c r="F55" s="731">
        <v>2018</v>
      </c>
      <c r="G55" s="731">
        <v>2020</v>
      </c>
      <c r="H55" s="731">
        <v>2025</v>
      </c>
      <c r="I55" s="731">
        <v>2030</v>
      </c>
      <c r="J55" s="731">
        <v>2035</v>
      </c>
      <c r="K55" s="731">
        <v>2040</v>
      </c>
      <c r="L55" s="731">
        <v>2045</v>
      </c>
      <c r="M55" s="731">
        <v>2050</v>
      </c>
      <c r="N55" s="12"/>
    </row>
    <row r="56" spans="4:14" ht="15" customHeight="1">
      <c r="D56" s="25"/>
      <c r="E56" s="30" t="s">
        <v>795</v>
      </c>
      <c r="F56" s="745">
        <v>1.4944036489229064E-2</v>
      </c>
      <c r="G56" s="745">
        <v>1.7308399939785779E-2</v>
      </c>
      <c r="H56" s="745">
        <v>2.0596938604033211E-2</v>
      </c>
      <c r="I56" s="745">
        <v>2.3301328715219297E-2</v>
      </c>
      <c r="J56" s="745">
        <v>2.5717650938759821E-2</v>
      </c>
      <c r="K56" s="745">
        <v>2.8240641152687616E-2</v>
      </c>
      <c r="L56" s="745">
        <v>3.0777033304620022E-2</v>
      </c>
      <c r="M56" s="745">
        <v>3.3399377193986841E-2</v>
      </c>
      <c r="N56" s="12"/>
    </row>
    <row r="57" spans="4:14" ht="15" customHeight="1">
      <c r="D57" s="25"/>
      <c r="E57" s="30" t="s">
        <v>791</v>
      </c>
      <c r="F57" s="745">
        <v>2.9888072978458129E-2</v>
      </c>
      <c r="G57" s="745">
        <v>3.4616799879571558E-2</v>
      </c>
      <c r="H57" s="745">
        <v>4.1193877208066346E-2</v>
      </c>
      <c r="I57" s="745">
        <v>4.6602657430438593E-2</v>
      </c>
      <c r="J57" s="745">
        <v>5.1435301877519643E-2</v>
      </c>
      <c r="K57" s="745">
        <v>5.6481282305375233E-2</v>
      </c>
      <c r="L57" s="745">
        <v>6.1554066609240045E-2</v>
      </c>
      <c r="M57" s="745">
        <v>6.6798754387973683E-2</v>
      </c>
      <c r="N57" s="12"/>
    </row>
    <row r="58" spans="4:14" ht="15" customHeight="1">
      <c r="D58" s="25"/>
      <c r="E58" s="30" t="s">
        <v>792</v>
      </c>
      <c r="F58" s="745">
        <v>5.230412771230173E-2</v>
      </c>
      <c r="G58" s="745">
        <v>6.0579399789250268E-2</v>
      </c>
      <c r="H58" s="745">
        <v>7.2089285114116164E-2</v>
      </c>
      <c r="I58" s="745">
        <v>8.1554650503267351E-2</v>
      </c>
      <c r="J58" s="745">
        <v>9.0011778285659233E-2</v>
      </c>
      <c r="K58" s="745">
        <v>9.8842244034406779E-2</v>
      </c>
      <c r="L58" s="745">
        <v>0.10771961656617034</v>
      </c>
      <c r="M58" s="745">
        <v>0.11689782017895359</v>
      </c>
      <c r="N58" s="12"/>
    </row>
    <row r="59" spans="4:14" ht="15" customHeight="1">
      <c r="D59" s="25"/>
      <c r="E59" s="32" t="s">
        <v>793</v>
      </c>
      <c r="F59" s="746">
        <v>5.230412771230173E-2</v>
      </c>
      <c r="G59" s="746">
        <v>6.0579399789250268E-2</v>
      </c>
      <c r="H59" s="746">
        <v>7.2089285114116164E-2</v>
      </c>
      <c r="I59" s="746">
        <v>8.1554650503267351E-2</v>
      </c>
      <c r="J59" s="746">
        <v>9.0011778285659233E-2</v>
      </c>
      <c r="K59" s="746">
        <v>9.8842244034406779E-2</v>
      </c>
      <c r="L59" s="746">
        <v>0.10771961656617034</v>
      </c>
      <c r="M59" s="746">
        <v>0.11689782017895359</v>
      </c>
      <c r="N59" s="12"/>
    </row>
    <row r="60" spans="4:14" ht="15" customHeight="1">
      <c r="D60" s="25"/>
      <c r="E60" s="92" t="s">
        <v>338</v>
      </c>
      <c r="F60" s="3676">
        <f t="shared" ref="F60:M60" si="4">SUM(F56:F59)</f>
        <v>0.14944036489229065</v>
      </c>
      <c r="G60" s="3676">
        <f t="shared" si="4"/>
        <v>0.17308399939785787</v>
      </c>
      <c r="H60" s="3676">
        <f t="shared" si="4"/>
        <v>0.20596938604033188</v>
      </c>
      <c r="I60" s="3676">
        <f t="shared" si="4"/>
        <v>0.23301328715219258</v>
      </c>
      <c r="J60" s="3676">
        <f t="shared" si="4"/>
        <v>0.25717650938759795</v>
      </c>
      <c r="K60" s="3676">
        <f t="shared" si="4"/>
        <v>0.2824064115268764</v>
      </c>
      <c r="L60" s="3676">
        <f t="shared" si="4"/>
        <v>0.30777033304620077</v>
      </c>
      <c r="M60" s="3676">
        <f t="shared" si="4"/>
        <v>0.33399377193986768</v>
      </c>
      <c r="N60" s="12"/>
    </row>
    <row r="61" spans="4:14" ht="15" customHeight="1">
      <c r="D61" s="25"/>
      <c r="E61" s="12"/>
      <c r="F61" s="752"/>
      <c r="G61" s="752"/>
      <c r="H61" s="752"/>
      <c r="I61" s="752"/>
      <c r="J61" s="752"/>
      <c r="K61" s="752"/>
      <c r="L61" s="752"/>
      <c r="M61" s="752"/>
      <c r="N61" s="12"/>
    </row>
    <row r="62" spans="4:14" ht="15" customHeight="1">
      <c r="D62" s="25"/>
      <c r="E62" s="23" t="s">
        <v>1729</v>
      </c>
      <c r="F62" s="752"/>
      <c r="G62" s="752"/>
      <c r="H62" s="752"/>
      <c r="I62" s="752"/>
      <c r="J62" s="752"/>
      <c r="K62" s="752"/>
      <c r="L62" s="752"/>
      <c r="M62" s="752"/>
      <c r="N62" s="12"/>
    </row>
    <row r="63" spans="4:14" ht="15" customHeight="1">
      <c r="D63" s="25"/>
      <c r="E63" s="26"/>
      <c r="F63" s="727"/>
      <c r="G63" s="727"/>
      <c r="H63" s="727"/>
      <c r="I63" s="727"/>
      <c r="J63" s="727"/>
      <c r="K63" s="727"/>
      <c r="L63" s="727"/>
      <c r="M63" s="730" t="s">
        <v>9</v>
      </c>
      <c r="N63" s="12"/>
    </row>
    <row r="64" spans="4:14" ht="15" customHeight="1">
      <c r="D64" s="25"/>
      <c r="E64" s="28" t="s">
        <v>789</v>
      </c>
      <c r="F64" s="731">
        <v>2018</v>
      </c>
      <c r="G64" s="731">
        <v>2020</v>
      </c>
      <c r="H64" s="731">
        <v>2025</v>
      </c>
      <c r="I64" s="731">
        <v>2030</v>
      </c>
      <c r="J64" s="731">
        <v>2035</v>
      </c>
      <c r="K64" s="731">
        <v>2040</v>
      </c>
      <c r="L64" s="731">
        <v>2045</v>
      </c>
      <c r="M64" s="731">
        <v>2050</v>
      </c>
      <c r="N64" s="12"/>
    </row>
    <row r="65" spans="4:14" ht="15" customHeight="1">
      <c r="D65" s="25"/>
      <c r="E65" s="30" t="s">
        <v>795</v>
      </c>
      <c r="F65" s="745">
        <v>1.490731523373697E-2</v>
      </c>
      <c r="G65" s="745">
        <v>1.7141037550229842E-2</v>
      </c>
      <c r="H65" s="745">
        <v>2.0194663558254437E-2</v>
      </c>
      <c r="I65" s="745">
        <v>2.2574624981548039E-2</v>
      </c>
      <c r="J65" s="745">
        <v>2.4518340857997225E-2</v>
      </c>
      <c r="K65" s="745">
        <v>2.6434185141948841E-2</v>
      </c>
      <c r="L65" s="745">
        <v>2.8149779122157007E-2</v>
      </c>
      <c r="M65" s="745">
        <v>2.9774702009716228E-2</v>
      </c>
      <c r="N65" s="12"/>
    </row>
    <row r="66" spans="4:14" ht="15" customHeight="1">
      <c r="D66" s="11"/>
      <c r="E66" s="30" t="s">
        <v>791</v>
      </c>
      <c r="F66" s="745">
        <v>2.9814630467474002E-2</v>
      </c>
      <c r="G66" s="745">
        <v>3.4282075100459684E-2</v>
      </c>
      <c r="H66" s="745">
        <v>4.0389327116508805E-2</v>
      </c>
      <c r="I66" s="745">
        <v>4.5149249963096078E-2</v>
      </c>
      <c r="J66" s="745">
        <v>4.9036681715994526E-2</v>
      </c>
      <c r="K66" s="745">
        <v>5.2868370283897757E-2</v>
      </c>
      <c r="L66" s="745">
        <v>5.6299558244314013E-2</v>
      </c>
      <c r="M66" s="745">
        <v>5.9549404019432456E-2</v>
      </c>
      <c r="N66" s="12"/>
    </row>
    <row r="67" spans="4:14" ht="15" customHeight="1">
      <c r="D67" s="13"/>
      <c r="E67" s="30" t="s">
        <v>792</v>
      </c>
      <c r="F67" s="745">
        <v>5.217560331807946E-2</v>
      </c>
      <c r="G67" s="745">
        <v>5.9993631425804481E-2</v>
      </c>
      <c r="H67" s="745">
        <v>7.0681322453890569E-2</v>
      </c>
      <c r="I67" s="745">
        <v>7.9011187435418462E-2</v>
      </c>
      <c r="J67" s="745">
        <v>8.5814193002990619E-2</v>
      </c>
      <c r="K67" s="745">
        <v>9.2519647996821108E-2</v>
      </c>
      <c r="L67" s="745">
        <v>9.852422692754928E-2</v>
      </c>
      <c r="M67" s="745">
        <v>0.10421145703400693</v>
      </c>
      <c r="N67" s="12"/>
    </row>
    <row r="68" spans="4:14" ht="15" customHeight="1">
      <c r="D68" s="25"/>
      <c r="E68" s="32" t="s">
        <v>793</v>
      </c>
      <c r="F68" s="746">
        <v>5.217560331807946E-2</v>
      </c>
      <c r="G68" s="746">
        <v>5.9993631425804481E-2</v>
      </c>
      <c r="H68" s="746">
        <v>7.0681322453890569E-2</v>
      </c>
      <c r="I68" s="746">
        <v>7.9011187435418462E-2</v>
      </c>
      <c r="J68" s="746">
        <v>8.5814193002990619E-2</v>
      </c>
      <c r="K68" s="746">
        <v>9.2519647996821108E-2</v>
      </c>
      <c r="L68" s="746">
        <v>9.852422692754928E-2</v>
      </c>
      <c r="M68" s="746">
        <v>0.10421145703400693</v>
      </c>
      <c r="N68" s="12"/>
    </row>
    <row r="69" spans="4:14" ht="15" customHeight="1">
      <c r="D69" s="25"/>
      <c r="E69" s="92" t="s">
        <v>338</v>
      </c>
      <c r="F69" s="3676">
        <f t="shared" ref="F69:M69" si="5">SUM(F65:F68)</f>
        <v>0.1490731523373699</v>
      </c>
      <c r="G69" s="3676">
        <f t="shared" si="5"/>
        <v>0.17141037550229848</v>
      </c>
      <c r="H69" s="3676">
        <f t="shared" si="5"/>
        <v>0.20194663558254439</v>
      </c>
      <c r="I69" s="3676">
        <f t="shared" si="5"/>
        <v>0.22574624981548103</v>
      </c>
      <c r="J69" s="3676">
        <f t="shared" si="5"/>
        <v>0.24518340857997298</v>
      </c>
      <c r="K69" s="3676">
        <f t="shared" si="5"/>
        <v>0.26434185141948885</v>
      </c>
      <c r="L69" s="3676">
        <f t="shared" si="5"/>
        <v>0.28149779122156959</v>
      </c>
      <c r="M69" s="3676">
        <f t="shared" si="5"/>
        <v>0.29774702009716253</v>
      </c>
      <c r="N69" s="12"/>
    </row>
    <row r="70" spans="4:14" ht="15" customHeight="1">
      <c r="D70" s="25"/>
      <c r="E70" s="12"/>
      <c r="F70" s="752"/>
      <c r="G70" s="752"/>
      <c r="H70" s="752"/>
      <c r="I70" s="752"/>
      <c r="J70" s="752"/>
      <c r="K70" s="752"/>
      <c r="L70" s="752"/>
      <c r="M70" s="752"/>
      <c r="N70" s="12"/>
    </row>
    <row r="71" spans="4:14" ht="15" customHeight="1">
      <c r="D71" s="25"/>
      <c r="E71" s="23" t="s">
        <v>1730</v>
      </c>
      <c r="F71" s="752"/>
      <c r="G71" s="752"/>
      <c r="H71" s="752"/>
      <c r="I71" s="752"/>
      <c r="J71" s="752"/>
      <c r="K71" s="752"/>
      <c r="L71" s="752"/>
      <c r="M71" s="752"/>
      <c r="N71" s="12"/>
    </row>
    <row r="72" spans="4:14" ht="15" customHeight="1">
      <c r="D72" s="25"/>
      <c r="E72" s="26"/>
      <c r="F72" s="727"/>
      <c r="G72" s="727"/>
      <c r="H72" s="727"/>
      <c r="I72" s="727"/>
      <c r="J72" s="727"/>
      <c r="K72" s="727"/>
      <c r="L72" s="727"/>
      <c r="M72" s="730" t="s">
        <v>9</v>
      </c>
      <c r="N72" s="12"/>
    </row>
    <row r="73" spans="4:14" ht="15" customHeight="1">
      <c r="D73" s="25"/>
      <c r="E73" s="28" t="s">
        <v>789</v>
      </c>
      <c r="F73" s="731">
        <v>2018</v>
      </c>
      <c r="G73" s="731">
        <v>2020</v>
      </c>
      <c r="H73" s="731">
        <v>2025</v>
      </c>
      <c r="I73" s="731">
        <v>2030</v>
      </c>
      <c r="J73" s="731">
        <v>2035</v>
      </c>
      <c r="K73" s="731">
        <v>2040</v>
      </c>
      <c r="L73" s="731">
        <v>2045</v>
      </c>
      <c r="M73" s="731">
        <v>2050</v>
      </c>
      <c r="N73" s="12"/>
    </row>
    <row r="74" spans="4:14" ht="15" customHeight="1">
      <c r="D74" s="25"/>
      <c r="E74" s="30" t="s">
        <v>795</v>
      </c>
      <c r="F74" s="745">
        <v>1.490731523373697E-2</v>
      </c>
      <c r="G74" s="745">
        <v>1.6947927100742215E-2</v>
      </c>
      <c r="H74" s="745">
        <v>1.9658296830549381E-2</v>
      </c>
      <c r="I74" s="745">
        <v>2.1552697856072826E-2</v>
      </c>
      <c r="J74" s="745">
        <v>2.2784398572557443E-2</v>
      </c>
      <c r="K74" s="745">
        <v>2.3777632184980139E-2</v>
      </c>
      <c r="L74" s="745">
        <v>2.4241467115187241E-2</v>
      </c>
      <c r="M74" s="745">
        <v>2.4337689233310318E-2</v>
      </c>
      <c r="N74" s="12"/>
    </row>
    <row r="75" spans="4:14" ht="15" customHeight="1">
      <c r="D75" s="25"/>
      <c r="E75" s="30" t="s">
        <v>791</v>
      </c>
      <c r="F75" s="745">
        <v>2.9814630467474002E-2</v>
      </c>
      <c r="G75" s="745">
        <v>3.3895854201484499E-2</v>
      </c>
      <c r="H75" s="745">
        <v>3.9316593661098839E-2</v>
      </c>
      <c r="I75" s="745">
        <v>4.3105395712145653E-2</v>
      </c>
      <c r="J75" s="745">
        <v>4.556879714511481E-2</v>
      </c>
      <c r="K75" s="745">
        <v>4.7555264369960278E-2</v>
      </c>
      <c r="L75" s="745">
        <v>4.8482934230374398E-2</v>
      </c>
      <c r="M75" s="745">
        <v>4.867537846662072E-2</v>
      </c>
      <c r="N75" s="12"/>
    </row>
    <row r="76" spans="4:14" ht="15" customHeight="1">
      <c r="D76" s="25"/>
      <c r="E76" s="30" t="s">
        <v>792</v>
      </c>
      <c r="F76" s="745">
        <v>5.217560331807946E-2</v>
      </c>
      <c r="G76" s="745">
        <v>5.931774485259781E-2</v>
      </c>
      <c r="H76" s="745">
        <v>6.880403890692291E-2</v>
      </c>
      <c r="I76" s="745">
        <v>7.543444249625475E-2</v>
      </c>
      <c r="J76" s="745">
        <v>7.9745395003951017E-2</v>
      </c>
      <c r="K76" s="745">
        <v>8.3221712647430127E-2</v>
      </c>
      <c r="L76" s="745">
        <v>8.4845134903155331E-2</v>
      </c>
      <c r="M76" s="745">
        <v>8.5181912316586145E-2</v>
      </c>
      <c r="N76" s="12"/>
    </row>
    <row r="77" spans="4:14" ht="15" customHeight="1">
      <c r="D77" s="25"/>
      <c r="E77" s="32" t="s">
        <v>793</v>
      </c>
      <c r="F77" s="746">
        <v>5.217560331807946E-2</v>
      </c>
      <c r="G77" s="746">
        <v>5.931774485259781E-2</v>
      </c>
      <c r="H77" s="746">
        <v>6.880403890692291E-2</v>
      </c>
      <c r="I77" s="746">
        <v>7.543444249625475E-2</v>
      </c>
      <c r="J77" s="746">
        <v>7.9745395003951017E-2</v>
      </c>
      <c r="K77" s="746">
        <v>8.3221712647430127E-2</v>
      </c>
      <c r="L77" s="746">
        <v>8.4845134903155331E-2</v>
      </c>
      <c r="M77" s="746">
        <v>8.5181912316586145E-2</v>
      </c>
      <c r="N77" s="12"/>
    </row>
    <row r="78" spans="4:14" ht="15" customHeight="1">
      <c r="D78" s="25"/>
      <c r="E78" s="92" t="s">
        <v>338</v>
      </c>
      <c r="F78" s="3676">
        <f t="shared" ref="F78:M78" si="6">SUM(F74:F77)</f>
        <v>0.1490731523373699</v>
      </c>
      <c r="G78" s="3676">
        <f t="shared" si="6"/>
        <v>0.16947927100742233</v>
      </c>
      <c r="H78" s="3676">
        <f t="shared" si="6"/>
        <v>0.19658296830549404</v>
      </c>
      <c r="I78" s="3676">
        <f t="shared" si="6"/>
        <v>0.21552697856072797</v>
      </c>
      <c r="J78" s="3676">
        <f t="shared" si="6"/>
        <v>0.22784398572557429</v>
      </c>
      <c r="K78" s="3676">
        <f t="shared" si="6"/>
        <v>0.23777632184980069</v>
      </c>
      <c r="L78" s="3676">
        <f t="shared" si="6"/>
        <v>0.24241467115187232</v>
      </c>
      <c r="M78" s="3676">
        <f t="shared" si="6"/>
        <v>0.24337689233310333</v>
      </c>
      <c r="N78" s="12"/>
    </row>
    <row r="79" spans="4:14" ht="15" customHeight="1">
      <c r="D79" s="25"/>
      <c r="E79" s="35"/>
      <c r="F79" s="733"/>
      <c r="G79" s="734"/>
      <c r="H79" s="734"/>
      <c r="I79" s="734"/>
      <c r="J79" s="734"/>
      <c r="K79" s="734"/>
      <c r="L79" s="734"/>
      <c r="M79" s="734"/>
      <c r="N79" s="12"/>
    </row>
    <row r="80" spans="4:14" ht="15" customHeight="1">
      <c r="D80" s="25"/>
      <c r="E80" s="23" t="s">
        <v>1731</v>
      </c>
      <c r="F80" s="733"/>
      <c r="G80" s="734"/>
      <c r="H80" s="734"/>
      <c r="I80" s="734"/>
      <c r="J80" s="734"/>
      <c r="K80" s="734"/>
      <c r="L80" s="734"/>
      <c r="M80" s="734"/>
      <c r="N80" s="12"/>
    </row>
    <row r="81" spans="4:14" ht="15" customHeight="1">
      <c r="D81" s="11"/>
      <c r="E81" s="26"/>
      <c r="F81" s="727"/>
      <c r="G81" s="727"/>
      <c r="H81" s="727"/>
      <c r="I81" s="727"/>
      <c r="J81" s="727"/>
      <c r="K81" s="727"/>
      <c r="L81" s="727"/>
      <c r="M81" s="730" t="s">
        <v>9</v>
      </c>
      <c r="N81" s="12"/>
    </row>
    <row r="82" spans="4:14" ht="15" customHeight="1">
      <c r="D82" s="13"/>
      <c r="E82" s="28" t="s">
        <v>789</v>
      </c>
      <c r="F82" s="731">
        <v>2018</v>
      </c>
      <c r="G82" s="731">
        <v>2020</v>
      </c>
      <c r="H82" s="731">
        <v>2025</v>
      </c>
      <c r="I82" s="731">
        <v>2030</v>
      </c>
      <c r="J82" s="731">
        <v>2035</v>
      </c>
      <c r="K82" s="731">
        <v>2040</v>
      </c>
      <c r="L82" s="731">
        <v>2045</v>
      </c>
      <c r="M82" s="731">
        <v>2050</v>
      </c>
      <c r="N82" s="12"/>
    </row>
    <row r="83" spans="4:14" ht="15" customHeight="1">
      <c r="D83" s="25"/>
      <c r="E83" s="30" t="s">
        <v>795</v>
      </c>
      <c r="F83" s="745">
        <v>1.490731523373697E-2</v>
      </c>
      <c r="G83" s="745">
        <v>1.6626076351596211E-2</v>
      </c>
      <c r="H83" s="745">
        <v>1.876435228437439E-2</v>
      </c>
      <c r="I83" s="745">
        <v>1.9849485980280784E-2</v>
      </c>
      <c r="J83" s="745">
        <v>1.9894494763491036E-2</v>
      </c>
      <c r="K83" s="745">
        <v>1.9350043923365576E-2</v>
      </c>
      <c r="L83" s="745">
        <v>1.7727613770237492E-2</v>
      </c>
      <c r="M83" s="745">
        <v>1.5276001272633875E-2</v>
      </c>
      <c r="N83" s="12"/>
    </row>
    <row r="84" spans="4:14" ht="15" customHeight="1">
      <c r="D84" s="25"/>
      <c r="E84" s="30" t="s">
        <v>791</v>
      </c>
      <c r="F84" s="745">
        <v>2.9814630467474002E-2</v>
      </c>
      <c r="G84" s="745">
        <v>3.3252152703192421E-2</v>
      </c>
      <c r="H84" s="745">
        <v>3.752870456874878E-2</v>
      </c>
      <c r="I84" s="745">
        <v>3.9698971960561567E-2</v>
      </c>
      <c r="J84" s="745">
        <v>3.9788989526981997E-2</v>
      </c>
      <c r="K84" s="745">
        <v>3.8700087846731152E-2</v>
      </c>
      <c r="L84" s="745">
        <v>3.5455227540475066E-2</v>
      </c>
      <c r="M84" s="745">
        <v>3.0552002545267749E-2</v>
      </c>
      <c r="N84" s="12"/>
    </row>
    <row r="85" spans="4:14" ht="15" customHeight="1">
      <c r="D85" s="25"/>
      <c r="E85" s="30" t="s">
        <v>792</v>
      </c>
      <c r="F85" s="745">
        <v>5.217560331807946E-2</v>
      </c>
      <c r="G85" s="745">
        <v>5.8191267230586707E-2</v>
      </c>
      <c r="H85" s="745">
        <v>6.567523299531032E-2</v>
      </c>
      <c r="I85" s="745">
        <v>6.9473200930982748E-2</v>
      </c>
      <c r="J85" s="745">
        <v>6.9630731672218518E-2</v>
      </c>
      <c r="K85" s="745">
        <v>6.7725153731779522E-2</v>
      </c>
      <c r="L85" s="745">
        <v>6.204664819583134E-2</v>
      </c>
      <c r="M85" s="745">
        <v>5.346600445421848E-2</v>
      </c>
      <c r="N85" s="12"/>
    </row>
    <row r="86" spans="4:14" ht="15" customHeight="1">
      <c r="D86" s="25"/>
      <c r="E86" s="32" t="s">
        <v>793</v>
      </c>
      <c r="F86" s="746">
        <v>5.217560331807946E-2</v>
      </c>
      <c r="G86" s="746">
        <v>5.8191267230586707E-2</v>
      </c>
      <c r="H86" s="746">
        <v>6.567523299531032E-2</v>
      </c>
      <c r="I86" s="746">
        <v>6.9473200930982748E-2</v>
      </c>
      <c r="J86" s="746">
        <v>6.9630731672218518E-2</v>
      </c>
      <c r="K86" s="746">
        <v>6.7725153731779522E-2</v>
      </c>
      <c r="L86" s="746">
        <v>6.204664819583134E-2</v>
      </c>
      <c r="M86" s="746">
        <v>5.346600445421848E-2</v>
      </c>
      <c r="N86" s="12"/>
    </row>
    <row r="87" spans="4:14" ht="15" customHeight="1">
      <c r="D87" s="25"/>
      <c r="E87" s="92" t="s">
        <v>338</v>
      </c>
      <c r="F87" s="3676">
        <f t="shared" ref="F87:M87" si="7">SUM(F83:F86)</f>
        <v>0.1490731523373699</v>
      </c>
      <c r="G87" s="3676">
        <f t="shared" si="7"/>
        <v>0.16626076351596203</v>
      </c>
      <c r="H87" s="3676">
        <f t="shared" si="7"/>
        <v>0.1876435228437438</v>
      </c>
      <c r="I87" s="3676">
        <f t="shared" si="7"/>
        <v>0.19849485980280784</v>
      </c>
      <c r="J87" s="3676">
        <f t="shared" si="7"/>
        <v>0.19894494763491005</v>
      </c>
      <c r="K87" s="3676">
        <f t="shared" si="7"/>
        <v>0.19350043923365579</v>
      </c>
      <c r="L87" s="3676">
        <f t="shared" si="7"/>
        <v>0.17727613770237524</v>
      </c>
      <c r="M87" s="3676">
        <f t="shared" si="7"/>
        <v>0.1527600127263386</v>
      </c>
      <c r="N87" s="12"/>
    </row>
    <row r="88" spans="4:14" ht="15" customHeight="1">
      <c r="D88" s="25"/>
      <c r="E88" s="35"/>
      <c r="F88" s="735"/>
      <c r="G88" s="735"/>
      <c r="H88" s="733"/>
      <c r="I88" s="734"/>
      <c r="J88" s="734"/>
      <c r="K88" s="734"/>
      <c r="L88" s="734"/>
      <c r="M88" s="734"/>
      <c r="N88" s="36"/>
    </row>
    <row r="89" spans="4:14" ht="15" customHeight="1">
      <c r="F89" s="696"/>
      <c r="G89" s="696"/>
      <c r="H89" s="696"/>
      <c r="I89" s="696"/>
      <c r="J89" s="696"/>
      <c r="K89" s="696"/>
      <c r="L89" s="696"/>
      <c r="M89" s="696"/>
    </row>
    <row r="90" spans="4:14" ht="15" customHeight="1">
      <c r="D90" s="909" t="s">
        <v>51</v>
      </c>
      <c r="E90" s="336"/>
      <c r="F90" s="908"/>
      <c r="G90" s="908"/>
      <c r="H90" s="908"/>
      <c r="I90" s="908"/>
      <c r="J90" s="908"/>
      <c r="K90" s="908"/>
      <c r="L90" s="908"/>
      <c r="M90" s="908"/>
      <c r="N90" s="336"/>
    </row>
    <row r="91" spans="4:14" ht="15" customHeight="1">
      <c r="D91" s="910"/>
      <c r="E91" s="146"/>
      <c r="F91" s="832"/>
      <c r="G91" s="832"/>
      <c r="H91" s="832"/>
      <c r="I91" s="832"/>
      <c r="J91" s="832"/>
      <c r="K91" s="832"/>
      <c r="L91" s="832"/>
      <c r="M91" s="832"/>
      <c r="N91" s="146"/>
    </row>
    <row r="92" spans="4:14" ht="15" customHeight="1">
      <c r="D92" s="910"/>
      <c r="E92" s="26" t="s">
        <v>2209</v>
      </c>
      <c r="F92" s="12"/>
      <c r="G92" s="12"/>
      <c r="H92" s="12"/>
      <c r="I92" s="12"/>
      <c r="J92" s="12"/>
      <c r="K92" s="12"/>
      <c r="L92" s="12"/>
      <c r="M92" s="730" t="s">
        <v>2210</v>
      </c>
      <c r="N92" s="146"/>
    </row>
    <row r="93" spans="4:14" ht="15" customHeight="1">
      <c r="D93" s="910"/>
      <c r="E93" s="89" t="s">
        <v>879</v>
      </c>
      <c r="F93" s="731">
        <v>2018</v>
      </c>
      <c r="G93" s="731">
        <v>2020</v>
      </c>
      <c r="H93" s="731">
        <v>2025</v>
      </c>
      <c r="I93" s="731">
        <v>2030</v>
      </c>
      <c r="J93" s="731">
        <v>2035</v>
      </c>
      <c r="K93" s="731">
        <v>2040</v>
      </c>
      <c r="L93" s="731">
        <v>2045</v>
      </c>
      <c r="M93" s="731">
        <v>2050</v>
      </c>
      <c r="N93" s="146"/>
    </row>
    <row r="94" spans="4:14" ht="15" customHeight="1">
      <c r="D94" s="910"/>
      <c r="E94" s="90">
        <v>1</v>
      </c>
      <c r="F94" s="969">
        <v>0</v>
      </c>
      <c r="G94" s="969">
        <v>0</v>
      </c>
      <c r="H94" s="969">
        <v>0</v>
      </c>
      <c r="I94" s="969">
        <v>0</v>
      </c>
      <c r="J94" s="969">
        <v>0</v>
      </c>
      <c r="K94" s="969">
        <v>0</v>
      </c>
      <c r="L94" s="969">
        <v>0</v>
      </c>
      <c r="M94" s="969">
        <v>0</v>
      </c>
      <c r="N94" s="146"/>
    </row>
    <row r="95" spans="4:14" ht="15" customHeight="1">
      <c r="D95" s="910"/>
      <c r="E95" s="90">
        <v>2</v>
      </c>
      <c r="F95" s="969">
        <v>803058817.13775802</v>
      </c>
      <c r="G95" s="969">
        <v>804451017.09025502</v>
      </c>
      <c r="H95" s="969">
        <v>809842283.48534501</v>
      </c>
      <c r="I95" s="969">
        <v>816574799.13404202</v>
      </c>
      <c r="J95" s="969">
        <v>822976889.80205095</v>
      </c>
      <c r="K95" s="969">
        <v>832190038.33915401</v>
      </c>
      <c r="L95" s="969">
        <v>835775942.10671902</v>
      </c>
      <c r="M95" s="969">
        <v>839302425.40291202</v>
      </c>
      <c r="N95" s="146"/>
    </row>
    <row r="96" spans="4:14" ht="15" customHeight="1">
      <c r="D96" s="910"/>
      <c r="E96" s="90">
        <v>3</v>
      </c>
      <c r="F96" s="969">
        <v>778012326.85965598</v>
      </c>
      <c r="G96" s="969">
        <v>848012385.79610395</v>
      </c>
      <c r="H96" s="969">
        <v>870193827.15916204</v>
      </c>
      <c r="I96" s="969">
        <v>883806434.37801099</v>
      </c>
      <c r="J96" s="969">
        <v>893471161.97078896</v>
      </c>
      <c r="K96" s="969">
        <v>903616464.64461005</v>
      </c>
      <c r="L96" s="969">
        <v>908163843.85745704</v>
      </c>
      <c r="M96" s="969">
        <v>912115339.38065803</v>
      </c>
      <c r="N96" s="146"/>
    </row>
    <row r="97" spans="4:14" ht="15" customHeight="1">
      <c r="D97" s="910"/>
      <c r="E97" s="91">
        <v>4</v>
      </c>
      <c r="F97" s="970">
        <v>753740904.39252698</v>
      </c>
      <c r="G97" s="970">
        <v>866062978.921417</v>
      </c>
      <c r="H97" s="970">
        <v>890120108.56811297</v>
      </c>
      <c r="I97" s="970">
        <v>903338551.67163396</v>
      </c>
      <c r="J97" s="970">
        <v>912282603.83789003</v>
      </c>
      <c r="K97" s="970">
        <v>921366602.79290295</v>
      </c>
      <c r="L97" s="970">
        <v>925393908.81047904</v>
      </c>
      <c r="M97" s="970">
        <v>928852520.97862399</v>
      </c>
      <c r="N97" s="146"/>
    </row>
    <row r="98" spans="4:14" ht="15" customHeight="1">
      <c r="D98" s="40"/>
      <c r="E98" s="90"/>
      <c r="F98" s="969"/>
      <c r="G98" s="969"/>
      <c r="H98" s="969"/>
      <c r="I98" s="969"/>
      <c r="J98" s="969"/>
      <c r="K98" s="969"/>
      <c r="L98" s="969"/>
      <c r="M98" s="969"/>
      <c r="N98" s="40"/>
    </row>
    <row r="99" spans="4:14" ht="15" customHeight="1">
      <c r="D99" s="40"/>
      <c r="E99" s="26" t="s">
        <v>2211</v>
      </c>
      <c r="F99" s="971" t="s">
        <v>2210</v>
      </c>
      <c r="G99" s="969"/>
      <c r="H99" s="969"/>
      <c r="I99" s="969"/>
      <c r="J99" s="969"/>
      <c r="K99" s="969"/>
      <c r="L99" s="969"/>
      <c r="M99" s="969"/>
      <c r="N99" s="98"/>
    </row>
    <row r="100" spans="4:14" ht="15" customHeight="1">
      <c r="D100" s="40"/>
      <c r="E100" s="89" t="s">
        <v>879</v>
      </c>
      <c r="F100" s="972" t="s">
        <v>2212</v>
      </c>
      <c r="G100" s="969"/>
      <c r="H100" s="969"/>
      <c r="I100" s="969"/>
      <c r="J100" s="969"/>
      <c r="K100" s="969"/>
      <c r="L100" s="969"/>
      <c r="M100" s="969"/>
      <c r="N100" s="40"/>
    </row>
    <row r="101" spans="4:14" ht="15" customHeight="1">
      <c r="D101" s="20"/>
      <c r="E101" s="90">
        <v>1</v>
      </c>
      <c r="F101" s="969">
        <v>0</v>
      </c>
      <c r="G101" s="969"/>
      <c r="H101" s="969"/>
      <c r="I101" s="969"/>
      <c r="J101" s="969"/>
      <c r="K101" s="969"/>
      <c r="L101" s="969"/>
      <c r="M101" s="969"/>
      <c r="N101" s="12"/>
    </row>
    <row r="102" spans="4:14" ht="15" customHeight="1">
      <c r="D102" s="40"/>
      <c r="E102" s="90">
        <v>2</v>
      </c>
      <c r="F102" s="969">
        <v>177432798.499695</v>
      </c>
      <c r="G102" s="969"/>
      <c r="H102" s="969"/>
      <c r="I102" s="969"/>
      <c r="J102" s="969"/>
      <c r="K102" s="969"/>
      <c r="L102" s="969"/>
      <c r="M102" s="969"/>
      <c r="N102" s="12"/>
    </row>
    <row r="103" spans="4:14" ht="15" customHeight="1">
      <c r="D103" s="42"/>
      <c r="E103" s="90">
        <v>3</v>
      </c>
      <c r="F103" s="969">
        <v>177432798.499695</v>
      </c>
      <c r="G103" s="969"/>
      <c r="H103" s="969"/>
      <c r="I103" s="969"/>
      <c r="J103" s="969"/>
      <c r="K103" s="969"/>
      <c r="L103" s="969"/>
      <c r="M103" s="969"/>
      <c r="N103" s="12"/>
    </row>
    <row r="104" spans="4:14" ht="15" customHeight="1">
      <c r="D104" s="40"/>
      <c r="E104" s="91">
        <v>4</v>
      </c>
      <c r="F104" s="970">
        <v>177432798.499695</v>
      </c>
      <c r="G104" s="969"/>
      <c r="H104" s="969"/>
      <c r="I104" s="969"/>
      <c r="J104" s="969"/>
      <c r="K104" s="969"/>
      <c r="L104" s="969"/>
      <c r="M104" s="969"/>
      <c r="N104" s="12"/>
    </row>
    <row r="105" spans="4:14" ht="15" customHeight="1">
      <c r="D105" s="40"/>
      <c r="E105" s="90"/>
      <c r="F105" s="969"/>
      <c r="G105" s="969"/>
      <c r="H105" s="969"/>
      <c r="I105" s="969"/>
      <c r="J105" s="969"/>
      <c r="K105" s="969"/>
      <c r="L105" s="969"/>
      <c r="M105" s="969"/>
      <c r="N105" s="12"/>
    </row>
    <row r="106" spans="4:14" ht="15" customHeight="1">
      <c r="D106" s="40"/>
      <c r="E106" s="19"/>
      <c r="F106" s="973"/>
      <c r="G106" s="973"/>
      <c r="H106" s="973"/>
      <c r="I106" s="973"/>
      <c r="J106" s="973"/>
      <c r="K106" s="973"/>
      <c r="L106" s="973"/>
      <c r="M106" s="973"/>
      <c r="N106" s="12"/>
    </row>
    <row r="107" spans="4:14" ht="15" customHeight="1">
      <c r="D107" s="25"/>
      <c r="E107" s="14" t="s">
        <v>2213</v>
      </c>
      <c r="F107" s="14"/>
      <c r="G107" s="14"/>
      <c r="H107" s="14"/>
      <c r="I107" s="14"/>
      <c r="J107" s="14"/>
      <c r="K107" s="14"/>
      <c r="L107" s="14"/>
      <c r="M107" s="14"/>
      <c r="N107" s="98"/>
    </row>
    <row r="108" spans="4:14" ht="15" customHeight="1">
      <c r="D108" s="25"/>
      <c r="E108" s="2976" t="s">
        <v>2214</v>
      </c>
      <c r="F108" s="40"/>
      <c r="G108" s="40"/>
      <c r="H108" s="40"/>
      <c r="I108" s="40"/>
      <c r="J108" s="40"/>
      <c r="K108" s="40"/>
      <c r="L108" s="40"/>
      <c r="M108" s="40"/>
      <c r="N108" s="40"/>
    </row>
    <row r="109" spans="4:14" ht="15" customHeight="1">
      <c r="D109" s="13"/>
      <c r="E109" s="400" t="s">
        <v>2215</v>
      </c>
      <c r="F109" s="20"/>
      <c r="G109" s="20"/>
      <c r="H109" s="20"/>
      <c r="I109" s="20"/>
      <c r="J109" s="20"/>
      <c r="K109" s="20"/>
      <c r="L109" s="20"/>
      <c r="M109" s="27" t="s">
        <v>803</v>
      </c>
      <c r="N109" s="12"/>
    </row>
    <row r="110" spans="4:14" ht="15" customHeight="1">
      <c r="D110" s="25"/>
      <c r="E110" s="89" t="s">
        <v>879</v>
      </c>
      <c r="F110" s="29">
        <v>2018</v>
      </c>
      <c r="G110" s="29">
        <v>2020</v>
      </c>
      <c r="H110" s="29">
        <v>2025</v>
      </c>
      <c r="I110" s="29">
        <v>2030</v>
      </c>
      <c r="J110" s="29">
        <v>2035</v>
      </c>
      <c r="K110" s="29">
        <v>2040</v>
      </c>
      <c r="L110" s="29">
        <v>2045</v>
      </c>
      <c r="M110" s="29">
        <v>2050</v>
      </c>
      <c r="N110" s="12"/>
    </row>
    <row r="111" spans="4:14" ht="15" customHeight="1">
      <c r="D111" s="42"/>
      <c r="E111" s="90">
        <v>1</v>
      </c>
      <c r="F111" s="98">
        <f>((SUM(F18:F21))-(SUM(F18:F21)))*(F94*COSTOS_2019_US_dolares_MMCOP*COSTOS_ALTO)</f>
        <v>0</v>
      </c>
      <c r="G111" s="98">
        <f t="shared" ref="G111:M111" si="8">((SUM(G18:G21))-(SUM(G18:G21)))*(G94*COSTOS_2019_US_dolares_MMCOP^COSTOS_ALTO)</f>
        <v>0</v>
      </c>
      <c r="H111" s="98">
        <f t="shared" si="8"/>
        <v>0</v>
      </c>
      <c r="I111" s="98">
        <f t="shared" si="8"/>
        <v>0</v>
      </c>
      <c r="J111" s="98">
        <f t="shared" si="8"/>
        <v>0</v>
      </c>
      <c r="K111" s="98">
        <f t="shared" si="8"/>
        <v>0</v>
      </c>
      <c r="L111" s="98">
        <f t="shared" si="8"/>
        <v>0</v>
      </c>
      <c r="M111" s="98">
        <f t="shared" si="8"/>
        <v>0</v>
      </c>
      <c r="N111" s="12"/>
    </row>
    <row r="112" spans="4:14" ht="15" customHeight="1">
      <c r="D112" s="25"/>
      <c r="E112" s="90">
        <v>2</v>
      </c>
      <c r="F112" s="98">
        <f>((SUM(F18:F21))-(SUM(F27:F30)))*(F95*COSTOS_2019_US_dolares_MMCOP*COSTOS_ALTO)</f>
        <v>2.2364553661552287</v>
      </c>
      <c r="G112" s="98">
        <f t="shared" ref="G112:M113" si="9">((SUM(G18:G21))-(SUM(G27:G30)))*(G95*COSTOS_2019_US_dolares_MMCOP^COSTOS_ALTO)</f>
        <v>4.2826709037397093</v>
      </c>
      <c r="H112" s="98">
        <f t="shared" si="9"/>
        <v>7.9011197359819114</v>
      </c>
      <c r="I112" s="98">
        <f t="shared" si="9"/>
        <v>12.321081671485727</v>
      </c>
      <c r="J112" s="98">
        <f t="shared" si="9"/>
        <v>18.449082674667739</v>
      </c>
      <c r="K112" s="98">
        <f t="shared" si="9"/>
        <v>25.536216167579141</v>
      </c>
      <c r="L112" s="98">
        <f t="shared" si="9"/>
        <v>35.429379385116334</v>
      </c>
      <c r="M112" s="98">
        <f t="shared" si="9"/>
        <v>47.038822494904856</v>
      </c>
      <c r="N112" s="12"/>
    </row>
    <row r="113" spans="4:14" ht="15" customHeight="1">
      <c r="D113" s="25"/>
      <c r="E113" s="90">
        <v>3</v>
      </c>
      <c r="F113" s="98">
        <f>((SUM(F18:F21))-(SUM(F36:F39)))*(F96*COSTOS_2019_US_dolares_MMCOP*COSTOS_ALTO)</f>
        <v>2.5681808939292665</v>
      </c>
      <c r="G113" s="98">
        <f t="shared" si="9"/>
        <v>8.5777008141685922</v>
      </c>
      <c r="H113" s="98">
        <f t="shared" si="9"/>
        <v>16.130870106439257</v>
      </c>
      <c r="I113" s="98">
        <f t="shared" si="9"/>
        <v>25.337491942535543</v>
      </c>
      <c r="J113" s="98">
        <f t="shared" si="9"/>
        <v>38.05583695470613</v>
      </c>
      <c r="K113" s="98">
        <f t="shared" si="9"/>
        <v>52.683154316074898</v>
      </c>
      <c r="L113" s="98">
        <f t="shared" si="9"/>
        <v>73.146152597856869</v>
      </c>
      <c r="M113" s="98">
        <f t="shared" si="9"/>
        <v>97.127301752379438</v>
      </c>
      <c r="N113" s="12"/>
    </row>
    <row r="114" spans="4:14" ht="15" customHeight="1">
      <c r="D114" s="25"/>
      <c r="E114" s="91">
        <v>4</v>
      </c>
      <c r="F114" s="3677">
        <f>((SUM(F18:F21))-(SUM(F45:F48)))*(F97*COSTOS_2019_US_dolares_MMCOP*COSTOS_ALTO)</f>
        <v>3.0325966328128828</v>
      </c>
      <c r="G114" s="3677">
        <f t="shared" ref="G114:M114" si="10">((SUM(G18:G21))-(SUM(G45:G48)))*(G97*COSTOS_2019_US_dolares_MMCOP^COSTOS_ALTO)</f>
        <v>13.959215549705906</v>
      </c>
      <c r="H114" s="3677">
        <f t="shared" si="10"/>
        <v>33.235087371581443</v>
      </c>
      <c r="I114" s="3677">
        <f t="shared" si="10"/>
        <v>59.32696514004531</v>
      </c>
      <c r="J114" s="3677">
        <f t="shared" si="10"/>
        <v>96.897341874442418</v>
      </c>
      <c r="K114" s="3677">
        <f t="shared" si="10"/>
        <v>143.79773927163149</v>
      </c>
      <c r="L114" s="3677">
        <f t="shared" si="10"/>
        <v>208.24124148992806</v>
      </c>
      <c r="M114" s="3677">
        <f t="shared" si="10"/>
        <v>286.06745487511216</v>
      </c>
      <c r="N114" s="12"/>
    </row>
    <row r="115" spans="4:14" ht="15" customHeight="1">
      <c r="D115" s="25"/>
      <c r="E115" s="36"/>
      <c r="F115" s="934"/>
      <c r="G115" s="935"/>
      <c r="H115" s="935"/>
      <c r="I115" s="935"/>
      <c r="J115" s="935"/>
      <c r="K115" s="935"/>
      <c r="L115" s="935"/>
      <c r="M115" s="935"/>
      <c r="N115" s="12"/>
    </row>
    <row r="116" spans="4:14" ht="15" customHeight="1">
      <c r="D116" s="13"/>
      <c r="E116" s="400" t="s">
        <v>2216</v>
      </c>
      <c r="F116" s="368"/>
      <c r="G116" s="368"/>
      <c r="H116" s="368"/>
      <c r="I116" s="368"/>
      <c r="J116" s="368"/>
      <c r="K116" s="368"/>
      <c r="L116" s="368"/>
      <c r="M116" s="536" t="s">
        <v>803</v>
      </c>
      <c r="N116" s="12"/>
    </row>
    <row r="117" spans="4:14" ht="15" customHeight="1">
      <c r="D117" s="25"/>
      <c r="E117" s="89" t="s">
        <v>879</v>
      </c>
      <c r="F117" s="932">
        <v>2018</v>
      </c>
      <c r="G117" s="932">
        <v>2020</v>
      </c>
      <c r="H117" s="932">
        <v>2025</v>
      </c>
      <c r="I117" s="932">
        <v>2030</v>
      </c>
      <c r="J117" s="932">
        <v>2035</v>
      </c>
      <c r="K117" s="932">
        <v>2040</v>
      </c>
      <c r="L117" s="932">
        <v>2045</v>
      </c>
      <c r="M117" s="932">
        <v>2050</v>
      </c>
      <c r="N117" s="12"/>
    </row>
    <row r="118" spans="4:14" ht="15" customHeight="1">
      <c r="D118" s="47"/>
      <c r="E118" s="90">
        <v>1</v>
      </c>
      <c r="F118" s="98">
        <f t="shared" ref="F118:M118" si="11">((SUM(F18:F21))-(SUM(F18:F21)))*(F94*COSTOS_2019_US_dolares_MMCOP*COSTOS_MEDIO)</f>
        <v>0</v>
      </c>
      <c r="G118" s="98">
        <f t="shared" si="11"/>
        <v>0</v>
      </c>
      <c r="H118" s="98">
        <f t="shared" si="11"/>
        <v>0</v>
      </c>
      <c r="I118" s="98">
        <f t="shared" si="11"/>
        <v>0</v>
      </c>
      <c r="J118" s="98">
        <f t="shared" si="11"/>
        <v>0</v>
      </c>
      <c r="K118" s="98">
        <f t="shared" si="11"/>
        <v>0</v>
      </c>
      <c r="L118" s="98">
        <f t="shared" si="11"/>
        <v>0</v>
      </c>
      <c r="M118" s="98">
        <f t="shared" si="11"/>
        <v>0</v>
      </c>
      <c r="N118" s="12"/>
    </row>
    <row r="119" spans="4:14" ht="15" customHeight="1">
      <c r="D119" s="25"/>
      <c r="E119" s="90">
        <v>2</v>
      </c>
      <c r="F119" s="98">
        <f t="shared" ref="F119:M119" si="12">((SUM(F18:F21))-(SUM(F27:F30)))*(F95*COSTOS_2019_US_dolares_MMCOP*COSTOS_MEDIO)</f>
        <v>1.7891642929241831</v>
      </c>
      <c r="G119" s="98">
        <f t="shared" si="12"/>
        <v>3.4261367229917679</v>
      </c>
      <c r="H119" s="98">
        <f t="shared" si="12"/>
        <v>6.3208957887855295</v>
      </c>
      <c r="I119" s="98">
        <f t="shared" si="12"/>
        <v>9.8568653371885819</v>
      </c>
      <c r="J119" s="98">
        <f t="shared" si="12"/>
        <v>14.759266139734194</v>
      </c>
      <c r="K119" s="98">
        <f t="shared" si="12"/>
        <v>20.428972934063314</v>
      </c>
      <c r="L119" s="98">
        <f t="shared" si="12"/>
        <v>28.343503508093072</v>
      </c>
      <c r="M119" s="98">
        <f t="shared" si="12"/>
        <v>37.631057995923889</v>
      </c>
      <c r="N119" s="12"/>
    </row>
    <row r="120" spans="4:14" ht="15" customHeight="1">
      <c r="D120" s="25"/>
      <c r="E120" s="90">
        <v>3</v>
      </c>
      <c r="F120" s="98">
        <f t="shared" ref="F120:M120" si="13">((SUM(F18:F21))-(SUM(F36:F39)))*(F96*COSTOS_2019_US_dolares_MMCOP*COSTOS_MEDIO)</f>
        <v>2.0545447151434133</v>
      </c>
      <c r="G120" s="98">
        <f t="shared" si="13"/>
        <v>6.7241811705414172</v>
      </c>
      <c r="H120" s="98">
        <f t="shared" si="13"/>
        <v>14.967003457447168</v>
      </c>
      <c r="I120" s="98">
        <f t="shared" si="13"/>
        <v>25.909314598199618</v>
      </c>
      <c r="J120" s="98">
        <f t="shared" si="13"/>
        <v>41.559930179058618</v>
      </c>
      <c r="K120" s="98">
        <f t="shared" si="13"/>
        <v>60.84724451805122</v>
      </c>
      <c r="L120" s="98">
        <f t="shared" si="13"/>
        <v>87.415364498320599</v>
      </c>
      <c r="M120" s="98">
        <f t="shared" si="13"/>
        <v>119.34933422736098</v>
      </c>
      <c r="N120" s="12"/>
    </row>
    <row r="121" spans="4:14" ht="15" customHeight="1">
      <c r="D121" s="25"/>
      <c r="E121" s="91">
        <v>4</v>
      </c>
      <c r="F121" s="3677">
        <f t="shared" ref="F121:M121" si="14">((SUM(F18:F21))-(SUM(F45:F48)))*(F97*COSTOS_2019_US_dolares_MMCOP*COSTOS_MEDIO)</f>
        <v>2.4260773062503067</v>
      </c>
      <c r="G121" s="3677">
        <f t="shared" si="14"/>
        <v>11.167372439764724</v>
      </c>
      <c r="H121" s="3677">
        <f t="shared" si="14"/>
        <v>26.588069897265154</v>
      </c>
      <c r="I121" s="3677">
        <f t="shared" si="14"/>
        <v>47.461572112036244</v>
      </c>
      <c r="J121" s="3677">
        <f t="shared" si="14"/>
        <v>77.517873499553929</v>
      </c>
      <c r="K121" s="3677">
        <f t="shared" si="14"/>
        <v>115.03819141730519</v>
      </c>
      <c r="L121" s="3677">
        <f t="shared" si="14"/>
        <v>166.59299319194247</v>
      </c>
      <c r="M121" s="3677">
        <f t="shared" si="14"/>
        <v>228.85396390008975</v>
      </c>
      <c r="N121" s="12"/>
    </row>
    <row r="122" spans="4:14" ht="15" customHeight="1">
      <c r="D122" s="25"/>
      <c r="E122" s="36"/>
      <c r="F122" s="934"/>
      <c r="G122" s="935"/>
      <c r="H122" s="935"/>
      <c r="I122" s="935"/>
      <c r="J122" s="935"/>
      <c r="K122" s="935"/>
      <c r="L122" s="935"/>
      <c r="M122" s="935"/>
      <c r="N122" s="12"/>
    </row>
    <row r="123" spans="4:14" ht="15" customHeight="1">
      <c r="D123" s="25"/>
      <c r="E123" s="400" t="s">
        <v>2217</v>
      </c>
      <c r="F123" s="368"/>
      <c r="G123" s="368"/>
      <c r="H123" s="368"/>
      <c r="I123" s="368"/>
      <c r="J123" s="368"/>
      <c r="K123" s="368"/>
      <c r="L123" s="368"/>
      <c r="M123" s="536" t="s">
        <v>803</v>
      </c>
      <c r="N123" s="12"/>
    </row>
    <row r="124" spans="4:14" ht="15" customHeight="1">
      <c r="D124" s="25"/>
      <c r="E124" s="89" t="s">
        <v>879</v>
      </c>
      <c r="F124" s="932">
        <v>2018</v>
      </c>
      <c r="G124" s="932">
        <v>2020</v>
      </c>
      <c r="H124" s="932">
        <v>2025</v>
      </c>
      <c r="I124" s="932">
        <v>2030</v>
      </c>
      <c r="J124" s="932">
        <v>2035</v>
      </c>
      <c r="K124" s="932">
        <v>2040</v>
      </c>
      <c r="L124" s="932">
        <v>2045</v>
      </c>
      <c r="M124" s="932">
        <v>2050</v>
      </c>
      <c r="N124" s="12"/>
    </row>
    <row r="125" spans="4:14" ht="15" customHeight="1">
      <c r="D125" s="25"/>
      <c r="E125" s="90">
        <v>1</v>
      </c>
      <c r="F125" s="98">
        <f t="shared" ref="F125:M125" si="15">((SUM(F18:F21))-(SUM(F18:F21)))*(F94*COSTOS_2019_US_dolares_MMCOP*COSTOS_BAJO)</f>
        <v>0</v>
      </c>
      <c r="G125" s="98">
        <f t="shared" si="15"/>
        <v>0</v>
      </c>
      <c r="H125" s="98">
        <f t="shared" si="15"/>
        <v>0</v>
      </c>
      <c r="I125" s="98">
        <f t="shared" si="15"/>
        <v>0</v>
      </c>
      <c r="J125" s="98">
        <f t="shared" si="15"/>
        <v>0</v>
      </c>
      <c r="K125" s="98">
        <f t="shared" si="15"/>
        <v>0</v>
      </c>
      <c r="L125" s="98">
        <f t="shared" si="15"/>
        <v>0</v>
      </c>
      <c r="M125" s="98">
        <f t="shared" si="15"/>
        <v>0</v>
      </c>
      <c r="N125" s="12"/>
    </row>
    <row r="126" spans="4:14" ht="15" customHeight="1">
      <c r="D126" s="45"/>
      <c r="E126" s="90">
        <v>2</v>
      </c>
      <c r="F126" s="98">
        <f t="shared" ref="F126:M126" si="16">((SUM(F18:F21))-(SUM(F27:F30)))*(F95*COSTOS_2019_US_dolares_MMCOP*COSTOS_BAJO)</f>
        <v>1.5655187563086599</v>
      </c>
      <c r="G126" s="98">
        <f t="shared" si="16"/>
        <v>2.9978696326177965</v>
      </c>
      <c r="H126" s="98">
        <f t="shared" si="16"/>
        <v>5.5307838151873385</v>
      </c>
      <c r="I126" s="98">
        <f t="shared" si="16"/>
        <v>8.6247571700400094</v>
      </c>
      <c r="J126" s="98">
        <f t="shared" si="16"/>
        <v>12.914357872267418</v>
      </c>
      <c r="K126" s="98">
        <f t="shared" si="16"/>
        <v>17.875351317305395</v>
      </c>
      <c r="L126" s="98">
        <f t="shared" si="16"/>
        <v>24.800565569581437</v>
      </c>
      <c r="M126" s="98">
        <f t="shared" si="16"/>
        <v>32.927175746433399</v>
      </c>
      <c r="N126" s="12"/>
    </row>
    <row r="127" spans="4:14" ht="15" customHeight="1">
      <c r="D127" s="13"/>
      <c r="E127" s="90">
        <v>3</v>
      </c>
      <c r="F127" s="98">
        <f t="shared" ref="F127:M127" si="17">((SUM(F18:F21))-(SUM(F36:F39)))*(F96*COSTOS_2019_US_dolares_MMCOP*COSTOS_BAJO)</f>
        <v>1.7977266257504863</v>
      </c>
      <c r="G127" s="98">
        <f t="shared" si="17"/>
        <v>5.8836585242237396</v>
      </c>
      <c r="H127" s="98">
        <f t="shared" si="17"/>
        <v>13.096128025266271</v>
      </c>
      <c r="I127" s="98">
        <f t="shared" si="17"/>
        <v>22.670650273424666</v>
      </c>
      <c r="J127" s="98">
        <f t="shared" si="17"/>
        <v>36.364938906676286</v>
      </c>
      <c r="K127" s="98">
        <f t="shared" si="17"/>
        <v>53.241338953294814</v>
      </c>
      <c r="L127" s="98">
        <f t="shared" si="17"/>
        <v>76.488443936030521</v>
      </c>
      <c r="M127" s="98">
        <f t="shared" si="17"/>
        <v>104.43066744894085</v>
      </c>
      <c r="N127" s="12"/>
    </row>
    <row r="128" spans="4:14" ht="15" customHeight="1">
      <c r="D128" s="25"/>
      <c r="E128" s="91">
        <v>4</v>
      </c>
      <c r="F128" s="3677">
        <f t="shared" ref="F128:M128" si="18">((SUM(F18:F21))-(SUM(F45:F48)))*(F97*COSTOS_2019_US_dolares_MMCOP*COSTOS_BAJO)</f>
        <v>2.122817642969018</v>
      </c>
      <c r="G128" s="3677">
        <f t="shared" si="18"/>
        <v>9.7714508847941328</v>
      </c>
      <c r="H128" s="3677">
        <f t="shared" si="18"/>
        <v>23.264561160107007</v>
      </c>
      <c r="I128" s="3677">
        <f t="shared" si="18"/>
        <v>41.528875598031711</v>
      </c>
      <c r="J128" s="3677">
        <f t="shared" si="18"/>
        <v>67.828139312109684</v>
      </c>
      <c r="K128" s="3677">
        <f t="shared" si="18"/>
        <v>100.65841749014203</v>
      </c>
      <c r="L128" s="3677">
        <f t="shared" si="18"/>
        <v>145.76886904294963</v>
      </c>
      <c r="M128" s="3677">
        <f t="shared" si="18"/>
        <v>200.24721841257852</v>
      </c>
      <c r="N128" s="12"/>
    </row>
    <row r="129" spans="4:14" ht="15" customHeight="1">
      <c r="D129" s="47"/>
      <c r="E129" s="36"/>
      <c r="F129" s="449"/>
      <c r="G129" s="449"/>
      <c r="H129" s="934"/>
      <c r="I129" s="935"/>
      <c r="J129" s="935"/>
      <c r="K129" s="935"/>
      <c r="L129" s="935"/>
      <c r="M129" s="935"/>
      <c r="N129" s="45"/>
    </row>
    <row r="130" spans="4:14" ht="15" customHeight="1">
      <c r="D130" s="25"/>
      <c r="E130" s="14" t="s">
        <v>2218</v>
      </c>
      <c r="F130" s="938"/>
      <c r="G130" s="938"/>
      <c r="H130" s="938"/>
      <c r="I130" s="938"/>
      <c r="J130" s="938"/>
      <c r="K130" s="938"/>
      <c r="L130" s="938"/>
      <c r="M130" s="938"/>
      <c r="N130" s="98"/>
    </row>
    <row r="131" spans="4:14" ht="15" customHeight="1">
      <c r="D131" s="25"/>
      <c r="E131" s="2976" t="s">
        <v>2214</v>
      </c>
      <c r="F131" s="449"/>
      <c r="G131" s="936"/>
      <c r="H131" s="98"/>
      <c r="I131" s="98"/>
      <c r="J131" s="98"/>
      <c r="K131" s="98"/>
      <c r="L131" s="98"/>
      <c r="M131" s="98"/>
      <c r="N131" s="98"/>
    </row>
    <row r="132" spans="4:14" ht="15" customHeight="1">
      <c r="D132" s="25"/>
      <c r="E132" s="400" t="s">
        <v>2215</v>
      </c>
      <c r="F132" s="449"/>
      <c r="G132" s="936"/>
      <c r="H132" s="98"/>
      <c r="I132" s="98"/>
      <c r="J132" s="2977"/>
      <c r="K132" s="98"/>
      <c r="L132" s="98"/>
      <c r="M132" s="536" t="s">
        <v>803</v>
      </c>
      <c r="N132" s="98"/>
    </row>
    <row r="133" spans="4:14" ht="15" customHeight="1">
      <c r="D133" s="25"/>
      <c r="E133" s="89" t="s">
        <v>879</v>
      </c>
      <c r="F133" s="932">
        <v>2018</v>
      </c>
      <c r="G133" s="932">
        <v>2020</v>
      </c>
      <c r="H133" s="932">
        <v>2025</v>
      </c>
      <c r="I133" s="932">
        <v>2030</v>
      </c>
      <c r="J133" s="932">
        <v>2035</v>
      </c>
      <c r="K133" s="932">
        <v>2040</v>
      </c>
      <c r="L133" s="932">
        <v>2045</v>
      </c>
      <c r="M133" s="932">
        <v>2050</v>
      </c>
      <c r="N133" s="98"/>
    </row>
    <row r="134" spans="4:14" ht="15" customHeight="1">
      <c r="D134" s="25"/>
      <c r="E134" s="90">
        <v>1</v>
      </c>
      <c r="F134" s="98">
        <f>((SUM(F56:F59))-(SUM(F56:F59)))*($F101*COSTOS_2019_US_dolares_MMCOP*COSTOS_ALTO)</f>
        <v>0</v>
      </c>
      <c r="G134" s="98">
        <f t="shared" ref="G134:M134" si="19">((SUM(G56:G59))-(SUM(G56:G59)))*($F$101*COSTOS_2019_US_dolares_MMCOP*COSTOS_ALTO)</f>
        <v>0</v>
      </c>
      <c r="H134" s="98">
        <f t="shared" si="19"/>
        <v>0</v>
      </c>
      <c r="I134" s="98">
        <f t="shared" si="19"/>
        <v>0</v>
      </c>
      <c r="J134" s="98">
        <f t="shared" si="19"/>
        <v>0</v>
      </c>
      <c r="K134" s="98">
        <f t="shared" si="19"/>
        <v>0</v>
      </c>
      <c r="L134" s="98">
        <f t="shared" si="19"/>
        <v>0</v>
      </c>
      <c r="M134" s="98">
        <f t="shared" si="19"/>
        <v>0</v>
      </c>
      <c r="N134" s="98"/>
    </row>
    <row r="135" spans="4:14" ht="15" customHeight="1">
      <c r="D135" s="25"/>
      <c r="E135" s="90">
        <v>2</v>
      </c>
      <c r="F135" s="98">
        <f t="shared" ref="F135:M135" si="20">((SUM(F56:F59))-(SUM(F65:F68)))*($F102*COSTOS_2019_US_dolares_MMCOP*COSTOS_ALTO)</f>
        <v>0.19262782642287263</v>
      </c>
      <c r="G135" s="98">
        <f t="shared" si="20"/>
        <v>0.87792895131420123</v>
      </c>
      <c r="H135" s="98">
        <f t="shared" si="20"/>
        <v>2.1102047480169794</v>
      </c>
      <c r="I135" s="98">
        <f t="shared" si="20"/>
        <v>3.8120526870512301</v>
      </c>
      <c r="J135" s="98">
        <f t="shared" si="20"/>
        <v>6.2911926885009404</v>
      </c>
      <c r="K135" s="98">
        <f t="shared" si="20"/>
        <v>9.4760838161493179</v>
      </c>
      <c r="L135" s="98">
        <f t="shared" si="20"/>
        <v>13.781725484235865</v>
      </c>
      <c r="M135" s="98">
        <f t="shared" si="20"/>
        <v>19.013873378747416</v>
      </c>
      <c r="N135" s="98"/>
    </row>
    <row r="136" spans="4:14" ht="15" customHeight="1">
      <c r="D136" s="45"/>
      <c r="E136" s="90">
        <v>3</v>
      </c>
      <c r="F136" s="98">
        <f t="shared" ref="F136:M136" si="21">((SUM(F56:F59))-(SUM(F74:F77)))*($F103*COSTOS_2019_US_dolares_MMCOP*COSTOS_ALTO)</f>
        <v>0.19262782642287263</v>
      </c>
      <c r="G136" s="98">
        <f t="shared" si="21"/>
        <v>1.8909238951382472</v>
      </c>
      <c r="H136" s="98">
        <f t="shared" si="21"/>
        <v>4.9238110787064704</v>
      </c>
      <c r="I136" s="98">
        <f t="shared" si="21"/>
        <v>9.1727517782183003</v>
      </c>
      <c r="J136" s="98">
        <f t="shared" si="21"/>
        <v>15.386892961033015</v>
      </c>
      <c r="K136" s="98">
        <f t="shared" si="21"/>
        <v>23.411501192839797</v>
      </c>
      <c r="L136" s="98">
        <f t="shared" si="21"/>
        <v>34.283465874007177</v>
      </c>
      <c r="M136" s="98">
        <f t="shared" si="21"/>
        <v>47.534683446869309</v>
      </c>
      <c r="N136" s="45"/>
    </row>
    <row r="137" spans="4:14" ht="15" customHeight="1">
      <c r="D137" s="13"/>
      <c r="E137" s="91">
        <v>4</v>
      </c>
      <c r="F137" s="3677">
        <f t="shared" ref="F137:M137" si="22">((SUM(F56:F59))-(SUM(F83:F86)))*($F104*COSTOS_2019_US_dolares_MMCOP*COSTOS_ALTO)</f>
        <v>0.19262782642287263</v>
      </c>
      <c r="G137" s="3677">
        <f t="shared" si="22"/>
        <v>3.5792488015116763</v>
      </c>
      <c r="H137" s="3677">
        <f t="shared" si="22"/>
        <v>9.61315496318878</v>
      </c>
      <c r="I137" s="3677">
        <f t="shared" si="22"/>
        <v>18.107250263495896</v>
      </c>
      <c r="J137" s="3677">
        <f t="shared" si="22"/>
        <v>30.546393415253014</v>
      </c>
      <c r="K137" s="3677">
        <f t="shared" si="22"/>
        <v>46.6371968206562</v>
      </c>
      <c r="L137" s="3677">
        <f t="shared" si="22"/>
        <v>68.453033190293539</v>
      </c>
      <c r="M137" s="3677">
        <f t="shared" si="22"/>
        <v>95.069366893738831</v>
      </c>
      <c r="N137" s="20"/>
    </row>
    <row r="138" spans="4:14" ht="15" customHeight="1">
      <c r="D138" s="13"/>
      <c r="E138" s="2976"/>
      <c r="F138" s="447"/>
      <c r="G138" s="447"/>
      <c r="H138" s="447"/>
      <c r="I138" s="447"/>
      <c r="J138" s="447"/>
      <c r="K138" s="447"/>
      <c r="L138" s="447"/>
      <c r="M138" s="447"/>
      <c r="N138" s="20"/>
    </row>
    <row r="139" spans="4:14" ht="15" customHeight="1">
      <c r="D139" s="13"/>
      <c r="E139" s="400" t="s">
        <v>2216</v>
      </c>
      <c r="F139" s="368"/>
      <c r="G139" s="368"/>
      <c r="H139" s="368"/>
      <c r="I139" s="368"/>
      <c r="J139" s="368"/>
      <c r="K139" s="368"/>
      <c r="L139" s="368"/>
      <c r="M139" s="536" t="s">
        <v>803</v>
      </c>
      <c r="N139" s="20"/>
    </row>
    <row r="140" spans="4:14" ht="15" customHeight="1">
      <c r="D140" s="13"/>
      <c r="E140" s="89" t="s">
        <v>879</v>
      </c>
      <c r="F140" s="932">
        <v>2018</v>
      </c>
      <c r="G140" s="932">
        <v>2020</v>
      </c>
      <c r="H140" s="932">
        <v>2025</v>
      </c>
      <c r="I140" s="932">
        <v>2030</v>
      </c>
      <c r="J140" s="932">
        <v>2035</v>
      </c>
      <c r="K140" s="932">
        <v>2040</v>
      </c>
      <c r="L140" s="932">
        <v>2045</v>
      </c>
      <c r="M140" s="932">
        <v>2050</v>
      </c>
      <c r="N140" s="20"/>
    </row>
    <row r="141" spans="4:14" ht="15" customHeight="1">
      <c r="D141" s="13"/>
      <c r="E141" s="90">
        <v>1</v>
      </c>
      <c r="F141" s="98">
        <f t="shared" ref="F141:M141" si="23">((SUM(F56:F59))-(SUM(F56:F59)))*($F101*COSTOS_2019_US_dolares_MMCOP*COSTOS_MEDIO)</f>
        <v>0</v>
      </c>
      <c r="G141" s="98">
        <f t="shared" si="23"/>
        <v>0</v>
      </c>
      <c r="H141" s="98">
        <f t="shared" si="23"/>
        <v>0</v>
      </c>
      <c r="I141" s="98">
        <f t="shared" si="23"/>
        <v>0</v>
      </c>
      <c r="J141" s="98">
        <f t="shared" si="23"/>
        <v>0</v>
      </c>
      <c r="K141" s="98">
        <f t="shared" si="23"/>
        <v>0</v>
      </c>
      <c r="L141" s="98">
        <f t="shared" si="23"/>
        <v>0</v>
      </c>
      <c r="M141" s="98">
        <f t="shared" si="23"/>
        <v>0</v>
      </c>
      <c r="N141" s="20"/>
    </row>
    <row r="142" spans="4:14" ht="15" customHeight="1">
      <c r="D142" s="13"/>
      <c r="E142" s="90">
        <v>2</v>
      </c>
      <c r="F142" s="98">
        <f t="shared" ref="F142:M142" si="24">((SUM(F56:F59))-(SUM(F65:F68)))*($F102*COSTOS_2019_US_dolares_MMCOP*COSTOS_MEDIO)</f>
        <v>0.15410226113829811</v>
      </c>
      <c r="G142" s="98">
        <f t="shared" si="24"/>
        <v>0.70234316105136108</v>
      </c>
      <c r="H142" s="98">
        <f t="shared" si="24"/>
        <v>1.6881637984135838</v>
      </c>
      <c r="I142" s="98">
        <f t="shared" si="24"/>
        <v>3.0496421496409845</v>
      </c>
      <c r="J142" s="98">
        <f t="shared" si="24"/>
        <v>5.0329541508007525</v>
      </c>
      <c r="K142" s="98">
        <f t="shared" si="24"/>
        <v>7.5808670529194542</v>
      </c>
      <c r="L142" s="98">
        <f t="shared" si="24"/>
        <v>11.025380387388692</v>
      </c>
      <c r="M142" s="98">
        <f t="shared" si="24"/>
        <v>15.211098702997933</v>
      </c>
      <c r="N142" s="20"/>
    </row>
    <row r="143" spans="4:14" ht="15" customHeight="1">
      <c r="D143" s="13"/>
      <c r="E143" s="90">
        <v>3</v>
      </c>
      <c r="F143" s="98">
        <f t="shared" ref="F143:M143" si="25">((SUM(F56:F59))-(SUM(F74:F77)))*($F103*COSTOS_2019_US_dolares_MMCOP*COSTOS_MEDIO)</f>
        <v>0.15410226113829811</v>
      </c>
      <c r="G143" s="98">
        <f t="shared" si="25"/>
        <v>1.5127391161105979</v>
      </c>
      <c r="H143" s="98">
        <f t="shared" si="25"/>
        <v>3.9390488629651763</v>
      </c>
      <c r="I143" s="98">
        <f t="shared" si="25"/>
        <v>7.3382014225746399</v>
      </c>
      <c r="J143" s="98">
        <f t="shared" si="25"/>
        <v>12.309514368826411</v>
      </c>
      <c r="K143" s="98">
        <f t="shared" si="25"/>
        <v>18.729200954271839</v>
      </c>
      <c r="L143" s="98">
        <f t="shared" si="25"/>
        <v>27.426772699205742</v>
      </c>
      <c r="M143" s="98">
        <f t="shared" si="25"/>
        <v>38.02774675749545</v>
      </c>
      <c r="N143" s="20"/>
    </row>
    <row r="144" spans="4:14" ht="15" customHeight="1">
      <c r="D144" s="13"/>
      <c r="E144" s="91">
        <v>4</v>
      </c>
      <c r="F144" s="3677">
        <f t="shared" ref="F144:M144" si="26">((SUM(F56:F59))-(SUM(F83:F86)))*($F104*COSTOS_2019_US_dolares_MMCOP*COSTOS_MEDIO)</f>
        <v>0.15410226113829811</v>
      </c>
      <c r="G144" s="3677">
        <f t="shared" si="26"/>
        <v>2.8633990412093415</v>
      </c>
      <c r="H144" s="3677">
        <f t="shared" si="26"/>
        <v>7.6905239705510242</v>
      </c>
      <c r="I144" s="3677">
        <f t="shared" si="26"/>
        <v>14.485800210796716</v>
      </c>
      <c r="J144" s="3677">
        <f t="shared" si="26"/>
        <v>24.437114732202414</v>
      </c>
      <c r="K144" s="3677">
        <f t="shared" si="26"/>
        <v>37.309757456524963</v>
      </c>
      <c r="L144" s="3677">
        <f t="shared" si="26"/>
        <v>54.762426552234835</v>
      </c>
      <c r="M144" s="3677">
        <f t="shared" si="26"/>
        <v>76.05549351499107</v>
      </c>
      <c r="N144" s="20"/>
    </row>
    <row r="145" spans="4:14" ht="15" customHeight="1">
      <c r="D145" s="13"/>
      <c r="E145" s="2976"/>
      <c r="F145" s="934"/>
      <c r="G145" s="935"/>
      <c r="H145" s="935"/>
      <c r="I145" s="935"/>
      <c r="J145" s="935"/>
      <c r="K145" s="935"/>
      <c r="L145" s="935"/>
      <c r="M145" s="935"/>
      <c r="N145" s="20"/>
    </row>
    <row r="146" spans="4:14" ht="15" customHeight="1">
      <c r="D146" s="13"/>
      <c r="E146" s="400" t="s">
        <v>2217</v>
      </c>
      <c r="F146" s="368"/>
      <c r="G146" s="368"/>
      <c r="H146" s="368"/>
      <c r="I146" s="368"/>
      <c r="J146" s="368"/>
      <c r="K146" s="368"/>
      <c r="L146" s="368"/>
      <c r="M146" s="536" t="s">
        <v>803</v>
      </c>
      <c r="N146" s="20"/>
    </row>
    <row r="147" spans="4:14" ht="15" customHeight="1">
      <c r="D147" s="13"/>
      <c r="E147" s="89" t="s">
        <v>879</v>
      </c>
      <c r="F147" s="932">
        <v>2018</v>
      </c>
      <c r="G147" s="932">
        <v>2020</v>
      </c>
      <c r="H147" s="932">
        <v>2025</v>
      </c>
      <c r="I147" s="932">
        <v>2030</v>
      </c>
      <c r="J147" s="932">
        <v>2035</v>
      </c>
      <c r="K147" s="932">
        <v>2040</v>
      </c>
      <c r="L147" s="932">
        <v>2045</v>
      </c>
      <c r="M147" s="932">
        <v>2050</v>
      </c>
      <c r="N147" s="20"/>
    </row>
    <row r="148" spans="4:14" ht="15" customHeight="1">
      <c r="D148" s="13"/>
      <c r="E148" s="90">
        <v>1</v>
      </c>
      <c r="F148" s="98">
        <f t="shared" ref="F148:M148" si="27">((SUM(F56:F59))-(SUM(F56:F59)))*($F101*COSTOS_2019_US_dolares_MMCOP*COSTOS_BAJO)</f>
        <v>0</v>
      </c>
      <c r="G148" s="98">
        <f t="shared" si="27"/>
        <v>0</v>
      </c>
      <c r="H148" s="98">
        <f t="shared" si="27"/>
        <v>0</v>
      </c>
      <c r="I148" s="98">
        <f t="shared" si="27"/>
        <v>0</v>
      </c>
      <c r="J148" s="98">
        <f t="shared" si="27"/>
        <v>0</v>
      </c>
      <c r="K148" s="98">
        <f t="shared" si="27"/>
        <v>0</v>
      </c>
      <c r="L148" s="98">
        <f t="shared" si="27"/>
        <v>0</v>
      </c>
      <c r="M148" s="98">
        <f t="shared" si="27"/>
        <v>0</v>
      </c>
      <c r="N148" s="20"/>
    </row>
    <row r="149" spans="4:14" ht="15" customHeight="1">
      <c r="D149" s="13"/>
      <c r="E149" s="90">
        <v>2</v>
      </c>
      <c r="F149" s="98">
        <f t="shared" ref="F149:M149" si="28">((SUM(F56:F59))-(SUM(F65:F68)))*($F102*COSTOS_2019_US_dolares_MMCOP*COSTOS_BAJO)</f>
        <v>0.13483947849601083</v>
      </c>
      <c r="G149" s="98">
        <f t="shared" si="28"/>
        <v>0.61455026591994089</v>
      </c>
      <c r="H149" s="98">
        <f t="shared" si="28"/>
        <v>1.4771433236118856</v>
      </c>
      <c r="I149" s="98">
        <f t="shared" si="28"/>
        <v>2.668436880935861</v>
      </c>
      <c r="J149" s="98">
        <f t="shared" si="28"/>
        <v>4.4038348819506581</v>
      </c>
      <c r="K149" s="98">
        <f t="shared" si="28"/>
        <v>6.6332586713045218</v>
      </c>
      <c r="L149" s="98">
        <f t="shared" si="28"/>
        <v>9.6472078389651053</v>
      </c>
      <c r="M149" s="98">
        <f t="shared" si="28"/>
        <v>13.30971136512319</v>
      </c>
      <c r="N149" s="20"/>
    </row>
    <row r="150" spans="4:14" ht="15" customHeight="1">
      <c r="D150" s="13"/>
      <c r="E150" s="90">
        <v>3</v>
      </c>
      <c r="F150" s="98">
        <f t="shared" ref="F150:M150" si="29">((SUM(F56:F59))-(SUM(F74:F77)))*($F103*COSTOS_2019_US_dolares_MMCOP*COSTOS_BAJO)</f>
        <v>0.13483947849601083</v>
      </c>
      <c r="G150" s="98">
        <f t="shared" si="29"/>
        <v>1.3236467265967728</v>
      </c>
      <c r="H150" s="98">
        <f t="shared" si="29"/>
        <v>3.4466677550945288</v>
      </c>
      <c r="I150" s="98">
        <f t="shared" si="29"/>
        <v>6.4209262447528097</v>
      </c>
      <c r="J150" s="98">
        <f t="shared" si="29"/>
        <v>10.77082507272311</v>
      </c>
      <c r="K150" s="98">
        <f t="shared" si="29"/>
        <v>16.388050834987858</v>
      </c>
      <c r="L150" s="98">
        <f t="shared" si="29"/>
        <v>23.998426111805021</v>
      </c>
      <c r="M150" s="98">
        <f t="shared" si="29"/>
        <v>33.274278412808513</v>
      </c>
      <c r="N150" s="20"/>
    </row>
    <row r="151" spans="4:14" ht="15" customHeight="1">
      <c r="D151" s="13"/>
      <c r="E151" s="91">
        <v>4</v>
      </c>
      <c r="F151" s="3677">
        <f t="shared" ref="F151:M151" si="30">((SUM(F56:F59))-(SUM(F83:F86)))*($F104*COSTOS_2019_US_dolares_MMCOP*COSTOS_BAJO)</f>
        <v>0.13483947849601083</v>
      </c>
      <c r="G151" s="3677">
        <f t="shared" si="30"/>
        <v>2.5054741610581734</v>
      </c>
      <c r="H151" s="3677">
        <f t="shared" si="30"/>
        <v>6.7292084742321459</v>
      </c>
      <c r="I151" s="3677">
        <f t="shared" si="30"/>
        <v>12.675075184447126</v>
      </c>
      <c r="J151" s="3677">
        <f t="shared" si="30"/>
        <v>21.382475390677108</v>
      </c>
      <c r="K151" s="3677">
        <f t="shared" si="30"/>
        <v>32.646037774459337</v>
      </c>
      <c r="L151" s="3677">
        <f t="shared" si="30"/>
        <v>47.91712323320548</v>
      </c>
      <c r="M151" s="3677">
        <f t="shared" si="30"/>
        <v>66.548556825617169</v>
      </c>
      <c r="N151" s="20"/>
    </row>
    <row r="152" spans="4:14" ht="15" customHeight="1">
      <c r="D152" s="13"/>
      <c r="E152" s="19"/>
      <c r="F152" s="20"/>
      <c r="G152" s="21"/>
      <c r="H152" s="20"/>
      <c r="I152" s="22"/>
      <c r="J152" s="20"/>
      <c r="K152" s="22"/>
      <c r="L152" s="22"/>
      <c r="M152" s="22"/>
      <c r="N152" s="20"/>
    </row>
    <row r="154" spans="4:14" ht="15" customHeight="1">
      <c r="D154" s="99" t="s">
        <v>52</v>
      </c>
      <c r="E154" s="49"/>
      <c r="F154" s="49"/>
      <c r="G154" s="49"/>
      <c r="H154" s="49"/>
      <c r="I154" s="49"/>
      <c r="J154" s="49"/>
      <c r="K154" s="49"/>
      <c r="L154" s="49"/>
      <c r="M154" s="49"/>
      <c r="N154" s="49"/>
    </row>
    <row r="155" spans="4:14" ht="15" customHeight="1">
      <c r="D155" s="50"/>
      <c r="E155" s="50"/>
      <c r="F155" s="50"/>
      <c r="G155" s="50"/>
      <c r="H155" s="50"/>
      <c r="I155" s="50"/>
      <c r="J155" s="50"/>
      <c r="K155" s="50"/>
      <c r="L155" s="50"/>
      <c r="M155" s="50"/>
      <c r="N155" s="50"/>
    </row>
    <row r="156" spans="4:14" ht="15" customHeight="1">
      <c r="D156" s="50"/>
      <c r="E156" s="51" t="s">
        <v>1896</v>
      </c>
      <c r="F156" s="50"/>
      <c r="G156" s="50"/>
      <c r="H156" s="50"/>
      <c r="I156" s="50"/>
      <c r="J156" s="50"/>
      <c r="K156" s="50"/>
      <c r="L156" s="50"/>
      <c r="M156" s="50"/>
      <c r="N156" s="50"/>
    </row>
    <row r="157" spans="4:14" ht="15" customHeight="1">
      <c r="D157" s="50"/>
      <c r="E157" s="50"/>
      <c r="F157" s="50"/>
      <c r="G157" s="50"/>
      <c r="H157" s="50"/>
      <c r="I157" s="50"/>
      <c r="J157" s="50"/>
      <c r="K157" s="50"/>
      <c r="L157" s="50"/>
      <c r="M157" s="52" t="s">
        <v>9</v>
      </c>
      <c r="N157" s="50"/>
    </row>
    <row r="158" spans="4:14" ht="15" customHeight="1">
      <c r="D158" s="50"/>
      <c r="E158" s="104" t="s">
        <v>699</v>
      </c>
      <c r="F158" s="104">
        <v>2018</v>
      </c>
      <c r="G158" s="104" t="s">
        <v>322</v>
      </c>
      <c r="H158" s="104" t="s">
        <v>323</v>
      </c>
      <c r="I158" s="104" t="s">
        <v>324</v>
      </c>
      <c r="J158" s="104" t="s">
        <v>325</v>
      </c>
      <c r="K158" s="104" t="s">
        <v>326</v>
      </c>
      <c r="L158" s="104" t="s">
        <v>327</v>
      </c>
      <c r="M158" s="104" t="s">
        <v>328</v>
      </c>
      <c r="N158" s="50"/>
    </row>
    <row r="159" spans="4:14" ht="15" customHeight="1">
      <c r="D159" s="50"/>
      <c r="E159" s="50" t="s">
        <v>2104</v>
      </c>
      <c r="F159" s="1580" cm="1">
        <f t="array" ref="F159:M159">F192:M192</f>
        <v>0.25890569108158468</v>
      </c>
      <c r="G159" s="1580">
        <v>0.30049305451016989</v>
      </c>
      <c r="H159" s="1580">
        <v>0.35721364210948992</v>
      </c>
      <c r="I159" s="1580">
        <v>0.40327671712044444</v>
      </c>
      <c r="J159" s="1580">
        <v>0.44417359134300172</v>
      </c>
      <c r="K159" s="1580">
        <v>0.48623693444710109</v>
      </c>
      <c r="L159" s="1580">
        <v>0.52936073795356142</v>
      </c>
      <c r="M159" s="1580">
        <v>0.57387246037777961</v>
      </c>
      <c r="N159" s="50"/>
    </row>
    <row r="160" spans="4:14" ht="15" customHeight="1">
      <c r="D160" s="50"/>
      <c r="E160" s="1353" t="s">
        <v>589</v>
      </c>
      <c r="F160" s="1677" cm="1">
        <f t="array" ref="F160:M160">F192:M192</f>
        <v>0.25890569108158468</v>
      </c>
      <c r="G160" s="1677">
        <v>0.30049305451016989</v>
      </c>
      <c r="H160" s="1677">
        <v>0.35721364210948992</v>
      </c>
      <c r="I160" s="1677">
        <v>0.40327671712044444</v>
      </c>
      <c r="J160" s="1677">
        <v>0.44417359134300172</v>
      </c>
      <c r="K160" s="1677">
        <v>0.48623693444710109</v>
      </c>
      <c r="L160" s="1677">
        <v>0.52936073795356142</v>
      </c>
      <c r="M160" s="1677">
        <v>0.57387246037777961</v>
      </c>
      <c r="N160" s="50"/>
    </row>
    <row r="161" spans="1:15" ht="15" customHeight="1">
      <c r="D161" s="50"/>
      <c r="E161" s="55" t="s">
        <v>338</v>
      </c>
      <c r="F161" s="570" cm="1">
        <f t="array" ref="F161:M161">SALIDA_DEMANDA_EDI_COM_AEC_ACONDICIONAMIENTO-SALIDA_DEMANDA_EDI_COM_AEC_ELECTRICIDAD</f>
        <v>0</v>
      </c>
      <c r="G161" s="570">
        <v>0</v>
      </c>
      <c r="H161" s="570">
        <v>0</v>
      </c>
      <c r="I161" s="570">
        <v>0</v>
      </c>
      <c r="J161" s="570">
        <v>0</v>
      </c>
      <c r="K161" s="570">
        <v>0</v>
      </c>
      <c r="L161" s="570">
        <v>0</v>
      </c>
      <c r="M161" s="570">
        <v>0</v>
      </c>
      <c r="N161" s="50"/>
    </row>
    <row r="162" spans="1:15" ht="15" customHeight="1">
      <c r="D162" s="50"/>
      <c r="E162" s="50" t="s">
        <v>33</v>
      </c>
      <c r="F162" s="50"/>
      <c r="G162" s="50"/>
      <c r="H162" s="50"/>
      <c r="I162" s="50"/>
      <c r="J162" s="50"/>
      <c r="K162" s="50"/>
      <c r="L162" s="50"/>
      <c r="M162" s="50"/>
      <c r="N162" s="50"/>
    </row>
    <row r="164" spans="1:15" ht="15" customHeight="1">
      <c r="D164" s="105" t="s">
        <v>1671</v>
      </c>
      <c r="E164" s="57"/>
      <c r="F164" s="57"/>
      <c r="G164" s="57"/>
      <c r="H164" s="57"/>
      <c r="I164" s="57"/>
      <c r="J164" s="57"/>
      <c r="K164" s="57"/>
      <c r="L164" s="57"/>
      <c r="M164" s="57"/>
      <c r="N164" s="57"/>
    </row>
    <row r="165" spans="1:15" ht="15" customHeight="1">
      <c r="D165" s="58"/>
      <c r="E165" s="58"/>
      <c r="F165" s="58"/>
      <c r="G165" s="58"/>
      <c r="H165" s="58"/>
      <c r="I165" s="58"/>
      <c r="J165" s="58"/>
      <c r="K165" s="58"/>
      <c r="L165" s="58"/>
      <c r="M165" s="58"/>
      <c r="N165" s="58"/>
    </row>
    <row r="166" spans="1:15" ht="15" customHeight="1">
      <c r="D166" s="58"/>
      <c r="E166" s="59" t="s">
        <v>2106</v>
      </c>
      <c r="F166" s="58"/>
      <c r="G166" s="58"/>
      <c r="H166" s="58"/>
      <c r="I166" s="58"/>
      <c r="J166" s="58"/>
      <c r="K166" s="58"/>
      <c r="L166" s="58"/>
      <c r="M166" s="58"/>
      <c r="N166" s="58"/>
    </row>
    <row r="167" spans="1:15" ht="15" customHeight="1">
      <c r="D167" s="58"/>
      <c r="E167" s="58"/>
      <c r="F167" s="58"/>
      <c r="G167" s="58"/>
      <c r="H167" s="58"/>
      <c r="I167" s="58"/>
      <c r="J167" s="58"/>
      <c r="K167" s="58"/>
      <c r="L167" s="58"/>
      <c r="M167" s="60" t="s">
        <v>29</v>
      </c>
      <c r="N167" s="58"/>
    </row>
    <row r="168" spans="1:15" ht="15" customHeight="1">
      <c r="D168" s="58"/>
      <c r="E168" s="1149" t="s">
        <v>1986</v>
      </c>
      <c r="F168" s="61">
        <v>2018</v>
      </c>
      <c r="G168" s="61" t="s">
        <v>322</v>
      </c>
      <c r="H168" s="61" t="s">
        <v>323</v>
      </c>
      <c r="I168" s="61" t="s">
        <v>324</v>
      </c>
      <c r="J168" s="61" t="s">
        <v>325</v>
      </c>
      <c r="K168" s="61" t="s">
        <v>326</v>
      </c>
      <c r="L168" s="61" t="s">
        <v>327</v>
      </c>
      <c r="M168" s="61" t="s">
        <v>328</v>
      </c>
      <c r="N168" s="58"/>
    </row>
    <row r="169" spans="1:15" s="559" customFormat="1" ht="15" customHeight="1">
      <c r="A169" s="663"/>
      <c r="B169" s="667"/>
      <c r="C169" s="3"/>
      <c r="D169" s="58"/>
      <c r="E169" s="1145" t="s">
        <v>1990</v>
      </c>
      <c r="F169" s="1260">
        <v>0</v>
      </c>
      <c r="G169" s="1260">
        <v>0</v>
      </c>
      <c r="H169" s="1260">
        <v>0</v>
      </c>
      <c r="I169" s="1260">
        <v>0</v>
      </c>
      <c r="J169" s="1260">
        <v>0</v>
      </c>
      <c r="K169" s="1260">
        <v>0</v>
      </c>
      <c r="L169" s="1260">
        <v>0</v>
      </c>
      <c r="M169" s="1260">
        <v>0</v>
      </c>
      <c r="N169" s="58"/>
      <c r="O169" s="3"/>
    </row>
    <row r="170" spans="1:15" ht="15" customHeight="1">
      <c r="D170" s="58"/>
      <c r="E170" s="58"/>
      <c r="F170" s="58"/>
      <c r="G170" s="1261"/>
      <c r="H170" s="1261"/>
      <c r="I170" s="1261"/>
      <c r="J170" s="1261"/>
      <c r="K170" s="1261"/>
      <c r="L170" s="1261"/>
      <c r="M170" s="1261"/>
      <c r="N170" s="58"/>
    </row>
    <row r="172" spans="1:15" ht="15" customHeight="1">
      <c r="D172" s="110" t="s">
        <v>797</v>
      </c>
      <c r="E172" s="65"/>
      <c r="F172" s="65"/>
      <c r="G172" s="65"/>
      <c r="H172" s="65"/>
      <c r="I172" s="65"/>
      <c r="J172" s="65"/>
      <c r="K172" s="65"/>
      <c r="L172" s="65"/>
      <c r="M172" s="65"/>
      <c r="N172" s="65"/>
    </row>
    <row r="173" spans="1:15" ht="15" customHeight="1">
      <c r="D173" s="66"/>
      <c r="E173" s="66"/>
      <c r="F173" s="66"/>
      <c r="G173" s="66"/>
      <c r="H173" s="66"/>
      <c r="I173" s="66"/>
      <c r="J173" s="66"/>
      <c r="K173" s="66"/>
      <c r="L173" s="66"/>
      <c r="M173" s="66"/>
      <c r="N173" s="66"/>
    </row>
    <row r="174" spans="1:15" ht="15" customHeight="1">
      <c r="D174" s="66"/>
      <c r="E174" s="67" t="s">
        <v>1687</v>
      </c>
      <c r="F174" s="66"/>
      <c r="G174" s="66"/>
      <c r="H174" s="66"/>
      <c r="I174" s="66"/>
      <c r="J174" s="66"/>
      <c r="K174" s="66"/>
      <c r="L174" s="66"/>
      <c r="M174" s="66"/>
      <c r="N174" s="66"/>
    </row>
    <row r="175" spans="1:15" ht="15" customHeight="1">
      <c r="D175" s="66"/>
      <c r="E175" s="66"/>
      <c r="F175" s="66"/>
      <c r="G175" s="66"/>
      <c r="H175" s="66"/>
      <c r="I175" s="66"/>
      <c r="J175" s="66"/>
      <c r="K175" s="66"/>
      <c r="L175" s="66"/>
      <c r="M175" s="236" t="s">
        <v>803</v>
      </c>
      <c r="N175" s="66"/>
    </row>
    <row r="176" spans="1:15" ht="15" customHeight="1">
      <c r="D176" s="66"/>
      <c r="E176" s="68" t="s">
        <v>699</v>
      </c>
      <c r="F176" s="68">
        <v>2018</v>
      </c>
      <c r="G176" s="68" t="s">
        <v>322</v>
      </c>
      <c r="H176" s="68" t="s">
        <v>323</v>
      </c>
      <c r="I176" s="68" t="s">
        <v>324</v>
      </c>
      <c r="J176" s="68" t="s">
        <v>325</v>
      </c>
      <c r="K176" s="68" t="s">
        <v>326</v>
      </c>
      <c r="L176" s="68" t="s">
        <v>327</v>
      </c>
      <c r="M176" s="68" t="s">
        <v>328</v>
      </c>
      <c r="N176" s="66"/>
    </row>
    <row r="177" spans="4:14" ht="15" customHeight="1">
      <c r="D177" s="66"/>
      <c r="E177" s="922" t="s">
        <v>2107</v>
      </c>
      <c r="F177" s="3678">
        <v>0</v>
      </c>
      <c r="G177" s="3678">
        <v>0</v>
      </c>
      <c r="H177" s="3678">
        <v>0</v>
      </c>
      <c r="I177" s="3678">
        <v>0</v>
      </c>
      <c r="J177" s="3678">
        <v>0</v>
      </c>
      <c r="K177" s="3678">
        <v>0</v>
      </c>
      <c r="L177" s="3678">
        <v>0</v>
      </c>
      <c r="M177" s="3678">
        <v>0</v>
      </c>
      <c r="N177" s="66"/>
    </row>
    <row r="178" spans="4:14" ht="15" customHeight="1">
      <c r="D178" s="66"/>
      <c r="E178" s="66" t="s">
        <v>2108</v>
      </c>
      <c r="F178" s="3679">
        <v>0</v>
      </c>
      <c r="G178" s="3679">
        <v>0</v>
      </c>
      <c r="H178" s="3679">
        <v>0</v>
      </c>
      <c r="I178" s="3679">
        <v>0</v>
      </c>
      <c r="J178" s="3679">
        <v>0</v>
      </c>
      <c r="K178" s="3679">
        <v>0</v>
      </c>
      <c r="L178" s="3679">
        <v>0</v>
      </c>
      <c r="M178" s="3679">
        <v>0</v>
      </c>
      <c r="N178" s="66"/>
    </row>
    <row r="179" spans="4:14" ht="15" customHeight="1">
      <c r="D179" s="66"/>
      <c r="E179" s="923" t="s">
        <v>2175</v>
      </c>
      <c r="F179" s="3680">
        <v>0</v>
      </c>
      <c r="G179" s="3680">
        <v>0</v>
      </c>
      <c r="H179" s="3680">
        <v>0</v>
      </c>
      <c r="I179" s="3680">
        <v>0</v>
      </c>
      <c r="J179" s="3680">
        <v>0</v>
      </c>
      <c r="K179" s="3680">
        <v>0</v>
      </c>
      <c r="L179" s="3680">
        <v>0</v>
      </c>
      <c r="M179" s="3680">
        <v>0</v>
      </c>
      <c r="N179" s="66"/>
    </row>
    <row r="180" spans="4:14" ht="15" customHeight="1">
      <c r="D180" s="66"/>
      <c r="E180" s="66"/>
      <c r="F180" s="66"/>
      <c r="G180" s="66"/>
      <c r="H180" s="66"/>
      <c r="I180" s="66"/>
      <c r="J180" s="66"/>
      <c r="K180" s="66"/>
      <c r="L180" s="66"/>
      <c r="M180" s="66"/>
      <c r="N180" s="66"/>
    </row>
    <row r="182" spans="4:14" ht="15" customHeight="1">
      <c r="D182" s="2" t="s">
        <v>1893</v>
      </c>
    </row>
    <row r="184" spans="4:14" ht="15" customHeight="1">
      <c r="D184" s="2"/>
      <c r="E184" s="2" t="s">
        <v>2219</v>
      </c>
    </row>
    <row r="185" spans="4:14" ht="15" customHeight="1">
      <c r="D185" s="2">
        <v>1</v>
      </c>
      <c r="E185" s="2" t="s">
        <v>2220</v>
      </c>
    </row>
    <row r="186" spans="4:14" ht="15" customHeight="1">
      <c r="D186" s="2"/>
      <c r="E186" s="2"/>
      <c r="M186" s="648" t="s">
        <v>9</v>
      </c>
    </row>
    <row r="187" spans="4:14" ht="15" customHeight="1">
      <c r="D187" s="2"/>
      <c r="E187" s="550" t="s">
        <v>789</v>
      </c>
      <c r="F187" s="551">
        <v>2018</v>
      </c>
      <c r="G187" s="551">
        <v>2020</v>
      </c>
      <c r="H187" s="551">
        <v>2025</v>
      </c>
      <c r="I187" s="551">
        <v>2030</v>
      </c>
      <c r="J187" s="551">
        <v>2035</v>
      </c>
      <c r="K187" s="551">
        <v>2040</v>
      </c>
      <c r="L187" s="551">
        <v>2045</v>
      </c>
      <c r="M187" s="551">
        <v>2050</v>
      </c>
    </row>
    <row r="188" spans="4:14" ht="15" customHeight="1">
      <c r="D188" s="2"/>
      <c r="E188" s="553" t="s">
        <v>795</v>
      </c>
      <c r="F188" s="560" cm="1">
        <f t="array" ref="F188:M188">INDEX(ST_DEMANDA_ENERGIA_ACONDICIONAMIENTO_ESPACIOS_DYE,FRIO,0)+INDEX(ST_DEMANDA_ENERGIA_ACONDICIONAMIENTO_ESPACIOS_EFIC,FRIO,0)</f>
        <v>2.5890569108158446E-2</v>
      </c>
      <c r="G188" s="560">
        <v>3.0049305451016979E-2</v>
      </c>
      <c r="H188" s="560">
        <v>3.5721364210948986E-2</v>
      </c>
      <c r="I188" s="560">
        <v>4.0327671712044461E-2</v>
      </c>
      <c r="J188" s="560">
        <v>4.4417359134300172E-2</v>
      </c>
      <c r="K188" s="560">
        <v>4.8623693444710112E-2</v>
      </c>
      <c r="L188" s="560">
        <v>5.2936073795356087E-2</v>
      </c>
      <c r="M188" s="560">
        <v>5.7387246037778089E-2</v>
      </c>
    </row>
    <row r="189" spans="4:14" ht="15" customHeight="1">
      <c r="E189" s="553" t="s">
        <v>791</v>
      </c>
      <c r="F189" s="560" cm="1">
        <f t="array" ref="F189:M189">INDEX(ST_DEMANDA_ENERGIA_ACONDICIONAMIENTO_ESPACIOS_DYE,TEMPLADO,0)+INDEX(ST_DEMANDA_ENERGIA_ACONDICIONAMIENTO_ESPACIOS_EFIC,TEMPLADO,0)</f>
        <v>5.1781138216316955E-2</v>
      </c>
      <c r="G189" s="560">
        <v>6.0098610902033958E-2</v>
      </c>
      <c r="H189" s="560">
        <v>7.1442728421897972E-2</v>
      </c>
      <c r="I189" s="560">
        <v>8.0655343424088921E-2</v>
      </c>
      <c r="J189" s="560">
        <v>8.8834718268600413E-2</v>
      </c>
      <c r="K189" s="560">
        <v>9.724738688942014E-2</v>
      </c>
      <c r="L189" s="560">
        <v>0.10587214759071217</v>
      </c>
      <c r="M189" s="560">
        <v>0.11477449207555618</v>
      </c>
    </row>
    <row r="190" spans="4:14" ht="15" customHeight="1">
      <c r="E190" s="553" t="s">
        <v>792</v>
      </c>
      <c r="F190" s="560" cm="1">
        <f t="array" ref="F190:M190">INDEX(ST_DEMANDA_ENERGIA_ACONDICIONAMIENTO_ESPACIOS_DYE,CALIDO_SECO,0)+INDEX(ST_DEMANDA_ENERGIA_ACONDICIONAMIENTO_ESPACIOS_EFIC,CALIDO_SECO,0)</f>
        <v>9.0616991878554654E-2</v>
      </c>
      <c r="G190" s="560">
        <v>0.10517256907855947</v>
      </c>
      <c r="H190" s="560">
        <v>0.12502477473832149</v>
      </c>
      <c r="I190" s="560">
        <v>0.14114685099215551</v>
      </c>
      <c r="J190" s="560">
        <v>0.15546075697005057</v>
      </c>
      <c r="K190" s="560">
        <v>0.17018292705648541</v>
      </c>
      <c r="L190" s="560">
        <v>0.18527625828374658</v>
      </c>
      <c r="M190" s="560">
        <v>0.20085536113222263</v>
      </c>
    </row>
    <row r="191" spans="4:14" ht="15" customHeight="1">
      <c r="E191" s="553" t="s">
        <v>793</v>
      </c>
      <c r="F191" s="560" cm="1">
        <f t="array" ref="F191:M191">INDEX(ST_DEMANDA_ENERGIA_ACONDICIONAMIENTO_ESPACIOS_DYE,CALIDO_HUMEDO,0)+INDEX(ST_DEMANDA_ENERGIA_ACONDICIONAMIENTO_ESPACIOS_EFIC,CALIDO_HUMEDO,0)</f>
        <v>9.0616991878554654E-2</v>
      </c>
      <c r="G191" s="560">
        <v>0.10517256907855947</v>
      </c>
      <c r="H191" s="560">
        <v>0.12502477473832149</v>
      </c>
      <c r="I191" s="560">
        <v>0.14114685099215551</v>
      </c>
      <c r="J191" s="560">
        <v>0.15546075697005057</v>
      </c>
      <c r="K191" s="560">
        <v>0.17018292705648541</v>
      </c>
      <c r="L191" s="560">
        <v>0.18527625828374658</v>
      </c>
      <c r="M191" s="560">
        <v>0.20085536113222263</v>
      </c>
    </row>
    <row r="192" spans="4:14" ht="15" customHeight="1">
      <c r="E192" s="554" t="s">
        <v>1714</v>
      </c>
      <c r="F192" s="561">
        <f>SUM(F188:F191)</f>
        <v>0.25890569108158468</v>
      </c>
      <c r="G192" s="561">
        <f t="shared" ref="G192:M192" si="31">SUM(G188:G191)</f>
        <v>0.30049305451016989</v>
      </c>
      <c r="H192" s="561">
        <f t="shared" si="31"/>
        <v>0.35721364210948992</v>
      </c>
      <c r="I192" s="561">
        <f t="shared" si="31"/>
        <v>0.40327671712044444</v>
      </c>
      <c r="J192" s="561">
        <f t="shared" si="31"/>
        <v>0.44417359134300172</v>
      </c>
      <c r="K192" s="561">
        <f t="shared" si="31"/>
        <v>0.48623693444710109</v>
      </c>
      <c r="L192" s="561">
        <f t="shared" si="31"/>
        <v>0.52936073795356142</v>
      </c>
      <c r="M192" s="561">
        <f t="shared" si="31"/>
        <v>0.57387246037777961</v>
      </c>
    </row>
    <row r="195" spans="1:15" s="559" customFormat="1" ht="15" customHeight="1">
      <c r="A195" s="663"/>
      <c r="B195" s="667"/>
      <c r="C195" s="3"/>
      <c r="D195" s="3"/>
      <c r="E195" s="3"/>
      <c r="F195" s="3"/>
      <c r="G195" s="3"/>
      <c r="H195" s="3"/>
      <c r="I195" s="3"/>
      <c r="J195" s="3"/>
      <c r="K195" s="3"/>
      <c r="L195" s="3"/>
      <c r="M195" s="3"/>
      <c r="N195" s="3"/>
      <c r="O195" s="3"/>
    </row>
  </sheetData>
  <sheetProtection algorithmName="SHA-512" hashValue="DJmOmCM0HWIOARCLhLUfSwfyvNcFEczlic9AMMTIi/o5Gns/BXBJgpw0efoTiv2UI1w/P0Ocngeg0CWJP6Oyfg==" saltValue="XgpCXRru9s0VljejcYWEJw==" spinCount="100000" sheet="1" objects="1" scenarios="1"/>
  <mergeCells count="2">
    <mergeCell ref="M7:M8"/>
    <mergeCell ref="E7:I8"/>
  </mergeCells>
  <dataValidations count="1">
    <dataValidation type="whole" allowBlank="1" showErrorMessage="1" errorTitle="ERROR" error="El valor de trayectoria introducido no es valido. Las trayectorias estan comprendidas entre los valores 1 y 4." sqref="M7" xr:uid="{45EDE6DD-E3B6-421D-8B90-4115E1F0254F}">
      <formula1>1</formula1>
      <formula2>4</formula2>
    </dataValidation>
  </dataValidations>
  <pageMargins left="0.7" right="0.7" top="0.75" bottom="0.75" header="0.3" footer="0.3"/>
  <pageSetup paperSize="9" orientation="portrait" r:id="rId1"/>
  <customProperties>
    <customPr name="_pios_id" r:id="rId2"/>
  </customProperties>
  <ignoredErrors>
    <ignoredError sqref="F22:M22 F31:M31 F40:M40 F49:M49 F60:M60 F69:M69 F78:M78 F87:M87" formulaRange="1"/>
  </ignoredErrors>
  <drawing r:id="rId3"/>
  <legacyDrawing r:id="rId4"/>
  <mc:AlternateContent xmlns:mc="http://schemas.openxmlformats.org/markup-compatibility/2006">
    <mc:Choice Requires="x14">
      <controls>
        <mc:AlternateContent xmlns:mc="http://schemas.openxmlformats.org/markup-compatibility/2006">
          <mc:Choice Requires="x14">
            <control shapeId="38913" r:id="rId5" name="Spinner 1">
              <controlPr defaultSize="0" autoPict="0">
                <anchor>
                  <from>
                    <xdr:col>13</xdr:col>
                    <xdr:colOff>28575</xdr:colOff>
                    <xdr:row>6</xdr:row>
                    <xdr:rowOff>38100</xdr:rowOff>
                  </from>
                  <to>
                    <xdr:col>13</xdr:col>
                    <xdr:colOff>219075</xdr:colOff>
                    <xdr:row>7</xdr:row>
                    <xdr:rowOff>142875</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4DE4-6C32-4FCC-89B5-82F928D4D2ED}">
  <sheetPr codeName="Hoja15"/>
  <dimension ref="A1:Q474"/>
  <sheetViews>
    <sheetView zoomScale="80" zoomScaleNormal="80" workbookViewId="0">
      <selection activeCell="P137" sqref="P137"/>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7109375" style="3" customWidth="1"/>
    <col min="6" max="6" width="22" style="3" bestFit="1" customWidth="1"/>
    <col min="7" max="13" width="11.5703125" style="3"/>
    <col min="14" max="14" width="5.7109375" style="3" customWidth="1"/>
    <col min="15" max="15" width="15.7109375" style="3" bestFit="1" customWidth="1"/>
    <col min="16" max="16" width="16.42578125" style="3" bestFit="1" customWidth="1"/>
    <col min="17" max="17" width="16.140625" style="3" bestFit="1" customWidth="1"/>
    <col min="18" max="19" width="16.85546875" style="3" bestFit="1" customWidth="1"/>
    <col min="20" max="16384" width="11.5703125" style="3"/>
  </cols>
  <sheetData>
    <row r="1" spans="1:17" ht="15" customHeight="1">
      <c r="A1" s="3344"/>
    </row>
    <row r="4" spans="1:17" ht="15" customHeight="1">
      <c r="D4" s="8" t="s">
        <v>1622</v>
      </c>
      <c r="E4" s="5"/>
      <c r="F4" s="5"/>
      <c r="G4" s="5"/>
      <c r="H4" s="5"/>
      <c r="I4" s="5"/>
      <c r="J4" s="5"/>
      <c r="K4" s="5"/>
      <c r="L4" s="5"/>
      <c r="M4" s="5"/>
      <c r="N4" s="5"/>
    </row>
    <row r="5" spans="1:17" ht="15" customHeight="1">
      <c r="A5" s="1559"/>
      <c r="D5" s="6"/>
      <c r="E5" s="6"/>
      <c r="F5" s="6"/>
      <c r="G5" s="6"/>
      <c r="H5" s="6"/>
      <c r="I5" s="6"/>
      <c r="J5" s="6"/>
      <c r="K5" s="6"/>
      <c r="L5" s="6"/>
      <c r="M5" s="6"/>
      <c r="N5" s="6"/>
    </row>
    <row r="6" spans="1:17" ht="15" customHeight="1">
      <c r="D6" s="6"/>
      <c r="E6" s="126" t="s">
        <v>1623</v>
      </c>
      <c r="F6" s="127"/>
      <c r="G6" s="127"/>
      <c r="H6" s="127"/>
      <c r="I6" s="127"/>
      <c r="J6" s="127"/>
      <c r="K6" s="127"/>
      <c r="L6" s="127"/>
      <c r="M6" s="179" t="s">
        <v>879</v>
      </c>
      <c r="N6" s="6"/>
    </row>
    <row r="7" spans="1:17" ht="15" customHeight="1">
      <c r="D7" s="6"/>
      <c r="E7" s="3913" t="s">
        <v>2130</v>
      </c>
      <c r="F7" s="3913"/>
      <c r="G7" s="126"/>
      <c r="H7" s="126"/>
      <c r="I7" s="126"/>
      <c r="J7" s="126"/>
      <c r="K7" s="126"/>
      <c r="L7" s="126"/>
      <c r="M7" s="3922">
        <f>TRAYECTORIA_EDIF_COMERCIALES_EQUIPAMIENTO</f>
        <v>1</v>
      </c>
      <c r="N7" s="6"/>
    </row>
    <row r="8" spans="1:17" ht="15" customHeight="1">
      <c r="D8" s="6"/>
      <c r="E8" s="3924"/>
      <c r="F8" s="3924"/>
      <c r="G8" s="1566"/>
      <c r="H8" s="1566"/>
      <c r="I8" s="1566"/>
      <c r="J8" s="1566"/>
      <c r="K8" s="1566"/>
      <c r="L8" s="1566"/>
      <c r="M8" s="3923"/>
      <c r="N8" s="6"/>
    </row>
    <row r="9" spans="1:17" ht="15" customHeight="1">
      <c r="D9" s="6"/>
      <c r="E9" s="6"/>
      <c r="F9" s="6"/>
      <c r="G9" s="6"/>
      <c r="H9" s="6"/>
      <c r="I9" s="6"/>
      <c r="J9" s="6"/>
      <c r="K9" s="6"/>
      <c r="L9" s="6"/>
      <c r="M9" s="6"/>
      <c r="N9" s="6"/>
    </row>
    <row r="11" spans="1:17" ht="15" customHeight="1">
      <c r="D11" s="335" t="s">
        <v>1190</v>
      </c>
      <c r="E11" s="336"/>
      <c r="F11" s="336"/>
      <c r="G11" s="336"/>
      <c r="H11" s="336"/>
      <c r="I11" s="336"/>
      <c r="J11" s="336"/>
      <c r="K11" s="336"/>
      <c r="L11" s="336"/>
      <c r="M11" s="336"/>
      <c r="N11" s="336"/>
    </row>
    <row r="12" spans="1:17" ht="15" customHeight="1">
      <c r="D12" s="11"/>
      <c r="E12" s="12"/>
      <c r="F12" s="12"/>
      <c r="G12" s="12"/>
      <c r="H12" s="12"/>
      <c r="I12" s="12"/>
      <c r="J12" s="12"/>
      <c r="K12" s="12"/>
      <c r="L12" s="12"/>
      <c r="M12" s="12"/>
      <c r="N12" s="12"/>
      <c r="P12" s="70"/>
      <c r="Q12" s="71"/>
    </row>
    <row r="13" spans="1:17" ht="15" customHeight="1">
      <c r="D13" s="13"/>
      <c r="E13" s="14" t="s">
        <v>2221</v>
      </c>
      <c r="F13" s="87"/>
      <c r="G13" s="119"/>
      <c r="H13" s="87"/>
      <c r="I13" s="120"/>
      <c r="J13" s="87"/>
      <c r="K13" s="120"/>
      <c r="L13" s="120"/>
      <c r="M13" s="120"/>
      <c r="N13" s="20"/>
      <c r="P13" s="70"/>
      <c r="Q13" s="71"/>
    </row>
    <row r="14" spans="1:17" ht="15" customHeight="1">
      <c r="D14" s="13"/>
      <c r="E14" s="19"/>
      <c r="F14" s="20"/>
      <c r="G14" s="21"/>
      <c r="H14" s="20"/>
      <c r="I14" s="22"/>
      <c r="J14" s="20"/>
      <c r="K14" s="22"/>
      <c r="L14" s="22"/>
      <c r="M14" s="22"/>
      <c r="N14" s="20"/>
      <c r="P14" s="70"/>
      <c r="Q14" s="71"/>
    </row>
    <row r="15" spans="1:17" ht="15" customHeight="1">
      <c r="D15" s="13"/>
      <c r="E15" s="23" t="s">
        <v>1726</v>
      </c>
      <c r="F15" s="20"/>
      <c r="G15" s="20"/>
      <c r="H15" s="20"/>
      <c r="I15" s="20"/>
      <c r="J15" s="20"/>
      <c r="K15" s="20"/>
      <c r="L15" s="20"/>
      <c r="M15" s="20"/>
      <c r="N15" s="20"/>
    </row>
    <row r="16" spans="1:17" ht="15" customHeight="1">
      <c r="D16" s="25"/>
      <c r="E16" s="24"/>
      <c r="F16" s="20"/>
      <c r="G16" s="20"/>
      <c r="H16" s="20"/>
      <c r="I16" s="20"/>
      <c r="J16" s="20"/>
      <c r="K16" s="20"/>
      <c r="L16" s="20"/>
      <c r="M16" s="20"/>
      <c r="N16" s="33"/>
    </row>
    <row r="17" spans="4:14" ht="15" customHeight="1">
      <c r="D17" s="25"/>
      <c r="E17" s="26" t="s">
        <v>2159</v>
      </c>
      <c r="F17" s="727"/>
      <c r="G17" s="727"/>
      <c r="H17" s="727"/>
      <c r="I17" s="727"/>
      <c r="J17" s="727"/>
      <c r="K17" s="727"/>
      <c r="L17" s="727"/>
      <c r="M17" s="730" t="s">
        <v>788</v>
      </c>
      <c r="N17" s="121"/>
    </row>
    <row r="18" spans="4:14" ht="15" customHeight="1">
      <c r="D18" s="25"/>
      <c r="E18" s="28" t="s">
        <v>789</v>
      </c>
      <c r="F18" s="731">
        <v>2018</v>
      </c>
      <c r="G18" s="731">
        <v>2020</v>
      </c>
      <c r="H18" s="731">
        <v>2025</v>
      </c>
      <c r="I18" s="731">
        <v>2030</v>
      </c>
      <c r="J18" s="731">
        <v>2035</v>
      </c>
      <c r="K18" s="731">
        <v>2040</v>
      </c>
      <c r="L18" s="731">
        <v>2045</v>
      </c>
      <c r="M18" s="731">
        <v>2050</v>
      </c>
      <c r="N18" s="121"/>
    </row>
    <row r="19" spans="4:14" ht="15" customHeight="1">
      <c r="D19" s="25"/>
      <c r="E19" s="30" t="s">
        <v>795</v>
      </c>
      <c r="F19" s="756">
        <v>0</v>
      </c>
      <c r="G19" s="756">
        <v>0</v>
      </c>
      <c r="H19" s="756">
        <v>0</v>
      </c>
      <c r="I19" s="756">
        <v>0</v>
      </c>
      <c r="J19" s="756">
        <v>0</v>
      </c>
      <c r="K19" s="756">
        <v>0</v>
      </c>
      <c r="L19" s="756">
        <v>0</v>
      </c>
      <c r="M19" s="756">
        <v>0</v>
      </c>
      <c r="N19" s="121"/>
    </row>
    <row r="20" spans="4:14" ht="15" customHeight="1">
      <c r="D20" s="25"/>
      <c r="E20" s="30" t="s">
        <v>791</v>
      </c>
      <c r="F20" s="756">
        <v>0</v>
      </c>
      <c r="G20" s="756">
        <v>0</v>
      </c>
      <c r="H20" s="756">
        <v>0</v>
      </c>
      <c r="I20" s="756">
        <v>0</v>
      </c>
      <c r="J20" s="756">
        <v>0</v>
      </c>
      <c r="K20" s="756">
        <v>0</v>
      </c>
      <c r="L20" s="756">
        <v>0</v>
      </c>
      <c r="M20" s="756">
        <v>0</v>
      </c>
      <c r="N20" s="121"/>
    </row>
    <row r="21" spans="4:14" ht="15" customHeight="1">
      <c r="D21" s="11"/>
      <c r="E21" s="30" t="s">
        <v>792</v>
      </c>
      <c r="F21" s="756">
        <v>0</v>
      </c>
      <c r="G21" s="756">
        <v>0</v>
      </c>
      <c r="H21" s="756">
        <v>0</v>
      </c>
      <c r="I21" s="756">
        <v>0</v>
      </c>
      <c r="J21" s="756">
        <v>0</v>
      </c>
      <c r="K21" s="756">
        <v>0</v>
      </c>
      <c r="L21" s="756">
        <v>0</v>
      </c>
      <c r="M21" s="756">
        <v>0</v>
      </c>
      <c r="N21" s="12"/>
    </row>
    <row r="22" spans="4:14" ht="15" customHeight="1">
      <c r="D22" s="13"/>
      <c r="E22" s="32" t="s">
        <v>793</v>
      </c>
      <c r="F22" s="757">
        <v>0</v>
      </c>
      <c r="G22" s="757">
        <v>0</v>
      </c>
      <c r="H22" s="757">
        <v>0</v>
      </c>
      <c r="I22" s="757">
        <v>0</v>
      </c>
      <c r="J22" s="757">
        <v>0</v>
      </c>
      <c r="K22" s="757">
        <v>0</v>
      </c>
      <c r="L22" s="757">
        <v>0</v>
      </c>
      <c r="M22" s="757">
        <v>0</v>
      </c>
      <c r="N22" s="20"/>
    </row>
    <row r="23" spans="4:14" ht="15" customHeight="1">
      <c r="D23" s="25"/>
      <c r="E23" s="30"/>
      <c r="F23" s="726"/>
      <c r="G23" s="726"/>
      <c r="H23" s="726"/>
      <c r="I23" s="726"/>
      <c r="J23" s="726"/>
      <c r="K23" s="726"/>
      <c r="L23" s="726"/>
      <c r="M23" s="726"/>
      <c r="N23" s="33"/>
    </row>
    <row r="24" spans="4:14" ht="15" customHeight="1">
      <c r="D24" s="25"/>
      <c r="E24" s="23" t="s">
        <v>1729</v>
      </c>
      <c r="F24" s="727"/>
      <c r="G24" s="727"/>
      <c r="H24" s="727"/>
      <c r="I24" s="727"/>
      <c r="J24" s="727"/>
      <c r="K24" s="727"/>
      <c r="L24" s="727"/>
      <c r="M24" s="727"/>
      <c r="N24" s="121"/>
    </row>
    <row r="25" spans="4:14" ht="15" customHeight="1">
      <c r="D25" s="25"/>
      <c r="E25" s="24"/>
      <c r="F25" s="727"/>
      <c r="G25" s="727"/>
      <c r="H25" s="727"/>
      <c r="I25" s="727"/>
      <c r="J25" s="727"/>
      <c r="K25" s="727"/>
      <c r="L25" s="727"/>
      <c r="M25" s="727"/>
      <c r="N25" s="121"/>
    </row>
    <row r="26" spans="4:14" ht="15" customHeight="1">
      <c r="D26" s="25"/>
      <c r="E26" s="26" t="s">
        <v>2159</v>
      </c>
      <c r="F26" s="727"/>
      <c r="G26" s="727"/>
      <c r="H26" s="727"/>
      <c r="I26" s="727"/>
      <c r="J26" s="727"/>
      <c r="K26" s="727"/>
      <c r="L26" s="727"/>
      <c r="M26" s="730" t="s">
        <v>788</v>
      </c>
      <c r="N26" s="121"/>
    </row>
    <row r="27" spans="4:14" ht="15" customHeight="1">
      <c r="D27" s="25"/>
      <c r="E27" s="28" t="s">
        <v>789</v>
      </c>
      <c r="F27" s="731">
        <v>2018</v>
      </c>
      <c r="G27" s="731">
        <v>2020</v>
      </c>
      <c r="H27" s="731">
        <v>2025</v>
      </c>
      <c r="I27" s="731">
        <v>2030</v>
      </c>
      <c r="J27" s="731">
        <v>2035</v>
      </c>
      <c r="K27" s="731">
        <v>2040</v>
      </c>
      <c r="L27" s="731">
        <v>2045</v>
      </c>
      <c r="M27" s="731">
        <v>2050</v>
      </c>
      <c r="N27" s="121"/>
    </row>
    <row r="28" spans="4:14" ht="15" customHeight="1">
      <c r="D28" s="25"/>
      <c r="E28" s="30" t="s">
        <v>795</v>
      </c>
      <c r="F28" s="756">
        <v>0.01</v>
      </c>
      <c r="G28" s="756">
        <v>1.2500000000000001E-2</v>
      </c>
      <c r="H28" s="756">
        <v>1.8749999999999999E-2</v>
      </c>
      <c r="I28" s="756">
        <v>2.5000000000000001E-2</v>
      </c>
      <c r="J28" s="756">
        <v>3.125E-2</v>
      </c>
      <c r="K28" s="756">
        <v>3.7499999999999999E-2</v>
      </c>
      <c r="L28" s="756">
        <v>4.3750000000000004E-2</v>
      </c>
      <c r="M28" s="756">
        <v>0.05</v>
      </c>
      <c r="N28" s="121"/>
    </row>
    <row r="29" spans="4:14" ht="15" customHeight="1">
      <c r="D29" s="25"/>
      <c r="E29" s="30" t="s">
        <v>791</v>
      </c>
      <c r="F29" s="756">
        <v>0.01</v>
      </c>
      <c r="G29" s="756">
        <v>1.2500000000000001E-2</v>
      </c>
      <c r="H29" s="756">
        <v>1.8749999999999999E-2</v>
      </c>
      <c r="I29" s="756">
        <v>2.5000000000000001E-2</v>
      </c>
      <c r="J29" s="756">
        <v>3.125E-2</v>
      </c>
      <c r="K29" s="756">
        <v>3.7499999999999999E-2</v>
      </c>
      <c r="L29" s="756">
        <v>4.3750000000000004E-2</v>
      </c>
      <c r="M29" s="756">
        <v>0.05</v>
      </c>
      <c r="N29" s="121"/>
    </row>
    <row r="30" spans="4:14" ht="15" customHeight="1">
      <c r="D30" s="25"/>
      <c r="E30" s="30" t="s">
        <v>792</v>
      </c>
      <c r="F30" s="756">
        <v>0.01</v>
      </c>
      <c r="G30" s="756">
        <v>1.2500000000000001E-2</v>
      </c>
      <c r="H30" s="756">
        <v>1.8749999999999999E-2</v>
      </c>
      <c r="I30" s="756">
        <v>2.5000000000000001E-2</v>
      </c>
      <c r="J30" s="756">
        <v>3.125E-2</v>
      </c>
      <c r="K30" s="756">
        <v>3.7499999999999999E-2</v>
      </c>
      <c r="L30" s="756">
        <v>4.3750000000000004E-2</v>
      </c>
      <c r="M30" s="756">
        <v>0.05</v>
      </c>
      <c r="N30" s="121"/>
    </row>
    <row r="31" spans="4:14" ht="15" customHeight="1">
      <c r="D31" s="25"/>
      <c r="E31" s="32" t="s">
        <v>793</v>
      </c>
      <c r="F31" s="757">
        <v>0.01</v>
      </c>
      <c r="G31" s="757">
        <v>1.2500000000000001E-2</v>
      </c>
      <c r="H31" s="757">
        <v>1.8749999999999999E-2</v>
      </c>
      <c r="I31" s="757">
        <v>2.5000000000000001E-2</v>
      </c>
      <c r="J31" s="757">
        <v>3.125E-2</v>
      </c>
      <c r="K31" s="757">
        <v>3.7499999999999999E-2</v>
      </c>
      <c r="L31" s="757">
        <v>4.3750000000000004E-2</v>
      </c>
      <c r="M31" s="757">
        <v>0.05</v>
      </c>
      <c r="N31" s="121"/>
    </row>
    <row r="32" spans="4:14" ht="15" customHeight="1">
      <c r="D32" s="25"/>
      <c r="E32" s="30"/>
      <c r="F32" s="735"/>
      <c r="G32" s="733"/>
      <c r="H32" s="755"/>
      <c r="I32" s="755"/>
      <c r="J32" s="755"/>
      <c r="K32" s="755"/>
      <c r="L32" s="755"/>
      <c r="M32" s="755"/>
      <c r="N32" s="121"/>
    </row>
    <row r="33" spans="4:14" ht="15" customHeight="1">
      <c r="D33" s="25"/>
      <c r="E33" s="23" t="s">
        <v>1730</v>
      </c>
      <c r="F33" s="727"/>
      <c r="G33" s="727"/>
      <c r="H33" s="727"/>
      <c r="I33" s="727"/>
      <c r="J33" s="727"/>
      <c r="K33" s="727"/>
      <c r="L33" s="727"/>
      <c r="M33" s="727"/>
      <c r="N33" s="121"/>
    </row>
    <row r="34" spans="4:14" ht="15" customHeight="1">
      <c r="D34" s="25"/>
      <c r="E34" s="24"/>
      <c r="F34" s="727"/>
      <c r="G34" s="727"/>
      <c r="H34" s="727"/>
      <c r="I34" s="727"/>
      <c r="J34" s="727"/>
      <c r="K34" s="727"/>
      <c r="L34" s="727"/>
      <c r="M34" s="727"/>
      <c r="N34" s="121"/>
    </row>
    <row r="35" spans="4:14" ht="15" customHeight="1">
      <c r="D35" s="25"/>
      <c r="E35" s="26" t="s">
        <v>2159</v>
      </c>
      <c r="F35" s="727"/>
      <c r="G35" s="727"/>
      <c r="H35" s="727"/>
      <c r="I35" s="727"/>
      <c r="J35" s="727"/>
      <c r="K35" s="727"/>
      <c r="L35" s="727"/>
      <c r="M35" s="730" t="s">
        <v>788</v>
      </c>
      <c r="N35" s="121"/>
    </row>
    <row r="36" spans="4:14" ht="15" customHeight="1">
      <c r="D36" s="25"/>
      <c r="E36" s="28" t="s">
        <v>789</v>
      </c>
      <c r="F36" s="731">
        <v>2018</v>
      </c>
      <c r="G36" s="731">
        <v>2020</v>
      </c>
      <c r="H36" s="731">
        <v>2025</v>
      </c>
      <c r="I36" s="731">
        <v>2030</v>
      </c>
      <c r="J36" s="731">
        <v>2035</v>
      </c>
      <c r="K36" s="731">
        <v>2040</v>
      </c>
      <c r="L36" s="731">
        <v>2045</v>
      </c>
      <c r="M36" s="731">
        <v>2050</v>
      </c>
      <c r="N36" s="121"/>
    </row>
    <row r="37" spans="4:14" ht="15" customHeight="1">
      <c r="D37" s="25"/>
      <c r="E37" s="30" t="s">
        <v>795</v>
      </c>
      <c r="F37" s="756">
        <v>1.78E-2</v>
      </c>
      <c r="G37" s="756">
        <v>2.2249999999999999E-2</v>
      </c>
      <c r="H37" s="756">
        <v>3.3375000000000002E-2</v>
      </c>
      <c r="I37" s="756">
        <v>4.4499999999999998E-2</v>
      </c>
      <c r="J37" s="756">
        <v>5.5625000000000001E-2</v>
      </c>
      <c r="K37" s="756">
        <v>6.6750000000000004E-2</v>
      </c>
      <c r="L37" s="756">
        <v>7.7875E-2</v>
      </c>
      <c r="M37" s="756">
        <v>8.8999999999999996E-2</v>
      </c>
      <c r="N37" s="121"/>
    </row>
    <row r="38" spans="4:14" ht="15" customHeight="1">
      <c r="D38" s="25"/>
      <c r="E38" s="30" t="s">
        <v>791</v>
      </c>
      <c r="F38" s="756">
        <v>1.78E-2</v>
      </c>
      <c r="G38" s="756">
        <v>2.2249999999999999E-2</v>
      </c>
      <c r="H38" s="756">
        <v>3.3375000000000002E-2</v>
      </c>
      <c r="I38" s="756">
        <v>4.4499999999999998E-2</v>
      </c>
      <c r="J38" s="756">
        <v>5.5625000000000001E-2</v>
      </c>
      <c r="K38" s="756">
        <v>6.6750000000000004E-2</v>
      </c>
      <c r="L38" s="756">
        <v>7.7875E-2</v>
      </c>
      <c r="M38" s="756">
        <v>8.8999999999999996E-2</v>
      </c>
      <c r="N38" s="12"/>
    </row>
    <row r="39" spans="4:14" ht="15" customHeight="1">
      <c r="D39" s="25"/>
      <c r="E39" s="30" t="s">
        <v>792</v>
      </c>
      <c r="F39" s="756">
        <v>1.78E-2</v>
      </c>
      <c r="G39" s="756">
        <v>2.2249999999999999E-2</v>
      </c>
      <c r="H39" s="756">
        <v>3.3375000000000002E-2</v>
      </c>
      <c r="I39" s="756">
        <v>4.4499999999999998E-2</v>
      </c>
      <c r="J39" s="756">
        <v>5.5625000000000001E-2</v>
      </c>
      <c r="K39" s="756">
        <v>6.6750000000000004E-2</v>
      </c>
      <c r="L39" s="756">
        <v>7.7875E-2</v>
      </c>
      <c r="M39" s="756">
        <v>8.8999999999999996E-2</v>
      </c>
      <c r="N39" s="20"/>
    </row>
    <row r="40" spans="4:14" ht="15" customHeight="1">
      <c r="D40" s="25"/>
      <c r="E40" s="32" t="s">
        <v>793</v>
      </c>
      <c r="F40" s="757">
        <v>1.78E-2</v>
      </c>
      <c r="G40" s="757">
        <v>2.2249999999999999E-2</v>
      </c>
      <c r="H40" s="757">
        <v>3.3375000000000002E-2</v>
      </c>
      <c r="I40" s="757">
        <v>4.4499999999999998E-2</v>
      </c>
      <c r="J40" s="757">
        <v>5.5625000000000001E-2</v>
      </c>
      <c r="K40" s="757">
        <v>6.6750000000000004E-2</v>
      </c>
      <c r="L40" s="757">
        <v>7.7875E-2</v>
      </c>
      <c r="M40" s="757">
        <v>8.8999999999999996E-2</v>
      </c>
      <c r="N40" s="33"/>
    </row>
    <row r="41" spans="4:14" ht="15" customHeight="1">
      <c r="D41" s="25"/>
      <c r="E41" s="30"/>
      <c r="F41" s="735"/>
      <c r="G41" s="733"/>
      <c r="H41" s="755"/>
      <c r="I41" s="755"/>
      <c r="J41" s="755"/>
      <c r="K41" s="755"/>
      <c r="L41" s="755"/>
      <c r="M41" s="755"/>
      <c r="N41" s="121"/>
    </row>
    <row r="42" spans="4:14" ht="15" customHeight="1">
      <c r="D42" s="11"/>
      <c r="E42" s="23" t="s">
        <v>1731</v>
      </c>
      <c r="F42" s="727"/>
      <c r="G42" s="727"/>
      <c r="H42" s="727"/>
      <c r="I42" s="727"/>
      <c r="J42" s="727"/>
      <c r="K42" s="727"/>
      <c r="L42" s="727"/>
      <c r="M42" s="727"/>
      <c r="N42" s="121"/>
    </row>
    <row r="43" spans="4:14" ht="15" customHeight="1">
      <c r="D43" s="13"/>
      <c r="E43" s="24"/>
      <c r="F43" s="727"/>
      <c r="G43" s="727"/>
      <c r="H43" s="727"/>
      <c r="I43" s="727"/>
      <c r="J43" s="727"/>
      <c r="K43" s="727"/>
      <c r="L43" s="727"/>
      <c r="M43" s="727"/>
      <c r="N43" s="121"/>
    </row>
    <row r="44" spans="4:14" ht="15" customHeight="1">
      <c r="D44" s="25"/>
      <c r="E44" s="26" t="s">
        <v>2159</v>
      </c>
      <c r="F44" s="727"/>
      <c r="G44" s="727"/>
      <c r="H44" s="727"/>
      <c r="I44" s="727"/>
      <c r="J44" s="727"/>
      <c r="K44" s="727"/>
      <c r="L44" s="727"/>
      <c r="M44" s="730" t="s">
        <v>788</v>
      </c>
      <c r="N44" s="121"/>
    </row>
    <row r="45" spans="4:14" ht="15" customHeight="1">
      <c r="D45" s="25"/>
      <c r="E45" s="28" t="s">
        <v>789</v>
      </c>
      <c r="F45" s="731">
        <v>2018</v>
      </c>
      <c r="G45" s="731">
        <v>2020</v>
      </c>
      <c r="H45" s="731">
        <v>2025</v>
      </c>
      <c r="I45" s="731">
        <v>2030</v>
      </c>
      <c r="J45" s="731">
        <v>2035</v>
      </c>
      <c r="K45" s="731">
        <v>2040</v>
      </c>
      <c r="L45" s="731">
        <v>2045</v>
      </c>
      <c r="M45" s="731">
        <v>2050</v>
      </c>
      <c r="N45" s="12"/>
    </row>
    <row r="46" spans="4:14" ht="15" customHeight="1">
      <c r="D46" s="25"/>
      <c r="E46" s="30" t="s">
        <v>795</v>
      </c>
      <c r="F46" s="756">
        <v>3.4000000000000002E-2</v>
      </c>
      <c r="G46" s="756">
        <v>4.2500000000000003E-2</v>
      </c>
      <c r="H46" s="756">
        <v>6.3750000000000001E-2</v>
      </c>
      <c r="I46" s="756">
        <v>8.5000000000000006E-2</v>
      </c>
      <c r="J46" s="756">
        <v>0.10625000000000001</v>
      </c>
      <c r="K46" s="756">
        <v>0.1275</v>
      </c>
      <c r="L46" s="756">
        <v>0.14875000000000002</v>
      </c>
      <c r="M46" s="756">
        <v>0.17</v>
      </c>
      <c r="N46" s="20"/>
    </row>
    <row r="47" spans="4:14" ht="15" customHeight="1">
      <c r="D47" s="25"/>
      <c r="E47" s="30" t="s">
        <v>791</v>
      </c>
      <c r="F47" s="756">
        <v>3.4000000000000002E-2</v>
      </c>
      <c r="G47" s="756">
        <v>4.2500000000000003E-2</v>
      </c>
      <c r="H47" s="756">
        <v>6.3750000000000001E-2</v>
      </c>
      <c r="I47" s="756">
        <v>8.5000000000000006E-2</v>
      </c>
      <c r="J47" s="756">
        <v>0.10625000000000001</v>
      </c>
      <c r="K47" s="756">
        <v>0.1275</v>
      </c>
      <c r="L47" s="756">
        <v>0.14875000000000002</v>
      </c>
      <c r="M47" s="756">
        <v>0.17</v>
      </c>
      <c r="N47" s="33"/>
    </row>
    <row r="48" spans="4:14" ht="15" customHeight="1">
      <c r="D48" s="25"/>
      <c r="E48" s="30" t="s">
        <v>792</v>
      </c>
      <c r="F48" s="756">
        <v>3.4000000000000002E-2</v>
      </c>
      <c r="G48" s="756">
        <v>4.2500000000000003E-2</v>
      </c>
      <c r="H48" s="756">
        <v>6.3750000000000001E-2</v>
      </c>
      <c r="I48" s="756">
        <v>8.5000000000000006E-2</v>
      </c>
      <c r="J48" s="756">
        <v>0.10625000000000001</v>
      </c>
      <c r="K48" s="756">
        <v>0.1275</v>
      </c>
      <c r="L48" s="756">
        <v>0.14875000000000002</v>
      </c>
      <c r="M48" s="756">
        <v>0.17</v>
      </c>
      <c r="N48" s="121"/>
    </row>
    <row r="49" spans="4:14" ht="15" customHeight="1">
      <c r="D49" s="25"/>
      <c r="E49" s="32" t="s">
        <v>793</v>
      </c>
      <c r="F49" s="757">
        <v>3.4000000000000002E-2</v>
      </c>
      <c r="G49" s="757">
        <v>4.2500000000000003E-2</v>
      </c>
      <c r="H49" s="757">
        <v>6.3750000000000001E-2</v>
      </c>
      <c r="I49" s="757">
        <v>8.5000000000000006E-2</v>
      </c>
      <c r="J49" s="757">
        <v>0.10625000000000001</v>
      </c>
      <c r="K49" s="757">
        <v>0.1275</v>
      </c>
      <c r="L49" s="757">
        <v>0.14875000000000002</v>
      </c>
      <c r="M49" s="757">
        <v>0.17</v>
      </c>
      <c r="N49" s="121"/>
    </row>
    <row r="50" spans="4:14" ht="15" customHeight="1">
      <c r="D50" s="25"/>
      <c r="E50" s="30"/>
      <c r="F50" s="735"/>
      <c r="G50" s="733"/>
      <c r="H50" s="755"/>
      <c r="I50" s="755"/>
      <c r="J50" s="755"/>
      <c r="K50" s="755"/>
      <c r="L50" s="755"/>
      <c r="M50" s="755"/>
      <c r="N50" s="121"/>
    </row>
    <row r="51" spans="4:14" ht="15" customHeight="1">
      <c r="D51" s="25"/>
      <c r="E51" s="14" t="s">
        <v>2222</v>
      </c>
      <c r="F51" s="736"/>
      <c r="G51" s="736"/>
      <c r="H51" s="736"/>
      <c r="I51" s="736"/>
      <c r="J51" s="736"/>
      <c r="K51" s="736"/>
      <c r="L51" s="736"/>
      <c r="M51" s="736"/>
      <c r="N51" s="121"/>
    </row>
    <row r="52" spans="4:14" ht="15" customHeight="1">
      <c r="D52" s="25"/>
      <c r="E52" s="12"/>
      <c r="F52" s="752"/>
      <c r="G52" s="752"/>
      <c r="H52" s="752"/>
      <c r="I52" s="752"/>
      <c r="J52" s="752"/>
      <c r="K52" s="752"/>
      <c r="L52" s="752"/>
      <c r="M52" s="752"/>
      <c r="N52" s="12"/>
    </row>
    <row r="53" spans="4:14" ht="15" customHeight="1">
      <c r="D53" s="25"/>
      <c r="E53" s="23" t="s">
        <v>1726</v>
      </c>
      <c r="F53" s="727"/>
      <c r="G53" s="727"/>
      <c r="H53" s="727"/>
      <c r="I53" s="727"/>
      <c r="J53" s="727"/>
      <c r="K53" s="727"/>
      <c r="L53" s="727"/>
      <c r="M53" s="727"/>
      <c r="N53" s="12"/>
    </row>
    <row r="54" spans="4:14" ht="15" customHeight="1">
      <c r="D54" s="25"/>
      <c r="E54" s="24"/>
      <c r="F54" s="727"/>
      <c r="G54" s="727"/>
      <c r="H54" s="727"/>
      <c r="I54" s="727"/>
      <c r="J54" s="727"/>
      <c r="K54" s="727"/>
      <c r="L54" s="727"/>
      <c r="M54" s="727"/>
      <c r="N54" s="12"/>
    </row>
    <row r="55" spans="4:14" ht="15" customHeight="1">
      <c r="D55" s="25"/>
      <c r="E55" s="26" t="s">
        <v>2135</v>
      </c>
      <c r="F55" s="727"/>
      <c r="G55" s="727"/>
      <c r="H55" s="727"/>
      <c r="I55" s="727"/>
      <c r="J55" s="727"/>
      <c r="K55" s="727"/>
      <c r="L55" s="727"/>
      <c r="M55" s="730" t="s">
        <v>788</v>
      </c>
      <c r="N55" s="12"/>
    </row>
    <row r="56" spans="4:14" ht="15" customHeight="1">
      <c r="D56" s="25"/>
      <c r="E56" s="28" t="s">
        <v>789</v>
      </c>
      <c r="F56" s="731">
        <v>2018</v>
      </c>
      <c r="G56" s="731">
        <v>2020</v>
      </c>
      <c r="H56" s="731">
        <v>2025</v>
      </c>
      <c r="I56" s="731">
        <v>2030</v>
      </c>
      <c r="J56" s="731">
        <v>2035</v>
      </c>
      <c r="K56" s="731">
        <v>2040</v>
      </c>
      <c r="L56" s="731">
        <v>2045</v>
      </c>
      <c r="M56" s="731">
        <v>2050</v>
      </c>
      <c r="N56" s="12"/>
    </row>
    <row r="57" spans="4:14" ht="15" customHeight="1">
      <c r="D57" s="25"/>
      <c r="E57" s="30" t="s">
        <v>795</v>
      </c>
      <c r="F57" s="756">
        <v>0</v>
      </c>
      <c r="G57" s="756">
        <v>0</v>
      </c>
      <c r="H57" s="756">
        <v>0</v>
      </c>
      <c r="I57" s="756">
        <v>0</v>
      </c>
      <c r="J57" s="756">
        <v>0</v>
      </c>
      <c r="K57" s="756">
        <v>0</v>
      </c>
      <c r="L57" s="756">
        <v>0</v>
      </c>
      <c r="M57" s="756">
        <v>0</v>
      </c>
      <c r="N57" s="12"/>
    </row>
    <row r="58" spans="4:14" ht="15" customHeight="1">
      <c r="D58" s="25"/>
      <c r="E58" s="30" t="s">
        <v>791</v>
      </c>
      <c r="F58" s="756">
        <v>0</v>
      </c>
      <c r="G58" s="756">
        <v>0</v>
      </c>
      <c r="H58" s="756">
        <v>0</v>
      </c>
      <c r="I58" s="756">
        <v>0</v>
      </c>
      <c r="J58" s="756">
        <v>0</v>
      </c>
      <c r="K58" s="756">
        <v>0</v>
      </c>
      <c r="L58" s="756">
        <v>0</v>
      </c>
      <c r="M58" s="756">
        <v>0</v>
      </c>
      <c r="N58" s="12"/>
    </row>
    <row r="59" spans="4:14" ht="15" customHeight="1">
      <c r="D59" s="25"/>
      <c r="E59" s="30" t="s">
        <v>792</v>
      </c>
      <c r="F59" s="756">
        <v>0</v>
      </c>
      <c r="G59" s="756">
        <v>0</v>
      </c>
      <c r="H59" s="756">
        <v>0</v>
      </c>
      <c r="I59" s="756">
        <v>0</v>
      </c>
      <c r="J59" s="756">
        <v>0</v>
      </c>
      <c r="K59" s="756">
        <v>0</v>
      </c>
      <c r="L59" s="756">
        <v>0</v>
      </c>
      <c r="M59" s="756">
        <v>0</v>
      </c>
      <c r="N59" s="12"/>
    </row>
    <row r="60" spans="4:14" ht="15" customHeight="1">
      <c r="D60" s="25"/>
      <c r="E60" s="32" t="s">
        <v>793</v>
      </c>
      <c r="F60" s="757">
        <v>0</v>
      </c>
      <c r="G60" s="757">
        <v>0</v>
      </c>
      <c r="H60" s="757">
        <v>0</v>
      </c>
      <c r="I60" s="757">
        <v>0</v>
      </c>
      <c r="J60" s="757">
        <v>0</v>
      </c>
      <c r="K60" s="757">
        <v>0</v>
      </c>
      <c r="L60" s="757">
        <v>0</v>
      </c>
      <c r="M60" s="757">
        <v>0</v>
      </c>
      <c r="N60" s="12"/>
    </row>
    <row r="61" spans="4:14" ht="15" customHeight="1">
      <c r="D61" s="25"/>
      <c r="E61" s="30"/>
      <c r="F61" s="726"/>
      <c r="G61" s="726"/>
      <c r="H61" s="726"/>
      <c r="I61" s="726"/>
      <c r="J61" s="726"/>
      <c r="K61" s="726"/>
      <c r="L61" s="726"/>
      <c r="M61" s="726"/>
      <c r="N61" s="12"/>
    </row>
    <row r="62" spans="4:14" ht="15" customHeight="1">
      <c r="D62" s="25"/>
      <c r="E62" s="23" t="s">
        <v>1729</v>
      </c>
      <c r="F62" s="727"/>
      <c r="G62" s="727"/>
      <c r="H62" s="727"/>
      <c r="I62" s="727"/>
      <c r="J62" s="727"/>
      <c r="K62" s="727"/>
      <c r="L62" s="727"/>
      <c r="M62" s="727"/>
      <c r="N62" s="12"/>
    </row>
    <row r="63" spans="4:14" ht="15" customHeight="1">
      <c r="D63" s="25"/>
      <c r="E63" s="24"/>
      <c r="F63" s="727"/>
      <c r="G63" s="727"/>
      <c r="H63" s="727"/>
      <c r="I63" s="727"/>
      <c r="J63" s="727"/>
      <c r="K63" s="727"/>
      <c r="L63" s="727"/>
      <c r="M63" s="727"/>
      <c r="N63" s="36"/>
    </row>
    <row r="64" spans="4:14" ht="15" customHeight="1">
      <c r="D64" s="25"/>
      <c r="E64" s="26" t="s">
        <v>2135</v>
      </c>
      <c r="F64" s="727"/>
      <c r="G64" s="727"/>
      <c r="H64" s="727"/>
      <c r="I64" s="727"/>
      <c r="J64" s="727"/>
      <c r="K64" s="727"/>
      <c r="L64" s="727"/>
      <c r="M64" s="730" t="s">
        <v>788</v>
      </c>
      <c r="N64" s="20"/>
    </row>
    <row r="65" spans="4:14" ht="15" customHeight="1">
      <c r="D65" s="13"/>
      <c r="E65" s="28" t="s">
        <v>789</v>
      </c>
      <c r="F65" s="731">
        <v>2018</v>
      </c>
      <c r="G65" s="731">
        <v>2020</v>
      </c>
      <c r="H65" s="731">
        <v>2025</v>
      </c>
      <c r="I65" s="731">
        <v>2030</v>
      </c>
      <c r="J65" s="731">
        <v>2035</v>
      </c>
      <c r="K65" s="731">
        <v>2040</v>
      </c>
      <c r="L65" s="731">
        <v>2045</v>
      </c>
      <c r="M65" s="731">
        <v>2050</v>
      </c>
      <c r="N65" s="20"/>
    </row>
    <row r="66" spans="4:14" ht="15" customHeight="1">
      <c r="D66" s="25"/>
      <c r="E66" s="30" t="s">
        <v>795</v>
      </c>
      <c r="F66" s="756">
        <v>1.8599999999999998E-2</v>
      </c>
      <c r="G66" s="756">
        <v>2.325E-2</v>
      </c>
      <c r="H66" s="756">
        <v>3.4874999999999996E-2</v>
      </c>
      <c r="I66" s="756">
        <v>4.65E-2</v>
      </c>
      <c r="J66" s="756">
        <v>5.8124999999999996E-2</v>
      </c>
      <c r="K66" s="756">
        <v>6.9749999999999993E-2</v>
      </c>
      <c r="L66" s="756">
        <v>8.1374999999999989E-2</v>
      </c>
      <c r="M66" s="756">
        <v>9.2999999999999999E-2</v>
      </c>
      <c r="N66" s="33"/>
    </row>
    <row r="67" spans="4:14" ht="15" customHeight="1">
      <c r="D67" s="25"/>
      <c r="E67" s="30" t="s">
        <v>791</v>
      </c>
      <c r="F67" s="756">
        <v>1.8599999999999998E-2</v>
      </c>
      <c r="G67" s="756">
        <v>2.325E-2</v>
      </c>
      <c r="H67" s="756">
        <v>3.4874999999999996E-2</v>
      </c>
      <c r="I67" s="756">
        <v>4.65E-2</v>
      </c>
      <c r="J67" s="756">
        <v>5.8124999999999996E-2</v>
      </c>
      <c r="K67" s="756">
        <v>6.9749999999999993E-2</v>
      </c>
      <c r="L67" s="756">
        <v>8.1374999999999989E-2</v>
      </c>
      <c r="M67" s="756">
        <v>9.2999999999999999E-2</v>
      </c>
      <c r="N67" s="121"/>
    </row>
    <row r="68" spans="4:14" ht="15" customHeight="1">
      <c r="D68" s="25"/>
      <c r="E68" s="30" t="s">
        <v>792</v>
      </c>
      <c r="F68" s="756">
        <v>1.8599999999999998E-2</v>
      </c>
      <c r="G68" s="756">
        <v>2.325E-2</v>
      </c>
      <c r="H68" s="756">
        <v>3.4874999999999996E-2</v>
      </c>
      <c r="I68" s="756">
        <v>4.65E-2</v>
      </c>
      <c r="J68" s="756">
        <v>5.8124999999999996E-2</v>
      </c>
      <c r="K68" s="756">
        <v>6.9749999999999993E-2</v>
      </c>
      <c r="L68" s="756">
        <v>8.1374999999999989E-2</v>
      </c>
      <c r="M68" s="756">
        <v>9.2999999999999999E-2</v>
      </c>
      <c r="N68" s="121"/>
    </row>
    <row r="69" spans="4:14" ht="15" customHeight="1">
      <c r="D69" s="25"/>
      <c r="E69" s="32" t="s">
        <v>793</v>
      </c>
      <c r="F69" s="757">
        <v>1.8599999999999998E-2</v>
      </c>
      <c r="G69" s="757">
        <v>2.325E-2</v>
      </c>
      <c r="H69" s="757">
        <v>3.4874999999999996E-2</v>
      </c>
      <c r="I69" s="757">
        <v>4.65E-2</v>
      </c>
      <c r="J69" s="757">
        <v>5.8124999999999996E-2</v>
      </c>
      <c r="K69" s="757">
        <v>6.9749999999999993E-2</v>
      </c>
      <c r="L69" s="757">
        <v>8.1374999999999989E-2</v>
      </c>
      <c r="M69" s="757">
        <v>9.2999999999999999E-2</v>
      </c>
      <c r="N69" s="121"/>
    </row>
    <row r="70" spans="4:14" ht="15" customHeight="1">
      <c r="D70" s="25"/>
      <c r="E70" s="30"/>
      <c r="F70" s="735"/>
      <c r="G70" s="733"/>
      <c r="H70" s="755"/>
      <c r="I70" s="755"/>
      <c r="J70" s="755"/>
      <c r="K70" s="755"/>
      <c r="L70" s="755"/>
      <c r="M70" s="755"/>
      <c r="N70" s="121"/>
    </row>
    <row r="71" spans="4:14" ht="15" customHeight="1">
      <c r="D71" s="25"/>
      <c r="E71" s="23" t="s">
        <v>1730</v>
      </c>
      <c r="F71" s="727"/>
      <c r="G71" s="727"/>
      <c r="H71" s="727"/>
      <c r="I71" s="727"/>
      <c r="J71" s="727"/>
      <c r="K71" s="727"/>
      <c r="L71" s="727"/>
      <c r="M71" s="727"/>
      <c r="N71" s="12"/>
    </row>
    <row r="72" spans="4:14" ht="15" customHeight="1">
      <c r="D72" s="25"/>
      <c r="E72" s="24"/>
      <c r="F72" s="727"/>
      <c r="G72" s="727"/>
      <c r="H72" s="727"/>
      <c r="I72" s="727"/>
      <c r="J72" s="727"/>
      <c r="K72" s="727"/>
      <c r="L72" s="727"/>
      <c r="M72" s="727"/>
      <c r="N72" s="20"/>
    </row>
    <row r="73" spans="4:14" ht="15" customHeight="1">
      <c r="D73" s="25"/>
      <c r="E73" s="26" t="s">
        <v>2135</v>
      </c>
      <c r="F73" s="727"/>
      <c r="G73" s="727"/>
      <c r="H73" s="727"/>
      <c r="I73" s="727"/>
      <c r="J73" s="727"/>
      <c r="K73" s="727"/>
      <c r="L73" s="727"/>
      <c r="M73" s="730" t="s">
        <v>788</v>
      </c>
      <c r="N73" s="33"/>
    </row>
    <row r="74" spans="4:14" ht="15" customHeight="1">
      <c r="D74" s="25"/>
      <c r="E74" s="28" t="s">
        <v>789</v>
      </c>
      <c r="F74" s="731">
        <v>2018</v>
      </c>
      <c r="G74" s="731">
        <v>2020</v>
      </c>
      <c r="H74" s="731">
        <v>2025</v>
      </c>
      <c r="I74" s="731">
        <v>2030</v>
      </c>
      <c r="J74" s="731">
        <v>2035</v>
      </c>
      <c r="K74" s="731">
        <v>2040</v>
      </c>
      <c r="L74" s="731">
        <v>2045</v>
      </c>
      <c r="M74" s="731">
        <v>2050</v>
      </c>
      <c r="N74" s="121"/>
    </row>
    <row r="75" spans="4:14" ht="15" customHeight="1">
      <c r="D75" s="11"/>
      <c r="E75" s="30" t="s">
        <v>795</v>
      </c>
      <c r="F75" s="756">
        <v>3.7199999999999997E-2</v>
      </c>
      <c r="G75" s="756">
        <v>4.65E-2</v>
      </c>
      <c r="H75" s="756">
        <v>6.9749999999999993E-2</v>
      </c>
      <c r="I75" s="756">
        <v>9.2999999999999999E-2</v>
      </c>
      <c r="J75" s="756">
        <v>0.11624999999999999</v>
      </c>
      <c r="K75" s="756">
        <v>0.13949999999999999</v>
      </c>
      <c r="L75" s="756">
        <v>0.16274999999999998</v>
      </c>
      <c r="M75" s="756">
        <v>0.186</v>
      </c>
      <c r="N75" s="121"/>
    </row>
    <row r="76" spans="4:14" ht="15" customHeight="1">
      <c r="D76" s="13"/>
      <c r="E76" s="30" t="s">
        <v>791</v>
      </c>
      <c r="F76" s="756">
        <v>3.7199999999999997E-2</v>
      </c>
      <c r="G76" s="756">
        <v>4.65E-2</v>
      </c>
      <c r="H76" s="756">
        <v>6.9749999999999993E-2</v>
      </c>
      <c r="I76" s="756">
        <v>9.2999999999999999E-2</v>
      </c>
      <c r="J76" s="756">
        <v>0.11624999999999999</v>
      </c>
      <c r="K76" s="756">
        <v>0.13949999999999999</v>
      </c>
      <c r="L76" s="756">
        <v>0.16274999999999998</v>
      </c>
      <c r="M76" s="756">
        <v>0.186</v>
      </c>
      <c r="N76" s="121"/>
    </row>
    <row r="77" spans="4:14" ht="15" customHeight="1">
      <c r="D77" s="25"/>
      <c r="E77" s="30" t="s">
        <v>792</v>
      </c>
      <c r="F77" s="756">
        <v>3.7199999999999997E-2</v>
      </c>
      <c r="G77" s="756">
        <v>4.65E-2</v>
      </c>
      <c r="H77" s="756">
        <v>6.9749999999999993E-2</v>
      </c>
      <c r="I77" s="756">
        <v>9.2999999999999999E-2</v>
      </c>
      <c r="J77" s="756">
        <v>0.11624999999999999</v>
      </c>
      <c r="K77" s="756">
        <v>0.13949999999999999</v>
      </c>
      <c r="L77" s="756">
        <v>0.16274999999999998</v>
      </c>
      <c r="M77" s="756">
        <v>0.186</v>
      </c>
      <c r="N77" s="121"/>
    </row>
    <row r="78" spans="4:14" ht="15" customHeight="1">
      <c r="D78" s="25"/>
      <c r="E78" s="32" t="s">
        <v>793</v>
      </c>
      <c r="F78" s="757">
        <v>3.7199999999999997E-2</v>
      </c>
      <c r="G78" s="757">
        <v>4.65E-2</v>
      </c>
      <c r="H78" s="757">
        <v>6.9749999999999993E-2</v>
      </c>
      <c r="I78" s="757">
        <v>9.2999999999999999E-2</v>
      </c>
      <c r="J78" s="757">
        <v>0.11624999999999999</v>
      </c>
      <c r="K78" s="757">
        <v>0.13949999999999999</v>
      </c>
      <c r="L78" s="757">
        <v>0.16274999999999998</v>
      </c>
      <c r="M78" s="757">
        <v>0.186</v>
      </c>
      <c r="N78" s="12"/>
    </row>
    <row r="79" spans="4:14" ht="15" customHeight="1">
      <c r="D79" s="25"/>
      <c r="E79" s="30"/>
      <c r="F79" s="735"/>
      <c r="G79" s="733"/>
      <c r="H79" s="755"/>
      <c r="I79" s="755"/>
      <c r="J79" s="755"/>
      <c r="K79" s="755"/>
      <c r="L79" s="755"/>
      <c r="M79" s="755"/>
      <c r="N79" s="20"/>
    </row>
    <row r="80" spans="4:14" ht="15" customHeight="1">
      <c r="D80" s="25"/>
      <c r="E80" s="23" t="s">
        <v>1731</v>
      </c>
      <c r="F80" s="727"/>
      <c r="G80" s="727"/>
      <c r="H80" s="727"/>
      <c r="I80" s="727"/>
      <c r="J80" s="727"/>
      <c r="K80" s="727"/>
      <c r="L80" s="727"/>
      <c r="M80" s="727"/>
      <c r="N80" s="33"/>
    </row>
    <row r="81" spans="4:14" ht="15" customHeight="1">
      <c r="D81" s="25"/>
      <c r="E81" s="24"/>
      <c r="F81" s="727"/>
      <c r="G81" s="727"/>
      <c r="H81" s="727"/>
      <c r="I81" s="727"/>
      <c r="J81" s="727"/>
      <c r="K81" s="727"/>
      <c r="L81" s="727"/>
      <c r="M81" s="727"/>
      <c r="N81" s="121"/>
    </row>
    <row r="82" spans="4:14" ht="15" customHeight="1">
      <c r="D82" s="25"/>
      <c r="E82" s="26" t="s">
        <v>2135</v>
      </c>
      <c r="F82" s="727"/>
      <c r="G82" s="727"/>
      <c r="H82" s="727"/>
      <c r="I82" s="727"/>
      <c r="J82" s="727"/>
      <c r="K82" s="727"/>
      <c r="L82" s="727"/>
      <c r="M82" s="730" t="s">
        <v>788</v>
      </c>
      <c r="N82" s="121"/>
    </row>
    <row r="83" spans="4:14" ht="15" customHeight="1">
      <c r="D83" s="25"/>
      <c r="E83" s="28" t="s">
        <v>789</v>
      </c>
      <c r="F83" s="731">
        <v>2018</v>
      </c>
      <c r="G83" s="731">
        <v>2020</v>
      </c>
      <c r="H83" s="731">
        <v>2025</v>
      </c>
      <c r="I83" s="731">
        <v>2030</v>
      </c>
      <c r="J83" s="731">
        <v>2035</v>
      </c>
      <c r="K83" s="731">
        <v>2040</v>
      </c>
      <c r="L83" s="731">
        <v>2045</v>
      </c>
      <c r="M83" s="731">
        <v>2050</v>
      </c>
      <c r="N83" s="121"/>
    </row>
    <row r="84" spans="4:14" ht="15" customHeight="1">
      <c r="D84" s="25"/>
      <c r="E84" s="30" t="s">
        <v>795</v>
      </c>
      <c r="F84" s="756">
        <v>7.4399999999999994E-2</v>
      </c>
      <c r="G84" s="756">
        <v>9.2999999999999999E-2</v>
      </c>
      <c r="H84" s="756">
        <v>0.13949999999999999</v>
      </c>
      <c r="I84" s="756">
        <v>0.186</v>
      </c>
      <c r="J84" s="756">
        <v>0.23249999999999998</v>
      </c>
      <c r="K84" s="756">
        <v>0.27899999999999997</v>
      </c>
      <c r="L84" s="756">
        <v>0.32549999999999996</v>
      </c>
      <c r="M84" s="756">
        <v>0.372</v>
      </c>
      <c r="N84" s="121"/>
    </row>
    <row r="85" spans="4:14" ht="15" customHeight="1">
      <c r="D85" s="25"/>
      <c r="E85" s="30" t="s">
        <v>791</v>
      </c>
      <c r="F85" s="756">
        <v>7.4399999999999994E-2</v>
      </c>
      <c r="G85" s="756">
        <v>9.2999999999999999E-2</v>
      </c>
      <c r="H85" s="756">
        <v>0.13949999999999999</v>
      </c>
      <c r="I85" s="756">
        <v>0.186</v>
      </c>
      <c r="J85" s="756">
        <v>0.23249999999999998</v>
      </c>
      <c r="K85" s="756">
        <v>0.27899999999999997</v>
      </c>
      <c r="L85" s="756">
        <v>0.32549999999999996</v>
      </c>
      <c r="M85" s="756">
        <v>0.372</v>
      </c>
      <c r="N85" s="12"/>
    </row>
    <row r="86" spans="4:14" ht="15" customHeight="1">
      <c r="D86" s="11"/>
      <c r="E86" s="30" t="s">
        <v>792</v>
      </c>
      <c r="F86" s="756">
        <v>7.4399999999999994E-2</v>
      </c>
      <c r="G86" s="756">
        <v>9.2999999999999999E-2</v>
      </c>
      <c r="H86" s="756">
        <v>0.13949999999999999</v>
      </c>
      <c r="I86" s="756">
        <v>0.186</v>
      </c>
      <c r="J86" s="756">
        <v>0.23249999999999998</v>
      </c>
      <c r="K86" s="756">
        <v>0.27899999999999997</v>
      </c>
      <c r="L86" s="756">
        <v>0.32549999999999996</v>
      </c>
      <c r="M86" s="756">
        <v>0.372</v>
      </c>
      <c r="N86" s="20"/>
    </row>
    <row r="87" spans="4:14" ht="15" customHeight="1">
      <c r="D87" s="13"/>
      <c r="E87" s="32" t="s">
        <v>793</v>
      </c>
      <c r="F87" s="757">
        <v>7.4399999999999994E-2</v>
      </c>
      <c r="G87" s="757">
        <v>9.2999999999999999E-2</v>
      </c>
      <c r="H87" s="757">
        <v>0.13949999999999999</v>
      </c>
      <c r="I87" s="757">
        <v>0.186</v>
      </c>
      <c r="J87" s="757">
        <v>0.23249999999999998</v>
      </c>
      <c r="K87" s="757">
        <v>0.27899999999999997</v>
      </c>
      <c r="L87" s="757">
        <v>0.32549999999999996</v>
      </c>
      <c r="M87" s="757">
        <v>0.372</v>
      </c>
      <c r="N87" s="33"/>
    </row>
    <row r="88" spans="4:14" ht="15" customHeight="1">
      <c r="D88" s="25"/>
      <c r="E88" s="30"/>
      <c r="F88" s="735"/>
      <c r="G88" s="733"/>
      <c r="H88" s="755"/>
      <c r="I88" s="755"/>
      <c r="J88" s="755"/>
      <c r="K88" s="755"/>
      <c r="L88" s="755"/>
      <c r="M88" s="755"/>
      <c r="N88" s="121"/>
    </row>
    <row r="89" spans="4:14" ht="15" customHeight="1">
      <c r="D89" s="25"/>
      <c r="E89" s="14" t="s">
        <v>2223</v>
      </c>
      <c r="F89" s="736"/>
      <c r="G89" s="736"/>
      <c r="H89" s="736"/>
      <c r="I89" s="736"/>
      <c r="J89" s="736"/>
      <c r="K89" s="736"/>
      <c r="L89" s="736"/>
      <c r="M89" s="736"/>
      <c r="N89" s="121"/>
    </row>
    <row r="90" spans="4:14" ht="15" customHeight="1">
      <c r="D90" s="25"/>
      <c r="E90" s="30"/>
      <c r="F90" s="735"/>
      <c r="G90" s="733"/>
      <c r="H90" s="755"/>
      <c r="I90" s="755"/>
      <c r="J90" s="755"/>
      <c r="K90" s="755"/>
      <c r="L90" s="755"/>
      <c r="M90" s="755"/>
      <c r="N90" s="121"/>
    </row>
    <row r="91" spans="4:14" ht="15" customHeight="1">
      <c r="D91" s="25"/>
      <c r="E91" s="23" t="s">
        <v>1726</v>
      </c>
      <c r="F91" s="727"/>
      <c r="G91" s="727"/>
      <c r="H91" s="727"/>
      <c r="I91" s="727"/>
      <c r="J91" s="727"/>
      <c r="K91" s="727"/>
      <c r="L91" s="727"/>
      <c r="M91" s="727"/>
      <c r="N91" s="121"/>
    </row>
    <row r="92" spans="4:14" ht="15" customHeight="1">
      <c r="D92" s="25"/>
      <c r="E92" s="24"/>
      <c r="F92" s="727"/>
      <c r="G92" s="727"/>
      <c r="H92" s="727"/>
      <c r="I92" s="727"/>
      <c r="J92" s="727"/>
      <c r="K92" s="727"/>
      <c r="L92" s="727"/>
      <c r="M92" s="727"/>
      <c r="N92" s="121"/>
    </row>
    <row r="93" spans="4:14" ht="15" customHeight="1">
      <c r="D93" s="25"/>
      <c r="E93" s="26" t="s">
        <v>2224</v>
      </c>
      <c r="F93" s="727"/>
      <c r="G93" s="727"/>
      <c r="H93" s="727"/>
      <c r="I93" s="727"/>
      <c r="J93" s="727"/>
      <c r="K93" s="727"/>
      <c r="L93" s="727"/>
      <c r="M93" s="730" t="s">
        <v>788</v>
      </c>
      <c r="N93" s="121"/>
    </row>
    <row r="94" spans="4:14" ht="15" customHeight="1">
      <c r="D94" s="25"/>
      <c r="E94" s="28" t="s">
        <v>789</v>
      </c>
      <c r="F94" s="731">
        <v>2018</v>
      </c>
      <c r="G94" s="731">
        <v>2020</v>
      </c>
      <c r="H94" s="731">
        <v>2025</v>
      </c>
      <c r="I94" s="731">
        <v>2030</v>
      </c>
      <c r="J94" s="731">
        <v>2035</v>
      </c>
      <c r="K94" s="731">
        <v>2040</v>
      </c>
      <c r="L94" s="731">
        <v>2045</v>
      </c>
      <c r="M94" s="731">
        <v>2050</v>
      </c>
      <c r="N94" s="121"/>
    </row>
    <row r="95" spans="4:14" ht="15" customHeight="1">
      <c r="D95" s="25"/>
      <c r="E95" s="30" t="s">
        <v>795</v>
      </c>
      <c r="F95" s="756">
        <v>0</v>
      </c>
      <c r="G95" s="756">
        <v>0</v>
      </c>
      <c r="H95" s="756">
        <v>0</v>
      </c>
      <c r="I95" s="756">
        <v>0</v>
      </c>
      <c r="J95" s="756">
        <v>0</v>
      </c>
      <c r="K95" s="756">
        <v>0</v>
      </c>
      <c r="L95" s="756">
        <v>0</v>
      </c>
      <c r="M95" s="756">
        <v>0</v>
      </c>
      <c r="N95" s="121"/>
    </row>
    <row r="96" spans="4:14" ht="15" customHeight="1">
      <c r="D96" s="25"/>
      <c r="E96" s="30" t="s">
        <v>791</v>
      </c>
      <c r="F96" s="756">
        <v>0</v>
      </c>
      <c r="G96" s="756">
        <v>0</v>
      </c>
      <c r="H96" s="756">
        <v>0</v>
      </c>
      <c r="I96" s="756">
        <v>0</v>
      </c>
      <c r="J96" s="756">
        <v>0</v>
      </c>
      <c r="K96" s="756">
        <v>0</v>
      </c>
      <c r="L96" s="756">
        <v>0</v>
      </c>
      <c r="M96" s="756">
        <v>0</v>
      </c>
      <c r="N96" s="121"/>
    </row>
    <row r="97" spans="4:14" ht="15" customHeight="1">
      <c r="D97" s="25"/>
      <c r="E97" s="30" t="s">
        <v>792</v>
      </c>
      <c r="F97" s="756">
        <v>0</v>
      </c>
      <c r="G97" s="756">
        <v>0</v>
      </c>
      <c r="H97" s="756">
        <v>0</v>
      </c>
      <c r="I97" s="756">
        <v>0</v>
      </c>
      <c r="J97" s="756">
        <v>0</v>
      </c>
      <c r="K97" s="756">
        <v>0</v>
      </c>
      <c r="L97" s="756">
        <v>0</v>
      </c>
      <c r="M97" s="756">
        <v>0</v>
      </c>
      <c r="N97" s="121"/>
    </row>
    <row r="98" spans="4:14" ht="15" customHeight="1">
      <c r="D98" s="25"/>
      <c r="E98" s="32" t="s">
        <v>793</v>
      </c>
      <c r="F98" s="757">
        <v>0</v>
      </c>
      <c r="G98" s="757">
        <v>0</v>
      </c>
      <c r="H98" s="757">
        <v>0</v>
      </c>
      <c r="I98" s="757">
        <v>0</v>
      </c>
      <c r="J98" s="757">
        <v>0</v>
      </c>
      <c r="K98" s="757">
        <v>0</v>
      </c>
      <c r="L98" s="757">
        <v>0</v>
      </c>
      <c r="M98" s="757">
        <v>0</v>
      </c>
      <c r="N98" s="121"/>
    </row>
    <row r="99" spans="4:14" ht="15" customHeight="1">
      <c r="D99" s="25"/>
      <c r="E99" s="30"/>
      <c r="F99" s="726"/>
      <c r="G99" s="726"/>
      <c r="H99" s="726"/>
      <c r="I99" s="726"/>
      <c r="J99" s="726"/>
      <c r="K99" s="726"/>
      <c r="L99" s="726"/>
      <c r="M99" s="726"/>
      <c r="N99" s="121"/>
    </row>
    <row r="100" spans="4:14" ht="15" customHeight="1">
      <c r="D100" s="25"/>
      <c r="E100" s="23" t="s">
        <v>1729</v>
      </c>
      <c r="F100" s="727"/>
      <c r="G100" s="727"/>
      <c r="H100" s="727"/>
      <c r="I100" s="727"/>
      <c r="J100" s="727"/>
      <c r="K100" s="727"/>
      <c r="L100" s="727"/>
      <c r="M100" s="727"/>
      <c r="N100" s="121"/>
    </row>
    <row r="101" spans="4:14" ht="15" customHeight="1">
      <c r="D101" s="25"/>
      <c r="E101" s="24"/>
      <c r="F101" s="727"/>
      <c r="G101" s="727"/>
      <c r="H101" s="727"/>
      <c r="I101" s="727"/>
      <c r="J101" s="727"/>
      <c r="K101" s="727"/>
      <c r="L101" s="727"/>
      <c r="M101" s="727"/>
      <c r="N101" s="121"/>
    </row>
    <row r="102" spans="4:14" ht="15" customHeight="1">
      <c r="D102" s="25"/>
      <c r="E102" s="26" t="s">
        <v>2224</v>
      </c>
      <c r="F102" s="727"/>
      <c r="G102" s="727"/>
      <c r="H102" s="727"/>
      <c r="I102" s="727"/>
      <c r="J102" s="727"/>
      <c r="K102" s="727"/>
      <c r="L102" s="727"/>
      <c r="M102" s="730" t="s">
        <v>788</v>
      </c>
      <c r="N102" s="121"/>
    </row>
    <row r="103" spans="4:14" ht="15" customHeight="1">
      <c r="D103" s="25"/>
      <c r="E103" s="28" t="s">
        <v>789</v>
      </c>
      <c r="F103" s="731">
        <v>2018</v>
      </c>
      <c r="G103" s="731">
        <v>2020</v>
      </c>
      <c r="H103" s="731">
        <v>2025</v>
      </c>
      <c r="I103" s="731">
        <v>2030</v>
      </c>
      <c r="J103" s="731">
        <v>2035</v>
      </c>
      <c r="K103" s="731">
        <v>2040</v>
      </c>
      <c r="L103" s="731">
        <v>2045</v>
      </c>
      <c r="M103" s="731">
        <v>2050</v>
      </c>
      <c r="N103" s="121"/>
    </row>
    <row r="104" spans="4:14" ht="15" customHeight="1">
      <c r="D104" s="25"/>
      <c r="E104" s="30" t="s">
        <v>795</v>
      </c>
      <c r="F104" s="756">
        <v>0</v>
      </c>
      <c r="G104" s="756">
        <v>0</v>
      </c>
      <c r="H104" s="756">
        <v>0</v>
      </c>
      <c r="I104" s="756">
        <v>0</v>
      </c>
      <c r="J104" s="756">
        <v>0</v>
      </c>
      <c r="K104" s="756">
        <v>0</v>
      </c>
      <c r="L104" s="756">
        <v>0</v>
      </c>
      <c r="M104" s="756">
        <v>0</v>
      </c>
      <c r="N104" s="121"/>
    </row>
    <row r="105" spans="4:14" ht="15" customHeight="1">
      <c r="D105" s="25"/>
      <c r="E105" s="30" t="s">
        <v>791</v>
      </c>
      <c r="F105" s="756">
        <v>0</v>
      </c>
      <c r="G105" s="756">
        <v>0</v>
      </c>
      <c r="H105" s="756">
        <v>0</v>
      </c>
      <c r="I105" s="756">
        <v>0</v>
      </c>
      <c r="J105" s="756">
        <v>0</v>
      </c>
      <c r="K105" s="756">
        <v>0</v>
      </c>
      <c r="L105" s="756">
        <v>0</v>
      </c>
      <c r="M105" s="756">
        <v>0</v>
      </c>
      <c r="N105" s="121"/>
    </row>
    <row r="106" spans="4:14" ht="15" customHeight="1">
      <c r="D106" s="25"/>
      <c r="E106" s="30" t="s">
        <v>792</v>
      </c>
      <c r="F106" s="756">
        <v>0</v>
      </c>
      <c r="G106" s="756">
        <v>0</v>
      </c>
      <c r="H106" s="756">
        <v>0</v>
      </c>
      <c r="I106" s="756">
        <v>0</v>
      </c>
      <c r="J106" s="756">
        <v>0</v>
      </c>
      <c r="K106" s="756">
        <v>0</v>
      </c>
      <c r="L106" s="756">
        <v>0</v>
      </c>
      <c r="M106" s="756">
        <v>0</v>
      </c>
      <c r="N106" s="121"/>
    </row>
    <row r="107" spans="4:14" ht="15" customHeight="1">
      <c r="D107" s="25"/>
      <c r="E107" s="32" t="s">
        <v>793</v>
      </c>
      <c r="F107" s="757">
        <v>0</v>
      </c>
      <c r="G107" s="757">
        <v>0</v>
      </c>
      <c r="H107" s="757">
        <v>0</v>
      </c>
      <c r="I107" s="757">
        <v>0</v>
      </c>
      <c r="J107" s="757">
        <v>0</v>
      </c>
      <c r="K107" s="757">
        <v>0</v>
      </c>
      <c r="L107" s="757">
        <v>0</v>
      </c>
      <c r="M107" s="757">
        <v>0</v>
      </c>
      <c r="N107" s="12"/>
    </row>
    <row r="108" spans="4:14" ht="15" customHeight="1">
      <c r="D108" s="25"/>
      <c r="E108" s="30"/>
      <c r="F108" s="735"/>
      <c r="G108" s="733"/>
      <c r="H108" s="755"/>
      <c r="I108" s="755"/>
      <c r="J108" s="755"/>
      <c r="K108" s="755"/>
      <c r="L108" s="755"/>
      <c r="M108" s="755"/>
      <c r="N108" s="36"/>
    </row>
    <row r="109" spans="4:14" ht="15" customHeight="1">
      <c r="D109" s="25"/>
      <c r="E109" s="23" t="s">
        <v>1730</v>
      </c>
      <c r="F109" s="727"/>
      <c r="G109" s="727"/>
      <c r="H109" s="727"/>
      <c r="I109" s="727"/>
      <c r="J109" s="727"/>
      <c r="K109" s="727"/>
      <c r="L109" s="727"/>
      <c r="M109" s="727"/>
      <c r="N109" s="20"/>
    </row>
    <row r="110" spans="4:14" ht="15" customHeight="1">
      <c r="D110" s="25"/>
      <c r="E110" s="24"/>
      <c r="F110" s="727"/>
      <c r="G110" s="727"/>
      <c r="H110" s="727"/>
      <c r="I110" s="727"/>
      <c r="J110" s="727"/>
      <c r="K110" s="727"/>
      <c r="L110" s="727"/>
      <c r="M110" s="727"/>
      <c r="N110" s="20"/>
    </row>
    <row r="111" spans="4:14" ht="15" customHeight="1">
      <c r="D111" s="25"/>
      <c r="E111" s="26" t="s">
        <v>2224</v>
      </c>
      <c r="F111" s="727"/>
      <c r="G111" s="727"/>
      <c r="H111" s="727"/>
      <c r="I111" s="727"/>
      <c r="J111" s="727"/>
      <c r="K111" s="727"/>
      <c r="L111" s="727"/>
      <c r="M111" s="730" t="s">
        <v>788</v>
      </c>
      <c r="N111" s="33"/>
    </row>
    <row r="112" spans="4:14" ht="15" customHeight="1">
      <c r="D112" s="25"/>
      <c r="E112" s="28" t="s">
        <v>789</v>
      </c>
      <c r="F112" s="731">
        <v>2018</v>
      </c>
      <c r="G112" s="731">
        <v>2020</v>
      </c>
      <c r="H112" s="731">
        <v>2025</v>
      </c>
      <c r="I112" s="731">
        <v>2030</v>
      </c>
      <c r="J112" s="731">
        <v>2035</v>
      </c>
      <c r="K112" s="731">
        <v>2040</v>
      </c>
      <c r="L112" s="731">
        <v>2045</v>
      </c>
      <c r="M112" s="731">
        <v>2050</v>
      </c>
      <c r="N112" s="122"/>
    </row>
    <row r="113" spans="4:14" ht="15" customHeight="1">
      <c r="D113" s="13"/>
      <c r="E113" s="30" t="s">
        <v>795</v>
      </c>
      <c r="F113" s="756">
        <v>0</v>
      </c>
      <c r="G113" s="756">
        <v>0</v>
      </c>
      <c r="H113" s="756">
        <v>0</v>
      </c>
      <c r="I113" s="756">
        <v>0</v>
      </c>
      <c r="J113" s="756">
        <v>0</v>
      </c>
      <c r="K113" s="756">
        <v>0</v>
      </c>
      <c r="L113" s="756">
        <v>0</v>
      </c>
      <c r="M113" s="756">
        <v>0</v>
      </c>
      <c r="N113" s="122"/>
    </row>
    <row r="114" spans="4:14" ht="15" customHeight="1">
      <c r="D114" s="25"/>
      <c r="E114" s="30" t="s">
        <v>791</v>
      </c>
      <c r="F114" s="756">
        <v>0</v>
      </c>
      <c r="G114" s="756">
        <v>0</v>
      </c>
      <c r="H114" s="756">
        <v>0</v>
      </c>
      <c r="I114" s="756">
        <v>0</v>
      </c>
      <c r="J114" s="756">
        <v>0</v>
      </c>
      <c r="K114" s="756">
        <v>0</v>
      </c>
      <c r="L114" s="756">
        <v>0</v>
      </c>
      <c r="M114" s="756">
        <v>0</v>
      </c>
      <c r="N114" s="122"/>
    </row>
    <row r="115" spans="4:14" ht="15" customHeight="1">
      <c r="D115" s="25"/>
      <c r="E115" s="30" t="s">
        <v>792</v>
      </c>
      <c r="F115" s="756">
        <v>0</v>
      </c>
      <c r="G115" s="756">
        <v>0</v>
      </c>
      <c r="H115" s="756">
        <v>0</v>
      </c>
      <c r="I115" s="756">
        <v>0</v>
      </c>
      <c r="J115" s="756">
        <v>0</v>
      </c>
      <c r="K115" s="756">
        <v>0</v>
      </c>
      <c r="L115" s="756">
        <v>0</v>
      </c>
      <c r="M115" s="756">
        <v>0</v>
      </c>
      <c r="N115" s="122"/>
    </row>
    <row r="116" spans="4:14" ht="15" customHeight="1">
      <c r="D116" s="25"/>
      <c r="E116" s="32" t="s">
        <v>793</v>
      </c>
      <c r="F116" s="757">
        <v>0</v>
      </c>
      <c r="G116" s="757">
        <v>0</v>
      </c>
      <c r="H116" s="757">
        <v>0</v>
      </c>
      <c r="I116" s="757">
        <v>0</v>
      </c>
      <c r="J116" s="757">
        <v>0</v>
      </c>
      <c r="K116" s="757">
        <v>0</v>
      </c>
      <c r="L116" s="757">
        <v>0</v>
      </c>
      <c r="M116" s="757">
        <v>0</v>
      </c>
      <c r="N116" s="12"/>
    </row>
    <row r="117" spans="4:14" ht="15" customHeight="1">
      <c r="D117" s="25"/>
      <c r="E117" s="30"/>
      <c r="F117" s="735"/>
      <c r="G117" s="733"/>
      <c r="H117" s="755"/>
      <c r="I117" s="755"/>
      <c r="J117" s="755"/>
      <c r="K117" s="755"/>
      <c r="L117" s="755"/>
      <c r="M117" s="755"/>
      <c r="N117" s="20"/>
    </row>
    <row r="118" spans="4:14" ht="15" customHeight="1">
      <c r="D118" s="25"/>
      <c r="E118" s="23" t="s">
        <v>1731</v>
      </c>
      <c r="F118" s="727"/>
      <c r="G118" s="727"/>
      <c r="H118" s="727"/>
      <c r="I118" s="727"/>
      <c r="J118" s="727"/>
      <c r="K118" s="727"/>
      <c r="L118" s="727"/>
      <c r="M118" s="727"/>
      <c r="N118" s="33"/>
    </row>
    <row r="119" spans="4:14" ht="15" customHeight="1">
      <c r="D119" s="25"/>
      <c r="E119" s="24"/>
      <c r="F119" s="727"/>
      <c r="G119" s="727"/>
      <c r="H119" s="727"/>
      <c r="I119" s="727"/>
      <c r="J119" s="727"/>
      <c r="K119" s="727"/>
      <c r="L119" s="727"/>
      <c r="M119" s="727"/>
      <c r="N119" s="122"/>
    </row>
    <row r="120" spans="4:14" ht="15" customHeight="1">
      <c r="D120" s="25"/>
      <c r="E120" s="26" t="s">
        <v>2224</v>
      </c>
      <c r="F120" s="727"/>
      <c r="G120" s="727"/>
      <c r="H120" s="727"/>
      <c r="I120" s="727"/>
      <c r="J120" s="727"/>
      <c r="K120" s="727"/>
      <c r="L120" s="727"/>
      <c r="M120" s="730" t="s">
        <v>788</v>
      </c>
      <c r="N120" s="122"/>
    </row>
    <row r="121" spans="4:14" ht="15" customHeight="1">
      <c r="D121" s="25"/>
      <c r="E121" s="28" t="s">
        <v>789</v>
      </c>
      <c r="F121" s="731">
        <v>2018</v>
      </c>
      <c r="G121" s="731">
        <v>2020</v>
      </c>
      <c r="H121" s="731">
        <v>2025</v>
      </c>
      <c r="I121" s="731">
        <v>2030</v>
      </c>
      <c r="J121" s="731">
        <v>2035</v>
      </c>
      <c r="K121" s="731">
        <v>2040</v>
      </c>
      <c r="L121" s="731">
        <v>2045</v>
      </c>
      <c r="M121" s="731">
        <v>2050</v>
      </c>
      <c r="N121" s="122"/>
    </row>
    <row r="122" spans="4:14" ht="15" customHeight="1">
      <c r="D122" s="25"/>
      <c r="E122" s="30" t="s">
        <v>795</v>
      </c>
      <c r="F122" s="756">
        <v>0</v>
      </c>
      <c r="G122" s="756">
        <v>0</v>
      </c>
      <c r="H122" s="756">
        <v>0</v>
      </c>
      <c r="I122" s="756">
        <v>0</v>
      </c>
      <c r="J122" s="756">
        <v>0</v>
      </c>
      <c r="K122" s="756">
        <v>0</v>
      </c>
      <c r="L122" s="756">
        <v>0</v>
      </c>
      <c r="M122" s="756">
        <v>0</v>
      </c>
      <c r="N122" s="122"/>
    </row>
    <row r="123" spans="4:14" ht="15" customHeight="1">
      <c r="D123" s="25"/>
      <c r="E123" s="30" t="s">
        <v>791</v>
      </c>
      <c r="F123" s="756">
        <v>0</v>
      </c>
      <c r="G123" s="756">
        <v>0</v>
      </c>
      <c r="H123" s="756">
        <v>0</v>
      </c>
      <c r="I123" s="756">
        <v>0</v>
      </c>
      <c r="J123" s="756">
        <v>0</v>
      </c>
      <c r="K123" s="756">
        <v>0</v>
      </c>
      <c r="L123" s="756">
        <v>0</v>
      </c>
      <c r="M123" s="756">
        <v>0</v>
      </c>
      <c r="N123" s="12"/>
    </row>
    <row r="124" spans="4:14" ht="15" customHeight="1">
      <c r="D124" s="13"/>
      <c r="E124" s="30" t="s">
        <v>792</v>
      </c>
      <c r="F124" s="756">
        <v>0</v>
      </c>
      <c r="G124" s="756">
        <v>0</v>
      </c>
      <c r="H124" s="756">
        <v>0</v>
      </c>
      <c r="I124" s="756">
        <v>0</v>
      </c>
      <c r="J124" s="756">
        <v>0</v>
      </c>
      <c r="K124" s="756">
        <v>0</v>
      </c>
      <c r="L124" s="756">
        <v>0</v>
      </c>
      <c r="M124" s="756">
        <v>0</v>
      </c>
      <c r="N124" s="20"/>
    </row>
    <row r="125" spans="4:14" ht="15" customHeight="1">
      <c r="D125" s="13"/>
      <c r="E125" s="32" t="s">
        <v>793</v>
      </c>
      <c r="F125" s="757">
        <v>0</v>
      </c>
      <c r="G125" s="757">
        <v>0</v>
      </c>
      <c r="H125" s="757">
        <v>0</v>
      </c>
      <c r="I125" s="757">
        <v>0</v>
      </c>
      <c r="J125" s="757">
        <v>0</v>
      </c>
      <c r="K125" s="757">
        <v>0</v>
      </c>
      <c r="L125" s="757">
        <v>0</v>
      </c>
      <c r="M125" s="757">
        <v>0</v>
      </c>
      <c r="N125" s="33"/>
    </row>
    <row r="126" spans="4:14" ht="15" customHeight="1">
      <c r="D126" s="13"/>
      <c r="E126" s="30"/>
      <c r="F126" s="735"/>
      <c r="G126" s="733"/>
      <c r="H126" s="758"/>
      <c r="I126" s="758"/>
      <c r="J126" s="758"/>
      <c r="K126" s="758"/>
      <c r="L126" s="758"/>
      <c r="M126" s="758"/>
      <c r="N126" s="122"/>
    </row>
    <row r="127" spans="4:14" ht="15" customHeight="1">
      <c r="F127" s="696"/>
      <c r="G127" s="696"/>
      <c r="H127" s="696"/>
      <c r="I127" s="696"/>
      <c r="J127" s="696"/>
      <c r="K127" s="696"/>
      <c r="L127" s="696"/>
      <c r="M127" s="696"/>
    </row>
    <row r="128" spans="4:14" ht="15" customHeight="1">
      <c r="D128" s="116" t="s">
        <v>996</v>
      </c>
      <c r="E128" s="10"/>
      <c r="F128" s="753"/>
      <c r="G128" s="753"/>
      <c r="H128" s="753"/>
      <c r="I128" s="753"/>
      <c r="J128" s="753"/>
      <c r="K128" s="753"/>
      <c r="L128" s="753"/>
      <c r="M128" s="753"/>
      <c r="N128" s="10"/>
    </row>
    <row r="129" spans="4:14" ht="15" customHeight="1">
      <c r="D129" s="11"/>
      <c r="E129" s="12"/>
      <c r="F129" s="752"/>
      <c r="G129" s="752"/>
      <c r="H129" s="752"/>
      <c r="I129" s="752"/>
      <c r="J129" s="752"/>
      <c r="K129" s="752"/>
      <c r="L129" s="752"/>
      <c r="M129" s="752"/>
      <c r="N129" s="12"/>
    </row>
    <row r="130" spans="4:14" ht="15" customHeight="1">
      <c r="D130" s="11"/>
      <c r="E130" s="14" t="s">
        <v>2225</v>
      </c>
      <c r="F130" s="736"/>
      <c r="G130" s="736"/>
      <c r="H130" s="736"/>
      <c r="I130" s="736"/>
      <c r="J130" s="736"/>
      <c r="K130" s="736"/>
      <c r="L130" s="736"/>
      <c r="M130" s="736"/>
      <c r="N130" s="12"/>
    </row>
    <row r="131" spans="4:14" ht="15" customHeight="1">
      <c r="D131" s="11"/>
      <c r="E131" s="12"/>
      <c r="F131" s="752"/>
      <c r="G131" s="752"/>
      <c r="H131" s="752"/>
      <c r="I131" s="752"/>
      <c r="J131" s="752"/>
      <c r="K131" s="752"/>
      <c r="L131" s="752"/>
      <c r="M131" s="752"/>
      <c r="N131" s="12"/>
    </row>
    <row r="132" spans="4:14" ht="15" customHeight="1">
      <c r="D132" s="11"/>
      <c r="E132" s="26" t="s">
        <v>2224</v>
      </c>
      <c r="F132" s="727"/>
      <c r="G132" s="727"/>
      <c r="H132" s="727"/>
      <c r="I132" s="727"/>
      <c r="J132" s="727"/>
      <c r="K132" s="727"/>
      <c r="L132" s="727"/>
      <c r="M132" s="730" t="s">
        <v>9</v>
      </c>
      <c r="N132" s="12"/>
    </row>
    <row r="133" spans="4:14" ht="15" customHeight="1">
      <c r="D133" s="11"/>
      <c r="E133" s="28" t="s">
        <v>789</v>
      </c>
      <c r="F133" s="731">
        <v>2018</v>
      </c>
      <c r="G133" s="731">
        <v>2020</v>
      </c>
      <c r="H133" s="731">
        <v>2025</v>
      </c>
      <c r="I133" s="731">
        <v>2030</v>
      </c>
      <c r="J133" s="731">
        <v>2035</v>
      </c>
      <c r="K133" s="731">
        <v>2040</v>
      </c>
      <c r="L133" s="731">
        <v>2045</v>
      </c>
      <c r="M133" s="731">
        <v>2050</v>
      </c>
      <c r="N133" s="12"/>
    </row>
    <row r="134" spans="4:14" ht="15" customHeight="1">
      <c r="D134" s="11"/>
      <c r="E134" s="30" t="s">
        <v>795</v>
      </c>
      <c r="F134" s="745">
        <v>6.9644885574574864E-2</v>
      </c>
      <c r="G134" s="745">
        <v>8.083176661698252E-2</v>
      </c>
      <c r="H134" s="745">
        <v>9.6089441396454436E-2</v>
      </c>
      <c r="I134" s="745">
        <v>0.10848027597003719</v>
      </c>
      <c r="J134" s="745">
        <v>0.11948141740377349</v>
      </c>
      <c r="K134" s="745">
        <v>0.13079633560866516</v>
      </c>
      <c r="L134" s="745">
        <v>0.142396514608985</v>
      </c>
      <c r="M134" s="745">
        <v>0.15437003980270186</v>
      </c>
      <c r="N134" s="12"/>
    </row>
    <row r="135" spans="4:14" ht="15" customHeight="1">
      <c r="D135" s="11"/>
      <c r="E135" s="30" t="s">
        <v>791</v>
      </c>
      <c r="F135" s="745">
        <v>6.9644885574574864E-2</v>
      </c>
      <c r="G135" s="745">
        <v>8.083176661698252E-2</v>
      </c>
      <c r="H135" s="745">
        <v>9.6089441396454436E-2</v>
      </c>
      <c r="I135" s="745">
        <v>0.10848027597003719</v>
      </c>
      <c r="J135" s="745">
        <v>0.11948141740377349</v>
      </c>
      <c r="K135" s="745">
        <v>0.13079633560866516</v>
      </c>
      <c r="L135" s="745">
        <v>0.142396514608985</v>
      </c>
      <c r="M135" s="745">
        <v>0.15437003980270186</v>
      </c>
      <c r="N135" s="12"/>
    </row>
    <row r="136" spans="4:14" ht="15" customHeight="1">
      <c r="D136" s="11"/>
      <c r="E136" s="30" t="s">
        <v>792</v>
      </c>
      <c r="F136" s="745">
        <v>6.9644885574574864E-2</v>
      </c>
      <c r="G136" s="745">
        <v>8.083176661698252E-2</v>
      </c>
      <c r="H136" s="745">
        <v>9.6089441396454436E-2</v>
      </c>
      <c r="I136" s="745">
        <v>0.10848027597003719</v>
      </c>
      <c r="J136" s="745">
        <v>0.11948141740377349</v>
      </c>
      <c r="K136" s="745">
        <v>0.13079633560866516</v>
      </c>
      <c r="L136" s="745">
        <v>0.142396514608985</v>
      </c>
      <c r="M136" s="745">
        <v>0.15437003980270186</v>
      </c>
      <c r="N136" s="12"/>
    </row>
    <row r="137" spans="4:14" ht="15" customHeight="1">
      <c r="D137" s="11"/>
      <c r="E137" s="32" t="s">
        <v>793</v>
      </c>
      <c r="F137" s="746">
        <v>6.9644885574574864E-2</v>
      </c>
      <c r="G137" s="746">
        <v>8.083176661698252E-2</v>
      </c>
      <c r="H137" s="746">
        <v>9.6089441396454436E-2</v>
      </c>
      <c r="I137" s="746">
        <v>0.10848027597003719</v>
      </c>
      <c r="J137" s="746">
        <v>0.11948141740377349</v>
      </c>
      <c r="K137" s="746">
        <v>0.13079633560866516</v>
      </c>
      <c r="L137" s="746">
        <v>0.142396514608985</v>
      </c>
      <c r="M137" s="746">
        <v>0.15437003980270186</v>
      </c>
      <c r="N137" s="12"/>
    </row>
    <row r="138" spans="4:14" ht="15" customHeight="1">
      <c r="D138" s="11"/>
      <c r="E138" s="12"/>
      <c r="F138" s="752"/>
      <c r="G138" s="752"/>
      <c r="H138" s="752"/>
      <c r="I138" s="752"/>
      <c r="J138" s="752"/>
      <c r="K138" s="752"/>
      <c r="L138" s="752"/>
      <c r="M138" s="752"/>
      <c r="N138" s="12"/>
    </row>
    <row r="139" spans="4:14" ht="15" customHeight="1">
      <c r="D139" s="11"/>
      <c r="E139" s="26" t="s">
        <v>2226</v>
      </c>
      <c r="F139" s="727"/>
      <c r="G139" s="727"/>
      <c r="H139" s="727"/>
      <c r="I139" s="727"/>
      <c r="J139" s="727"/>
      <c r="K139" s="727"/>
      <c r="L139" s="727"/>
      <c r="M139" s="730" t="s">
        <v>9</v>
      </c>
      <c r="N139" s="12"/>
    </row>
    <row r="140" spans="4:14" ht="15" customHeight="1">
      <c r="D140" s="11"/>
      <c r="E140" s="28" t="s">
        <v>789</v>
      </c>
      <c r="F140" s="731">
        <v>2018</v>
      </c>
      <c r="G140" s="731">
        <v>2020</v>
      </c>
      <c r="H140" s="731">
        <v>2025</v>
      </c>
      <c r="I140" s="731">
        <v>2030</v>
      </c>
      <c r="J140" s="731">
        <v>2035</v>
      </c>
      <c r="K140" s="731">
        <v>2040</v>
      </c>
      <c r="L140" s="731">
        <v>2045</v>
      </c>
      <c r="M140" s="731">
        <v>2050</v>
      </c>
      <c r="N140" s="12"/>
    </row>
    <row r="141" spans="4:14" ht="15" customHeight="1">
      <c r="D141" s="11"/>
      <c r="E141" s="30" t="s">
        <v>795</v>
      </c>
      <c r="F141" s="745">
        <v>0.1492376292047016</v>
      </c>
      <c r="G141" s="745">
        <v>0.17320929045721739</v>
      </c>
      <c r="H141" s="745">
        <v>0.20590399865408207</v>
      </c>
      <c r="I141" s="745">
        <v>0.23245553593314225</v>
      </c>
      <c r="J141" s="745">
        <v>0.25602918750240866</v>
      </c>
      <c r="K141" s="745">
        <v>0.28027521150850671</v>
      </c>
      <c r="L141" s="745">
        <v>0.3051325028670257</v>
      </c>
      <c r="M141" s="745">
        <v>0.33078981421718434</v>
      </c>
      <c r="N141" s="12"/>
    </row>
    <row r="142" spans="4:14" ht="15" customHeight="1">
      <c r="D142" s="11"/>
      <c r="E142" s="30" t="s">
        <v>791</v>
      </c>
      <c r="F142" s="745">
        <v>0.1492376292047016</v>
      </c>
      <c r="G142" s="745">
        <v>0.17320929045721739</v>
      </c>
      <c r="H142" s="745">
        <v>0.20590399865408207</v>
      </c>
      <c r="I142" s="745">
        <v>0.23245553593314225</v>
      </c>
      <c r="J142" s="745">
        <v>0.25602918750240866</v>
      </c>
      <c r="K142" s="745">
        <v>0.28027521150850671</v>
      </c>
      <c r="L142" s="745">
        <v>0.3051325028670257</v>
      </c>
      <c r="M142" s="745">
        <v>0.33078981421718434</v>
      </c>
      <c r="N142" s="12"/>
    </row>
    <row r="143" spans="4:14" ht="15" customHeight="1">
      <c r="D143" s="11"/>
      <c r="E143" s="30" t="s">
        <v>792</v>
      </c>
      <c r="F143" s="745">
        <v>0.1492376292047016</v>
      </c>
      <c r="G143" s="745">
        <v>0.17320929045721739</v>
      </c>
      <c r="H143" s="745">
        <v>0.20590399865408207</v>
      </c>
      <c r="I143" s="745">
        <v>0.23245553593314225</v>
      </c>
      <c r="J143" s="745">
        <v>0.25602918750240866</v>
      </c>
      <c r="K143" s="745">
        <v>0.28027521150850671</v>
      </c>
      <c r="L143" s="745">
        <v>0.3051325028670257</v>
      </c>
      <c r="M143" s="745">
        <v>0.33078981421718434</v>
      </c>
      <c r="N143" s="12"/>
    </row>
    <row r="144" spans="4:14" ht="15" customHeight="1">
      <c r="D144" s="11"/>
      <c r="E144" s="32" t="s">
        <v>793</v>
      </c>
      <c r="F144" s="746">
        <v>0.1492376292047016</v>
      </c>
      <c r="G144" s="746">
        <v>0.17320929045721739</v>
      </c>
      <c r="H144" s="746">
        <v>0.20590399865408207</v>
      </c>
      <c r="I144" s="746">
        <v>0.23245553593314225</v>
      </c>
      <c r="J144" s="746">
        <v>0.25602918750240866</v>
      </c>
      <c r="K144" s="746">
        <v>0.28027521150850671</v>
      </c>
      <c r="L144" s="746">
        <v>0.3051325028670257</v>
      </c>
      <c r="M144" s="746">
        <v>0.33078981421718434</v>
      </c>
      <c r="N144" s="12"/>
    </row>
    <row r="145" spans="4:14" ht="15" customHeight="1">
      <c r="D145" s="11"/>
      <c r="E145" s="12"/>
      <c r="F145" s="752"/>
      <c r="G145" s="752"/>
      <c r="H145" s="752"/>
      <c r="I145" s="752"/>
      <c r="J145" s="752"/>
      <c r="K145" s="752"/>
      <c r="L145" s="752"/>
      <c r="M145" s="752"/>
      <c r="N145" s="12"/>
    </row>
    <row r="146" spans="4:14" ht="15" customHeight="1">
      <c r="D146" s="11"/>
      <c r="E146" s="14" t="s">
        <v>1287</v>
      </c>
      <c r="F146" s="736"/>
      <c r="G146" s="736"/>
      <c r="H146" s="736"/>
      <c r="I146" s="736"/>
      <c r="J146" s="736"/>
      <c r="K146" s="736"/>
      <c r="L146" s="736"/>
      <c r="M146" s="736"/>
      <c r="N146" s="12"/>
    </row>
    <row r="147" spans="4:14" ht="15" customHeight="1">
      <c r="D147" s="11"/>
      <c r="E147" s="12"/>
      <c r="F147" s="752"/>
      <c r="G147" s="752"/>
      <c r="H147" s="752"/>
      <c r="I147" s="752"/>
      <c r="J147" s="752"/>
      <c r="K147" s="752"/>
      <c r="L147" s="752"/>
      <c r="M147" s="752"/>
      <c r="N147" s="12"/>
    </row>
    <row r="148" spans="4:14" ht="15" customHeight="1">
      <c r="D148" s="11"/>
      <c r="E148" s="26" t="s">
        <v>2159</v>
      </c>
      <c r="F148" s="727"/>
      <c r="G148" s="727"/>
      <c r="H148" s="727"/>
      <c r="I148" s="727"/>
      <c r="J148" s="727"/>
      <c r="K148" s="727"/>
      <c r="L148" s="727"/>
      <c r="M148" s="730" t="s">
        <v>788</v>
      </c>
      <c r="N148" s="12"/>
    </row>
    <row r="149" spans="4:14" ht="15" customHeight="1">
      <c r="D149" s="11"/>
      <c r="E149" s="28" t="s">
        <v>789</v>
      </c>
      <c r="F149" s="731">
        <v>2018</v>
      </c>
      <c r="G149" s="731">
        <v>2020</v>
      </c>
      <c r="H149" s="731">
        <v>2025</v>
      </c>
      <c r="I149" s="731">
        <v>2030</v>
      </c>
      <c r="J149" s="731">
        <v>2035</v>
      </c>
      <c r="K149" s="731">
        <v>2040</v>
      </c>
      <c r="L149" s="731">
        <v>2045</v>
      </c>
      <c r="M149" s="731">
        <v>2050</v>
      </c>
      <c r="N149" s="12"/>
    </row>
    <row r="150" spans="4:14" ht="15" customHeight="1">
      <c r="D150" s="11"/>
      <c r="E150" s="30" t="s">
        <v>795</v>
      </c>
      <c r="F150" s="713">
        <v>0.31</v>
      </c>
      <c r="G150" s="713">
        <v>0.31</v>
      </c>
      <c r="H150" s="713">
        <v>0.31</v>
      </c>
      <c r="I150" s="713">
        <v>0.31</v>
      </c>
      <c r="J150" s="713">
        <v>0.31</v>
      </c>
      <c r="K150" s="713">
        <v>0.31</v>
      </c>
      <c r="L150" s="713">
        <v>0.31</v>
      </c>
      <c r="M150" s="713">
        <v>0.31</v>
      </c>
      <c r="N150" s="12"/>
    </row>
    <row r="151" spans="4:14" ht="15" customHeight="1">
      <c r="D151" s="11"/>
      <c r="E151" s="30" t="s">
        <v>791</v>
      </c>
      <c r="F151" s="713">
        <v>0.31</v>
      </c>
      <c r="G151" s="713">
        <v>0.31</v>
      </c>
      <c r="H151" s="713">
        <v>0.31</v>
      </c>
      <c r="I151" s="713">
        <v>0.31</v>
      </c>
      <c r="J151" s="713">
        <v>0.31</v>
      </c>
      <c r="K151" s="713">
        <v>0.31</v>
      </c>
      <c r="L151" s="713">
        <v>0.31</v>
      </c>
      <c r="M151" s="713">
        <v>0.31</v>
      </c>
      <c r="N151" s="12"/>
    </row>
    <row r="152" spans="4:14" ht="15" customHeight="1">
      <c r="D152" s="11"/>
      <c r="E152" s="30" t="s">
        <v>792</v>
      </c>
      <c r="F152" s="713">
        <v>0.31</v>
      </c>
      <c r="G152" s="713">
        <v>0.31</v>
      </c>
      <c r="H152" s="713">
        <v>0.31</v>
      </c>
      <c r="I152" s="713">
        <v>0.31</v>
      </c>
      <c r="J152" s="713">
        <v>0.31</v>
      </c>
      <c r="K152" s="713">
        <v>0.31</v>
      </c>
      <c r="L152" s="713">
        <v>0.31</v>
      </c>
      <c r="M152" s="713">
        <v>0.31</v>
      </c>
      <c r="N152" s="12"/>
    </row>
    <row r="153" spans="4:14" ht="15" customHeight="1">
      <c r="D153" s="13"/>
      <c r="E153" s="32" t="s">
        <v>793</v>
      </c>
      <c r="F153" s="714">
        <v>0.31</v>
      </c>
      <c r="G153" s="714">
        <v>0.31</v>
      </c>
      <c r="H153" s="714">
        <v>0.31</v>
      </c>
      <c r="I153" s="714">
        <v>0.31</v>
      </c>
      <c r="J153" s="714">
        <v>0.31</v>
      </c>
      <c r="K153" s="714">
        <v>0.31</v>
      </c>
      <c r="L153" s="714">
        <v>0.31</v>
      </c>
      <c r="M153" s="714">
        <v>0.31</v>
      </c>
      <c r="N153" s="27"/>
    </row>
    <row r="154" spans="4:14" ht="15" customHeight="1">
      <c r="D154" s="25"/>
      <c r="E154" s="12"/>
      <c r="F154" s="752"/>
      <c r="G154" s="752"/>
      <c r="H154" s="752"/>
      <c r="I154" s="752"/>
      <c r="J154" s="752"/>
      <c r="K154" s="752"/>
      <c r="L154" s="752"/>
      <c r="M154" s="752"/>
      <c r="N154" s="33"/>
    </row>
    <row r="155" spans="4:14" ht="15" customHeight="1">
      <c r="D155" s="25"/>
      <c r="E155" s="26" t="s">
        <v>2135</v>
      </c>
      <c r="F155" s="727"/>
      <c r="G155" s="727"/>
      <c r="H155" s="727"/>
      <c r="I155" s="727"/>
      <c r="J155" s="727"/>
      <c r="K155" s="727"/>
      <c r="L155" s="727"/>
      <c r="M155" s="730" t="s">
        <v>788</v>
      </c>
      <c r="N155" s="94"/>
    </row>
    <row r="156" spans="4:14" ht="15" customHeight="1">
      <c r="D156" s="25"/>
      <c r="E156" s="28" t="s">
        <v>789</v>
      </c>
      <c r="F156" s="731">
        <v>2018</v>
      </c>
      <c r="G156" s="731">
        <v>2020</v>
      </c>
      <c r="H156" s="731">
        <v>2025</v>
      </c>
      <c r="I156" s="731">
        <v>2030</v>
      </c>
      <c r="J156" s="731">
        <v>2035</v>
      </c>
      <c r="K156" s="731">
        <v>2040</v>
      </c>
      <c r="L156" s="731">
        <v>2045</v>
      </c>
      <c r="M156" s="731">
        <v>2050</v>
      </c>
      <c r="N156" s="94"/>
    </row>
    <row r="157" spans="4:14" ht="15" customHeight="1">
      <c r="D157" s="25"/>
      <c r="E157" s="30" t="s">
        <v>795</v>
      </c>
      <c r="F157" s="713">
        <v>0.14000000000000001</v>
      </c>
      <c r="G157" s="713">
        <v>0.14000000000000001</v>
      </c>
      <c r="H157" s="713">
        <v>0.14000000000000001</v>
      </c>
      <c r="I157" s="713">
        <v>0.14000000000000001</v>
      </c>
      <c r="J157" s="713">
        <v>0.14000000000000001</v>
      </c>
      <c r="K157" s="713">
        <v>0.14000000000000001</v>
      </c>
      <c r="L157" s="713">
        <v>0.14000000000000001</v>
      </c>
      <c r="M157" s="713">
        <v>0.14000000000000001</v>
      </c>
      <c r="N157" s="94"/>
    </row>
    <row r="158" spans="4:14" ht="15" customHeight="1">
      <c r="D158" s="25"/>
      <c r="E158" s="30" t="s">
        <v>791</v>
      </c>
      <c r="F158" s="713">
        <v>0.14000000000000001</v>
      </c>
      <c r="G158" s="713">
        <v>0.14000000000000001</v>
      </c>
      <c r="H158" s="713">
        <v>0.14000000000000001</v>
      </c>
      <c r="I158" s="713">
        <v>0.14000000000000001</v>
      </c>
      <c r="J158" s="713">
        <v>0.14000000000000001</v>
      </c>
      <c r="K158" s="713">
        <v>0.14000000000000001</v>
      </c>
      <c r="L158" s="713">
        <v>0.14000000000000001</v>
      </c>
      <c r="M158" s="713">
        <v>0.14000000000000001</v>
      </c>
      <c r="N158" s="94"/>
    </row>
    <row r="159" spans="4:14" ht="15" customHeight="1">
      <c r="D159" s="25"/>
      <c r="E159" s="30" t="s">
        <v>792</v>
      </c>
      <c r="F159" s="713">
        <v>0.14000000000000001</v>
      </c>
      <c r="G159" s="713">
        <v>0.14000000000000001</v>
      </c>
      <c r="H159" s="713">
        <v>0.14000000000000001</v>
      </c>
      <c r="I159" s="713">
        <v>0.14000000000000001</v>
      </c>
      <c r="J159" s="713">
        <v>0.14000000000000001</v>
      </c>
      <c r="K159" s="713">
        <v>0.14000000000000001</v>
      </c>
      <c r="L159" s="713">
        <v>0.14000000000000001</v>
      </c>
      <c r="M159" s="713">
        <v>0.14000000000000001</v>
      </c>
      <c r="N159" s="36"/>
    </row>
    <row r="160" spans="4:14" ht="15" customHeight="1">
      <c r="D160" s="25"/>
      <c r="E160" s="32" t="s">
        <v>793</v>
      </c>
      <c r="F160" s="714">
        <v>0.14000000000000001</v>
      </c>
      <c r="G160" s="714">
        <v>0.14000000000000001</v>
      </c>
      <c r="H160" s="714">
        <v>0.14000000000000001</v>
      </c>
      <c r="I160" s="714">
        <v>0.14000000000000001</v>
      </c>
      <c r="J160" s="714">
        <v>0.14000000000000001</v>
      </c>
      <c r="K160" s="714">
        <v>0.14000000000000001</v>
      </c>
      <c r="L160" s="714">
        <v>0.14000000000000001</v>
      </c>
      <c r="M160" s="714">
        <v>0.14000000000000001</v>
      </c>
      <c r="N160" s="27"/>
    </row>
    <row r="161" spans="4:14" ht="15" customHeight="1">
      <c r="D161" s="25"/>
      <c r="E161" s="35"/>
      <c r="F161" s="742"/>
      <c r="G161" s="742"/>
      <c r="H161" s="733"/>
      <c r="I161" s="733"/>
      <c r="J161" s="733"/>
      <c r="K161" s="733"/>
      <c r="L161" s="733"/>
      <c r="M161" s="733"/>
      <c r="N161" s="33"/>
    </row>
    <row r="162" spans="4:14" ht="15" customHeight="1">
      <c r="D162" s="25"/>
      <c r="E162" s="26" t="s">
        <v>564</v>
      </c>
      <c r="F162" s="727"/>
      <c r="G162" s="727"/>
      <c r="H162" s="727"/>
      <c r="I162" s="727"/>
      <c r="J162" s="727"/>
      <c r="K162" s="727"/>
      <c r="L162" s="727"/>
      <c r="M162" s="730" t="s">
        <v>788</v>
      </c>
      <c r="N162" s="33"/>
    </row>
    <row r="163" spans="4:14" ht="15" customHeight="1">
      <c r="D163" s="25"/>
      <c r="E163" s="28" t="s">
        <v>789</v>
      </c>
      <c r="F163" s="731">
        <v>2018</v>
      </c>
      <c r="G163" s="731">
        <v>2020</v>
      </c>
      <c r="H163" s="731">
        <v>2025</v>
      </c>
      <c r="I163" s="731">
        <v>2030</v>
      </c>
      <c r="J163" s="731">
        <v>2035</v>
      </c>
      <c r="K163" s="731">
        <v>2040</v>
      </c>
      <c r="L163" s="731">
        <v>2045</v>
      </c>
      <c r="M163" s="731">
        <v>2050</v>
      </c>
      <c r="N163" s="33"/>
    </row>
    <row r="164" spans="4:14" ht="15" customHeight="1">
      <c r="D164" s="25"/>
      <c r="E164" s="30" t="s">
        <v>795</v>
      </c>
      <c r="F164" s="713">
        <v>0.55000000000000004</v>
      </c>
      <c r="G164" s="713">
        <v>0.55000000000000004</v>
      </c>
      <c r="H164" s="713">
        <v>0.55000000000000004</v>
      </c>
      <c r="I164" s="713">
        <v>0.55000000000000004</v>
      </c>
      <c r="J164" s="713">
        <v>0.55000000000000004</v>
      </c>
      <c r="K164" s="713">
        <v>0.55000000000000004</v>
      </c>
      <c r="L164" s="713">
        <v>0.55000000000000004</v>
      </c>
      <c r="M164" s="713">
        <v>0.55000000000000004</v>
      </c>
      <c r="N164" s="33"/>
    </row>
    <row r="165" spans="4:14" ht="15" customHeight="1">
      <c r="D165" s="25"/>
      <c r="E165" s="30" t="s">
        <v>791</v>
      </c>
      <c r="F165" s="713">
        <v>0.55000000000000004</v>
      </c>
      <c r="G165" s="713">
        <v>0.55000000000000004</v>
      </c>
      <c r="H165" s="713">
        <v>0.55000000000000004</v>
      </c>
      <c r="I165" s="713">
        <v>0.55000000000000004</v>
      </c>
      <c r="J165" s="713">
        <v>0.55000000000000004</v>
      </c>
      <c r="K165" s="713">
        <v>0.55000000000000004</v>
      </c>
      <c r="L165" s="713">
        <v>0.55000000000000004</v>
      </c>
      <c r="M165" s="713">
        <v>0.55000000000000004</v>
      </c>
      <c r="N165" s="94"/>
    </row>
    <row r="166" spans="4:14" ht="15" customHeight="1">
      <c r="D166" s="25"/>
      <c r="E166" s="30" t="s">
        <v>792</v>
      </c>
      <c r="F166" s="713">
        <v>0.55000000000000004</v>
      </c>
      <c r="G166" s="713">
        <v>0.55000000000000004</v>
      </c>
      <c r="H166" s="713">
        <v>0.55000000000000004</v>
      </c>
      <c r="I166" s="713">
        <v>0.55000000000000004</v>
      </c>
      <c r="J166" s="713">
        <v>0.55000000000000004</v>
      </c>
      <c r="K166" s="713">
        <v>0.55000000000000004</v>
      </c>
      <c r="L166" s="713">
        <v>0.55000000000000004</v>
      </c>
      <c r="M166" s="713">
        <v>0.55000000000000004</v>
      </c>
      <c r="N166" s="94"/>
    </row>
    <row r="167" spans="4:14" ht="15" customHeight="1">
      <c r="D167" s="25"/>
      <c r="E167" s="32" t="s">
        <v>793</v>
      </c>
      <c r="F167" s="714">
        <v>0.55000000000000004</v>
      </c>
      <c r="G167" s="714">
        <v>0.55000000000000004</v>
      </c>
      <c r="H167" s="714">
        <v>0.55000000000000004</v>
      </c>
      <c r="I167" s="714">
        <v>0.55000000000000004</v>
      </c>
      <c r="J167" s="714">
        <v>0.55000000000000004</v>
      </c>
      <c r="K167" s="714">
        <v>0.55000000000000004</v>
      </c>
      <c r="L167" s="714">
        <v>0.55000000000000004</v>
      </c>
      <c r="M167" s="714">
        <v>0.55000000000000004</v>
      </c>
      <c r="N167" s="94"/>
    </row>
    <row r="168" spans="4:14" ht="15" customHeight="1">
      <c r="D168" s="25"/>
      <c r="E168" s="30"/>
      <c r="F168" s="735"/>
      <c r="G168" s="735"/>
      <c r="H168" s="749"/>
      <c r="I168" s="749"/>
      <c r="J168" s="749"/>
      <c r="K168" s="749"/>
      <c r="L168" s="749"/>
      <c r="M168" s="749"/>
      <c r="N168" s="94"/>
    </row>
    <row r="169" spans="4:14" ht="15" customHeight="1">
      <c r="D169" s="25"/>
      <c r="E169" s="14" t="s">
        <v>1290</v>
      </c>
      <c r="F169" s="736"/>
      <c r="G169" s="736"/>
      <c r="H169" s="736"/>
      <c r="I169" s="736"/>
      <c r="J169" s="736"/>
      <c r="K169" s="736"/>
      <c r="L169" s="736"/>
      <c r="M169" s="736"/>
      <c r="N169" s="36"/>
    </row>
    <row r="170" spans="4:14" ht="15" customHeight="1">
      <c r="D170" s="25"/>
      <c r="E170" s="12"/>
      <c r="F170" s="752"/>
      <c r="G170" s="752"/>
      <c r="H170" s="752"/>
      <c r="I170" s="752"/>
      <c r="J170" s="752"/>
      <c r="K170" s="752"/>
      <c r="L170" s="752"/>
      <c r="M170" s="752"/>
      <c r="N170" s="36"/>
    </row>
    <row r="171" spans="4:14" ht="15" customHeight="1">
      <c r="D171" s="25"/>
      <c r="E171" s="26" t="s">
        <v>513</v>
      </c>
      <c r="F171" s="727"/>
      <c r="G171" s="727"/>
      <c r="H171" s="727"/>
      <c r="I171" s="727"/>
      <c r="J171" s="727"/>
      <c r="K171" s="727"/>
      <c r="L171" s="727"/>
      <c r="M171" s="730" t="s">
        <v>788</v>
      </c>
      <c r="N171" s="36"/>
    </row>
    <row r="172" spans="4:14" ht="15" customHeight="1">
      <c r="D172" s="25"/>
      <c r="E172" s="28" t="s">
        <v>789</v>
      </c>
      <c r="F172" s="731">
        <v>2018</v>
      </c>
      <c r="G172" s="731">
        <v>2020</v>
      </c>
      <c r="H172" s="731">
        <v>2025</v>
      </c>
      <c r="I172" s="731">
        <v>2030</v>
      </c>
      <c r="J172" s="731">
        <v>2035</v>
      </c>
      <c r="K172" s="731">
        <v>2040</v>
      </c>
      <c r="L172" s="731">
        <v>2045</v>
      </c>
      <c r="M172" s="731">
        <v>2050</v>
      </c>
      <c r="N172" s="36"/>
    </row>
    <row r="173" spans="4:14" ht="15" customHeight="1">
      <c r="D173" s="25"/>
      <c r="E173" s="30" t="s">
        <v>795</v>
      </c>
      <c r="F173" s="713">
        <v>0.79940318302387448</v>
      </c>
      <c r="G173" s="713">
        <v>0.79940318302387381</v>
      </c>
      <c r="H173" s="713">
        <v>0.79940318302387359</v>
      </c>
      <c r="I173" s="713">
        <v>0.79940318302387281</v>
      </c>
      <c r="J173" s="713">
        <v>0.79940318302387381</v>
      </c>
      <c r="K173" s="713">
        <v>0.79940318302387203</v>
      </c>
      <c r="L173" s="713">
        <v>0.79940318302387248</v>
      </c>
      <c r="M173" s="713">
        <v>0.79940318302387425</v>
      </c>
      <c r="N173" s="36"/>
    </row>
    <row r="174" spans="4:14" ht="15" customHeight="1">
      <c r="D174" s="25"/>
      <c r="E174" s="30" t="s">
        <v>791</v>
      </c>
      <c r="F174" s="713">
        <v>0.79940318302387448</v>
      </c>
      <c r="G174" s="713">
        <v>0.79940318302387381</v>
      </c>
      <c r="H174" s="713">
        <v>0.79940318302387359</v>
      </c>
      <c r="I174" s="713">
        <v>0.79940318302387281</v>
      </c>
      <c r="J174" s="713">
        <v>0.79940318302387381</v>
      </c>
      <c r="K174" s="713">
        <v>0.79940318302387203</v>
      </c>
      <c r="L174" s="713">
        <v>0.79940318302387248</v>
      </c>
      <c r="M174" s="713">
        <v>0.79940318302387425</v>
      </c>
      <c r="N174" s="36"/>
    </row>
    <row r="175" spans="4:14" ht="15" customHeight="1">
      <c r="D175" s="25"/>
      <c r="E175" s="30" t="s">
        <v>792</v>
      </c>
      <c r="F175" s="713">
        <v>0.79940318302387448</v>
      </c>
      <c r="G175" s="713">
        <v>0.79940318302387381</v>
      </c>
      <c r="H175" s="713">
        <v>0.79940318302387359</v>
      </c>
      <c r="I175" s="713">
        <v>0.79940318302387281</v>
      </c>
      <c r="J175" s="713">
        <v>0.79940318302387381</v>
      </c>
      <c r="K175" s="713">
        <v>0.79940318302387203</v>
      </c>
      <c r="L175" s="713">
        <v>0.79940318302387248</v>
      </c>
      <c r="M175" s="713">
        <v>0.79940318302387425</v>
      </c>
      <c r="N175" s="36"/>
    </row>
    <row r="176" spans="4:14" ht="15" customHeight="1">
      <c r="D176" s="25"/>
      <c r="E176" s="32" t="s">
        <v>793</v>
      </c>
      <c r="F176" s="714">
        <v>0.79940318302387448</v>
      </c>
      <c r="G176" s="714">
        <v>0.79940318302387381</v>
      </c>
      <c r="H176" s="714">
        <v>0.79940318302387359</v>
      </c>
      <c r="I176" s="714">
        <v>0.79940318302387281</v>
      </c>
      <c r="J176" s="714">
        <v>0.79940318302387381</v>
      </c>
      <c r="K176" s="714">
        <v>0.79940318302387203</v>
      </c>
      <c r="L176" s="714">
        <v>0.79940318302387248</v>
      </c>
      <c r="M176" s="714">
        <v>0.79940318302387425</v>
      </c>
      <c r="N176" s="36"/>
    </row>
    <row r="177" spans="4:14" ht="15" customHeight="1">
      <c r="D177" s="25"/>
      <c r="E177" s="12"/>
      <c r="F177" s="752"/>
      <c r="G177" s="752"/>
      <c r="H177" s="752"/>
      <c r="I177" s="752"/>
      <c r="J177" s="752"/>
      <c r="K177" s="752"/>
      <c r="L177" s="752"/>
      <c r="M177" s="752"/>
      <c r="N177" s="36"/>
    </row>
    <row r="178" spans="4:14" ht="15" customHeight="1">
      <c r="D178" s="25"/>
      <c r="E178" s="26" t="s">
        <v>591</v>
      </c>
      <c r="F178" s="727"/>
      <c r="G178" s="727"/>
      <c r="H178" s="727"/>
      <c r="I178" s="727"/>
      <c r="J178" s="727"/>
      <c r="K178" s="727"/>
      <c r="L178" s="727"/>
      <c r="M178" s="730" t="s">
        <v>788</v>
      </c>
      <c r="N178" s="36"/>
    </row>
    <row r="179" spans="4:14" ht="15" customHeight="1">
      <c r="D179" s="25"/>
      <c r="E179" s="28" t="s">
        <v>789</v>
      </c>
      <c r="F179" s="731">
        <v>2018</v>
      </c>
      <c r="G179" s="731">
        <v>2020</v>
      </c>
      <c r="H179" s="731">
        <v>2025</v>
      </c>
      <c r="I179" s="731">
        <v>2030</v>
      </c>
      <c r="J179" s="731">
        <v>2035</v>
      </c>
      <c r="K179" s="731">
        <v>2040</v>
      </c>
      <c r="L179" s="731">
        <v>2045</v>
      </c>
      <c r="M179" s="731">
        <v>2050</v>
      </c>
      <c r="N179" s="36"/>
    </row>
    <row r="180" spans="4:14" ht="15" customHeight="1">
      <c r="D180" s="25"/>
      <c r="E180" s="30" t="s">
        <v>795</v>
      </c>
      <c r="F180" s="713">
        <v>5.4376657824933713E-2</v>
      </c>
      <c r="G180" s="713">
        <v>5.437665782493372E-2</v>
      </c>
      <c r="H180" s="713">
        <v>5.4376657824933471E-2</v>
      </c>
      <c r="I180" s="713">
        <v>5.4376657824933901E-2</v>
      </c>
      <c r="J180" s="713">
        <v>5.4376657824933824E-2</v>
      </c>
      <c r="K180" s="713">
        <v>5.4376657824933783E-2</v>
      </c>
      <c r="L180" s="713">
        <v>5.4376657824933824E-2</v>
      </c>
      <c r="M180" s="713">
        <v>5.43766578249337E-2</v>
      </c>
      <c r="N180" s="36"/>
    </row>
    <row r="181" spans="4:14" ht="15" customHeight="1">
      <c r="D181" s="25"/>
      <c r="E181" s="30" t="s">
        <v>791</v>
      </c>
      <c r="F181" s="713">
        <v>5.4376657824933713E-2</v>
      </c>
      <c r="G181" s="713">
        <v>5.437665782493372E-2</v>
      </c>
      <c r="H181" s="713">
        <v>5.4376657824933471E-2</v>
      </c>
      <c r="I181" s="713">
        <v>5.4376657824933901E-2</v>
      </c>
      <c r="J181" s="713">
        <v>5.4376657824933824E-2</v>
      </c>
      <c r="K181" s="713">
        <v>5.4376657824933783E-2</v>
      </c>
      <c r="L181" s="713">
        <v>5.4376657824933824E-2</v>
      </c>
      <c r="M181" s="713">
        <v>5.43766578249337E-2</v>
      </c>
      <c r="N181" s="36"/>
    </row>
    <row r="182" spans="4:14" ht="15" customHeight="1">
      <c r="D182" s="25"/>
      <c r="E182" s="30" t="s">
        <v>792</v>
      </c>
      <c r="F182" s="713">
        <v>5.4376657824933713E-2</v>
      </c>
      <c r="G182" s="713">
        <v>5.437665782493372E-2</v>
      </c>
      <c r="H182" s="713">
        <v>5.4376657824933471E-2</v>
      </c>
      <c r="I182" s="713">
        <v>5.4376657824933901E-2</v>
      </c>
      <c r="J182" s="713">
        <v>5.4376657824933824E-2</v>
      </c>
      <c r="K182" s="713">
        <v>5.4376657824933783E-2</v>
      </c>
      <c r="L182" s="713">
        <v>5.4376657824933824E-2</v>
      </c>
      <c r="M182" s="713">
        <v>5.43766578249337E-2</v>
      </c>
      <c r="N182" s="36"/>
    </row>
    <row r="183" spans="4:14" ht="15" customHeight="1">
      <c r="D183" s="25"/>
      <c r="E183" s="32" t="s">
        <v>793</v>
      </c>
      <c r="F183" s="714">
        <v>5.4376657824933713E-2</v>
      </c>
      <c r="G183" s="714">
        <v>5.437665782493372E-2</v>
      </c>
      <c r="H183" s="714">
        <v>5.4376657824933471E-2</v>
      </c>
      <c r="I183" s="714">
        <v>5.4376657824933901E-2</v>
      </c>
      <c r="J183" s="714">
        <v>5.4376657824933824E-2</v>
      </c>
      <c r="K183" s="714">
        <v>5.4376657824933783E-2</v>
      </c>
      <c r="L183" s="714">
        <v>5.4376657824933824E-2</v>
      </c>
      <c r="M183" s="714">
        <v>5.43766578249337E-2</v>
      </c>
      <c r="N183" s="36"/>
    </row>
    <row r="184" spans="4:14" ht="15" customHeight="1">
      <c r="D184" s="25"/>
      <c r="E184" s="35"/>
      <c r="F184" s="742"/>
      <c r="G184" s="742"/>
      <c r="H184" s="733"/>
      <c r="I184" s="733"/>
      <c r="J184" s="733"/>
      <c r="K184" s="733"/>
      <c r="L184" s="733"/>
      <c r="M184" s="733"/>
      <c r="N184" s="27"/>
    </row>
    <row r="185" spans="4:14" ht="15" customHeight="1">
      <c r="D185" s="25"/>
      <c r="E185" s="26" t="s">
        <v>498</v>
      </c>
      <c r="F185" s="727"/>
      <c r="G185" s="727"/>
      <c r="H185" s="727"/>
      <c r="I185" s="727"/>
      <c r="J185" s="727"/>
      <c r="K185" s="727"/>
      <c r="L185" s="727"/>
      <c r="M185" s="730" t="s">
        <v>788</v>
      </c>
      <c r="N185" s="33"/>
    </row>
    <row r="186" spans="4:14" ht="15" customHeight="1">
      <c r="D186" s="25"/>
      <c r="E186" s="28" t="s">
        <v>789</v>
      </c>
      <c r="F186" s="731">
        <v>2018</v>
      </c>
      <c r="G186" s="731">
        <v>2020</v>
      </c>
      <c r="H186" s="731">
        <v>2025</v>
      </c>
      <c r="I186" s="731">
        <v>2030</v>
      </c>
      <c r="J186" s="731">
        <v>2035</v>
      </c>
      <c r="K186" s="731">
        <v>2040</v>
      </c>
      <c r="L186" s="731">
        <v>2045</v>
      </c>
      <c r="M186" s="731">
        <v>2050</v>
      </c>
      <c r="N186" s="12"/>
    </row>
    <row r="187" spans="4:14" ht="15" customHeight="1">
      <c r="D187" s="25"/>
      <c r="E187" s="30" t="s">
        <v>795</v>
      </c>
      <c r="F187" s="713">
        <v>0.14622015915119349</v>
      </c>
      <c r="G187" s="713">
        <v>0.14622015915119374</v>
      </c>
      <c r="H187" s="713">
        <v>0.14622015915119366</v>
      </c>
      <c r="I187" s="713">
        <v>0.14622015915119349</v>
      </c>
      <c r="J187" s="713">
        <v>0.14622015915119371</v>
      </c>
      <c r="K187" s="713">
        <v>0.14622015915119374</v>
      </c>
      <c r="L187" s="713">
        <v>0.14622015915119352</v>
      </c>
      <c r="M187" s="713">
        <v>0.14622015915119355</v>
      </c>
      <c r="N187" s="12"/>
    </row>
    <row r="188" spans="4:14" ht="15" customHeight="1">
      <c r="D188" s="25"/>
      <c r="E188" s="30" t="s">
        <v>791</v>
      </c>
      <c r="F188" s="713">
        <v>0.14622015915119349</v>
      </c>
      <c r="G188" s="713">
        <v>0.14622015915119374</v>
      </c>
      <c r="H188" s="713">
        <v>0.14622015915119366</v>
      </c>
      <c r="I188" s="713">
        <v>0.14622015915119349</v>
      </c>
      <c r="J188" s="713">
        <v>0.14622015915119371</v>
      </c>
      <c r="K188" s="713">
        <v>0.14622015915119374</v>
      </c>
      <c r="L188" s="713">
        <v>0.14622015915119352</v>
      </c>
      <c r="M188" s="713">
        <v>0.14622015915119355</v>
      </c>
      <c r="N188" s="12"/>
    </row>
    <row r="189" spans="4:14" ht="15" customHeight="1">
      <c r="D189" s="25"/>
      <c r="E189" s="30" t="s">
        <v>792</v>
      </c>
      <c r="F189" s="713">
        <v>0.14622015915119349</v>
      </c>
      <c r="G189" s="713">
        <v>0.14622015915119374</v>
      </c>
      <c r="H189" s="713">
        <v>0.14622015915119366</v>
      </c>
      <c r="I189" s="713">
        <v>0.14622015915119349</v>
      </c>
      <c r="J189" s="713">
        <v>0.14622015915119371</v>
      </c>
      <c r="K189" s="713">
        <v>0.14622015915119374</v>
      </c>
      <c r="L189" s="713">
        <v>0.14622015915119352</v>
      </c>
      <c r="M189" s="713">
        <v>0.14622015915119355</v>
      </c>
      <c r="N189" s="12"/>
    </row>
    <row r="190" spans="4:14" ht="15" customHeight="1">
      <c r="D190" s="25"/>
      <c r="E190" s="32" t="s">
        <v>793</v>
      </c>
      <c r="F190" s="714">
        <v>0.14622015915119349</v>
      </c>
      <c r="G190" s="714">
        <v>0.14622015915119374</v>
      </c>
      <c r="H190" s="714">
        <v>0.14622015915119366</v>
      </c>
      <c r="I190" s="714">
        <v>0.14622015915119349</v>
      </c>
      <c r="J190" s="714">
        <v>0.14622015915119371</v>
      </c>
      <c r="K190" s="714">
        <v>0.14622015915119374</v>
      </c>
      <c r="L190" s="714">
        <v>0.14622015915119352</v>
      </c>
      <c r="M190" s="714">
        <v>0.14622015915119355</v>
      </c>
      <c r="N190" s="12"/>
    </row>
    <row r="191" spans="4:14" ht="15" customHeight="1">
      <c r="D191" s="25"/>
      <c r="E191" s="30"/>
      <c r="F191" s="735"/>
      <c r="G191" s="735"/>
      <c r="H191" s="750"/>
      <c r="I191" s="750"/>
      <c r="J191" s="750"/>
      <c r="K191" s="750"/>
      <c r="L191" s="750"/>
      <c r="M191" s="750"/>
      <c r="N191" s="95"/>
    </row>
    <row r="192" spans="4:14" ht="15" customHeight="1">
      <c r="D192" s="25"/>
      <c r="E192" s="14" t="s">
        <v>1292</v>
      </c>
      <c r="F192" s="736"/>
      <c r="G192" s="736"/>
      <c r="H192" s="736"/>
      <c r="I192" s="736"/>
      <c r="J192" s="736"/>
      <c r="K192" s="736"/>
      <c r="L192" s="736"/>
      <c r="M192" s="736"/>
      <c r="N192" s="12"/>
    </row>
    <row r="193" spans="4:14" ht="15" customHeight="1">
      <c r="D193" s="25"/>
      <c r="E193" s="12"/>
      <c r="F193" s="752"/>
      <c r="G193" s="752"/>
      <c r="H193" s="752"/>
      <c r="I193" s="752"/>
      <c r="J193" s="752"/>
      <c r="K193" s="752"/>
      <c r="L193" s="752"/>
      <c r="M193" s="752"/>
      <c r="N193" s="12"/>
    </row>
    <row r="194" spans="4:14" ht="15" customHeight="1">
      <c r="D194" s="25"/>
      <c r="E194" s="26" t="s">
        <v>294</v>
      </c>
      <c r="F194" s="727"/>
      <c r="G194" s="727"/>
      <c r="H194" s="727"/>
      <c r="I194" s="727"/>
      <c r="J194" s="727"/>
      <c r="K194" s="727"/>
      <c r="L194" s="727"/>
      <c r="M194" s="730" t="s">
        <v>788</v>
      </c>
      <c r="N194" s="95"/>
    </row>
    <row r="195" spans="4:14" ht="15" customHeight="1">
      <c r="D195" s="25"/>
      <c r="E195" s="28" t="s">
        <v>789</v>
      </c>
      <c r="F195" s="731">
        <v>2018</v>
      </c>
      <c r="G195" s="731">
        <v>2020</v>
      </c>
      <c r="H195" s="731">
        <v>2025</v>
      </c>
      <c r="I195" s="731">
        <v>2030</v>
      </c>
      <c r="J195" s="731">
        <v>2035</v>
      </c>
      <c r="K195" s="731">
        <v>2040</v>
      </c>
      <c r="L195" s="731">
        <v>2045</v>
      </c>
      <c r="M195" s="731">
        <v>2050</v>
      </c>
      <c r="N195" s="95"/>
    </row>
    <row r="196" spans="4:14" ht="15" customHeight="1">
      <c r="D196" s="25"/>
      <c r="E196" s="30" t="s">
        <v>795</v>
      </c>
      <c r="F196" s="713">
        <v>0.84505158509366163</v>
      </c>
      <c r="G196" s="713">
        <v>0.84505158509366207</v>
      </c>
      <c r="H196" s="713">
        <v>0.84505158509366152</v>
      </c>
      <c r="I196" s="713">
        <v>0.84505158509366196</v>
      </c>
      <c r="J196" s="713">
        <v>0.84505158509366274</v>
      </c>
      <c r="K196" s="713">
        <v>0.84505158509366196</v>
      </c>
      <c r="L196" s="713">
        <v>0.84505158509366252</v>
      </c>
      <c r="M196" s="713">
        <v>0.84505158509366274</v>
      </c>
      <c r="N196" s="95"/>
    </row>
    <row r="197" spans="4:14" ht="15" customHeight="1">
      <c r="D197" s="25"/>
      <c r="E197" s="30" t="s">
        <v>791</v>
      </c>
      <c r="F197" s="713">
        <v>0.84505158509366163</v>
      </c>
      <c r="G197" s="713">
        <v>0.84505158509366207</v>
      </c>
      <c r="H197" s="713">
        <v>0.84505158509366152</v>
      </c>
      <c r="I197" s="713">
        <v>0.84505158509366196</v>
      </c>
      <c r="J197" s="713">
        <v>0.84505158509366274</v>
      </c>
      <c r="K197" s="713">
        <v>0.84505158509366196</v>
      </c>
      <c r="L197" s="713">
        <v>0.84505158509366252</v>
      </c>
      <c r="M197" s="713">
        <v>0.84505158509366274</v>
      </c>
      <c r="N197" s="95"/>
    </row>
    <row r="198" spans="4:14" ht="15" customHeight="1">
      <c r="D198" s="25"/>
      <c r="E198" s="30" t="s">
        <v>792</v>
      </c>
      <c r="F198" s="713">
        <v>0.84505158509366163</v>
      </c>
      <c r="G198" s="713">
        <v>0.84505158509366207</v>
      </c>
      <c r="H198" s="713">
        <v>0.84505158509366152</v>
      </c>
      <c r="I198" s="713">
        <v>0.84505158509366196</v>
      </c>
      <c r="J198" s="713">
        <v>0.84505158509366274</v>
      </c>
      <c r="K198" s="713">
        <v>0.84505158509366196</v>
      </c>
      <c r="L198" s="713">
        <v>0.84505158509366252</v>
      </c>
      <c r="M198" s="713">
        <v>0.84505158509366274</v>
      </c>
      <c r="N198" s="95"/>
    </row>
    <row r="199" spans="4:14" ht="15" customHeight="1">
      <c r="D199" s="25"/>
      <c r="E199" s="32" t="s">
        <v>793</v>
      </c>
      <c r="F199" s="714">
        <v>0.84505158509366163</v>
      </c>
      <c r="G199" s="714">
        <v>0.84505158509366207</v>
      </c>
      <c r="H199" s="714">
        <v>0.84505158509366152</v>
      </c>
      <c r="I199" s="714">
        <v>0.84505158509366196</v>
      </c>
      <c r="J199" s="714">
        <v>0.84505158509366274</v>
      </c>
      <c r="K199" s="714">
        <v>0.84505158509366196</v>
      </c>
      <c r="L199" s="714">
        <v>0.84505158509366252</v>
      </c>
      <c r="M199" s="714">
        <v>0.84505158509366274</v>
      </c>
      <c r="N199" s="95"/>
    </row>
    <row r="200" spans="4:14" ht="15" customHeight="1">
      <c r="D200" s="25"/>
      <c r="E200" s="12"/>
      <c r="F200" s="752"/>
      <c r="G200" s="752"/>
      <c r="H200" s="752"/>
      <c r="I200" s="752"/>
      <c r="J200" s="752"/>
      <c r="K200" s="752"/>
      <c r="L200" s="752"/>
      <c r="M200" s="752"/>
      <c r="N200" s="95"/>
    </row>
    <row r="201" spans="4:14" ht="15" customHeight="1">
      <c r="D201" s="25"/>
      <c r="E201" s="26" t="s">
        <v>502</v>
      </c>
      <c r="F201" s="727"/>
      <c r="G201" s="727"/>
      <c r="H201" s="727"/>
      <c r="I201" s="727"/>
      <c r="J201" s="727"/>
      <c r="K201" s="727"/>
      <c r="L201" s="727"/>
      <c r="M201" s="730" t="s">
        <v>788</v>
      </c>
      <c r="N201" s="95"/>
    </row>
    <row r="202" spans="4:14" ht="15" customHeight="1">
      <c r="D202" s="25"/>
      <c r="E202" s="28" t="s">
        <v>789</v>
      </c>
      <c r="F202" s="731">
        <v>2018</v>
      </c>
      <c r="G202" s="731">
        <v>2020</v>
      </c>
      <c r="H202" s="731">
        <v>2025</v>
      </c>
      <c r="I202" s="731">
        <v>2030</v>
      </c>
      <c r="J202" s="731">
        <v>2035</v>
      </c>
      <c r="K202" s="731">
        <v>2040</v>
      </c>
      <c r="L202" s="731">
        <v>2045</v>
      </c>
      <c r="M202" s="731">
        <v>2050</v>
      </c>
      <c r="N202" s="95"/>
    </row>
    <row r="203" spans="4:14" ht="15" customHeight="1">
      <c r="D203" s="25"/>
      <c r="E203" s="30" t="s">
        <v>795</v>
      </c>
      <c r="F203" s="713">
        <v>2.5283174551323714E-2</v>
      </c>
      <c r="G203" s="713">
        <v>2.5283174551323735E-2</v>
      </c>
      <c r="H203" s="713">
        <v>2.5283174551323714E-2</v>
      </c>
      <c r="I203" s="713">
        <v>2.528317455132369E-2</v>
      </c>
      <c r="J203" s="713">
        <v>2.5283174551323732E-2</v>
      </c>
      <c r="K203" s="713">
        <v>2.5283174551323763E-2</v>
      </c>
      <c r="L203" s="713">
        <v>2.5283174551323763E-2</v>
      </c>
      <c r="M203" s="713">
        <v>2.5283174551323718E-2</v>
      </c>
      <c r="N203" s="95"/>
    </row>
    <row r="204" spans="4:14" ht="15" customHeight="1">
      <c r="D204" s="25"/>
      <c r="E204" s="30" t="s">
        <v>791</v>
      </c>
      <c r="F204" s="713">
        <v>2.5283174551323714E-2</v>
      </c>
      <c r="G204" s="713">
        <v>2.5283174551323735E-2</v>
      </c>
      <c r="H204" s="713">
        <v>2.5283174551323714E-2</v>
      </c>
      <c r="I204" s="713">
        <v>2.528317455132369E-2</v>
      </c>
      <c r="J204" s="713">
        <v>2.5283174551323732E-2</v>
      </c>
      <c r="K204" s="713">
        <v>2.5283174551323763E-2</v>
      </c>
      <c r="L204" s="713">
        <v>2.5283174551323763E-2</v>
      </c>
      <c r="M204" s="713">
        <v>2.5283174551323718E-2</v>
      </c>
      <c r="N204" s="95"/>
    </row>
    <row r="205" spans="4:14" ht="15" customHeight="1">
      <c r="D205" s="25"/>
      <c r="E205" s="30" t="s">
        <v>792</v>
      </c>
      <c r="F205" s="713">
        <v>2.5283174551323714E-2</v>
      </c>
      <c r="G205" s="713">
        <v>2.5283174551323735E-2</v>
      </c>
      <c r="H205" s="713">
        <v>2.5283174551323714E-2</v>
      </c>
      <c r="I205" s="713">
        <v>2.528317455132369E-2</v>
      </c>
      <c r="J205" s="713">
        <v>2.5283174551323732E-2</v>
      </c>
      <c r="K205" s="713">
        <v>2.5283174551323763E-2</v>
      </c>
      <c r="L205" s="713">
        <v>2.5283174551323763E-2</v>
      </c>
      <c r="M205" s="713">
        <v>2.5283174551323718E-2</v>
      </c>
      <c r="N205" s="12"/>
    </row>
    <row r="206" spans="4:14" ht="15" customHeight="1">
      <c r="D206" s="25"/>
      <c r="E206" s="32" t="s">
        <v>793</v>
      </c>
      <c r="F206" s="714">
        <v>2.5283174551323714E-2</v>
      </c>
      <c r="G206" s="714">
        <v>2.5283174551323735E-2</v>
      </c>
      <c r="H206" s="714">
        <v>2.5283174551323714E-2</v>
      </c>
      <c r="I206" s="714">
        <v>2.528317455132369E-2</v>
      </c>
      <c r="J206" s="714">
        <v>2.5283174551323732E-2</v>
      </c>
      <c r="K206" s="714">
        <v>2.5283174551323763E-2</v>
      </c>
      <c r="L206" s="714">
        <v>2.5283174551323763E-2</v>
      </c>
      <c r="M206" s="714">
        <v>2.5283174551323718E-2</v>
      </c>
      <c r="N206" s="12"/>
    </row>
    <row r="207" spans="4:14" ht="15" customHeight="1">
      <c r="D207" s="25"/>
      <c r="E207" s="35"/>
      <c r="F207" s="742"/>
      <c r="G207" s="742"/>
      <c r="H207" s="733"/>
      <c r="I207" s="733"/>
      <c r="J207" s="733"/>
      <c r="K207" s="733"/>
      <c r="L207" s="733"/>
      <c r="M207" s="733"/>
      <c r="N207" s="95"/>
    </row>
    <row r="208" spans="4:14" ht="15" customHeight="1">
      <c r="D208" s="25"/>
      <c r="E208" s="26" t="s">
        <v>526</v>
      </c>
      <c r="F208" s="727"/>
      <c r="G208" s="727"/>
      <c r="H208" s="727"/>
      <c r="I208" s="727"/>
      <c r="J208" s="727"/>
      <c r="K208" s="727"/>
      <c r="L208" s="727"/>
      <c r="M208" s="730" t="s">
        <v>788</v>
      </c>
      <c r="N208" s="36"/>
    </row>
    <row r="209" spans="4:14" ht="15" customHeight="1">
      <c r="D209" s="25"/>
      <c r="E209" s="28" t="s">
        <v>789</v>
      </c>
      <c r="F209" s="731">
        <v>2018</v>
      </c>
      <c r="G209" s="731">
        <v>2020</v>
      </c>
      <c r="H209" s="731">
        <v>2025</v>
      </c>
      <c r="I209" s="731">
        <v>2030</v>
      </c>
      <c r="J209" s="731">
        <v>2035</v>
      </c>
      <c r="K209" s="731">
        <v>2040</v>
      </c>
      <c r="L209" s="731">
        <v>2045</v>
      </c>
      <c r="M209" s="731">
        <v>2050</v>
      </c>
      <c r="N209" s="27"/>
    </row>
    <row r="210" spans="4:14" ht="15" customHeight="1">
      <c r="D210" s="25"/>
      <c r="E210" s="30" t="s">
        <v>795</v>
      </c>
      <c r="F210" s="713">
        <v>0.12941766949037425</v>
      </c>
      <c r="G210" s="713">
        <v>0.12941766949037431</v>
      </c>
      <c r="H210" s="713">
        <v>0.12941766949037445</v>
      </c>
      <c r="I210" s="713">
        <v>0.12941766949037417</v>
      </c>
      <c r="J210" s="713">
        <v>0.12941766949037431</v>
      </c>
      <c r="K210" s="713">
        <v>0.1294176694903742</v>
      </c>
      <c r="L210" s="713">
        <v>0.12941766949037431</v>
      </c>
      <c r="M210" s="713">
        <v>0.12941766949037417</v>
      </c>
      <c r="N210" s="33"/>
    </row>
    <row r="211" spans="4:14" ht="15" customHeight="1">
      <c r="D211" s="25"/>
      <c r="E211" s="30" t="s">
        <v>791</v>
      </c>
      <c r="F211" s="713">
        <v>0.12941766949037425</v>
      </c>
      <c r="G211" s="713">
        <v>0.12941766949037431</v>
      </c>
      <c r="H211" s="713">
        <v>0.12941766949037445</v>
      </c>
      <c r="I211" s="713">
        <v>0.12941766949037417</v>
      </c>
      <c r="J211" s="713">
        <v>0.12941766949037431</v>
      </c>
      <c r="K211" s="713">
        <v>0.1294176694903742</v>
      </c>
      <c r="L211" s="713">
        <v>0.12941766949037431</v>
      </c>
      <c r="M211" s="713">
        <v>0.12941766949037417</v>
      </c>
      <c r="N211" s="12"/>
    </row>
    <row r="212" spans="4:14" ht="15" customHeight="1">
      <c r="D212" s="25"/>
      <c r="E212" s="30" t="s">
        <v>792</v>
      </c>
      <c r="F212" s="713">
        <v>0.12941766949037425</v>
      </c>
      <c r="G212" s="713">
        <v>0.12941766949037431</v>
      </c>
      <c r="H212" s="713">
        <v>0.12941766949037445</v>
      </c>
      <c r="I212" s="713">
        <v>0.12941766949037417</v>
      </c>
      <c r="J212" s="713">
        <v>0.12941766949037431</v>
      </c>
      <c r="K212" s="713">
        <v>0.1294176694903742</v>
      </c>
      <c r="L212" s="713">
        <v>0.12941766949037431</v>
      </c>
      <c r="M212" s="713">
        <v>0.12941766949037417</v>
      </c>
      <c r="N212" s="95"/>
    </row>
    <row r="213" spans="4:14" ht="15" customHeight="1">
      <c r="D213" s="25"/>
      <c r="E213" s="32" t="s">
        <v>793</v>
      </c>
      <c r="F213" s="714">
        <v>0.12941766949037425</v>
      </c>
      <c r="G213" s="714">
        <v>0.12941766949037431</v>
      </c>
      <c r="H213" s="714">
        <v>0.12941766949037445</v>
      </c>
      <c r="I213" s="714">
        <v>0.12941766949037417</v>
      </c>
      <c r="J213" s="714">
        <v>0.12941766949037431</v>
      </c>
      <c r="K213" s="714">
        <v>0.1294176694903742</v>
      </c>
      <c r="L213" s="714">
        <v>0.12941766949037431</v>
      </c>
      <c r="M213" s="714">
        <v>0.12941766949037417</v>
      </c>
      <c r="N213" s="95"/>
    </row>
    <row r="214" spans="4:14" ht="15" customHeight="1">
      <c r="D214" s="25"/>
      <c r="E214" s="30"/>
      <c r="F214" s="735"/>
      <c r="G214" s="735"/>
      <c r="H214" s="752"/>
      <c r="I214" s="752"/>
      <c r="J214" s="752"/>
      <c r="K214" s="752"/>
      <c r="L214" s="752"/>
      <c r="M214" s="752"/>
      <c r="N214" s="12"/>
    </row>
    <row r="215" spans="4:14" ht="15" customHeight="1">
      <c r="D215" s="25"/>
      <c r="E215" s="26" t="s">
        <v>527</v>
      </c>
      <c r="F215" s="727"/>
      <c r="G215" s="727"/>
      <c r="H215" s="727"/>
      <c r="I215" s="727"/>
      <c r="J215" s="727"/>
      <c r="K215" s="727"/>
      <c r="L215" s="727"/>
      <c r="M215" s="730" t="s">
        <v>788</v>
      </c>
      <c r="N215" s="95"/>
    </row>
    <row r="216" spans="4:14" ht="15" customHeight="1">
      <c r="D216" s="25"/>
      <c r="E216" s="28" t="s">
        <v>789</v>
      </c>
      <c r="F216" s="731">
        <v>2018</v>
      </c>
      <c r="G216" s="731">
        <v>2020</v>
      </c>
      <c r="H216" s="731">
        <v>2025</v>
      </c>
      <c r="I216" s="731">
        <v>2030</v>
      </c>
      <c r="J216" s="731">
        <v>2035</v>
      </c>
      <c r="K216" s="731">
        <v>2040</v>
      </c>
      <c r="L216" s="731">
        <v>2045</v>
      </c>
      <c r="M216" s="731">
        <v>2050</v>
      </c>
      <c r="N216" s="95"/>
    </row>
    <row r="217" spans="4:14" ht="15" customHeight="1">
      <c r="D217" s="25"/>
      <c r="E217" s="30" t="s">
        <v>795</v>
      </c>
      <c r="F217" s="713">
        <v>2.4757086463964473E-4</v>
      </c>
      <c r="G217" s="713">
        <v>2.4757086463964473E-4</v>
      </c>
      <c r="H217" s="713">
        <v>2.4757086463964462E-4</v>
      </c>
      <c r="I217" s="713">
        <v>2.4757086463964495E-4</v>
      </c>
      <c r="J217" s="713">
        <v>2.4757086463964446E-4</v>
      </c>
      <c r="K217" s="713">
        <v>2.47570864639645E-4</v>
      </c>
      <c r="L217" s="713">
        <v>2.4757086463964527E-4</v>
      </c>
      <c r="M217" s="713">
        <v>2.4757086463964484E-4</v>
      </c>
      <c r="N217" s="12"/>
    </row>
    <row r="218" spans="4:14" ht="15" customHeight="1">
      <c r="D218" s="25"/>
      <c r="E218" s="30" t="s">
        <v>791</v>
      </c>
      <c r="F218" s="713">
        <v>2.4757086463964473E-4</v>
      </c>
      <c r="G218" s="713">
        <v>2.4757086463964473E-4</v>
      </c>
      <c r="H218" s="713">
        <v>2.4757086463964462E-4</v>
      </c>
      <c r="I218" s="713">
        <v>2.4757086463964495E-4</v>
      </c>
      <c r="J218" s="713">
        <v>2.4757086463964446E-4</v>
      </c>
      <c r="K218" s="713">
        <v>2.47570864639645E-4</v>
      </c>
      <c r="L218" s="713">
        <v>2.4757086463964527E-4</v>
      </c>
      <c r="M218" s="713">
        <v>2.4757086463964484E-4</v>
      </c>
      <c r="N218" s="95"/>
    </row>
    <row r="219" spans="4:14" ht="15" customHeight="1">
      <c r="D219" s="25"/>
      <c r="E219" s="30" t="s">
        <v>792</v>
      </c>
      <c r="F219" s="713">
        <v>2.4757086463964473E-4</v>
      </c>
      <c r="G219" s="713">
        <v>2.4757086463964473E-4</v>
      </c>
      <c r="H219" s="713">
        <v>2.4757086463964462E-4</v>
      </c>
      <c r="I219" s="713">
        <v>2.4757086463964495E-4</v>
      </c>
      <c r="J219" s="713">
        <v>2.4757086463964446E-4</v>
      </c>
      <c r="K219" s="713">
        <v>2.47570864639645E-4</v>
      </c>
      <c r="L219" s="713">
        <v>2.4757086463964527E-4</v>
      </c>
      <c r="M219" s="713">
        <v>2.4757086463964484E-4</v>
      </c>
      <c r="N219" s="95"/>
    </row>
    <row r="220" spans="4:14" ht="15" customHeight="1">
      <c r="D220" s="25"/>
      <c r="E220" s="32" t="s">
        <v>793</v>
      </c>
      <c r="F220" s="714">
        <v>2.4757086463964473E-4</v>
      </c>
      <c r="G220" s="714">
        <v>2.4757086463964473E-4</v>
      </c>
      <c r="H220" s="714">
        <v>2.4757086463964462E-4</v>
      </c>
      <c r="I220" s="714">
        <v>2.4757086463964495E-4</v>
      </c>
      <c r="J220" s="714">
        <v>2.4757086463964446E-4</v>
      </c>
      <c r="K220" s="714">
        <v>2.47570864639645E-4</v>
      </c>
      <c r="L220" s="714">
        <v>2.4757086463964527E-4</v>
      </c>
      <c r="M220" s="714">
        <v>2.4757086463964484E-4</v>
      </c>
      <c r="N220" s="12"/>
    </row>
    <row r="221" spans="4:14" ht="15" customHeight="1">
      <c r="D221" s="25"/>
      <c r="E221" s="30"/>
      <c r="F221" s="735"/>
      <c r="G221" s="735"/>
      <c r="H221" s="752"/>
      <c r="I221" s="752"/>
      <c r="J221" s="752"/>
      <c r="K221" s="752"/>
      <c r="L221" s="752"/>
      <c r="M221" s="752"/>
      <c r="N221" s="95"/>
    </row>
    <row r="222" spans="4:14" ht="15" customHeight="1">
      <c r="F222" s="696"/>
      <c r="G222" s="696"/>
      <c r="H222" s="696"/>
      <c r="I222" s="696"/>
      <c r="J222" s="696"/>
      <c r="K222" s="696"/>
      <c r="L222" s="696"/>
      <c r="M222" s="696"/>
    </row>
    <row r="223" spans="4:14" ht="15" customHeight="1">
      <c r="D223" s="956" t="s">
        <v>51</v>
      </c>
      <c r="E223" s="336"/>
      <c r="F223" s="908"/>
      <c r="G223" s="908"/>
      <c r="H223" s="908"/>
      <c r="I223" s="908"/>
      <c r="J223" s="908"/>
      <c r="K223" s="908"/>
      <c r="L223" s="908"/>
      <c r="M223" s="908"/>
      <c r="N223" s="336"/>
    </row>
    <row r="224" spans="4:14" ht="15" customHeight="1">
      <c r="D224" s="957"/>
      <c r="E224" s="146"/>
      <c r="F224" s="832"/>
      <c r="G224" s="832"/>
      <c r="H224" s="832"/>
      <c r="I224" s="832"/>
      <c r="J224" s="832"/>
      <c r="K224" s="832"/>
      <c r="L224" s="832"/>
      <c r="M224" s="832"/>
      <c r="N224" s="146"/>
    </row>
    <row r="225" spans="4:16" ht="15" customHeight="1">
      <c r="D225" s="701"/>
      <c r="E225" s="886" t="s">
        <v>879</v>
      </c>
      <c r="F225" s="921" t="s">
        <v>820</v>
      </c>
      <c r="G225" s="921" t="s">
        <v>822</v>
      </c>
      <c r="H225" s="921" t="s">
        <v>838</v>
      </c>
      <c r="I225" s="699"/>
      <c r="J225" s="699"/>
      <c r="K225" s="699"/>
      <c r="L225" s="699"/>
      <c r="M225" s="699"/>
      <c r="N225" s="12"/>
    </row>
    <row r="226" spans="4:16" ht="15" customHeight="1">
      <c r="D226" s="701"/>
      <c r="E226" s="898">
        <v>1</v>
      </c>
      <c r="F226" s="2136">
        <v>0</v>
      </c>
      <c r="G226" s="2136">
        <v>0</v>
      </c>
      <c r="H226" s="2136">
        <v>0</v>
      </c>
      <c r="I226" s="2137"/>
      <c r="J226" s="699"/>
      <c r="K226" s="699"/>
      <c r="L226" s="699"/>
      <c r="M226" s="699"/>
      <c r="N226" s="12"/>
      <c r="P226" s="517"/>
    </row>
    <row r="227" spans="4:16" ht="15" customHeight="1">
      <c r="D227" s="701"/>
      <c r="E227" s="277">
        <v>2</v>
      </c>
      <c r="F227" s="960">
        <v>114070814.39999999</v>
      </c>
      <c r="G227" s="960">
        <v>395382811.19999999</v>
      </c>
      <c r="H227" s="960">
        <v>212530013.27999997</v>
      </c>
      <c r="I227" s="699"/>
      <c r="J227" s="699"/>
      <c r="K227" s="699"/>
      <c r="L227" s="699"/>
      <c r="M227" s="699"/>
      <c r="N227" s="12"/>
      <c r="P227" s="517"/>
    </row>
    <row r="228" spans="4:16" ht="15" customHeight="1">
      <c r="D228" s="701"/>
      <c r="E228" s="277">
        <v>3</v>
      </c>
      <c r="F228" s="960">
        <v>372826796.39999998</v>
      </c>
      <c r="G228" s="960">
        <v>745653592.79999995</v>
      </c>
      <c r="H228" s="960">
        <v>503316175.13999999</v>
      </c>
      <c r="I228" s="699"/>
      <c r="J228" s="699"/>
      <c r="K228" s="699"/>
      <c r="L228" s="699"/>
      <c r="M228" s="699"/>
      <c r="N228" s="12"/>
      <c r="P228" s="517"/>
    </row>
    <row r="229" spans="4:16" ht="15" customHeight="1">
      <c r="D229" s="701"/>
      <c r="E229" s="899">
        <v>4</v>
      </c>
      <c r="F229" s="961">
        <v>395382811.19999999</v>
      </c>
      <c r="G229" s="961">
        <v>790765622.39999998</v>
      </c>
      <c r="H229" s="961">
        <v>533766795.12</v>
      </c>
      <c r="I229" s="699"/>
      <c r="J229" s="699"/>
      <c r="K229" s="699"/>
      <c r="L229" s="699"/>
      <c r="M229" s="699"/>
      <c r="N229" s="12"/>
      <c r="P229" s="517"/>
    </row>
    <row r="230" spans="4:16" ht="15" customHeight="1">
      <c r="D230" s="40"/>
      <c r="E230" s="19"/>
      <c r="F230" s="754"/>
      <c r="G230" s="754"/>
      <c r="H230" s="754"/>
      <c r="I230" s="754"/>
      <c r="J230" s="754"/>
      <c r="K230" s="754"/>
      <c r="L230" s="754"/>
      <c r="M230" s="754"/>
      <c r="N230" s="40"/>
      <c r="P230" s="517"/>
    </row>
    <row r="231" spans="4:16" ht="15" customHeight="1">
      <c r="D231" s="40"/>
      <c r="E231" s="26" t="s">
        <v>2167</v>
      </c>
      <c r="F231" s="20"/>
      <c r="G231" s="20"/>
      <c r="H231" s="20"/>
      <c r="I231" s="20"/>
      <c r="J231" s="20"/>
      <c r="K231" s="20"/>
      <c r="L231" s="20"/>
      <c r="M231" s="27" t="s">
        <v>803</v>
      </c>
      <c r="N231" s="40"/>
      <c r="P231" s="517"/>
    </row>
    <row r="232" spans="4:16" ht="15" customHeight="1">
      <c r="D232" s="40"/>
      <c r="E232" s="664"/>
      <c r="F232" s="29">
        <v>2018</v>
      </c>
      <c r="G232" s="29">
        <v>2020</v>
      </c>
      <c r="H232" s="29">
        <v>2025</v>
      </c>
      <c r="I232" s="29">
        <v>2030</v>
      </c>
      <c r="J232" s="29">
        <v>2035</v>
      </c>
      <c r="K232" s="29">
        <v>2040</v>
      </c>
      <c r="L232" s="29">
        <v>2045</v>
      </c>
      <c r="M232" s="29">
        <v>2050</v>
      </c>
      <c r="N232" s="40"/>
    </row>
    <row r="233" spans="4:16" ht="15" customHeight="1">
      <c r="D233" s="40"/>
      <c r="E233" s="904" t="s">
        <v>795</v>
      </c>
      <c r="F233" s="962" cm="1">
        <f t="array" ref="F233:M233">(((INDEX(SF_PARTICIPACION_ENERGETICOS_USOS_TERMICOS_GAS_NATURAL,FRIO,0)+INDEX(SF_PARTICIPACION_ENERGETICOS_USOS_TERMICOS_PETROLEO,FRIO,0)+INDEX(SF_PARTICIPACION_ENERGETICOS_USOS_TERMICOS_GLP,FRIO,0))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*((COSTOS_de_capital_ute_ALTO)*COSTOS_2019_US_dolares_MMCOP)</f>
        <v>0</v>
      </c>
      <c r="G233" s="962">
        <v>0</v>
      </c>
      <c r="H233" s="962">
        <v>0</v>
      </c>
      <c r="I233" s="962">
        <v>0</v>
      </c>
      <c r="J233" s="962">
        <v>0</v>
      </c>
      <c r="K233" s="962">
        <v>0</v>
      </c>
      <c r="L233" s="962">
        <v>0</v>
      </c>
      <c r="M233" s="962">
        <v>0</v>
      </c>
      <c r="N233" s="40"/>
    </row>
    <row r="234" spans="4:16" ht="15" customHeight="1">
      <c r="D234" s="40"/>
      <c r="E234" s="904" t="s">
        <v>791</v>
      </c>
      <c r="F234" s="962" cm="1">
        <f t="array" ref="F234:M234">(((INDEX(SF_PARTICIPACION_ENERGETICOS_USOS_TERMICOS_GAS_NATURAL,TEMPLADO,0)+INDEX(SF_PARTICIPACION_ENERGETICOS_USOS_TERMICOS_PETROLEO,TEMPLADO,0)+INDEX(SF_PARTICIPACION_ENERGETICOS_USOS_TERMICOS_GLP,TEMPLADO,0))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*((COSTOS_de_capital_ute_ALTO)*COSTOS_2019_US_dolares_MMCOP)</f>
        <v>0</v>
      </c>
      <c r="G234" s="962">
        <v>0</v>
      </c>
      <c r="H234" s="962">
        <v>0</v>
      </c>
      <c r="I234" s="962">
        <v>0</v>
      </c>
      <c r="J234" s="962">
        <v>0</v>
      </c>
      <c r="K234" s="962">
        <v>0</v>
      </c>
      <c r="L234" s="962">
        <v>0</v>
      </c>
      <c r="M234" s="962">
        <v>0</v>
      </c>
      <c r="N234" s="40"/>
    </row>
    <row r="235" spans="4:16" ht="15" customHeight="1">
      <c r="D235" s="40"/>
      <c r="E235" s="904" t="s">
        <v>792</v>
      </c>
      <c r="F235" s="962" cm="1">
        <f t="array" ref="F235:M235">(((INDEX(SF_PARTICIPACION_ENERGETICOS_USOS_TERMICOS_GAS_NATURAL,CALIDO_SECO,0)+INDEX(SF_PARTICIPACION_ENERGETICOS_USOS_TERMICOS_PETROLEO,CALIDO_SECO,0)+INDEX(SF_PARTICIPACION_ENERGETICOS_USOS_TERMICOS_GLP,CALIDO_SECO,0))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*((COSTOS_de_capital_ute_ALTO)*COSTOS_2019_US_dolares_MMCOP)</f>
        <v>0</v>
      </c>
      <c r="G235" s="962">
        <v>0</v>
      </c>
      <c r="H235" s="962">
        <v>0</v>
      </c>
      <c r="I235" s="962">
        <v>0</v>
      </c>
      <c r="J235" s="962">
        <v>0</v>
      </c>
      <c r="K235" s="962">
        <v>0</v>
      </c>
      <c r="L235" s="962">
        <v>0</v>
      </c>
      <c r="M235" s="962">
        <v>0</v>
      </c>
      <c r="N235" s="40"/>
    </row>
    <row r="236" spans="4:16" ht="15" customHeight="1">
      <c r="D236" s="40"/>
      <c r="E236" s="905" t="s">
        <v>793</v>
      </c>
      <c r="F236" s="963" cm="1">
        <f t="array" ref="F236:M236">(((INDEX(SF_PARTICIPACION_ENERGETICOS_USOS_TERMICOS_GAS_NATURAL,CALIDO_HUMEDO,0)+INDEX(SF_PARTICIPACION_ENERGETICOS_USOS_TERMICOS_PETROLEO,CALIDO_HUMEDO,0)+INDEX(SF_PARTICIPACION_ENERGETICOS_USOS_TERMICOS_GLP,CALIDO_HUMEDO,0))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*((COSTOS_de_capital_ute_ALTO)*COSTOS_2019_US_dolares_MMCOP)</f>
        <v>0</v>
      </c>
      <c r="G236" s="963">
        <v>0</v>
      </c>
      <c r="H236" s="963">
        <v>0</v>
      </c>
      <c r="I236" s="963">
        <v>0</v>
      </c>
      <c r="J236" s="963">
        <v>0</v>
      </c>
      <c r="K236" s="963">
        <v>0</v>
      </c>
      <c r="L236" s="963">
        <v>0</v>
      </c>
      <c r="M236" s="963">
        <v>0</v>
      </c>
      <c r="N236" s="40"/>
    </row>
    <row r="237" spans="4:16" ht="15" customHeight="1">
      <c r="D237" s="40"/>
      <c r="E237" s="906"/>
      <c r="F237" s="44"/>
      <c r="G237" s="45"/>
      <c r="H237" s="45"/>
      <c r="I237" s="45"/>
      <c r="J237" s="45"/>
      <c r="K237" s="45"/>
      <c r="L237" s="45"/>
      <c r="M237" s="45"/>
      <c r="N237" s="40"/>
    </row>
    <row r="238" spans="4:16" ht="15" customHeight="1">
      <c r="D238" s="40"/>
      <c r="E238" s="907" t="s">
        <v>2168</v>
      </c>
      <c r="F238" s="20"/>
      <c r="G238" s="20"/>
      <c r="H238" s="20"/>
      <c r="I238" s="20"/>
      <c r="J238" s="20"/>
      <c r="K238" s="20"/>
      <c r="L238" s="20"/>
      <c r="M238" s="27" t="s">
        <v>803</v>
      </c>
      <c r="N238" s="40"/>
    </row>
    <row r="239" spans="4:16" ht="15" customHeight="1">
      <c r="D239" s="40"/>
      <c r="E239" s="664"/>
      <c r="F239" s="29">
        <v>2018</v>
      </c>
      <c r="G239" s="29">
        <v>2020</v>
      </c>
      <c r="H239" s="29">
        <v>2025</v>
      </c>
      <c r="I239" s="29">
        <v>2030</v>
      </c>
      <c r="J239" s="29">
        <v>2035</v>
      </c>
      <c r="K239" s="29">
        <v>2040</v>
      </c>
      <c r="L239" s="29">
        <v>2045</v>
      </c>
      <c r="M239" s="29">
        <v>2050</v>
      </c>
      <c r="N239" s="40"/>
    </row>
    <row r="240" spans="4:16" ht="15" customHeight="1">
      <c r="D240" s="40"/>
      <c r="E240" s="904" t="s">
        <v>795</v>
      </c>
      <c r="F240" s="962" cm="1">
        <f t="array" ref="F240:M240">(((INDEX(SF_PARTICIPACION_ENERGETICOS_USOS_TERMICOS_GAS_NATURAL,FRIO,0)+INDEX(SF_PARTICIPACION_ENERGETICOS_USOS_TERMICOS_PETROLEO,FRIO,0)+INDEX(SF_PARTICIPACION_ENERGETICOS_USOS_TERMICOS_GLP,FRIO,0))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*((COSTOS_de_capital_ute_MEDIO)*COSTOS_2019_US_dolares_MMCOP)</f>
        <v>0</v>
      </c>
      <c r="G240" s="962">
        <v>0</v>
      </c>
      <c r="H240" s="962">
        <v>0</v>
      </c>
      <c r="I240" s="962">
        <v>0</v>
      </c>
      <c r="J240" s="964">
        <v>0</v>
      </c>
      <c r="K240" s="964">
        <v>0</v>
      </c>
      <c r="L240" s="964">
        <v>0</v>
      </c>
      <c r="M240" s="964">
        <v>0</v>
      </c>
      <c r="N240" s="40"/>
    </row>
    <row r="241" spans="4:15" ht="15" customHeight="1">
      <c r="D241" s="40"/>
      <c r="E241" s="904" t="s">
        <v>791</v>
      </c>
      <c r="F241" s="962" cm="1">
        <f t="array" ref="F241:M241">(((INDEX(SF_PARTICIPACION_ENERGETICOS_USOS_TERMICOS_GAS_NATURAL,TEMPLADO,0)+INDEX(SF_PARTICIPACION_ENERGETICOS_USOS_TERMICOS_PETROLEO,TEMPLADO,0)+INDEX(SF_PARTICIPACION_ENERGETICOS_USOS_TERMICOS_GLP,TEMPLADO,0))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*((COSTOS_de_capital_ute_MEDIO)*COSTOS_2019_US_dolares_MMCOP)</f>
        <v>0</v>
      </c>
      <c r="G241" s="962">
        <v>0</v>
      </c>
      <c r="H241" s="962">
        <v>0</v>
      </c>
      <c r="I241" s="962">
        <v>0</v>
      </c>
      <c r="J241" s="964">
        <v>0</v>
      </c>
      <c r="K241" s="964">
        <v>0</v>
      </c>
      <c r="L241" s="964">
        <v>0</v>
      </c>
      <c r="M241" s="964">
        <v>0</v>
      </c>
      <c r="N241" s="40"/>
    </row>
    <row r="242" spans="4:15" ht="15" customHeight="1">
      <c r="D242" s="40"/>
      <c r="E242" s="904" t="s">
        <v>792</v>
      </c>
      <c r="F242" s="962" cm="1">
        <f t="array" ref="F242:M242">(((INDEX(SF_PARTICIPACION_ENERGETICOS_USOS_TERMICOS_GAS_NATURAL,CALIDO_SECO,0)+INDEX(SF_PARTICIPACION_ENERGETICOS_USOS_TERMICOS_PETROLEO,CALIDO_SECO,0)+INDEX(SF_PARTICIPACION_ENERGETICOS_USOS_TERMICOS_GLP,CALIDO_SECO,0))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*((COSTOS_de_capital_ute_MEDIO)*COSTOS_2019_US_dolares_MMCOP)</f>
        <v>0</v>
      </c>
      <c r="G242" s="962">
        <v>0</v>
      </c>
      <c r="H242" s="962">
        <v>0</v>
      </c>
      <c r="I242" s="962">
        <v>0</v>
      </c>
      <c r="J242" s="964">
        <v>0</v>
      </c>
      <c r="K242" s="964">
        <v>0</v>
      </c>
      <c r="L242" s="964">
        <v>0</v>
      </c>
      <c r="M242" s="964">
        <v>0</v>
      </c>
      <c r="N242" s="40"/>
    </row>
    <row r="243" spans="4:15" ht="15" customHeight="1">
      <c r="D243" s="40"/>
      <c r="E243" s="905" t="s">
        <v>793</v>
      </c>
      <c r="F243" s="963" cm="1">
        <f t="array" ref="F243:M243">(((INDEX(SF_PARTICIPACION_ENERGETICOS_USOS_TERMICOS_GAS_NATURAL,CALIDO_HUMEDO,0)+INDEX(SF_PARTICIPACION_ENERGETICOS_USOS_TERMICOS_PETROLEO,CALIDO_HUMEDO,0)+INDEX(SF_PARTICIPACION_ENERGETICOS_USOS_TERMICOS_GLP,CALIDO_HUMEDO,0))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*((COSTOS_de_capital_ute_MEDIO)*COSTOS_2019_US_dolares_MMCOP)</f>
        <v>0</v>
      </c>
      <c r="G243" s="963">
        <v>0</v>
      </c>
      <c r="H243" s="963">
        <v>0</v>
      </c>
      <c r="I243" s="963">
        <v>0</v>
      </c>
      <c r="J243" s="965">
        <v>0</v>
      </c>
      <c r="K243" s="965">
        <v>0</v>
      </c>
      <c r="L243" s="965">
        <v>0</v>
      </c>
      <c r="M243" s="965">
        <v>0</v>
      </c>
      <c r="N243" s="40"/>
    </row>
    <row r="244" spans="4:15" ht="15" customHeight="1">
      <c r="D244" s="40"/>
      <c r="E244" s="906"/>
      <c r="F244" s="98"/>
      <c r="G244" s="98"/>
      <c r="H244" s="98"/>
      <c r="I244" s="98"/>
      <c r="J244" s="98"/>
      <c r="K244" s="98"/>
      <c r="L244" s="98"/>
      <c r="M244" s="98"/>
      <c r="N244" s="40"/>
    </row>
    <row r="245" spans="4:15" ht="15" customHeight="1">
      <c r="D245" s="40"/>
      <c r="E245" s="907" t="s">
        <v>2169</v>
      </c>
      <c r="F245" s="20"/>
      <c r="G245" s="20"/>
      <c r="H245" s="20"/>
      <c r="I245" s="20"/>
      <c r="J245" s="20"/>
      <c r="K245" s="20"/>
      <c r="L245" s="20"/>
      <c r="M245" s="27" t="s">
        <v>803</v>
      </c>
      <c r="N245" s="40"/>
    </row>
    <row r="246" spans="4:15" ht="15" customHeight="1">
      <c r="D246" s="40"/>
      <c r="E246" s="664"/>
      <c r="F246" s="29">
        <v>2018</v>
      </c>
      <c r="G246" s="29">
        <v>2020</v>
      </c>
      <c r="H246" s="29">
        <v>2025</v>
      </c>
      <c r="I246" s="29">
        <v>2030</v>
      </c>
      <c r="J246" s="29">
        <v>2035</v>
      </c>
      <c r="K246" s="29">
        <v>2040</v>
      </c>
      <c r="L246" s="29">
        <v>2045</v>
      </c>
      <c r="M246" s="29">
        <v>2050</v>
      </c>
      <c r="N246" s="40"/>
    </row>
    <row r="247" spans="4:15" ht="15" customHeight="1">
      <c r="D247" s="40"/>
      <c r="E247" s="904" t="s">
        <v>795</v>
      </c>
      <c r="F247" s="962" cm="1">
        <f t="array" ref="F247:M247">(((INDEX(SF_PARTICIPACION_ENERGETICOS_USOS_TERMICOS_GAS_NATURAL,FRIO,0)+INDEX(SF_PARTICIPACION_ENERGETICOS_USOS_TERMICOS_PETROLEO,FRIO,0)+INDEX(SF_PARTICIPACION_ENERGETICOS_USOS_TERMICOS_GLP,FRIO,0))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*((COSTOS_de_capital_ute_BAJO)*COSTOS_2019_US_dolares_MMCOP)</f>
        <v>0</v>
      </c>
      <c r="G247" s="962">
        <v>0</v>
      </c>
      <c r="H247" s="962">
        <v>0</v>
      </c>
      <c r="I247" s="962">
        <v>0</v>
      </c>
      <c r="J247" s="964">
        <v>0</v>
      </c>
      <c r="K247" s="964">
        <v>0</v>
      </c>
      <c r="L247" s="964">
        <v>0</v>
      </c>
      <c r="M247" s="964">
        <v>0</v>
      </c>
      <c r="N247" s="40"/>
    </row>
    <row r="248" spans="4:15" ht="15" customHeight="1">
      <c r="D248" s="40"/>
      <c r="E248" s="904" t="s">
        <v>791</v>
      </c>
      <c r="F248" s="962" cm="1">
        <f t="array" ref="F248:M248">(((INDEX(SF_PARTICIPACION_ENERGETICOS_USOS_TERMICOS_GAS_NATURAL,TEMPLADO,0)+INDEX(SF_PARTICIPACION_ENERGETICOS_USOS_TERMICOS_PETROLEO,TEMPLADO,0)+INDEX(SF_PARTICIPACION_ENERGETICOS_USOS_TERMICOS_GLP,TEMPLADO,0))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*((COSTOS_de_capital_ute_BAJO)*COSTOS_2019_US_dolares_MMCOP)</f>
        <v>0</v>
      </c>
      <c r="G248" s="962">
        <v>0</v>
      </c>
      <c r="H248" s="962">
        <v>0</v>
      </c>
      <c r="I248" s="962">
        <v>0</v>
      </c>
      <c r="J248" s="964">
        <v>0</v>
      </c>
      <c r="K248" s="964">
        <v>0</v>
      </c>
      <c r="L248" s="964">
        <v>0</v>
      </c>
      <c r="M248" s="964">
        <v>0</v>
      </c>
      <c r="N248" s="40"/>
    </row>
    <row r="249" spans="4:15" ht="15" customHeight="1">
      <c r="D249" s="40"/>
      <c r="E249" s="904" t="s">
        <v>792</v>
      </c>
      <c r="F249" s="962" cm="1">
        <f t="array" ref="F249:M249">(((INDEX(SF_PARTICIPACION_ENERGETICOS_USOS_TERMICOS_GAS_NATURAL,CALIDO_SECO,0)+INDEX(SF_PARTICIPACION_ENERGETICOS_USOS_TERMICOS_PETROLEO,CALIDO_SECO,0)+INDEX(SF_PARTICIPACION_ENERGETICOS_USOS_TERMICOS_GLP,CALIDO_SECO,0))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*((COSTOS_de_capital_ute_BAJO)*COSTOS_2019_US_dolares_MMCOP)</f>
        <v>0</v>
      </c>
      <c r="G249" s="962">
        <v>0</v>
      </c>
      <c r="H249" s="962">
        <v>0</v>
      </c>
      <c r="I249" s="962">
        <v>0</v>
      </c>
      <c r="J249" s="964">
        <v>0</v>
      </c>
      <c r="K249" s="964">
        <v>0</v>
      </c>
      <c r="L249" s="964">
        <v>0</v>
      </c>
      <c r="M249" s="964">
        <v>0</v>
      </c>
      <c r="N249" s="40"/>
    </row>
    <row r="250" spans="4:15" ht="15" customHeight="1">
      <c r="D250" s="40"/>
      <c r="E250" s="905" t="s">
        <v>793</v>
      </c>
      <c r="F250" s="963" cm="1">
        <f t="array" ref="F250:M250">(((INDEX(SF_PARTICIPACION_ENERGETICOS_USOS_TERMICOS_GAS_NATURAL,CALIDO_HUMEDO,0)+INDEX(SF_PARTICIPACION_ENERGETICOS_USOS_TERMICOS_PETROLEO,CALIDO_HUMEDO,0)+INDEX(SF_PARTICIPACION_ENERGETICOS_USOS_TERMICOS_GLP,CALIDO_HUMEDO,0))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*((COSTOS_de_capital_ute_BAJO)*COSTOS_2019_US_dolares_MMCOP)</f>
        <v>0</v>
      </c>
      <c r="G250" s="963">
        <v>0</v>
      </c>
      <c r="H250" s="963">
        <v>0</v>
      </c>
      <c r="I250" s="963">
        <v>0</v>
      </c>
      <c r="J250" s="965">
        <v>0</v>
      </c>
      <c r="K250" s="965">
        <v>0</v>
      </c>
      <c r="L250" s="965">
        <v>0</v>
      </c>
      <c r="M250" s="965">
        <v>0</v>
      </c>
      <c r="N250" s="40"/>
    </row>
    <row r="251" spans="4:15" ht="15" customHeight="1">
      <c r="D251" s="40"/>
      <c r="E251" s="12"/>
      <c r="F251" s="752"/>
      <c r="G251" s="752"/>
      <c r="H251" s="752"/>
      <c r="I251" s="754"/>
      <c r="J251" s="754"/>
      <c r="K251" s="754"/>
      <c r="L251" s="754"/>
      <c r="M251" s="754"/>
      <c r="N251" s="40"/>
    </row>
    <row r="253" spans="4:15" ht="15" customHeight="1">
      <c r="D253" s="99" t="s">
        <v>52</v>
      </c>
      <c r="E253" s="49"/>
      <c r="F253" s="49"/>
      <c r="G253" s="49"/>
      <c r="H253" s="49"/>
      <c r="I253" s="49"/>
      <c r="J253" s="49"/>
      <c r="K253" s="49"/>
      <c r="L253" s="49"/>
      <c r="M253" s="49"/>
      <c r="N253" s="49"/>
    </row>
    <row r="254" spans="4:15" ht="15" customHeight="1">
      <c r="D254" s="50"/>
      <c r="E254" s="50"/>
      <c r="F254" s="50"/>
      <c r="G254" s="50"/>
      <c r="H254" s="50"/>
      <c r="I254" s="50"/>
      <c r="J254" s="50"/>
      <c r="K254" s="50"/>
      <c r="L254" s="50"/>
      <c r="M254" s="50"/>
      <c r="N254" s="50"/>
    </row>
    <row r="255" spans="4:15" ht="15" customHeight="1">
      <c r="D255" s="50"/>
      <c r="E255" s="102" t="s">
        <v>1896</v>
      </c>
      <c r="F255" s="50"/>
      <c r="G255" s="50"/>
      <c r="H255" s="50"/>
      <c r="I255" s="50"/>
      <c r="J255" s="50"/>
      <c r="K255" s="50"/>
      <c r="L255" s="50"/>
      <c r="M255" s="50"/>
      <c r="N255" s="50"/>
    </row>
    <row r="256" spans="4:15" ht="15" customHeight="1">
      <c r="D256" s="50"/>
      <c r="E256" s="50"/>
      <c r="F256" s="50"/>
      <c r="G256" s="50"/>
      <c r="H256" s="50"/>
      <c r="I256" s="50"/>
      <c r="J256" s="50"/>
      <c r="K256" s="50"/>
      <c r="L256" s="50"/>
      <c r="M256" s="52" t="s">
        <v>9</v>
      </c>
      <c r="N256" s="50"/>
      <c r="O256" s="125"/>
    </row>
    <row r="257" spans="4:14" ht="15" customHeight="1">
      <c r="D257" s="50"/>
      <c r="E257" s="54" t="s">
        <v>699</v>
      </c>
      <c r="F257" s="104">
        <v>2018</v>
      </c>
      <c r="G257" s="104" t="s">
        <v>322</v>
      </c>
      <c r="H257" s="104" t="s">
        <v>323</v>
      </c>
      <c r="I257" s="104" t="s">
        <v>324</v>
      </c>
      <c r="J257" s="104" t="s">
        <v>325</v>
      </c>
      <c r="K257" s="104" t="s">
        <v>326</v>
      </c>
      <c r="L257" s="104" t="s">
        <v>327</v>
      </c>
      <c r="M257" s="104" t="s">
        <v>328</v>
      </c>
      <c r="N257" s="50"/>
    </row>
    <row r="258" spans="4:14" ht="15" customHeight="1">
      <c r="D258" s="50"/>
      <c r="E258" s="50" t="s">
        <v>1278</v>
      </c>
      <c r="F258" s="3414" cm="1">
        <f t="array" ref="F258:M258">F369:M369+F389:M389+F397:M397+F405:M405+F416:M416+F425:M425+F434:M434</f>
        <v>0.87553005911710591</v>
      </c>
      <c r="G258" s="3414">
        <v>1.0161642282968</v>
      </c>
      <c r="H258" s="3414">
        <v>1.2079737602021456</v>
      </c>
      <c r="I258" s="3414">
        <v>1.3637432476127174</v>
      </c>
      <c r="J258" s="3414">
        <v>1.5020424196247297</v>
      </c>
      <c r="K258" s="3414">
        <v>1.644286188468687</v>
      </c>
      <c r="L258" s="3414">
        <v>1.790116069904043</v>
      </c>
      <c r="M258" s="3414">
        <v>1.9406394160795464</v>
      </c>
      <c r="N258" s="50"/>
    </row>
    <row r="259" spans="4:14" ht="15" customHeight="1">
      <c r="D259" s="50"/>
      <c r="E259" s="50" t="s">
        <v>589</v>
      </c>
      <c r="F259" s="3414" cm="1">
        <f t="array" ref="F259:M259">(F416:M416+F425:M425+F434:M434)</f>
        <v>0.50445398046021284</v>
      </c>
      <c r="G259" s="3414">
        <v>0.58548314181528027</v>
      </c>
      <c r="H259" s="3414">
        <v>0.69599800175902082</v>
      </c>
      <c r="I259" s="3414">
        <v>0.7857476764163942</v>
      </c>
      <c r="J259" s="3414">
        <v>0.86543148291661209</v>
      </c>
      <c r="K259" s="3414">
        <v>0.94738804699089996</v>
      </c>
      <c r="L259" s="3414">
        <v>1.0314108208455064</v>
      </c>
      <c r="M259" s="3414">
        <v>1.1181378273482794</v>
      </c>
      <c r="N259" s="50"/>
    </row>
    <row r="260" spans="4:14" ht="15" customHeight="1">
      <c r="D260" s="50"/>
      <c r="E260" s="1117" t="s">
        <v>2227</v>
      </c>
      <c r="F260" s="3415">
        <f>(SUM(F261:F266))</f>
        <v>0.37107607865689302</v>
      </c>
      <c r="G260" s="3415">
        <f t="shared" ref="G260:M260" si="0">(SUM(G261:G266))</f>
        <v>0.43068108648151965</v>
      </c>
      <c r="H260" s="3415">
        <f t="shared" si="0"/>
        <v>0.51197575844312493</v>
      </c>
      <c r="I260" s="3415">
        <f t="shared" si="0"/>
        <v>0.57799557119632317</v>
      </c>
      <c r="J260" s="3415">
        <f t="shared" si="0"/>
        <v>0.63661093670811753</v>
      </c>
      <c r="K260" s="3415">
        <f t="shared" si="0"/>
        <v>0.69689814147778695</v>
      </c>
      <c r="L260" s="3415">
        <f t="shared" si="0"/>
        <v>0.75870524905853665</v>
      </c>
      <c r="M260" s="3415">
        <f t="shared" si="0"/>
        <v>0.82250158873126678</v>
      </c>
      <c r="N260" s="50"/>
    </row>
    <row r="261" spans="4:14" ht="15" customHeight="1">
      <c r="D261" s="50"/>
      <c r="E261" s="1328" t="s">
        <v>513</v>
      </c>
      <c r="F261" s="3416" cm="1">
        <f t="array" ref="F261:M261">F338:M338</f>
        <v>0.22269737283859467</v>
      </c>
      <c r="G261" s="3416">
        <v>0.25846868609223494</v>
      </c>
      <c r="H261" s="3416">
        <v>0.30725682122924658</v>
      </c>
      <c r="I261" s="3416">
        <v>0.3468779116230235</v>
      </c>
      <c r="J261" s="3416">
        <v>0.38205530153912243</v>
      </c>
      <c r="K261" s="3416">
        <v>0.41823602805370219</v>
      </c>
      <c r="L261" s="3416">
        <v>0.45532890811971188</v>
      </c>
      <c r="M261" s="3416">
        <v>0.49361560472720811</v>
      </c>
      <c r="N261" s="50"/>
    </row>
    <row r="262" spans="4:14" ht="15" customHeight="1">
      <c r="D262" s="50"/>
      <c r="E262" s="1328" t="s">
        <v>591</v>
      </c>
      <c r="F262" s="3416" cm="1">
        <f t="array" ref="F262:M262">F346:M346</f>
        <v>1.5148224448581278E-2</v>
      </c>
      <c r="G262" s="3416">
        <v>1.7581445258866235E-2</v>
      </c>
      <c r="H262" s="3416">
        <v>2.0900090701616001E-2</v>
      </c>
      <c r="I262" s="3416">
        <v>2.3595179388708448E-2</v>
      </c>
      <c r="J262" s="3416">
        <v>2.5988000602412336E-2</v>
      </c>
      <c r="K262" s="3416">
        <v>2.8449070344590349E-2</v>
      </c>
      <c r="L262" s="3416">
        <v>3.0972186201423873E-2</v>
      </c>
      <c r="M262" s="3416">
        <v>3.357650733109166E-2</v>
      </c>
      <c r="N262" s="50"/>
    </row>
    <row r="263" spans="4:14" ht="15" customHeight="1">
      <c r="D263" s="50"/>
      <c r="E263" s="1328" t="s">
        <v>498</v>
      </c>
      <c r="F263" s="3416" cm="1">
        <f t="array" ref="F263:M263">F354:M354</f>
        <v>4.0733945011123984E-2</v>
      </c>
      <c r="G263" s="3416">
        <v>4.727693511682933E-2</v>
      </c>
      <c r="H263" s="3416">
        <v>5.6200853654955453E-2</v>
      </c>
      <c r="I263" s="3416">
        <v>6.344801286841692E-2</v>
      </c>
      <c r="J263" s="3416">
        <v>6.9882367473559873E-2</v>
      </c>
      <c r="K263" s="3416">
        <v>7.6500244036367876E-2</v>
      </c>
      <c r="L263" s="3416">
        <v>8.3284964114804155E-2</v>
      </c>
      <c r="M263" s="3416">
        <v>9.0288047152508599E-2</v>
      </c>
      <c r="N263" s="50"/>
    </row>
    <row r="264" spans="4:14" ht="15" customHeight="1">
      <c r="D264" s="50"/>
      <c r="E264" s="1328" t="s">
        <v>502</v>
      </c>
      <c r="F264" s="3416" cm="1">
        <f t="array" ref="F264:M264">F389:M389</f>
        <v>1.5092804115232785E-2</v>
      </c>
      <c r="G264" s="3416">
        <v>1.751712289816304E-2</v>
      </c>
      <c r="H264" s="3416">
        <v>2.082362695514672E-2</v>
      </c>
      <c r="I264" s="3416">
        <v>2.3508855561676527E-2</v>
      </c>
      <c r="J264" s="3416">
        <v>2.5892922551427961E-2</v>
      </c>
      <c r="K264" s="3416">
        <v>2.8344988379915049E-2</v>
      </c>
      <c r="L264" s="3416">
        <v>3.0858873325077238E-2</v>
      </c>
      <c r="M264" s="3416">
        <v>3.3453666450612062E-2</v>
      </c>
      <c r="N264" s="50"/>
    </row>
    <row r="265" spans="4:14" ht="15" customHeight="1">
      <c r="D265" s="50"/>
      <c r="E265" s="1328" t="s">
        <v>526</v>
      </c>
      <c r="F265" s="3416" cm="1">
        <f t="array" ref="F265:M265">F397:M397</f>
        <v>7.725594468776438E-2</v>
      </c>
      <c r="G265" s="3416">
        <v>8.9665370820217624E-2</v>
      </c>
      <c r="H265" s="3416">
        <v>0.10659046257824199</v>
      </c>
      <c r="I265" s="3416">
        <v>0.1203354148824128</v>
      </c>
      <c r="J265" s="3416">
        <v>0.13253880307230317</v>
      </c>
      <c r="K265" s="3416">
        <v>0.14509025875741058</v>
      </c>
      <c r="L265" s="3416">
        <v>0.15795814962726171</v>
      </c>
      <c r="M265" s="3416">
        <v>0.17124018738856736</v>
      </c>
      <c r="N265" s="50"/>
    </row>
    <row r="266" spans="4:14" ht="15" customHeight="1">
      <c r="D266" s="50"/>
      <c r="E266" s="1329" t="s">
        <v>537</v>
      </c>
      <c r="F266" s="3416" cm="1">
        <f t="array" ref="F266:M266">F405:M405</f>
        <v>1.4778755559591468E-4</v>
      </c>
      <c r="G266" s="3416">
        <v>1.715262952084507E-4</v>
      </c>
      <c r="H266" s="3416">
        <v>2.0390332391820529E-4</v>
      </c>
      <c r="I266" s="3416">
        <v>2.3019687208496032E-4</v>
      </c>
      <c r="J266" s="3416">
        <v>2.5354146929182787E-4</v>
      </c>
      <c r="K266" s="3416">
        <v>2.7755190580088153E-4</v>
      </c>
      <c r="L266" s="3416">
        <v>3.0216767025779436E-4</v>
      </c>
      <c r="M266" s="3416">
        <v>3.2757568127894323E-4</v>
      </c>
      <c r="N266" s="50"/>
    </row>
    <row r="267" spans="4:14" ht="15" customHeight="1">
      <c r="D267" s="50"/>
      <c r="E267" s="1130" t="s">
        <v>338</v>
      </c>
      <c r="F267" s="3417" cm="1">
        <f t="array" ref="F267:M267">SALIDA_DEMANDA_EDI_COM_UTE_CONSUMOTOTAL-SALIDA_DEMANDA_EDI_COM_UTE_ELECTRICIDAD-F260:M260</f>
        <v>0</v>
      </c>
      <c r="G267" s="3417">
        <v>0</v>
      </c>
      <c r="H267" s="3417">
        <v>0</v>
      </c>
      <c r="I267" s="3417">
        <v>0</v>
      </c>
      <c r="J267" s="3417">
        <v>0</v>
      </c>
      <c r="K267" s="3417">
        <v>0</v>
      </c>
      <c r="L267" s="3417">
        <v>0</v>
      </c>
      <c r="M267" s="3417">
        <v>0</v>
      </c>
      <c r="N267" s="50"/>
    </row>
    <row r="268" spans="4:14" ht="15" customHeight="1">
      <c r="D268" s="50"/>
      <c r="E268" s="50"/>
      <c r="F268" s="50"/>
      <c r="G268" s="50"/>
      <c r="H268" s="50"/>
      <c r="I268" s="50"/>
      <c r="J268" s="50"/>
      <c r="K268" s="50"/>
      <c r="L268" s="50"/>
      <c r="M268" s="50"/>
      <c r="N268" s="50"/>
    </row>
    <row r="270" spans="4:14" ht="15" customHeight="1">
      <c r="D270" s="105" t="s">
        <v>1671</v>
      </c>
      <c r="E270" s="57"/>
      <c r="F270" s="57"/>
      <c r="G270" s="57"/>
      <c r="H270" s="57"/>
      <c r="I270" s="57"/>
      <c r="J270" s="57"/>
      <c r="K270" s="57"/>
      <c r="L270" s="57"/>
      <c r="M270" s="57"/>
      <c r="N270" s="57"/>
    </row>
    <row r="271" spans="4:14" ht="15" customHeight="1">
      <c r="D271" s="58"/>
      <c r="E271" s="58"/>
      <c r="F271" s="58"/>
      <c r="G271" s="58"/>
      <c r="H271" s="58"/>
      <c r="I271" s="58"/>
      <c r="J271" s="58"/>
      <c r="K271" s="58"/>
      <c r="L271" s="58"/>
      <c r="M271" s="58"/>
      <c r="N271" s="58"/>
    </row>
    <row r="272" spans="4:14" ht="15" customHeight="1">
      <c r="D272" s="58"/>
      <c r="E272" s="108" t="s">
        <v>2106</v>
      </c>
      <c r="F272" s="58"/>
      <c r="G272" s="58"/>
      <c r="H272" s="58"/>
      <c r="I272" s="58"/>
      <c r="J272" s="58"/>
      <c r="K272" s="58"/>
      <c r="L272" s="58"/>
      <c r="M272" s="58"/>
      <c r="N272" s="58"/>
    </row>
    <row r="273" spans="1:14" s="72" customFormat="1" ht="15" customHeight="1">
      <c r="A273" s="663"/>
      <c r="B273" s="667"/>
      <c r="C273" s="3"/>
      <c r="D273" s="58"/>
      <c r="E273" s="58"/>
      <c r="F273" s="58"/>
      <c r="G273" s="58"/>
      <c r="H273" s="58"/>
      <c r="I273" s="58"/>
      <c r="J273" s="58"/>
      <c r="K273" s="58"/>
      <c r="L273" s="58"/>
      <c r="M273" s="60" t="s">
        <v>29</v>
      </c>
      <c r="N273" s="58"/>
    </row>
    <row r="274" spans="1:14" s="72" customFormat="1" ht="15" customHeight="1">
      <c r="A274" s="663"/>
      <c r="B274" s="667"/>
      <c r="D274" s="58"/>
      <c r="E274" s="1149" t="s">
        <v>1986</v>
      </c>
      <c r="F274" s="61">
        <v>2018</v>
      </c>
      <c r="G274" s="61" t="s">
        <v>322</v>
      </c>
      <c r="H274" s="61" t="s">
        <v>323</v>
      </c>
      <c r="I274" s="61" t="s">
        <v>324</v>
      </c>
      <c r="J274" s="61" t="s">
        <v>325</v>
      </c>
      <c r="K274" s="61" t="s">
        <v>326</v>
      </c>
      <c r="L274" s="61" t="s">
        <v>327</v>
      </c>
      <c r="M274" s="61" t="s">
        <v>328</v>
      </c>
      <c r="N274" s="58"/>
    </row>
    <row r="275" spans="1:14" s="72" customFormat="1" ht="15" customHeight="1">
      <c r="A275" s="663"/>
      <c r="B275" s="667"/>
      <c r="D275" s="58"/>
      <c r="E275" s="63" t="s">
        <v>513</v>
      </c>
      <c r="F275" s="2204" cm="1">
        <f t="array" ref="F275:M275">_xlfn.ANCHORARRAY(F450)*PCG_CO2+_xlfn.ANCHORARRAY(F459)*PCG_CH4+_xlfn.ANCHORARRAY(F468)*PCG_N2O</f>
        <v>4.4659774797736848E-2</v>
      </c>
      <c r="G275" s="2204">
        <v>5.1833360968799279E-2</v>
      </c>
      <c r="H275" s="2204">
        <v>6.1617343151650079E-2</v>
      </c>
      <c r="I275" s="2204">
        <v>6.9562964384951811E-2</v>
      </c>
      <c r="J275" s="2204">
        <v>7.6617445053494715E-2</v>
      </c>
      <c r="K275" s="2204">
        <v>8.3873135040150953E-2</v>
      </c>
      <c r="L275" s="2204">
        <v>9.1311748478793017E-2</v>
      </c>
      <c r="M275" s="2204">
        <v>9.8989770120652854E-2</v>
      </c>
      <c r="N275" s="58"/>
    </row>
    <row r="276" spans="1:14" s="72" customFormat="1" ht="15" customHeight="1">
      <c r="A276" s="663"/>
      <c r="B276" s="667"/>
      <c r="D276" s="58"/>
      <c r="E276" s="63" t="s">
        <v>591</v>
      </c>
      <c r="F276" s="2204"/>
      <c r="G276" s="2204"/>
      <c r="H276" s="2204"/>
      <c r="I276" s="2204"/>
      <c r="J276" s="2204"/>
      <c r="K276" s="2204"/>
      <c r="L276" s="2204"/>
      <c r="M276" s="2204"/>
      <c r="N276" s="58"/>
    </row>
    <row r="277" spans="1:14" s="72" customFormat="1" ht="15" customHeight="1">
      <c r="A277" s="663"/>
      <c r="B277" s="667"/>
      <c r="D277" s="58"/>
      <c r="E277" s="63" t="s">
        <v>498</v>
      </c>
      <c r="F277" s="2204" cm="1">
        <f t="array" ref="F277:M277">_xlfn.ANCHORARRAY(F452)*PCG_CO2+_xlfn.ANCHORARRAY(F461)*PCG_CH4+_xlfn.ANCHORARRAY(F470)*PCG_N2O</f>
        <v>9.8765898677644261E-3</v>
      </c>
      <c r="G277" s="2204">
        <v>1.146304140751204E-2</v>
      </c>
      <c r="H277" s="2204">
        <v>1.3626786740559014E-2</v>
      </c>
      <c r="I277" s="2204">
        <v>1.5383975228887415E-2</v>
      </c>
      <c r="J277" s="2204">
        <v>1.694408637160643E-2</v>
      </c>
      <c r="K277" s="2204">
        <v>1.8548695318480975E-2</v>
      </c>
      <c r="L277" s="2204">
        <v>2.0193758117186131E-2</v>
      </c>
      <c r="M277" s="2204">
        <v>2.1891766472488229E-2</v>
      </c>
      <c r="N277" s="58"/>
    </row>
    <row r="278" spans="1:14" s="72" customFormat="1" ht="15" customHeight="1">
      <c r="A278" s="663"/>
      <c r="B278" s="667"/>
      <c r="D278" s="58"/>
      <c r="E278" s="63" t="s">
        <v>502</v>
      </c>
      <c r="F278" s="2204" cm="1">
        <f t="array" ref="F278:M278">_xlfn.ANCHORARRAY(F453)*PCG_CO2+_xlfn.ANCHORARRAY(F462)*PCG_CH4+_xlfn.ANCHORARRAY(F471)*PCG_N2O</f>
        <v>1.5974223875562382E-5</v>
      </c>
      <c r="G278" s="2204">
        <v>1.8540122875415763E-5</v>
      </c>
      <c r="H278" s="2204">
        <v>2.2039726769327286E-5</v>
      </c>
      <c r="I278" s="2204">
        <v>2.4881772726478441E-5</v>
      </c>
      <c r="J278" s="2204">
        <v>2.7405069228431353E-5</v>
      </c>
      <c r="K278" s="2204">
        <v>3.0000335701302091E-5</v>
      </c>
      <c r="L278" s="2204">
        <v>3.2661031527261749E-5</v>
      </c>
      <c r="M278" s="2204">
        <v>3.5407360571327816E-5</v>
      </c>
      <c r="N278" s="58"/>
    </row>
    <row r="279" spans="1:14" s="72" customFormat="1" ht="15" customHeight="1">
      <c r="A279" s="663"/>
      <c r="B279" s="667"/>
      <c r="D279" s="58"/>
      <c r="E279" s="63" t="s">
        <v>526</v>
      </c>
      <c r="F279" s="2204" cm="1">
        <f t="array" ref="F279:M279">_xlfn.ANCHORARRAY(F454)*PCG_CO2+_xlfn.ANCHORARRAY(F463)*PCG_CH4+_xlfn.ANCHORARRAY(F472)*PCG_N2O</f>
        <v>8.1767691857529822E-5</v>
      </c>
      <c r="G279" s="2205">
        <v>9.4901828476118334E-5</v>
      </c>
      <c r="H279" s="2205">
        <v>1.1281534559281134E-4</v>
      </c>
      <c r="I279" s="2205">
        <v>1.2736300311154574E-4</v>
      </c>
      <c r="J279" s="2205">
        <v>1.4027906917172571E-4</v>
      </c>
      <c r="K279" s="2205">
        <v>1.5356352986884336E-4</v>
      </c>
      <c r="L279" s="2205">
        <v>1.6718290556549378E-4</v>
      </c>
      <c r="M279" s="2205">
        <v>1.8124061433205972E-4</v>
      </c>
      <c r="N279" s="58"/>
    </row>
    <row r="280" spans="1:14" s="72" customFormat="1" ht="15" customHeight="1">
      <c r="A280" s="663"/>
      <c r="B280" s="667"/>
      <c r="D280" s="58"/>
      <c r="E280" s="63" t="s">
        <v>527</v>
      </c>
      <c r="F280" s="2204" cm="1">
        <f t="array" ref="F280:M280">_xlfn.ANCHORARRAY(F455)*PCG_CO2+_xlfn.ANCHORARRAY(F464)*PCG_CH4+_xlfn.ANCHORARRAY(F473)*PCG_N2O</f>
        <v>1.5641834884271608E-7</v>
      </c>
      <c r="G280" s="2205">
        <v>1.8154343084862423E-7</v>
      </c>
      <c r="H280" s="2205">
        <v>2.1581127803502847E-7</v>
      </c>
      <c r="I280" s="2205">
        <v>2.4364036941472199E-7</v>
      </c>
      <c r="J280" s="2205">
        <v>2.6834829109847064E-7</v>
      </c>
      <c r="K280" s="2205">
        <v>2.9376093709965302E-7</v>
      </c>
      <c r="L280" s="2205">
        <v>3.1981426220084957E-7</v>
      </c>
      <c r="M280" s="2205">
        <v>3.4670610106563352E-7</v>
      </c>
      <c r="N280" s="58"/>
    </row>
    <row r="281" spans="1:14" s="72" customFormat="1" ht="15" customHeight="1">
      <c r="A281" s="663"/>
      <c r="B281" s="667"/>
      <c r="D281" s="58"/>
      <c r="E281" s="1145" t="s">
        <v>1990</v>
      </c>
      <c r="F281" s="2203" cm="1">
        <f t="array" ref="F281:M281">_xlfn.ANCHORARRAY(F275)+F276:M276+_xlfn.ANCHORARRAY(F277)+_xlfn.ANCHORARRAY(F278)+_xlfn.ANCHORARRAY(F279)+_xlfn.ANCHORARRAY(F280)</f>
        <v>5.4634262999583218E-2</v>
      </c>
      <c r="G281" s="2203">
        <v>6.3410025871093692E-2</v>
      </c>
      <c r="H281" s="2203">
        <v>7.5379200775849253E-2</v>
      </c>
      <c r="I281" s="2203">
        <v>8.5099428030046678E-2</v>
      </c>
      <c r="J281" s="2203">
        <v>9.3729483911792422E-2</v>
      </c>
      <c r="K281" s="2203">
        <v>0.10260568798513917</v>
      </c>
      <c r="L281" s="2203">
        <v>0.1117056703473341</v>
      </c>
      <c r="M281" s="2203">
        <v>0.12109853127414552</v>
      </c>
      <c r="N281" s="58"/>
    </row>
    <row r="282" spans="1:14" s="72" customFormat="1" ht="15" customHeight="1">
      <c r="A282" s="663"/>
      <c r="B282" s="667"/>
      <c r="D282" s="58"/>
      <c r="E282" s="58"/>
      <c r="F282" s="58"/>
      <c r="G282" s="58"/>
      <c r="H282" s="58"/>
      <c r="I282" s="58"/>
      <c r="J282" s="58"/>
      <c r="K282" s="58"/>
      <c r="L282" s="58"/>
      <c r="M282" s="58"/>
      <c r="N282" s="58"/>
    </row>
    <row r="283" spans="1:14" s="72" customFormat="1" ht="15" customHeight="1">
      <c r="A283" s="663"/>
      <c r="B283" s="667"/>
      <c r="D283" s="3"/>
      <c r="E283" s="3"/>
      <c r="F283" s="3"/>
      <c r="G283" s="3"/>
      <c r="H283" s="3"/>
      <c r="I283" s="3"/>
      <c r="J283" s="3"/>
      <c r="K283" s="3"/>
      <c r="L283" s="3"/>
      <c r="M283" s="3"/>
      <c r="N283" s="3"/>
    </row>
    <row r="284" spans="1:14" s="72" customFormat="1" ht="15" customHeight="1">
      <c r="A284" s="663"/>
      <c r="B284" s="667"/>
      <c r="D284" s="110" t="s">
        <v>797</v>
      </c>
      <c r="E284" s="65"/>
      <c r="F284" s="65"/>
      <c r="G284" s="65"/>
      <c r="H284" s="65"/>
      <c r="I284" s="65"/>
      <c r="J284" s="65"/>
      <c r="K284" s="65"/>
      <c r="L284" s="65"/>
      <c r="M284" s="65"/>
      <c r="N284" s="65"/>
    </row>
    <row r="285" spans="1:14" s="72" customFormat="1" ht="15" customHeight="1">
      <c r="A285" s="663"/>
      <c r="B285" s="667"/>
      <c r="D285" s="66"/>
      <c r="E285" s="66"/>
      <c r="F285" s="66"/>
      <c r="G285" s="66"/>
      <c r="H285" s="66"/>
      <c r="I285" s="66"/>
      <c r="J285" s="66"/>
      <c r="K285" s="66"/>
      <c r="L285" s="66"/>
      <c r="M285" s="66"/>
      <c r="N285" s="66"/>
    </row>
    <row r="286" spans="1:14" s="72" customFormat="1" ht="15" customHeight="1">
      <c r="A286" s="663"/>
      <c r="B286" s="667"/>
      <c r="D286" s="66"/>
      <c r="E286" s="113" t="s">
        <v>1687</v>
      </c>
      <c r="F286" s="66"/>
      <c r="G286" s="66"/>
      <c r="H286" s="66"/>
      <c r="I286" s="66"/>
      <c r="J286" s="66"/>
      <c r="K286" s="66"/>
      <c r="L286" s="66"/>
      <c r="M286" s="66"/>
      <c r="N286" s="66"/>
    </row>
    <row r="287" spans="1:14" s="72" customFormat="1" ht="15" customHeight="1">
      <c r="A287" s="663"/>
      <c r="B287" s="667"/>
      <c r="D287" s="66"/>
      <c r="E287" s="66"/>
      <c r="F287" s="66"/>
      <c r="G287" s="66"/>
      <c r="H287" s="66"/>
      <c r="I287" s="66"/>
      <c r="J287" s="66"/>
      <c r="K287" s="66"/>
      <c r="L287" s="66"/>
      <c r="M287" s="67" t="s">
        <v>803</v>
      </c>
      <c r="N287" s="66"/>
    </row>
    <row r="288" spans="1:14" s="72" customFormat="1" ht="15" customHeight="1">
      <c r="A288" s="663"/>
      <c r="B288" s="667"/>
      <c r="D288" s="66"/>
      <c r="E288" s="68" t="s">
        <v>699</v>
      </c>
      <c r="F288" s="68">
        <v>2018</v>
      </c>
      <c r="G288" s="68" t="s">
        <v>322</v>
      </c>
      <c r="H288" s="68" t="s">
        <v>323</v>
      </c>
      <c r="I288" s="68" t="s">
        <v>324</v>
      </c>
      <c r="J288" s="68" t="s">
        <v>325</v>
      </c>
      <c r="K288" s="68" t="s">
        <v>326</v>
      </c>
      <c r="L288" s="68" t="s">
        <v>327</v>
      </c>
      <c r="M288" s="68" t="s">
        <v>328</v>
      </c>
      <c r="N288" s="66"/>
    </row>
    <row r="289" spans="1:14" s="72" customFormat="1" ht="15" customHeight="1">
      <c r="A289" s="663"/>
      <c r="B289" s="667"/>
      <c r="D289" s="66"/>
      <c r="E289" s="922" t="s">
        <v>2107</v>
      </c>
      <c r="F289" s="966" cm="1">
        <f t="array" ref="F289:M289">_xlfn.ANCHORARRAY(F233)+_xlfn.ANCHORARRAY(F234)+_xlfn.ANCHORARRAY(F235)+_xlfn.ANCHORARRAY(F236)</f>
        <v>0</v>
      </c>
      <c r="G289" s="966">
        <v>0</v>
      </c>
      <c r="H289" s="966">
        <v>0</v>
      </c>
      <c r="I289" s="966">
        <v>0</v>
      </c>
      <c r="J289" s="966">
        <v>0</v>
      </c>
      <c r="K289" s="966">
        <v>0</v>
      </c>
      <c r="L289" s="966">
        <v>0</v>
      </c>
      <c r="M289" s="966">
        <v>0</v>
      </c>
      <c r="N289" s="66"/>
    </row>
    <row r="290" spans="1:14" s="72" customFormat="1" ht="15" customHeight="1">
      <c r="A290" s="663"/>
      <c r="B290" s="667"/>
      <c r="D290" s="66"/>
      <c r="E290" s="66" t="s">
        <v>2108</v>
      </c>
      <c r="F290" s="967" cm="1">
        <f t="array" ref="F290:M290">_xlfn.ANCHORARRAY(F240)+_xlfn.ANCHORARRAY(F241)+_xlfn.ANCHORARRAY(F242)+_xlfn.ANCHORARRAY(F243)</f>
        <v>0</v>
      </c>
      <c r="G290" s="967">
        <v>0</v>
      </c>
      <c r="H290" s="967">
        <v>0</v>
      </c>
      <c r="I290" s="967">
        <v>0</v>
      </c>
      <c r="J290" s="967">
        <v>0</v>
      </c>
      <c r="K290" s="967">
        <v>0</v>
      </c>
      <c r="L290" s="967">
        <v>0</v>
      </c>
      <c r="M290" s="967">
        <v>0</v>
      </c>
      <c r="N290" s="66"/>
    </row>
    <row r="291" spans="1:14" s="72" customFormat="1" ht="15" customHeight="1">
      <c r="A291" s="663"/>
      <c r="B291" s="667"/>
      <c r="D291" s="66"/>
      <c r="E291" s="923" t="s">
        <v>2175</v>
      </c>
      <c r="F291" s="968" cm="1">
        <f t="array" ref="F291:M291">_xlfn.ANCHORARRAY(F247)+_xlfn.ANCHORARRAY(F248)+_xlfn.ANCHORARRAY(F249)+_xlfn.ANCHORARRAY(F250)</f>
        <v>0</v>
      </c>
      <c r="G291" s="968">
        <v>0</v>
      </c>
      <c r="H291" s="968">
        <v>0</v>
      </c>
      <c r="I291" s="968">
        <v>0</v>
      </c>
      <c r="J291" s="968">
        <v>0</v>
      </c>
      <c r="K291" s="968">
        <v>0</v>
      </c>
      <c r="L291" s="968">
        <v>0</v>
      </c>
      <c r="M291" s="968">
        <v>0</v>
      </c>
      <c r="N291" s="66"/>
    </row>
    <row r="292" spans="1:14" s="72" customFormat="1" ht="15" customHeight="1">
      <c r="A292" s="663"/>
      <c r="B292" s="667"/>
      <c r="D292" s="66"/>
      <c r="E292" s="66"/>
      <c r="F292" s="66"/>
      <c r="G292" s="66"/>
      <c r="H292" s="66"/>
      <c r="I292" s="66"/>
      <c r="J292" s="66"/>
      <c r="K292" s="66"/>
      <c r="L292" s="66"/>
      <c r="M292" s="66"/>
      <c r="N292" s="66"/>
    </row>
    <row r="293" spans="1:14" s="72" customFormat="1" ht="15" customHeight="1">
      <c r="A293" s="663"/>
      <c r="B293" s="667"/>
      <c r="D293" s="3"/>
      <c r="E293" s="3"/>
      <c r="F293" s="3"/>
      <c r="G293" s="3"/>
      <c r="H293" s="3"/>
      <c r="I293" s="3"/>
      <c r="J293" s="3"/>
      <c r="K293" s="3"/>
      <c r="L293" s="3"/>
      <c r="M293" s="3"/>
      <c r="N293" s="3"/>
    </row>
    <row r="294" spans="1:14" s="72" customFormat="1" ht="15" customHeight="1">
      <c r="A294" s="663"/>
      <c r="B294" s="667"/>
      <c r="D294" s="2" t="s">
        <v>1893</v>
      </c>
      <c r="E294" s="3"/>
      <c r="F294" s="3"/>
      <c r="G294" s="3"/>
      <c r="H294" s="3"/>
      <c r="I294" s="3"/>
      <c r="J294" s="3"/>
      <c r="K294" s="3"/>
      <c r="L294" s="3"/>
      <c r="M294" s="3"/>
      <c r="N294" s="3"/>
    </row>
    <row r="295" spans="1:14" s="72" customFormat="1" ht="15" customHeight="1">
      <c r="A295" s="663"/>
      <c r="B295" s="667"/>
      <c r="D295" s="3"/>
      <c r="E295" s="3"/>
      <c r="F295" s="3"/>
      <c r="G295" s="3"/>
      <c r="H295" s="3"/>
      <c r="I295" s="3"/>
      <c r="J295" s="3"/>
      <c r="K295" s="3"/>
      <c r="L295" s="3"/>
      <c r="M295" s="3"/>
      <c r="N295" s="3"/>
    </row>
    <row r="296" spans="1:14" s="72" customFormat="1" ht="15" customHeight="1">
      <c r="A296" s="663"/>
      <c r="B296" s="667"/>
      <c r="D296" s="2"/>
      <c r="E296" s="2" t="s">
        <v>2228</v>
      </c>
      <c r="F296" s="3"/>
      <c r="G296" s="3"/>
      <c r="H296" s="3"/>
      <c r="I296" s="3"/>
      <c r="J296" s="3"/>
      <c r="K296" s="3"/>
      <c r="L296" s="3"/>
      <c r="M296" s="3"/>
      <c r="N296" s="3"/>
    </row>
    <row r="297" spans="1:14" ht="15" customHeight="1">
      <c r="C297" s="72"/>
      <c r="D297" s="2" t="s">
        <v>2229</v>
      </c>
      <c r="E297" s="2" t="s">
        <v>2230</v>
      </c>
    </row>
    <row r="298" spans="1:14" ht="15" customHeight="1">
      <c r="D298" s="2"/>
      <c r="E298" s="2"/>
    </row>
    <row r="299" spans="1:14" ht="15" customHeight="1">
      <c r="D299" s="72"/>
      <c r="E299" s="71" t="s">
        <v>590</v>
      </c>
      <c r="F299" s="72"/>
      <c r="G299" s="72"/>
      <c r="H299" s="72"/>
      <c r="I299" s="72"/>
      <c r="J299" s="72"/>
      <c r="K299" s="72"/>
      <c r="L299" s="72"/>
      <c r="M299" s="556" t="s">
        <v>9</v>
      </c>
      <c r="N299" s="72"/>
    </row>
    <row r="300" spans="1:14" ht="15" customHeight="1">
      <c r="D300" s="72"/>
      <c r="E300" s="550" t="s">
        <v>789</v>
      </c>
      <c r="F300" s="551">
        <v>2018</v>
      </c>
      <c r="G300" s="551">
        <v>2020</v>
      </c>
      <c r="H300" s="551">
        <v>2025</v>
      </c>
      <c r="I300" s="551">
        <v>2030</v>
      </c>
      <c r="J300" s="551">
        <v>2035</v>
      </c>
      <c r="K300" s="551">
        <v>2040</v>
      </c>
      <c r="L300" s="551">
        <v>2045</v>
      </c>
      <c r="M300" s="551">
        <v>2050</v>
      </c>
      <c r="N300" s="72"/>
    </row>
    <row r="301" spans="1:14" ht="15" customHeight="1">
      <c r="D301" s="72"/>
      <c r="E301" s="553" t="s">
        <v>795</v>
      </c>
      <c r="F301" s="560" cm="1">
        <f t="array" ref="F301:M301">INDEX(SF_PARTICIPACION_ENERGETICOS_USOS_TERMICOS_GAS_NATURAL,FRIO,0)*INDEX(SF_CONSUMO_TOTAL_ENERGIA_USOS_TERMICOS,FRIO,0)</f>
        <v>5.5674343209648668E-2</v>
      </c>
      <c r="G301" s="560">
        <v>6.4617171523058736E-2</v>
      </c>
      <c r="H301" s="560">
        <v>7.6814205307311645E-2</v>
      </c>
      <c r="I301" s="560">
        <v>8.6719477905755876E-2</v>
      </c>
      <c r="J301" s="560">
        <v>9.5513825384780607E-2</v>
      </c>
      <c r="K301" s="560">
        <v>0.10455900701342555</v>
      </c>
      <c r="L301" s="560">
        <v>0.11383222702992797</v>
      </c>
      <c r="M301" s="560">
        <v>0.12340390118180203</v>
      </c>
      <c r="N301" s="72"/>
    </row>
    <row r="302" spans="1:14" ht="15" customHeight="1">
      <c r="D302" s="72"/>
      <c r="E302" s="553" t="s">
        <v>791</v>
      </c>
      <c r="F302" s="560" cm="1">
        <f t="array" ref="F302:M302">INDEX(SF_PARTICIPACION_ENERGETICOS_USOS_TERMICOS_GAS_NATURAL,TEMPLADO,0)*INDEX(SF_CONSUMO_TOTAL_ENERGIA_USOS_TERMICOS,TEMPLADO,0)</f>
        <v>5.5674343209648668E-2</v>
      </c>
      <c r="G302" s="560">
        <v>6.4617171523058736E-2</v>
      </c>
      <c r="H302" s="560">
        <v>7.6814205307311645E-2</v>
      </c>
      <c r="I302" s="560">
        <v>8.6719477905755876E-2</v>
      </c>
      <c r="J302" s="560">
        <v>9.5513825384780607E-2</v>
      </c>
      <c r="K302" s="560">
        <v>0.10455900701342555</v>
      </c>
      <c r="L302" s="560">
        <v>0.11383222702992797</v>
      </c>
      <c r="M302" s="560">
        <v>0.12340390118180203</v>
      </c>
      <c r="N302" s="72"/>
    </row>
    <row r="303" spans="1:14" ht="15" customHeight="1">
      <c r="D303" s="72"/>
      <c r="E303" s="553" t="s">
        <v>792</v>
      </c>
      <c r="F303" s="560" cm="1">
        <f t="array" ref="F303:M303">INDEX(SF_PARTICIPACION_ENERGETICOS_USOS_TERMICOS_GAS_NATURAL,CALIDO_SECO,0)*INDEX(SF_CONSUMO_TOTAL_ENERGIA_USOS_TERMICOS,CALIDO_SECO,0)</f>
        <v>5.5674343209648668E-2</v>
      </c>
      <c r="G303" s="560">
        <v>6.4617171523058736E-2</v>
      </c>
      <c r="H303" s="560">
        <v>7.6814205307311645E-2</v>
      </c>
      <c r="I303" s="560">
        <v>8.6719477905755876E-2</v>
      </c>
      <c r="J303" s="560">
        <v>9.5513825384780607E-2</v>
      </c>
      <c r="K303" s="560">
        <v>0.10455900701342555</v>
      </c>
      <c r="L303" s="560">
        <v>0.11383222702992797</v>
      </c>
      <c r="M303" s="560">
        <v>0.12340390118180203</v>
      </c>
      <c r="N303" s="72"/>
    </row>
    <row r="304" spans="1:14" ht="15" customHeight="1">
      <c r="D304" s="72"/>
      <c r="E304" s="553" t="s">
        <v>793</v>
      </c>
      <c r="F304" s="560" cm="1">
        <f t="array" ref="F304:M304">INDEX(SF_PARTICIPACION_ENERGETICOS_USOS_TERMICOS_GAS_NATURAL,CALIDO_HUMEDO,0)*INDEX(SF_CONSUMO_TOTAL_ENERGIA_USOS_TERMICOS,CALIDO_HUMEDO,0)</f>
        <v>5.5674343209648668E-2</v>
      </c>
      <c r="G304" s="560">
        <v>6.4617171523058736E-2</v>
      </c>
      <c r="H304" s="560">
        <v>7.6814205307311645E-2</v>
      </c>
      <c r="I304" s="560">
        <v>8.6719477905755876E-2</v>
      </c>
      <c r="J304" s="560">
        <v>9.5513825384780607E-2</v>
      </c>
      <c r="K304" s="560">
        <v>0.10455900701342555</v>
      </c>
      <c r="L304" s="560">
        <v>0.11383222702992797</v>
      </c>
      <c r="M304" s="560">
        <v>0.12340390118180203</v>
      </c>
      <c r="N304" s="72"/>
    </row>
    <row r="305" spans="1:14" ht="15" customHeight="1">
      <c r="D305" s="72"/>
      <c r="E305" s="554" t="s">
        <v>1714</v>
      </c>
      <c r="F305" s="561">
        <f>SUM(F301:F304)</f>
        <v>0.22269737283859467</v>
      </c>
      <c r="G305" s="561">
        <f t="shared" ref="G305:M305" si="1">SUM(G301:G304)</f>
        <v>0.25846868609223494</v>
      </c>
      <c r="H305" s="561">
        <f t="shared" si="1"/>
        <v>0.30725682122924658</v>
      </c>
      <c r="I305" s="561">
        <f t="shared" si="1"/>
        <v>0.3468779116230235</v>
      </c>
      <c r="J305" s="561">
        <f t="shared" si="1"/>
        <v>0.38205530153912243</v>
      </c>
      <c r="K305" s="561">
        <f t="shared" si="1"/>
        <v>0.41823602805370219</v>
      </c>
      <c r="L305" s="561">
        <f t="shared" si="1"/>
        <v>0.45532890811971188</v>
      </c>
      <c r="M305" s="561">
        <f t="shared" si="1"/>
        <v>0.49361560472720811</v>
      </c>
      <c r="N305" s="72"/>
    </row>
    <row r="306" spans="1:14" s="72" customFormat="1" ht="15" customHeight="1">
      <c r="A306" s="663"/>
      <c r="B306" s="667"/>
      <c r="C306" s="3"/>
    </row>
    <row r="307" spans="1:14" s="72" customFormat="1" ht="15" customHeight="1">
      <c r="A307" s="663"/>
      <c r="B307" s="667"/>
      <c r="E307" s="71" t="s">
        <v>591</v>
      </c>
      <c r="M307" s="556" t="s">
        <v>9</v>
      </c>
    </row>
    <row r="308" spans="1:14" s="72" customFormat="1" ht="15" customHeight="1">
      <c r="A308" s="663"/>
      <c r="B308" s="667"/>
      <c r="E308" s="550" t="s">
        <v>789</v>
      </c>
      <c r="F308" s="551">
        <v>2018</v>
      </c>
      <c r="G308" s="551">
        <v>2020</v>
      </c>
      <c r="H308" s="551">
        <v>2025</v>
      </c>
      <c r="I308" s="551">
        <v>2030</v>
      </c>
      <c r="J308" s="551">
        <v>2035</v>
      </c>
      <c r="K308" s="551">
        <v>2040</v>
      </c>
      <c r="L308" s="551">
        <v>2045</v>
      </c>
      <c r="M308" s="551">
        <v>2050</v>
      </c>
    </row>
    <row r="309" spans="1:14" s="72" customFormat="1" ht="15" customHeight="1">
      <c r="A309" s="663"/>
      <c r="B309" s="667"/>
      <c r="E309" s="553" t="s">
        <v>795</v>
      </c>
      <c r="F309" s="560" cm="1">
        <f t="array" ref="F309:M309">INDEX(SF_PARTICIPACION_ENERGETICOS_USOS_TERMICOS_PETROLEO,FRIO,0)*INDEX(SF_CONSUMO_TOTAL_ENERGIA_USOS_TERMICOS,FRIO,0)</f>
        <v>3.7870561121453195E-3</v>
      </c>
      <c r="G309" s="560">
        <v>4.3953613147165588E-3</v>
      </c>
      <c r="H309" s="560">
        <v>5.2250226754040003E-3</v>
      </c>
      <c r="I309" s="560">
        <v>5.8987948471771121E-3</v>
      </c>
      <c r="J309" s="560">
        <v>6.497000150603084E-3</v>
      </c>
      <c r="K309" s="560">
        <v>7.1122675861475873E-3</v>
      </c>
      <c r="L309" s="560">
        <v>7.7430465503559682E-3</v>
      </c>
      <c r="M309" s="560">
        <v>8.3941268327729149E-3</v>
      </c>
    </row>
    <row r="310" spans="1:14" s="72" customFormat="1" ht="15" customHeight="1">
      <c r="A310" s="663"/>
      <c r="B310" s="667"/>
      <c r="E310" s="553" t="s">
        <v>791</v>
      </c>
      <c r="F310" s="560" cm="1">
        <f t="array" ref="F310:M310">INDEX(SF_PARTICIPACION_ENERGETICOS_USOS_TERMICOS_PETROLEO,TEMPLADO,0)*INDEX(SF_CONSUMO_TOTAL_ENERGIA_USOS_TERMICOS,TEMPLADO,0)</f>
        <v>3.7870561121453195E-3</v>
      </c>
      <c r="G310" s="560">
        <v>4.3953613147165588E-3</v>
      </c>
      <c r="H310" s="560">
        <v>5.2250226754040003E-3</v>
      </c>
      <c r="I310" s="560">
        <v>5.8987948471771121E-3</v>
      </c>
      <c r="J310" s="560">
        <v>6.497000150603084E-3</v>
      </c>
      <c r="K310" s="560">
        <v>7.1122675861475873E-3</v>
      </c>
      <c r="L310" s="560">
        <v>7.7430465503559682E-3</v>
      </c>
      <c r="M310" s="560">
        <v>8.3941268327729149E-3</v>
      </c>
    </row>
    <row r="311" spans="1:14" s="72" customFormat="1" ht="15" customHeight="1">
      <c r="A311" s="663"/>
      <c r="B311" s="667"/>
      <c r="E311" s="553" t="s">
        <v>792</v>
      </c>
      <c r="F311" s="560" cm="1">
        <f t="array" ref="F311:M311">INDEX(SF_PARTICIPACION_ENERGETICOS_USOS_TERMICOS_PETROLEO,CALIDO_SECO,0)*INDEX(SF_CONSUMO_TOTAL_ENERGIA_USOS_TERMICOS,CALIDO_SECO,0)</f>
        <v>3.7870561121453195E-3</v>
      </c>
      <c r="G311" s="560">
        <v>4.3953613147165588E-3</v>
      </c>
      <c r="H311" s="560">
        <v>5.2250226754040003E-3</v>
      </c>
      <c r="I311" s="560">
        <v>5.8987948471771121E-3</v>
      </c>
      <c r="J311" s="560">
        <v>6.497000150603084E-3</v>
      </c>
      <c r="K311" s="560">
        <v>7.1122675861475873E-3</v>
      </c>
      <c r="L311" s="560">
        <v>7.7430465503559682E-3</v>
      </c>
      <c r="M311" s="560">
        <v>8.3941268327729149E-3</v>
      </c>
    </row>
    <row r="312" spans="1:14" s="72" customFormat="1" ht="15" customHeight="1">
      <c r="A312" s="663"/>
      <c r="B312" s="667"/>
      <c r="E312" s="553" t="s">
        <v>793</v>
      </c>
      <c r="F312" s="560" cm="1">
        <f t="array" ref="F312:M312">INDEX(SF_PARTICIPACION_ENERGETICOS_USOS_TERMICOS_PETROLEO,CALIDO_HUMEDO,0)*INDEX(SF_CONSUMO_TOTAL_ENERGIA_USOS_TERMICOS,CALIDO_HUMEDO,0)</f>
        <v>3.7870561121453195E-3</v>
      </c>
      <c r="G312" s="560">
        <v>4.3953613147165588E-3</v>
      </c>
      <c r="H312" s="560">
        <v>5.2250226754040003E-3</v>
      </c>
      <c r="I312" s="560">
        <v>5.8987948471771121E-3</v>
      </c>
      <c r="J312" s="560">
        <v>6.497000150603084E-3</v>
      </c>
      <c r="K312" s="560">
        <v>7.1122675861475873E-3</v>
      </c>
      <c r="L312" s="560">
        <v>7.7430465503559682E-3</v>
      </c>
      <c r="M312" s="560">
        <v>8.3941268327729149E-3</v>
      </c>
    </row>
    <row r="313" spans="1:14" s="72" customFormat="1" ht="15" customHeight="1">
      <c r="A313" s="663"/>
      <c r="B313" s="667"/>
      <c r="E313" s="554" t="s">
        <v>1714</v>
      </c>
      <c r="F313" s="561">
        <f>SUM(F309:F312)</f>
        <v>1.5148224448581278E-2</v>
      </c>
      <c r="G313" s="561">
        <f t="shared" ref="G313:M313" si="2">SUM(G309:G312)</f>
        <v>1.7581445258866235E-2</v>
      </c>
      <c r="H313" s="561">
        <f t="shared" si="2"/>
        <v>2.0900090701616001E-2</v>
      </c>
      <c r="I313" s="561">
        <f t="shared" si="2"/>
        <v>2.3595179388708448E-2</v>
      </c>
      <c r="J313" s="561">
        <f t="shared" si="2"/>
        <v>2.5988000602412336E-2</v>
      </c>
      <c r="K313" s="561">
        <f t="shared" si="2"/>
        <v>2.8449070344590349E-2</v>
      </c>
      <c r="L313" s="561">
        <f t="shared" si="2"/>
        <v>3.0972186201423873E-2</v>
      </c>
      <c r="M313" s="561">
        <f t="shared" si="2"/>
        <v>3.357650733109166E-2</v>
      </c>
    </row>
    <row r="314" spans="1:14" s="72" customFormat="1" ht="15" customHeight="1">
      <c r="A314" s="663"/>
      <c r="B314" s="667"/>
    </row>
    <row r="315" spans="1:14" s="72" customFormat="1" ht="15" customHeight="1">
      <c r="A315" s="663"/>
      <c r="B315" s="667"/>
      <c r="E315" s="71" t="s">
        <v>498</v>
      </c>
      <c r="M315" s="556" t="s">
        <v>9</v>
      </c>
    </row>
    <row r="316" spans="1:14" s="72" customFormat="1" ht="15" customHeight="1">
      <c r="A316" s="663"/>
      <c r="B316" s="667"/>
      <c r="E316" s="550" t="s">
        <v>789</v>
      </c>
      <c r="F316" s="551">
        <v>2018</v>
      </c>
      <c r="G316" s="551">
        <v>2020</v>
      </c>
      <c r="H316" s="551">
        <v>2025</v>
      </c>
      <c r="I316" s="551">
        <v>2030</v>
      </c>
      <c r="J316" s="551">
        <v>2035</v>
      </c>
      <c r="K316" s="551">
        <v>2040</v>
      </c>
      <c r="L316" s="551">
        <v>2045</v>
      </c>
      <c r="M316" s="551">
        <v>2050</v>
      </c>
    </row>
    <row r="317" spans="1:14" s="72" customFormat="1" ht="15" customHeight="1">
      <c r="A317" s="663"/>
      <c r="B317" s="667"/>
      <c r="E317" s="553" t="s">
        <v>795</v>
      </c>
      <c r="F317" s="560" cm="1">
        <f t="array" ref="F317:M317">INDEX(SF_PARTICIPACION_ENERGETICOS_USOS_TERMICOS_GLP,FRIO,0)*INDEX(SF_CONSUMO_TOTAL_ENERGIA_USOS_TERMICOS,FRIO,0)</f>
        <v>1.0183486252780996E-2</v>
      </c>
      <c r="G317" s="560">
        <v>1.1819233779207333E-2</v>
      </c>
      <c r="H317" s="560">
        <v>1.4050213413738863E-2</v>
      </c>
      <c r="I317" s="560">
        <v>1.586200321710423E-2</v>
      </c>
      <c r="J317" s="560">
        <v>1.7470591868389968E-2</v>
      </c>
      <c r="K317" s="560">
        <v>1.9125061009091969E-2</v>
      </c>
      <c r="L317" s="560">
        <v>2.0821241028701039E-2</v>
      </c>
      <c r="M317" s="560">
        <v>2.257201178812715E-2</v>
      </c>
    </row>
    <row r="318" spans="1:14" s="72" customFormat="1" ht="15" customHeight="1">
      <c r="A318" s="663"/>
      <c r="B318" s="667"/>
      <c r="E318" s="553" t="s">
        <v>791</v>
      </c>
      <c r="F318" s="560" cm="1">
        <f t="array" ref="F318:M318">INDEX(SF_PARTICIPACION_ENERGETICOS_USOS_TERMICOS_GLP,TEMPLADO,0)*INDEX(SF_CONSUMO_TOTAL_ENERGIA_USOS_TERMICOS,TEMPLADO,0)</f>
        <v>1.0183486252780996E-2</v>
      </c>
      <c r="G318" s="560">
        <v>1.1819233779207333E-2</v>
      </c>
      <c r="H318" s="560">
        <v>1.4050213413738863E-2</v>
      </c>
      <c r="I318" s="560">
        <v>1.586200321710423E-2</v>
      </c>
      <c r="J318" s="560">
        <v>1.7470591868389968E-2</v>
      </c>
      <c r="K318" s="560">
        <v>1.9125061009091969E-2</v>
      </c>
      <c r="L318" s="560">
        <v>2.0821241028701039E-2</v>
      </c>
      <c r="M318" s="560">
        <v>2.257201178812715E-2</v>
      </c>
    </row>
    <row r="319" spans="1:14" s="72" customFormat="1" ht="15" customHeight="1">
      <c r="A319" s="663"/>
      <c r="B319" s="667"/>
      <c r="E319" s="553" t="s">
        <v>792</v>
      </c>
      <c r="F319" s="560" cm="1">
        <f t="array" ref="F319:M319">INDEX(SF_PARTICIPACION_ENERGETICOS_USOS_TERMICOS_GLP,CALIDO_SECO,0)*INDEX(SF_CONSUMO_TOTAL_ENERGIA_USOS_TERMICOS,CALIDO_SECO,0)</f>
        <v>1.0183486252780996E-2</v>
      </c>
      <c r="G319" s="560">
        <v>1.1819233779207333E-2</v>
      </c>
      <c r="H319" s="560">
        <v>1.4050213413738863E-2</v>
      </c>
      <c r="I319" s="560">
        <v>1.586200321710423E-2</v>
      </c>
      <c r="J319" s="560">
        <v>1.7470591868389968E-2</v>
      </c>
      <c r="K319" s="560">
        <v>1.9125061009091969E-2</v>
      </c>
      <c r="L319" s="560">
        <v>2.0821241028701039E-2</v>
      </c>
      <c r="M319" s="560">
        <v>2.257201178812715E-2</v>
      </c>
    </row>
    <row r="320" spans="1:14" s="72" customFormat="1" ht="15" customHeight="1">
      <c r="A320" s="663"/>
      <c r="B320" s="667"/>
      <c r="E320" s="553" t="s">
        <v>793</v>
      </c>
      <c r="F320" s="560" cm="1">
        <f t="array" ref="F320:M320">INDEX(SF_PARTICIPACION_ENERGETICOS_USOS_TERMICOS_GLP,CALIDO_HUMEDO,0)*INDEX(SF_CONSUMO_TOTAL_ENERGIA_USOS_TERMICOS,CALIDO_HUMEDO,0)</f>
        <v>1.0183486252780996E-2</v>
      </c>
      <c r="G320" s="560">
        <v>1.1819233779207333E-2</v>
      </c>
      <c r="H320" s="560">
        <v>1.4050213413738863E-2</v>
      </c>
      <c r="I320" s="560">
        <v>1.586200321710423E-2</v>
      </c>
      <c r="J320" s="560">
        <v>1.7470591868389968E-2</v>
      </c>
      <c r="K320" s="560">
        <v>1.9125061009091969E-2</v>
      </c>
      <c r="L320" s="560">
        <v>2.0821241028701039E-2</v>
      </c>
      <c r="M320" s="560">
        <v>2.257201178812715E-2</v>
      </c>
    </row>
    <row r="321" spans="1:14" s="72" customFormat="1" ht="15" customHeight="1">
      <c r="A321" s="663"/>
      <c r="B321" s="667"/>
      <c r="E321" s="554" t="s">
        <v>1714</v>
      </c>
      <c r="F321" s="561">
        <f>SUM(F317:F320)</f>
        <v>4.0733945011123984E-2</v>
      </c>
      <c r="G321" s="561">
        <f t="shared" ref="G321:M321" si="3">SUM(G317:G320)</f>
        <v>4.727693511682933E-2</v>
      </c>
      <c r="H321" s="561">
        <f t="shared" si="3"/>
        <v>5.6200853654955453E-2</v>
      </c>
      <c r="I321" s="561">
        <f t="shared" si="3"/>
        <v>6.344801286841692E-2</v>
      </c>
      <c r="J321" s="561">
        <f t="shared" si="3"/>
        <v>6.9882367473559873E-2</v>
      </c>
      <c r="K321" s="561">
        <f t="shared" si="3"/>
        <v>7.6500244036367876E-2</v>
      </c>
      <c r="L321" s="561">
        <f t="shared" si="3"/>
        <v>8.3284964114804155E-2</v>
      </c>
      <c r="M321" s="561">
        <f t="shared" si="3"/>
        <v>9.0288047152508599E-2</v>
      </c>
    </row>
    <row r="322" spans="1:14" s="72" customFormat="1" ht="15" customHeight="1">
      <c r="A322" s="663"/>
      <c r="B322" s="667"/>
    </row>
    <row r="323" spans="1:14" s="72" customFormat="1" ht="15" customHeight="1">
      <c r="A323" s="663"/>
      <c r="B323" s="667"/>
      <c r="D323" s="2"/>
      <c r="E323" s="2"/>
      <c r="F323" s="3"/>
      <c r="G323" s="3"/>
      <c r="H323" s="3"/>
      <c r="I323" s="3"/>
      <c r="J323" s="3"/>
      <c r="K323" s="3"/>
      <c r="L323" s="3"/>
      <c r="M323" s="3"/>
      <c r="N323" s="3"/>
    </row>
    <row r="324" spans="1:14" s="72" customFormat="1" ht="15" customHeight="1">
      <c r="A324" s="663"/>
      <c r="B324" s="667"/>
      <c r="D324" s="2"/>
      <c r="M324" s="556" t="s">
        <v>9</v>
      </c>
      <c r="N324" s="3"/>
    </row>
    <row r="325" spans="1:14" s="72" customFormat="1" ht="15" customHeight="1">
      <c r="A325" s="663"/>
      <c r="B325" s="667"/>
      <c r="D325" s="2"/>
      <c r="E325" s="3"/>
      <c r="F325" s="551">
        <v>2018</v>
      </c>
      <c r="G325" s="551">
        <v>2020</v>
      </c>
      <c r="H325" s="551">
        <v>2025</v>
      </c>
      <c r="I325" s="551">
        <v>2030</v>
      </c>
      <c r="J325" s="551">
        <v>2035</v>
      </c>
      <c r="K325" s="551">
        <v>2040</v>
      </c>
      <c r="L325" s="551">
        <v>2045</v>
      </c>
      <c r="M325" s="551">
        <v>2050</v>
      </c>
      <c r="N325" s="3"/>
    </row>
    <row r="326" spans="1:14" s="72" customFormat="1" ht="15" customHeight="1">
      <c r="A326" s="663"/>
      <c r="B326" s="667"/>
      <c r="D326" s="2"/>
      <c r="E326" s="554" t="s">
        <v>1626</v>
      </c>
      <c r="F326" s="561" cm="1">
        <f t="array" ref="F326:M326">F305:M305+F313:M313+F321:M321</f>
        <v>0.27857954229829995</v>
      </c>
      <c r="G326" s="561">
        <v>0.32332706646793052</v>
      </c>
      <c r="H326" s="561">
        <v>0.38435776558581808</v>
      </c>
      <c r="I326" s="561">
        <v>0.43392110388014893</v>
      </c>
      <c r="J326" s="561">
        <v>0.47792566961509464</v>
      </c>
      <c r="K326" s="561">
        <v>0.52318534243466042</v>
      </c>
      <c r="L326" s="561">
        <v>0.5695860584359399</v>
      </c>
      <c r="M326" s="561">
        <v>0.61748015921080834</v>
      </c>
      <c r="N326" s="3"/>
    </row>
    <row r="327" spans="1:14" s="72" customFormat="1" ht="15" customHeight="1">
      <c r="A327" s="663"/>
      <c r="B327" s="667"/>
      <c r="D327" s="2"/>
      <c r="N327" s="3"/>
    </row>
    <row r="328" spans="1:14" s="72" customFormat="1" ht="15" customHeight="1">
      <c r="A328" s="663"/>
      <c r="B328" s="667"/>
      <c r="D328" s="2"/>
      <c r="E328" s="2"/>
      <c r="F328" s="3"/>
      <c r="G328" s="3"/>
      <c r="H328" s="3"/>
      <c r="I328" s="3"/>
      <c r="J328" s="3"/>
      <c r="K328" s="3"/>
      <c r="L328" s="3"/>
      <c r="M328" s="3"/>
      <c r="N328" s="3"/>
    </row>
    <row r="329" spans="1:14" s="72" customFormat="1" ht="15" customHeight="1">
      <c r="A329" s="663"/>
      <c r="B329" s="667"/>
      <c r="D329" s="2"/>
      <c r="E329" s="2" t="s">
        <v>2231</v>
      </c>
      <c r="F329" s="3"/>
      <c r="G329" s="3"/>
      <c r="H329" s="3"/>
      <c r="I329" s="3"/>
      <c r="J329" s="3"/>
      <c r="K329" s="3"/>
      <c r="L329" s="3"/>
      <c r="M329" s="3"/>
      <c r="N329" s="3"/>
    </row>
    <row r="330" spans="1:14" ht="15" customHeight="1">
      <c r="C330" s="72"/>
      <c r="D330" s="2" t="s">
        <v>2115</v>
      </c>
      <c r="E330" s="2" t="s">
        <v>2232</v>
      </c>
    </row>
    <row r="332" spans="1:14" ht="15" customHeight="1">
      <c r="D332" s="72"/>
      <c r="E332" s="71" t="s">
        <v>590</v>
      </c>
      <c r="F332" s="72"/>
      <c r="G332" s="72"/>
      <c r="H332" s="72"/>
      <c r="I332" s="72"/>
      <c r="J332" s="72"/>
      <c r="K332" s="72"/>
      <c r="L332" s="72"/>
      <c r="M332" s="556" t="s">
        <v>9</v>
      </c>
      <c r="N332" s="72"/>
    </row>
    <row r="333" spans="1:14" ht="15" customHeight="1">
      <c r="D333" s="72"/>
      <c r="E333" s="550" t="s">
        <v>789</v>
      </c>
      <c r="F333" s="551">
        <v>2018</v>
      </c>
      <c r="G333" s="551">
        <v>2020</v>
      </c>
      <c r="H333" s="551">
        <v>2025</v>
      </c>
      <c r="I333" s="551">
        <v>2030</v>
      </c>
      <c r="J333" s="551">
        <v>2035</v>
      </c>
      <c r="K333" s="551">
        <v>2040</v>
      </c>
      <c r="L333" s="551">
        <v>2045</v>
      </c>
      <c r="M333" s="551">
        <v>2050</v>
      </c>
      <c r="N333" s="72"/>
    </row>
    <row r="334" spans="1:14" ht="15" customHeight="1">
      <c r="D334" s="72"/>
      <c r="E334" s="553" t="s">
        <v>795</v>
      </c>
      <c r="F334" s="560" cm="1">
        <f t="array" ref="F334:M334">INDEX(SF_PARTICIPACION_ENERGETICOS_USOS_TERMICOS_GAS_NATURAL,FRIO,0)*INDEX(SF_CONSUMO_TOTAL_ENERGIA_USOS_TERMICOS,FRIO,0)*(1-INDEX(ST_PORCENTAJE_REDUCCION_POR_EFICIENCIA_TERMICA,FRIO,0))</f>
        <v>5.5674343209648668E-2</v>
      </c>
      <c r="G334" s="560">
        <v>6.4617171523058736E-2</v>
      </c>
      <c r="H334" s="560">
        <v>7.6814205307311645E-2</v>
      </c>
      <c r="I334" s="560">
        <v>8.6719477905755876E-2</v>
      </c>
      <c r="J334" s="560">
        <v>9.5513825384780607E-2</v>
      </c>
      <c r="K334" s="560">
        <v>0.10455900701342555</v>
      </c>
      <c r="L334" s="560">
        <v>0.11383222702992797</v>
      </c>
      <c r="M334" s="560">
        <v>0.12340390118180203</v>
      </c>
      <c r="N334" s="72"/>
    </row>
    <row r="335" spans="1:14" ht="15" customHeight="1">
      <c r="D335" s="72"/>
      <c r="E335" s="553" t="s">
        <v>791</v>
      </c>
      <c r="F335" s="560" cm="1">
        <f t="array" ref="F335:M335">INDEX(SF_PARTICIPACION_ENERGETICOS_USOS_TERMICOS_GAS_NATURAL,TEMPLADO,0)*INDEX(SF_CONSUMO_TOTAL_ENERGIA_USOS_TERMICOS,TEMPLADO,0)*(1-INDEX(ST_PORCENTAJE_REDUCCION_POR_EFICIENCIA_TERMICA,TEMPLADO,0))</f>
        <v>5.5674343209648668E-2</v>
      </c>
      <c r="G335" s="560">
        <v>6.4617171523058736E-2</v>
      </c>
      <c r="H335" s="560">
        <v>7.6814205307311645E-2</v>
      </c>
      <c r="I335" s="560">
        <v>8.6719477905755876E-2</v>
      </c>
      <c r="J335" s="560">
        <v>9.5513825384780607E-2</v>
      </c>
      <c r="K335" s="560">
        <v>0.10455900701342555</v>
      </c>
      <c r="L335" s="560">
        <v>0.11383222702992797</v>
      </c>
      <c r="M335" s="560">
        <v>0.12340390118180203</v>
      </c>
      <c r="N335" s="72"/>
    </row>
    <row r="336" spans="1:14" ht="15" customHeight="1">
      <c r="D336" s="72"/>
      <c r="E336" s="553" t="s">
        <v>792</v>
      </c>
      <c r="F336" s="560" cm="1">
        <f t="array" ref="F336:M336">INDEX(SF_PARTICIPACION_ENERGETICOS_USOS_TERMICOS_GAS_NATURAL,CALIDO_SECO,0)*INDEX(SF_CONSUMO_TOTAL_ENERGIA_USOS_TERMICOS,CALIDO_SECO,0)*(1-INDEX(ST_PORCENTAJE_REDUCCION_POR_EFICIENCIA_TERMICA,CALIDO_SECO,0))</f>
        <v>5.5674343209648668E-2</v>
      </c>
      <c r="G336" s="560">
        <v>6.4617171523058736E-2</v>
      </c>
      <c r="H336" s="560">
        <v>7.6814205307311645E-2</v>
      </c>
      <c r="I336" s="560">
        <v>8.6719477905755876E-2</v>
      </c>
      <c r="J336" s="560">
        <v>9.5513825384780607E-2</v>
      </c>
      <c r="K336" s="560">
        <v>0.10455900701342555</v>
      </c>
      <c r="L336" s="560">
        <v>0.11383222702992797</v>
      </c>
      <c r="M336" s="560">
        <v>0.12340390118180203</v>
      </c>
      <c r="N336" s="72"/>
    </row>
    <row r="337" spans="1:14" ht="15" customHeight="1">
      <c r="D337" s="72"/>
      <c r="E337" s="553" t="s">
        <v>793</v>
      </c>
      <c r="F337" s="560" cm="1">
        <f t="array" ref="F337:M337">INDEX(SF_PARTICIPACION_ENERGETICOS_USOS_TERMICOS_GAS_NATURAL,CALIDO_HUMEDO,0)*INDEX(SF_CONSUMO_TOTAL_ENERGIA_USOS_TERMICOS,CALIDO_HUMEDO,0)*(1-INDEX(ST_PORCENTAJE_REDUCCION_POR_EFICIENCIA_TERMICA,CALIDO_HUMEDO,0))</f>
        <v>5.5674343209648668E-2</v>
      </c>
      <c r="G337" s="560">
        <v>6.4617171523058736E-2</v>
      </c>
      <c r="H337" s="560">
        <v>7.6814205307311645E-2</v>
      </c>
      <c r="I337" s="560">
        <v>8.6719477905755876E-2</v>
      </c>
      <c r="J337" s="560">
        <v>9.5513825384780607E-2</v>
      </c>
      <c r="K337" s="560">
        <v>0.10455900701342555</v>
      </c>
      <c r="L337" s="560">
        <v>0.11383222702992797</v>
      </c>
      <c r="M337" s="560">
        <v>0.12340390118180203</v>
      </c>
      <c r="N337" s="72"/>
    </row>
    <row r="338" spans="1:14" ht="15" customHeight="1">
      <c r="D338" s="72"/>
      <c r="E338" s="554" t="s">
        <v>1714</v>
      </c>
      <c r="F338" s="561">
        <f>SUM(F334:F337)</f>
        <v>0.22269737283859467</v>
      </c>
      <c r="G338" s="561">
        <f t="shared" ref="G338:M338" si="4">SUM(G334:G337)</f>
        <v>0.25846868609223494</v>
      </c>
      <c r="H338" s="561">
        <f t="shared" si="4"/>
        <v>0.30725682122924658</v>
      </c>
      <c r="I338" s="561">
        <f t="shared" si="4"/>
        <v>0.3468779116230235</v>
      </c>
      <c r="J338" s="561">
        <f t="shared" si="4"/>
        <v>0.38205530153912243</v>
      </c>
      <c r="K338" s="561">
        <f t="shared" si="4"/>
        <v>0.41823602805370219</v>
      </c>
      <c r="L338" s="561">
        <f t="shared" si="4"/>
        <v>0.45532890811971188</v>
      </c>
      <c r="M338" s="561">
        <f t="shared" si="4"/>
        <v>0.49361560472720811</v>
      </c>
      <c r="N338" s="72"/>
    </row>
    <row r="339" spans="1:14" ht="15" customHeight="1">
      <c r="D339" s="72"/>
      <c r="E339" s="72"/>
      <c r="F339" s="72"/>
      <c r="G339" s="72"/>
      <c r="H339" s="72"/>
      <c r="I339" s="72"/>
      <c r="J339" s="72"/>
      <c r="K339" s="72"/>
      <c r="L339" s="72"/>
      <c r="M339" s="72"/>
      <c r="N339" s="72"/>
    </row>
    <row r="340" spans="1:14" ht="15" customHeight="1">
      <c r="D340" s="72"/>
      <c r="E340" s="71" t="s">
        <v>591</v>
      </c>
      <c r="F340" s="72"/>
      <c r="G340" s="72"/>
      <c r="H340" s="72"/>
      <c r="I340" s="72"/>
      <c r="J340" s="72"/>
      <c r="K340" s="72"/>
      <c r="L340" s="72"/>
      <c r="M340" s="556" t="s">
        <v>9</v>
      </c>
      <c r="N340" s="72"/>
    </row>
    <row r="341" spans="1:14" ht="15" customHeight="1">
      <c r="D341" s="72"/>
      <c r="E341" s="550" t="s">
        <v>789</v>
      </c>
      <c r="F341" s="551">
        <v>2018</v>
      </c>
      <c r="G341" s="551">
        <v>2020</v>
      </c>
      <c r="H341" s="551">
        <v>2025</v>
      </c>
      <c r="I341" s="551">
        <v>2030</v>
      </c>
      <c r="J341" s="551">
        <v>2035</v>
      </c>
      <c r="K341" s="551">
        <v>2040</v>
      </c>
      <c r="L341" s="551">
        <v>2045</v>
      </c>
      <c r="M341" s="551">
        <v>2050</v>
      </c>
      <c r="N341" s="72"/>
    </row>
    <row r="342" spans="1:14" ht="15" customHeight="1">
      <c r="D342" s="72"/>
      <c r="E342" s="553" t="s">
        <v>795</v>
      </c>
      <c r="F342" s="560" cm="1">
        <f t="array" ref="F342:M342">INDEX(SF_PARTICIPACION_ENERGETICOS_USOS_TERMICOS_PETROLEO,FRIO,0)*INDEX(SF_CONSUMO_TOTAL_ENERGIA_USOS_TERMICOS,FRIO,0)*(1-INDEX(ST_PORCENTAJE_REDUCCION_POR_EFICIENCIA_TERMICA,FRIO,0))</f>
        <v>3.7870561121453195E-3</v>
      </c>
      <c r="G342" s="560">
        <v>4.3953613147165588E-3</v>
      </c>
      <c r="H342" s="560">
        <v>5.2250226754040003E-3</v>
      </c>
      <c r="I342" s="560">
        <v>5.8987948471771121E-3</v>
      </c>
      <c r="J342" s="560">
        <v>6.497000150603084E-3</v>
      </c>
      <c r="K342" s="560">
        <v>7.1122675861475873E-3</v>
      </c>
      <c r="L342" s="560">
        <v>7.7430465503559682E-3</v>
      </c>
      <c r="M342" s="560">
        <v>8.3941268327729149E-3</v>
      </c>
      <c r="N342" s="72"/>
    </row>
    <row r="343" spans="1:14" ht="15" customHeight="1">
      <c r="D343" s="72"/>
      <c r="E343" s="553" t="s">
        <v>791</v>
      </c>
      <c r="F343" s="560" cm="1">
        <f t="array" ref="F343:M343">INDEX(SF_PARTICIPACION_ENERGETICOS_USOS_TERMICOS_PETROLEO,TEMPLADO,0)*INDEX(SF_CONSUMO_TOTAL_ENERGIA_USOS_TERMICOS,TEMPLADO,0)*(1-INDEX(ST_PORCENTAJE_REDUCCION_POR_EFICIENCIA_TERMICA,TEMPLADO,0))</f>
        <v>3.7870561121453195E-3</v>
      </c>
      <c r="G343" s="560">
        <v>4.3953613147165588E-3</v>
      </c>
      <c r="H343" s="560">
        <v>5.2250226754040003E-3</v>
      </c>
      <c r="I343" s="560">
        <v>5.8987948471771121E-3</v>
      </c>
      <c r="J343" s="560">
        <v>6.497000150603084E-3</v>
      </c>
      <c r="K343" s="560">
        <v>7.1122675861475873E-3</v>
      </c>
      <c r="L343" s="560">
        <v>7.7430465503559682E-3</v>
      </c>
      <c r="M343" s="560">
        <v>8.3941268327729149E-3</v>
      </c>
      <c r="N343" s="72"/>
    </row>
    <row r="344" spans="1:14" ht="15" customHeight="1">
      <c r="D344" s="72"/>
      <c r="E344" s="553" t="s">
        <v>792</v>
      </c>
      <c r="F344" s="560" cm="1">
        <f t="array" ref="F344:M344">INDEX(SF_PARTICIPACION_ENERGETICOS_USOS_TERMICOS_PETROLEO,CALIDO_SECO,0)*INDEX(SF_CONSUMO_TOTAL_ENERGIA_USOS_TERMICOS,CALIDO_SECO,0)*(1-INDEX(ST_PORCENTAJE_REDUCCION_POR_EFICIENCIA_TERMICA,CALIDO_SECO,0))</f>
        <v>3.7870561121453195E-3</v>
      </c>
      <c r="G344" s="560">
        <v>4.3953613147165588E-3</v>
      </c>
      <c r="H344" s="560">
        <v>5.2250226754040003E-3</v>
      </c>
      <c r="I344" s="560">
        <v>5.8987948471771121E-3</v>
      </c>
      <c r="J344" s="560">
        <v>6.497000150603084E-3</v>
      </c>
      <c r="K344" s="560">
        <v>7.1122675861475873E-3</v>
      </c>
      <c r="L344" s="560">
        <v>7.7430465503559682E-3</v>
      </c>
      <c r="M344" s="560">
        <v>8.3941268327729149E-3</v>
      </c>
      <c r="N344" s="72"/>
    </row>
    <row r="345" spans="1:14" ht="15" customHeight="1">
      <c r="D345" s="72"/>
      <c r="E345" s="553" t="s">
        <v>793</v>
      </c>
      <c r="F345" s="560" cm="1">
        <f t="array" ref="F345:M345">INDEX(SF_PARTICIPACION_ENERGETICOS_USOS_TERMICOS_PETROLEO,CALIDO_HUMEDO,0)*INDEX(SF_CONSUMO_TOTAL_ENERGIA_USOS_TERMICOS,CALIDO_HUMEDO,0)*(1-INDEX(ST_PORCENTAJE_REDUCCION_POR_EFICIENCIA_TERMICA,CALIDO_HUMEDO,0))</f>
        <v>3.7870561121453195E-3</v>
      </c>
      <c r="G345" s="560">
        <v>4.3953613147165588E-3</v>
      </c>
      <c r="H345" s="560">
        <v>5.2250226754040003E-3</v>
      </c>
      <c r="I345" s="560">
        <v>5.8987948471771121E-3</v>
      </c>
      <c r="J345" s="560">
        <v>6.497000150603084E-3</v>
      </c>
      <c r="K345" s="560">
        <v>7.1122675861475873E-3</v>
      </c>
      <c r="L345" s="560">
        <v>7.7430465503559682E-3</v>
      </c>
      <c r="M345" s="560">
        <v>8.3941268327729149E-3</v>
      </c>
      <c r="N345" s="72"/>
    </row>
    <row r="346" spans="1:14" ht="15" customHeight="1">
      <c r="D346" s="72"/>
      <c r="E346" s="554" t="s">
        <v>1714</v>
      </c>
      <c r="F346" s="561">
        <f>SUM(F342:F345)</f>
        <v>1.5148224448581278E-2</v>
      </c>
      <c r="G346" s="561">
        <f t="shared" ref="G346:M346" si="5">SUM(G342:G345)</f>
        <v>1.7581445258866235E-2</v>
      </c>
      <c r="H346" s="561">
        <f t="shared" si="5"/>
        <v>2.0900090701616001E-2</v>
      </c>
      <c r="I346" s="561">
        <f t="shared" si="5"/>
        <v>2.3595179388708448E-2</v>
      </c>
      <c r="J346" s="561">
        <f t="shared" si="5"/>
        <v>2.5988000602412336E-2</v>
      </c>
      <c r="K346" s="561">
        <f t="shared" si="5"/>
        <v>2.8449070344590349E-2</v>
      </c>
      <c r="L346" s="561">
        <f t="shared" si="5"/>
        <v>3.0972186201423873E-2</v>
      </c>
      <c r="M346" s="561">
        <f t="shared" si="5"/>
        <v>3.357650733109166E-2</v>
      </c>
      <c r="N346" s="72"/>
    </row>
    <row r="347" spans="1:14" ht="15" customHeight="1">
      <c r="D347" s="72"/>
      <c r="E347" s="72"/>
      <c r="F347" s="72"/>
      <c r="G347" s="72"/>
      <c r="H347" s="72"/>
      <c r="I347" s="72"/>
      <c r="J347" s="72"/>
      <c r="K347" s="72"/>
      <c r="L347" s="72"/>
      <c r="M347" s="72"/>
      <c r="N347" s="72"/>
    </row>
    <row r="348" spans="1:14" ht="15" customHeight="1">
      <c r="D348" s="72"/>
      <c r="E348" s="71" t="s">
        <v>498</v>
      </c>
      <c r="F348" s="72"/>
      <c r="G348" s="72"/>
      <c r="H348" s="72"/>
      <c r="I348" s="72"/>
      <c r="J348" s="72"/>
      <c r="K348" s="72"/>
      <c r="L348" s="72"/>
      <c r="M348" s="556" t="s">
        <v>9</v>
      </c>
      <c r="N348" s="72"/>
    </row>
    <row r="349" spans="1:14" s="72" customFormat="1" ht="15" customHeight="1">
      <c r="A349" s="663"/>
      <c r="B349" s="667"/>
      <c r="C349" s="3"/>
      <c r="E349" s="550" t="s">
        <v>789</v>
      </c>
      <c r="F349" s="551">
        <v>2018</v>
      </c>
      <c r="G349" s="551">
        <v>2020</v>
      </c>
      <c r="H349" s="551">
        <v>2025</v>
      </c>
      <c r="I349" s="551">
        <v>2030</v>
      </c>
      <c r="J349" s="551">
        <v>2035</v>
      </c>
      <c r="K349" s="551">
        <v>2040</v>
      </c>
      <c r="L349" s="551">
        <v>2045</v>
      </c>
      <c r="M349" s="551">
        <v>2050</v>
      </c>
    </row>
    <row r="350" spans="1:14" s="72" customFormat="1" ht="15" customHeight="1">
      <c r="A350" s="663"/>
      <c r="B350" s="667"/>
      <c r="E350" s="553" t="s">
        <v>795</v>
      </c>
      <c r="F350" s="560" cm="1">
        <f t="array" ref="F350:M350">INDEX(SF_PARTICIPACION_ENERGETICOS_USOS_TERMICOS_GLP,FRIO,0)*INDEX(SF_CONSUMO_TOTAL_ENERGIA_USOS_TERMICOS,FRIO,0)*(1-INDEX(ST_PORCENTAJE_REDUCCION_POR_EFICIENCIA_TERMICA,FRIO,0))</f>
        <v>1.0183486252780996E-2</v>
      </c>
      <c r="G350" s="560">
        <v>1.1819233779207333E-2</v>
      </c>
      <c r="H350" s="560">
        <v>1.4050213413738863E-2</v>
      </c>
      <c r="I350" s="560">
        <v>1.586200321710423E-2</v>
      </c>
      <c r="J350" s="560">
        <v>1.7470591868389968E-2</v>
      </c>
      <c r="K350" s="560">
        <v>1.9125061009091969E-2</v>
      </c>
      <c r="L350" s="560">
        <v>2.0821241028701039E-2</v>
      </c>
      <c r="M350" s="560">
        <v>2.257201178812715E-2</v>
      </c>
    </row>
    <row r="351" spans="1:14" s="72" customFormat="1" ht="15" customHeight="1">
      <c r="A351" s="663"/>
      <c r="B351" s="667"/>
      <c r="E351" s="553" t="s">
        <v>791</v>
      </c>
      <c r="F351" s="560" cm="1">
        <f t="array" ref="F351:M351">INDEX(SF_PARTICIPACION_ENERGETICOS_USOS_TERMICOS_GLP,TEMPLADO,0)*INDEX(SF_CONSUMO_TOTAL_ENERGIA_USOS_TERMICOS,TEMPLADO,0)*(1-INDEX(ST_PORCENTAJE_REDUCCION_POR_EFICIENCIA_TERMICA,TEMPLADO,0))</f>
        <v>1.0183486252780996E-2</v>
      </c>
      <c r="G351" s="560">
        <v>1.1819233779207333E-2</v>
      </c>
      <c r="H351" s="560">
        <v>1.4050213413738863E-2</v>
      </c>
      <c r="I351" s="560">
        <v>1.586200321710423E-2</v>
      </c>
      <c r="J351" s="560">
        <v>1.7470591868389968E-2</v>
      </c>
      <c r="K351" s="560">
        <v>1.9125061009091969E-2</v>
      </c>
      <c r="L351" s="560">
        <v>2.0821241028701039E-2</v>
      </c>
      <c r="M351" s="560">
        <v>2.257201178812715E-2</v>
      </c>
    </row>
    <row r="352" spans="1:14" s="72" customFormat="1" ht="15" customHeight="1">
      <c r="A352" s="663"/>
      <c r="B352" s="667"/>
      <c r="E352" s="553" t="s">
        <v>792</v>
      </c>
      <c r="F352" s="560" cm="1">
        <f t="array" ref="F352:M352">INDEX(SF_PARTICIPACION_ENERGETICOS_USOS_TERMICOS_GLP,CALIDO_SECO,0)*INDEX(SF_CONSUMO_TOTAL_ENERGIA_USOS_TERMICOS,CALIDO_SECO,0)*(1-INDEX(ST_PORCENTAJE_REDUCCION_POR_EFICIENCIA_TERMICA,CALIDO_SECO,0))</f>
        <v>1.0183486252780996E-2</v>
      </c>
      <c r="G352" s="560">
        <v>1.1819233779207333E-2</v>
      </c>
      <c r="H352" s="560">
        <v>1.4050213413738863E-2</v>
      </c>
      <c r="I352" s="560">
        <v>1.586200321710423E-2</v>
      </c>
      <c r="J352" s="560">
        <v>1.7470591868389968E-2</v>
      </c>
      <c r="K352" s="560">
        <v>1.9125061009091969E-2</v>
      </c>
      <c r="L352" s="560">
        <v>2.0821241028701039E-2</v>
      </c>
      <c r="M352" s="560">
        <v>2.257201178812715E-2</v>
      </c>
    </row>
    <row r="353" spans="1:14" s="72" customFormat="1" ht="15" customHeight="1">
      <c r="A353" s="663"/>
      <c r="B353" s="667"/>
      <c r="E353" s="553" t="s">
        <v>793</v>
      </c>
      <c r="F353" s="560" cm="1">
        <f t="array" ref="F353:M353">INDEX(SF_PARTICIPACION_ENERGETICOS_USOS_TERMICOS_GLP,CALIDO_HUMEDO,0)*INDEX(SF_CONSUMO_TOTAL_ENERGIA_USOS_TERMICOS,CALIDO_HUMEDO,0)*(1-INDEX(ST_PORCENTAJE_REDUCCION_POR_EFICIENCIA_TERMICA,CALIDO_HUMEDO,0))</f>
        <v>1.0183486252780996E-2</v>
      </c>
      <c r="G353" s="560">
        <v>1.1819233779207333E-2</v>
      </c>
      <c r="H353" s="560">
        <v>1.4050213413738863E-2</v>
      </c>
      <c r="I353" s="560">
        <v>1.586200321710423E-2</v>
      </c>
      <c r="J353" s="560">
        <v>1.7470591868389968E-2</v>
      </c>
      <c r="K353" s="560">
        <v>1.9125061009091969E-2</v>
      </c>
      <c r="L353" s="560">
        <v>2.0821241028701039E-2</v>
      </c>
      <c r="M353" s="560">
        <v>2.257201178812715E-2</v>
      </c>
    </row>
    <row r="354" spans="1:14" s="72" customFormat="1" ht="15" customHeight="1">
      <c r="A354" s="663"/>
      <c r="B354" s="667"/>
      <c r="E354" s="554" t="s">
        <v>1714</v>
      </c>
      <c r="F354" s="561">
        <f>SUM(F350:F353)</f>
        <v>4.0733945011123984E-2</v>
      </c>
      <c r="G354" s="561">
        <f t="shared" ref="G354:M354" si="6">SUM(G350:G353)</f>
        <v>4.727693511682933E-2</v>
      </c>
      <c r="H354" s="561">
        <f t="shared" si="6"/>
        <v>5.6200853654955453E-2</v>
      </c>
      <c r="I354" s="561">
        <f t="shared" si="6"/>
        <v>6.344801286841692E-2</v>
      </c>
      <c r="J354" s="561">
        <f t="shared" si="6"/>
        <v>6.9882367473559873E-2</v>
      </c>
      <c r="K354" s="561">
        <f t="shared" si="6"/>
        <v>7.6500244036367876E-2</v>
      </c>
      <c r="L354" s="561">
        <f t="shared" si="6"/>
        <v>8.3284964114804155E-2</v>
      </c>
      <c r="M354" s="561">
        <f t="shared" si="6"/>
        <v>9.0288047152508599E-2</v>
      </c>
    </row>
    <row r="355" spans="1:14" s="72" customFormat="1" ht="15" customHeight="1">
      <c r="A355" s="663"/>
      <c r="B355" s="667"/>
    </row>
    <row r="356" spans="1:14" s="72" customFormat="1" ht="15" customHeight="1">
      <c r="A356" s="663"/>
      <c r="B356" s="667"/>
      <c r="D356" s="2"/>
      <c r="E356" s="2"/>
      <c r="F356" s="3"/>
      <c r="G356" s="3"/>
      <c r="H356" s="3"/>
      <c r="I356" s="3"/>
      <c r="J356" s="3"/>
      <c r="K356" s="3"/>
      <c r="L356" s="3"/>
      <c r="M356" s="3"/>
      <c r="N356" s="3"/>
    </row>
    <row r="357" spans="1:14" s="72" customFormat="1" ht="15" customHeight="1">
      <c r="A357" s="663"/>
      <c r="B357" s="667"/>
      <c r="D357" s="2"/>
      <c r="M357" s="556" t="s">
        <v>9</v>
      </c>
      <c r="N357" s="3"/>
    </row>
    <row r="358" spans="1:14" s="72" customFormat="1" ht="15" customHeight="1">
      <c r="A358" s="663"/>
      <c r="B358" s="667"/>
      <c r="D358" s="2"/>
      <c r="E358" s="3"/>
      <c r="F358" s="551">
        <v>2018</v>
      </c>
      <c r="G358" s="551">
        <v>2020</v>
      </c>
      <c r="H358" s="551">
        <v>2025</v>
      </c>
      <c r="I358" s="551">
        <v>2030</v>
      </c>
      <c r="J358" s="551">
        <v>2035</v>
      </c>
      <c r="K358" s="551">
        <v>2040</v>
      </c>
      <c r="L358" s="551">
        <v>2045</v>
      </c>
      <c r="M358" s="551">
        <v>2050</v>
      </c>
      <c r="N358" s="3"/>
    </row>
    <row r="359" spans="1:14" s="72" customFormat="1" ht="15" customHeight="1">
      <c r="A359" s="663"/>
      <c r="B359" s="667"/>
      <c r="D359" s="2"/>
      <c r="E359" s="554" t="s">
        <v>1626</v>
      </c>
      <c r="F359" s="561" cm="1">
        <f t="array" ref="F359:M359">F338:M338+F346:M346+F354:M354</f>
        <v>0.27857954229829995</v>
      </c>
      <c r="G359" s="561">
        <v>0.32332706646793052</v>
      </c>
      <c r="H359" s="561">
        <v>0.38435776558581808</v>
      </c>
      <c r="I359" s="561">
        <v>0.43392110388014893</v>
      </c>
      <c r="J359" s="561">
        <v>0.47792566961509464</v>
      </c>
      <c r="K359" s="561">
        <v>0.52318534243466042</v>
      </c>
      <c r="L359" s="561">
        <v>0.5695860584359399</v>
      </c>
      <c r="M359" s="561">
        <v>0.61748015921080834</v>
      </c>
      <c r="N359" s="3"/>
    </row>
    <row r="360" spans="1:14" s="72" customFormat="1" ht="15" customHeight="1">
      <c r="A360" s="663"/>
      <c r="B360" s="667"/>
      <c r="D360" s="3"/>
      <c r="E360" s="3"/>
      <c r="F360" s="3"/>
      <c r="G360" s="3"/>
      <c r="H360" s="3"/>
      <c r="I360" s="3"/>
      <c r="J360" s="3"/>
      <c r="K360" s="3"/>
      <c r="L360" s="3"/>
      <c r="M360" s="3"/>
      <c r="N360" s="3"/>
    </row>
    <row r="361" spans="1:14" s="72" customFormat="1" ht="15" customHeight="1">
      <c r="A361" s="663"/>
      <c r="B361" s="667"/>
      <c r="D361" s="3"/>
      <c r="E361" s="3"/>
      <c r="F361" s="3"/>
      <c r="G361" s="3"/>
      <c r="H361" s="3"/>
      <c r="I361" s="3"/>
      <c r="J361" s="3"/>
      <c r="K361" s="3"/>
      <c r="L361" s="3"/>
      <c r="M361" s="3"/>
      <c r="N361" s="3"/>
    </row>
    <row r="362" spans="1:14" s="72" customFormat="1" ht="15" customHeight="1">
      <c r="A362" s="663"/>
      <c r="B362" s="667"/>
      <c r="D362" s="2" t="s">
        <v>2115</v>
      </c>
      <c r="E362" s="2" t="s">
        <v>2233</v>
      </c>
      <c r="F362" s="3"/>
      <c r="G362" s="3"/>
      <c r="H362" s="3"/>
      <c r="I362" s="3"/>
      <c r="J362" s="3"/>
      <c r="K362" s="3"/>
      <c r="L362" s="3"/>
      <c r="M362" s="3"/>
      <c r="N362" s="3"/>
    </row>
    <row r="363" spans="1:14" s="72" customFormat="1" ht="15" customHeight="1">
      <c r="A363" s="663"/>
      <c r="B363" s="667"/>
      <c r="D363" s="3"/>
      <c r="E363" s="3"/>
      <c r="F363" s="3"/>
      <c r="G363" s="3"/>
      <c r="H363" s="3"/>
      <c r="I363" s="3"/>
      <c r="J363" s="3"/>
      <c r="K363" s="3"/>
      <c r="L363" s="3"/>
      <c r="M363" s="3"/>
      <c r="N363" s="3"/>
    </row>
    <row r="364" spans="1:14" s="72" customFormat="1" ht="15" customHeight="1">
      <c r="A364" s="663"/>
      <c r="B364" s="667"/>
      <c r="D364" s="3"/>
      <c r="E364" s="71" t="s">
        <v>2224</v>
      </c>
      <c r="N364" s="3"/>
    </row>
    <row r="365" spans="1:14" s="72" customFormat="1" ht="15" customHeight="1">
      <c r="A365" s="663"/>
      <c r="B365" s="667"/>
      <c r="D365" s="3"/>
      <c r="E365" s="550"/>
      <c r="F365" s="551">
        <v>2018</v>
      </c>
      <c r="G365" s="551">
        <v>2020</v>
      </c>
      <c r="H365" s="551">
        <v>2025</v>
      </c>
      <c r="I365" s="551">
        <v>2030</v>
      </c>
      <c r="J365" s="551">
        <v>2035</v>
      </c>
      <c r="K365" s="551">
        <v>2040</v>
      </c>
      <c r="L365" s="551">
        <v>2045</v>
      </c>
      <c r="M365" s="551">
        <v>2050</v>
      </c>
      <c r="N365" s="3"/>
    </row>
    <row r="366" spans="1:14" s="72" customFormat="1" ht="15" customHeight="1">
      <c r="A366" s="663"/>
      <c r="B366" s="667"/>
      <c r="D366" s="3"/>
      <c r="E366" s="553" t="s">
        <v>513</v>
      </c>
      <c r="F366" s="563" cm="1">
        <f t="array" ref="F366:M366">F338:M338</f>
        <v>0.22269737283859467</v>
      </c>
      <c r="G366" s="563">
        <v>0.25846868609223494</v>
      </c>
      <c r="H366" s="563">
        <v>0.30725682122924658</v>
      </c>
      <c r="I366" s="563">
        <v>0.3468779116230235</v>
      </c>
      <c r="J366" s="563">
        <v>0.38205530153912243</v>
      </c>
      <c r="K366" s="563">
        <v>0.41823602805370219</v>
      </c>
      <c r="L366" s="563">
        <v>0.45532890811971188</v>
      </c>
      <c r="M366" s="563">
        <v>0.49361560472720811</v>
      </c>
      <c r="N366" s="3"/>
    </row>
    <row r="367" spans="1:14" s="72" customFormat="1" ht="15" customHeight="1">
      <c r="A367" s="663"/>
      <c r="B367" s="667"/>
      <c r="D367" s="3"/>
      <c r="E367" s="553" t="s">
        <v>591</v>
      </c>
      <c r="F367" s="563" cm="1">
        <f t="array" ref="F367:M367">F346:M346</f>
        <v>1.5148224448581278E-2</v>
      </c>
      <c r="G367" s="563">
        <v>1.7581445258866235E-2</v>
      </c>
      <c r="H367" s="563">
        <v>2.0900090701616001E-2</v>
      </c>
      <c r="I367" s="563">
        <v>2.3595179388708448E-2</v>
      </c>
      <c r="J367" s="563">
        <v>2.5988000602412336E-2</v>
      </c>
      <c r="K367" s="563">
        <v>2.8449070344590349E-2</v>
      </c>
      <c r="L367" s="563">
        <v>3.0972186201423873E-2</v>
      </c>
      <c r="M367" s="563">
        <v>3.357650733109166E-2</v>
      </c>
      <c r="N367" s="3"/>
    </row>
    <row r="368" spans="1:14" s="72" customFormat="1" ht="15" customHeight="1">
      <c r="A368" s="663"/>
      <c r="B368" s="667"/>
      <c r="D368" s="3"/>
      <c r="E368" s="553" t="s">
        <v>498</v>
      </c>
      <c r="F368" s="563" cm="1">
        <f t="array" ref="F368:M368">F354:M354</f>
        <v>4.0733945011123984E-2</v>
      </c>
      <c r="G368" s="563">
        <v>4.727693511682933E-2</v>
      </c>
      <c r="H368" s="563">
        <v>5.6200853654955453E-2</v>
      </c>
      <c r="I368" s="563">
        <v>6.344801286841692E-2</v>
      </c>
      <c r="J368" s="563">
        <v>6.9882367473559873E-2</v>
      </c>
      <c r="K368" s="563">
        <v>7.6500244036367876E-2</v>
      </c>
      <c r="L368" s="563">
        <v>8.3284964114804155E-2</v>
      </c>
      <c r="M368" s="563">
        <v>9.0288047152508599E-2</v>
      </c>
      <c r="N368" s="3"/>
    </row>
    <row r="369" spans="1:14" s="72" customFormat="1" ht="15" customHeight="1">
      <c r="A369" s="663"/>
      <c r="B369" s="667"/>
      <c r="D369" s="3"/>
      <c r="E369" s="554" t="s">
        <v>1714</v>
      </c>
      <c r="F369" s="1327">
        <f t="shared" ref="F369:M369" si="7">SUM(F366:F368)</f>
        <v>0.27857954229829995</v>
      </c>
      <c r="G369" s="1327">
        <f t="shared" si="7"/>
        <v>0.32332706646793052</v>
      </c>
      <c r="H369" s="1327">
        <f t="shared" si="7"/>
        <v>0.38435776558581808</v>
      </c>
      <c r="I369" s="1327">
        <f t="shared" si="7"/>
        <v>0.43392110388014893</v>
      </c>
      <c r="J369" s="1327">
        <f t="shared" si="7"/>
        <v>0.47792566961509464</v>
      </c>
      <c r="K369" s="1327">
        <f t="shared" si="7"/>
        <v>0.52318534243466042</v>
      </c>
      <c r="L369" s="1327">
        <f t="shared" si="7"/>
        <v>0.5695860584359399</v>
      </c>
      <c r="M369" s="1327">
        <f t="shared" si="7"/>
        <v>0.61748015921080834</v>
      </c>
      <c r="N369" s="3"/>
    </row>
    <row r="370" spans="1:14" s="72" customFormat="1" ht="15" customHeight="1">
      <c r="A370" s="663"/>
      <c r="B370" s="667"/>
      <c r="D370" s="3"/>
      <c r="E370" s="3"/>
      <c r="F370" s="3"/>
      <c r="G370" s="3"/>
      <c r="H370" s="3"/>
      <c r="I370" s="3"/>
      <c r="J370" s="3"/>
      <c r="K370" s="3"/>
      <c r="L370" s="3"/>
      <c r="M370" s="3"/>
      <c r="N370" s="3"/>
    </row>
    <row r="371" spans="1:14" s="72" customFormat="1" ht="15" customHeight="1">
      <c r="A371" s="663"/>
      <c r="B371" s="667"/>
      <c r="D371" s="3"/>
      <c r="E371" s="3"/>
      <c r="F371" s="3"/>
      <c r="G371" s="3"/>
      <c r="H371" s="3"/>
      <c r="I371" s="3"/>
      <c r="J371" s="3"/>
      <c r="K371" s="3"/>
      <c r="L371" s="3"/>
      <c r="M371" s="3"/>
      <c r="N371" s="3"/>
    </row>
    <row r="372" spans="1:14" s="72" customFormat="1" ht="15" customHeight="1">
      <c r="A372" s="663"/>
      <c r="B372" s="667"/>
      <c r="D372" s="2"/>
      <c r="E372" s="2" t="s">
        <v>2234</v>
      </c>
      <c r="F372" s="3"/>
      <c r="G372" s="3"/>
      <c r="H372" s="3"/>
      <c r="I372" s="3"/>
      <c r="J372" s="3"/>
      <c r="K372" s="3"/>
      <c r="L372" s="3"/>
      <c r="M372" s="3"/>
      <c r="N372" s="3"/>
    </row>
    <row r="373" spans="1:14" s="72" customFormat="1" ht="15" customHeight="1">
      <c r="A373" s="663"/>
      <c r="B373" s="667"/>
      <c r="D373" s="2" t="s">
        <v>2235</v>
      </c>
      <c r="E373" s="2" t="s">
        <v>2236</v>
      </c>
      <c r="F373" s="3"/>
      <c r="G373" s="3"/>
      <c r="H373" s="3"/>
      <c r="I373" s="3"/>
      <c r="J373" s="3"/>
      <c r="K373" s="3"/>
      <c r="L373" s="3"/>
      <c r="M373" s="3"/>
      <c r="N373" s="3"/>
    </row>
    <row r="374" spans="1:14" s="72" customFormat="1" ht="15" customHeight="1">
      <c r="A374" s="663"/>
      <c r="B374" s="667"/>
      <c r="D374" s="3"/>
      <c r="E374" s="3"/>
      <c r="F374" s="3"/>
      <c r="G374" s="3"/>
      <c r="H374" s="3"/>
      <c r="I374" s="3"/>
      <c r="J374" s="3"/>
      <c r="K374" s="3"/>
      <c r="L374" s="3"/>
      <c r="M374" s="3"/>
      <c r="N374" s="3"/>
    </row>
    <row r="375" spans="1:14" s="72" customFormat="1" ht="15" customHeight="1">
      <c r="A375" s="663"/>
      <c r="B375" s="667"/>
      <c r="E375" s="71" t="s">
        <v>294</v>
      </c>
      <c r="M375" s="1277" t="s">
        <v>9</v>
      </c>
    </row>
    <row r="376" spans="1:14" s="72" customFormat="1" ht="15" customHeight="1">
      <c r="A376" s="663"/>
      <c r="B376" s="667"/>
      <c r="E376" s="550" t="s">
        <v>789</v>
      </c>
      <c r="F376" s="551">
        <v>2018</v>
      </c>
      <c r="G376" s="551">
        <v>2020</v>
      </c>
      <c r="H376" s="551">
        <v>2025</v>
      </c>
      <c r="I376" s="551">
        <v>2030</v>
      </c>
      <c r="J376" s="551">
        <v>2035</v>
      </c>
      <c r="K376" s="551">
        <v>2040</v>
      </c>
      <c r="L376" s="551">
        <v>2045</v>
      </c>
      <c r="M376" s="551">
        <v>2050</v>
      </c>
    </row>
    <row r="377" spans="1:14" s="72" customFormat="1" ht="15" customHeight="1">
      <c r="A377" s="663"/>
      <c r="B377" s="667"/>
      <c r="E377" s="553" t="s">
        <v>795</v>
      </c>
      <c r="F377" s="560" cm="1">
        <f t="array" ref="F377:M377">INDEX(SF_CONSUMO_TOTAL_ENERGIA_EQUIPAMIENTO,FRIO,0)*INDEX(SF_PARTICIPACION_ENERGETICOS_EN_EQUIPAMIENTO_ELECTRICIDAD,FRIO,0)</f>
        <v>0.12611349511505321</v>
      </c>
      <c r="G377" s="560">
        <v>0.14637078545382007</v>
      </c>
      <c r="H377" s="560">
        <v>0.17399950043975521</v>
      </c>
      <c r="I377" s="560">
        <v>0.19643691910409855</v>
      </c>
      <c r="J377" s="560">
        <v>0.21635787072915302</v>
      </c>
      <c r="K377" s="560">
        <v>0.23684701174772496</v>
      </c>
      <c r="L377" s="560">
        <v>0.2578527052113766</v>
      </c>
      <c r="M377" s="560">
        <v>0.27953445683706984</v>
      </c>
    </row>
    <row r="378" spans="1:14" s="72" customFormat="1" ht="15" customHeight="1">
      <c r="A378" s="663"/>
      <c r="B378" s="667"/>
      <c r="E378" s="553" t="s">
        <v>791</v>
      </c>
      <c r="F378" s="560" cm="1">
        <f t="array" ref="F378:M378">INDEX(SF_CONSUMO_TOTAL_ENERGIA_EQUIPAMIENTO,TEMPLADO,0)*INDEX(SF_PARTICIPACION_ENERGETICOS_EN_EQUIPAMIENTO_ELECTRICIDAD,TEMPLADO,0)</f>
        <v>0.12611349511505321</v>
      </c>
      <c r="G378" s="560">
        <v>0.14637078545382007</v>
      </c>
      <c r="H378" s="560">
        <v>0.17399950043975521</v>
      </c>
      <c r="I378" s="560">
        <v>0.19643691910409855</v>
      </c>
      <c r="J378" s="560">
        <v>0.21635787072915302</v>
      </c>
      <c r="K378" s="560">
        <v>0.23684701174772496</v>
      </c>
      <c r="L378" s="560">
        <v>0.2578527052113766</v>
      </c>
      <c r="M378" s="560">
        <v>0.27953445683706984</v>
      </c>
    </row>
    <row r="379" spans="1:14" s="72" customFormat="1" ht="15" customHeight="1">
      <c r="A379" s="663"/>
      <c r="B379" s="667"/>
      <c r="E379" s="553" t="s">
        <v>792</v>
      </c>
      <c r="F379" s="560" cm="1">
        <f t="array" ref="F379:M379">INDEX(SF_CONSUMO_TOTAL_ENERGIA_EQUIPAMIENTO,CALIDO_SECO,0)*INDEX(SF_PARTICIPACION_ENERGETICOS_EN_EQUIPAMIENTO_ELECTRICIDAD,CALIDO_SECO,0)</f>
        <v>0.12611349511505321</v>
      </c>
      <c r="G379" s="560">
        <v>0.14637078545382007</v>
      </c>
      <c r="H379" s="560">
        <v>0.17399950043975521</v>
      </c>
      <c r="I379" s="560">
        <v>0.19643691910409855</v>
      </c>
      <c r="J379" s="560">
        <v>0.21635787072915302</v>
      </c>
      <c r="K379" s="560">
        <v>0.23684701174772496</v>
      </c>
      <c r="L379" s="560">
        <v>0.2578527052113766</v>
      </c>
      <c r="M379" s="560">
        <v>0.27953445683706984</v>
      </c>
    </row>
    <row r="380" spans="1:14" ht="15" customHeight="1">
      <c r="C380" s="72"/>
      <c r="D380" s="72"/>
      <c r="E380" s="553" t="s">
        <v>793</v>
      </c>
      <c r="F380" s="560" cm="1">
        <f t="array" ref="F380:M380">INDEX(SF_CONSUMO_TOTAL_ENERGIA_EQUIPAMIENTO,CALIDO_HUMEDO,0)*INDEX(SF_PARTICIPACION_ENERGETICOS_EN_EQUIPAMIENTO_ELECTRICIDAD,CALIDO_HUMEDO,0)</f>
        <v>0.12611349511505321</v>
      </c>
      <c r="G380" s="560">
        <v>0.14637078545382007</v>
      </c>
      <c r="H380" s="560">
        <v>0.17399950043975521</v>
      </c>
      <c r="I380" s="560">
        <v>0.19643691910409855</v>
      </c>
      <c r="J380" s="560">
        <v>0.21635787072915302</v>
      </c>
      <c r="K380" s="560">
        <v>0.23684701174772496</v>
      </c>
      <c r="L380" s="560">
        <v>0.2578527052113766</v>
      </c>
      <c r="M380" s="560">
        <v>0.27953445683706984</v>
      </c>
      <c r="N380" s="72"/>
    </row>
    <row r="381" spans="1:14" ht="15" customHeight="1">
      <c r="D381" s="72"/>
      <c r="E381" s="554" t="s">
        <v>1714</v>
      </c>
      <c r="F381" s="561">
        <f>SUM(F377:F380)</f>
        <v>0.50445398046021284</v>
      </c>
      <c r="G381" s="561">
        <f t="shared" ref="G381:M381" si="8">SUM(G377:G380)</f>
        <v>0.58548314181528027</v>
      </c>
      <c r="H381" s="561">
        <f t="shared" si="8"/>
        <v>0.69599800175902082</v>
      </c>
      <c r="I381" s="561">
        <f t="shared" si="8"/>
        <v>0.7857476764163942</v>
      </c>
      <c r="J381" s="561">
        <f t="shared" si="8"/>
        <v>0.86543148291661209</v>
      </c>
      <c r="K381" s="561">
        <f t="shared" si="8"/>
        <v>0.94738804699089985</v>
      </c>
      <c r="L381" s="561">
        <f t="shared" si="8"/>
        <v>1.0314108208455064</v>
      </c>
      <c r="M381" s="561">
        <f t="shared" si="8"/>
        <v>1.1181378273482794</v>
      </c>
      <c r="N381" s="72"/>
    </row>
    <row r="382" spans="1:14" ht="15" customHeight="1">
      <c r="D382" s="72"/>
      <c r="E382" s="72"/>
      <c r="F382" s="72"/>
      <c r="G382" s="72"/>
      <c r="H382" s="72"/>
      <c r="I382" s="72"/>
      <c r="J382" s="72"/>
      <c r="K382" s="72"/>
      <c r="L382" s="72"/>
      <c r="M382" s="72"/>
      <c r="N382" s="72"/>
    </row>
    <row r="383" spans="1:14" ht="15" customHeight="1">
      <c r="D383" s="72"/>
      <c r="E383" s="71" t="s">
        <v>502</v>
      </c>
      <c r="F383" s="72"/>
      <c r="G383" s="72"/>
      <c r="H383" s="72"/>
      <c r="I383" s="72"/>
      <c r="J383" s="72"/>
      <c r="K383" s="72"/>
      <c r="L383" s="72"/>
      <c r="M383" s="1277" t="s">
        <v>9</v>
      </c>
      <c r="N383" s="72"/>
    </row>
    <row r="384" spans="1:14" ht="15" customHeight="1">
      <c r="D384" s="72"/>
      <c r="E384" s="550" t="s">
        <v>789</v>
      </c>
      <c r="F384" s="551">
        <v>2018</v>
      </c>
      <c r="G384" s="551">
        <v>2020</v>
      </c>
      <c r="H384" s="551">
        <v>2025</v>
      </c>
      <c r="I384" s="551">
        <v>2030</v>
      </c>
      <c r="J384" s="551">
        <v>2035</v>
      </c>
      <c r="K384" s="551">
        <v>2040</v>
      </c>
      <c r="L384" s="551">
        <v>2045</v>
      </c>
      <c r="M384" s="551">
        <v>2050</v>
      </c>
      <c r="N384" s="72"/>
    </row>
    <row r="385" spans="4:14" ht="15" customHeight="1">
      <c r="D385" s="72"/>
      <c r="E385" s="553" t="s">
        <v>795</v>
      </c>
      <c r="F385" s="560" cm="1">
        <f t="array" ref="F385:M385">INDEX(SF_CONSUMO_TOTAL_ENERGIA_EQUIPAMIENTO,FRIO,0)*INDEX(SF_PARTICIPACION_ENERGETICOS_EN_EQUIPAMIENTO_QUEROSENO,FRIO,0)</f>
        <v>3.7732010288081962E-3</v>
      </c>
      <c r="G385" s="560">
        <v>4.37928072454076E-3</v>
      </c>
      <c r="H385" s="560">
        <v>5.20590673878668E-3</v>
      </c>
      <c r="I385" s="560">
        <v>5.8772138904191317E-3</v>
      </c>
      <c r="J385" s="560">
        <v>6.4732306378569903E-3</v>
      </c>
      <c r="K385" s="560">
        <v>7.0862470949787622E-3</v>
      </c>
      <c r="L385" s="560">
        <v>7.7147183312693095E-3</v>
      </c>
      <c r="M385" s="560">
        <v>8.3634166126530154E-3</v>
      </c>
      <c r="N385" s="72"/>
    </row>
    <row r="386" spans="4:14" ht="15" customHeight="1">
      <c r="D386" s="72"/>
      <c r="E386" s="553" t="s">
        <v>791</v>
      </c>
      <c r="F386" s="560" cm="1">
        <f t="array" ref="F386:M386">INDEX(SF_CONSUMO_TOTAL_ENERGIA_EQUIPAMIENTO,TEMPLADO,0)*INDEX(SF_PARTICIPACION_ENERGETICOS_EN_EQUIPAMIENTO_QUEROSENO,TEMPLADO,0)</f>
        <v>3.7732010288081962E-3</v>
      </c>
      <c r="G386" s="560">
        <v>4.37928072454076E-3</v>
      </c>
      <c r="H386" s="560">
        <v>5.20590673878668E-3</v>
      </c>
      <c r="I386" s="560">
        <v>5.8772138904191317E-3</v>
      </c>
      <c r="J386" s="560">
        <v>6.4732306378569903E-3</v>
      </c>
      <c r="K386" s="560">
        <v>7.0862470949787622E-3</v>
      </c>
      <c r="L386" s="560">
        <v>7.7147183312693095E-3</v>
      </c>
      <c r="M386" s="560">
        <v>8.3634166126530154E-3</v>
      </c>
      <c r="N386" s="72"/>
    </row>
    <row r="387" spans="4:14" ht="15" customHeight="1">
      <c r="D387" s="72"/>
      <c r="E387" s="553" t="s">
        <v>792</v>
      </c>
      <c r="F387" s="560" cm="1">
        <f t="array" ref="F387:M387">INDEX(SF_CONSUMO_TOTAL_ENERGIA_EQUIPAMIENTO,CALIDO_SECO,0)*INDEX(SF_PARTICIPACION_ENERGETICOS_EN_EQUIPAMIENTO_QUEROSENO,CALIDO_SECO,0)</f>
        <v>3.7732010288081962E-3</v>
      </c>
      <c r="G387" s="560">
        <v>4.37928072454076E-3</v>
      </c>
      <c r="H387" s="560">
        <v>5.20590673878668E-3</v>
      </c>
      <c r="I387" s="560">
        <v>5.8772138904191317E-3</v>
      </c>
      <c r="J387" s="560">
        <v>6.4732306378569903E-3</v>
      </c>
      <c r="K387" s="560">
        <v>7.0862470949787622E-3</v>
      </c>
      <c r="L387" s="560">
        <v>7.7147183312693095E-3</v>
      </c>
      <c r="M387" s="560">
        <v>8.3634166126530154E-3</v>
      </c>
      <c r="N387" s="72"/>
    </row>
    <row r="388" spans="4:14" ht="15" customHeight="1">
      <c r="D388" s="72"/>
      <c r="E388" s="553" t="s">
        <v>793</v>
      </c>
      <c r="F388" s="560" cm="1">
        <f t="array" ref="F388:M388">INDEX(SF_CONSUMO_TOTAL_ENERGIA_EQUIPAMIENTO,CALIDO_HUMEDO,0)*INDEX(SF_PARTICIPACION_ENERGETICOS_EN_EQUIPAMIENTO_QUEROSENO,CALIDO_HUMEDO,0)</f>
        <v>3.7732010288081962E-3</v>
      </c>
      <c r="G388" s="560">
        <v>4.37928072454076E-3</v>
      </c>
      <c r="H388" s="560">
        <v>5.20590673878668E-3</v>
      </c>
      <c r="I388" s="560">
        <v>5.8772138904191317E-3</v>
      </c>
      <c r="J388" s="560">
        <v>6.4732306378569903E-3</v>
      </c>
      <c r="K388" s="560">
        <v>7.0862470949787622E-3</v>
      </c>
      <c r="L388" s="560">
        <v>7.7147183312693095E-3</v>
      </c>
      <c r="M388" s="560">
        <v>8.3634166126530154E-3</v>
      </c>
      <c r="N388" s="72"/>
    </row>
    <row r="389" spans="4:14" ht="15" customHeight="1">
      <c r="D389" s="72"/>
      <c r="E389" s="554" t="s">
        <v>1714</v>
      </c>
      <c r="F389" s="561">
        <f>SUM(F385:F388)</f>
        <v>1.5092804115232785E-2</v>
      </c>
      <c r="G389" s="561">
        <f t="shared" ref="G389:M389" si="9">SUM(G385:G388)</f>
        <v>1.751712289816304E-2</v>
      </c>
      <c r="H389" s="561">
        <f t="shared" si="9"/>
        <v>2.082362695514672E-2</v>
      </c>
      <c r="I389" s="561">
        <f t="shared" si="9"/>
        <v>2.3508855561676527E-2</v>
      </c>
      <c r="J389" s="561">
        <f t="shared" si="9"/>
        <v>2.5892922551427961E-2</v>
      </c>
      <c r="K389" s="561">
        <f t="shared" si="9"/>
        <v>2.8344988379915049E-2</v>
      </c>
      <c r="L389" s="561">
        <f t="shared" si="9"/>
        <v>3.0858873325077238E-2</v>
      </c>
      <c r="M389" s="561">
        <f t="shared" si="9"/>
        <v>3.3453666450612062E-2</v>
      </c>
      <c r="N389" s="72"/>
    </row>
    <row r="390" spans="4:14" ht="15" customHeight="1">
      <c r="D390" s="72"/>
      <c r="E390" s="72"/>
      <c r="F390" s="72"/>
      <c r="G390" s="72"/>
      <c r="H390" s="72"/>
      <c r="I390" s="72"/>
      <c r="J390" s="72"/>
      <c r="K390" s="72"/>
      <c r="L390" s="72"/>
      <c r="M390" s="72"/>
      <c r="N390" s="72"/>
    </row>
    <row r="391" spans="4:14" ht="15" customHeight="1">
      <c r="D391" s="72"/>
      <c r="E391" s="71" t="s">
        <v>526</v>
      </c>
      <c r="F391" s="72"/>
      <c r="G391" s="72"/>
      <c r="H391" s="72"/>
      <c r="I391" s="72"/>
      <c r="J391" s="72"/>
      <c r="K391" s="72"/>
      <c r="L391" s="72"/>
      <c r="M391" s="1277" t="s">
        <v>9</v>
      </c>
      <c r="N391" s="72"/>
    </row>
    <row r="392" spans="4:14" ht="15" customHeight="1">
      <c r="D392" s="72"/>
      <c r="E392" s="550" t="s">
        <v>789</v>
      </c>
      <c r="F392" s="551">
        <v>2018</v>
      </c>
      <c r="G392" s="551">
        <v>2020</v>
      </c>
      <c r="H392" s="551">
        <v>2025</v>
      </c>
      <c r="I392" s="551">
        <v>2030</v>
      </c>
      <c r="J392" s="551">
        <v>2035</v>
      </c>
      <c r="K392" s="551">
        <v>2040</v>
      </c>
      <c r="L392" s="551">
        <v>2045</v>
      </c>
      <c r="M392" s="551">
        <v>2050</v>
      </c>
      <c r="N392" s="72"/>
    </row>
    <row r="393" spans="4:14" ht="15" customHeight="1">
      <c r="D393" s="72"/>
      <c r="E393" s="553" t="s">
        <v>795</v>
      </c>
      <c r="F393" s="560" cm="1">
        <f t="array" ref="F393:M393">INDEX(SF_CONSUMO_TOTAL_ENERGIA_EQUIPAMIENTO,FRIO,0)*INDEX(SF_PARTICIPACION_ENERGETICOS_EN_EQUIPAMIENTO_DIESEL,FRIO,0)</f>
        <v>1.9313986171941095E-2</v>
      </c>
      <c r="G393" s="560">
        <v>2.2416342705054406E-2</v>
      </c>
      <c r="H393" s="560">
        <v>2.6647615644560498E-2</v>
      </c>
      <c r="I393" s="560">
        <v>3.0083853720603199E-2</v>
      </c>
      <c r="J393" s="560">
        <v>3.3134700768075794E-2</v>
      </c>
      <c r="K393" s="560">
        <v>3.6272564689352645E-2</v>
      </c>
      <c r="L393" s="560">
        <v>3.9489537406815427E-2</v>
      </c>
      <c r="M393" s="560">
        <v>4.281004684714184E-2</v>
      </c>
      <c r="N393" s="72"/>
    </row>
    <row r="394" spans="4:14" ht="15" customHeight="1">
      <c r="D394" s="72"/>
      <c r="E394" s="553" t="s">
        <v>791</v>
      </c>
      <c r="F394" s="560" cm="1">
        <f t="array" ref="F394:M394">INDEX(SF_CONSUMO_TOTAL_ENERGIA_EQUIPAMIENTO,TEMPLADO,0)*INDEX(SF_PARTICIPACION_ENERGETICOS_EN_EQUIPAMIENTO_DIESEL,TEMPLADO,0)</f>
        <v>1.9313986171941095E-2</v>
      </c>
      <c r="G394" s="560">
        <v>2.2416342705054406E-2</v>
      </c>
      <c r="H394" s="560">
        <v>2.6647615644560498E-2</v>
      </c>
      <c r="I394" s="560">
        <v>3.0083853720603199E-2</v>
      </c>
      <c r="J394" s="560">
        <v>3.3134700768075794E-2</v>
      </c>
      <c r="K394" s="560">
        <v>3.6272564689352645E-2</v>
      </c>
      <c r="L394" s="560">
        <v>3.9489537406815427E-2</v>
      </c>
      <c r="M394" s="560">
        <v>4.281004684714184E-2</v>
      </c>
      <c r="N394" s="72"/>
    </row>
    <row r="395" spans="4:14" ht="15" customHeight="1">
      <c r="D395" s="72"/>
      <c r="E395" s="553" t="s">
        <v>792</v>
      </c>
      <c r="F395" s="560" cm="1">
        <f t="array" ref="F395:M395">INDEX(SF_CONSUMO_TOTAL_ENERGIA_EQUIPAMIENTO,CALIDO_SECO,0)*INDEX(SF_PARTICIPACION_ENERGETICOS_EN_EQUIPAMIENTO_DIESEL,CALIDO_SECO,0)</f>
        <v>1.9313986171941095E-2</v>
      </c>
      <c r="G395" s="560">
        <v>2.2416342705054406E-2</v>
      </c>
      <c r="H395" s="560">
        <v>2.6647615644560498E-2</v>
      </c>
      <c r="I395" s="560">
        <v>3.0083853720603199E-2</v>
      </c>
      <c r="J395" s="560">
        <v>3.3134700768075794E-2</v>
      </c>
      <c r="K395" s="560">
        <v>3.6272564689352645E-2</v>
      </c>
      <c r="L395" s="560">
        <v>3.9489537406815427E-2</v>
      </c>
      <c r="M395" s="560">
        <v>4.281004684714184E-2</v>
      </c>
      <c r="N395" s="72"/>
    </row>
    <row r="396" spans="4:14" ht="15" customHeight="1">
      <c r="D396" s="72"/>
      <c r="E396" s="553" t="s">
        <v>793</v>
      </c>
      <c r="F396" s="560" cm="1">
        <f t="array" ref="F396:M396">INDEX(SF_CONSUMO_TOTAL_ENERGIA_EQUIPAMIENTO,CALIDO_HUMEDO,0)*INDEX(SF_PARTICIPACION_ENERGETICOS_EN_EQUIPAMIENTO_DIESEL,CALIDO_HUMEDO,0)</f>
        <v>1.9313986171941095E-2</v>
      </c>
      <c r="G396" s="560">
        <v>2.2416342705054406E-2</v>
      </c>
      <c r="H396" s="560">
        <v>2.6647615644560498E-2</v>
      </c>
      <c r="I396" s="560">
        <v>3.0083853720603199E-2</v>
      </c>
      <c r="J396" s="560">
        <v>3.3134700768075794E-2</v>
      </c>
      <c r="K396" s="560">
        <v>3.6272564689352645E-2</v>
      </c>
      <c r="L396" s="560">
        <v>3.9489537406815427E-2</v>
      </c>
      <c r="M396" s="560">
        <v>4.281004684714184E-2</v>
      </c>
      <c r="N396" s="72"/>
    </row>
    <row r="397" spans="4:14" ht="15" customHeight="1">
      <c r="D397" s="72"/>
      <c r="E397" s="554" t="s">
        <v>1714</v>
      </c>
      <c r="F397" s="561">
        <f>SUM(F393:F396)</f>
        <v>7.725594468776438E-2</v>
      </c>
      <c r="G397" s="561">
        <f t="shared" ref="G397:M397" si="10">SUM(G393:G396)</f>
        <v>8.9665370820217624E-2</v>
      </c>
      <c r="H397" s="561">
        <f t="shared" si="10"/>
        <v>0.10659046257824199</v>
      </c>
      <c r="I397" s="561">
        <f t="shared" si="10"/>
        <v>0.1203354148824128</v>
      </c>
      <c r="J397" s="561">
        <f t="shared" si="10"/>
        <v>0.13253880307230317</v>
      </c>
      <c r="K397" s="561">
        <f t="shared" si="10"/>
        <v>0.14509025875741058</v>
      </c>
      <c r="L397" s="561">
        <f t="shared" si="10"/>
        <v>0.15795814962726171</v>
      </c>
      <c r="M397" s="561">
        <f t="shared" si="10"/>
        <v>0.17124018738856736</v>
      </c>
      <c r="N397" s="72"/>
    </row>
    <row r="398" spans="4:14" ht="15" customHeight="1">
      <c r="D398" s="72"/>
      <c r="E398" s="72"/>
      <c r="F398" s="72"/>
      <c r="G398" s="72"/>
      <c r="H398" s="72"/>
      <c r="I398" s="72"/>
      <c r="J398" s="72"/>
      <c r="K398" s="72"/>
      <c r="L398" s="72"/>
      <c r="M398" s="72"/>
      <c r="N398" s="72"/>
    </row>
    <row r="399" spans="4:14" ht="15" customHeight="1">
      <c r="D399" s="72"/>
      <c r="E399" s="71" t="s">
        <v>527</v>
      </c>
      <c r="F399" s="72"/>
      <c r="G399" s="72"/>
      <c r="H399" s="72"/>
      <c r="I399" s="72"/>
      <c r="J399" s="72"/>
      <c r="K399" s="72"/>
      <c r="L399" s="72"/>
      <c r="M399" s="1277" t="s">
        <v>9</v>
      </c>
      <c r="N399" s="72"/>
    </row>
    <row r="400" spans="4:14" ht="15" customHeight="1">
      <c r="D400" s="72"/>
      <c r="E400" s="550" t="s">
        <v>789</v>
      </c>
      <c r="F400" s="551">
        <v>2018</v>
      </c>
      <c r="G400" s="551">
        <v>2020</v>
      </c>
      <c r="H400" s="551">
        <v>2025</v>
      </c>
      <c r="I400" s="551">
        <v>2030</v>
      </c>
      <c r="J400" s="551">
        <v>2035</v>
      </c>
      <c r="K400" s="551">
        <v>2040</v>
      </c>
      <c r="L400" s="551">
        <v>2045</v>
      </c>
      <c r="M400" s="551">
        <v>2050</v>
      </c>
      <c r="N400" s="72"/>
    </row>
    <row r="401" spans="4:14" ht="15" customHeight="1">
      <c r="D401" s="72"/>
      <c r="E401" s="553" t="s">
        <v>795</v>
      </c>
      <c r="F401" s="560" cm="1">
        <f t="array" ref="F401:M401">INDEX(SF_CONSUMO_TOTAL_ENERGIA_EQUIPAMIENTO,FRIO,0)*INDEX(SF_PARTICIPACION_ENERGETICOS_EN_EQUIPAMIENTO_FUEL_OIL,FRIO,0)</f>
        <v>3.694688889897867E-5</v>
      </c>
      <c r="G401" s="560">
        <v>4.2881573802112675E-5</v>
      </c>
      <c r="H401" s="560">
        <v>5.0975830979551322E-5</v>
      </c>
      <c r="I401" s="560">
        <v>5.754921802124008E-5</v>
      </c>
      <c r="J401" s="560">
        <v>6.3385367322956967E-5</v>
      </c>
      <c r="K401" s="560">
        <v>6.9387976450220381E-5</v>
      </c>
      <c r="L401" s="560">
        <v>7.5541917564448589E-5</v>
      </c>
      <c r="M401" s="560">
        <v>8.1893920319735808E-5</v>
      </c>
      <c r="N401" s="72"/>
    </row>
    <row r="402" spans="4:14" ht="15" customHeight="1">
      <c r="D402" s="72"/>
      <c r="E402" s="553" t="s">
        <v>791</v>
      </c>
      <c r="F402" s="560" cm="1">
        <f t="array" ref="F402:M402">INDEX(SF_CONSUMO_TOTAL_ENERGIA_EQUIPAMIENTO,TEMPLADO,0)*INDEX(SF_PARTICIPACION_ENERGETICOS_EN_EQUIPAMIENTO_FUEL_OIL,TEMPLADO,0)</f>
        <v>3.694688889897867E-5</v>
      </c>
      <c r="G402" s="560">
        <v>4.2881573802112675E-5</v>
      </c>
      <c r="H402" s="560">
        <v>5.0975830979551322E-5</v>
      </c>
      <c r="I402" s="560">
        <v>5.754921802124008E-5</v>
      </c>
      <c r="J402" s="560">
        <v>6.3385367322956967E-5</v>
      </c>
      <c r="K402" s="560">
        <v>6.9387976450220381E-5</v>
      </c>
      <c r="L402" s="560">
        <v>7.5541917564448589E-5</v>
      </c>
      <c r="M402" s="560">
        <v>8.1893920319735808E-5</v>
      </c>
      <c r="N402" s="72"/>
    </row>
    <row r="403" spans="4:14" ht="15" customHeight="1">
      <c r="D403" s="72"/>
      <c r="E403" s="553" t="s">
        <v>792</v>
      </c>
      <c r="F403" s="560" cm="1">
        <f t="array" ref="F403:M403">INDEX(SF_CONSUMO_TOTAL_ENERGIA_EQUIPAMIENTO,CALIDO_SECO,0)*INDEX(SF_PARTICIPACION_ENERGETICOS_EN_EQUIPAMIENTO_FUEL_OIL,CALIDO_SECO,0)</f>
        <v>3.694688889897867E-5</v>
      </c>
      <c r="G403" s="560">
        <v>4.2881573802112675E-5</v>
      </c>
      <c r="H403" s="560">
        <v>5.0975830979551322E-5</v>
      </c>
      <c r="I403" s="560">
        <v>5.754921802124008E-5</v>
      </c>
      <c r="J403" s="560">
        <v>6.3385367322956967E-5</v>
      </c>
      <c r="K403" s="560">
        <v>6.9387976450220381E-5</v>
      </c>
      <c r="L403" s="560">
        <v>7.5541917564448589E-5</v>
      </c>
      <c r="M403" s="560">
        <v>8.1893920319735808E-5</v>
      </c>
      <c r="N403" s="72"/>
    </row>
    <row r="404" spans="4:14" ht="15" customHeight="1">
      <c r="D404" s="72"/>
      <c r="E404" s="553" t="s">
        <v>793</v>
      </c>
      <c r="F404" s="560" cm="1">
        <f t="array" ref="F404:M404">INDEX(SF_CONSUMO_TOTAL_ENERGIA_EQUIPAMIENTO,CALIDO_HUMEDO,0)*INDEX(SF_PARTICIPACION_ENERGETICOS_EN_EQUIPAMIENTO_FUEL_OIL,CALIDO_HUMEDO,0)</f>
        <v>3.694688889897867E-5</v>
      </c>
      <c r="G404" s="560">
        <v>4.2881573802112675E-5</v>
      </c>
      <c r="H404" s="560">
        <v>5.0975830979551322E-5</v>
      </c>
      <c r="I404" s="560">
        <v>5.754921802124008E-5</v>
      </c>
      <c r="J404" s="560">
        <v>6.3385367322956967E-5</v>
      </c>
      <c r="K404" s="560">
        <v>6.9387976450220381E-5</v>
      </c>
      <c r="L404" s="560">
        <v>7.5541917564448589E-5</v>
      </c>
      <c r="M404" s="560">
        <v>8.1893920319735808E-5</v>
      </c>
      <c r="N404" s="72"/>
    </row>
    <row r="405" spans="4:14" ht="15" customHeight="1">
      <c r="D405" s="72"/>
      <c r="E405" s="554" t="s">
        <v>1714</v>
      </c>
      <c r="F405" s="561">
        <f>SUM(F401:F404)</f>
        <v>1.4778755559591468E-4</v>
      </c>
      <c r="G405" s="561">
        <f t="shared" ref="G405:M405" si="11">SUM(G401:G404)</f>
        <v>1.715262952084507E-4</v>
      </c>
      <c r="H405" s="561">
        <f t="shared" si="11"/>
        <v>2.0390332391820529E-4</v>
      </c>
      <c r="I405" s="561">
        <f t="shared" si="11"/>
        <v>2.3019687208496032E-4</v>
      </c>
      <c r="J405" s="561">
        <f t="shared" si="11"/>
        <v>2.5354146929182787E-4</v>
      </c>
      <c r="K405" s="561">
        <f t="shared" si="11"/>
        <v>2.7755190580088153E-4</v>
      </c>
      <c r="L405" s="561">
        <f t="shared" si="11"/>
        <v>3.0216767025779436E-4</v>
      </c>
      <c r="M405" s="561">
        <f t="shared" si="11"/>
        <v>3.2757568127894323E-4</v>
      </c>
      <c r="N405" s="72"/>
    </row>
    <row r="406" spans="4:14" ht="15" customHeight="1">
      <c r="D406" s="2"/>
      <c r="E406" s="2"/>
    </row>
    <row r="407" spans="4:14" ht="15" customHeight="1">
      <c r="D407" s="2"/>
      <c r="E407" s="2"/>
    </row>
    <row r="408" spans="4:14" ht="15" customHeight="1">
      <c r="D408" s="2" t="s">
        <v>2237</v>
      </c>
      <c r="E408" s="2" t="s">
        <v>2238</v>
      </c>
    </row>
    <row r="410" spans="4:14" ht="15" customHeight="1">
      <c r="E410" s="71" t="s">
        <v>2159</v>
      </c>
      <c r="F410" s="72"/>
      <c r="G410" s="72"/>
      <c r="H410" s="72"/>
      <c r="I410" s="72"/>
      <c r="J410" s="72"/>
      <c r="K410" s="72"/>
      <c r="L410" s="72"/>
      <c r="M410" s="1277" t="s">
        <v>9</v>
      </c>
    </row>
    <row r="411" spans="4:14" ht="15" customHeight="1">
      <c r="E411" s="550" t="s">
        <v>789</v>
      </c>
      <c r="F411" s="551">
        <v>2018</v>
      </c>
      <c r="G411" s="551">
        <v>2020</v>
      </c>
      <c r="H411" s="551">
        <v>2025</v>
      </c>
      <c r="I411" s="551">
        <v>2030</v>
      </c>
      <c r="J411" s="551">
        <v>2035</v>
      </c>
      <c r="K411" s="551">
        <v>2040</v>
      </c>
      <c r="L411" s="551">
        <v>2045</v>
      </c>
      <c r="M411" s="551">
        <v>2050</v>
      </c>
    </row>
    <row r="412" spans="4:14" ht="15" customHeight="1">
      <c r="E412" s="553" t="s">
        <v>795</v>
      </c>
      <c r="F412" s="560" cm="1">
        <f t="array" ref="F412:M412">INDEX(CONSUMO_ELECTRICIDAD_EQUIPAMIENTO,FRIO,0)*INDEX(SF_PARTICIPACION_USOS_EQUIPAMIENTO_ILUMINACION,FRIO,0)*(1-INDEX(ST_PORCENTAJE_REDUCCION_POR_EFICIENCIA_EN_ILUMINACION,FRIO,0))</f>
        <v>3.9095183485666492E-2</v>
      </c>
      <c r="G412" s="560">
        <v>4.5374943490684223E-2</v>
      </c>
      <c r="H412" s="560">
        <v>5.3939845136324112E-2</v>
      </c>
      <c r="I412" s="560">
        <v>6.0895444922270552E-2</v>
      </c>
      <c r="J412" s="560">
        <v>6.7070939926037437E-2</v>
      </c>
      <c r="K412" s="560">
        <v>7.3422573641794733E-2</v>
      </c>
      <c r="L412" s="560">
        <v>7.9934338615526748E-2</v>
      </c>
      <c r="M412" s="560">
        <v>8.6655681619491651E-2</v>
      </c>
    </row>
    <row r="413" spans="4:14" ht="15" customHeight="1">
      <c r="E413" s="553" t="s">
        <v>791</v>
      </c>
      <c r="F413" s="560" cm="1">
        <f t="array" ref="F413:M413">INDEX(CONSUMO_ELECTRICIDAD_EQUIPAMIENTO,TEMPLADO,0)*INDEX(SF_PARTICIPACION_USOS_EQUIPAMIENTO_ILUMINACION,TEMPLADO,0)*(1-INDEX(ST_PORCENTAJE_REDUCCION_POR_EFICIENCIA_EN_ILUMINACION,TEMPLADO,0))</f>
        <v>3.9095183485666492E-2</v>
      </c>
      <c r="G413" s="560">
        <v>4.5374943490684223E-2</v>
      </c>
      <c r="H413" s="560">
        <v>5.3939845136324112E-2</v>
      </c>
      <c r="I413" s="560">
        <v>6.0895444922270552E-2</v>
      </c>
      <c r="J413" s="560">
        <v>6.7070939926037437E-2</v>
      </c>
      <c r="K413" s="560">
        <v>7.3422573641794733E-2</v>
      </c>
      <c r="L413" s="560">
        <v>7.9934338615526748E-2</v>
      </c>
      <c r="M413" s="560">
        <v>8.6655681619491651E-2</v>
      </c>
    </row>
    <row r="414" spans="4:14" ht="15" customHeight="1">
      <c r="E414" s="553" t="s">
        <v>792</v>
      </c>
      <c r="F414" s="560" cm="1">
        <f t="array" ref="F414:M414">INDEX(CONSUMO_ELECTRICIDAD_EQUIPAMIENTO,CALIDO_SECO,0)*INDEX(SF_PARTICIPACION_USOS_EQUIPAMIENTO_ILUMINACION,CALIDO_SECO,0)*(1-INDEX(ST_PORCENTAJE_REDUCCION_POR_EFICIENCIA_EN_ILUMINACION,CALIDO_SECO,0))</f>
        <v>3.9095183485666492E-2</v>
      </c>
      <c r="G414" s="560">
        <v>4.5374943490684223E-2</v>
      </c>
      <c r="H414" s="560">
        <v>5.3939845136324112E-2</v>
      </c>
      <c r="I414" s="560">
        <v>6.0895444922270552E-2</v>
      </c>
      <c r="J414" s="560">
        <v>6.7070939926037437E-2</v>
      </c>
      <c r="K414" s="560">
        <v>7.3422573641794733E-2</v>
      </c>
      <c r="L414" s="560">
        <v>7.9934338615526748E-2</v>
      </c>
      <c r="M414" s="560">
        <v>8.6655681619491651E-2</v>
      </c>
    </row>
    <row r="415" spans="4:14" ht="15" customHeight="1">
      <c r="E415" s="553" t="s">
        <v>793</v>
      </c>
      <c r="F415" s="560" cm="1">
        <f t="array" ref="F415:M415">INDEX(CONSUMO_ELECTRICIDAD_EQUIPAMIENTO,CALIDO_HUMEDO,0)*INDEX(SF_PARTICIPACION_USOS_EQUIPAMIENTO_ILUMINACION,CALIDO_HUMEDO,0)*(1-INDEX(ST_PORCENTAJE_REDUCCION_POR_EFICIENCIA_EN_ILUMINACION,CALIDO_HUMEDO,0))</f>
        <v>3.9095183485666492E-2</v>
      </c>
      <c r="G415" s="560">
        <v>4.5374943490684223E-2</v>
      </c>
      <c r="H415" s="560">
        <v>5.3939845136324112E-2</v>
      </c>
      <c r="I415" s="560">
        <v>6.0895444922270552E-2</v>
      </c>
      <c r="J415" s="560">
        <v>6.7070939926037437E-2</v>
      </c>
      <c r="K415" s="560">
        <v>7.3422573641794733E-2</v>
      </c>
      <c r="L415" s="560">
        <v>7.9934338615526748E-2</v>
      </c>
      <c r="M415" s="560">
        <v>8.6655681619491651E-2</v>
      </c>
    </row>
    <row r="416" spans="4:14" ht="15" customHeight="1">
      <c r="E416" s="554" t="s">
        <v>1714</v>
      </c>
      <c r="F416" s="561">
        <f>SUM(F412:F415)</f>
        <v>0.15638073394266597</v>
      </c>
      <c r="G416" s="561">
        <f t="shared" ref="G416:M416" si="12">SUM(G412:G415)</f>
        <v>0.18149977396273689</v>
      </c>
      <c r="H416" s="561">
        <f t="shared" si="12"/>
        <v>0.21575938054529645</v>
      </c>
      <c r="I416" s="561">
        <f t="shared" si="12"/>
        <v>0.24358177968908221</v>
      </c>
      <c r="J416" s="561">
        <f t="shared" si="12"/>
        <v>0.26828375970414975</v>
      </c>
      <c r="K416" s="561">
        <f t="shared" si="12"/>
        <v>0.29369029456717893</v>
      </c>
      <c r="L416" s="561">
        <f t="shared" si="12"/>
        <v>0.31973735446210699</v>
      </c>
      <c r="M416" s="561">
        <f t="shared" si="12"/>
        <v>0.3466227264779666</v>
      </c>
    </row>
    <row r="419" spans="5:13" ht="15" customHeight="1">
      <c r="E419" s="71" t="s">
        <v>2135</v>
      </c>
      <c r="F419" s="72"/>
      <c r="G419" s="72"/>
      <c r="H419" s="72"/>
      <c r="I419" s="72"/>
      <c r="J419" s="72"/>
      <c r="K419" s="72"/>
      <c r="L419" s="72"/>
      <c r="M419" s="1277" t="s">
        <v>9</v>
      </c>
    </row>
    <row r="420" spans="5:13" ht="15" customHeight="1">
      <c r="E420" s="550" t="s">
        <v>789</v>
      </c>
      <c r="F420" s="551">
        <v>2018</v>
      </c>
      <c r="G420" s="551">
        <v>2020</v>
      </c>
      <c r="H420" s="551">
        <v>2025</v>
      </c>
      <c r="I420" s="551">
        <v>2030</v>
      </c>
      <c r="J420" s="551">
        <v>2035</v>
      </c>
      <c r="K420" s="551">
        <v>2040</v>
      </c>
      <c r="L420" s="551">
        <v>2045</v>
      </c>
      <c r="M420" s="551">
        <v>2050</v>
      </c>
    </row>
    <row r="421" spans="5:13" ht="15" customHeight="1">
      <c r="E421" s="553" t="s">
        <v>795</v>
      </c>
      <c r="F421" s="560" cm="1">
        <f t="array" ref="F421:M421">INDEX(CONSUMO_ELECTRICIDAD_EQUIPAMIENTO,FRIO,0)*INDEX(SF_PARTICIPACION_USOS_EQUIPAMIENTO_REFRIGERACION,FRIO,0)*(1-INDEX(ST_PORCENTAJE_REDUCCION_POR_EFICIENCIA_EN_REFRIGERACION,FRIO,0))</f>
        <v>1.765588931610745E-2</v>
      </c>
      <c r="G421" s="560">
        <v>2.049190996353481E-2</v>
      </c>
      <c r="H421" s="560">
        <v>2.435993006156573E-2</v>
      </c>
      <c r="I421" s="560">
        <v>2.7501168674573799E-2</v>
      </c>
      <c r="J421" s="560">
        <v>3.0290101902081427E-2</v>
      </c>
      <c r="K421" s="560">
        <v>3.3158581644681495E-2</v>
      </c>
      <c r="L421" s="560">
        <v>3.6099378729592728E-2</v>
      </c>
      <c r="M421" s="560">
        <v>3.9134823957189785E-2</v>
      </c>
    </row>
    <row r="422" spans="5:13" ht="15" customHeight="1">
      <c r="E422" s="553" t="s">
        <v>791</v>
      </c>
      <c r="F422" s="560" cm="1">
        <f t="array" ref="F422:M422">INDEX(CONSUMO_ELECTRICIDAD_EQUIPAMIENTO,TEMPLADO,0)*INDEX(SF_PARTICIPACION_USOS_EQUIPAMIENTO_REFRIGERACION,TEMPLADO,0)*(1-INDEX(ST_PORCENTAJE_REDUCCION_POR_EFICIENCIA_EN_REFRIGERACION,TEMPLADO,0))</f>
        <v>1.765588931610745E-2</v>
      </c>
      <c r="G422" s="560">
        <v>2.049190996353481E-2</v>
      </c>
      <c r="H422" s="560">
        <v>2.435993006156573E-2</v>
      </c>
      <c r="I422" s="560">
        <v>2.7501168674573799E-2</v>
      </c>
      <c r="J422" s="560">
        <v>3.0290101902081427E-2</v>
      </c>
      <c r="K422" s="560">
        <v>3.3158581644681495E-2</v>
      </c>
      <c r="L422" s="560">
        <v>3.6099378729592728E-2</v>
      </c>
      <c r="M422" s="560">
        <v>3.9134823957189785E-2</v>
      </c>
    </row>
    <row r="423" spans="5:13" ht="15" customHeight="1">
      <c r="E423" s="553" t="s">
        <v>792</v>
      </c>
      <c r="F423" s="560" cm="1">
        <f t="array" ref="F423:M423">INDEX(CONSUMO_ELECTRICIDAD_EQUIPAMIENTO,CALIDO_SECO,0)*INDEX(SF_PARTICIPACION_USOS_EQUIPAMIENTO_REFRIGERACION,CALIDO_SECO,0)*(1-INDEX(ST_PORCENTAJE_REDUCCION_POR_EFICIENCIA_EN_REFRIGERACION,CALIDO_SECO,0))</f>
        <v>1.765588931610745E-2</v>
      </c>
      <c r="G423" s="560">
        <v>2.049190996353481E-2</v>
      </c>
      <c r="H423" s="560">
        <v>2.435993006156573E-2</v>
      </c>
      <c r="I423" s="560">
        <v>2.7501168674573799E-2</v>
      </c>
      <c r="J423" s="560">
        <v>3.0290101902081427E-2</v>
      </c>
      <c r="K423" s="560">
        <v>3.3158581644681495E-2</v>
      </c>
      <c r="L423" s="560">
        <v>3.6099378729592728E-2</v>
      </c>
      <c r="M423" s="560">
        <v>3.9134823957189785E-2</v>
      </c>
    </row>
    <row r="424" spans="5:13" ht="15" customHeight="1">
      <c r="E424" s="553" t="s">
        <v>793</v>
      </c>
      <c r="F424" s="560" cm="1">
        <f t="array" ref="F424:M424">INDEX(CONSUMO_ELECTRICIDAD_EQUIPAMIENTO,CALIDO_HUMEDO,0)*INDEX(SF_PARTICIPACION_USOS_EQUIPAMIENTO_REFRIGERACION,CALIDO_HUMEDO,0)*(1-INDEX(ST_PORCENTAJE_REDUCCION_POR_EFICIENCIA_EN_REFRIGERACION,CALIDO_HUMEDO,0))</f>
        <v>1.765588931610745E-2</v>
      </c>
      <c r="G424" s="560">
        <v>2.049190996353481E-2</v>
      </c>
      <c r="H424" s="560">
        <v>2.435993006156573E-2</v>
      </c>
      <c r="I424" s="560">
        <v>2.7501168674573799E-2</v>
      </c>
      <c r="J424" s="560">
        <v>3.0290101902081427E-2</v>
      </c>
      <c r="K424" s="560">
        <v>3.3158581644681495E-2</v>
      </c>
      <c r="L424" s="560">
        <v>3.6099378729592728E-2</v>
      </c>
      <c r="M424" s="560">
        <v>3.9134823957189785E-2</v>
      </c>
    </row>
    <row r="425" spans="5:13" ht="15" customHeight="1">
      <c r="E425" s="554" t="s">
        <v>1714</v>
      </c>
      <c r="F425" s="561">
        <f>SUM(F421:F424)</f>
        <v>7.0623557264429801E-2</v>
      </c>
      <c r="G425" s="561">
        <f t="shared" ref="G425:M425" si="13">SUM(G421:G424)</f>
        <v>8.196763985413924E-2</v>
      </c>
      <c r="H425" s="561">
        <f t="shared" si="13"/>
        <v>9.743972024626292E-2</v>
      </c>
      <c r="I425" s="561">
        <f t="shared" si="13"/>
        <v>0.1100046746982952</v>
      </c>
      <c r="J425" s="561">
        <f t="shared" si="13"/>
        <v>0.12116040760832571</v>
      </c>
      <c r="K425" s="561">
        <f t="shared" si="13"/>
        <v>0.13263432657872598</v>
      </c>
      <c r="L425" s="561">
        <f t="shared" si="13"/>
        <v>0.14439751491837091</v>
      </c>
      <c r="M425" s="561">
        <f t="shared" si="13"/>
        <v>0.15653929582875914</v>
      </c>
    </row>
    <row r="426" spans="5:13" ht="15" customHeight="1">
      <c r="E426" s="554"/>
      <c r="F426" s="552"/>
      <c r="G426" s="552"/>
      <c r="H426" s="552"/>
      <c r="I426" s="552"/>
      <c r="J426" s="552"/>
      <c r="K426" s="552"/>
      <c r="L426" s="552"/>
      <c r="M426" s="552"/>
    </row>
    <row r="427" spans="5:13" ht="15" customHeight="1">
      <c r="E427" s="554"/>
      <c r="F427" s="552"/>
      <c r="G427" s="552"/>
      <c r="H427" s="552"/>
      <c r="I427" s="552"/>
      <c r="J427" s="552"/>
      <c r="K427" s="552"/>
      <c r="L427" s="552"/>
      <c r="M427" s="552"/>
    </row>
    <row r="428" spans="5:13" ht="15" customHeight="1">
      <c r="E428" s="71" t="s">
        <v>564</v>
      </c>
      <c r="F428" s="72"/>
      <c r="G428" s="72"/>
      <c r="H428" s="72"/>
      <c r="I428" s="72"/>
      <c r="J428" s="72"/>
      <c r="K428" s="72"/>
      <c r="L428" s="72"/>
      <c r="M428" s="1277" t="s">
        <v>9</v>
      </c>
    </row>
    <row r="429" spans="5:13" ht="15" customHeight="1">
      <c r="E429" s="550" t="s">
        <v>789</v>
      </c>
      <c r="F429" s="551">
        <v>2018</v>
      </c>
      <c r="G429" s="551">
        <v>2020</v>
      </c>
      <c r="H429" s="551">
        <v>2025</v>
      </c>
      <c r="I429" s="551">
        <v>2030</v>
      </c>
      <c r="J429" s="551">
        <v>2035</v>
      </c>
      <c r="K429" s="551">
        <v>2040</v>
      </c>
      <c r="L429" s="551">
        <v>2045</v>
      </c>
      <c r="M429" s="551">
        <v>2050</v>
      </c>
    </row>
    <row r="430" spans="5:13" ht="15" customHeight="1">
      <c r="E430" s="553" t="s">
        <v>795</v>
      </c>
      <c r="F430" s="560" cm="1">
        <f t="array" ref="F430:M430">INDEX(CONSUMO_ELECTRICIDAD_EQUIPAMIENTO,FRIO,0)*INDEX(SF_PARTICIPACION_USOS_EQUIPAMIENTO_OTROS,FRIO,0)</f>
        <v>6.9362422313279271E-2</v>
      </c>
      <c r="G430" s="560">
        <v>8.0503931999601042E-2</v>
      </c>
      <c r="H430" s="560">
        <v>9.5699725241865374E-2</v>
      </c>
      <c r="I430" s="560">
        <v>0.10804030550725421</v>
      </c>
      <c r="J430" s="560">
        <v>0.11899682890103418</v>
      </c>
      <c r="K430" s="560">
        <v>0.13026585646124875</v>
      </c>
      <c r="L430" s="560">
        <v>0.14181898786625713</v>
      </c>
      <c r="M430" s="560">
        <v>0.15374395126038842</v>
      </c>
    </row>
    <row r="431" spans="5:13" ht="15" customHeight="1">
      <c r="E431" s="553" t="s">
        <v>791</v>
      </c>
      <c r="F431" s="560" cm="1">
        <f t="array" ref="F431:M431">INDEX(CONSUMO_ELECTRICIDAD_EQUIPAMIENTO,TEMPLADO,0)*INDEX(SF_PARTICIPACION_USOS_EQUIPAMIENTO_OTROS,TEMPLADO,0)</f>
        <v>6.9362422313279271E-2</v>
      </c>
      <c r="G431" s="560">
        <v>8.0503931999601042E-2</v>
      </c>
      <c r="H431" s="560">
        <v>9.5699725241865374E-2</v>
      </c>
      <c r="I431" s="560">
        <v>0.10804030550725421</v>
      </c>
      <c r="J431" s="560">
        <v>0.11899682890103418</v>
      </c>
      <c r="K431" s="560">
        <v>0.13026585646124875</v>
      </c>
      <c r="L431" s="560">
        <v>0.14181898786625713</v>
      </c>
      <c r="M431" s="560">
        <v>0.15374395126038842</v>
      </c>
    </row>
    <row r="432" spans="5:13" ht="15" customHeight="1">
      <c r="E432" s="553" t="s">
        <v>792</v>
      </c>
      <c r="F432" s="560" cm="1">
        <f t="array" ref="F432:M432">INDEX(CONSUMO_ELECTRICIDAD_EQUIPAMIENTO,CALIDO_SECO,0)*INDEX(SF_PARTICIPACION_USOS_EQUIPAMIENTO_OTROS,CALIDO_SECO,0)</f>
        <v>6.9362422313279271E-2</v>
      </c>
      <c r="G432" s="560">
        <v>8.0503931999601042E-2</v>
      </c>
      <c r="H432" s="560">
        <v>9.5699725241865374E-2</v>
      </c>
      <c r="I432" s="560">
        <v>0.10804030550725421</v>
      </c>
      <c r="J432" s="560">
        <v>0.11899682890103418</v>
      </c>
      <c r="K432" s="560">
        <v>0.13026585646124875</v>
      </c>
      <c r="L432" s="560">
        <v>0.14181898786625713</v>
      </c>
      <c r="M432" s="560">
        <v>0.15374395126038842</v>
      </c>
    </row>
    <row r="433" spans="4:13" ht="15" customHeight="1">
      <c r="E433" s="553" t="s">
        <v>793</v>
      </c>
      <c r="F433" s="560" cm="1">
        <f t="array" ref="F433:M433">INDEX(CONSUMO_ELECTRICIDAD_EQUIPAMIENTO,CALIDO_HUMEDO,0)*INDEX(SF_PARTICIPACION_USOS_EQUIPAMIENTO_OTROS,CALIDO_HUMEDO,0)</f>
        <v>6.9362422313279271E-2</v>
      </c>
      <c r="G433" s="560">
        <v>8.0503931999601042E-2</v>
      </c>
      <c r="H433" s="560">
        <v>9.5699725241865374E-2</v>
      </c>
      <c r="I433" s="560">
        <v>0.10804030550725421</v>
      </c>
      <c r="J433" s="560">
        <v>0.11899682890103418</v>
      </c>
      <c r="K433" s="560">
        <v>0.13026585646124875</v>
      </c>
      <c r="L433" s="560">
        <v>0.14181898786625713</v>
      </c>
      <c r="M433" s="560">
        <v>0.15374395126038842</v>
      </c>
    </row>
    <row r="434" spans="4:13" ht="15" customHeight="1">
      <c r="E434" s="554" t="s">
        <v>1714</v>
      </c>
      <c r="F434" s="561">
        <f>SUM(F430:F433)</f>
        <v>0.27744968925311708</v>
      </c>
      <c r="G434" s="561">
        <f t="shared" ref="G434:M434" si="14">SUM(G430:G433)</f>
        <v>0.32201572799840417</v>
      </c>
      <c r="H434" s="561">
        <f t="shared" si="14"/>
        <v>0.3827989009674615</v>
      </c>
      <c r="I434" s="561">
        <f t="shared" si="14"/>
        <v>0.43216122202901686</v>
      </c>
      <c r="J434" s="561">
        <f t="shared" si="14"/>
        <v>0.47598731560413671</v>
      </c>
      <c r="K434" s="561">
        <f t="shared" si="14"/>
        <v>0.52106342584499499</v>
      </c>
      <c r="L434" s="561">
        <f t="shared" si="14"/>
        <v>0.56727595146502852</v>
      </c>
      <c r="M434" s="561">
        <f t="shared" si="14"/>
        <v>0.61497580504155369</v>
      </c>
    </row>
    <row r="437" spans="4:13" ht="15" customHeight="1">
      <c r="D437" s="2" t="s">
        <v>2239</v>
      </c>
      <c r="E437" s="2" t="s">
        <v>2236</v>
      </c>
    </row>
    <row r="438" spans="4:13" ht="15" customHeight="1">
      <c r="D438" s="2"/>
      <c r="E438" s="71"/>
      <c r="F438" s="72"/>
      <c r="G438" s="72"/>
      <c r="H438" s="72"/>
      <c r="I438" s="72"/>
      <c r="J438" s="72"/>
      <c r="K438" s="72"/>
      <c r="L438" s="72"/>
      <c r="M438" s="1277" t="s">
        <v>9</v>
      </c>
    </row>
    <row r="439" spans="4:13" ht="15" customHeight="1">
      <c r="D439" s="2"/>
      <c r="E439" s="550" t="s">
        <v>789</v>
      </c>
      <c r="F439" s="551">
        <v>2018</v>
      </c>
      <c r="G439" s="551">
        <v>2020</v>
      </c>
      <c r="H439" s="551">
        <v>2025</v>
      </c>
      <c r="I439" s="551">
        <v>2030</v>
      </c>
      <c r="J439" s="551">
        <v>2035</v>
      </c>
      <c r="K439" s="551">
        <v>2040</v>
      </c>
      <c r="L439" s="551">
        <v>2045</v>
      </c>
      <c r="M439" s="551">
        <v>2050</v>
      </c>
    </row>
    <row r="440" spans="4:13" ht="15" customHeight="1">
      <c r="D440" s="2"/>
      <c r="E440" s="553" t="s">
        <v>502</v>
      </c>
      <c r="F440" s="563" cm="1">
        <f t="array" ref="F440:M440">F389:M389</f>
        <v>1.5092804115232785E-2</v>
      </c>
      <c r="G440" s="563">
        <v>1.751712289816304E-2</v>
      </c>
      <c r="H440" s="563">
        <v>2.082362695514672E-2</v>
      </c>
      <c r="I440" s="563">
        <v>2.3508855561676527E-2</v>
      </c>
      <c r="J440" s="563">
        <v>2.5892922551427961E-2</v>
      </c>
      <c r="K440" s="563">
        <v>2.8344988379915049E-2</v>
      </c>
      <c r="L440" s="563">
        <v>3.0858873325077238E-2</v>
      </c>
      <c r="M440" s="563">
        <v>3.3453666450612062E-2</v>
      </c>
    </row>
    <row r="441" spans="4:13" ht="15" customHeight="1">
      <c r="D441" s="2"/>
      <c r="E441" s="553" t="s">
        <v>526</v>
      </c>
      <c r="F441" s="563" cm="1">
        <f t="array" ref="F441:M441">F397:M397</f>
        <v>7.725594468776438E-2</v>
      </c>
      <c r="G441" s="563">
        <v>8.9665370820217624E-2</v>
      </c>
      <c r="H441" s="563">
        <v>0.10659046257824199</v>
      </c>
      <c r="I441" s="563">
        <v>0.1203354148824128</v>
      </c>
      <c r="J441" s="563">
        <v>0.13253880307230317</v>
      </c>
      <c r="K441" s="563">
        <v>0.14509025875741058</v>
      </c>
      <c r="L441" s="563">
        <v>0.15795814962726171</v>
      </c>
      <c r="M441" s="563">
        <v>0.17124018738856736</v>
      </c>
    </row>
    <row r="442" spans="4:13" ht="15" customHeight="1">
      <c r="D442" s="2"/>
      <c r="E442" s="553" t="s">
        <v>527</v>
      </c>
      <c r="F442" s="563" cm="1">
        <f t="array" ref="F442:M442">F405:M405</f>
        <v>1.4778755559591468E-4</v>
      </c>
      <c r="G442" s="563">
        <v>1.715262952084507E-4</v>
      </c>
      <c r="H442" s="563">
        <v>2.0390332391820529E-4</v>
      </c>
      <c r="I442" s="563">
        <v>2.3019687208496032E-4</v>
      </c>
      <c r="J442" s="563">
        <v>2.5354146929182787E-4</v>
      </c>
      <c r="K442" s="563">
        <v>2.7755190580088153E-4</v>
      </c>
      <c r="L442" s="563">
        <v>3.0216767025779436E-4</v>
      </c>
      <c r="M442" s="563">
        <v>3.2757568127894323E-4</v>
      </c>
    </row>
    <row r="443" spans="4:13" ht="15" customHeight="1">
      <c r="D443" s="2"/>
      <c r="E443" s="554" t="s">
        <v>1714</v>
      </c>
      <c r="F443" s="561">
        <f>SUM(F440:F442)</f>
        <v>9.2496536358593076E-2</v>
      </c>
      <c r="G443" s="561">
        <f t="shared" ref="G443:M443" si="15">SUM(G440:G442)</f>
        <v>0.10735402001358911</v>
      </c>
      <c r="H443" s="561">
        <f t="shared" si="15"/>
        <v>0.12761799285730691</v>
      </c>
      <c r="I443" s="561">
        <f t="shared" si="15"/>
        <v>0.14407446731617427</v>
      </c>
      <c r="J443" s="561">
        <f t="shared" si="15"/>
        <v>0.15868526709302297</v>
      </c>
      <c r="K443" s="561">
        <f t="shared" si="15"/>
        <v>0.17371279904312653</v>
      </c>
      <c r="L443" s="561">
        <f t="shared" si="15"/>
        <v>0.18911919062259672</v>
      </c>
      <c r="M443" s="561">
        <f t="shared" si="15"/>
        <v>0.20502142952045838</v>
      </c>
    </row>
    <row r="446" spans="4:13" ht="15" customHeight="1">
      <c r="D446" s="2">
        <v>3</v>
      </c>
      <c r="E446" s="2" t="s">
        <v>2186</v>
      </c>
    </row>
    <row r="447" spans="4:13" ht="15" customHeight="1">
      <c r="M447" s="554"/>
    </row>
    <row r="448" spans="4:13" ht="15" customHeight="1">
      <c r="E448" s="1118" t="s">
        <v>694</v>
      </c>
      <c r="G448" s="1119"/>
      <c r="H448" s="1120"/>
      <c r="I448" s="1120"/>
      <c r="J448" s="1120"/>
      <c r="K448" s="1120"/>
      <c r="L448" s="1120"/>
      <c r="M448" s="554" t="s">
        <v>29</v>
      </c>
    </row>
    <row r="449" spans="5:13" ht="15" customHeight="1">
      <c r="E449" s="1121" t="s">
        <v>520</v>
      </c>
      <c r="F449" s="1093">
        <v>2018</v>
      </c>
      <c r="G449" s="1122">
        <v>2020</v>
      </c>
      <c r="H449" s="1093">
        <v>2025</v>
      </c>
      <c r="I449" s="1093">
        <v>2030</v>
      </c>
      <c r="J449" s="1093">
        <v>2035</v>
      </c>
      <c r="K449" s="1093">
        <v>2040</v>
      </c>
      <c r="L449" s="1093">
        <v>2045</v>
      </c>
      <c r="M449" s="1093">
        <v>2050</v>
      </c>
    </row>
    <row r="450" spans="5:13" ht="15" customHeight="1">
      <c r="E450" s="627" t="s">
        <v>513</v>
      </c>
      <c r="F450" s="552" cm="1">
        <f t="array" ref="F450:M450">_xlfn.ANCHORARRAY(F366)*FE_EDIFICACIONES_COMERCIAL_GN_CO2_TJ/UNIDAD_TJ_A_TWH*UNIDAD_KG_A_MT</f>
        <v>4.4526289992457398E-2</v>
      </c>
      <c r="G450" s="552">
        <v>5.1678434838355589E-2</v>
      </c>
      <c r="H450" s="552">
        <v>6.143317341300527E-2</v>
      </c>
      <c r="I450" s="552">
        <v>6.9355045764724968E-2</v>
      </c>
      <c r="J450" s="552">
        <v>7.6388441105752172E-2</v>
      </c>
      <c r="K450" s="552">
        <v>8.3622444364935558E-2</v>
      </c>
      <c r="L450" s="552">
        <v>9.1038824331266061E-2</v>
      </c>
      <c r="M450" s="552">
        <v>9.8693896927179364E-2</v>
      </c>
    </row>
    <row r="451" spans="5:13" ht="15" customHeight="1">
      <c r="E451" s="1097" t="s">
        <v>591</v>
      </c>
      <c r="F451" s="552"/>
      <c r="G451" s="552"/>
      <c r="H451" s="552"/>
      <c r="I451" s="552"/>
      <c r="J451" s="552"/>
      <c r="K451" s="552"/>
      <c r="L451" s="552"/>
      <c r="M451" s="552"/>
    </row>
    <row r="452" spans="5:13" ht="15" customHeight="1">
      <c r="E452" s="625" t="s">
        <v>498</v>
      </c>
      <c r="F452" s="552" cm="1">
        <f t="array" ref="F452:M452">_xlfn.ANCHORARRAY(F368)*FE_EDIFICACIONES_COMERCIAL_GLP_CO2_TJ/UNIDAD_TJ_A_TWH*UNIDAD_KG_A_MT</f>
        <v>9.8521739411247585E-3</v>
      </c>
      <c r="G452" s="552">
        <v>1.1434703612603013E-2</v>
      </c>
      <c r="H452" s="552">
        <v>1.3593099948878234E-2</v>
      </c>
      <c r="I452" s="552">
        <v>1.5345944489974086E-2</v>
      </c>
      <c r="J452" s="552">
        <v>1.6902198880542778E-2</v>
      </c>
      <c r="K452" s="552">
        <v>1.8502841072205577E-2</v>
      </c>
      <c r="L452" s="552">
        <v>2.0143837109695719E-2</v>
      </c>
      <c r="M452" s="552">
        <v>2.1837647817025015E-2</v>
      </c>
    </row>
    <row r="453" spans="5:13" ht="15" customHeight="1">
      <c r="E453" s="625" t="s">
        <v>502</v>
      </c>
      <c r="F453" s="552" cm="1">
        <f t="array" ref="F453:M453">F440:M440*FE_EDIFICACIONES_COMERCIAL_QUEROSENO_CO2*UNIDAD_TWH_A_TJ*UNIDAD_KG_A_MT</f>
        <v>5.4334094814838031E-8</v>
      </c>
      <c r="G453" s="552">
        <v>6.3061642433386946E-8</v>
      </c>
      <c r="H453" s="552">
        <v>7.4965057038528185E-8</v>
      </c>
      <c r="I453" s="552">
        <v>8.463188002203551E-8</v>
      </c>
      <c r="J453" s="552">
        <v>9.3214521185140664E-8</v>
      </c>
      <c r="K453" s="552">
        <v>1.0204195816769418E-7</v>
      </c>
      <c r="L453" s="552">
        <v>1.1109194397027806E-7</v>
      </c>
      <c r="M453" s="552">
        <v>1.2043319922220343E-7</v>
      </c>
    </row>
    <row r="454" spans="5:13" ht="15" customHeight="1">
      <c r="E454" s="72" t="s">
        <v>526</v>
      </c>
      <c r="F454" s="552" cm="1">
        <f t="array" ref="F454:M454">F441:M441*FE_EDIFICACIONES_COMERCIAL_DIESEL_CO2*UNIDAD_TWH_A_TJ*UNIDAD_KG_A_MT</f>
        <v>2.7812140087595182E-7</v>
      </c>
      <c r="G454" s="552">
        <v>3.2279533495278344E-7</v>
      </c>
      <c r="H454" s="552">
        <v>3.8372566528167123E-7</v>
      </c>
      <c r="I454" s="552">
        <v>4.3320749357668614E-7</v>
      </c>
      <c r="J454" s="552">
        <v>4.7713969106029153E-7</v>
      </c>
      <c r="K454" s="552">
        <v>5.2232493152667807E-7</v>
      </c>
      <c r="L454" s="552">
        <v>5.6864933865814215E-7</v>
      </c>
      <c r="M454" s="552">
        <v>6.1646467459884257E-7</v>
      </c>
    </row>
    <row r="455" spans="5:13" ht="15" customHeight="1">
      <c r="E455" s="558" t="s">
        <v>527</v>
      </c>
      <c r="F455" s="1079" cm="1">
        <f t="array" ref="F455:M455">F442:M442*FE_EDIFICACIONES_COMERCIAL_FUEL_OIL_CO2*UNIDAD_TWH_A_TJ*UNIDAD_KG_A_MT</f>
        <v>5.320352001452928E-10</v>
      </c>
      <c r="G455" s="1079">
        <v>6.1749466275042256E-10</v>
      </c>
      <c r="H455" s="1079">
        <v>7.3405196610553902E-10</v>
      </c>
      <c r="I455" s="1079">
        <v>8.2870873950585719E-10</v>
      </c>
      <c r="J455" s="1079">
        <v>9.1274928945058035E-10</v>
      </c>
      <c r="K455" s="1079">
        <v>9.9918686088317351E-10</v>
      </c>
      <c r="L455" s="1079">
        <v>1.0878036129280598E-9</v>
      </c>
      <c r="M455" s="1079">
        <v>1.1792724526041957E-9</v>
      </c>
    </row>
    <row r="456" spans="5:13" ht="15" customHeight="1">
      <c r="E456" s="2201" t="s">
        <v>338</v>
      </c>
      <c r="F456" s="2202" cm="1">
        <f t="array" ref="F456:M456">_xlfn.ANCHORARRAY(F450)+F451:M451+_xlfn.ANCHORARRAY(F452)+_xlfn.ANCHORARRAY(F453)+_xlfn.ANCHORARRAY(F454)+_xlfn.ANCHORARRAY(F455)</f>
        <v>5.4378796921113047E-2</v>
      </c>
      <c r="G456" s="2202">
        <v>6.3113524925430653E-2</v>
      </c>
      <c r="H456" s="2202">
        <v>7.5026732786657793E-2</v>
      </c>
      <c r="I456" s="2202">
        <v>8.4701508922781388E-2</v>
      </c>
      <c r="J456" s="2202">
        <v>9.3291211253256484E-2</v>
      </c>
      <c r="K456" s="2202">
        <v>0.10212591080321769</v>
      </c>
      <c r="L456" s="2202">
        <v>0.11118334227004802</v>
      </c>
      <c r="M456" s="2202">
        <v>0.12053228282135066</v>
      </c>
    </row>
    <row r="457" spans="5:13" ht="15" customHeight="1">
      <c r="E457" s="1118" t="s">
        <v>695</v>
      </c>
      <c r="G457" s="1119"/>
      <c r="H457" s="1120"/>
      <c r="I457" s="1120"/>
      <c r="J457" s="1120"/>
      <c r="K457" s="1120"/>
      <c r="L457" s="1120"/>
      <c r="M457" s="554" t="s">
        <v>29</v>
      </c>
    </row>
    <row r="458" spans="5:13" ht="15" customHeight="1">
      <c r="E458" s="1121" t="s">
        <v>520</v>
      </c>
      <c r="F458" s="1093">
        <v>2018</v>
      </c>
      <c r="G458" s="1122">
        <v>2020</v>
      </c>
      <c r="H458" s="1093">
        <v>2025</v>
      </c>
      <c r="I458" s="1093">
        <v>2030</v>
      </c>
      <c r="J458" s="1093">
        <v>2035</v>
      </c>
      <c r="K458" s="1093">
        <v>2040</v>
      </c>
      <c r="L458" s="1093">
        <v>2045</v>
      </c>
      <c r="M458" s="1093">
        <v>2050</v>
      </c>
    </row>
    <row r="459" spans="5:13" ht="15" customHeight="1">
      <c r="E459" s="627" t="s">
        <v>513</v>
      </c>
      <c r="F459" s="552" cm="1">
        <f t="array" ref="F459:M459">_xlfn.ANCHORARRAY(F366)*FE_EDIFICACIONES_COMERCIAL_GN_CH4_TJ/UNIDAD_TJ_A_TWH*UNIDAD_KG_A_MT</f>
        <v>4.0085527110947043E-6</v>
      </c>
      <c r="G459" s="552">
        <v>4.6524363496602293E-6</v>
      </c>
      <c r="H459" s="552">
        <v>5.530622782126439E-6</v>
      </c>
      <c r="I459" s="552">
        <v>6.243802409214423E-6</v>
      </c>
      <c r="J459" s="552">
        <v>6.8769954277042037E-6</v>
      </c>
      <c r="K459" s="552">
        <v>7.5282485049666407E-6</v>
      </c>
      <c r="L459" s="552">
        <v>8.1959203461548136E-6</v>
      </c>
      <c r="M459" s="552">
        <v>8.8850808850897472E-6</v>
      </c>
    </row>
    <row r="460" spans="5:13" ht="15" customHeight="1">
      <c r="E460" s="1097" t="s">
        <v>591</v>
      </c>
      <c r="F460" s="552"/>
      <c r="G460" s="552"/>
      <c r="H460" s="552"/>
      <c r="I460" s="552"/>
      <c r="J460" s="552"/>
      <c r="K460" s="552"/>
      <c r="L460" s="552"/>
      <c r="M460" s="552"/>
    </row>
    <row r="461" spans="5:13" ht="15" customHeight="1">
      <c r="E461" s="625" t="s">
        <v>498</v>
      </c>
      <c r="F461" s="552" cm="1">
        <f t="array" ref="F461:M461">_xlfn.ANCHORARRAY(F368)*FE_EDIFICACIONES_COMERCIAL_GLP_CH4_TJ/UNIDAD_TJ_A_TWH*UNIDAD_KG_A_MT</f>
        <v>7.3321101020023176E-7</v>
      </c>
      <c r="G461" s="552">
        <v>8.5098483210292797E-7</v>
      </c>
      <c r="H461" s="552">
        <v>1.0116153657891981E-6</v>
      </c>
      <c r="I461" s="552">
        <v>1.1420642316315048E-6</v>
      </c>
      <c r="J461" s="552">
        <v>1.2578826145240776E-6</v>
      </c>
      <c r="K461" s="552">
        <v>1.377004392654622E-6</v>
      </c>
      <c r="L461" s="552">
        <v>1.4991293540664747E-6</v>
      </c>
      <c r="M461" s="552">
        <v>1.6251848487451548E-6</v>
      </c>
    </row>
    <row r="462" spans="5:13" ht="15" customHeight="1">
      <c r="E462" s="625" t="s">
        <v>502</v>
      </c>
      <c r="F462" s="552" cm="1">
        <f t="array" ref="F462:M462">F440:M440*FE_EDIFICACIONES_COMERCIAL_QUEROSENO_CH4*UNIDAD_TWH_A_TJ*UNIDAD_KG_A_MT</f>
        <v>5.4334094814838031E-8</v>
      </c>
      <c r="G462" s="552">
        <v>6.3061642433386946E-8</v>
      </c>
      <c r="H462" s="552">
        <v>7.4965057038528185E-8</v>
      </c>
      <c r="I462" s="552">
        <v>8.463188002203551E-8</v>
      </c>
      <c r="J462" s="552">
        <v>9.3214521185140664E-8</v>
      </c>
      <c r="K462" s="552">
        <v>1.0204195816769418E-7</v>
      </c>
      <c r="L462" s="552">
        <v>1.1109194397027806E-7</v>
      </c>
      <c r="M462" s="552">
        <v>1.2043319922220343E-7</v>
      </c>
    </row>
    <row r="463" spans="5:13" ht="15" customHeight="1">
      <c r="E463" s="72" t="s">
        <v>526</v>
      </c>
      <c r="F463" s="552" cm="1">
        <f t="array" ref="F463:M463">F441:M441*FE_EDIFICACIONES_COMERCIAL_DIESEL_CH4*UNIDAD_TWH_A_TJ*UNIDAD_KG_A_MT</f>
        <v>2.7812140087595182E-7</v>
      </c>
      <c r="G463" s="552">
        <v>3.2279533495278344E-7</v>
      </c>
      <c r="H463" s="552">
        <v>3.8372566528167123E-7</v>
      </c>
      <c r="I463" s="552">
        <v>4.3320749357668614E-7</v>
      </c>
      <c r="J463" s="552">
        <v>4.7713969106029153E-7</v>
      </c>
      <c r="K463" s="552">
        <v>5.2232493152667807E-7</v>
      </c>
      <c r="L463" s="552">
        <v>5.6864933865814215E-7</v>
      </c>
      <c r="M463" s="552">
        <v>6.1646467459884257E-7</v>
      </c>
    </row>
    <row r="464" spans="5:13" ht="15" customHeight="1">
      <c r="E464" s="558" t="s">
        <v>527</v>
      </c>
      <c r="F464" s="1079" cm="1">
        <f t="array" ref="F464:M464">F442:M442*FE_EDIFICACIONES_COMERCIAL_FUEL_OIL_CH4*UNIDAD_TWH_A_TJ*UNIDAD_KG_A_MT</f>
        <v>5.320352001452928E-10</v>
      </c>
      <c r="G464" s="1079">
        <v>6.1749466275042256E-10</v>
      </c>
      <c r="H464" s="1079">
        <v>7.3405196610553902E-10</v>
      </c>
      <c r="I464" s="1079">
        <v>8.2870873950585719E-10</v>
      </c>
      <c r="J464" s="1079">
        <v>9.1274928945058035E-10</v>
      </c>
      <c r="K464" s="1079">
        <v>9.9918686088317351E-10</v>
      </c>
      <c r="L464" s="1079">
        <v>1.0878036129280598E-9</v>
      </c>
      <c r="M464" s="1079">
        <v>1.1792724526041957E-9</v>
      </c>
    </row>
    <row r="465" spans="5:13" ht="15" customHeight="1">
      <c r="E465" s="2201" t="s">
        <v>338</v>
      </c>
      <c r="F465" s="2202" cm="1">
        <f t="array" ref="F465:M465">_xlfn.ANCHORARRAY(F459)+F460:M460+_xlfn.ANCHORARRAY(F461)+_xlfn.ANCHORARRAY(F462)+_xlfn.ANCHORARRAY(F463)+_xlfn.ANCHORARRAY(F464)</f>
        <v>5.0747512521858711E-6</v>
      </c>
      <c r="G465" s="2202">
        <v>5.8898956538120779E-6</v>
      </c>
      <c r="H465" s="2202">
        <v>7.0016629222019413E-6</v>
      </c>
      <c r="I465" s="2202">
        <v>7.9045347231841553E-6</v>
      </c>
      <c r="J465" s="2202">
        <v>8.7061450037631634E-6</v>
      </c>
      <c r="K465" s="2202">
        <v>9.5306189741765186E-6</v>
      </c>
      <c r="L465" s="2202">
        <v>1.0375878786462636E-5</v>
      </c>
      <c r="M465" s="2202">
        <v>1.1248342880108554E-5</v>
      </c>
    </row>
    <row r="466" spans="5:13" ht="15" customHeight="1">
      <c r="E466" s="1118" t="s">
        <v>1616</v>
      </c>
      <c r="G466" s="1119"/>
      <c r="H466" s="1120"/>
      <c r="I466" s="1120"/>
      <c r="J466" s="1120"/>
      <c r="K466" s="1120"/>
      <c r="L466" s="1120"/>
      <c r="M466" s="554" t="s">
        <v>29</v>
      </c>
    </row>
    <row r="467" spans="5:13" ht="15" customHeight="1">
      <c r="E467" s="1121" t="s">
        <v>520</v>
      </c>
      <c r="F467" s="1093">
        <v>2018</v>
      </c>
      <c r="G467" s="1122">
        <v>2020</v>
      </c>
      <c r="H467" s="1093">
        <v>2025</v>
      </c>
      <c r="I467" s="1093">
        <v>2030</v>
      </c>
      <c r="J467" s="1093">
        <v>2035</v>
      </c>
      <c r="K467" s="1093">
        <v>2040</v>
      </c>
      <c r="L467" s="1093">
        <v>2045</v>
      </c>
      <c r="M467" s="1093">
        <v>2050</v>
      </c>
    </row>
    <row r="468" spans="5:13" ht="15" customHeight="1">
      <c r="E468" s="627" t="s">
        <v>513</v>
      </c>
      <c r="F468" s="552" cm="1">
        <f t="array" ref="F468:M468">_xlfn.ANCHORARRAY(F366)*FE_EDIFICACIONES_COMERCIAL_GN_N2O_TJ/UNIDAD_TJ_A_TWH*UNIDAD_KG_A_MT</f>
        <v>8.0171054221894092E-8</v>
      </c>
      <c r="G468" s="552">
        <v>9.3048726993204589E-8</v>
      </c>
      <c r="H468" s="552">
        <v>1.1061245564252877E-7</v>
      </c>
      <c r="I468" s="552">
        <v>1.2487604818428848E-7</v>
      </c>
      <c r="J468" s="552">
        <v>1.375399085540841E-7</v>
      </c>
      <c r="K468" s="552">
        <v>1.5056497009933282E-7</v>
      </c>
      <c r="L468" s="552">
        <v>1.6391840692309628E-7</v>
      </c>
      <c r="M468" s="552">
        <v>1.7770161770179493E-7</v>
      </c>
    </row>
    <row r="469" spans="5:13" ht="15" customHeight="1">
      <c r="E469" s="1097" t="s">
        <v>591</v>
      </c>
      <c r="F469" s="552"/>
      <c r="G469" s="552"/>
      <c r="H469" s="552"/>
      <c r="I469" s="552"/>
      <c r="J469" s="552"/>
      <c r="K469" s="552"/>
      <c r="L469" s="552"/>
      <c r="M469" s="552"/>
    </row>
    <row r="470" spans="5:13" ht="15" customHeight="1">
      <c r="E470" s="625" t="s">
        <v>498</v>
      </c>
      <c r="F470" s="552" cm="1">
        <f t="array" ref="F470:M470">_xlfn.ANCHORARRAY(F368)*FE_EDIFICACIONES_RESIDENCIAL_GLP_N2O/UNIDAD_TJ_A_TWH*UNIDAD_KG_A_MT</f>
        <v>1.4664220204004635E-8</v>
      </c>
      <c r="G470" s="552">
        <v>1.7019696642058563E-8</v>
      </c>
      <c r="H470" s="552">
        <v>2.0232307315783965E-8</v>
      </c>
      <c r="I470" s="552">
        <v>2.2841284632630095E-8</v>
      </c>
      <c r="J470" s="552">
        <v>2.5157652290481559E-8</v>
      </c>
      <c r="K470" s="552">
        <v>2.7540087853092441E-8</v>
      </c>
      <c r="L470" s="552">
        <v>2.9982587081329498E-8</v>
      </c>
      <c r="M470" s="552">
        <v>3.2503696974903093E-8</v>
      </c>
    </row>
    <row r="471" spans="5:13" ht="15" customHeight="1">
      <c r="E471" s="625" t="s">
        <v>502</v>
      </c>
      <c r="F471" s="552" cm="1">
        <f t="array" ref="F471:M471">F440:M440*FE_EDIFICACIONES_COMERCIAL_QUEROSENO_N2O*UNIDAD_TWH_A_TJ*UNIDAD_KG_A_MT</f>
        <v>5.4334094814838031E-8</v>
      </c>
      <c r="G471" s="552">
        <v>6.3061642433386946E-8</v>
      </c>
      <c r="H471" s="552">
        <v>7.4965057038528185E-8</v>
      </c>
      <c r="I471" s="552">
        <v>8.463188002203551E-8</v>
      </c>
      <c r="J471" s="552">
        <v>9.3214521185140664E-8</v>
      </c>
      <c r="K471" s="552">
        <v>1.0204195816769418E-7</v>
      </c>
      <c r="L471" s="552">
        <v>1.1109194397027806E-7</v>
      </c>
      <c r="M471" s="552">
        <v>1.2043319922220343E-7</v>
      </c>
    </row>
    <row r="472" spans="5:13" ht="15" customHeight="1">
      <c r="E472" s="72" t="s">
        <v>526</v>
      </c>
      <c r="F472" s="552" cm="1">
        <f t="array" ref="F472:M472">F441:M441*FE_EDIFICACIONES_COMERCIAL_DIESEL_N2O*UNIDAD_TWH_A_TJ*UNIDAD_KG_A_MT</f>
        <v>2.7812140087595182E-7</v>
      </c>
      <c r="G472" s="552">
        <v>3.2279533495278344E-7</v>
      </c>
      <c r="H472" s="552">
        <v>3.8372566528167123E-7</v>
      </c>
      <c r="I472" s="552">
        <v>4.3320749357668614E-7</v>
      </c>
      <c r="J472" s="552">
        <v>4.7713969106029153E-7</v>
      </c>
      <c r="K472" s="552">
        <v>5.2232493152667807E-7</v>
      </c>
      <c r="L472" s="552">
        <v>5.6864933865814215E-7</v>
      </c>
      <c r="M472" s="552">
        <v>6.1646467459884257E-7</v>
      </c>
    </row>
    <row r="473" spans="5:13" ht="15" customHeight="1">
      <c r="E473" s="558" t="s">
        <v>527</v>
      </c>
      <c r="F473" s="1079" cm="1">
        <f t="array" ref="F473:M473">F442:M442*FE_EDIFICACIONES_COMERCIAL_FUEL_OIL_N2O*UNIDAD_TWH_A_TJ*UNIDAD_KG_A_MT</f>
        <v>5.320352001452928E-10</v>
      </c>
      <c r="G473" s="1079">
        <v>6.1749466275042256E-10</v>
      </c>
      <c r="H473" s="1079">
        <v>7.3405196610553902E-10</v>
      </c>
      <c r="I473" s="1079">
        <v>8.2870873950585719E-10</v>
      </c>
      <c r="J473" s="1079">
        <v>9.1274928945058035E-10</v>
      </c>
      <c r="K473" s="1079">
        <v>9.9918686088317351E-10</v>
      </c>
      <c r="L473" s="1079">
        <v>1.0878036129280598E-9</v>
      </c>
      <c r="M473" s="1079">
        <v>1.1792724526041957E-9</v>
      </c>
    </row>
    <row r="474" spans="5:13" ht="15" customHeight="1">
      <c r="E474" s="2201" t="s">
        <v>338</v>
      </c>
      <c r="F474" s="2202" cm="1">
        <f t="array" ref="F474:M474">_xlfn.ANCHORARRAY(F468)+F469:M469+_xlfn.ANCHORARRAY(F470)+_xlfn.ANCHORARRAY(F471)+_xlfn.ANCHORARRAY(F472)+_xlfn.ANCHORARRAY(F473)</f>
        <v>4.2782280531683388E-7</v>
      </c>
      <c r="G474" s="2202">
        <v>4.9654289568418397E-7</v>
      </c>
      <c r="H474" s="2202">
        <v>5.9026953724461773E-7</v>
      </c>
      <c r="I474" s="2202">
        <v>6.6638541515514607E-7</v>
      </c>
      <c r="J474" s="2202">
        <v>7.3396452237944845E-7</v>
      </c>
      <c r="K474" s="2202">
        <v>8.0347113450768065E-7</v>
      </c>
      <c r="L474" s="2202">
        <v>8.7473008024577405E-7</v>
      </c>
      <c r="M474" s="2202">
        <v>9.482824609503482E-7</v>
      </c>
    </row>
  </sheetData>
  <sheetProtection algorithmName="SHA-512" hashValue="Oa7MCvCGfBfBK/IItvULqBdOxaN9576lY2DPe6buuUY7ehCcFbeT3kfx3vmtO6xCASVWuWvcQaXDuIgSjk6CKw==" saltValue="mHii4IZKWw/fSJU1kM/TOw==" spinCount="100000" sheet="1" objects="1" scenarios="1"/>
  <mergeCells count="2">
    <mergeCell ref="M7:M8"/>
    <mergeCell ref="E7:F8"/>
  </mergeCells>
  <dataValidations count="1">
    <dataValidation type="whole" allowBlank="1" showErrorMessage="1" errorTitle="ERROR" error="El valor de trayectoria introducido no es valido. Las trayectorias estan comprendidas entre los valores 1 y 4." sqref="M7" xr:uid="{C21841CC-2C75-47A1-97CB-3A66C688C385}">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9937" r:id="rId5" name="Spinner 1">
              <controlPr defaultSize="0" autoPict="0">
                <anchor>
                  <from>
                    <xdr:col>13</xdr:col>
                    <xdr:colOff>19050</xdr:colOff>
                    <xdr:row>6</xdr:row>
                    <xdr:rowOff>57150</xdr:rowOff>
                  </from>
                  <to>
                    <xdr:col>13</xdr:col>
                    <xdr:colOff>209550</xdr:colOff>
                    <xdr:row>7</xdr:row>
                    <xdr:rowOff>161925</xdr:rowOff>
                  </to>
                </anchor>
              </controlPr>
            </control>
          </mc:Choice>
        </mc:AlternateContent>
      </controls>
    </mc:Choice>
  </mc:AlternateConten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5ED33-3019-4688-8EA3-337BB1F384B5}">
  <sheetPr codeName="Hoja16"/>
  <dimension ref="A4:AV1620"/>
  <sheetViews>
    <sheetView zoomScale="80" zoomScaleNormal="80" workbookViewId="0">
      <selection activeCell="F590" sqref="F590:M590"/>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7109375" style="3" customWidth="1"/>
    <col min="6" max="6" width="22" style="3" customWidth="1"/>
    <col min="7" max="13" width="12.7109375" style="3" customWidth="1"/>
    <col min="14" max="14" width="5.7109375" style="3" customWidth="1"/>
    <col min="15" max="15" width="12.85546875" style="3" customWidth="1"/>
    <col min="16" max="16" width="13.7109375" style="3" bestFit="1" customWidth="1"/>
    <col min="17" max="17" width="16" style="3" customWidth="1"/>
    <col min="18" max="18" width="13.7109375" style="3" bestFit="1" customWidth="1"/>
    <col min="19" max="20" width="11.5703125" style="3"/>
    <col min="21" max="21" width="15.42578125" style="3" bestFit="1" customWidth="1"/>
    <col min="22" max="22" width="11.5703125" style="3"/>
    <col min="23" max="25" width="16.140625" style="3" bestFit="1" customWidth="1"/>
    <col min="26" max="26" width="15.7109375" style="3" bestFit="1" customWidth="1"/>
    <col min="27" max="27" width="16.42578125" style="3" bestFit="1" customWidth="1"/>
    <col min="28" max="28" width="16.140625" style="3" bestFit="1" customWidth="1"/>
    <col min="29" max="30" width="16.85546875" style="3" bestFit="1" customWidth="1"/>
    <col min="31" max="16384" width="11.5703125" style="3"/>
  </cols>
  <sheetData>
    <row r="4" spans="1:16" ht="15" customHeight="1">
      <c r="D4" s="8" t="s">
        <v>1622</v>
      </c>
      <c r="E4" s="5"/>
      <c r="F4" s="5"/>
      <c r="G4" s="5"/>
      <c r="H4" s="5"/>
      <c r="I4" s="5"/>
      <c r="J4" s="5"/>
      <c r="K4" s="5"/>
      <c r="L4" s="5"/>
      <c r="M4" s="5"/>
      <c r="N4" s="5"/>
    </row>
    <row r="5" spans="1:16" ht="15" customHeight="1">
      <c r="A5" s="1559"/>
      <c r="D5" s="6"/>
      <c r="E5" s="6"/>
      <c r="F5" s="6"/>
      <c r="G5" s="6"/>
      <c r="H5" s="6"/>
      <c r="I5" s="6"/>
      <c r="J5" s="6"/>
      <c r="K5" s="6"/>
      <c r="L5" s="6"/>
      <c r="M5" s="6"/>
      <c r="N5" s="6"/>
    </row>
    <row r="6" spans="1:16" ht="15" customHeight="1">
      <c r="D6" s="6"/>
      <c r="E6" s="126" t="s">
        <v>1623</v>
      </c>
      <c r="F6" s="127"/>
      <c r="G6" s="127"/>
      <c r="H6" s="127"/>
      <c r="I6" s="127"/>
      <c r="J6" s="127"/>
      <c r="K6" s="127"/>
      <c r="L6" s="127"/>
      <c r="M6" s="179" t="s">
        <v>879</v>
      </c>
      <c r="N6" s="6"/>
    </row>
    <row r="7" spans="1:16" ht="15" customHeight="1">
      <c r="D7" s="6"/>
      <c r="E7" s="3913" t="s">
        <v>149</v>
      </c>
      <c r="F7" s="3913"/>
      <c r="G7" s="3913"/>
      <c r="H7" s="3913"/>
      <c r="I7" s="1569"/>
      <c r="J7" s="1569"/>
      <c r="K7" s="1569"/>
      <c r="L7" s="1569"/>
      <c r="M7" s="3930">
        <f>TRAYECTORIA_TRANSPORTE_PASAJEROS_GESTION_DEMANDA</f>
        <v>1</v>
      </c>
      <c r="N7" s="6"/>
    </row>
    <row r="8" spans="1:16" ht="15" customHeight="1">
      <c r="D8" s="6"/>
      <c r="E8" s="3932"/>
      <c r="F8" s="3932"/>
      <c r="G8" s="3932"/>
      <c r="H8" s="3932"/>
      <c r="I8" s="1581"/>
      <c r="J8" s="1581"/>
      <c r="K8" s="1581"/>
      <c r="L8" s="1581"/>
      <c r="M8" s="3931"/>
      <c r="N8" s="6"/>
    </row>
    <row r="9" spans="1:16" ht="15" customHeight="1">
      <c r="D9" s="6"/>
      <c r="E9" s="3912" t="s">
        <v>150</v>
      </c>
      <c r="F9" s="3912"/>
      <c r="G9" s="3912"/>
      <c r="H9" s="3912"/>
      <c r="I9" s="219"/>
      <c r="J9" s="219"/>
      <c r="K9" s="219"/>
      <c r="L9" s="219"/>
      <c r="M9" s="3914">
        <f>TRAYECTORIA_TRANSPORTE_PAS_EFICIENCIA</f>
        <v>1</v>
      </c>
      <c r="N9" s="6"/>
      <c r="O9" s="1"/>
      <c r="P9" s="2"/>
    </row>
    <row r="10" spans="1:16" ht="15" customHeight="1">
      <c r="D10" s="6"/>
      <c r="E10" s="3924"/>
      <c r="F10" s="3924"/>
      <c r="G10" s="3924"/>
      <c r="H10" s="3924"/>
      <c r="I10" s="1570"/>
      <c r="J10" s="1570"/>
      <c r="K10" s="1570"/>
      <c r="L10" s="1570"/>
      <c r="M10" s="3915"/>
      <c r="N10" s="6"/>
      <c r="O10" s="1"/>
      <c r="P10" s="2"/>
    </row>
    <row r="11" spans="1:16" ht="15" customHeight="1">
      <c r="D11" s="6"/>
      <c r="E11" s="6"/>
      <c r="F11" s="6"/>
      <c r="G11" s="6"/>
      <c r="H11" s="6"/>
      <c r="I11" s="6"/>
      <c r="J11" s="6"/>
      <c r="K11" s="6"/>
      <c r="L11" s="6"/>
      <c r="M11" s="6"/>
      <c r="N11" s="6"/>
      <c r="O11" s="1"/>
      <c r="P11" s="2"/>
    </row>
    <row r="12" spans="1:16" ht="15" customHeight="1">
      <c r="P12" s="2"/>
    </row>
    <row r="13" spans="1:16" ht="15" customHeight="1">
      <c r="D13" s="335" t="s">
        <v>1190</v>
      </c>
      <c r="E13" s="336"/>
      <c r="F13" s="336"/>
      <c r="G13" s="336"/>
      <c r="H13" s="336"/>
      <c r="I13" s="336"/>
      <c r="J13" s="336"/>
      <c r="K13" s="336"/>
      <c r="L13" s="336"/>
      <c r="M13" s="336"/>
      <c r="N13" s="336"/>
    </row>
    <row r="14" spans="1:16" ht="15" customHeight="1">
      <c r="D14" s="11"/>
      <c r="E14" s="12"/>
      <c r="F14" s="12"/>
      <c r="G14" s="12"/>
      <c r="H14" s="12"/>
      <c r="I14" s="12"/>
      <c r="J14" s="12"/>
      <c r="K14" s="12"/>
      <c r="L14" s="12"/>
      <c r="M14" s="12"/>
      <c r="N14" s="12"/>
    </row>
    <row r="15" spans="1:16" ht="15" customHeight="1">
      <c r="D15" s="13"/>
      <c r="E15" s="940" t="s">
        <v>2240</v>
      </c>
      <c r="F15" s="87"/>
      <c r="G15" s="119"/>
      <c r="H15" s="87"/>
      <c r="I15" s="120"/>
      <c r="J15" s="87"/>
      <c r="K15" s="120"/>
      <c r="L15" s="120"/>
      <c r="M15" s="120"/>
      <c r="N15" s="20"/>
    </row>
    <row r="16" spans="1:16" ht="15" customHeight="1">
      <c r="D16" s="13"/>
      <c r="E16" s="19"/>
      <c r="F16" s="20"/>
      <c r="G16" s="21"/>
      <c r="H16" s="20"/>
      <c r="I16" s="22"/>
      <c r="J16" s="20"/>
      <c r="K16" s="22"/>
      <c r="L16" s="22"/>
      <c r="M16" s="22"/>
      <c r="N16" s="20"/>
    </row>
    <row r="17" spans="4:16" ht="15" customHeight="1">
      <c r="D17" s="13"/>
      <c r="E17" s="23" t="s">
        <v>1726</v>
      </c>
      <c r="F17" s="20"/>
      <c r="G17" s="21"/>
      <c r="H17" s="20"/>
      <c r="I17" s="22"/>
      <c r="J17" s="20"/>
      <c r="K17" s="22"/>
      <c r="L17" s="22"/>
      <c r="M17" s="22"/>
      <c r="N17" s="20"/>
    </row>
    <row r="18" spans="4:16" ht="15" customHeight="1">
      <c r="D18" s="13"/>
      <c r="E18" s="26"/>
      <c r="F18" s="727"/>
      <c r="G18" s="727"/>
      <c r="H18" s="727"/>
      <c r="I18" s="727"/>
      <c r="J18" s="727"/>
      <c r="K18" s="727"/>
      <c r="L18" s="727"/>
      <c r="M18" s="730"/>
      <c r="N18" s="22"/>
    </row>
    <row r="19" spans="4:16" ht="15" customHeight="1">
      <c r="D19" s="25"/>
      <c r="E19" s="28" t="s">
        <v>2241</v>
      </c>
      <c r="F19" s="731">
        <v>2018</v>
      </c>
      <c r="G19" s="731">
        <v>2020</v>
      </c>
      <c r="H19" s="731">
        <v>2025</v>
      </c>
      <c r="I19" s="731">
        <v>2030</v>
      </c>
      <c r="J19" s="731">
        <v>2035</v>
      </c>
      <c r="K19" s="731">
        <v>2040</v>
      </c>
      <c r="L19" s="731">
        <v>2045</v>
      </c>
      <c r="M19" s="731">
        <v>2050</v>
      </c>
      <c r="N19" s="22"/>
    </row>
    <row r="20" spans="4:16" ht="15" customHeight="1">
      <c r="D20" s="25"/>
      <c r="E20" s="337" t="s">
        <v>2242</v>
      </c>
      <c r="F20" s="3390">
        <v>0.32300000000000001</v>
      </c>
      <c r="G20" s="3390">
        <v>0.32300000000000001</v>
      </c>
      <c r="H20" s="3391">
        <v>0.32300000000000001</v>
      </c>
      <c r="I20" s="3391">
        <v>0.32300000000000001</v>
      </c>
      <c r="J20" s="3391">
        <v>0.32300000000000001</v>
      </c>
      <c r="K20" s="3391">
        <v>0.32300000000000001</v>
      </c>
      <c r="L20" s="3391">
        <v>0.32300000000000001</v>
      </c>
      <c r="M20" s="3391">
        <v>0.32300000000000001</v>
      </c>
      <c r="N20" s="22"/>
    </row>
    <row r="21" spans="4:16" ht="15" customHeight="1">
      <c r="D21" s="25"/>
      <c r="E21" s="30" t="s">
        <v>887</v>
      </c>
      <c r="F21" s="3392">
        <v>5.4000000000000006E-2</v>
      </c>
      <c r="G21" s="3392">
        <v>5.3999999999999999E-2</v>
      </c>
      <c r="H21" s="3393">
        <v>5.4000000000000006E-2</v>
      </c>
      <c r="I21" s="3393">
        <v>5.4000000000000006E-2</v>
      </c>
      <c r="J21" s="3393">
        <v>5.4000000000000006E-2</v>
      </c>
      <c r="K21" s="3393">
        <v>5.4000000000000006E-2</v>
      </c>
      <c r="L21" s="3393">
        <v>5.4000000000000006E-2</v>
      </c>
      <c r="M21" s="3393">
        <v>5.4000000000000006E-2</v>
      </c>
      <c r="N21" s="22"/>
    </row>
    <row r="22" spans="4:16" ht="15" customHeight="1">
      <c r="D22" s="25"/>
      <c r="E22" s="30" t="s">
        <v>2243</v>
      </c>
      <c r="F22" s="3394">
        <v>0.13400000000000001</v>
      </c>
      <c r="G22" s="3394">
        <v>0.13400000000000001</v>
      </c>
      <c r="H22" s="3395">
        <v>0.13400000000000001</v>
      </c>
      <c r="I22" s="3395">
        <v>0.13400000000000001</v>
      </c>
      <c r="J22" s="3393">
        <v>0.13400000000000001</v>
      </c>
      <c r="K22" s="3393">
        <v>0.13400000000000001</v>
      </c>
      <c r="L22" s="3393">
        <v>0.13400000000000001</v>
      </c>
      <c r="M22" s="3393">
        <v>0.13400000000000001</v>
      </c>
      <c r="N22" s="22"/>
    </row>
    <row r="23" spans="4:16" ht="15" customHeight="1">
      <c r="D23" s="25"/>
      <c r="E23" s="30" t="s">
        <v>895</v>
      </c>
      <c r="F23" s="3394">
        <v>5.5E-2</v>
      </c>
      <c r="G23" s="3394">
        <v>5.5E-2</v>
      </c>
      <c r="H23" s="3395">
        <v>5.5E-2</v>
      </c>
      <c r="I23" s="3395">
        <v>5.5E-2</v>
      </c>
      <c r="J23" s="3393">
        <v>5.5E-2</v>
      </c>
      <c r="K23" s="3393">
        <v>5.5E-2</v>
      </c>
      <c r="L23" s="3393">
        <v>5.5E-2</v>
      </c>
      <c r="M23" s="3393">
        <v>5.5E-2</v>
      </c>
      <c r="N23" s="22"/>
      <c r="P23" s="3334"/>
    </row>
    <row r="24" spans="4:16" ht="15" customHeight="1">
      <c r="D24" s="25"/>
      <c r="E24" s="30" t="s">
        <v>896</v>
      </c>
      <c r="F24" s="3392">
        <v>0.17899999999999999</v>
      </c>
      <c r="G24" s="3392">
        <v>0.17899999999999999</v>
      </c>
      <c r="H24" s="3393">
        <v>0.17899999999999999</v>
      </c>
      <c r="I24" s="3393">
        <v>0.17899999999999999</v>
      </c>
      <c r="J24" s="3393">
        <v>0.17899999999999999</v>
      </c>
      <c r="K24" s="3393">
        <v>0.17899999999999999</v>
      </c>
      <c r="L24" s="3393">
        <v>0.17899999999999999</v>
      </c>
      <c r="M24" s="3393">
        <v>0.17899999999999999</v>
      </c>
      <c r="N24" s="22"/>
    </row>
    <row r="25" spans="4:16" ht="15" customHeight="1">
      <c r="D25" s="25"/>
      <c r="E25" s="30" t="s">
        <v>899</v>
      </c>
      <c r="F25" s="3395">
        <f t="shared" ref="F25:M27" si="0">0.12/3</f>
        <v>0.04</v>
      </c>
      <c r="G25" s="3395">
        <f t="shared" si="0"/>
        <v>0.04</v>
      </c>
      <c r="H25" s="3395">
        <f t="shared" si="0"/>
        <v>0.04</v>
      </c>
      <c r="I25" s="3395">
        <f t="shared" si="0"/>
        <v>0.04</v>
      </c>
      <c r="J25" s="3393">
        <f t="shared" si="0"/>
        <v>0.04</v>
      </c>
      <c r="K25" s="3393">
        <f t="shared" si="0"/>
        <v>0.04</v>
      </c>
      <c r="L25" s="3393">
        <f t="shared" si="0"/>
        <v>0.04</v>
      </c>
      <c r="M25" s="3393">
        <f t="shared" si="0"/>
        <v>0.04</v>
      </c>
      <c r="N25" s="22"/>
    </row>
    <row r="26" spans="4:16" ht="15" customHeight="1">
      <c r="D26" s="25"/>
      <c r="E26" s="30" t="s">
        <v>900</v>
      </c>
      <c r="F26" s="3395">
        <f t="shared" si="0"/>
        <v>0.04</v>
      </c>
      <c r="G26" s="3395">
        <f t="shared" si="0"/>
        <v>0.04</v>
      </c>
      <c r="H26" s="3395">
        <f t="shared" si="0"/>
        <v>0.04</v>
      </c>
      <c r="I26" s="3395">
        <f t="shared" si="0"/>
        <v>0.04</v>
      </c>
      <c r="J26" s="3393">
        <f t="shared" si="0"/>
        <v>0.04</v>
      </c>
      <c r="K26" s="3393">
        <f t="shared" si="0"/>
        <v>0.04</v>
      </c>
      <c r="L26" s="3393">
        <f t="shared" si="0"/>
        <v>0.04</v>
      </c>
      <c r="M26" s="3393">
        <f t="shared" si="0"/>
        <v>0.04</v>
      </c>
      <c r="N26" s="22"/>
    </row>
    <row r="27" spans="4:16" ht="15" customHeight="1">
      <c r="D27" s="25"/>
      <c r="E27" s="30" t="s">
        <v>2244</v>
      </c>
      <c r="F27" s="3395">
        <f t="shared" si="0"/>
        <v>0.04</v>
      </c>
      <c r="G27" s="3395">
        <f t="shared" si="0"/>
        <v>0.04</v>
      </c>
      <c r="H27" s="3395">
        <f t="shared" si="0"/>
        <v>0.04</v>
      </c>
      <c r="I27" s="3395">
        <f t="shared" si="0"/>
        <v>0.04</v>
      </c>
      <c r="J27" s="3393">
        <f t="shared" si="0"/>
        <v>0.04</v>
      </c>
      <c r="K27" s="3393">
        <f t="shared" si="0"/>
        <v>0.04</v>
      </c>
      <c r="L27" s="3393">
        <f t="shared" si="0"/>
        <v>0.04</v>
      </c>
      <c r="M27" s="3393">
        <f t="shared" si="0"/>
        <v>0.04</v>
      </c>
      <c r="N27" s="22"/>
    </row>
    <row r="28" spans="4:16" ht="15" customHeight="1">
      <c r="D28" s="11"/>
      <c r="E28" s="32" t="s">
        <v>564</v>
      </c>
      <c r="F28" s="3396">
        <v>0.13300000000000001</v>
      </c>
      <c r="G28" s="3396">
        <v>0.13300000000000001</v>
      </c>
      <c r="H28" s="3397">
        <v>0.13300000000000001</v>
      </c>
      <c r="I28" s="3397">
        <v>0.13300000000000001</v>
      </c>
      <c r="J28" s="3397">
        <v>0.13300000000000001</v>
      </c>
      <c r="K28" s="3397">
        <v>0.13300000000000001</v>
      </c>
      <c r="L28" s="3397">
        <v>0.13300000000000001</v>
      </c>
      <c r="M28" s="3397">
        <v>0.13300000000000001</v>
      </c>
      <c r="N28" s="22"/>
    </row>
    <row r="29" spans="4:16" ht="15" customHeight="1">
      <c r="D29" s="11"/>
      <c r="E29" s="22"/>
      <c r="F29" s="729"/>
      <c r="G29" s="752"/>
      <c r="H29" s="752"/>
      <c r="I29" s="752"/>
      <c r="J29" s="752"/>
      <c r="K29" s="752"/>
      <c r="L29" s="752"/>
      <c r="M29" s="752"/>
      <c r="N29" s="22"/>
    </row>
    <row r="30" spans="4:16" ht="15" customHeight="1">
      <c r="D30" s="11"/>
      <c r="E30" s="23" t="s">
        <v>1729</v>
      </c>
      <c r="F30" s="729"/>
      <c r="G30" s="752"/>
      <c r="H30" s="752"/>
      <c r="I30" s="752"/>
      <c r="J30" s="752"/>
      <c r="K30" s="752"/>
      <c r="L30" s="752"/>
      <c r="M30" s="752"/>
      <c r="N30" s="22"/>
    </row>
    <row r="31" spans="4:16" ht="15" customHeight="1">
      <c r="D31" s="13"/>
      <c r="E31" s="26"/>
      <c r="F31" s="727"/>
      <c r="G31" s="727"/>
      <c r="H31" s="727"/>
      <c r="I31" s="727"/>
      <c r="J31" s="727"/>
      <c r="K31" s="727"/>
      <c r="L31" s="727"/>
      <c r="M31" s="730"/>
      <c r="N31" s="22"/>
    </row>
    <row r="32" spans="4:16" ht="15" customHeight="1">
      <c r="D32" s="25"/>
      <c r="E32" s="28" t="s">
        <v>2241</v>
      </c>
      <c r="F32" s="731">
        <v>2018</v>
      </c>
      <c r="G32" s="731">
        <v>2020</v>
      </c>
      <c r="H32" s="731">
        <v>2025</v>
      </c>
      <c r="I32" s="731">
        <v>2030</v>
      </c>
      <c r="J32" s="731">
        <v>2035</v>
      </c>
      <c r="K32" s="731">
        <v>2040</v>
      </c>
      <c r="L32" s="731">
        <v>2045</v>
      </c>
      <c r="M32" s="731">
        <v>2050</v>
      </c>
      <c r="N32" s="22"/>
    </row>
    <row r="33" spans="4:14" ht="15" customHeight="1">
      <c r="D33" s="25"/>
      <c r="E33" s="337" t="s">
        <v>2242</v>
      </c>
      <c r="F33" s="3390">
        <v>0.32300000000000001</v>
      </c>
      <c r="G33" s="3390">
        <v>0.32300000000000001</v>
      </c>
      <c r="H33" s="3390">
        <v>0.32300000000000001</v>
      </c>
      <c r="I33" s="3390">
        <v>0.32300000000000001</v>
      </c>
      <c r="J33" s="3391">
        <v>0.32300000000000001</v>
      </c>
      <c r="K33" s="3391">
        <v>0.32300000000000001</v>
      </c>
      <c r="L33" s="3391">
        <v>0.32300000000000001</v>
      </c>
      <c r="M33" s="3391">
        <v>0.32300000000000001</v>
      </c>
      <c r="N33" s="22"/>
    </row>
    <row r="34" spans="4:14" ht="15" customHeight="1">
      <c r="D34" s="25"/>
      <c r="E34" s="30" t="s">
        <v>887</v>
      </c>
      <c r="F34" s="3392">
        <v>5.4000000000000006E-2</v>
      </c>
      <c r="G34" s="3392">
        <v>5.3999999999999999E-2</v>
      </c>
      <c r="H34" s="3392">
        <v>5.4000000000000006E-2</v>
      </c>
      <c r="I34" s="3392">
        <v>5.4000000000000006E-2</v>
      </c>
      <c r="J34" s="3393">
        <v>5.4000000000000006E-2</v>
      </c>
      <c r="K34" s="3393">
        <v>5.4000000000000006E-2</v>
      </c>
      <c r="L34" s="3393">
        <v>5.4000000000000006E-2</v>
      </c>
      <c r="M34" s="3393">
        <v>5.4000000000000006E-2</v>
      </c>
      <c r="N34" s="22"/>
    </row>
    <row r="35" spans="4:14" ht="15" customHeight="1">
      <c r="D35" s="25"/>
      <c r="E35" s="30" t="s">
        <v>2243</v>
      </c>
      <c r="F35" s="3394">
        <v>0.13400000000000001</v>
      </c>
      <c r="G35" s="3394">
        <v>0.13400000000000001</v>
      </c>
      <c r="H35" s="3394">
        <v>0.13400000000000001</v>
      </c>
      <c r="I35" s="3394">
        <v>0.13400000000000001</v>
      </c>
      <c r="J35" s="3393">
        <v>0.13400000000000001</v>
      </c>
      <c r="K35" s="3393">
        <v>0.13400000000000001</v>
      </c>
      <c r="L35" s="3393">
        <v>0.13400000000000001</v>
      </c>
      <c r="M35" s="3393">
        <v>0.13400000000000001</v>
      </c>
      <c r="N35" s="22"/>
    </row>
    <row r="36" spans="4:14" ht="15" customHeight="1">
      <c r="D36" s="25"/>
      <c r="E36" s="30" t="s">
        <v>895</v>
      </c>
      <c r="F36" s="3394">
        <v>5.5E-2</v>
      </c>
      <c r="G36" s="3394">
        <v>5.5E-2</v>
      </c>
      <c r="H36" s="3394">
        <v>5.5E-2</v>
      </c>
      <c r="I36" s="3394">
        <v>5.5E-2</v>
      </c>
      <c r="J36" s="3393">
        <v>5.5E-2</v>
      </c>
      <c r="K36" s="3393">
        <v>5.5E-2</v>
      </c>
      <c r="L36" s="3393">
        <v>5.5E-2</v>
      </c>
      <c r="M36" s="3393">
        <v>5.5E-2</v>
      </c>
      <c r="N36" s="22"/>
    </row>
    <row r="37" spans="4:14" ht="15" customHeight="1">
      <c r="D37" s="25"/>
      <c r="E37" s="30" t="s">
        <v>896</v>
      </c>
      <c r="F37" s="3392">
        <v>0.17899999999999999</v>
      </c>
      <c r="G37" s="3392">
        <v>0.17899999999999999</v>
      </c>
      <c r="H37" s="3392">
        <v>0.17899999999999999</v>
      </c>
      <c r="I37" s="3392">
        <v>0.17899999999999999</v>
      </c>
      <c r="J37" s="3393">
        <v>0.17899999999999999</v>
      </c>
      <c r="K37" s="3393">
        <v>0.17899999999999999</v>
      </c>
      <c r="L37" s="3393">
        <v>0.17899999999999999</v>
      </c>
      <c r="M37" s="3393">
        <v>0.17899999999999999</v>
      </c>
      <c r="N37" s="22"/>
    </row>
    <row r="38" spans="4:14" ht="15" customHeight="1">
      <c r="D38" s="25"/>
      <c r="E38" s="30" t="s">
        <v>899</v>
      </c>
      <c r="F38" s="3395">
        <f t="shared" ref="F38:M40" si="1">0.12/3</f>
        <v>0.04</v>
      </c>
      <c r="G38" s="3395">
        <f t="shared" si="1"/>
        <v>0.04</v>
      </c>
      <c r="H38" s="3395">
        <f t="shared" si="1"/>
        <v>0.04</v>
      </c>
      <c r="I38" s="3395">
        <f t="shared" si="1"/>
        <v>0.04</v>
      </c>
      <c r="J38" s="3393">
        <f t="shared" si="1"/>
        <v>0.04</v>
      </c>
      <c r="K38" s="3393">
        <f t="shared" si="1"/>
        <v>0.04</v>
      </c>
      <c r="L38" s="3393">
        <f t="shared" si="1"/>
        <v>0.04</v>
      </c>
      <c r="M38" s="3393">
        <f t="shared" si="1"/>
        <v>0.04</v>
      </c>
      <c r="N38" s="22"/>
    </row>
    <row r="39" spans="4:14" ht="15" customHeight="1">
      <c r="D39" s="25"/>
      <c r="E39" s="30" t="s">
        <v>900</v>
      </c>
      <c r="F39" s="3395">
        <f t="shared" si="1"/>
        <v>0.04</v>
      </c>
      <c r="G39" s="3395">
        <f t="shared" si="1"/>
        <v>0.04</v>
      </c>
      <c r="H39" s="3395">
        <f t="shared" si="1"/>
        <v>0.04</v>
      </c>
      <c r="I39" s="3395">
        <f t="shared" si="1"/>
        <v>0.04</v>
      </c>
      <c r="J39" s="3393">
        <f t="shared" si="1"/>
        <v>0.04</v>
      </c>
      <c r="K39" s="3393">
        <f t="shared" si="1"/>
        <v>0.04</v>
      </c>
      <c r="L39" s="3393">
        <f t="shared" si="1"/>
        <v>0.04</v>
      </c>
      <c r="M39" s="3393">
        <f t="shared" si="1"/>
        <v>0.04</v>
      </c>
      <c r="N39" s="22"/>
    </row>
    <row r="40" spans="4:14" ht="15" customHeight="1">
      <c r="D40" s="25"/>
      <c r="E40" s="30" t="s">
        <v>2244</v>
      </c>
      <c r="F40" s="3395">
        <f t="shared" si="1"/>
        <v>0.04</v>
      </c>
      <c r="G40" s="3395">
        <f t="shared" si="1"/>
        <v>0.04</v>
      </c>
      <c r="H40" s="3395">
        <f t="shared" si="1"/>
        <v>0.04</v>
      </c>
      <c r="I40" s="3395">
        <f t="shared" si="1"/>
        <v>0.04</v>
      </c>
      <c r="J40" s="3393">
        <f t="shared" si="1"/>
        <v>0.04</v>
      </c>
      <c r="K40" s="3393">
        <f t="shared" si="1"/>
        <v>0.04</v>
      </c>
      <c r="L40" s="3393">
        <f t="shared" si="1"/>
        <v>0.04</v>
      </c>
      <c r="M40" s="3393">
        <f t="shared" si="1"/>
        <v>0.04</v>
      </c>
      <c r="N40" s="22"/>
    </row>
    <row r="41" spans="4:14" ht="15" customHeight="1">
      <c r="D41" s="11"/>
      <c r="E41" s="32" t="s">
        <v>564</v>
      </c>
      <c r="F41" s="3396">
        <v>0.13300000000000001</v>
      </c>
      <c r="G41" s="3396">
        <v>0.13300000000000001</v>
      </c>
      <c r="H41" s="3396">
        <v>0.13300000000000001</v>
      </c>
      <c r="I41" s="3396">
        <v>0.13300000000000001</v>
      </c>
      <c r="J41" s="3397">
        <v>0.13300000000000001</v>
      </c>
      <c r="K41" s="3397">
        <v>0.13300000000000001</v>
      </c>
      <c r="L41" s="3397">
        <v>0.13300000000000001</v>
      </c>
      <c r="M41" s="3397">
        <v>0.13300000000000001</v>
      </c>
      <c r="N41" s="22"/>
    </row>
    <row r="42" spans="4:14" ht="15" customHeight="1">
      <c r="D42" s="13"/>
      <c r="E42" s="26"/>
      <c r="F42" s="727"/>
      <c r="G42" s="727"/>
      <c r="H42" s="727"/>
      <c r="I42" s="727"/>
      <c r="J42" s="727"/>
      <c r="K42" s="727"/>
      <c r="L42" s="727"/>
      <c r="M42" s="730"/>
      <c r="N42" s="22"/>
    </row>
    <row r="43" spans="4:14" ht="15" customHeight="1">
      <c r="D43" s="13"/>
      <c r="E43" s="23" t="s">
        <v>1730</v>
      </c>
      <c r="F43" s="727"/>
      <c r="G43" s="727"/>
      <c r="H43" s="727"/>
      <c r="I43" s="727"/>
      <c r="J43" s="727"/>
      <c r="K43" s="727"/>
      <c r="L43" s="727"/>
      <c r="M43" s="730"/>
      <c r="N43" s="22"/>
    </row>
    <row r="44" spans="4:14" ht="15" customHeight="1">
      <c r="D44" s="13"/>
      <c r="E44" s="26"/>
      <c r="F44" s="727"/>
      <c r="G44" s="727"/>
      <c r="H44" s="727"/>
      <c r="I44" s="727"/>
      <c r="J44" s="727"/>
      <c r="K44" s="727"/>
      <c r="L44" s="727"/>
      <c r="M44" s="730"/>
      <c r="N44" s="22"/>
    </row>
    <row r="45" spans="4:14" ht="15" customHeight="1">
      <c r="D45" s="25"/>
      <c r="E45" s="28" t="s">
        <v>2241</v>
      </c>
      <c r="F45" s="731">
        <v>2018</v>
      </c>
      <c r="G45" s="731">
        <v>2020</v>
      </c>
      <c r="H45" s="731">
        <v>2025</v>
      </c>
      <c r="I45" s="731">
        <v>2030</v>
      </c>
      <c r="J45" s="731">
        <v>2035</v>
      </c>
      <c r="K45" s="731">
        <v>2040</v>
      </c>
      <c r="L45" s="731">
        <v>2045</v>
      </c>
      <c r="M45" s="731">
        <v>2050</v>
      </c>
      <c r="N45" s="22"/>
    </row>
    <row r="46" spans="4:14" ht="15" customHeight="1">
      <c r="D46" s="25"/>
      <c r="E46" s="337" t="s">
        <v>2242</v>
      </c>
      <c r="F46" s="3390">
        <v>0.32300000000000001</v>
      </c>
      <c r="G46" s="3390">
        <v>0.32300000000000001</v>
      </c>
      <c r="H46" s="3391">
        <v>0.32300000000000001</v>
      </c>
      <c r="I46" s="3391">
        <v>0.32300000000000001</v>
      </c>
      <c r="J46" s="3391">
        <v>0.32300000000000001</v>
      </c>
      <c r="K46" s="3391">
        <v>0.32300000000000001</v>
      </c>
      <c r="L46" s="3391">
        <v>0.32300000000000001</v>
      </c>
      <c r="M46" s="3391">
        <v>0.32300000000000001</v>
      </c>
      <c r="N46" s="22"/>
    </row>
    <row r="47" spans="4:14" ht="15" customHeight="1">
      <c r="D47" s="25"/>
      <c r="E47" s="30" t="s">
        <v>887</v>
      </c>
      <c r="F47" s="3392">
        <v>5.4000000000000006E-2</v>
      </c>
      <c r="G47" s="3392">
        <v>5.3999999999999999E-2</v>
      </c>
      <c r="H47" s="3393">
        <v>5.4000000000000006E-2</v>
      </c>
      <c r="I47" s="3393">
        <v>5.4000000000000006E-2</v>
      </c>
      <c r="J47" s="3393">
        <v>5.4000000000000006E-2</v>
      </c>
      <c r="K47" s="3393">
        <v>5.4000000000000006E-2</v>
      </c>
      <c r="L47" s="3393">
        <v>5.4000000000000006E-2</v>
      </c>
      <c r="M47" s="3393">
        <v>5.4000000000000006E-2</v>
      </c>
      <c r="N47" s="22"/>
    </row>
    <row r="48" spans="4:14" ht="15" customHeight="1">
      <c r="D48" s="25"/>
      <c r="E48" s="30" t="s">
        <v>2243</v>
      </c>
      <c r="F48" s="3394">
        <v>0.13400000000000001</v>
      </c>
      <c r="G48" s="3394">
        <v>0.13400000000000001</v>
      </c>
      <c r="H48" s="3395">
        <v>0.13400000000000001</v>
      </c>
      <c r="I48" s="3395">
        <v>0.13400000000000001</v>
      </c>
      <c r="J48" s="3393">
        <v>0.13400000000000001</v>
      </c>
      <c r="K48" s="3393">
        <v>0.13400000000000001</v>
      </c>
      <c r="L48" s="3393">
        <v>0.13400000000000001</v>
      </c>
      <c r="M48" s="3393">
        <v>0.13400000000000001</v>
      </c>
      <c r="N48" s="22"/>
    </row>
    <row r="49" spans="4:14" ht="15" customHeight="1">
      <c r="D49" s="25"/>
      <c r="E49" s="30" t="s">
        <v>895</v>
      </c>
      <c r="F49" s="3394">
        <v>5.5E-2</v>
      </c>
      <c r="G49" s="3394">
        <v>5.5E-2</v>
      </c>
      <c r="H49" s="3395">
        <v>5.5E-2</v>
      </c>
      <c r="I49" s="3395">
        <v>5.5E-2</v>
      </c>
      <c r="J49" s="3393">
        <v>5.5E-2</v>
      </c>
      <c r="K49" s="3393">
        <v>5.5E-2</v>
      </c>
      <c r="L49" s="3393">
        <v>5.5E-2</v>
      </c>
      <c r="M49" s="3393">
        <v>5.5E-2</v>
      </c>
      <c r="N49" s="22"/>
    </row>
    <row r="50" spans="4:14" ht="15" customHeight="1">
      <c r="D50" s="25"/>
      <c r="E50" s="30" t="s">
        <v>896</v>
      </c>
      <c r="F50" s="3392">
        <v>0.17899999999999999</v>
      </c>
      <c r="G50" s="3392">
        <v>0.17899999999999999</v>
      </c>
      <c r="H50" s="3393">
        <v>0.17899999999999999</v>
      </c>
      <c r="I50" s="3393">
        <v>0.17899999999999999</v>
      </c>
      <c r="J50" s="3393">
        <v>0.17899999999999999</v>
      </c>
      <c r="K50" s="3393">
        <v>0.17899999999999999</v>
      </c>
      <c r="L50" s="3393">
        <v>0.17899999999999999</v>
      </c>
      <c r="M50" s="3393">
        <v>0.17899999999999999</v>
      </c>
      <c r="N50" s="22"/>
    </row>
    <row r="51" spans="4:14" ht="15" customHeight="1">
      <c r="D51" s="25"/>
      <c r="E51" s="30" t="s">
        <v>899</v>
      </c>
      <c r="F51" s="3395">
        <f t="shared" ref="F51:M53" si="2">0.12/3</f>
        <v>0.04</v>
      </c>
      <c r="G51" s="3395">
        <f t="shared" si="2"/>
        <v>0.04</v>
      </c>
      <c r="H51" s="3395">
        <f t="shared" si="2"/>
        <v>0.04</v>
      </c>
      <c r="I51" s="3395">
        <f t="shared" si="2"/>
        <v>0.04</v>
      </c>
      <c r="J51" s="3393">
        <f t="shared" si="2"/>
        <v>0.04</v>
      </c>
      <c r="K51" s="3393">
        <f t="shared" si="2"/>
        <v>0.04</v>
      </c>
      <c r="L51" s="3393">
        <f t="shared" si="2"/>
        <v>0.04</v>
      </c>
      <c r="M51" s="3393">
        <f t="shared" si="2"/>
        <v>0.04</v>
      </c>
      <c r="N51" s="22"/>
    </row>
    <row r="52" spans="4:14" ht="15" customHeight="1">
      <c r="D52" s="25"/>
      <c r="E52" s="30" t="s">
        <v>900</v>
      </c>
      <c r="F52" s="3395">
        <f t="shared" si="2"/>
        <v>0.04</v>
      </c>
      <c r="G52" s="3395">
        <f t="shared" si="2"/>
        <v>0.04</v>
      </c>
      <c r="H52" s="3395">
        <f t="shared" si="2"/>
        <v>0.04</v>
      </c>
      <c r="I52" s="3395">
        <f t="shared" si="2"/>
        <v>0.04</v>
      </c>
      <c r="J52" s="3393">
        <f t="shared" si="2"/>
        <v>0.04</v>
      </c>
      <c r="K52" s="3393">
        <f t="shared" si="2"/>
        <v>0.04</v>
      </c>
      <c r="L52" s="3393">
        <f t="shared" si="2"/>
        <v>0.04</v>
      </c>
      <c r="M52" s="3393">
        <f t="shared" si="2"/>
        <v>0.04</v>
      </c>
      <c r="N52" s="22"/>
    </row>
    <row r="53" spans="4:14" ht="15" customHeight="1">
      <c r="D53" s="25"/>
      <c r="E53" s="30" t="s">
        <v>2244</v>
      </c>
      <c r="F53" s="3395">
        <f t="shared" si="2"/>
        <v>0.04</v>
      </c>
      <c r="G53" s="3395">
        <f t="shared" si="2"/>
        <v>0.04</v>
      </c>
      <c r="H53" s="3395">
        <f t="shared" si="2"/>
        <v>0.04</v>
      </c>
      <c r="I53" s="3395">
        <f t="shared" si="2"/>
        <v>0.04</v>
      </c>
      <c r="J53" s="3393">
        <f t="shared" si="2"/>
        <v>0.04</v>
      </c>
      <c r="K53" s="3393">
        <f t="shared" si="2"/>
        <v>0.04</v>
      </c>
      <c r="L53" s="3393">
        <f t="shared" si="2"/>
        <v>0.04</v>
      </c>
      <c r="M53" s="3393">
        <f t="shared" si="2"/>
        <v>0.04</v>
      </c>
      <c r="N53" s="22"/>
    </row>
    <row r="54" spans="4:14" ht="15" customHeight="1">
      <c r="D54" s="11"/>
      <c r="E54" s="32" t="s">
        <v>564</v>
      </c>
      <c r="F54" s="3396">
        <v>0.13300000000000001</v>
      </c>
      <c r="G54" s="3396">
        <v>0.13300000000000001</v>
      </c>
      <c r="H54" s="3397">
        <v>0.13300000000000001</v>
      </c>
      <c r="I54" s="3397">
        <v>0.13300000000000001</v>
      </c>
      <c r="J54" s="3397">
        <v>0.13300000000000001</v>
      </c>
      <c r="K54" s="3397">
        <v>0.13300000000000001</v>
      </c>
      <c r="L54" s="3397">
        <v>0.13300000000000001</v>
      </c>
      <c r="M54" s="3397">
        <v>0.13300000000000001</v>
      </c>
      <c r="N54" s="22"/>
    </row>
    <row r="55" spans="4:14" ht="15" customHeight="1">
      <c r="D55" s="25"/>
      <c r="E55" s="338"/>
      <c r="F55" s="759"/>
      <c r="G55" s="759"/>
      <c r="H55" s="759"/>
      <c r="I55" s="759"/>
      <c r="J55" s="759"/>
      <c r="K55" s="759"/>
      <c r="L55" s="759"/>
      <c r="M55" s="759"/>
      <c r="N55" s="22"/>
    </row>
    <row r="56" spans="4:14" ht="15" customHeight="1">
      <c r="D56" s="25"/>
      <c r="E56" s="23" t="s">
        <v>1731</v>
      </c>
      <c r="F56" s="733"/>
      <c r="G56" s="733"/>
      <c r="H56" s="733"/>
      <c r="I56" s="733"/>
      <c r="J56" s="733"/>
      <c r="K56" s="733"/>
      <c r="L56" s="733"/>
      <c r="M56" s="733"/>
      <c r="N56" s="22"/>
    </row>
    <row r="57" spans="4:14" ht="15" customHeight="1">
      <c r="D57" s="13"/>
      <c r="E57" s="340"/>
      <c r="F57" s="760"/>
      <c r="G57" s="760"/>
      <c r="H57" s="760"/>
      <c r="I57" s="760"/>
      <c r="J57" s="760"/>
      <c r="K57" s="760"/>
      <c r="L57" s="760"/>
      <c r="M57" s="761"/>
      <c r="N57" s="22"/>
    </row>
    <row r="58" spans="4:14" ht="15" customHeight="1">
      <c r="D58" s="25"/>
      <c r="E58" s="28" t="s">
        <v>2241</v>
      </c>
      <c r="F58" s="762">
        <v>2018</v>
      </c>
      <c r="G58" s="762">
        <v>2020</v>
      </c>
      <c r="H58" s="762">
        <v>2025</v>
      </c>
      <c r="I58" s="762">
        <v>2030</v>
      </c>
      <c r="J58" s="762">
        <v>2035</v>
      </c>
      <c r="K58" s="762">
        <v>2040</v>
      </c>
      <c r="L58" s="762">
        <v>2045</v>
      </c>
      <c r="M58" s="762">
        <v>2050</v>
      </c>
      <c r="N58" s="22"/>
    </row>
    <row r="59" spans="4:14" ht="15" customHeight="1">
      <c r="D59" s="25"/>
      <c r="E59" s="337" t="s">
        <v>2242</v>
      </c>
      <c r="F59" s="3390">
        <v>0.32300000000000001</v>
      </c>
      <c r="G59" s="3390">
        <v>0.32300000000000001</v>
      </c>
      <c r="H59" s="3391">
        <v>0.32300000000000001</v>
      </c>
      <c r="I59" s="3391">
        <v>0.32300000000000001</v>
      </c>
      <c r="J59" s="3391">
        <v>0.32300000000000001</v>
      </c>
      <c r="K59" s="3391">
        <v>0.32300000000000001</v>
      </c>
      <c r="L59" s="3391">
        <v>0.32300000000000001</v>
      </c>
      <c r="M59" s="3391">
        <v>0.32300000000000001</v>
      </c>
      <c r="N59" s="22"/>
    </row>
    <row r="60" spans="4:14" ht="15" customHeight="1">
      <c r="D60" s="25"/>
      <c r="E60" s="30" t="s">
        <v>887</v>
      </c>
      <c r="F60" s="3392">
        <v>5.4000000000000006E-2</v>
      </c>
      <c r="G60" s="3392">
        <v>5.3999999999999999E-2</v>
      </c>
      <c r="H60" s="3393">
        <v>5.4000000000000006E-2</v>
      </c>
      <c r="I60" s="3393">
        <v>5.4000000000000006E-2</v>
      </c>
      <c r="J60" s="3393">
        <v>5.4000000000000006E-2</v>
      </c>
      <c r="K60" s="3393">
        <v>5.4000000000000006E-2</v>
      </c>
      <c r="L60" s="3393">
        <v>5.4000000000000006E-2</v>
      </c>
      <c r="M60" s="3393">
        <v>5.4000000000000006E-2</v>
      </c>
      <c r="N60" s="22"/>
    </row>
    <row r="61" spans="4:14" ht="15" customHeight="1">
      <c r="D61" s="25"/>
      <c r="E61" s="30" t="s">
        <v>2243</v>
      </c>
      <c r="F61" s="3394">
        <v>0.13400000000000001</v>
      </c>
      <c r="G61" s="3394">
        <v>0.13400000000000001</v>
      </c>
      <c r="H61" s="3395">
        <v>0.13400000000000001</v>
      </c>
      <c r="I61" s="3395">
        <v>0.13400000000000001</v>
      </c>
      <c r="J61" s="3393">
        <v>0.13400000000000001</v>
      </c>
      <c r="K61" s="3393">
        <v>0.13400000000000001</v>
      </c>
      <c r="L61" s="3393">
        <v>0.13400000000000001</v>
      </c>
      <c r="M61" s="3393">
        <v>0.13400000000000001</v>
      </c>
      <c r="N61" s="22"/>
    </row>
    <row r="62" spans="4:14" ht="15" customHeight="1">
      <c r="D62" s="25"/>
      <c r="E62" s="30" t="s">
        <v>895</v>
      </c>
      <c r="F62" s="3394">
        <v>5.5E-2</v>
      </c>
      <c r="G62" s="3394">
        <v>5.5E-2</v>
      </c>
      <c r="H62" s="3395">
        <v>5.5E-2</v>
      </c>
      <c r="I62" s="3395">
        <v>5.5E-2</v>
      </c>
      <c r="J62" s="3393">
        <v>5.5E-2</v>
      </c>
      <c r="K62" s="3393">
        <v>5.5E-2</v>
      </c>
      <c r="L62" s="3393">
        <v>5.5E-2</v>
      </c>
      <c r="M62" s="3393">
        <v>5.5E-2</v>
      </c>
      <c r="N62" s="22"/>
    </row>
    <row r="63" spans="4:14" ht="15" customHeight="1">
      <c r="D63" s="25"/>
      <c r="E63" s="30" t="s">
        <v>896</v>
      </c>
      <c r="F63" s="3392">
        <v>0.17899999999999999</v>
      </c>
      <c r="G63" s="3392">
        <v>0.17899999999999999</v>
      </c>
      <c r="H63" s="3393">
        <v>0.17899999999999999</v>
      </c>
      <c r="I63" s="3393">
        <v>0.17899999999999999</v>
      </c>
      <c r="J63" s="3393">
        <v>0.17899999999999999</v>
      </c>
      <c r="K63" s="3393">
        <v>0.17899999999999999</v>
      </c>
      <c r="L63" s="3393">
        <v>0.17899999999999999</v>
      </c>
      <c r="M63" s="3393">
        <v>0.17899999999999999</v>
      </c>
      <c r="N63" s="22"/>
    </row>
    <row r="64" spans="4:14" ht="15" customHeight="1">
      <c r="D64" s="25"/>
      <c r="E64" s="30" t="s">
        <v>899</v>
      </c>
      <c r="F64" s="3395">
        <f t="shared" ref="F64:M66" si="3">0.12/3</f>
        <v>0.04</v>
      </c>
      <c r="G64" s="3395">
        <f t="shared" si="3"/>
        <v>0.04</v>
      </c>
      <c r="H64" s="3395">
        <f t="shared" si="3"/>
        <v>0.04</v>
      </c>
      <c r="I64" s="3395">
        <f t="shared" si="3"/>
        <v>0.04</v>
      </c>
      <c r="J64" s="3393">
        <f t="shared" si="3"/>
        <v>0.04</v>
      </c>
      <c r="K64" s="3393">
        <f t="shared" si="3"/>
        <v>0.04</v>
      </c>
      <c r="L64" s="3393">
        <f t="shared" si="3"/>
        <v>0.04</v>
      </c>
      <c r="M64" s="3393">
        <f t="shared" si="3"/>
        <v>0.04</v>
      </c>
      <c r="N64" s="22"/>
    </row>
    <row r="65" spans="4:14" ht="15" customHeight="1">
      <c r="D65" s="25"/>
      <c r="E65" s="30" t="s">
        <v>900</v>
      </c>
      <c r="F65" s="3395">
        <f t="shared" si="3"/>
        <v>0.04</v>
      </c>
      <c r="G65" s="3395">
        <f t="shared" si="3"/>
        <v>0.04</v>
      </c>
      <c r="H65" s="3395">
        <f t="shared" si="3"/>
        <v>0.04</v>
      </c>
      <c r="I65" s="3395">
        <f t="shared" si="3"/>
        <v>0.04</v>
      </c>
      <c r="J65" s="3393">
        <f t="shared" si="3"/>
        <v>0.04</v>
      </c>
      <c r="K65" s="3393">
        <f t="shared" si="3"/>
        <v>0.04</v>
      </c>
      <c r="L65" s="3393">
        <f t="shared" si="3"/>
        <v>0.04</v>
      </c>
      <c r="M65" s="3393">
        <f t="shared" si="3"/>
        <v>0.04</v>
      </c>
      <c r="N65" s="22"/>
    </row>
    <row r="66" spans="4:14" ht="15" customHeight="1">
      <c r="D66" s="25"/>
      <c r="E66" s="30" t="s">
        <v>2244</v>
      </c>
      <c r="F66" s="3395">
        <f t="shared" si="3"/>
        <v>0.04</v>
      </c>
      <c r="G66" s="3395">
        <f t="shared" si="3"/>
        <v>0.04</v>
      </c>
      <c r="H66" s="3395">
        <f t="shared" si="3"/>
        <v>0.04</v>
      </c>
      <c r="I66" s="3395">
        <f t="shared" si="3"/>
        <v>0.04</v>
      </c>
      <c r="J66" s="3393">
        <f t="shared" si="3"/>
        <v>0.04</v>
      </c>
      <c r="K66" s="3393">
        <f t="shared" si="3"/>
        <v>0.04</v>
      </c>
      <c r="L66" s="3393">
        <f t="shared" si="3"/>
        <v>0.04</v>
      </c>
      <c r="M66" s="3393">
        <f t="shared" si="3"/>
        <v>0.04</v>
      </c>
      <c r="N66" s="22"/>
    </row>
    <row r="67" spans="4:14" ht="15" customHeight="1">
      <c r="D67" s="11"/>
      <c r="E67" s="32" t="s">
        <v>564</v>
      </c>
      <c r="F67" s="3396">
        <v>0.13300000000000001</v>
      </c>
      <c r="G67" s="3396">
        <v>0.13300000000000001</v>
      </c>
      <c r="H67" s="3397">
        <v>0.13300000000000001</v>
      </c>
      <c r="I67" s="3397">
        <v>0.13300000000000001</v>
      </c>
      <c r="J67" s="3397">
        <v>0.13300000000000001</v>
      </c>
      <c r="K67" s="3397">
        <v>0.13300000000000001</v>
      </c>
      <c r="L67" s="3397">
        <v>0.13300000000000001</v>
      </c>
      <c r="M67" s="3397">
        <v>0.13300000000000001</v>
      </c>
      <c r="N67" s="22"/>
    </row>
    <row r="68" spans="4:14" ht="15" customHeight="1">
      <c r="D68" s="25"/>
      <c r="E68" s="30"/>
      <c r="F68" s="735"/>
      <c r="G68" s="735"/>
      <c r="H68" s="735"/>
      <c r="I68" s="735"/>
      <c r="J68" s="735"/>
      <c r="K68" s="735"/>
      <c r="L68" s="735"/>
      <c r="M68" s="735"/>
      <c r="N68" s="30"/>
    </row>
    <row r="69" spans="4:14" ht="15" customHeight="1">
      <c r="D69" s="13"/>
      <c r="E69" s="940" t="s">
        <v>2245</v>
      </c>
      <c r="F69" s="736"/>
      <c r="G69" s="736"/>
      <c r="H69" s="736"/>
      <c r="I69" s="736"/>
      <c r="J69" s="736"/>
      <c r="K69" s="736"/>
      <c r="L69" s="736"/>
      <c r="M69" s="736"/>
      <c r="N69" s="20"/>
    </row>
    <row r="70" spans="4:14" ht="15" customHeight="1">
      <c r="D70" s="13"/>
      <c r="E70" s="19"/>
      <c r="F70" s="727"/>
      <c r="G70" s="728"/>
      <c r="H70" s="727"/>
      <c r="I70" s="729"/>
      <c r="J70" s="727"/>
      <c r="K70" s="729"/>
      <c r="L70" s="729"/>
      <c r="M70" s="729"/>
      <c r="N70" s="20"/>
    </row>
    <row r="71" spans="4:14" ht="15" customHeight="1">
      <c r="D71" s="13"/>
      <c r="E71" s="23" t="s">
        <v>1726</v>
      </c>
      <c r="F71" s="727"/>
      <c r="G71" s="728"/>
      <c r="H71" s="727"/>
      <c r="I71" s="729"/>
      <c r="J71" s="727"/>
      <c r="K71" s="729"/>
      <c r="L71" s="729"/>
      <c r="M71" s="729"/>
      <c r="N71" s="20"/>
    </row>
    <row r="72" spans="4:14" ht="15" customHeight="1">
      <c r="D72" s="13"/>
      <c r="E72" s="340"/>
      <c r="F72" s="760"/>
      <c r="G72" s="760"/>
      <c r="H72" s="760"/>
      <c r="I72" s="760"/>
      <c r="J72" s="760"/>
      <c r="K72" s="760"/>
      <c r="L72" s="760"/>
      <c r="M72" s="761" t="s">
        <v>2246</v>
      </c>
      <c r="N72" s="22"/>
    </row>
    <row r="73" spans="4:14" ht="15" customHeight="1">
      <c r="D73" s="25"/>
      <c r="E73" s="28" t="s">
        <v>2241</v>
      </c>
      <c r="F73" s="2724">
        <v>2018</v>
      </c>
      <c r="G73" s="2724">
        <v>2020</v>
      </c>
      <c r="H73" s="2724">
        <v>2025</v>
      </c>
      <c r="I73" s="2724">
        <v>2030</v>
      </c>
      <c r="J73" s="2724">
        <v>2035</v>
      </c>
      <c r="K73" s="2724">
        <v>2040</v>
      </c>
      <c r="L73" s="2724">
        <v>2045</v>
      </c>
      <c r="M73" s="2724">
        <v>2050</v>
      </c>
      <c r="N73" s="22"/>
    </row>
    <row r="74" spans="4:14" ht="15" customHeight="1">
      <c r="D74" s="25"/>
      <c r="E74" s="337" t="s">
        <v>2242</v>
      </c>
      <c r="F74" s="3401">
        <v>0.70879929025989863</v>
      </c>
      <c r="G74" s="3401">
        <v>0.70879929025989863</v>
      </c>
      <c r="H74" s="3401">
        <v>0.70879929025989863</v>
      </c>
      <c r="I74" s="3401">
        <v>0.70879929025989863</v>
      </c>
      <c r="J74" s="3401">
        <v>0.70879929025989863</v>
      </c>
      <c r="K74" s="3401">
        <v>0.70879929025989863</v>
      </c>
      <c r="L74" s="3401">
        <v>0.70879929025989863</v>
      </c>
      <c r="M74" s="3401">
        <v>0.70879929025989863</v>
      </c>
      <c r="N74" s="22"/>
    </row>
    <row r="75" spans="4:14" ht="15" customHeight="1">
      <c r="D75" s="25"/>
      <c r="E75" s="30" t="s">
        <v>887</v>
      </c>
      <c r="F75" s="3402">
        <v>1.559556226298638</v>
      </c>
      <c r="G75" s="3402">
        <v>1.559556226298638</v>
      </c>
      <c r="H75" s="3402">
        <v>1.559556226298638</v>
      </c>
      <c r="I75" s="3402">
        <v>1.559556226298638</v>
      </c>
      <c r="J75" s="3402">
        <v>1.559556226298638</v>
      </c>
      <c r="K75" s="3402">
        <v>1.559556226298638</v>
      </c>
      <c r="L75" s="3402">
        <v>1.559556226298638</v>
      </c>
      <c r="M75" s="3402">
        <v>1.559556226298638</v>
      </c>
      <c r="N75" s="22"/>
    </row>
    <row r="76" spans="4:14" ht="15" customHeight="1">
      <c r="D76" s="25"/>
      <c r="E76" s="30" t="s">
        <v>2243</v>
      </c>
      <c r="F76" s="3402">
        <v>5.4857589220406373</v>
      </c>
      <c r="G76" s="3402">
        <v>5.6</v>
      </c>
      <c r="H76" s="3402">
        <v>5.7</v>
      </c>
      <c r="I76" s="3402">
        <v>5.8</v>
      </c>
      <c r="J76" s="3402">
        <v>5.9</v>
      </c>
      <c r="K76" s="3402">
        <v>6</v>
      </c>
      <c r="L76" s="3402">
        <v>6.1</v>
      </c>
      <c r="M76" s="3402">
        <v>6.2</v>
      </c>
      <c r="N76" s="22"/>
    </row>
    <row r="77" spans="4:14" ht="15" customHeight="1">
      <c r="D77" s="25"/>
      <c r="E77" s="30" t="s">
        <v>895</v>
      </c>
      <c r="F77" s="3402">
        <v>14.24467588785023</v>
      </c>
      <c r="G77" s="3402">
        <v>13.977556425191271</v>
      </c>
      <c r="H77" s="3402">
        <v>13.763611465229916</v>
      </c>
      <c r="I77" s="3402">
        <v>13.633022368192076</v>
      </c>
      <c r="J77" s="3402">
        <v>13.630402226990775</v>
      </c>
      <c r="K77" s="3402">
        <v>13.793311078436652</v>
      </c>
      <c r="L77" s="3402">
        <v>13.985906982901724</v>
      </c>
      <c r="M77" s="3402">
        <v>14.304867164701136</v>
      </c>
      <c r="N77" s="22"/>
    </row>
    <row r="78" spans="4:14" ht="15" customHeight="1">
      <c r="D78" s="25"/>
      <c r="E78" s="30" t="s">
        <v>896</v>
      </c>
      <c r="F78" s="3402">
        <v>5.4857589220406373</v>
      </c>
      <c r="G78" s="3402">
        <v>5.6</v>
      </c>
      <c r="H78" s="3402">
        <v>5.7</v>
      </c>
      <c r="I78" s="3402">
        <v>5.8</v>
      </c>
      <c r="J78" s="3402">
        <v>5.9</v>
      </c>
      <c r="K78" s="3402">
        <v>6</v>
      </c>
      <c r="L78" s="3402">
        <v>6.1</v>
      </c>
      <c r="M78" s="3402">
        <v>6.2</v>
      </c>
      <c r="N78" s="22"/>
    </row>
    <row r="79" spans="4:14" ht="15" customHeight="1">
      <c r="D79" s="25"/>
      <c r="E79" s="30" t="s">
        <v>899</v>
      </c>
      <c r="F79" s="3402">
        <v>0.36889502942082536</v>
      </c>
      <c r="G79" s="3402">
        <v>0.35955498612609832</v>
      </c>
      <c r="H79" s="3402">
        <v>0.36238777747997047</v>
      </c>
      <c r="I79" s="3402">
        <v>0.35757049154351067</v>
      </c>
      <c r="J79" s="3402">
        <v>0.35836445715432524</v>
      </c>
      <c r="K79" s="3402">
        <v>0.36112158758266127</v>
      </c>
      <c r="L79" s="3402">
        <v>0.36516903599996908</v>
      </c>
      <c r="M79" s="3402">
        <v>0.37108981799997309</v>
      </c>
      <c r="N79" s="22"/>
    </row>
    <row r="80" spans="4:14" ht="15" customHeight="1">
      <c r="D80" s="25"/>
      <c r="E80" s="30" t="s">
        <v>900</v>
      </c>
      <c r="F80" s="3402">
        <v>0.39666956662327096</v>
      </c>
      <c r="G80" s="3402">
        <v>0.41998919302727916</v>
      </c>
      <c r="H80" s="3402">
        <v>0.42402490606139037</v>
      </c>
      <c r="I80" s="3402">
        <v>0.43013541798382099</v>
      </c>
      <c r="J80" s="3402">
        <v>0.47560283031161804</v>
      </c>
      <c r="K80" s="3402">
        <v>0.54710997279868068</v>
      </c>
      <c r="L80" s="3402">
        <v>0.60650000000000048</v>
      </c>
      <c r="M80" s="3402">
        <v>0.66499999999999915</v>
      </c>
      <c r="N80" s="22"/>
    </row>
    <row r="81" spans="4:14" ht="15" customHeight="1">
      <c r="D81" s="25"/>
      <c r="E81" s="32" t="s">
        <v>2244</v>
      </c>
      <c r="F81" s="3403">
        <v>3.4163334639619673E-2</v>
      </c>
      <c r="G81" s="3403">
        <v>3.4163334639619673E-2</v>
      </c>
      <c r="H81" s="3403">
        <v>3.4163334639619673E-2</v>
      </c>
      <c r="I81" s="3403">
        <v>3.4163334639619673E-2</v>
      </c>
      <c r="J81" s="3403">
        <v>3.4163334639619673E-2</v>
      </c>
      <c r="K81" s="3403">
        <v>3.4163334639619673E-2</v>
      </c>
      <c r="L81" s="3403">
        <v>3.4163334639619673E-2</v>
      </c>
      <c r="M81" s="3403">
        <v>3.4163334639619673E-2</v>
      </c>
      <c r="N81" s="22"/>
    </row>
    <row r="82" spans="4:14" ht="15" customHeight="1">
      <c r="D82" s="13"/>
      <c r="E82" s="26"/>
      <c r="F82" s="727"/>
      <c r="G82" s="727"/>
      <c r="H82" s="727"/>
      <c r="I82" s="727"/>
      <c r="J82" s="727"/>
      <c r="K82" s="727"/>
      <c r="L82" s="727"/>
      <c r="M82" s="730"/>
      <c r="N82" s="22"/>
    </row>
    <row r="83" spans="4:14" ht="15" customHeight="1">
      <c r="D83" s="13"/>
      <c r="E83" s="23" t="s">
        <v>1729</v>
      </c>
      <c r="F83" s="727"/>
      <c r="G83" s="727"/>
      <c r="H83" s="727"/>
      <c r="I83" s="727"/>
      <c r="J83" s="727"/>
      <c r="K83" s="727"/>
      <c r="L83" s="727"/>
      <c r="M83" s="730"/>
      <c r="N83" s="22"/>
    </row>
    <row r="84" spans="4:14" ht="15" customHeight="1">
      <c r="D84" s="25"/>
      <c r="E84" s="340"/>
      <c r="F84" s="760"/>
      <c r="G84" s="760"/>
      <c r="H84" s="760"/>
      <c r="I84" s="760"/>
      <c r="J84" s="760"/>
      <c r="K84" s="760"/>
      <c r="L84" s="760"/>
      <c r="M84" s="761" t="s">
        <v>2246</v>
      </c>
      <c r="N84" s="22"/>
    </row>
    <row r="85" spans="4:14" ht="15" customHeight="1">
      <c r="D85" s="25"/>
      <c r="E85" s="28" t="s">
        <v>2241</v>
      </c>
      <c r="F85" s="762">
        <v>2018</v>
      </c>
      <c r="G85" s="762">
        <v>2020</v>
      </c>
      <c r="H85" s="762">
        <v>2025</v>
      </c>
      <c r="I85" s="762">
        <v>2030</v>
      </c>
      <c r="J85" s="762">
        <v>2035</v>
      </c>
      <c r="K85" s="762">
        <v>2040</v>
      </c>
      <c r="L85" s="762">
        <v>2045</v>
      </c>
      <c r="M85" s="762">
        <v>2050</v>
      </c>
      <c r="N85" s="22"/>
    </row>
    <row r="86" spans="4:14" ht="15" customHeight="1">
      <c r="D86" s="25"/>
      <c r="E86" s="337" t="s">
        <v>2242</v>
      </c>
      <c r="F86" s="3401">
        <v>0.70879929025989863</v>
      </c>
      <c r="G86" s="3401">
        <v>0.70879929025989863</v>
      </c>
      <c r="H86" s="3401">
        <v>0.70879929025989863</v>
      </c>
      <c r="I86" s="3401">
        <v>0.70879929025989863</v>
      </c>
      <c r="J86" s="3401">
        <v>0.70879929025989863</v>
      </c>
      <c r="K86" s="3401">
        <v>0.70879929025989863</v>
      </c>
      <c r="L86" s="3401">
        <v>0.70879929025989863</v>
      </c>
      <c r="M86" s="3401">
        <v>0.70879929025989863</v>
      </c>
      <c r="N86" s="22"/>
    </row>
    <row r="87" spans="4:14" ht="15" customHeight="1">
      <c r="D87" s="25"/>
      <c r="E87" s="30" t="s">
        <v>887</v>
      </c>
      <c r="F87" s="3402">
        <v>1.559556226298638</v>
      </c>
      <c r="G87" s="3402">
        <v>1.559556226298638</v>
      </c>
      <c r="H87" s="3402">
        <v>1.559556226298638</v>
      </c>
      <c r="I87" s="3402">
        <v>1.559556226298638</v>
      </c>
      <c r="J87" s="3402">
        <v>1.559556226298638</v>
      </c>
      <c r="K87" s="3402">
        <v>1.559556226298638</v>
      </c>
      <c r="L87" s="3402">
        <v>1.559556226298638</v>
      </c>
      <c r="M87" s="3402">
        <v>1.559556226298638</v>
      </c>
      <c r="N87" s="22"/>
    </row>
    <row r="88" spans="4:14" ht="15" customHeight="1">
      <c r="D88" s="25"/>
      <c r="E88" s="30" t="s">
        <v>2243</v>
      </c>
      <c r="F88" s="3402">
        <v>5.4857589220406373</v>
      </c>
      <c r="G88" s="3402">
        <v>5.6</v>
      </c>
      <c r="H88" s="3402">
        <v>5.7</v>
      </c>
      <c r="I88" s="3402">
        <v>5.7256000000000054</v>
      </c>
      <c r="J88" s="3402">
        <v>5.7512000000000105</v>
      </c>
      <c r="K88" s="3402">
        <v>5.7768000000000157</v>
      </c>
      <c r="L88" s="3402">
        <v>5.8024000000000209</v>
      </c>
      <c r="M88" s="3402">
        <v>5.8280000000000269</v>
      </c>
      <c r="N88" s="22"/>
    </row>
    <row r="89" spans="4:14" ht="15" customHeight="1">
      <c r="D89" s="25"/>
      <c r="E89" s="30" t="s">
        <v>895</v>
      </c>
      <c r="F89" s="3402">
        <v>14.24467588785023</v>
      </c>
      <c r="G89" s="3402">
        <v>13.977556425191237</v>
      </c>
      <c r="H89" s="3402">
        <v>13.763611465229951</v>
      </c>
      <c r="I89" s="3402">
        <v>13.633022368192107</v>
      </c>
      <c r="J89" s="3402">
        <v>13.630402226990755</v>
      </c>
      <c r="K89" s="3402">
        <v>13.793311078436572</v>
      </c>
      <c r="L89" s="3402">
        <v>14.03479472700019</v>
      </c>
      <c r="M89" s="3402">
        <v>14.353754880001361</v>
      </c>
      <c r="N89" s="22"/>
    </row>
    <row r="90" spans="4:14" ht="15" customHeight="1">
      <c r="D90" s="25"/>
      <c r="E90" s="30" t="s">
        <v>896</v>
      </c>
      <c r="F90" s="3402">
        <v>5.4857589220406373</v>
      </c>
      <c r="G90" s="3402">
        <v>5.6</v>
      </c>
      <c r="H90" s="3402">
        <v>5.7</v>
      </c>
      <c r="I90" s="3402">
        <v>5.7256000000000054</v>
      </c>
      <c r="J90" s="3402">
        <v>5.7512000000000105</v>
      </c>
      <c r="K90" s="3402">
        <v>5.7768000000000157</v>
      </c>
      <c r="L90" s="3402">
        <v>5.8024000000000209</v>
      </c>
      <c r="M90" s="3402">
        <v>5.8280000000000269</v>
      </c>
      <c r="N90" s="22"/>
    </row>
    <row r="91" spans="4:14" ht="15" customHeight="1">
      <c r="D91" s="25"/>
      <c r="E91" s="30" t="s">
        <v>899</v>
      </c>
      <c r="F91" s="3402">
        <v>0.36889502942082536</v>
      </c>
      <c r="G91" s="3402">
        <v>0.35955498612609832</v>
      </c>
      <c r="H91" s="3402">
        <v>0.36238777747997047</v>
      </c>
      <c r="I91" s="3402">
        <v>0.35757049154351067</v>
      </c>
      <c r="J91" s="3402">
        <v>0.35836445715432524</v>
      </c>
      <c r="K91" s="3402">
        <v>0.36112158758266127</v>
      </c>
      <c r="L91" s="3402">
        <v>0.36517141299995615</v>
      </c>
      <c r="M91" s="3402">
        <v>0.37109219499996016</v>
      </c>
      <c r="N91" s="22"/>
    </row>
    <row r="92" spans="4:14" ht="15" customHeight="1">
      <c r="D92" s="25"/>
      <c r="E92" s="30" t="s">
        <v>900</v>
      </c>
      <c r="F92" s="3402">
        <v>0.39666956662327096</v>
      </c>
      <c r="G92" s="3402">
        <v>0.41998919302727916</v>
      </c>
      <c r="H92" s="3402">
        <v>0.42402490606139037</v>
      </c>
      <c r="I92" s="3402">
        <v>0.43013541798382099</v>
      </c>
      <c r="J92" s="3402">
        <v>0.47560283031161804</v>
      </c>
      <c r="K92" s="3402">
        <v>0.54710997279868068</v>
      </c>
      <c r="L92" s="3402">
        <v>0.60650000000000048</v>
      </c>
      <c r="M92" s="3402">
        <v>0.66499999999999915</v>
      </c>
      <c r="N92" s="22"/>
    </row>
    <row r="93" spans="4:14" ht="15" customHeight="1">
      <c r="D93" s="11"/>
      <c r="E93" s="32" t="s">
        <v>2244</v>
      </c>
      <c r="F93" s="3403">
        <v>3.4163334639619673E-2</v>
      </c>
      <c r="G93" s="3403">
        <v>3.4163334639619673E-2</v>
      </c>
      <c r="H93" s="3403">
        <v>3.4163334639619673E-2</v>
      </c>
      <c r="I93" s="3403">
        <v>3.4163334639619673E-2</v>
      </c>
      <c r="J93" s="3403">
        <v>3.4163334639619673E-2</v>
      </c>
      <c r="K93" s="3403">
        <v>3.4163334639619673E-2</v>
      </c>
      <c r="L93" s="3403">
        <v>3.4163334639619673E-2</v>
      </c>
      <c r="M93" s="3403">
        <v>3.4163334639619673E-2</v>
      </c>
      <c r="N93" s="22"/>
    </row>
    <row r="94" spans="4:14" ht="15" customHeight="1">
      <c r="D94" s="25"/>
      <c r="E94" s="342"/>
      <c r="F94" s="3398"/>
      <c r="G94" s="3398"/>
      <c r="H94" s="3398"/>
      <c r="I94" s="3398"/>
      <c r="J94" s="3398"/>
      <c r="K94" s="3398"/>
      <c r="L94" s="3398"/>
      <c r="M94" s="3398"/>
      <c r="N94" s="22"/>
    </row>
    <row r="95" spans="4:14" ht="15" customHeight="1">
      <c r="D95" s="25"/>
      <c r="E95" s="23" t="s">
        <v>1730</v>
      </c>
      <c r="F95" s="2728"/>
      <c r="G95" s="2728"/>
      <c r="H95" s="2728"/>
      <c r="I95" s="2728"/>
      <c r="J95" s="2728"/>
      <c r="K95" s="2728"/>
      <c r="L95" s="2728"/>
      <c r="M95" s="2728"/>
      <c r="N95" s="22"/>
    </row>
    <row r="96" spans="4:14" ht="15" customHeight="1">
      <c r="D96" s="25"/>
      <c r="E96" s="340"/>
      <c r="F96" s="2722"/>
      <c r="G96" s="2722"/>
      <c r="H96" s="2722"/>
      <c r="I96" s="2722"/>
      <c r="J96" s="2722"/>
      <c r="K96" s="2722"/>
      <c r="L96" s="2722"/>
      <c r="M96" s="3399" t="s">
        <v>2246</v>
      </c>
      <c r="N96" s="22"/>
    </row>
    <row r="97" spans="4:14" ht="15" customHeight="1">
      <c r="D97" s="25"/>
      <c r="E97" s="28" t="s">
        <v>2241</v>
      </c>
      <c r="F97" s="2724">
        <v>2018</v>
      </c>
      <c r="G97" s="2724">
        <v>2020</v>
      </c>
      <c r="H97" s="2724">
        <v>2025</v>
      </c>
      <c r="I97" s="2724">
        <v>2030</v>
      </c>
      <c r="J97" s="2724">
        <v>2035</v>
      </c>
      <c r="K97" s="2724">
        <v>2040</v>
      </c>
      <c r="L97" s="2724">
        <v>2045</v>
      </c>
      <c r="M97" s="2724">
        <v>2050</v>
      </c>
      <c r="N97" s="22"/>
    </row>
    <row r="98" spans="4:14" ht="15" customHeight="1">
      <c r="D98" s="25"/>
      <c r="E98" s="337" t="s">
        <v>2242</v>
      </c>
      <c r="F98" s="3401">
        <v>0.70879929025989863</v>
      </c>
      <c r="G98" s="3401">
        <v>0.70879929025989863</v>
      </c>
      <c r="H98" s="3401">
        <v>0.70879929025989863</v>
      </c>
      <c r="I98" s="3401">
        <v>0.70879929025989863</v>
      </c>
      <c r="J98" s="3401">
        <v>0.70879929025989863</v>
      </c>
      <c r="K98" s="3401">
        <v>0.70879929025989863</v>
      </c>
      <c r="L98" s="3401">
        <v>0.70879929025989863</v>
      </c>
      <c r="M98" s="3401">
        <v>0.70879929025989863</v>
      </c>
      <c r="N98" s="22"/>
    </row>
    <row r="99" spans="4:14" ht="15" customHeight="1">
      <c r="D99" s="25"/>
      <c r="E99" s="30" t="s">
        <v>887</v>
      </c>
      <c r="F99" s="3402">
        <v>1.559556226298638</v>
      </c>
      <c r="G99" s="3402">
        <v>1.559556226298638</v>
      </c>
      <c r="H99" s="3402">
        <v>1.559556226298638</v>
      </c>
      <c r="I99" s="3402">
        <v>1.559556226298638</v>
      </c>
      <c r="J99" s="3402">
        <v>1.559556226298638</v>
      </c>
      <c r="K99" s="3402">
        <v>1.559556226298638</v>
      </c>
      <c r="L99" s="3402">
        <v>1.559556226298638</v>
      </c>
      <c r="M99" s="3402">
        <v>1.559556226298638</v>
      </c>
      <c r="N99" s="22"/>
    </row>
    <row r="100" spans="4:14" ht="15" customHeight="1">
      <c r="D100" s="25"/>
      <c r="E100" s="30" t="s">
        <v>2243</v>
      </c>
      <c r="F100" s="3402">
        <v>5.4857589220406373</v>
      </c>
      <c r="G100" s="3402">
        <v>5.6</v>
      </c>
      <c r="H100" s="3402">
        <v>5.5760000000000005</v>
      </c>
      <c r="I100" s="3402">
        <v>5.5520000000000014</v>
      </c>
      <c r="J100" s="3402">
        <v>5.5280000000000022</v>
      </c>
      <c r="K100" s="3402">
        <v>5.5040000000000031</v>
      </c>
      <c r="L100" s="3402">
        <v>5.480000000000004</v>
      </c>
      <c r="M100" s="3402">
        <v>5.4560000000000075</v>
      </c>
      <c r="N100" s="22"/>
    </row>
    <row r="101" spans="4:14" ht="15" customHeight="1">
      <c r="D101" s="25"/>
      <c r="E101" s="30" t="s">
        <v>895</v>
      </c>
      <c r="F101" s="3402">
        <v>14.24467588785023</v>
      </c>
      <c r="G101" s="3402">
        <v>13.977556425191237</v>
      </c>
      <c r="H101" s="3402">
        <v>13.763611465229951</v>
      </c>
      <c r="I101" s="3402">
        <v>13.633022368192107</v>
      </c>
      <c r="J101" s="3402">
        <v>13.630402226990755</v>
      </c>
      <c r="K101" s="3402">
        <v>13.793311078436572</v>
      </c>
      <c r="L101" s="3402">
        <v>14.03479472700019</v>
      </c>
      <c r="M101" s="3402">
        <v>14.353754880001361</v>
      </c>
      <c r="N101" s="22"/>
    </row>
    <row r="102" spans="4:14" ht="15" customHeight="1">
      <c r="D102" s="25"/>
      <c r="E102" s="30" t="s">
        <v>896</v>
      </c>
      <c r="F102" s="3402">
        <v>5.4857589220406373</v>
      </c>
      <c r="G102" s="3402">
        <v>5.6</v>
      </c>
      <c r="H102" s="3402">
        <v>5.5760000000000005</v>
      </c>
      <c r="I102" s="3402">
        <v>5.5520000000000014</v>
      </c>
      <c r="J102" s="3402">
        <v>5.5280000000000022</v>
      </c>
      <c r="K102" s="3402">
        <v>5.5040000000000031</v>
      </c>
      <c r="L102" s="3402">
        <v>5.480000000000004</v>
      </c>
      <c r="M102" s="3402">
        <v>5.4560000000000075</v>
      </c>
      <c r="N102" s="22"/>
    </row>
    <row r="103" spans="4:14" ht="15" customHeight="1">
      <c r="D103" s="25"/>
      <c r="E103" s="30" t="s">
        <v>899</v>
      </c>
      <c r="F103" s="3402">
        <v>0.36889502942082536</v>
      </c>
      <c r="G103" s="3402">
        <v>0.35955498612609832</v>
      </c>
      <c r="H103" s="3402">
        <v>0.36238777747997047</v>
      </c>
      <c r="I103" s="3402">
        <v>0.35757049154351067</v>
      </c>
      <c r="J103" s="3402">
        <v>0.35836445715432524</v>
      </c>
      <c r="K103" s="3402">
        <v>0.36112158758266127</v>
      </c>
      <c r="L103" s="3402">
        <v>0.36517187529997841</v>
      </c>
      <c r="M103" s="3402">
        <v>0.37109265729998242</v>
      </c>
      <c r="N103" s="22"/>
    </row>
    <row r="104" spans="4:14" ht="15" customHeight="1">
      <c r="D104" s="25"/>
      <c r="E104" s="30" t="s">
        <v>900</v>
      </c>
      <c r="F104" s="3402">
        <v>0.39666956662327096</v>
      </c>
      <c r="G104" s="3402">
        <v>0.41998919302727916</v>
      </c>
      <c r="H104" s="3402">
        <v>0.42402490606139037</v>
      </c>
      <c r="I104" s="3402">
        <v>0.43013541798382099</v>
      </c>
      <c r="J104" s="3402">
        <v>0.47560283031161804</v>
      </c>
      <c r="K104" s="3402">
        <v>0.54710997279868068</v>
      </c>
      <c r="L104" s="3402">
        <v>0.60650000000000048</v>
      </c>
      <c r="M104" s="3402">
        <v>0.66499999999999915</v>
      </c>
      <c r="N104" s="22"/>
    </row>
    <row r="105" spans="4:14" ht="15" customHeight="1">
      <c r="D105" s="13"/>
      <c r="E105" s="32" t="s">
        <v>2244</v>
      </c>
      <c r="F105" s="3403">
        <v>3.4163334639619673E-2</v>
      </c>
      <c r="G105" s="3403">
        <v>3.4163334639619673E-2</v>
      </c>
      <c r="H105" s="3403">
        <v>3.4163334639619673E-2</v>
      </c>
      <c r="I105" s="3403">
        <v>3.4163334639619673E-2</v>
      </c>
      <c r="J105" s="3403">
        <v>3.4163334639619673E-2</v>
      </c>
      <c r="K105" s="3403">
        <v>3.4163334639619673E-2</v>
      </c>
      <c r="L105" s="3403">
        <v>3.4163334639619673E-2</v>
      </c>
      <c r="M105" s="3403">
        <v>3.4163334639619673E-2</v>
      </c>
      <c r="N105" s="22"/>
    </row>
    <row r="106" spans="4:14" ht="15" customHeight="1">
      <c r="D106" s="25"/>
      <c r="E106" s="30"/>
      <c r="F106" s="3400"/>
      <c r="G106" s="3400"/>
      <c r="H106" s="3400"/>
      <c r="I106" s="3400"/>
      <c r="J106" s="3400"/>
      <c r="K106" s="3400"/>
      <c r="L106" s="3400"/>
      <c r="M106" s="3400"/>
      <c r="N106" s="30"/>
    </row>
    <row r="107" spans="4:14" ht="15" customHeight="1">
      <c r="D107" s="25"/>
      <c r="E107" s="23" t="s">
        <v>1731</v>
      </c>
      <c r="F107" s="3400"/>
      <c r="G107" s="3400"/>
      <c r="H107" s="3400"/>
      <c r="I107" s="3400"/>
      <c r="J107" s="3400"/>
      <c r="K107" s="3400"/>
      <c r="L107" s="3400"/>
      <c r="M107" s="3400"/>
      <c r="N107" s="30"/>
    </row>
    <row r="108" spans="4:14" ht="15" customHeight="1">
      <c r="D108" s="25"/>
      <c r="E108" s="340"/>
      <c r="F108" s="2722"/>
      <c r="G108" s="2722"/>
      <c r="H108" s="2722"/>
      <c r="I108" s="2722"/>
      <c r="J108" s="2722"/>
      <c r="K108" s="2722"/>
      <c r="L108" s="2722"/>
      <c r="M108" s="3399" t="s">
        <v>2246</v>
      </c>
      <c r="N108" s="22"/>
    </row>
    <row r="109" spans="4:14" ht="15" customHeight="1">
      <c r="D109" s="25"/>
      <c r="E109" s="28" t="s">
        <v>2241</v>
      </c>
      <c r="F109" s="2724">
        <v>2018</v>
      </c>
      <c r="G109" s="2724">
        <v>2020</v>
      </c>
      <c r="H109" s="2724">
        <v>2025</v>
      </c>
      <c r="I109" s="2724">
        <v>2030</v>
      </c>
      <c r="J109" s="2724">
        <v>2035</v>
      </c>
      <c r="K109" s="2724">
        <v>2040</v>
      </c>
      <c r="L109" s="2724">
        <v>2045</v>
      </c>
      <c r="M109" s="2724">
        <v>2050</v>
      </c>
      <c r="N109" s="22"/>
    </row>
    <row r="110" spans="4:14" ht="15" customHeight="1">
      <c r="D110" s="25"/>
      <c r="E110" s="337" t="s">
        <v>2242</v>
      </c>
      <c r="F110" s="3401">
        <v>0.70879929025989863</v>
      </c>
      <c r="G110" s="3401">
        <v>0.70879929025989863</v>
      </c>
      <c r="H110" s="3401">
        <v>0.70879929025989863</v>
      </c>
      <c r="I110" s="3401">
        <v>0.70879929025989863</v>
      </c>
      <c r="J110" s="3401">
        <v>0.70879929025989863</v>
      </c>
      <c r="K110" s="3401">
        <v>0.70879929025989863</v>
      </c>
      <c r="L110" s="3401">
        <v>0.70879929025989863</v>
      </c>
      <c r="M110" s="3401">
        <v>0.70879929025989863</v>
      </c>
      <c r="N110" s="22"/>
    </row>
    <row r="111" spans="4:14" ht="15" customHeight="1">
      <c r="D111" s="25"/>
      <c r="E111" s="30" t="s">
        <v>887</v>
      </c>
      <c r="F111" s="3402">
        <v>1.559556226298638</v>
      </c>
      <c r="G111" s="3402">
        <v>1.559556226298638</v>
      </c>
      <c r="H111" s="3402">
        <v>1.559556226298638</v>
      </c>
      <c r="I111" s="3402">
        <v>1.559556226298638</v>
      </c>
      <c r="J111" s="3402">
        <v>1.559556226298638</v>
      </c>
      <c r="K111" s="3402">
        <v>1.559556226298638</v>
      </c>
      <c r="L111" s="3402">
        <v>1.559556226298638</v>
      </c>
      <c r="M111" s="3402">
        <v>1.559556226298638</v>
      </c>
      <c r="N111" s="22"/>
    </row>
    <row r="112" spans="4:14" ht="15" customHeight="1">
      <c r="D112" s="25"/>
      <c r="E112" s="30" t="s">
        <v>2243</v>
      </c>
      <c r="F112" s="3402">
        <v>5.4857589220406373</v>
      </c>
      <c r="G112" s="3402">
        <v>5.6</v>
      </c>
      <c r="H112" s="3402">
        <v>5.4313333333333347</v>
      </c>
      <c r="I112" s="3402">
        <v>5.2626666666666697</v>
      </c>
      <c r="J112" s="3402">
        <v>5.0940000000000047</v>
      </c>
      <c r="K112" s="3402">
        <v>4.9253333333333398</v>
      </c>
      <c r="L112" s="3402">
        <v>4.7566666666666748</v>
      </c>
      <c r="M112" s="3402">
        <v>4.5880000000000081</v>
      </c>
      <c r="N112" s="22"/>
    </row>
    <row r="113" spans="3:15" ht="15" customHeight="1">
      <c r="D113" s="25"/>
      <c r="E113" s="30" t="s">
        <v>895</v>
      </c>
      <c r="F113" s="3402">
        <v>14.24467588785023</v>
      </c>
      <c r="G113" s="3402">
        <v>13.977556425191271</v>
      </c>
      <c r="H113" s="3402">
        <v>13.763611465229916</v>
      </c>
      <c r="I113" s="3402">
        <v>13.633022368192076</v>
      </c>
      <c r="J113" s="3402">
        <v>13.630402226990775</v>
      </c>
      <c r="K113" s="3402">
        <v>13.793311078436652</v>
      </c>
      <c r="L113" s="3402">
        <v>13.931916911998997</v>
      </c>
      <c r="M113" s="3402">
        <v>14.250373380000383</v>
      </c>
      <c r="N113" s="22"/>
    </row>
    <row r="114" spans="3:15" ht="15" customHeight="1">
      <c r="D114" s="25"/>
      <c r="E114" s="30" t="s">
        <v>896</v>
      </c>
      <c r="F114" s="3402">
        <v>5.4857589220406373</v>
      </c>
      <c r="G114" s="3402">
        <v>5.6</v>
      </c>
      <c r="H114" s="3402">
        <v>5.4313333333333347</v>
      </c>
      <c r="I114" s="3402">
        <v>5.2626666666666697</v>
      </c>
      <c r="J114" s="3402">
        <v>5.0940000000000047</v>
      </c>
      <c r="K114" s="3402">
        <v>4.9253333333333398</v>
      </c>
      <c r="L114" s="3402">
        <v>4.7566666666666748</v>
      </c>
      <c r="M114" s="3402">
        <v>4.5880000000000081</v>
      </c>
      <c r="N114" s="22"/>
    </row>
    <row r="115" spans="3:15" ht="15" customHeight="1">
      <c r="D115" s="25"/>
      <c r="E115" s="30" t="s">
        <v>899</v>
      </c>
      <c r="F115" s="3402">
        <v>0.36889502942082536</v>
      </c>
      <c r="G115" s="3402">
        <v>0.35955498612609832</v>
      </c>
      <c r="H115" s="3402">
        <v>0.36238777747997047</v>
      </c>
      <c r="I115" s="3402">
        <v>0.35757049154351067</v>
      </c>
      <c r="J115" s="3402">
        <v>0.35836445715432524</v>
      </c>
      <c r="K115" s="3402">
        <v>0.36112158758266127</v>
      </c>
      <c r="L115" s="3402">
        <v>0.36516903599996908</v>
      </c>
      <c r="M115" s="3402">
        <v>0.37108981799997309</v>
      </c>
      <c r="N115" s="22"/>
    </row>
    <row r="116" spans="3:15" ht="15" customHeight="1">
      <c r="D116" s="13"/>
      <c r="E116" s="30" t="s">
        <v>900</v>
      </c>
      <c r="F116" s="3402">
        <v>0.39666956662327096</v>
      </c>
      <c r="G116" s="3402">
        <v>0.41998919302727916</v>
      </c>
      <c r="H116" s="3402">
        <v>0.42402490606139037</v>
      </c>
      <c r="I116" s="3402">
        <v>0.43013541798382099</v>
      </c>
      <c r="J116" s="3402">
        <v>0.47560283031161804</v>
      </c>
      <c r="K116" s="3402">
        <v>0.54710997279868068</v>
      </c>
      <c r="L116" s="3402">
        <v>0.60650000000000048</v>
      </c>
      <c r="M116" s="3402">
        <v>0.66499999999999915</v>
      </c>
      <c r="N116" s="22"/>
    </row>
    <row r="117" spans="3:15" ht="15" customHeight="1">
      <c r="D117" s="13"/>
      <c r="E117" s="32" t="s">
        <v>2244</v>
      </c>
      <c r="F117" s="3403">
        <v>3.4163334639619673E-2</v>
      </c>
      <c r="G117" s="3403">
        <v>3.4163334639619673E-2</v>
      </c>
      <c r="H117" s="3403">
        <v>3.4163334639619673E-2</v>
      </c>
      <c r="I117" s="3403">
        <v>3.4163334639619673E-2</v>
      </c>
      <c r="J117" s="3403">
        <v>3.4163334639619673E-2</v>
      </c>
      <c r="K117" s="3403">
        <v>3.4163334639619673E-2</v>
      </c>
      <c r="L117" s="3403">
        <v>3.4163334639619673E-2</v>
      </c>
      <c r="M117" s="3403">
        <v>3.4163334639619673E-2</v>
      </c>
      <c r="N117" s="22"/>
    </row>
    <row r="118" spans="3:15" ht="15" customHeight="1">
      <c r="D118" s="25"/>
      <c r="E118" s="35"/>
      <c r="F118" s="735"/>
      <c r="G118" s="735"/>
      <c r="H118" s="733"/>
      <c r="I118" s="734"/>
      <c r="J118" s="734"/>
      <c r="K118" s="734"/>
      <c r="L118" s="734"/>
      <c r="M118" s="734"/>
      <c r="N118" s="36"/>
    </row>
    <row r="119" spans="3:15" ht="15" customHeight="1">
      <c r="D119" s="25"/>
      <c r="E119" s="940" t="s">
        <v>2247</v>
      </c>
      <c r="F119" s="736"/>
      <c r="G119" s="736"/>
      <c r="H119" s="736"/>
      <c r="I119" s="736"/>
      <c r="J119" s="736"/>
      <c r="K119" s="736"/>
      <c r="L119" s="736"/>
      <c r="M119" s="736"/>
      <c r="N119" s="36"/>
    </row>
    <row r="120" spans="3:15" ht="15" customHeight="1">
      <c r="C120" s="125"/>
      <c r="D120" s="25"/>
      <c r="E120" s="35"/>
      <c r="F120" s="735"/>
      <c r="G120" s="735"/>
      <c r="H120" s="733"/>
      <c r="I120" s="734"/>
      <c r="J120" s="734"/>
      <c r="K120" s="734"/>
      <c r="L120" s="734"/>
      <c r="M120" s="734"/>
      <c r="N120" s="36"/>
    </row>
    <row r="121" spans="3:15" ht="15" customHeight="1">
      <c r="D121" s="25"/>
      <c r="E121" s="23" t="s">
        <v>1726</v>
      </c>
      <c r="F121" s="735"/>
      <c r="G121" s="735"/>
      <c r="H121" s="733"/>
      <c r="I121" s="734"/>
      <c r="J121" s="734"/>
      <c r="K121" s="734"/>
      <c r="L121" s="734"/>
      <c r="M121" s="734"/>
      <c r="N121" s="36"/>
    </row>
    <row r="122" spans="3:15" ht="15" customHeight="1">
      <c r="D122" s="25"/>
      <c r="E122" s="340"/>
      <c r="F122" s="760"/>
      <c r="G122" s="760"/>
      <c r="H122" s="760"/>
      <c r="I122" s="760"/>
      <c r="J122" s="760"/>
      <c r="K122" s="760"/>
      <c r="L122" s="760"/>
      <c r="M122" s="763" t="s">
        <v>2248</v>
      </c>
      <c r="N122" s="36"/>
    </row>
    <row r="123" spans="3:15" ht="15" customHeight="1">
      <c r="D123" s="25"/>
      <c r="E123" s="344" t="s">
        <v>859</v>
      </c>
      <c r="F123" s="762">
        <v>2018</v>
      </c>
      <c r="G123" s="762">
        <v>2020</v>
      </c>
      <c r="H123" s="762">
        <v>2025</v>
      </c>
      <c r="I123" s="762">
        <v>2030</v>
      </c>
      <c r="J123" s="762">
        <v>2035</v>
      </c>
      <c r="K123" s="762">
        <v>2040</v>
      </c>
      <c r="L123" s="762">
        <v>2045</v>
      </c>
      <c r="M123" s="762">
        <v>2050</v>
      </c>
      <c r="N123" s="36"/>
    </row>
    <row r="124" spans="3:15" ht="15" customHeight="1">
      <c r="D124" s="25"/>
      <c r="E124" s="279" t="s">
        <v>887</v>
      </c>
      <c r="F124" s="717">
        <v>1</v>
      </c>
      <c r="G124" s="717">
        <v>1</v>
      </c>
      <c r="H124" s="717">
        <v>1</v>
      </c>
      <c r="I124" s="717">
        <v>1</v>
      </c>
      <c r="J124" s="717">
        <v>1</v>
      </c>
      <c r="K124" s="717">
        <v>1</v>
      </c>
      <c r="L124" s="717">
        <v>1</v>
      </c>
      <c r="M124" s="717">
        <v>1</v>
      </c>
      <c r="N124" s="36"/>
      <c r="O124" s="3334"/>
    </row>
    <row r="125" spans="3:15" ht="15" customHeight="1">
      <c r="D125" s="25"/>
      <c r="E125" s="30"/>
      <c r="F125" s="740"/>
      <c r="G125" s="740"/>
      <c r="H125" s="740"/>
      <c r="I125" s="740"/>
      <c r="J125" s="740"/>
      <c r="K125" s="740"/>
      <c r="L125" s="740"/>
      <c r="M125" s="740"/>
      <c r="N125" s="36"/>
    </row>
    <row r="126" spans="3:15" ht="15" customHeight="1">
      <c r="D126" s="25"/>
      <c r="E126" s="340" t="s">
        <v>2249</v>
      </c>
      <c r="F126" s="760"/>
      <c r="G126" s="760"/>
      <c r="H126" s="760"/>
      <c r="I126" s="760"/>
      <c r="J126" s="760"/>
      <c r="K126" s="760"/>
      <c r="L126" s="760"/>
      <c r="M126" s="763" t="s">
        <v>2248</v>
      </c>
      <c r="N126" s="36"/>
    </row>
    <row r="127" spans="3:15" ht="15" customHeight="1">
      <c r="D127" s="25"/>
      <c r="E127" s="344" t="s">
        <v>859</v>
      </c>
      <c r="F127" s="762">
        <v>2018</v>
      </c>
      <c r="G127" s="762">
        <v>2020</v>
      </c>
      <c r="H127" s="762">
        <v>2025</v>
      </c>
      <c r="I127" s="762">
        <v>2030</v>
      </c>
      <c r="J127" s="762">
        <v>2035</v>
      </c>
      <c r="K127" s="762">
        <v>2040</v>
      </c>
      <c r="L127" s="762">
        <v>2045</v>
      </c>
      <c r="M127" s="762">
        <v>2050</v>
      </c>
      <c r="N127" s="36"/>
    </row>
    <row r="128" spans="3:15" ht="15" customHeight="1">
      <c r="D128" s="25"/>
      <c r="E128" s="30" t="s">
        <v>889</v>
      </c>
      <c r="F128" s="1511">
        <v>0.97763</v>
      </c>
      <c r="G128" s="1512">
        <v>0.95438999999999996</v>
      </c>
      <c r="H128" s="1512">
        <v>0.76837999999999995</v>
      </c>
      <c r="I128" s="1512">
        <v>0.67532000000000003</v>
      </c>
      <c r="J128" s="1512">
        <v>0.65224000000000004</v>
      </c>
      <c r="K128" s="1512">
        <v>0.64629000000000003</v>
      </c>
      <c r="L128" s="1512">
        <v>0.64573000000000003</v>
      </c>
      <c r="M128" s="1512">
        <v>0.64568999999999999</v>
      </c>
      <c r="N128" s="36"/>
      <c r="O128" s="3334"/>
    </row>
    <row r="129" spans="4:16" ht="15" customHeight="1">
      <c r="D129" s="25"/>
      <c r="E129" s="30" t="s">
        <v>890</v>
      </c>
      <c r="F129" s="1511">
        <v>2.078E-2</v>
      </c>
      <c r="G129" s="1512">
        <v>2.427E-2</v>
      </c>
      <c r="H129" s="1512">
        <v>2.427E-2</v>
      </c>
      <c r="I129" s="1512">
        <v>2.427E-2</v>
      </c>
      <c r="J129" s="1512">
        <v>2.427E-2</v>
      </c>
      <c r="K129" s="1512">
        <v>2.427E-2</v>
      </c>
      <c r="L129" s="1512">
        <v>2.427E-2</v>
      </c>
      <c r="M129" s="1512">
        <v>2.427E-2</v>
      </c>
      <c r="N129" s="36"/>
    </row>
    <row r="130" spans="4:16" ht="15" customHeight="1">
      <c r="D130" s="25"/>
      <c r="E130" s="30" t="s">
        <v>2250</v>
      </c>
      <c r="F130" s="722">
        <v>0</v>
      </c>
      <c r="G130" s="722">
        <v>0</v>
      </c>
      <c r="H130" s="722">
        <v>0</v>
      </c>
      <c r="I130" s="722">
        <v>0</v>
      </c>
      <c r="J130" s="722">
        <v>0</v>
      </c>
      <c r="K130" s="722">
        <v>0</v>
      </c>
      <c r="L130" s="722">
        <v>0</v>
      </c>
      <c r="M130" s="722">
        <v>0</v>
      </c>
      <c r="N130" s="36"/>
      <c r="O130" s="3691"/>
    </row>
    <row r="131" spans="4:16" ht="15" customHeight="1">
      <c r="D131" s="25"/>
      <c r="E131" s="30" t="s">
        <v>893</v>
      </c>
      <c r="F131" s="1511">
        <v>1E-3</v>
      </c>
      <c r="G131" s="1512">
        <v>2.0000000000000002E-5</v>
      </c>
      <c r="H131" s="1512">
        <v>2.0000000000000002E-5</v>
      </c>
      <c r="I131" s="1512">
        <v>2.0000000000000002E-5</v>
      </c>
      <c r="J131" s="1512">
        <v>2.0000000000000002E-5</v>
      </c>
      <c r="K131" s="1512">
        <v>2.0000000000000002E-5</v>
      </c>
      <c r="L131" s="1512">
        <v>2.0000000000000002E-5</v>
      </c>
      <c r="M131" s="1512">
        <v>2.0000000000000002E-5</v>
      </c>
      <c r="N131" s="36"/>
      <c r="P131" s="3333"/>
    </row>
    <row r="132" spans="4:16" ht="15" customHeight="1">
      <c r="D132" s="25"/>
      <c r="E132" s="30" t="s">
        <v>498</v>
      </c>
      <c r="F132" s="722">
        <v>0</v>
      </c>
      <c r="G132" s="722">
        <v>0</v>
      </c>
      <c r="H132" s="722">
        <v>0</v>
      </c>
      <c r="I132" s="722">
        <v>0</v>
      </c>
      <c r="J132" s="722">
        <v>0</v>
      </c>
      <c r="K132" s="722">
        <v>0</v>
      </c>
      <c r="L132" s="722">
        <v>0</v>
      </c>
      <c r="M132" s="722">
        <v>0</v>
      </c>
      <c r="N132" s="36"/>
    </row>
    <row r="133" spans="4:16" ht="15" customHeight="1">
      <c r="D133" s="25"/>
      <c r="E133" s="30" t="s">
        <v>894</v>
      </c>
      <c r="F133" s="1512">
        <v>1.58E-3</v>
      </c>
      <c r="G133" s="1512">
        <v>2.1319999999999999E-2</v>
      </c>
      <c r="H133" s="1512">
        <v>0.20732999999999999</v>
      </c>
      <c r="I133" s="1512">
        <v>0.30037999999999998</v>
      </c>
      <c r="J133" s="1512">
        <v>0.32346999999999998</v>
      </c>
      <c r="K133" s="1512">
        <v>0.32941999999999999</v>
      </c>
      <c r="L133" s="1512">
        <v>0.32998</v>
      </c>
      <c r="M133" s="1512">
        <v>0.33001999999999998</v>
      </c>
      <c r="N133" s="36"/>
    </row>
    <row r="134" spans="4:16" ht="15" customHeight="1">
      <c r="D134" s="25"/>
      <c r="E134" s="32" t="s">
        <v>603</v>
      </c>
      <c r="F134" s="714">
        <v>0</v>
      </c>
      <c r="G134" s="714">
        <v>0</v>
      </c>
      <c r="H134" s="714">
        <v>0</v>
      </c>
      <c r="I134" s="714">
        <v>0</v>
      </c>
      <c r="J134" s="714">
        <v>0</v>
      </c>
      <c r="K134" s="714">
        <v>0</v>
      </c>
      <c r="L134" s="714">
        <v>0</v>
      </c>
      <c r="M134" s="714">
        <v>0</v>
      </c>
      <c r="N134" s="36"/>
    </row>
    <row r="135" spans="4:16" ht="15" customHeight="1">
      <c r="D135" s="25"/>
      <c r="E135" s="30"/>
      <c r="F135" s="740"/>
      <c r="G135" s="740"/>
      <c r="H135" s="740"/>
      <c r="I135" s="740"/>
      <c r="J135" s="740"/>
      <c r="K135" s="740"/>
      <c r="L135" s="740"/>
      <c r="M135" s="740"/>
      <c r="N135" s="36"/>
    </row>
    <row r="136" spans="4:16" ht="15" customHeight="1">
      <c r="D136" s="25"/>
      <c r="E136" s="340" t="s">
        <v>895</v>
      </c>
      <c r="F136" s="760"/>
      <c r="G136" s="760"/>
      <c r="H136" s="760"/>
      <c r="I136" s="760"/>
      <c r="J136" s="760"/>
      <c r="K136" s="760"/>
      <c r="L136" s="760"/>
      <c r="M136" s="763" t="s">
        <v>2248</v>
      </c>
      <c r="N136" s="36"/>
    </row>
    <row r="137" spans="4:16" ht="15" customHeight="1">
      <c r="D137" s="25"/>
      <c r="E137" s="344" t="s">
        <v>859</v>
      </c>
      <c r="F137" s="762">
        <v>2018</v>
      </c>
      <c r="G137" s="762">
        <v>2020</v>
      </c>
      <c r="H137" s="762">
        <v>2025</v>
      </c>
      <c r="I137" s="762">
        <v>2030</v>
      </c>
      <c r="J137" s="762">
        <v>2035</v>
      </c>
      <c r="K137" s="762">
        <v>2040</v>
      </c>
      <c r="L137" s="762">
        <v>2045</v>
      </c>
      <c r="M137" s="762">
        <v>2050</v>
      </c>
      <c r="N137" s="36"/>
    </row>
    <row r="138" spans="4:16" ht="15" customHeight="1">
      <c r="D138" s="25"/>
      <c r="E138" s="30" t="s">
        <v>889</v>
      </c>
      <c r="F138" s="1511">
        <v>0.99888999999999994</v>
      </c>
      <c r="G138" s="1512">
        <v>0.99804999999999999</v>
      </c>
      <c r="H138" s="1512">
        <v>0.99804999999999999</v>
      </c>
      <c r="I138" s="1512">
        <v>0.71919</v>
      </c>
      <c r="J138" s="1512">
        <v>0.67125000000000001</v>
      </c>
      <c r="K138" s="1512">
        <v>0.66896</v>
      </c>
      <c r="L138" s="1512">
        <v>0.66890000000000005</v>
      </c>
      <c r="M138" s="1512">
        <v>0.66890000000000005</v>
      </c>
      <c r="N138" s="36"/>
      <c r="O138" s="3334"/>
    </row>
    <row r="139" spans="4:16" ht="15" customHeight="1">
      <c r="D139" s="25"/>
      <c r="E139" s="30" t="s">
        <v>890</v>
      </c>
      <c r="F139" s="1511">
        <v>1E-3</v>
      </c>
      <c r="G139" s="1512">
        <v>1E-3</v>
      </c>
      <c r="H139" s="1512">
        <v>1E-3</v>
      </c>
      <c r="I139" s="1512">
        <v>1E-3</v>
      </c>
      <c r="J139" s="1512">
        <v>1E-3</v>
      </c>
      <c r="K139" s="1512">
        <v>1E-3</v>
      </c>
      <c r="L139" s="1512">
        <v>1E-3</v>
      </c>
      <c r="M139" s="1512">
        <v>1E-3</v>
      </c>
      <c r="N139" s="36"/>
    </row>
    <row r="140" spans="4:16" ht="15" customHeight="1">
      <c r="D140" s="25"/>
      <c r="E140" s="30" t="s">
        <v>2250</v>
      </c>
      <c r="F140" s="722">
        <v>0</v>
      </c>
      <c r="G140" s="722">
        <v>0</v>
      </c>
      <c r="H140" s="722">
        <v>0</v>
      </c>
      <c r="I140" s="722">
        <v>0</v>
      </c>
      <c r="J140" s="722">
        <v>0</v>
      </c>
      <c r="K140" s="722">
        <v>0</v>
      </c>
      <c r="L140" s="722">
        <v>0</v>
      </c>
      <c r="M140" s="722">
        <v>0</v>
      </c>
      <c r="N140" s="36"/>
      <c r="O140" s="3691"/>
    </row>
    <row r="141" spans="4:16" ht="15" customHeight="1">
      <c r="D141" s="25"/>
      <c r="E141" s="30" t="s">
        <v>893</v>
      </c>
      <c r="F141" s="1511">
        <v>1E-4</v>
      </c>
      <c r="G141" s="1512">
        <v>1E-4</v>
      </c>
      <c r="H141" s="1512">
        <v>1E-4</v>
      </c>
      <c r="I141" s="1512">
        <v>1E-4</v>
      </c>
      <c r="J141" s="1512">
        <v>1E-4</v>
      </c>
      <c r="K141" s="1512">
        <v>1E-4</v>
      </c>
      <c r="L141" s="1512">
        <v>1E-4</v>
      </c>
      <c r="M141" s="1512">
        <v>1E-4</v>
      </c>
      <c r="N141" s="36"/>
    </row>
    <row r="142" spans="4:16" ht="15" customHeight="1">
      <c r="D142" s="25"/>
      <c r="E142" s="30" t="s">
        <v>498</v>
      </c>
      <c r="F142" s="722">
        <v>0</v>
      </c>
      <c r="G142" s="722">
        <v>0</v>
      </c>
      <c r="H142" s="722">
        <v>0</v>
      </c>
      <c r="I142" s="722">
        <v>0</v>
      </c>
      <c r="J142" s="722">
        <v>0</v>
      </c>
      <c r="K142" s="722">
        <v>0</v>
      </c>
      <c r="L142" s="722">
        <v>0</v>
      </c>
      <c r="M142" s="722">
        <v>0</v>
      </c>
      <c r="N142" s="36"/>
    </row>
    <row r="143" spans="4:16" ht="15" customHeight="1">
      <c r="D143" s="25"/>
      <c r="E143" s="30" t="s">
        <v>894</v>
      </c>
      <c r="F143" s="1512">
        <v>0</v>
      </c>
      <c r="G143" s="1512">
        <v>8.4999999999999995E-4</v>
      </c>
      <c r="H143" s="1512">
        <v>8.4999999999999995E-4</v>
      </c>
      <c r="I143" s="1512">
        <v>0.27971000000000001</v>
      </c>
      <c r="J143" s="1512">
        <v>0.32765</v>
      </c>
      <c r="K143" s="1512">
        <v>0.32994000000000001</v>
      </c>
      <c r="L143" s="1512">
        <v>0.33</v>
      </c>
      <c r="M143" s="1512">
        <v>0.33</v>
      </c>
      <c r="N143" s="36"/>
    </row>
    <row r="144" spans="4:16" ht="15" customHeight="1">
      <c r="D144" s="25"/>
      <c r="E144" s="32" t="s">
        <v>603</v>
      </c>
      <c r="F144" s="714">
        <v>0</v>
      </c>
      <c r="G144" s="714">
        <v>0</v>
      </c>
      <c r="H144" s="714">
        <v>0</v>
      </c>
      <c r="I144" s="714">
        <v>0</v>
      </c>
      <c r="J144" s="714">
        <v>0</v>
      </c>
      <c r="K144" s="714">
        <v>0</v>
      </c>
      <c r="L144" s="714">
        <v>0</v>
      </c>
      <c r="M144" s="714">
        <v>0</v>
      </c>
      <c r="N144" s="36"/>
    </row>
    <row r="145" spans="4:15" ht="15" customHeight="1">
      <c r="D145" s="25"/>
      <c r="E145" s="30"/>
      <c r="F145" s="740"/>
      <c r="G145" s="740"/>
      <c r="H145" s="740"/>
      <c r="I145" s="740"/>
      <c r="J145" s="740"/>
      <c r="K145" s="740"/>
      <c r="L145" s="740"/>
      <c r="M145" s="740"/>
      <c r="N145" s="36"/>
    </row>
    <row r="146" spans="4:15" ht="15" customHeight="1">
      <c r="D146" s="25"/>
      <c r="E146" s="340" t="s">
        <v>896</v>
      </c>
      <c r="F146" s="760"/>
      <c r="G146" s="760"/>
      <c r="H146" s="760"/>
      <c r="I146" s="760"/>
      <c r="J146" s="760"/>
      <c r="K146" s="760"/>
      <c r="L146" s="760"/>
      <c r="M146" s="763" t="s">
        <v>2248</v>
      </c>
      <c r="N146" s="36"/>
    </row>
    <row r="147" spans="4:15" ht="15" customHeight="1">
      <c r="D147" s="25"/>
      <c r="E147" s="344" t="s">
        <v>859</v>
      </c>
      <c r="F147" s="762">
        <v>2018</v>
      </c>
      <c r="G147" s="762">
        <v>2020</v>
      </c>
      <c r="H147" s="762">
        <v>2025</v>
      </c>
      <c r="I147" s="762">
        <v>2030</v>
      </c>
      <c r="J147" s="762">
        <v>2035</v>
      </c>
      <c r="K147" s="762">
        <v>2040</v>
      </c>
      <c r="L147" s="762">
        <v>2045</v>
      </c>
      <c r="M147" s="762">
        <v>2050</v>
      </c>
      <c r="N147" s="36"/>
    </row>
    <row r="148" spans="4:15" ht="15" customHeight="1">
      <c r="D148" s="25"/>
      <c r="E148" s="30" t="s">
        <v>897</v>
      </c>
      <c r="F148" s="1513">
        <v>0.57999999999999996</v>
      </c>
      <c r="G148" s="1513">
        <v>0.57999999999999996</v>
      </c>
      <c r="H148" s="1513">
        <v>0.57999999999999996</v>
      </c>
      <c r="I148" s="1513">
        <v>0.57999999999999996</v>
      </c>
      <c r="J148" s="1513">
        <v>0.57999999999999996</v>
      </c>
      <c r="K148" s="1513">
        <v>0.57999999999999996</v>
      </c>
      <c r="L148" s="1513">
        <v>0.57999999999999996</v>
      </c>
      <c r="M148" s="1513">
        <v>0.57999999999999996</v>
      </c>
      <c r="N148" s="36"/>
      <c r="O148" s="3334"/>
    </row>
    <row r="149" spans="4:15" ht="15" customHeight="1">
      <c r="D149" s="25"/>
      <c r="E149" s="30" t="s">
        <v>898</v>
      </c>
      <c r="F149" s="1511">
        <v>0.42</v>
      </c>
      <c r="G149" s="1511">
        <v>0.42</v>
      </c>
      <c r="H149" s="1511">
        <v>0.42</v>
      </c>
      <c r="I149" s="1511">
        <v>0.42</v>
      </c>
      <c r="J149" s="1511">
        <v>0.42</v>
      </c>
      <c r="K149" s="1511">
        <v>0.42</v>
      </c>
      <c r="L149" s="1511">
        <v>0.42</v>
      </c>
      <c r="M149" s="1511">
        <v>0.42</v>
      </c>
      <c r="N149" s="36"/>
    </row>
    <row r="150" spans="4:15" ht="15" customHeight="1">
      <c r="D150" s="25"/>
      <c r="E150" s="32" t="s">
        <v>894</v>
      </c>
      <c r="F150" s="1514">
        <v>0</v>
      </c>
      <c r="G150" s="1514">
        <v>0</v>
      </c>
      <c r="H150" s="1514">
        <v>0</v>
      </c>
      <c r="I150" s="1514">
        <v>0</v>
      </c>
      <c r="J150" s="1514">
        <v>0</v>
      </c>
      <c r="K150" s="1514">
        <v>0</v>
      </c>
      <c r="L150" s="1514">
        <v>0</v>
      </c>
      <c r="M150" s="1514">
        <v>0</v>
      </c>
      <c r="N150" s="36"/>
      <c r="O150" s="3691"/>
    </row>
    <row r="151" spans="4:15" ht="15" customHeight="1">
      <c r="D151" s="25"/>
      <c r="E151" s="30"/>
      <c r="F151" s="740"/>
      <c r="G151" s="740"/>
      <c r="H151" s="740"/>
      <c r="I151" s="740"/>
      <c r="J151" s="740"/>
      <c r="K151" s="740"/>
      <c r="L151" s="740"/>
      <c r="M151" s="740"/>
      <c r="N151" s="36"/>
    </row>
    <row r="152" spans="4:15" ht="15" customHeight="1">
      <c r="D152" s="25"/>
      <c r="E152" s="340" t="s">
        <v>899</v>
      </c>
      <c r="F152" s="760"/>
      <c r="G152" s="760"/>
      <c r="H152" s="760"/>
      <c r="I152" s="760"/>
      <c r="J152" s="760"/>
      <c r="K152" s="760"/>
      <c r="L152" s="760"/>
      <c r="M152" s="763" t="s">
        <v>2248</v>
      </c>
      <c r="N152" s="36"/>
    </row>
    <row r="153" spans="4:15" ht="15" customHeight="1">
      <c r="D153" s="25"/>
      <c r="E153" s="344" t="s">
        <v>859</v>
      </c>
      <c r="F153" s="762">
        <v>2018</v>
      </c>
      <c r="G153" s="762">
        <v>2020</v>
      </c>
      <c r="H153" s="762">
        <v>2025</v>
      </c>
      <c r="I153" s="762">
        <v>2030</v>
      </c>
      <c r="J153" s="762">
        <v>2035</v>
      </c>
      <c r="K153" s="762">
        <v>2040</v>
      </c>
      <c r="L153" s="762">
        <v>2045</v>
      </c>
      <c r="M153" s="762">
        <v>2050</v>
      </c>
      <c r="N153" s="36"/>
    </row>
    <row r="154" spans="4:15" ht="15" customHeight="1">
      <c r="D154" s="25"/>
      <c r="E154" s="30" t="s">
        <v>889</v>
      </c>
      <c r="F154" s="1511">
        <v>0.12335</v>
      </c>
      <c r="G154" s="1512">
        <v>0.15911</v>
      </c>
      <c r="H154" s="1512">
        <v>0.1482</v>
      </c>
      <c r="I154" s="1512">
        <v>0.13691999999999999</v>
      </c>
      <c r="J154" s="1512">
        <v>0.12545000000000001</v>
      </c>
      <c r="K154" s="1512">
        <v>0.11398999999999999</v>
      </c>
      <c r="L154" s="1512">
        <v>0.10271</v>
      </c>
      <c r="M154" s="1512">
        <v>9.1800000000000007E-2</v>
      </c>
      <c r="N154" s="36"/>
      <c r="O154" s="3334"/>
    </row>
    <row r="155" spans="4:15" ht="15" customHeight="1">
      <c r="D155" s="25"/>
      <c r="E155" s="30" t="s">
        <v>890</v>
      </c>
      <c r="F155" s="1511">
        <v>0.79849000000000003</v>
      </c>
      <c r="G155" s="1512">
        <v>0.71157000000000004</v>
      </c>
      <c r="H155" s="1512">
        <v>0.65620999999999996</v>
      </c>
      <c r="I155" s="1512">
        <v>0.51234999999999997</v>
      </c>
      <c r="J155" s="1512">
        <v>0.38034000000000001</v>
      </c>
      <c r="K155" s="1512">
        <v>0.29308000000000001</v>
      </c>
      <c r="L155" s="1512">
        <v>0.24168000000000001</v>
      </c>
      <c r="M155" s="1512">
        <v>0.2082</v>
      </c>
      <c r="N155" s="36"/>
    </row>
    <row r="156" spans="4:15" ht="15" customHeight="1">
      <c r="D156" s="25"/>
      <c r="E156" s="30" t="s">
        <v>2250</v>
      </c>
      <c r="F156" s="722">
        <v>0</v>
      </c>
      <c r="G156" s="722">
        <v>0</v>
      </c>
      <c r="H156" s="722">
        <v>0</v>
      </c>
      <c r="I156" s="722">
        <v>0</v>
      </c>
      <c r="J156" s="722">
        <v>0</v>
      </c>
      <c r="K156" s="722">
        <v>0</v>
      </c>
      <c r="L156" s="722">
        <v>0</v>
      </c>
      <c r="M156" s="722">
        <v>0</v>
      </c>
      <c r="N156" s="36"/>
    </row>
    <row r="157" spans="4:15" ht="15" customHeight="1">
      <c r="D157" s="25"/>
      <c r="E157" s="30" t="s">
        <v>893</v>
      </c>
      <c r="F157" s="1511">
        <v>7.6740000000000003E-2</v>
      </c>
      <c r="G157" s="1512">
        <v>0.12259</v>
      </c>
      <c r="H157" s="1512">
        <v>0.16331000000000001</v>
      </c>
      <c r="I157" s="1512">
        <v>0.21045</v>
      </c>
      <c r="J157" s="1512">
        <v>0.26129000000000002</v>
      </c>
      <c r="K157" s="1512">
        <v>0.31213999999999997</v>
      </c>
      <c r="L157" s="1512">
        <v>0.35927999999999999</v>
      </c>
      <c r="M157" s="1512">
        <v>0.4</v>
      </c>
      <c r="N157" s="36"/>
      <c r="O157" s="3691"/>
    </row>
    <row r="158" spans="4:15" ht="15" customHeight="1">
      <c r="D158" s="25"/>
      <c r="E158" s="30" t="s">
        <v>498</v>
      </c>
      <c r="F158" s="722">
        <v>0</v>
      </c>
      <c r="G158" s="722">
        <v>0</v>
      </c>
      <c r="H158" s="722">
        <v>0</v>
      </c>
      <c r="I158" s="722">
        <v>0</v>
      </c>
      <c r="J158" s="722">
        <v>0</v>
      </c>
      <c r="K158" s="722">
        <v>0</v>
      </c>
      <c r="L158" s="722">
        <v>0</v>
      </c>
      <c r="M158" s="722">
        <v>0</v>
      </c>
      <c r="N158" s="36"/>
    </row>
    <row r="159" spans="4:15" ht="15" customHeight="1">
      <c r="D159" s="25"/>
      <c r="E159" s="30" t="s">
        <v>894</v>
      </c>
      <c r="F159" s="1512">
        <v>1.41E-3</v>
      </c>
      <c r="G159" s="1512">
        <v>6.7299999999999999E-3</v>
      </c>
      <c r="H159" s="1512">
        <v>3.227E-2</v>
      </c>
      <c r="I159" s="1512">
        <v>0.14027999999999999</v>
      </c>
      <c r="J159" s="1512">
        <v>0.23291000000000001</v>
      </c>
      <c r="K159" s="1512">
        <v>0.28078999999999998</v>
      </c>
      <c r="L159" s="1512">
        <v>0.29632999999999998</v>
      </c>
      <c r="M159" s="1512">
        <v>0.3</v>
      </c>
      <c r="N159" s="36"/>
    </row>
    <row r="160" spans="4:15" ht="15" customHeight="1">
      <c r="D160" s="25"/>
      <c r="E160" s="32" t="s">
        <v>603</v>
      </c>
      <c r="F160" s="714">
        <v>0</v>
      </c>
      <c r="G160" s="714">
        <v>0</v>
      </c>
      <c r="H160" s="714">
        <v>0</v>
      </c>
      <c r="I160" s="714">
        <v>0</v>
      </c>
      <c r="J160" s="714">
        <v>0</v>
      </c>
      <c r="K160" s="714">
        <v>0</v>
      </c>
      <c r="L160" s="714">
        <v>0</v>
      </c>
      <c r="M160" s="714">
        <v>0</v>
      </c>
      <c r="N160" s="36"/>
    </row>
    <row r="161" spans="4:15" ht="15" customHeight="1">
      <c r="D161" s="25"/>
      <c r="E161" s="35"/>
      <c r="F161" s="733"/>
      <c r="G161" s="733"/>
      <c r="H161" s="733"/>
      <c r="I161" s="733"/>
      <c r="J161" s="733"/>
      <c r="K161" s="733"/>
      <c r="L161" s="733"/>
      <c r="M161" s="733"/>
      <c r="N161" s="36"/>
    </row>
    <row r="162" spans="4:15" ht="15" customHeight="1">
      <c r="D162" s="25"/>
      <c r="E162" s="340" t="s">
        <v>900</v>
      </c>
      <c r="F162" s="760"/>
      <c r="G162" s="760"/>
      <c r="H162" s="760"/>
      <c r="I162" s="760"/>
      <c r="J162" s="760"/>
      <c r="K162" s="760"/>
      <c r="L162" s="760"/>
      <c r="M162" s="763" t="s">
        <v>2248</v>
      </c>
      <c r="N162" s="36"/>
    </row>
    <row r="163" spans="4:15" ht="15" customHeight="1">
      <c r="D163" s="25"/>
      <c r="E163" s="344" t="s">
        <v>859</v>
      </c>
      <c r="F163" s="762">
        <v>2018</v>
      </c>
      <c r="G163" s="762">
        <v>2020</v>
      </c>
      <c r="H163" s="762">
        <v>2025</v>
      </c>
      <c r="I163" s="762">
        <v>2030</v>
      </c>
      <c r="J163" s="762">
        <v>2035</v>
      </c>
      <c r="K163" s="762">
        <v>2040</v>
      </c>
      <c r="L163" s="762">
        <v>2045</v>
      </c>
      <c r="M163" s="762">
        <v>2050</v>
      </c>
      <c r="N163" s="36"/>
    </row>
    <row r="164" spans="4:15" ht="15" customHeight="1">
      <c r="D164" s="25"/>
      <c r="E164" s="30" t="s">
        <v>889</v>
      </c>
      <c r="F164" s="1511">
        <v>0.14385999999999999</v>
      </c>
      <c r="G164" s="1512">
        <v>9.2420000000000002E-2</v>
      </c>
      <c r="H164" s="1512">
        <v>0.10485999999999999</v>
      </c>
      <c r="I164" s="1512">
        <v>0.1173</v>
      </c>
      <c r="J164" s="1512">
        <v>0.10755000000000001</v>
      </c>
      <c r="K164" s="1512">
        <v>9.7799999999999998E-2</v>
      </c>
      <c r="L164" s="1512">
        <v>8.8050000000000003E-2</v>
      </c>
      <c r="M164" s="1512">
        <v>7.8299999999999995E-2</v>
      </c>
      <c r="N164" s="36"/>
      <c r="O164" s="3334"/>
    </row>
    <row r="165" spans="4:15" ht="15" customHeight="1">
      <c r="D165" s="25"/>
      <c r="E165" s="30" t="s">
        <v>890</v>
      </c>
      <c r="F165" s="1511">
        <v>0.83772000000000002</v>
      </c>
      <c r="G165" s="1512">
        <v>0.89854999999999996</v>
      </c>
      <c r="H165" s="1512">
        <v>0.85036</v>
      </c>
      <c r="I165" s="1512">
        <v>0.68130000000000002</v>
      </c>
      <c r="J165" s="1512">
        <v>0.45839000000000002</v>
      </c>
      <c r="K165" s="1512">
        <v>0.28022999999999998</v>
      </c>
      <c r="L165" s="1512">
        <v>0.22583</v>
      </c>
      <c r="M165" s="1512">
        <v>0.22170000000000001</v>
      </c>
      <c r="N165" s="36"/>
    </row>
    <row r="166" spans="4:15" ht="15" customHeight="1">
      <c r="D166" s="25"/>
      <c r="E166" s="30" t="s">
        <v>2250</v>
      </c>
      <c r="F166" s="722">
        <v>0</v>
      </c>
      <c r="G166" s="722">
        <v>0</v>
      </c>
      <c r="H166" s="722">
        <v>0</v>
      </c>
      <c r="I166" s="722">
        <v>0</v>
      </c>
      <c r="J166" s="722">
        <v>0</v>
      </c>
      <c r="K166" s="722">
        <v>0</v>
      </c>
      <c r="L166" s="722">
        <v>0</v>
      </c>
      <c r="M166" s="722">
        <v>0</v>
      </c>
      <c r="N166" s="36"/>
      <c r="O166" s="3691"/>
    </row>
    <row r="167" spans="4:15" ht="15" customHeight="1">
      <c r="D167" s="25"/>
      <c r="E167" s="30" t="s">
        <v>893</v>
      </c>
      <c r="F167" s="1511">
        <v>1.8419999999999999E-2</v>
      </c>
      <c r="G167" s="1512">
        <v>2.3E-3</v>
      </c>
      <c r="H167" s="1512">
        <v>1.251E-2</v>
      </c>
      <c r="I167" s="1512">
        <v>6.1109999999999998E-2</v>
      </c>
      <c r="J167" s="1512">
        <v>0.20115</v>
      </c>
      <c r="K167" s="1512">
        <v>0.34117999999999998</v>
      </c>
      <c r="L167" s="1512">
        <v>0.38979000000000003</v>
      </c>
      <c r="M167" s="1512">
        <v>0.4</v>
      </c>
      <c r="N167" s="36"/>
    </row>
    <row r="168" spans="4:15" ht="15" customHeight="1">
      <c r="D168" s="25"/>
      <c r="E168" s="30" t="s">
        <v>498</v>
      </c>
      <c r="F168" s="722">
        <v>0</v>
      </c>
      <c r="G168" s="722">
        <v>0</v>
      </c>
      <c r="H168" s="722">
        <v>0</v>
      </c>
      <c r="I168" s="722">
        <v>0</v>
      </c>
      <c r="J168" s="722">
        <v>0</v>
      </c>
      <c r="K168" s="722">
        <v>0</v>
      </c>
      <c r="L168" s="722">
        <v>0</v>
      </c>
      <c r="M168" s="722">
        <v>0</v>
      </c>
      <c r="N168" s="36"/>
    </row>
    <row r="169" spans="4:15" ht="15" customHeight="1">
      <c r="D169" s="25"/>
      <c r="E169" s="30" t="s">
        <v>894</v>
      </c>
      <c r="F169" s="1512">
        <v>0</v>
      </c>
      <c r="G169" s="1512">
        <v>6.7299999999999999E-3</v>
      </c>
      <c r="H169" s="1512">
        <v>3.227E-2</v>
      </c>
      <c r="I169" s="1512">
        <v>0.14027999999999999</v>
      </c>
      <c r="J169" s="1512">
        <v>0.23291000000000001</v>
      </c>
      <c r="K169" s="1512">
        <v>0.28078999999999998</v>
      </c>
      <c r="L169" s="1512">
        <v>0.29632999999999998</v>
      </c>
      <c r="M169" s="1512">
        <v>0.3</v>
      </c>
      <c r="N169" s="36"/>
    </row>
    <row r="170" spans="4:15" ht="15" customHeight="1">
      <c r="D170" s="25"/>
      <c r="E170" s="32" t="s">
        <v>603</v>
      </c>
      <c r="F170" s="714">
        <v>0</v>
      </c>
      <c r="G170" s="714">
        <v>0</v>
      </c>
      <c r="H170" s="714">
        <v>0</v>
      </c>
      <c r="I170" s="714">
        <v>0</v>
      </c>
      <c r="J170" s="714">
        <v>0</v>
      </c>
      <c r="K170" s="714">
        <v>0</v>
      </c>
      <c r="L170" s="714">
        <v>0</v>
      </c>
      <c r="M170" s="714">
        <v>0</v>
      </c>
      <c r="N170" s="36"/>
      <c r="O170" s="2"/>
    </row>
    <row r="171" spans="4:15" ht="15" customHeight="1">
      <c r="D171" s="25"/>
      <c r="E171" s="30"/>
      <c r="F171" s="722"/>
      <c r="G171" s="722"/>
      <c r="H171" s="722"/>
      <c r="I171" s="722"/>
      <c r="J171" s="722"/>
      <c r="K171" s="722"/>
      <c r="L171" s="722"/>
      <c r="M171" s="722"/>
      <c r="N171" s="36"/>
    </row>
    <row r="172" spans="4:15" ht="15" customHeight="1">
      <c r="D172" s="25"/>
      <c r="E172" s="340" t="s">
        <v>2244</v>
      </c>
      <c r="F172" s="760"/>
      <c r="G172" s="760"/>
      <c r="H172" s="760"/>
      <c r="I172" s="760"/>
      <c r="J172" s="760"/>
      <c r="K172" s="760"/>
      <c r="L172" s="760"/>
      <c r="M172" s="763" t="s">
        <v>2248</v>
      </c>
      <c r="N172" s="36"/>
    </row>
    <row r="173" spans="4:15" ht="15" customHeight="1">
      <c r="D173" s="25"/>
      <c r="E173" s="571" t="s">
        <v>859</v>
      </c>
      <c r="F173" s="762">
        <v>2018</v>
      </c>
      <c r="G173" s="762">
        <v>2020</v>
      </c>
      <c r="H173" s="762">
        <v>2025</v>
      </c>
      <c r="I173" s="762">
        <v>2030</v>
      </c>
      <c r="J173" s="762">
        <v>2035</v>
      </c>
      <c r="K173" s="762">
        <v>2040</v>
      </c>
      <c r="L173" s="762">
        <v>2045</v>
      </c>
      <c r="M173" s="762">
        <v>2050</v>
      </c>
      <c r="N173" s="36"/>
      <c r="O173" s="2"/>
    </row>
    <row r="174" spans="4:15" ht="15" customHeight="1">
      <c r="D174" s="25"/>
      <c r="E174" s="337" t="s">
        <v>495</v>
      </c>
      <c r="F174" s="713">
        <v>0.9957792454030987</v>
      </c>
      <c r="G174" s="713">
        <v>0.9957792454030987</v>
      </c>
      <c r="H174" s="713">
        <v>0.9957792454030987</v>
      </c>
      <c r="I174" s="713">
        <v>0.9957792454030987</v>
      </c>
      <c r="J174" s="713">
        <v>0.9957792454030987</v>
      </c>
      <c r="K174" s="713">
        <v>0.9957792454030987</v>
      </c>
      <c r="L174" s="713">
        <v>0.9957792454030987</v>
      </c>
      <c r="M174" s="713">
        <v>0.9957792454030987</v>
      </c>
      <c r="N174" s="36"/>
      <c r="O174" s="3334"/>
    </row>
    <row r="175" spans="4:15" ht="15" customHeight="1">
      <c r="D175" s="25"/>
      <c r="E175" s="32" t="s">
        <v>601</v>
      </c>
      <c r="F175" s="714">
        <v>0</v>
      </c>
      <c r="G175" s="714">
        <v>0</v>
      </c>
      <c r="H175" s="714">
        <v>0</v>
      </c>
      <c r="I175" s="714">
        <v>0</v>
      </c>
      <c r="J175" s="714">
        <v>0</v>
      </c>
      <c r="K175" s="714">
        <v>0</v>
      </c>
      <c r="L175" s="714">
        <v>0</v>
      </c>
      <c r="M175" s="714">
        <v>0</v>
      </c>
      <c r="N175" s="36"/>
    </row>
    <row r="176" spans="4:15" ht="15" customHeight="1">
      <c r="D176" s="25"/>
      <c r="E176" s="30"/>
      <c r="F176" s="740"/>
      <c r="G176" s="740"/>
      <c r="H176" s="740"/>
      <c r="I176" s="740"/>
      <c r="J176" s="740"/>
      <c r="K176" s="740"/>
      <c r="L176" s="740"/>
      <c r="M176" s="740"/>
      <c r="N176" s="36"/>
      <c r="O176" s="3691"/>
    </row>
    <row r="177" spans="4:16" ht="15" customHeight="1">
      <c r="D177" s="25"/>
      <c r="E177" s="23" t="s">
        <v>1729</v>
      </c>
      <c r="F177" s="735"/>
      <c r="G177" s="735"/>
      <c r="H177" s="733"/>
      <c r="I177" s="734"/>
      <c r="J177" s="734"/>
      <c r="K177" s="734"/>
      <c r="L177" s="734"/>
      <c r="M177" s="734"/>
      <c r="N177" s="36"/>
    </row>
    <row r="178" spans="4:16" ht="15" customHeight="1">
      <c r="D178" s="25"/>
      <c r="E178" s="340"/>
      <c r="F178" s="760"/>
      <c r="G178" s="760"/>
      <c r="H178" s="760"/>
      <c r="I178" s="760"/>
      <c r="J178" s="760"/>
      <c r="K178" s="760"/>
      <c r="L178" s="760"/>
      <c r="M178" s="763" t="s">
        <v>2248</v>
      </c>
      <c r="N178" s="36"/>
    </row>
    <row r="179" spans="4:16" ht="15" customHeight="1">
      <c r="D179" s="25"/>
      <c r="E179" s="344" t="s">
        <v>859</v>
      </c>
      <c r="F179" s="762">
        <v>2018</v>
      </c>
      <c r="G179" s="762">
        <v>2020</v>
      </c>
      <c r="H179" s="762">
        <v>2025</v>
      </c>
      <c r="I179" s="762">
        <v>2030</v>
      </c>
      <c r="J179" s="762">
        <v>2035</v>
      </c>
      <c r="K179" s="762">
        <v>2040</v>
      </c>
      <c r="L179" s="762">
        <v>2045</v>
      </c>
      <c r="M179" s="762">
        <v>2050</v>
      </c>
      <c r="N179" s="36"/>
    </row>
    <row r="180" spans="4:16" ht="15" customHeight="1">
      <c r="D180" s="25"/>
      <c r="E180" s="279" t="s">
        <v>887</v>
      </c>
      <c r="F180" s="717">
        <v>1</v>
      </c>
      <c r="G180" s="717">
        <v>1</v>
      </c>
      <c r="H180" s="717">
        <v>1</v>
      </c>
      <c r="I180" s="717">
        <v>1</v>
      </c>
      <c r="J180" s="717">
        <v>1</v>
      </c>
      <c r="K180" s="717">
        <v>1</v>
      </c>
      <c r="L180" s="717">
        <v>1</v>
      </c>
      <c r="M180" s="717">
        <v>1</v>
      </c>
      <c r="N180" s="1515"/>
      <c r="O180" s="3334"/>
    </row>
    <row r="181" spans="4:16" ht="15" customHeight="1">
      <c r="D181" s="25"/>
      <c r="E181" s="30"/>
      <c r="F181" s="740"/>
      <c r="G181" s="740"/>
      <c r="H181" s="740"/>
      <c r="I181" s="740"/>
      <c r="J181" s="740"/>
      <c r="K181" s="740"/>
      <c r="L181" s="740"/>
      <c r="M181" s="740"/>
      <c r="N181" s="36"/>
    </row>
    <row r="182" spans="4:16" ht="15" customHeight="1">
      <c r="D182" s="25"/>
      <c r="E182" s="340" t="s">
        <v>2249</v>
      </c>
      <c r="F182" s="760"/>
      <c r="G182" s="760"/>
      <c r="H182" s="760"/>
      <c r="I182" s="760"/>
      <c r="J182" s="760"/>
      <c r="K182" s="760"/>
      <c r="L182" s="760"/>
      <c r="M182" s="763" t="s">
        <v>2248</v>
      </c>
      <c r="N182" s="36"/>
    </row>
    <row r="183" spans="4:16" ht="15" customHeight="1">
      <c r="D183" s="25"/>
      <c r="E183" s="344" t="s">
        <v>859</v>
      </c>
      <c r="F183" s="762">
        <v>2018</v>
      </c>
      <c r="G183" s="762">
        <v>2020</v>
      </c>
      <c r="H183" s="762">
        <v>2025</v>
      </c>
      <c r="I183" s="762">
        <v>2030</v>
      </c>
      <c r="J183" s="762">
        <v>2035</v>
      </c>
      <c r="K183" s="762">
        <v>2040</v>
      </c>
      <c r="L183" s="762">
        <v>2045</v>
      </c>
      <c r="M183" s="762">
        <v>2050</v>
      </c>
      <c r="N183" s="36"/>
    </row>
    <row r="184" spans="4:16" ht="15" customHeight="1">
      <c r="D184" s="25"/>
      <c r="E184" s="30" t="s">
        <v>889</v>
      </c>
      <c r="F184" s="1511">
        <v>0.97763</v>
      </c>
      <c r="G184" s="1512">
        <v>0.95472000000000001</v>
      </c>
      <c r="H184" s="1512">
        <v>0.76903999999999995</v>
      </c>
      <c r="I184" s="1512">
        <v>0.58223999999999998</v>
      </c>
      <c r="J184" s="1512">
        <v>0.25813000000000003</v>
      </c>
      <c r="K184" s="1512">
        <v>0.12485</v>
      </c>
      <c r="L184" s="1512">
        <v>0.11187999999999999</v>
      </c>
      <c r="M184" s="1512">
        <v>0.112</v>
      </c>
      <c r="N184" s="36"/>
      <c r="O184" s="3334"/>
    </row>
    <row r="185" spans="4:16" ht="15" customHeight="1">
      <c r="D185" s="25"/>
      <c r="E185" s="30" t="s">
        <v>890</v>
      </c>
      <c r="F185" s="1511">
        <v>2.078E-2</v>
      </c>
      <c r="G185" s="1512">
        <v>2.3810000000000001E-2</v>
      </c>
      <c r="H185" s="1512">
        <v>2.2849999999999999E-2</v>
      </c>
      <c r="I185" s="1512">
        <v>2.188E-2</v>
      </c>
      <c r="J185" s="1512">
        <v>2.0899999999999998E-2</v>
      </c>
      <c r="K185" s="1512">
        <v>1.993E-2</v>
      </c>
      <c r="L185" s="1512">
        <v>1.8960000000000001E-2</v>
      </c>
      <c r="M185" s="1512">
        <v>1.7999999999999999E-2</v>
      </c>
      <c r="N185" s="36"/>
    </row>
    <row r="186" spans="4:16" ht="15" customHeight="1">
      <c r="D186" s="25"/>
      <c r="E186" s="30" t="s">
        <v>2250</v>
      </c>
      <c r="F186" s="722">
        <v>0</v>
      </c>
      <c r="G186" s="722">
        <v>0</v>
      </c>
      <c r="H186" s="722">
        <v>0</v>
      </c>
      <c r="I186" s="722">
        <v>0</v>
      </c>
      <c r="J186" s="722">
        <v>0</v>
      </c>
      <c r="K186" s="722">
        <v>0</v>
      </c>
      <c r="L186" s="722">
        <v>0</v>
      </c>
      <c r="M186" s="722">
        <v>0</v>
      </c>
      <c r="N186" s="36"/>
      <c r="O186" s="3691"/>
    </row>
    <row r="187" spans="4:16" ht="15" customHeight="1">
      <c r="D187" s="25"/>
      <c r="E187" s="30" t="s">
        <v>893</v>
      </c>
      <c r="F187" s="1511">
        <v>1.0000000000000001E-5</v>
      </c>
      <c r="G187" s="1512">
        <v>2E-3</v>
      </c>
      <c r="H187" s="1512">
        <v>4.4000000000000002E-4</v>
      </c>
      <c r="I187" s="1512">
        <v>9.8899999999999995E-3</v>
      </c>
      <c r="J187" s="1512">
        <v>0.10410999999999999</v>
      </c>
      <c r="K187" s="1512">
        <v>0.17460999999999999</v>
      </c>
      <c r="L187" s="1512">
        <v>0.17977000000000001</v>
      </c>
      <c r="M187" s="1512">
        <v>0.18</v>
      </c>
      <c r="N187" s="36"/>
      <c r="P187" s="3333"/>
    </row>
    <row r="188" spans="4:16" ht="15" customHeight="1">
      <c r="D188" s="25"/>
      <c r="E188" s="30" t="s">
        <v>498</v>
      </c>
      <c r="F188" s="722">
        <v>0</v>
      </c>
      <c r="G188" s="722">
        <v>1.2999999999999999E-4</v>
      </c>
      <c r="H188" s="722">
        <v>3.4000000000000002E-4</v>
      </c>
      <c r="I188" s="722">
        <v>5.9800000000000001E-3</v>
      </c>
      <c r="J188" s="722">
        <v>5.1569999999999998E-2</v>
      </c>
      <c r="K188" s="722">
        <v>8.659E-2</v>
      </c>
      <c r="L188" s="722">
        <v>8.9819999999999997E-2</v>
      </c>
      <c r="M188" s="722">
        <v>0.09</v>
      </c>
      <c r="N188" s="36"/>
    </row>
    <row r="189" spans="4:16" ht="15" customHeight="1">
      <c r="D189" s="25"/>
      <c r="E189" s="30" t="s">
        <v>894</v>
      </c>
      <c r="F189" s="1512">
        <v>1.58E-3</v>
      </c>
      <c r="G189" s="1512">
        <v>2.1319999999999999E-2</v>
      </c>
      <c r="H189" s="1512">
        <v>0.20732999999999999</v>
      </c>
      <c r="I189" s="1512">
        <v>0.38001000000000001</v>
      </c>
      <c r="J189" s="1512">
        <v>0.56528999999999996</v>
      </c>
      <c r="K189" s="1512">
        <v>0.59401999999999999</v>
      </c>
      <c r="L189" s="1512">
        <v>0.59957000000000005</v>
      </c>
      <c r="M189" s="1512">
        <v>0.6</v>
      </c>
      <c r="N189" s="36"/>
    </row>
    <row r="190" spans="4:16" ht="15" customHeight="1">
      <c r="D190" s="25"/>
      <c r="E190" s="32" t="s">
        <v>603</v>
      </c>
      <c r="F190" s="714">
        <v>0</v>
      </c>
      <c r="G190" s="714">
        <v>0</v>
      </c>
      <c r="H190" s="714">
        <v>0</v>
      </c>
      <c r="I190" s="714">
        <v>0</v>
      </c>
      <c r="J190" s="714">
        <v>0</v>
      </c>
      <c r="K190" s="714">
        <v>0</v>
      </c>
      <c r="L190" s="714">
        <v>0</v>
      </c>
      <c r="M190" s="714">
        <v>0</v>
      </c>
      <c r="N190" s="36"/>
    </row>
    <row r="191" spans="4:16" ht="15" customHeight="1">
      <c r="D191" s="25"/>
      <c r="E191" s="30"/>
      <c r="F191" s="740"/>
      <c r="G191" s="740"/>
      <c r="H191" s="740"/>
      <c r="I191" s="740"/>
      <c r="J191" s="740"/>
      <c r="K191" s="740"/>
      <c r="L191" s="740"/>
      <c r="M191" s="740"/>
      <c r="N191" s="36"/>
    </row>
    <row r="192" spans="4:16" ht="15" customHeight="1">
      <c r="D192" s="25"/>
      <c r="E192" s="340" t="s">
        <v>895</v>
      </c>
      <c r="F192" s="760"/>
      <c r="G192" s="760"/>
      <c r="H192" s="760"/>
      <c r="I192" s="760"/>
      <c r="J192" s="760"/>
      <c r="K192" s="760"/>
      <c r="L192" s="760"/>
      <c r="M192" s="763" t="s">
        <v>2248</v>
      </c>
      <c r="N192" s="36"/>
    </row>
    <row r="193" spans="4:15" ht="15" customHeight="1">
      <c r="D193" s="25"/>
      <c r="E193" s="344" t="s">
        <v>859</v>
      </c>
      <c r="F193" s="762">
        <v>2018</v>
      </c>
      <c r="G193" s="762">
        <v>2020</v>
      </c>
      <c r="H193" s="762">
        <v>2025</v>
      </c>
      <c r="I193" s="762">
        <v>2030</v>
      </c>
      <c r="J193" s="762">
        <v>2035</v>
      </c>
      <c r="K193" s="762">
        <v>2040</v>
      </c>
      <c r="L193" s="762">
        <v>2045</v>
      </c>
      <c r="M193" s="762">
        <v>2050</v>
      </c>
      <c r="N193" s="36"/>
    </row>
    <row r="194" spans="4:15" ht="15" customHeight="1">
      <c r="D194" s="25"/>
      <c r="E194" s="30" t="s">
        <v>889</v>
      </c>
      <c r="F194" s="1511">
        <v>0.52612499999999995</v>
      </c>
      <c r="G194" s="1512">
        <v>0.5095357142857142</v>
      </c>
      <c r="H194" s="1512">
        <v>0.48294642857142855</v>
      </c>
      <c r="I194" s="1512">
        <v>0.45635714285714279</v>
      </c>
      <c r="J194" s="1512">
        <v>0.42976785714285715</v>
      </c>
      <c r="K194" s="1512">
        <v>0.40317857142857139</v>
      </c>
      <c r="L194" s="1512">
        <v>0.37658928571428563</v>
      </c>
      <c r="M194" s="1512">
        <v>0.35</v>
      </c>
      <c r="N194" s="36"/>
      <c r="O194" s="3334"/>
    </row>
    <row r="195" spans="4:15" ht="15" customHeight="1">
      <c r="D195" s="25"/>
      <c r="E195" s="30" t="s">
        <v>890</v>
      </c>
      <c r="F195" s="1511">
        <v>0.01</v>
      </c>
      <c r="G195" s="1512">
        <v>0</v>
      </c>
      <c r="H195" s="1512">
        <v>0</v>
      </c>
      <c r="I195" s="1512">
        <v>0</v>
      </c>
      <c r="J195" s="1512">
        <v>0</v>
      </c>
      <c r="K195" s="1512">
        <v>0</v>
      </c>
      <c r="L195" s="1512">
        <v>0</v>
      </c>
      <c r="M195" s="1512">
        <v>0</v>
      </c>
      <c r="N195" s="36"/>
    </row>
    <row r="196" spans="4:15" ht="15" customHeight="1">
      <c r="D196" s="25"/>
      <c r="E196" s="30" t="s">
        <v>2250</v>
      </c>
      <c r="F196" s="722">
        <v>0.03</v>
      </c>
      <c r="G196" s="722">
        <v>5.4285714285714284E-2</v>
      </c>
      <c r="H196" s="722">
        <v>7.857142857142857E-2</v>
      </c>
      <c r="I196" s="722">
        <v>0.10285714285714286</v>
      </c>
      <c r="J196" s="722">
        <v>0.12714285714285714</v>
      </c>
      <c r="K196" s="722">
        <v>0.15142857142857144</v>
      </c>
      <c r="L196" s="722">
        <v>0.17571428571428574</v>
      </c>
      <c r="M196" s="722">
        <v>0.2</v>
      </c>
      <c r="N196" s="36"/>
      <c r="O196" s="3691"/>
    </row>
    <row r="197" spans="4:15" ht="15" customHeight="1">
      <c r="D197" s="25"/>
      <c r="E197" s="30" t="s">
        <v>893</v>
      </c>
      <c r="F197" s="1511">
        <v>0.38387500000000002</v>
      </c>
      <c r="G197" s="1512">
        <v>0.36475000000000002</v>
      </c>
      <c r="H197" s="1512">
        <v>0.34562500000000002</v>
      </c>
      <c r="I197" s="1512">
        <v>0.32650000000000001</v>
      </c>
      <c r="J197" s="1512">
        <v>0.30737500000000001</v>
      </c>
      <c r="K197" s="1512">
        <v>0.28825000000000001</v>
      </c>
      <c r="L197" s="1512">
        <v>0.269125</v>
      </c>
      <c r="M197" s="1512">
        <v>0.25</v>
      </c>
      <c r="N197" s="36"/>
    </row>
    <row r="198" spans="4:15" ht="15" customHeight="1">
      <c r="D198" s="25"/>
      <c r="E198" s="30" t="s">
        <v>498</v>
      </c>
      <c r="F198" s="722">
        <v>0</v>
      </c>
      <c r="G198" s="722">
        <v>0</v>
      </c>
      <c r="H198" s="722">
        <v>0</v>
      </c>
      <c r="I198" s="722">
        <v>0</v>
      </c>
      <c r="J198" s="722">
        <v>0</v>
      </c>
      <c r="K198" s="722">
        <v>0</v>
      </c>
      <c r="L198" s="722">
        <v>0</v>
      </c>
      <c r="M198" s="722">
        <v>0</v>
      </c>
      <c r="N198" s="36"/>
    </row>
    <row r="199" spans="4:15" ht="15" customHeight="1">
      <c r="D199" s="25"/>
      <c r="E199" s="30" t="s">
        <v>894</v>
      </c>
      <c r="F199" s="1512">
        <v>0.05</v>
      </c>
      <c r="G199" s="1512">
        <v>7.1428571428571438E-2</v>
      </c>
      <c r="H199" s="1512">
        <v>9.2857142857142874E-2</v>
      </c>
      <c r="I199" s="1512">
        <v>0.11428571428571431</v>
      </c>
      <c r="J199" s="1512">
        <v>0.13571428571428573</v>
      </c>
      <c r="K199" s="1512">
        <v>0.15714285714285717</v>
      </c>
      <c r="L199" s="1512">
        <v>0.1785714285714286</v>
      </c>
      <c r="M199" s="1512">
        <v>0.2</v>
      </c>
      <c r="N199" s="36"/>
    </row>
    <row r="200" spans="4:15" ht="15" customHeight="1">
      <c r="D200" s="25"/>
      <c r="E200" s="32" t="s">
        <v>603</v>
      </c>
      <c r="F200" s="714">
        <v>0</v>
      </c>
      <c r="G200" s="714">
        <v>0</v>
      </c>
      <c r="H200" s="714">
        <v>0</v>
      </c>
      <c r="I200" s="714">
        <v>0</v>
      </c>
      <c r="J200" s="714">
        <v>0</v>
      </c>
      <c r="K200" s="714">
        <v>0</v>
      </c>
      <c r="L200" s="714">
        <v>0</v>
      </c>
      <c r="M200" s="714">
        <v>0</v>
      </c>
      <c r="N200" s="36"/>
    </row>
    <row r="201" spans="4:15" ht="15" customHeight="1">
      <c r="D201" s="25"/>
      <c r="E201" s="30"/>
      <c r="F201" s="740"/>
      <c r="G201" s="740"/>
      <c r="H201" s="740"/>
      <c r="I201" s="740"/>
      <c r="J201" s="740"/>
      <c r="K201" s="740"/>
      <c r="L201" s="740"/>
      <c r="M201" s="740"/>
      <c r="N201" s="36"/>
    </row>
    <row r="202" spans="4:15" ht="15" customHeight="1">
      <c r="D202" s="25"/>
      <c r="E202" s="340" t="s">
        <v>896</v>
      </c>
      <c r="F202" s="760"/>
      <c r="G202" s="760"/>
      <c r="H202" s="760"/>
      <c r="I202" s="760"/>
      <c r="J202" s="760"/>
      <c r="K202" s="760"/>
      <c r="L202" s="760"/>
      <c r="M202" s="763" t="s">
        <v>2248</v>
      </c>
      <c r="N202" s="36"/>
    </row>
    <row r="203" spans="4:15" ht="15" customHeight="1">
      <c r="D203" s="25"/>
      <c r="E203" s="344" t="s">
        <v>859</v>
      </c>
      <c r="F203" s="762">
        <v>2018</v>
      </c>
      <c r="G203" s="762">
        <v>2020</v>
      </c>
      <c r="H203" s="762">
        <v>2025</v>
      </c>
      <c r="I203" s="762">
        <v>2030</v>
      </c>
      <c r="J203" s="762">
        <v>2035</v>
      </c>
      <c r="K203" s="762">
        <v>2040</v>
      </c>
      <c r="L203" s="762">
        <v>2045</v>
      </c>
      <c r="M203" s="762">
        <v>2050</v>
      </c>
      <c r="N203" s="36"/>
    </row>
    <row r="204" spans="4:15" ht="15" customHeight="1">
      <c r="D204" s="25"/>
      <c r="E204" s="30" t="s">
        <v>897</v>
      </c>
      <c r="F204" s="1513">
        <v>0.57999999999999996</v>
      </c>
      <c r="G204" s="1513">
        <v>0.57419999999999993</v>
      </c>
      <c r="H204" s="1513">
        <v>0.56066666666666665</v>
      </c>
      <c r="I204" s="1513">
        <v>0.54713333333333336</v>
      </c>
      <c r="J204" s="1513">
        <v>0.53359999999999996</v>
      </c>
      <c r="K204" s="1513">
        <v>0.52006666666666668</v>
      </c>
      <c r="L204" s="1513">
        <v>0.50653333333333328</v>
      </c>
      <c r="M204" s="1513">
        <v>0.49299999999999994</v>
      </c>
      <c r="N204" s="36"/>
      <c r="O204" s="3334"/>
    </row>
    <row r="205" spans="4:15" ht="15" customHeight="1">
      <c r="D205" s="25"/>
      <c r="E205" s="30" t="s">
        <v>898</v>
      </c>
      <c r="F205" s="1511">
        <v>0.42</v>
      </c>
      <c r="G205" s="1511">
        <v>0.4158</v>
      </c>
      <c r="H205" s="1511">
        <v>0.40599999999999997</v>
      </c>
      <c r="I205" s="1511">
        <v>0.3962</v>
      </c>
      <c r="J205" s="1511">
        <v>0.38640000000000002</v>
      </c>
      <c r="K205" s="1511">
        <v>0.37659999999999999</v>
      </c>
      <c r="L205" s="1511">
        <v>0.36679999999999996</v>
      </c>
      <c r="M205" s="1511">
        <v>0.35699999999999998</v>
      </c>
      <c r="N205" s="36"/>
    </row>
    <row r="206" spans="4:15" ht="15" customHeight="1">
      <c r="D206" s="25"/>
      <c r="E206" s="32" t="s">
        <v>894</v>
      </c>
      <c r="F206" s="1514">
        <v>0</v>
      </c>
      <c r="G206" s="1514">
        <v>0.01</v>
      </c>
      <c r="H206" s="1514">
        <v>3.3333333333333333E-2</v>
      </c>
      <c r="I206" s="1514">
        <v>5.6666666666666664E-2</v>
      </c>
      <c r="J206" s="1514">
        <v>7.9999999999999988E-2</v>
      </c>
      <c r="K206" s="1514">
        <v>0.10333333333333332</v>
      </c>
      <c r="L206" s="1514">
        <v>0.12666666666666665</v>
      </c>
      <c r="M206" s="1514">
        <v>0.15</v>
      </c>
      <c r="N206" s="36"/>
      <c r="O206" s="3691"/>
    </row>
    <row r="207" spans="4:15" ht="15" customHeight="1">
      <c r="D207" s="25"/>
      <c r="E207" s="30"/>
      <c r="F207" s="740"/>
      <c r="G207" s="740"/>
      <c r="H207" s="740"/>
      <c r="I207" s="740"/>
      <c r="J207" s="740"/>
      <c r="K207" s="740"/>
      <c r="L207" s="740"/>
      <c r="M207" s="740"/>
      <c r="N207" s="36"/>
    </row>
    <row r="208" spans="4:15" ht="15" customHeight="1">
      <c r="D208" s="25"/>
      <c r="E208" s="340" t="s">
        <v>899</v>
      </c>
      <c r="F208" s="760"/>
      <c r="G208" s="760"/>
      <c r="H208" s="760"/>
      <c r="I208" s="760"/>
      <c r="J208" s="760"/>
      <c r="K208" s="760"/>
      <c r="L208" s="760"/>
      <c r="M208" s="763" t="s">
        <v>2248</v>
      </c>
      <c r="N208" s="36"/>
    </row>
    <row r="209" spans="4:15" ht="15" customHeight="1">
      <c r="D209" s="25"/>
      <c r="E209" s="344" t="s">
        <v>859</v>
      </c>
      <c r="F209" s="762">
        <v>2018</v>
      </c>
      <c r="G209" s="762">
        <v>2020</v>
      </c>
      <c r="H209" s="762">
        <v>2025</v>
      </c>
      <c r="I209" s="762">
        <v>2030</v>
      </c>
      <c r="J209" s="762">
        <v>2035</v>
      </c>
      <c r="K209" s="762">
        <v>2040</v>
      </c>
      <c r="L209" s="762">
        <v>2045</v>
      </c>
      <c r="M209" s="762">
        <v>2050</v>
      </c>
      <c r="N209" s="36"/>
    </row>
    <row r="210" spans="4:15" ht="15" customHeight="1">
      <c r="D210" s="25"/>
      <c r="E210" s="30" t="s">
        <v>889</v>
      </c>
      <c r="F210" s="1511">
        <v>8.1500000000000003E-2</v>
      </c>
      <c r="G210" s="1512">
        <v>7.1999999999999995E-2</v>
      </c>
      <c r="H210" s="1512">
        <v>6.9166666666666668E-2</v>
      </c>
      <c r="I210" s="1512">
        <v>6.6333333333333341E-2</v>
      </c>
      <c r="J210" s="1512">
        <v>6.3500000000000001E-2</v>
      </c>
      <c r="K210" s="1512">
        <v>6.0666666666666674E-2</v>
      </c>
      <c r="L210" s="1512">
        <v>5.7833333333333341E-2</v>
      </c>
      <c r="M210" s="1512">
        <v>5.4999999999999993E-2</v>
      </c>
      <c r="N210" s="36"/>
      <c r="O210" s="3334"/>
    </row>
    <row r="211" spans="4:15" ht="15" customHeight="1">
      <c r="D211" s="25"/>
      <c r="E211" s="30" t="s">
        <v>890</v>
      </c>
      <c r="F211" s="1511">
        <v>0.73349999999999993</v>
      </c>
      <c r="G211" s="1512">
        <v>0.64800000000000002</v>
      </c>
      <c r="H211" s="1512">
        <v>0.62250000000000005</v>
      </c>
      <c r="I211" s="1512">
        <v>0.59699999999999998</v>
      </c>
      <c r="J211" s="1512">
        <v>0.57150000000000001</v>
      </c>
      <c r="K211" s="1512">
        <v>0.54600000000000004</v>
      </c>
      <c r="L211" s="1512">
        <v>0.52050000000000007</v>
      </c>
      <c r="M211" s="1512">
        <v>0.49499999999999994</v>
      </c>
      <c r="N211" s="36"/>
    </row>
    <row r="212" spans="4:15" ht="15" customHeight="1">
      <c r="D212" s="25"/>
      <c r="E212" s="30" t="s">
        <v>2250</v>
      </c>
      <c r="F212" s="722">
        <v>0</v>
      </c>
      <c r="G212" s="722">
        <v>0</v>
      </c>
      <c r="H212" s="722">
        <v>0</v>
      </c>
      <c r="I212" s="722">
        <v>0</v>
      </c>
      <c r="J212" s="722">
        <v>0</v>
      </c>
      <c r="K212" s="722">
        <v>0</v>
      </c>
      <c r="L212" s="722">
        <v>0</v>
      </c>
      <c r="M212" s="722">
        <v>0</v>
      </c>
      <c r="N212" s="36"/>
    </row>
    <row r="213" spans="4:15" ht="15" customHeight="1">
      <c r="D213" s="25"/>
      <c r="E213" s="30" t="s">
        <v>893</v>
      </c>
      <c r="F213" s="1511">
        <v>0.185</v>
      </c>
      <c r="G213" s="1512">
        <v>0.18</v>
      </c>
      <c r="H213" s="1512">
        <v>0.17499999999999999</v>
      </c>
      <c r="I213" s="1512">
        <v>0.16999999999999998</v>
      </c>
      <c r="J213" s="1512">
        <v>0.16499999999999998</v>
      </c>
      <c r="K213" s="1512">
        <v>0.15999999999999998</v>
      </c>
      <c r="L213" s="1512">
        <v>0.15499999999999997</v>
      </c>
      <c r="M213" s="1512">
        <v>0.15</v>
      </c>
      <c r="N213" s="36"/>
      <c r="O213" s="3691"/>
    </row>
    <row r="214" spans="4:15" ht="15" customHeight="1">
      <c r="D214" s="25"/>
      <c r="E214" s="30" t="s">
        <v>498</v>
      </c>
      <c r="F214" s="722">
        <v>0</v>
      </c>
      <c r="G214" s="722">
        <v>0</v>
      </c>
      <c r="H214" s="722">
        <v>0</v>
      </c>
      <c r="I214" s="722">
        <v>0</v>
      </c>
      <c r="J214" s="722">
        <v>0</v>
      </c>
      <c r="K214" s="722">
        <v>0</v>
      </c>
      <c r="L214" s="722">
        <v>0</v>
      </c>
      <c r="M214" s="722">
        <v>0</v>
      </c>
      <c r="N214" s="36"/>
    </row>
    <row r="215" spans="4:15" ht="15" customHeight="1">
      <c r="D215" s="25"/>
      <c r="E215" s="30" t="s">
        <v>894</v>
      </c>
      <c r="F215" s="1512">
        <v>0</v>
      </c>
      <c r="G215" s="1512">
        <v>0.05</v>
      </c>
      <c r="H215" s="1512">
        <v>5.8333333333333334E-2</v>
      </c>
      <c r="I215" s="1512">
        <v>6.6666666666666666E-2</v>
      </c>
      <c r="J215" s="1512">
        <v>7.4999999999999997E-2</v>
      </c>
      <c r="K215" s="1512">
        <v>8.3333333333333329E-2</v>
      </c>
      <c r="L215" s="1512">
        <v>9.166666666666666E-2</v>
      </c>
      <c r="M215" s="1512">
        <v>0.1</v>
      </c>
      <c r="N215" s="36"/>
    </row>
    <row r="216" spans="4:15" ht="15" customHeight="1">
      <c r="D216" s="25"/>
      <c r="E216" s="32" t="s">
        <v>603</v>
      </c>
      <c r="F216" s="714">
        <v>0</v>
      </c>
      <c r="G216" s="714">
        <v>0</v>
      </c>
      <c r="H216" s="714">
        <v>0</v>
      </c>
      <c r="I216" s="714">
        <v>0</v>
      </c>
      <c r="J216" s="714">
        <v>0</v>
      </c>
      <c r="K216" s="714">
        <v>0</v>
      </c>
      <c r="L216" s="714">
        <v>0</v>
      </c>
      <c r="M216" s="714">
        <v>0</v>
      </c>
      <c r="N216" s="36"/>
    </row>
    <row r="217" spans="4:15" ht="15" customHeight="1">
      <c r="D217" s="25"/>
      <c r="E217" s="35"/>
      <c r="F217" s="733"/>
      <c r="G217" s="733"/>
      <c r="H217" s="733"/>
      <c r="I217" s="733"/>
      <c r="J217" s="733"/>
      <c r="K217" s="733"/>
      <c r="L217" s="733"/>
      <c r="M217" s="733"/>
      <c r="N217" s="36"/>
    </row>
    <row r="218" spans="4:15" ht="15" customHeight="1">
      <c r="D218" s="25"/>
      <c r="E218" s="340" t="s">
        <v>900</v>
      </c>
      <c r="F218" s="760"/>
      <c r="G218" s="760"/>
      <c r="H218" s="760"/>
      <c r="I218" s="760"/>
      <c r="J218" s="760"/>
      <c r="K218" s="760"/>
      <c r="L218" s="760"/>
      <c r="M218" s="763" t="s">
        <v>2248</v>
      </c>
      <c r="N218" s="36"/>
    </row>
    <row r="219" spans="4:15" ht="15" customHeight="1">
      <c r="D219" s="25"/>
      <c r="E219" s="344" t="s">
        <v>859</v>
      </c>
      <c r="F219" s="762">
        <v>2018</v>
      </c>
      <c r="G219" s="762">
        <v>2020</v>
      </c>
      <c r="H219" s="762">
        <v>2025</v>
      </c>
      <c r="I219" s="762">
        <v>2030</v>
      </c>
      <c r="J219" s="762">
        <v>2035</v>
      </c>
      <c r="K219" s="762">
        <v>2040</v>
      </c>
      <c r="L219" s="762">
        <v>2045</v>
      </c>
      <c r="M219" s="762">
        <v>2050</v>
      </c>
      <c r="N219" s="36"/>
    </row>
    <row r="220" spans="4:15" ht="15" customHeight="1">
      <c r="D220" s="25"/>
      <c r="E220" s="30" t="s">
        <v>889</v>
      </c>
      <c r="F220" s="1511">
        <v>0</v>
      </c>
      <c r="G220" s="1512">
        <v>0</v>
      </c>
      <c r="H220" s="1512">
        <v>0</v>
      </c>
      <c r="I220" s="1512">
        <v>0</v>
      </c>
      <c r="J220" s="1512">
        <v>0</v>
      </c>
      <c r="K220" s="1512">
        <v>0</v>
      </c>
      <c r="L220" s="1512">
        <v>0</v>
      </c>
      <c r="M220" s="1512">
        <v>0</v>
      </c>
      <c r="N220" s="36"/>
      <c r="O220" s="3334"/>
    </row>
    <row r="221" spans="4:15" ht="15" customHeight="1">
      <c r="D221" s="25"/>
      <c r="E221" s="30" t="s">
        <v>890</v>
      </c>
      <c r="F221" s="1511">
        <v>1</v>
      </c>
      <c r="G221" s="1512">
        <v>0.92999999999999994</v>
      </c>
      <c r="H221" s="1512">
        <v>0.8783333333333333</v>
      </c>
      <c r="I221" s="1512">
        <v>0.82666666666666666</v>
      </c>
      <c r="J221" s="1512">
        <v>0.77500000000000002</v>
      </c>
      <c r="K221" s="1512">
        <v>0.72333333333333338</v>
      </c>
      <c r="L221" s="1512">
        <v>0.67166666666666663</v>
      </c>
      <c r="M221" s="1512">
        <v>0.62</v>
      </c>
      <c r="N221" s="36"/>
    </row>
    <row r="222" spans="4:15" ht="15" customHeight="1">
      <c r="D222" s="25"/>
      <c r="E222" s="30" t="s">
        <v>2250</v>
      </c>
      <c r="F222" s="722">
        <v>0</v>
      </c>
      <c r="G222" s="722">
        <v>0</v>
      </c>
      <c r="H222" s="722">
        <v>0</v>
      </c>
      <c r="I222" s="722">
        <v>0</v>
      </c>
      <c r="J222" s="722">
        <v>0</v>
      </c>
      <c r="K222" s="722">
        <v>0</v>
      </c>
      <c r="L222" s="722">
        <v>0</v>
      </c>
      <c r="M222" s="722">
        <v>0</v>
      </c>
      <c r="N222" s="36"/>
      <c r="O222" s="3691"/>
    </row>
    <row r="223" spans="4:15" ht="15" customHeight="1">
      <c r="D223" s="25"/>
      <c r="E223" s="30" t="s">
        <v>893</v>
      </c>
      <c r="F223" s="1511">
        <v>0</v>
      </c>
      <c r="G223" s="1512">
        <v>0.01</v>
      </c>
      <c r="H223" s="1512">
        <v>1.3333333333333332E-2</v>
      </c>
      <c r="I223" s="1512">
        <v>1.6666666666666666E-2</v>
      </c>
      <c r="J223" s="1512">
        <v>0.02</v>
      </c>
      <c r="K223" s="1512">
        <v>2.3333333333333334E-2</v>
      </c>
      <c r="L223" s="1512">
        <v>2.6666666666666668E-2</v>
      </c>
      <c r="M223" s="1512">
        <v>0.03</v>
      </c>
      <c r="N223" s="36"/>
    </row>
    <row r="224" spans="4:15" ht="15" customHeight="1">
      <c r="D224" s="25"/>
      <c r="E224" s="30" t="s">
        <v>498</v>
      </c>
      <c r="F224" s="722">
        <v>0</v>
      </c>
      <c r="G224" s="722">
        <v>0</v>
      </c>
      <c r="H224" s="722">
        <v>0</v>
      </c>
      <c r="I224" s="722">
        <v>0</v>
      </c>
      <c r="J224" s="722">
        <v>0</v>
      </c>
      <c r="K224" s="722">
        <v>0</v>
      </c>
      <c r="L224" s="722">
        <v>0</v>
      </c>
      <c r="M224" s="722">
        <v>0</v>
      </c>
      <c r="N224" s="36"/>
    </row>
    <row r="225" spans="4:15" ht="15" customHeight="1">
      <c r="D225" s="25"/>
      <c r="E225" s="30" t="s">
        <v>894</v>
      </c>
      <c r="F225" s="1512">
        <v>0</v>
      </c>
      <c r="G225" s="1512">
        <v>0.01</v>
      </c>
      <c r="H225" s="1512">
        <v>0.05</v>
      </c>
      <c r="I225" s="1512">
        <v>0.09</v>
      </c>
      <c r="J225" s="1512">
        <v>0.13</v>
      </c>
      <c r="K225" s="1512">
        <v>0.17</v>
      </c>
      <c r="L225" s="1512">
        <v>0.21000000000000002</v>
      </c>
      <c r="M225" s="1512">
        <v>0.25</v>
      </c>
      <c r="N225" s="36"/>
    </row>
    <row r="226" spans="4:15" ht="15" customHeight="1">
      <c r="D226" s="25"/>
      <c r="E226" s="32" t="s">
        <v>603</v>
      </c>
      <c r="F226" s="714">
        <v>0</v>
      </c>
      <c r="G226" s="714">
        <v>0</v>
      </c>
      <c r="H226" s="714">
        <v>0</v>
      </c>
      <c r="I226" s="714">
        <v>0</v>
      </c>
      <c r="J226" s="714">
        <v>0</v>
      </c>
      <c r="K226" s="714">
        <v>0</v>
      </c>
      <c r="L226" s="714">
        <v>0</v>
      </c>
      <c r="M226" s="714">
        <v>0</v>
      </c>
      <c r="N226" s="36"/>
      <c r="O226" s="2"/>
    </row>
    <row r="227" spans="4:15" ht="15" customHeight="1">
      <c r="D227" s="25"/>
      <c r="E227" s="26"/>
      <c r="F227" s="727"/>
      <c r="G227" s="727"/>
      <c r="H227" s="727"/>
      <c r="I227" s="727"/>
      <c r="J227" s="727"/>
      <c r="K227" s="727"/>
      <c r="L227" s="727"/>
      <c r="M227" s="733"/>
      <c r="N227" s="36"/>
    </row>
    <row r="228" spans="4:15" ht="15" customHeight="1">
      <c r="D228" s="25"/>
      <c r="E228" s="340" t="s">
        <v>2244</v>
      </c>
      <c r="F228" s="760"/>
      <c r="G228" s="760"/>
      <c r="H228" s="760"/>
      <c r="I228" s="760"/>
      <c r="J228" s="760"/>
      <c r="K228" s="760"/>
      <c r="L228" s="760"/>
      <c r="M228" s="763" t="s">
        <v>2248</v>
      </c>
      <c r="N228" s="36"/>
    </row>
    <row r="229" spans="4:15" ht="15" customHeight="1">
      <c r="D229" s="25"/>
      <c r="E229" s="344" t="s">
        <v>859</v>
      </c>
      <c r="F229" s="762">
        <v>2018</v>
      </c>
      <c r="G229" s="762">
        <v>2020</v>
      </c>
      <c r="H229" s="762">
        <v>2025</v>
      </c>
      <c r="I229" s="762">
        <v>2030</v>
      </c>
      <c r="J229" s="762">
        <v>2035</v>
      </c>
      <c r="K229" s="762">
        <v>2040</v>
      </c>
      <c r="L229" s="762">
        <v>2045</v>
      </c>
      <c r="M229" s="762">
        <v>2050</v>
      </c>
      <c r="N229" s="36"/>
      <c r="O229" s="2"/>
    </row>
    <row r="230" spans="4:15" ht="15" customHeight="1">
      <c r="D230" s="25"/>
      <c r="E230" s="337" t="s">
        <v>495</v>
      </c>
      <c r="F230" s="713">
        <v>0.9957792454030987</v>
      </c>
      <c r="G230" s="713">
        <v>0.9957792454030987</v>
      </c>
      <c r="H230" s="713">
        <v>0.9957792454030987</v>
      </c>
      <c r="I230" s="713">
        <v>0.9957792454030987</v>
      </c>
      <c r="J230" s="713">
        <v>0.9957792454030987</v>
      </c>
      <c r="K230" s="713">
        <v>0.9957792454030987</v>
      </c>
      <c r="L230" s="713">
        <v>0.9957792454030987</v>
      </c>
      <c r="M230" s="713">
        <v>0.9957792454030987</v>
      </c>
      <c r="N230" s="36"/>
      <c r="O230" s="3334"/>
    </row>
    <row r="231" spans="4:15" ht="15" customHeight="1">
      <c r="D231" s="25"/>
      <c r="E231" s="32" t="s">
        <v>601</v>
      </c>
      <c r="F231" s="714">
        <v>0</v>
      </c>
      <c r="G231" s="714">
        <v>0</v>
      </c>
      <c r="H231" s="714">
        <v>0</v>
      </c>
      <c r="I231" s="714">
        <v>0</v>
      </c>
      <c r="J231" s="714">
        <v>0</v>
      </c>
      <c r="K231" s="714">
        <v>0</v>
      </c>
      <c r="L231" s="714">
        <v>0</v>
      </c>
      <c r="M231" s="714">
        <v>0</v>
      </c>
      <c r="N231" s="36"/>
    </row>
    <row r="232" spans="4:15" ht="15" customHeight="1">
      <c r="D232" s="25"/>
      <c r="E232" s="30"/>
      <c r="F232" s="740"/>
      <c r="G232" s="740"/>
      <c r="H232" s="740"/>
      <c r="I232" s="740"/>
      <c r="J232" s="740"/>
      <c r="K232" s="740"/>
      <c r="L232" s="740"/>
      <c r="M232" s="740"/>
      <c r="N232" s="36"/>
      <c r="O232" s="3691"/>
    </row>
    <row r="233" spans="4:15" ht="15" customHeight="1">
      <c r="D233" s="25"/>
      <c r="E233" s="23" t="s">
        <v>1730</v>
      </c>
      <c r="F233" s="735"/>
      <c r="G233" s="735"/>
      <c r="H233" s="733"/>
      <c r="I233" s="734"/>
      <c r="J233" s="734"/>
      <c r="K233" s="734"/>
      <c r="L233" s="734"/>
      <c r="M233" s="734"/>
      <c r="N233" s="36"/>
    </row>
    <row r="234" spans="4:15" ht="15" customHeight="1">
      <c r="D234" s="25"/>
      <c r="E234" s="340"/>
      <c r="F234" s="760"/>
      <c r="G234" s="760"/>
      <c r="H234" s="760"/>
      <c r="I234" s="760"/>
      <c r="J234" s="760"/>
      <c r="K234" s="760"/>
      <c r="L234" s="760"/>
      <c r="M234" s="763" t="s">
        <v>2248</v>
      </c>
      <c r="N234" s="36"/>
    </row>
    <row r="235" spans="4:15" ht="15" customHeight="1">
      <c r="D235" s="25"/>
      <c r="E235" s="344" t="s">
        <v>859</v>
      </c>
      <c r="F235" s="762">
        <v>2018</v>
      </c>
      <c r="G235" s="762">
        <v>2020</v>
      </c>
      <c r="H235" s="762">
        <v>2025</v>
      </c>
      <c r="I235" s="762">
        <v>2030</v>
      </c>
      <c r="J235" s="762">
        <v>2035</v>
      </c>
      <c r="K235" s="762">
        <v>2040</v>
      </c>
      <c r="L235" s="762">
        <v>2045</v>
      </c>
      <c r="M235" s="762">
        <v>2050</v>
      </c>
      <c r="N235" s="36"/>
    </row>
    <row r="236" spans="4:15" ht="15" customHeight="1">
      <c r="D236" s="25"/>
      <c r="E236" s="279" t="s">
        <v>887</v>
      </c>
      <c r="F236" s="717">
        <v>1</v>
      </c>
      <c r="G236" s="717">
        <v>1</v>
      </c>
      <c r="H236" s="717">
        <v>1</v>
      </c>
      <c r="I236" s="717">
        <v>1</v>
      </c>
      <c r="J236" s="717">
        <v>1</v>
      </c>
      <c r="K236" s="717">
        <v>1</v>
      </c>
      <c r="L236" s="717">
        <v>1</v>
      </c>
      <c r="M236" s="717">
        <v>1</v>
      </c>
      <c r="N236" s="36"/>
      <c r="O236" s="3334"/>
    </row>
    <row r="237" spans="4:15" ht="15" customHeight="1">
      <c r="D237" s="25"/>
      <c r="E237" s="30"/>
      <c r="F237" s="740"/>
      <c r="G237" s="740"/>
      <c r="H237" s="740"/>
      <c r="I237" s="740"/>
      <c r="J237" s="740"/>
      <c r="K237" s="740"/>
      <c r="L237" s="740"/>
      <c r="M237" s="740"/>
      <c r="N237" s="36"/>
    </row>
    <row r="238" spans="4:15" ht="15" customHeight="1">
      <c r="D238" s="25"/>
      <c r="E238" s="340" t="s">
        <v>2249</v>
      </c>
      <c r="F238" s="760"/>
      <c r="G238" s="760"/>
      <c r="H238" s="760"/>
      <c r="I238" s="760"/>
      <c r="J238" s="760"/>
      <c r="K238" s="760"/>
      <c r="L238" s="760"/>
      <c r="M238" s="763" t="s">
        <v>2248</v>
      </c>
      <c r="N238" s="36"/>
    </row>
    <row r="239" spans="4:15" ht="15" customHeight="1">
      <c r="D239" s="25"/>
      <c r="E239" s="344" t="s">
        <v>859</v>
      </c>
      <c r="F239" s="762">
        <v>2018</v>
      </c>
      <c r="G239" s="762">
        <v>2020</v>
      </c>
      <c r="H239" s="762">
        <v>2025</v>
      </c>
      <c r="I239" s="762">
        <v>2030</v>
      </c>
      <c r="J239" s="762">
        <v>2035</v>
      </c>
      <c r="K239" s="762">
        <v>2040</v>
      </c>
      <c r="L239" s="762">
        <v>2045</v>
      </c>
      <c r="M239" s="762">
        <v>2050</v>
      </c>
      <c r="N239" s="36"/>
    </row>
    <row r="240" spans="4:15" ht="15" customHeight="1">
      <c r="D240" s="25"/>
      <c r="E240" s="30" t="s">
        <v>889</v>
      </c>
      <c r="F240" s="1511">
        <v>0.75687499999999996</v>
      </c>
      <c r="G240" s="1512">
        <v>0.74374999999999991</v>
      </c>
      <c r="H240" s="1512">
        <v>0.7114583333333333</v>
      </c>
      <c r="I240" s="1512">
        <v>0.6791666666666667</v>
      </c>
      <c r="J240" s="1512">
        <v>0.62375000000000003</v>
      </c>
      <c r="K240" s="1512">
        <v>0.5591666666666667</v>
      </c>
      <c r="L240" s="1512">
        <v>0.49458333333333337</v>
      </c>
      <c r="M240" s="1512">
        <v>0.42999999999999994</v>
      </c>
      <c r="N240" s="36"/>
      <c r="O240" s="3334"/>
    </row>
    <row r="241" spans="4:16" ht="15" customHeight="1">
      <c r="D241" s="25"/>
      <c r="E241" s="30" t="s">
        <v>890</v>
      </c>
      <c r="F241" s="1511">
        <v>8.6874999999999994E-2</v>
      </c>
      <c r="G241" s="1512">
        <v>7.3749999999999996E-2</v>
      </c>
      <c r="H241" s="1512">
        <v>4.1458333333333333E-2</v>
      </c>
      <c r="I241" s="1512">
        <v>9.1666666666666702E-3</v>
      </c>
      <c r="J241" s="1512">
        <v>0</v>
      </c>
      <c r="K241" s="1512">
        <v>0</v>
      </c>
      <c r="L241" s="1512">
        <v>0</v>
      </c>
      <c r="M241" s="1512">
        <v>0</v>
      </c>
      <c r="N241" s="36"/>
    </row>
    <row r="242" spans="4:16" ht="15" customHeight="1">
      <c r="D242" s="25"/>
      <c r="E242" s="30" t="s">
        <v>2250</v>
      </c>
      <c r="F242" s="722">
        <v>0</v>
      </c>
      <c r="G242" s="722">
        <v>0.01</v>
      </c>
      <c r="H242" s="722">
        <v>4.4999999999999998E-2</v>
      </c>
      <c r="I242" s="722">
        <v>7.9999999999999988E-2</v>
      </c>
      <c r="J242" s="722">
        <v>0.11499999999999999</v>
      </c>
      <c r="K242" s="722">
        <v>0.15</v>
      </c>
      <c r="L242" s="722">
        <v>0.185</v>
      </c>
      <c r="M242" s="722">
        <v>0.22</v>
      </c>
      <c r="N242" s="36"/>
      <c r="O242" s="3691"/>
    </row>
    <row r="243" spans="4:16" ht="15" customHeight="1">
      <c r="D243" s="25"/>
      <c r="E243" s="30" t="s">
        <v>893</v>
      </c>
      <c r="F243" s="1511">
        <v>0.15625</v>
      </c>
      <c r="G243" s="1512">
        <v>0.16250000000000001</v>
      </c>
      <c r="H243" s="1512">
        <v>0.16875000000000001</v>
      </c>
      <c r="I243" s="1512">
        <v>0.17500000000000002</v>
      </c>
      <c r="J243" s="1512">
        <v>0.18125000000000002</v>
      </c>
      <c r="K243" s="1512">
        <v>0.18750000000000003</v>
      </c>
      <c r="L243" s="1512">
        <v>0.19375000000000003</v>
      </c>
      <c r="M243" s="1512">
        <v>0.2</v>
      </c>
      <c r="N243" s="36"/>
      <c r="P243" s="3333"/>
    </row>
    <row r="244" spans="4:16" ht="15" customHeight="1">
      <c r="D244" s="25"/>
      <c r="E244" s="30" t="s">
        <v>498</v>
      </c>
      <c r="F244" s="722">
        <v>0</v>
      </c>
      <c r="G244" s="722">
        <v>0</v>
      </c>
      <c r="H244" s="722">
        <v>0</v>
      </c>
      <c r="I244" s="722">
        <v>0</v>
      </c>
      <c r="J244" s="722">
        <v>0</v>
      </c>
      <c r="K244" s="722">
        <v>0</v>
      </c>
      <c r="L244" s="722">
        <v>0</v>
      </c>
      <c r="M244" s="722">
        <v>0</v>
      </c>
      <c r="N244" s="36"/>
    </row>
    <row r="245" spans="4:16" ht="15" customHeight="1">
      <c r="D245" s="25"/>
      <c r="E245" s="30" t="s">
        <v>894</v>
      </c>
      <c r="F245" s="1512">
        <v>0</v>
      </c>
      <c r="G245" s="1512">
        <v>0.01</v>
      </c>
      <c r="H245" s="1512">
        <v>3.3333333333333333E-2</v>
      </c>
      <c r="I245" s="1512">
        <v>5.6666666666666664E-2</v>
      </c>
      <c r="J245" s="1512">
        <v>7.9999999999999988E-2</v>
      </c>
      <c r="K245" s="1512">
        <v>0.10333333333333332</v>
      </c>
      <c r="L245" s="1512">
        <v>0.12666666666666665</v>
      </c>
      <c r="M245" s="1512">
        <v>0.15</v>
      </c>
      <c r="N245" s="36"/>
    </row>
    <row r="246" spans="4:16" ht="15" customHeight="1">
      <c r="D246" s="25"/>
      <c r="E246" s="32" t="s">
        <v>603</v>
      </c>
      <c r="F246" s="714">
        <v>0</v>
      </c>
      <c r="G246" s="714">
        <v>0</v>
      </c>
      <c r="H246" s="714">
        <v>0</v>
      </c>
      <c r="I246" s="714">
        <v>0</v>
      </c>
      <c r="J246" s="714">
        <v>0</v>
      </c>
      <c r="K246" s="714">
        <v>0</v>
      </c>
      <c r="L246" s="714">
        <v>0</v>
      </c>
      <c r="M246" s="714">
        <v>0</v>
      </c>
      <c r="N246" s="36"/>
    </row>
    <row r="247" spans="4:16" ht="15" customHeight="1">
      <c r="D247" s="25"/>
      <c r="E247" s="30"/>
      <c r="F247" s="740"/>
      <c r="G247" s="740"/>
      <c r="H247" s="740"/>
      <c r="I247" s="740"/>
      <c r="J247" s="740"/>
      <c r="K247" s="740"/>
      <c r="L247" s="740"/>
      <c r="M247" s="740"/>
      <c r="N247" s="36"/>
    </row>
    <row r="248" spans="4:16" ht="15" customHeight="1">
      <c r="D248" s="25"/>
      <c r="E248" s="340" t="s">
        <v>895</v>
      </c>
      <c r="F248" s="760"/>
      <c r="G248" s="760"/>
      <c r="H248" s="760"/>
      <c r="I248" s="760"/>
      <c r="J248" s="760"/>
      <c r="K248" s="760"/>
      <c r="L248" s="760"/>
      <c r="M248" s="763" t="s">
        <v>2248</v>
      </c>
      <c r="N248" s="36"/>
    </row>
    <row r="249" spans="4:16" ht="15" customHeight="1">
      <c r="D249" s="25"/>
      <c r="E249" s="344" t="s">
        <v>859</v>
      </c>
      <c r="F249" s="762">
        <v>2018</v>
      </c>
      <c r="G249" s="762">
        <v>2020</v>
      </c>
      <c r="H249" s="762">
        <v>2025</v>
      </c>
      <c r="I249" s="762">
        <v>2030</v>
      </c>
      <c r="J249" s="762">
        <v>2035</v>
      </c>
      <c r="K249" s="762">
        <v>2040</v>
      </c>
      <c r="L249" s="762">
        <v>2045</v>
      </c>
      <c r="M249" s="762">
        <v>2050</v>
      </c>
      <c r="N249" s="36"/>
    </row>
    <row r="250" spans="4:16" ht="15" customHeight="1">
      <c r="D250" s="25"/>
      <c r="E250" s="30" t="s">
        <v>889</v>
      </c>
      <c r="F250" s="1511">
        <v>0.52314285714285713</v>
      </c>
      <c r="G250" s="1512">
        <v>0.49785714285714278</v>
      </c>
      <c r="H250" s="1512">
        <v>0.46257142857142852</v>
      </c>
      <c r="I250" s="1512">
        <v>0.42728571428571427</v>
      </c>
      <c r="J250" s="1512">
        <v>0.39200000000000002</v>
      </c>
      <c r="K250" s="1512">
        <v>0.35671428571428576</v>
      </c>
      <c r="L250" s="1512">
        <v>0.32142857142857151</v>
      </c>
      <c r="M250" s="1512">
        <v>0.25</v>
      </c>
      <c r="N250" s="36"/>
      <c r="O250" s="3334"/>
    </row>
    <row r="251" spans="4:16" ht="15" customHeight="1">
      <c r="D251" s="25"/>
      <c r="E251" s="30" t="s">
        <v>890</v>
      </c>
      <c r="F251" s="1511">
        <v>0.01</v>
      </c>
      <c r="G251" s="1512">
        <v>0</v>
      </c>
      <c r="H251" s="1512">
        <v>0</v>
      </c>
      <c r="I251" s="1512">
        <v>0</v>
      </c>
      <c r="J251" s="1512">
        <v>0</v>
      </c>
      <c r="K251" s="1512">
        <v>0</v>
      </c>
      <c r="L251" s="1512">
        <v>0</v>
      </c>
      <c r="M251" s="1512">
        <v>0</v>
      </c>
      <c r="N251" s="36"/>
    </row>
    <row r="252" spans="4:16" ht="15" customHeight="1">
      <c r="D252" s="25"/>
      <c r="E252" s="30" t="s">
        <v>2250</v>
      </c>
      <c r="F252" s="722">
        <v>0.05</v>
      </c>
      <c r="G252" s="722">
        <v>8.5714285714285715E-2</v>
      </c>
      <c r="H252" s="722">
        <v>0.12142857142857143</v>
      </c>
      <c r="I252" s="722">
        <v>0.15714285714285714</v>
      </c>
      <c r="J252" s="722">
        <v>0.19285714285714284</v>
      </c>
      <c r="K252" s="722">
        <v>0.22857142857142854</v>
      </c>
      <c r="L252" s="722">
        <v>0.26428571428571423</v>
      </c>
      <c r="M252" s="722">
        <v>0.3</v>
      </c>
      <c r="N252" s="36"/>
      <c r="O252" s="3691"/>
    </row>
    <row r="253" spans="4:16" ht="15" customHeight="1">
      <c r="D253" s="25"/>
      <c r="E253" s="30" t="s">
        <v>893</v>
      </c>
      <c r="F253" s="1511">
        <v>0.36685714285714288</v>
      </c>
      <c r="G253" s="1512">
        <v>0.33071428571428574</v>
      </c>
      <c r="H253" s="1512">
        <v>0.2945714285714286</v>
      </c>
      <c r="I253" s="1512">
        <v>0.25842857142857145</v>
      </c>
      <c r="J253" s="1512">
        <v>0.22228571428571431</v>
      </c>
      <c r="K253" s="1512">
        <v>0.18614285714285717</v>
      </c>
      <c r="L253" s="1512">
        <v>0.15000000000000002</v>
      </c>
      <c r="M253" s="1512">
        <v>0.15</v>
      </c>
      <c r="N253" s="36"/>
    </row>
    <row r="254" spans="4:16" ht="15" customHeight="1">
      <c r="D254" s="25"/>
      <c r="E254" s="30" t="s">
        <v>498</v>
      </c>
      <c r="F254" s="722">
        <v>0</v>
      </c>
      <c r="G254" s="722">
        <v>0</v>
      </c>
      <c r="H254" s="722">
        <v>0</v>
      </c>
      <c r="I254" s="722">
        <v>0</v>
      </c>
      <c r="J254" s="722">
        <v>0</v>
      </c>
      <c r="K254" s="722">
        <v>0</v>
      </c>
      <c r="L254" s="722">
        <v>0</v>
      </c>
      <c r="M254" s="722">
        <v>0</v>
      </c>
      <c r="N254" s="36"/>
    </row>
    <row r="255" spans="4:16" ht="15" customHeight="1">
      <c r="D255" s="25"/>
      <c r="E255" s="30" t="s">
        <v>894</v>
      </c>
      <c r="F255" s="1512">
        <v>0.05</v>
      </c>
      <c r="G255" s="1512">
        <v>8.5714285714285715E-2</v>
      </c>
      <c r="H255" s="1512">
        <v>0.12142857142857143</v>
      </c>
      <c r="I255" s="1512">
        <v>0.15714285714285714</v>
      </c>
      <c r="J255" s="1512">
        <v>0.19285714285714284</v>
      </c>
      <c r="K255" s="1512">
        <v>0.22857142857142854</v>
      </c>
      <c r="L255" s="1512">
        <v>0.26428571428571423</v>
      </c>
      <c r="M255" s="1512">
        <v>0.3</v>
      </c>
      <c r="N255" s="36"/>
    </row>
    <row r="256" spans="4:16" ht="15" customHeight="1">
      <c r="D256" s="25"/>
      <c r="E256" s="32" t="s">
        <v>603</v>
      </c>
      <c r="F256" s="714">
        <v>0</v>
      </c>
      <c r="G256" s="714">
        <v>0</v>
      </c>
      <c r="H256" s="714">
        <v>0</v>
      </c>
      <c r="I256" s="714">
        <v>0</v>
      </c>
      <c r="J256" s="714">
        <v>0</v>
      </c>
      <c r="K256" s="714">
        <v>0</v>
      </c>
      <c r="L256" s="714">
        <v>0</v>
      </c>
      <c r="M256" s="714">
        <v>0</v>
      </c>
      <c r="N256" s="36"/>
    </row>
    <row r="257" spans="4:15" ht="15" customHeight="1">
      <c r="D257" s="25"/>
      <c r="E257" s="30"/>
      <c r="F257" s="740"/>
      <c r="G257" s="740"/>
      <c r="H257" s="740"/>
      <c r="I257" s="740"/>
      <c r="J257" s="740"/>
      <c r="K257" s="740"/>
      <c r="L257" s="740"/>
      <c r="M257" s="740"/>
      <c r="N257" s="36"/>
    </row>
    <row r="258" spans="4:15" ht="15" customHeight="1">
      <c r="D258" s="25"/>
      <c r="E258" s="340" t="s">
        <v>896</v>
      </c>
      <c r="F258" s="760"/>
      <c r="G258" s="760"/>
      <c r="H258" s="760"/>
      <c r="I258" s="760"/>
      <c r="J258" s="760"/>
      <c r="K258" s="760"/>
      <c r="L258" s="760"/>
      <c r="M258" s="763" t="s">
        <v>2248</v>
      </c>
      <c r="N258" s="36"/>
    </row>
    <row r="259" spans="4:15" ht="15" customHeight="1">
      <c r="D259" s="25"/>
      <c r="E259" s="344" t="s">
        <v>859</v>
      </c>
      <c r="F259" s="762">
        <v>2018</v>
      </c>
      <c r="G259" s="762">
        <v>2020</v>
      </c>
      <c r="H259" s="762">
        <v>2025</v>
      </c>
      <c r="I259" s="762">
        <v>2030</v>
      </c>
      <c r="J259" s="762">
        <v>2035</v>
      </c>
      <c r="K259" s="762">
        <v>2040</v>
      </c>
      <c r="L259" s="762">
        <v>2045</v>
      </c>
      <c r="M259" s="762">
        <v>2050</v>
      </c>
      <c r="N259" s="36"/>
    </row>
    <row r="260" spans="4:15" ht="15" customHeight="1">
      <c r="D260" s="25"/>
      <c r="E260" s="30" t="s">
        <v>897</v>
      </c>
      <c r="F260" s="1513">
        <v>0.57999999999999996</v>
      </c>
      <c r="G260" s="1513">
        <v>0.57419999999999993</v>
      </c>
      <c r="H260" s="1513">
        <v>0.55099999999999993</v>
      </c>
      <c r="I260" s="1513">
        <v>0.52779999999999994</v>
      </c>
      <c r="J260" s="1513">
        <v>0.50459999999999994</v>
      </c>
      <c r="K260" s="1513">
        <v>0.48139999999999994</v>
      </c>
      <c r="L260" s="1513">
        <v>0.4582</v>
      </c>
      <c r="M260" s="1513">
        <v>0.43499999999999994</v>
      </c>
      <c r="N260" s="36"/>
      <c r="O260" s="3334"/>
    </row>
    <row r="261" spans="4:15" ht="15" customHeight="1">
      <c r="D261" s="25"/>
      <c r="E261" s="30" t="s">
        <v>898</v>
      </c>
      <c r="F261" s="1511">
        <v>0.42</v>
      </c>
      <c r="G261" s="1511">
        <v>0.4158</v>
      </c>
      <c r="H261" s="1511">
        <v>0.39899999999999997</v>
      </c>
      <c r="I261" s="1511">
        <v>0.38219999999999998</v>
      </c>
      <c r="J261" s="1511">
        <v>0.3654</v>
      </c>
      <c r="K261" s="1511">
        <v>0.34859999999999997</v>
      </c>
      <c r="L261" s="1511">
        <v>0.33179999999999998</v>
      </c>
      <c r="M261" s="1511">
        <v>0.315</v>
      </c>
      <c r="N261" s="36"/>
    </row>
    <row r="262" spans="4:15" ht="15" customHeight="1">
      <c r="D262" s="25"/>
      <c r="E262" s="32" t="s">
        <v>894</v>
      </c>
      <c r="F262" s="1514">
        <v>0</v>
      </c>
      <c r="G262" s="1514">
        <v>0.01</v>
      </c>
      <c r="H262" s="1514">
        <v>0.05</v>
      </c>
      <c r="I262" s="1514">
        <v>0.09</v>
      </c>
      <c r="J262" s="1514">
        <v>0.13</v>
      </c>
      <c r="K262" s="1514">
        <v>0.17</v>
      </c>
      <c r="L262" s="1514">
        <v>0.21000000000000002</v>
      </c>
      <c r="M262" s="1514">
        <v>0.25</v>
      </c>
      <c r="N262" s="36"/>
      <c r="O262" s="3691"/>
    </row>
    <row r="263" spans="4:15" ht="15" customHeight="1">
      <c r="D263" s="25"/>
      <c r="E263" s="30"/>
      <c r="F263" s="740"/>
      <c r="G263" s="740"/>
      <c r="H263" s="740"/>
      <c r="I263" s="740"/>
      <c r="J263" s="740"/>
      <c r="K263" s="740"/>
      <c r="L263" s="740"/>
      <c r="M263" s="740"/>
      <c r="N263" s="36"/>
    </row>
    <row r="264" spans="4:15" ht="15" customHeight="1">
      <c r="D264" s="25"/>
      <c r="E264" s="340" t="s">
        <v>899</v>
      </c>
      <c r="F264" s="760"/>
      <c r="G264" s="760"/>
      <c r="H264" s="760"/>
      <c r="I264" s="760"/>
      <c r="J264" s="760"/>
      <c r="K264" s="760"/>
      <c r="L264" s="760"/>
      <c r="M264" s="763" t="s">
        <v>2248</v>
      </c>
      <c r="N264" s="36"/>
    </row>
    <row r="265" spans="4:15" ht="15" customHeight="1">
      <c r="D265" s="25"/>
      <c r="E265" s="344" t="s">
        <v>859</v>
      </c>
      <c r="F265" s="762">
        <v>2018</v>
      </c>
      <c r="G265" s="762">
        <v>2020</v>
      </c>
      <c r="H265" s="762">
        <v>2025</v>
      </c>
      <c r="I265" s="762">
        <v>2030</v>
      </c>
      <c r="J265" s="762">
        <v>2035</v>
      </c>
      <c r="K265" s="762">
        <v>2040</v>
      </c>
      <c r="L265" s="762">
        <v>2045</v>
      </c>
      <c r="M265" s="762">
        <v>2050</v>
      </c>
      <c r="N265" s="36"/>
    </row>
    <row r="266" spans="4:15" ht="15" customHeight="1">
      <c r="D266" s="25"/>
      <c r="E266" s="30" t="s">
        <v>889</v>
      </c>
      <c r="F266" s="1511">
        <v>8.1875000000000003E-2</v>
      </c>
      <c r="G266" s="1512">
        <v>7.2750000000000009E-2</v>
      </c>
      <c r="H266" s="1512">
        <v>6.5291666666666678E-2</v>
      </c>
      <c r="I266" s="1512">
        <v>5.7833333333333341E-2</v>
      </c>
      <c r="J266" s="1512">
        <v>5.0375000000000003E-2</v>
      </c>
      <c r="K266" s="1512">
        <v>4.2916666666666672E-2</v>
      </c>
      <c r="L266" s="1512">
        <v>3.5458333333333349E-2</v>
      </c>
      <c r="M266" s="1512">
        <v>0.04</v>
      </c>
      <c r="N266" s="36"/>
      <c r="O266" s="3334"/>
    </row>
    <row r="267" spans="4:15" ht="15" customHeight="1">
      <c r="D267" s="25"/>
      <c r="E267" s="30" t="s">
        <v>890</v>
      </c>
      <c r="F267" s="1511">
        <v>0.73687499999999995</v>
      </c>
      <c r="G267" s="1512">
        <v>0.65475000000000005</v>
      </c>
      <c r="H267" s="1512">
        <v>0.58762500000000006</v>
      </c>
      <c r="I267" s="1512">
        <v>0.52050000000000007</v>
      </c>
      <c r="J267" s="1512">
        <v>0.45337500000000003</v>
      </c>
      <c r="K267" s="1512">
        <v>0.38625000000000004</v>
      </c>
      <c r="L267" s="1512">
        <v>0.31912500000000016</v>
      </c>
      <c r="M267" s="1512">
        <v>0.24</v>
      </c>
      <c r="N267" s="36"/>
    </row>
    <row r="268" spans="4:15" ht="15" customHeight="1">
      <c r="D268" s="25"/>
      <c r="E268" s="30" t="s">
        <v>2250</v>
      </c>
      <c r="F268" s="722">
        <v>0</v>
      </c>
      <c r="G268" s="722">
        <v>0</v>
      </c>
      <c r="H268" s="722">
        <v>0</v>
      </c>
      <c r="I268" s="722">
        <v>0</v>
      </c>
      <c r="J268" s="722">
        <v>0</v>
      </c>
      <c r="K268" s="722">
        <v>0</v>
      </c>
      <c r="L268" s="722">
        <v>0</v>
      </c>
      <c r="M268" s="722">
        <v>0</v>
      </c>
      <c r="N268" s="36"/>
    </row>
    <row r="269" spans="4:15" ht="15" customHeight="1">
      <c r="D269" s="25"/>
      <c r="E269" s="30" t="s">
        <v>893</v>
      </c>
      <c r="F269" s="1511">
        <v>0.18124999999999999</v>
      </c>
      <c r="G269" s="1512">
        <v>0.17249999999999999</v>
      </c>
      <c r="H269" s="1512">
        <v>0.16374999999999998</v>
      </c>
      <c r="I269" s="1512">
        <v>0.15499999999999997</v>
      </c>
      <c r="J269" s="1512">
        <v>0.14624999999999996</v>
      </c>
      <c r="K269" s="1512">
        <v>0.13749999999999996</v>
      </c>
      <c r="L269" s="1512">
        <v>0.12874999999999995</v>
      </c>
      <c r="M269" s="1512">
        <v>0.12</v>
      </c>
      <c r="N269" s="36"/>
      <c r="O269" s="3691"/>
    </row>
    <row r="270" spans="4:15" ht="15" customHeight="1">
      <c r="D270" s="25"/>
      <c r="E270" s="30" t="s">
        <v>498</v>
      </c>
      <c r="F270" s="722">
        <v>0</v>
      </c>
      <c r="G270" s="722">
        <v>0</v>
      </c>
      <c r="H270" s="722">
        <v>0</v>
      </c>
      <c r="I270" s="722">
        <v>0</v>
      </c>
      <c r="J270" s="722">
        <v>0</v>
      </c>
      <c r="K270" s="722">
        <v>0</v>
      </c>
      <c r="L270" s="722">
        <v>0</v>
      </c>
      <c r="M270" s="722">
        <v>0</v>
      </c>
      <c r="N270" s="36"/>
    </row>
    <row r="271" spans="4:15" ht="15" customHeight="1">
      <c r="D271" s="25"/>
      <c r="E271" s="30" t="s">
        <v>894</v>
      </c>
      <c r="F271" s="1512">
        <v>0</v>
      </c>
      <c r="G271" s="1512">
        <v>0.05</v>
      </c>
      <c r="H271" s="1512">
        <v>0.1</v>
      </c>
      <c r="I271" s="1512">
        <v>0.15</v>
      </c>
      <c r="J271" s="1512">
        <v>0.19999999999999998</v>
      </c>
      <c r="K271" s="1512">
        <v>0.24999999999999997</v>
      </c>
      <c r="L271" s="1512">
        <v>0.3</v>
      </c>
      <c r="M271" s="1512">
        <v>0.35</v>
      </c>
      <c r="N271" s="36"/>
    </row>
    <row r="272" spans="4:15" ht="15" customHeight="1">
      <c r="D272" s="25"/>
      <c r="E272" s="32" t="s">
        <v>603</v>
      </c>
      <c r="F272" s="714">
        <v>0</v>
      </c>
      <c r="G272" s="714">
        <v>0</v>
      </c>
      <c r="H272" s="714">
        <v>0</v>
      </c>
      <c r="I272" s="714">
        <v>0</v>
      </c>
      <c r="J272" s="714">
        <v>0</v>
      </c>
      <c r="K272" s="714">
        <v>0</v>
      </c>
      <c r="L272" s="714">
        <v>0</v>
      </c>
      <c r="M272" s="714">
        <v>0</v>
      </c>
      <c r="N272" s="36"/>
    </row>
    <row r="273" spans="4:15" ht="15" customHeight="1">
      <c r="D273" s="25"/>
      <c r="E273" s="35"/>
      <c r="F273" s="733"/>
      <c r="G273" s="733"/>
      <c r="H273" s="733"/>
      <c r="I273" s="733"/>
      <c r="J273" s="733"/>
      <c r="K273" s="733"/>
      <c r="L273" s="733"/>
      <c r="M273" s="733"/>
      <c r="N273" s="36"/>
    </row>
    <row r="274" spans="4:15" ht="15" customHeight="1">
      <c r="D274" s="25"/>
      <c r="E274" s="340" t="s">
        <v>900</v>
      </c>
      <c r="F274" s="760"/>
      <c r="G274" s="760"/>
      <c r="H274" s="760"/>
      <c r="I274" s="760"/>
      <c r="J274" s="760"/>
      <c r="K274" s="760"/>
      <c r="L274" s="760"/>
      <c r="M274" s="763" t="s">
        <v>2248</v>
      </c>
      <c r="N274" s="36"/>
    </row>
    <row r="275" spans="4:15" ht="15" customHeight="1">
      <c r="D275" s="25"/>
      <c r="E275" s="344" t="s">
        <v>859</v>
      </c>
      <c r="F275" s="762">
        <v>2018</v>
      </c>
      <c r="G275" s="762">
        <v>2020</v>
      </c>
      <c r="H275" s="762">
        <v>2025</v>
      </c>
      <c r="I275" s="762">
        <v>2030</v>
      </c>
      <c r="J275" s="762">
        <v>2035</v>
      </c>
      <c r="K275" s="762">
        <v>2040</v>
      </c>
      <c r="L275" s="762">
        <v>2045</v>
      </c>
      <c r="M275" s="762">
        <v>2050</v>
      </c>
      <c r="N275" s="36"/>
    </row>
    <row r="276" spans="4:15" ht="15" customHeight="1">
      <c r="D276" s="25"/>
      <c r="E276" s="30" t="s">
        <v>889</v>
      </c>
      <c r="F276" s="1511">
        <v>1</v>
      </c>
      <c r="G276" s="1512">
        <v>0.92999999999999994</v>
      </c>
      <c r="H276" s="1512">
        <v>0.83833333333333337</v>
      </c>
      <c r="I276" s="1512">
        <v>0.7466666666666667</v>
      </c>
      <c r="J276" s="1512">
        <v>0.65500000000000003</v>
      </c>
      <c r="K276" s="1512">
        <v>0.56333333333333324</v>
      </c>
      <c r="L276" s="1512">
        <v>0.47166666666666657</v>
      </c>
      <c r="M276" s="1512">
        <v>0.37999999999999989</v>
      </c>
      <c r="N276" s="36"/>
      <c r="O276" s="3334"/>
    </row>
    <row r="277" spans="4:15" ht="15" customHeight="1">
      <c r="D277" s="25"/>
      <c r="E277" s="30" t="s">
        <v>890</v>
      </c>
      <c r="F277" s="1511">
        <v>0</v>
      </c>
      <c r="G277" s="1512">
        <v>0</v>
      </c>
      <c r="H277" s="1512">
        <v>0</v>
      </c>
      <c r="I277" s="1512">
        <v>0</v>
      </c>
      <c r="J277" s="1512">
        <v>0</v>
      </c>
      <c r="K277" s="1512">
        <v>0</v>
      </c>
      <c r="L277" s="1512">
        <v>0</v>
      </c>
      <c r="M277" s="1512">
        <v>0</v>
      </c>
      <c r="N277" s="36"/>
    </row>
    <row r="278" spans="4:15" ht="15" customHeight="1">
      <c r="D278" s="25"/>
      <c r="E278" s="30" t="s">
        <v>2250</v>
      </c>
      <c r="F278" s="722">
        <v>0</v>
      </c>
      <c r="G278" s="722">
        <v>0</v>
      </c>
      <c r="H278" s="722">
        <v>0</v>
      </c>
      <c r="I278" s="722">
        <v>0</v>
      </c>
      <c r="J278" s="722">
        <v>0</v>
      </c>
      <c r="K278" s="722">
        <v>0</v>
      </c>
      <c r="L278" s="722">
        <v>0</v>
      </c>
      <c r="M278" s="722">
        <v>0</v>
      </c>
      <c r="N278" s="36"/>
      <c r="O278" s="3691"/>
    </row>
    <row r="279" spans="4:15" ht="15" customHeight="1">
      <c r="D279" s="25"/>
      <c r="E279" s="30" t="s">
        <v>893</v>
      </c>
      <c r="F279" s="1511">
        <v>0</v>
      </c>
      <c r="G279" s="1512">
        <v>0.01</v>
      </c>
      <c r="H279" s="1512">
        <v>0.02</v>
      </c>
      <c r="I279" s="1512">
        <v>0.03</v>
      </c>
      <c r="J279" s="1512">
        <v>0.04</v>
      </c>
      <c r="K279" s="1512">
        <v>0.05</v>
      </c>
      <c r="L279" s="1512">
        <v>6.0000000000000005E-2</v>
      </c>
      <c r="M279" s="1512">
        <v>7.0000000000000007E-2</v>
      </c>
      <c r="N279" s="36"/>
    </row>
    <row r="280" spans="4:15" ht="15" customHeight="1">
      <c r="D280" s="25"/>
      <c r="E280" s="30" t="s">
        <v>498</v>
      </c>
      <c r="F280" s="722">
        <v>0</v>
      </c>
      <c r="G280" s="722">
        <v>0</v>
      </c>
      <c r="H280" s="722">
        <v>0</v>
      </c>
      <c r="I280" s="722">
        <v>0</v>
      </c>
      <c r="J280" s="722">
        <v>0</v>
      </c>
      <c r="K280" s="722">
        <v>0</v>
      </c>
      <c r="L280" s="722">
        <v>0</v>
      </c>
      <c r="M280" s="722">
        <v>0</v>
      </c>
      <c r="N280" s="36"/>
    </row>
    <row r="281" spans="4:15" ht="15" customHeight="1">
      <c r="D281" s="25"/>
      <c r="E281" s="30" t="s">
        <v>894</v>
      </c>
      <c r="F281" s="1512">
        <v>0</v>
      </c>
      <c r="G281" s="1512">
        <v>0.01</v>
      </c>
      <c r="H281" s="1512">
        <v>6.6666666666666666E-2</v>
      </c>
      <c r="I281" s="1512">
        <v>0.12333333333333332</v>
      </c>
      <c r="J281" s="1512">
        <v>0.18</v>
      </c>
      <c r="K281" s="1512">
        <v>0.23666666666666666</v>
      </c>
      <c r="L281" s="1512">
        <v>0.29333333333333333</v>
      </c>
      <c r="M281" s="1512">
        <v>0.35</v>
      </c>
      <c r="N281" s="36"/>
    </row>
    <row r="282" spans="4:15" ht="15" customHeight="1">
      <c r="D282" s="25"/>
      <c r="E282" s="30" t="s">
        <v>603</v>
      </c>
      <c r="F282" s="714">
        <v>0</v>
      </c>
      <c r="G282" s="714">
        <v>0</v>
      </c>
      <c r="H282" s="714">
        <v>0</v>
      </c>
      <c r="I282" s="714">
        <v>0</v>
      </c>
      <c r="J282" s="714">
        <v>0</v>
      </c>
      <c r="K282" s="714">
        <v>0</v>
      </c>
      <c r="L282" s="714">
        <v>0</v>
      </c>
      <c r="M282" s="714">
        <v>0</v>
      </c>
      <c r="N282" s="36"/>
      <c r="O282" s="2"/>
    </row>
    <row r="283" spans="4:15" ht="15" customHeight="1">
      <c r="D283" s="25"/>
      <c r="E283" s="1364"/>
      <c r="F283" s="727"/>
      <c r="G283" s="727"/>
      <c r="H283" s="727"/>
      <c r="I283" s="727"/>
      <c r="J283" s="727"/>
      <c r="K283" s="727"/>
      <c r="L283" s="727"/>
      <c r="M283" s="733"/>
      <c r="N283" s="36"/>
    </row>
    <row r="284" spans="4:15" ht="15" customHeight="1">
      <c r="D284" s="25"/>
      <c r="E284" s="340" t="s">
        <v>2244</v>
      </c>
      <c r="F284" s="760"/>
      <c r="G284" s="760"/>
      <c r="H284" s="760"/>
      <c r="I284" s="760"/>
      <c r="J284" s="760"/>
      <c r="K284" s="760"/>
      <c r="L284" s="760"/>
      <c r="M284" s="763" t="s">
        <v>2248</v>
      </c>
      <c r="N284" s="36"/>
    </row>
    <row r="285" spans="4:15" ht="15" customHeight="1">
      <c r="D285" s="25"/>
      <c r="E285" s="344" t="s">
        <v>859</v>
      </c>
      <c r="F285" s="762">
        <v>2018</v>
      </c>
      <c r="G285" s="762">
        <v>2020</v>
      </c>
      <c r="H285" s="762">
        <v>2025</v>
      </c>
      <c r="I285" s="762">
        <v>2030</v>
      </c>
      <c r="J285" s="762">
        <v>2035</v>
      </c>
      <c r="K285" s="762">
        <v>2040</v>
      </c>
      <c r="L285" s="762">
        <v>2045</v>
      </c>
      <c r="M285" s="762">
        <v>2050</v>
      </c>
      <c r="N285" s="36"/>
      <c r="O285" s="2"/>
    </row>
    <row r="286" spans="4:15" ht="15" customHeight="1">
      <c r="D286" s="25"/>
      <c r="E286" s="337" t="s">
        <v>495</v>
      </c>
      <c r="F286" s="713">
        <v>0.9957792454030987</v>
      </c>
      <c r="G286" s="713">
        <v>0.9957792454030987</v>
      </c>
      <c r="H286" s="713">
        <v>0.9957792454030987</v>
      </c>
      <c r="I286" s="713">
        <v>0.9957792454030987</v>
      </c>
      <c r="J286" s="713">
        <v>0.9957792454030987</v>
      </c>
      <c r="K286" s="713">
        <v>0.9957792454030987</v>
      </c>
      <c r="L286" s="713">
        <v>0.9957792454030987</v>
      </c>
      <c r="M286" s="713">
        <v>0.9957792454030987</v>
      </c>
      <c r="N286" s="36"/>
      <c r="O286" s="3334"/>
    </row>
    <row r="287" spans="4:15" ht="15" customHeight="1">
      <c r="D287" s="25"/>
      <c r="E287" s="32" t="s">
        <v>601</v>
      </c>
      <c r="F287" s="714">
        <v>0</v>
      </c>
      <c r="G287" s="714">
        <v>0</v>
      </c>
      <c r="H287" s="714">
        <v>0</v>
      </c>
      <c r="I287" s="714">
        <v>0</v>
      </c>
      <c r="J287" s="714">
        <v>0</v>
      </c>
      <c r="K287" s="714">
        <v>0</v>
      </c>
      <c r="L287" s="714">
        <v>0</v>
      </c>
      <c r="M287" s="714">
        <v>0</v>
      </c>
      <c r="N287" s="36"/>
    </row>
    <row r="288" spans="4:15" ht="15" customHeight="1">
      <c r="D288" s="25"/>
      <c r="E288" s="30"/>
      <c r="F288" s="735"/>
      <c r="G288" s="735"/>
      <c r="H288" s="733"/>
      <c r="I288" s="734"/>
      <c r="J288" s="734"/>
      <c r="K288" s="734"/>
      <c r="L288" s="734"/>
      <c r="M288" s="734"/>
      <c r="N288" s="36"/>
      <c r="O288" s="3691"/>
    </row>
    <row r="289" spans="4:16" ht="15" customHeight="1">
      <c r="D289" s="25"/>
      <c r="E289" s="23" t="s">
        <v>1731</v>
      </c>
      <c r="F289" s="735"/>
      <c r="G289" s="735"/>
      <c r="H289" s="733"/>
      <c r="I289" s="734"/>
      <c r="J289" s="734"/>
      <c r="K289" s="734"/>
      <c r="L289" s="734"/>
      <c r="M289" s="734"/>
      <c r="N289" s="36"/>
    </row>
    <row r="290" spans="4:16" ht="15" customHeight="1">
      <c r="D290" s="25"/>
      <c r="E290" s="340"/>
      <c r="F290" s="760"/>
      <c r="G290" s="760"/>
      <c r="H290" s="760"/>
      <c r="I290" s="760"/>
      <c r="J290" s="760"/>
      <c r="K290" s="760"/>
      <c r="L290" s="760"/>
      <c r="M290" s="763" t="s">
        <v>2248</v>
      </c>
      <c r="N290" s="36"/>
    </row>
    <row r="291" spans="4:16" ht="15" customHeight="1">
      <c r="D291" s="25"/>
      <c r="E291" s="344" t="s">
        <v>859</v>
      </c>
      <c r="F291" s="762">
        <v>2018</v>
      </c>
      <c r="G291" s="762">
        <v>2020</v>
      </c>
      <c r="H291" s="762">
        <v>2025</v>
      </c>
      <c r="I291" s="762">
        <v>2030</v>
      </c>
      <c r="J291" s="762">
        <v>2035</v>
      </c>
      <c r="K291" s="762">
        <v>2040</v>
      </c>
      <c r="L291" s="762">
        <v>2045</v>
      </c>
      <c r="M291" s="762">
        <v>2050</v>
      </c>
      <c r="N291" s="36"/>
    </row>
    <row r="292" spans="4:16" ht="15" customHeight="1">
      <c r="D292" s="25"/>
      <c r="E292" s="279" t="s">
        <v>887</v>
      </c>
      <c r="F292" s="717">
        <v>1</v>
      </c>
      <c r="G292" s="717">
        <v>1</v>
      </c>
      <c r="H292" s="717">
        <v>1</v>
      </c>
      <c r="I292" s="717">
        <v>1</v>
      </c>
      <c r="J292" s="717">
        <v>1</v>
      </c>
      <c r="K292" s="717">
        <v>1</v>
      </c>
      <c r="L292" s="717">
        <v>1</v>
      </c>
      <c r="M292" s="717">
        <v>1</v>
      </c>
      <c r="N292" s="36"/>
      <c r="O292" s="3334"/>
    </row>
    <row r="293" spans="4:16" ht="15" customHeight="1">
      <c r="D293" s="25"/>
      <c r="E293" s="30"/>
      <c r="F293" s="740"/>
      <c r="G293" s="740"/>
      <c r="H293" s="740"/>
      <c r="I293" s="740"/>
      <c r="J293" s="740"/>
      <c r="K293" s="740"/>
      <c r="L293" s="740"/>
      <c r="M293" s="740"/>
      <c r="N293" s="36"/>
    </row>
    <row r="294" spans="4:16" ht="15" customHeight="1">
      <c r="D294" s="25"/>
      <c r="E294" s="340" t="s">
        <v>2249</v>
      </c>
      <c r="F294" s="760"/>
      <c r="G294" s="760"/>
      <c r="H294" s="760"/>
      <c r="I294" s="760"/>
      <c r="J294" s="760"/>
      <c r="K294" s="760"/>
      <c r="L294" s="760"/>
      <c r="M294" s="763" t="s">
        <v>2248</v>
      </c>
      <c r="N294" s="36"/>
    </row>
    <row r="295" spans="4:16" ht="15" customHeight="1">
      <c r="D295" s="25"/>
      <c r="E295" s="344" t="s">
        <v>859</v>
      </c>
      <c r="F295" s="762">
        <v>2018</v>
      </c>
      <c r="G295" s="762">
        <v>2020</v>
      </c>
      <c r="H295" s="762">
        <v>2025</v>
      </c>
      <c r="I295" s="762">
        <v>2030</v>
      </c>
      <c r="J295" s="762">
        <v>2035</v>
      </c>
      <c r="K295" s="762">
        <v>2040</v>
      </c>
      <c r="L295" s="762">
        <v>2045</v>
      </c>
      <c r="M295" s="762">
        <v>2050</v>
      </c>
      <c r="N295" s="36"/>
    </row>
    <row r="296" spans="4:16" ht="15" customHeight="1">
      <c r="D296" s="25"/>
      <c r="E296" s="30" t="s">
        <v>889</v>
      </c>
      <c r="F296" s="1511">
        <v>0.75375000000000003</v>
      </c>
      <c r="G296" s="1512">
        <v>0.73750000000000004</v>
      </c>
      <c r="H296" s="1512">
        <v>0.68291666666666673</v>
      </c>
      <c r="I296" s="1512">
        <v>0.58666666666666667</v>
      </c>
      <c r="J296" s="1512">
        <v>0.47749999999999992</v>
      </c>
      <c r="K296" s="1512">
        <v>0.36833333333333329</v>
      </c>
      <c r="L296" s="1512">
        <v>0.25916666666666666</v>
      </c>
      <c r="M296" s="1512">
        <v>0.15</v>
      </c>
      <c r="N296" s="36"/>
      <c r="O296" s="3334"/>
    </row>
    <row r="297" spans="4:16" ht="15" customHeight="1">
      <c r="D297" s="25"/>
      <c r="E297" s="30" t="s">
        <v>890</v>
      </c>
      <c r="F297" s="1511">
        <v>8.3749999999999991E-2</v>
      </c>
      <c r="G297" s="1512">
        <v>6.7499999999999977E-2</v>
      </c>
      <c r="H297" s="1512">
        <v>1.2916666666666639E-2</v>
      </c>
      <c r="I297" s="1512">
        <v>0</v>
      </c>
      <c r="J297" s="1512">
        <v>0</v>
      </c>
      <c r="K297" s="1512">
        <v>0</v>
      </c>
      <c r="L297" s="1512">
        <v>0</v>
      </c>
      <c r="M297" s="1512">
        <v>0</v>
      </c>
      <c r="N297" s="36"/>
    </row>
    <row r="298" spans="4:16" ht="15" customHeight="1">
      <c r="D298" s="25"/>
      <c r="E298" s="30" t="s">
        <v>2250</v>
      </c>
      <c r="F298" s="722">
        <v>0</v>
      </c>
      <c r="G298" s="722">
        <v>0.01</v>
      </c>
      <c r="H298" s="722">
        <v>5.8333333333333334E-2</v>
      </c>
      <c r="I298" s="722">
        <v>0.10666666666666666</v>
      </c>
      <c r="J298" s="722">
        <v>0.155</v>
      </c>
      <c r="K298" s="722">
        <v>0.20333333333333334</v>
      </c>
      <c r="L298" s="722">
        <v>0.25166666666666665</v>
      </c>
      <c r="M298" s="722">
        <v>0.3</v>
      </c>
      <c r="N298" s="36"/>
      <c r="O298" s="3691"/>
    </row>
    <row r="299" spans="4:16" ht="15" customHeight="1">
      <c r="D299" s="25"/>
      <c r="E299" s="30" t="s">
        <v>893</v>
      </c>
      <c r="F299" s="1511">
        <v>0.16250000000000001</v>
      </c>
      <c r="G299" s="1512">
        <v>0.17500000000000002</v>
      </c>
      <c r="H299" s="1512">
        <v>0.18750000000000003</v>
      </c>
      <c r="I299" s="1512">
        <v>0.20000000000000004</v>
      </c>
      <c r="J299" s="1512">
        <v>0.21250000000000005</v>
      </c>
      <c r="K299" s="1512">
        <v>0.22500000000000006</v>
      </c>
      <c r="L299" s="1512">
        <v>0.23750000000000007</v>
      </c>
      <c r="M299" s="1512">
        <v>0.25</v>
      </c>
      <c r="N299" s="36"/>
      <c r="P299" s="3333"/>
    </row>
    <row r="300" spans="4:16" ht="15" customHeight="1">
      <c r="D300" s="25"/>
      <c r="E300" s="30" t="s">
        <v>498</v>
      </c>
      <c r="F300" s="722">
        <v>0</v>
      </c>
      <c r="G300" s="722">
        <v>0</v>
      </c>
      <c r="H300" s="722">
        <v>0</v>
      </c>
      <c r="I300" s="722">
        <v>0</v>
      </c>
      <c r="J300" s="722">
        <v>0</v>
      </c>
      <c r="K300" s="722">
        <v>0</v>
      </c>
      <c r="L300" s="722">
        <v>0</v>
      </c>
      <c r="M300" s="722">
        <v>0</v>
      </c>
      <c r="N300" s="36"/>
    </row>
    <row r="301" spans="4:16" ht="15" customHeight="1">
      <c r="D301" s="25"/>
      <c r="E301" s="30" t="s">
        <v>894</v>
      </c>
      <c r="F301" s="1512">
        <v>0</v>
      </c>
      <c r="G301" s="1512">
        <v>0.01</v>
      </c>
      <c r="H301" s="1512">
        <v>5.8333333333333334E-2</v>
      </c>
      <c r="I301" s="1512">
        <v>0.10666666666666666</v>
      </c>
      <c r="J301" s="1512">
        <v>0.155</v>
      </c>
      <c r="K301" s="1512">
        <v>0.20333333333333334</v>
      </c>
      <c r="L301" s="1512">
        <v>0.25166666666666665</v>
      </c>
      <c r="M301" s="1512">
        <v>0.3</v>
      </c>
      <c r="N301" s="36"/>
    </row>
    <row r="302" spans="4:16" ht="15" customHeight="1">
      <c r="D302" s="25"/>
      <c r="E302" s="32" t="s">
        <v>603</v>
      </c>
      <c r="F302" s="714">
        <v>0</v>
      </c>
      <c r="G302" s="714">
        <v>0</v>
      </c>
      <c r="H302" s="714">
        <v>0</v>
      </c>
      <c r="I302" s="714">
        <v>0</v>
      </c>
      <c r="J302" s="714">
        <v>0</v>
      </c>
      <c r="K302" s="714">
        <v>0</v>
      </c>
      <c r="L302" s="714">
        <v>0</v>
      </c>
      <c r="M302" s="714">
        <v>0</v>
      </c>
      <c r="N302" s="36"/>
    </row>
    <row r="303" spans="4:16" ht="15" customHeight="1">
      <c r="D303" s="25"/>
      <c r="E303" s="30"/>
      <c r="F303" s="740"/>
      <c r="G303" s="740"/>
      <c r="H303" s="740"/>
      <c r="I303" s="740"/>
      <c r="J303" s="740"/>
      <c r="K303" s="740"/>
      <c r="L303" s="740"/>
      <c r="M303" s="740"/>
      <c r="N303" s="36"/>
    </row>
    <row r="304" spans="4:16" ht="15" customHeight="1">
      <c r="D304" s="25"/>
      <c r="E304" s="340" t="s">
        <v>895</v>
      </c>
      <c r="F304" s="760"/>
      <c r="G304" s="760"/>
      <c r="H304" s="760"/>
      <c r="I304" s="760"/>
      <c r="J304" s="760"/>
      <c r="K304" s="760"/>
      <c r="L304" s="760"/>
      <c r="M304" s="763" t="s">
        <v>2248</v>
      </c>
      <c r="N304" s="36"/>
    </row>
    <row r="305" spans="4:15" ht="15" customHeight="1">
      <c r="D305" s="25"/>
      <c r="E305" s="344" t="s">
        <v>859</v>
      </c>
      <c r="F305" s="762">
        <v>2018</v>
      </c>
      <c r="G305" s="762">
        <v>2020</v>
      </c>
      <c r="H305" s="762">
        <v>2025</v>
      </c>
      <c r="I305" s="762">
        <v>2030</v>
      </c>
      <c r="J305" s="762">
        <v>2035</v>
      </c>
      <c r="K305" s="762">
        <v>2040</v>
      </c>
      <c r="L305" s="762">
        <v>2045</v>
      </c>
      <c r="M305" s="762">
        <v>2050</v>
      </c>
      <c r="N305" s="36"/>
    </row>
    <row r="306" spans="4:15" ht="15" customHeight="1">
      <c r="D306" s="25"/>
      <c r="E306" s="30" t="s">
        <v>889</v>
      </c>
      <c r="F306" s="1511">
        <v>0.57850000000000001</v>
      </c>
      <c r="G306" s="1512">
        <v>0.51421428571428573</v>
      </c>
      <c r="H306" s="1512">
        <v>0.43992857142857134</v>
      </c>
      <c r="I306" s="1512">
        <v>0.36564285714285705</v>
      </c>
      <c r="J306" s="1512">
        <v>0.29135714285714265</v>
      </c>
      <c r="K306" s="1512">
        <v>0.21707142857142836</v>
      </c>
      <c r="L306" s="1512">
        <v>0.10278571428571404</v>
      </c>
      <c r="M306" s="1512">
        <v>0</v>
      </c>
      <c r="N306" s="36"/>
      <c r="O306" s="3334"/>
    </row>
    <row r="307" spans="4:15" ht="15" customHeight="1">
      <c r="D307" s="25"/>
      <c r="E307" s="30" t="s">
        <v>890</v>
      </c>
      <c r="F307" s="1511">
        <v>0.01</v>
      </c>
      <c r="G307" s="1512">
        <v>0</v>
      </c>
      <c r="H307" s="1512">
        <v>0</v>
      </c>
      <c r="I307" s="1512">
        <v>0</v>
      </c>
      <c r="J307" s="1512">
        <v>0</v>
      </c>
      <c r="K307" s="1512">
        <v>0</v>
      </c>
      <c r="L307" s="1512">
        <v>0</v>
      </c>
      <c r="M307" s="1512">
        <v>0</v>
      </c>
      <c r="N307" s="36"/>
    </row>
    <row r="308" spans="4:15" ht="15" customHeight="1">
      <c r="D308" s="25"/>
      <c r="E308" s="30" t="s">
        <v>2250</v>
      </c>
      <c r="F308" s="722">
        <v>0.05</v>
      </c>
      <c r="G308" s="722">
        <v>0.10714285714285715</v>
      </c>
      <c r="H308" s="722">
        <v>0.16428571428571431</v>
      </c>
      <c r="I308" s="722">
        <v>0.22142857142857147</v>
      </c>
      <c r="J308" s="722">
        <v>0.27857142857142864</v>
      </c>
      <c r="K308" s="722">
        <v>0.3357142857142858</v>
      </c>
      <c r="L308" s="722">
        <v>0.39285714285714296</v>
      </c>
      <c r="M308" s="722">
        <v>0.45</v>
      </c>
      <c r="N308" s="36"/>
      <c r="O308" s="3691"/>
    </row>
    <row r="309" spans="4:15" ht="15" customHeight="1">
      <c r="D309" s="25"/>
      <c r="E309" s="30" t="s">
        <v>893</v>
      </c>
      <c r="F309" s="1511">
        <v>0.3115</v>
      </c>
      <c r="G309" s="1512">
        <v>0.27150000000000002</v>
      </c>
      <c r="H309" s="1512">
        <v>0.23150000000000004</v>
      </c>
      <c r="I309" s="1512">
        <v>0.19150000000000003</v>
      </c>
      <c r="J309" s="1512">
        <v>0.15150000000000002</v>
      </c>
      <c r="K309" s="1512">
        <v>0.11150000000000004</v>
      </c>
      <c r="L309" s="1512">
        <v>0.11150000000000004</v>
      </c>
      <c r="M309" s="1512">
        <v>0.1</v>
      </c>
      <c r="N309" s="36"/>
    </row>
    <row r="310" spans="4:15" ht="15" customHeight="1">
      <c r="D310" s="25"/>
      <c r="E310" s="30" t="s">
        <v>498</v>
      </c>
      <c r="F310" s="722">
        <v>0</v>
      </c>
      <c r="G310" s="722">
        <v>0</v>
      </c>
      <c r="H310" s="722">
        <v>0</v>
      </c>
      <c r="I310" s="722">
        <v>0</v>
      </c>
      <c r="J310" s="722">
        <v>0</v>
      </c>
      <c r="K310" s="722">
        <v>0</v>
      </c>
      <c r="L310" s="722">
        <v>0</v>
      </c>
      <c r="M310" s="722">
        <v>0</v>
      </c>
      <c r="N310" s="36"/>
    </row>
    <row r="311" spans="4:15" ht="15" customHeight="1">
      <c r="D311" s="25"/>
      <c r="E311" s="30" t="s">
        <v>894</v>
      </c>
      <c r="F311" s="1512">
        <v>0.05</v>
      </c>
      <c r="G311" s="1512">
        <v>0.10714285714285715</v>
      </c>
      <c r="H311" s="1512">
        <v>0.16428571428571431</v>
      </c>
      <c r="I311" s="1512">
        <v>0.22142857142857147</v>
      </c>
      <c r="J311" s="1512">
        <v>0.27857142857142864</v>
      </c>
      <c r="K311" s="1512">
        <v>0.3357142857142858</v>
      </c>
      <c r="L311" s="1512">
        <v>0.39285714285714296</v>
      </c>
      <c r="M311" s="1512">
        <v>0.45</v>
      </c>
      <c r="N311" s="36"/>
    </row>
    <row r="312" spans="4:15" ht="15" customHeight="1">
      <c r="D312" s="25"/>
      <c r="E312" s="32" t="s">
        <v>603</v>
      </c>
      <c r="F312" s="714">
        <v>0</v>
      </c>
      <c r="G312" s="714">
        <v>0</v>
      </c>
      <c r="H312" s="714">
        <v>0</v>
      </c>
      <c r="I312" s="714">
        <v>0</v>
      </c>
      <c r="J312" s="714">
        <v>0</v>
      </c>
      <c r="K312" s="714">
        <v>0</v>
      </c>
      <c r="L312" s="714">
        <v>0</v>
      </c>
      <c r="M312" s="714">
        <v>0</v>
      </c>
      <c r="N312" s="36"/>
    </row>
    <row r="313" spans="4:15" ht="15" customHeight="1">
      <c r="D313" s="25"/>
      <c r="E313" s="30"/>
      <c r="F313" s="740"/>
      <c r="G313" s="740"/>
      <c r="H313" s="740"/>
      <c r="I313" s="740"/>
      <c r="J313" s="740"/>
      <c r="K313" s="740"/>
      <c r="L313" s="740"/>
      <c r="M313" s="740"/>
      <c r="N313" s="36"/>
    </row>
    <row r="314" spans="4:15" ht="15" customHeight="1">
      <c r="D314" s="25"/>
      <c r="E314" s="340" t="s">
        <v>896</v>
      </c>
      <c r="F314" s="760"/>
      <c r="G314" s="760"/>
      <c r="H314" s="760"/>
      <c r="I314" s="760"/>
      <c r="J314" s="760"/>
      <c r="K314" s="760"/>
      <c r="L314" s="760"/>
      <c r="M314" s="763" t="s">
        <v>2248</v>
      </c>
      <c r="N314" s="36"/>
    </row>
    <row r="315" spans="4:15" ht="15" customHeight="1">
      <c r="D315" s="25"/>
      <c r="E315" s="344" t="s">
        <v>859</v>
      </c>
      <c r="F315" s="762">
        <v>2018</v>
      </c>
      <c r="G315" s="762">
        <v>2020</v>
      </c>
      <c r="H315" s="762">
        <v>2025</v>
      </c>
      <c r="I315" s="762">
        <v>2030</v>
      </c>
      <c r="J315" s="762">
        <v>2035</v>
      </c>
      <c r="K315" s="762">
        <v>2040</v>
      </c>
      <c r="L315" s="762">
        <v>2045</v>
      </c>
      <c r="M315" s="762">
        <v>2050</v>
      </c>
      <c r="N315" s="36"/>
    </row>
    <row r="316" spans="4:15" ht="15" customHeight="1">
      <c r="D316" s="25"/>
      <c r="E316" s="30" t="s">
        <v>897</v>
      </c>
      <c r="F316" s="1513">
        <v>0.57999999999999996</v>
      </c>
      <c r="G316" s="1513">
        <v>0.57419999999999993</v>
      </c>
      <c r="H316" s="1513">
        <v>0.54133333333333333</v>
      </c>
      <c r="I316" s="1513">
        <v>0.50846666666666662</v>
      </c>
      <c r="J316" s="1513">
        <v>0.47560000000000002</v>
      </c>
      <c r="K316" s="1513">
        <v>0.44273333333333331</v>
      </c>
      <c r="L316" s="1513">
        <v>0.40986666666666666</v>
      </c>
      <c r="M316" s="1513">
        <v>0.38</v>
      </c>
      <c r="N316" s="36"/>
      <c r="O316" s="3334"/>
    </row>
    <row r="317" spans="4:15" ht="15" customHeight="1">
      <c r="D317" s="25"/>
      <c r="E317" s="30" t="s">
        <v>898</v>
      </c>
      <c r="F317" s="1511">
        <v>0.42</v>
      </c>
      <c r="G317" s="1511">
        <v>0.4158</v>
      </c>
      <c r="H317" s="1511">
        <v>0.39200000000000002</v>
      </c>
      <c r="I317" s="1511">
        <v>0.36820000000000003</v>
      </c>
      <c r="J317" s="1511">
        <v>0.34440000000000004</v>
      </c>
      <c r="K317" s="1511">
        <v>0.3206</v>
      </c>
      <c r="L317" s="1511">
        <v>0.29680000000000001</v>
      </c>
      <c r="M317" s="1511">
        <v>0.27</v>
      </c>
      <c r="N317" s="36"/>
    </row>
    <row r="318" spans="4:15" ht="15" customHeight="1">
      <c r="D318" s="25"/>
      <c r="E318" s="32" t="s">
        <v>894</v>
      </c>
      <c r="F318" s="1514">
        <v>0</v>
      </c>
      <c r="G318" s="1514">
        <v>0.01</v>
      </c>
      <c r="H318" s="1514">
        <v>6.6666666666666666E-2</v>
      </c>
      <c r="I318" s="1514">
        <v>0.12333333333333332</v>
      </c>
      <c r="J318" s="1514">
        <v>0.18</v>
      </c>
      <c r="K318" s="1514">
        <v>0.23666666666666666</v>
      </c>
      <c r="L318" s="1514">
        <v>0.29333333333333333</v>
      </c>
      <c r="M318" s="1514">
        <v>0.35</v>
      </c>
      <c r="N318" s="36"/>
      <c r="O318" s="3691"/>
    </row>
    <row r="319" spans="4:15" ht="15" customHeight="1">
      <c r="D319" s="25"/>
      <c r="E319" s="30"/>
      <c r="F319" s="740"/>
      <c r="G319" s="740"/>
      <c r="H319" s="740"/>
      <c r="I319" s="740"/>
      <c r="J319" s="740"/>
      <c r="K319" s="740"/>
      <c r="L319" s="740"/>
      <c r="M319" s="740"/>
      <c r="N319" s="36"/>
    </row>
    <row r="320" spans="4:15" ht="15" customHeight="1">
      <c r="D320" s="25"/>
      <c r="E320" s="340" t="s">
        <v>899</v>
      </c>
      <c r="F320" s="760"/>
      <c r="G320" s="760"/>
      <c r="H320" s="760"/>
      <c r="I320" s="760"/>
      <c r="J320" s="760"/>
      <c r="K320" s="760"/>
      <c r="L320" s="760"/>
      <c r="M320" s="763" t="s">
        <v>2248</v>
      </c>
      <c r="N320" s="36"/>
    </row>
    <row r="321" spans="4:15" ht="15" customHeight="1">
      <c r="D321" s="25"/>
      <c r="E321" s="344" t="s">
        <v>859</v>
      </c>
      <c r="F321" s="762">
        <v>2018</v>
      </c>
      <c r="G321" s="762">
        <v>2020</v>
      </c>
      <c r="H321" s="762">
        <v>2025</v>
      </c>
      <c r="I321" s="762">
        <v>2030</v>
      </c>
      <c r="J321" s="762">
        <v>2035</v>
      </c>
      <c r="K321" s="762">
        <v>2040</v>
      </c>
      <c r="L321" s="762">
        <v>2045</v>
      </c>
      <c r="M321" s="762">
        <v>2050</v>
      </c>
      <c r="N321" s="36"/>
    </row>
    <row r="322" spans="4:15" ht="15" customHeight="1">
      <c r="D322" s="25"/>
      <c r="E322" s="30" t="s">
        <v>889</v>
      </c>
      <c r="F322" s="1511">
        <v>8.2125000000000004E-2</v>
      </c>
      <c r="G322" s="1512">
        <v>7.325000000000001E-2</v>
      </c>
      <c r="H322" s="1512">
        <v>6.2708333333333338E-2</v>
      </c>
      <c r="I322" s="1512">
        <v>5.2166666666666674E-2</v>
      </c>
      <c r="J322" s="1512">
        <v>4.1625000000000002E-2</v>
      </c>
      <c r="K322" s="1512">
        <v>3.1083333333333341E-2</v>
      </c>
      <c r="L322" s="1512">
        <v>2.054166666666667E-2</v>
      </c>
      <c r="M322" s="1512">
        <v>0.03</v>
      </c>
      <c r="N322" s="36"/>
      <c r="O322" s="3334"/>
    </row>
    <row r="323" spans="4:15" ht="15" customHeight="1">
      <c r="D323" s="25"/>
      <c r="E323" s="30" t="s">
        <v>890</v>
      </c>
      <c r="F323" s="1511">
        <v>0.73912500000000003</v>
      </c>
      <c r="G323" s="1512">
        <v>0.65925</v>
      </c>
      <c r="H323" s="1512">
        <v>0.56437499999999996</v>
      </c>
      <c r="I323" s="1512">
        <v>0.46950000000000008</v>
      </c>
      <c r="J323" s="1512">
        <v>0.37462500000000004</v>
      </c>
      <c r="K323" s="1512">
        <v>0.27975000000000005</v>
      </c>
      <c r="L323" s="1512">
        <v>0.18487500000000004</v>
      </c>
      <c r="M323" s="1512">
        <v>7.0000000000000007E-2</v>
      </c>
      <c r="N323" s="36"/>
    </row>
    <row r="324" spans="4:15" ht="15" customHeight="1">
      <c r="D324" s="25"/>
      <c r="E324" s="30" t="s">
        <v>2250</v>
      </c>
      <c r="F324" s="722">
        <v>0</v>
      </c>
      <c r="G324" s="722">
        <v>0</v>
      </c>
      <c r="H324" s="722">
        <v>0</v>
      </c>
      <c r="I324" s="722">
        <v>0</v>
      </c>
      <c r="J324" s="722">
        <v>0</v>
      </c>
      <c r="K324" s="722">
        <v>0</v>
      </c>
      <c r="L324" s="722">
        <v>0</v>
      </c>
      <c r="M324" s="722">
        <v>0</v>
      </c>
      <c r="N324" s="36"/>
    </row>
    <row r="325" spans="4:15" ht="15" customHeight="1">
      <c r="D325" s="25"/>
      <c r="E325" s="30" t="s">
        <v>893</v>
      </c>
      <c r="F325" s="1511">
        <v>0.17874999999999999</v>
      </c>
      <c r="G325" s="1512">
        <v>0.16749999999999998</v>
      </c>
      <c r="H325" s="1512">
        <v>0.15624999999999997</v>
      </c>
      <c r="I325" s="1512">
        <v>0.14499999999999996</v>
      </c>
      <c r="J325" s="1512">
        <v>0.13374999999999995</v>
      </c>
      <c r="K325" s="1512">
        <v>0.12249999999999996</v>
      </c>
      <c r="L325" s="1512">
        <v>0.11124999999999996</v>
      </c>
      <c r="M325" s="1512">
        <v>0.1</v>
      </c>
      <c r="N325" s="36"/>
      <c r="O325" s="3691"/>
    </row>
    <row r="326" spans="4:15" ht="15" customHeight="1">
      <c r="D326" s="25"/>
      <c r="E326" s="30" t="s">
        <v>498</v>
      </c>
      <c r="F326" s="722">
        <v>0</v>
      </c>
      <c r="G326" s="722">
        <v>0</v>
      </c>
      <c r="H326" s="722">
        <v>0</v>
      </c>
      <c r="I326" s="722">
        <v>0</v>
      </c>
      <c r="J326" s="722">
        <v>0</v>
      </c>
      <c r="K326" s="722">
        <v>0</v>
      </c>
      <c r="L326" s="722">
        <v>0</v>
      </c>
      <c r="M326" s="722">
        <v>0</v>
      </c>
      <c r="N326" s="36"/>
    </row>
    <row r="327" spans="4:15" ht="15" customHeight="1">
      <c r="D327" s="25"/>
      <c r="E327" s="30" t="s">
        <v>894</v>
      </c>
      <c r="F327" s="1512">
        <v>0</v>
      </c>
      <c r="G327" s="1512">
        <v>0.05</v>
      </c>
      <c r="H327" s="1512">
        <v>0.125</v>
      </c>
      <c r="I327" s="1512">
        <v>0.2</v>
      </c>
      <c r="J327" s="1512">
        <v>0.27500000000000002</v>
      </c>
      <c r="K327" s="1512">
        <v>0.35000000000000003</v>
      </c>
      <c r="L327" s="1512">
        <v>0.42500000000000004</v>
      </c>
      <c r="M327" s="1512">
        <v>0.5</v>
      </c>
      <c r="N327" s="36"/>
    </row>
    <row r="328" spans="4:15" ht="15" customHeight="1">
      <c r="D328" s="25"/>
      <c r="E328" s="32" t="s">
        <v>603</v>
      </c>
      <c r="F328" s="714">
        <v>0</v>
      </c>
      <c r="G328" s="714">
        <v>0</v>
      </c>
      <c r="H328" s="714">
        <v>0</v>
      </c>
      <c r="I328" s="714">
        <v>0</v>
      </c>
      <c r="J328" s="714">
        <v>0</v>
      </c>
      <c r="K328" s="714">
        <v>0</v>
      </c>
      <c r="L328" s="714">
        <v>0</v>
      </c>
      <c r="M328" s="714">
        <v>0</v>
      </c>
      <c r="N328" s="36"/>
    </row>
    <row r="329" spans="4:15" ht="15" customHeight="1">
      <c r="D329" s="25"/>
      <c r="E329" s="35"/>
      <c r="F329" s="733"/>
      <c r="G329" s="733"/>
      <c r="H329" s="733"/>
      <c r="I329" s="733"/>
      <c r="J329" s="733"/>
      <c r="K329" s="733"/>
      <c r="L329" s="733"/>
      <c r="M329" s="733"/>
      <c r="N329" s="36"/>
    </row>
    <row r="330" spans="4:15" ht="15" customHeight="1">
      <c r="D330" s="25"/>
      <c r="E330" s="340" t="s">
        <v>900</v>
      </c>
      <c r="F330" s="760"/>
      <c r="G330" s="760"/>
      <c r="H330" s="760"/>
      <c r="I330" s="760"/>
      <c r="J330" s="760"/>
      <c r="K330" s="760"/>
      <c r="L330" s="760"/>
      <c r="M330" s="763" t="s">
        <v>2248</v>
      </c>
      <c r="N330" s="36"/>
    </row>
    <row r="331" spans="4:15" ht="15" customHeight="1">
      <c r="D331" s="25"/>
      <c r="E331" s="344" t="s">
        <v>859</v>
      </c>
      <c r="F331" s="762">
        <v>2018</v>
      </c>
      <c r="G331" s="762">
        <v>2020</v>
      </c>
      <c r="H331" s="762">
        <v>2025</v>
      </c>
      <c r="I331" s="762">
        <v>2030</v>
      </c>
      <c r="J331" s="762">
        <v>2035</v>
      </c>
      <c r="K331" s="762">
        <v>2040</v>
      </c>
      <c r="L331" s="762">
        <v>2045</v>
      </c>
      <c r="M331" s="762">
        <v>2050</v>
      </c>
      <c r="N331" s="36"/>
    </row>
    <row r="332" spans="4:15" ht="15" customHeight="1">
      <c r="D332" s="25"/>
      <c r="E332" s="30" t="s">
        <v>889</v>
      </c>
      <c r="F332" s="1511">
        <v>0</v>
      </c>
      <c r="G332" s="1512">
        <v>0</v>
      </c>
      <c r="H332" s="1512">
        <v>0</v>
      </c>
      <c r="I332" s="1512">
        <v>0</v>
      </c>
      <c r="J332" s="1512">
        <v>0</v>
      </c>
      <c r="K332" s="1512">
        <v>0</v>
      </c>
      <c r="L332" s="1512">
        <v>0</v>
      </c>
      <c r="M332" s="1512">
        <v>0</v>
      </c>
      <c r="N332" s="36"/>
      <c r="O332" s="3334"/>
    </row>
    <row r="333" spans="4:15" ht="15" customHeight="1">
      <c r="D333" s="25"/>
      <c r="E333" s="30" t="s">
        <v>890</v>
      </c>
      <c r="F333" s="1511">
        <v>1</v>
      </c>
      <c r="G333" s="1512">
        <v>0.92999999999999994</v>
      </c>
      <c r="H333" s="1512">
        <v>0.79166666666666663</v>
      </c>
      <c r="I333" s="1512">
        <v>0.65333333333333332</v>
      </c>
      <c r="J333" s="1512">
        <v>0.51500000000000001</v>
      </c>
      <c r="K333" s="1512">
        <v>0.37666666666666671</v>
      </c>
      <c r="L333" s="1512">
        <v>0.2383333333333334</v>
      </c>
      <c r="M333" s="1512">
        <v>0.1</v>
      </c>
      <c r="N333" s="36"/>
    </row>
    <row r="334" spans="4:15" ht="15" customHeight="1">
      <c r="D334" s="25"/>
      <c r="E334" s="30" t="s">
        <v>2250</v>
      </c>
      <c r="F334" s="722">
        <v>0</v>
      </c>
      <c r="G334" s="722">
        <v>0</v>
      </c>
      <c r="H334" s="722">
        <v>0</v>
      </c>
      <c r="I334" s="722">
        <v>0</v>
      </c>
      <c r="J334" s="722">
        <v>0</v>
      </c>
      <c r="K334" s="722">
        <v>0</v>
      </c>
      <c r="L334" s="722">
        <v>0</v>
      </c>
      <c r="M334" s="722">
        <v>0</v>
      </c>
      <c r="N334" s="36"/>
      <c r="O334" s="3691"/>
    </row>
    <row r="335" spans="4:15" ht="15" customHeight="1">
      <c r="D335" s="25"/>
      <c r="E335" s="30" t="s">
        <v>893</v>
      </c>
      <c r="F335" s="1511">
        <v>0</v>
      </c>
      <c r="G335" s="1512">
        <v>0.01</v>
      </c>
      <c r="H335" s="1512">
        <v>2.5000000000000001E-2</v>
      </c>
      <c r="I335" s="1512">
        <v>0.04</v>
      </c>
      <c r="J335" s="1512">
        <v>5.5E-2</v>
      </c>
      <c r="K335" s="1512">
        <v>7.0000000000000007E-2</v>
      </c>
      <c r="L335" s="1512">
        <v>8.5000000000000006E-2</v>
      </c>
      <c r="M335" s="1512">
        <v>0.1</v>
      </c>
      <c r="N335" s="36"/>
    </row>
    <row r="336" spans="4:15" ht="15" customHeight="1">
      <c r="D336" s="25"/>
      <c r="E336" s="30" t="s">
        <v>498</v>
      </c>
      <c r="F336" s="722">
        <v>0</v>
      </c>
      <c r="G336" s="722">
        <v>0</v>
      </c>
      <c r="H336" s="722">
        <v>0</v>
      </c>
      <c r="I336" s="722">
        <v>0</v>
      </c>
      <c r="J336" s="722">
        <v>0</v>
      </c>
      <c r="K336" s="722">
        <v>0</v>
      </c>
      <c r="L336" s="722">
        <v>0</v>
      </c>
      <c r="M336" s="722">
        <v>0</v>
      </c>
      <c r="N336" s="36"/>
    </row>
    <row r="337" spans="1:23" ht="15" customHeight="1">
      <c r="D337" s="25"/>
      <c r="E337" s="30" t="s">
        <v>894</v>
      </c>
      <c r="F337" s="1512">
        <v>0</v>
      </c>
      <c r="G337" s="1512">
        <v>0.01</v>
      </c>
      <c r="H337" s="1512">
        <v>9.166666666666666E-2</v>
      </c>
      <c r="I337" s="1512">
        <v>0.17333333333333334</v>
      </c>
      <c r="J337" s="1512">
        <v>0.255</v>
      </c>
      <c r="K337" s="1512">
        <v>0.33666666666666667</v>
      </c>
      <c r="L337" s="1512">
        <v>0.41833333333333333</v>
      </c>
      <c r="M337" s="1512">
        <v>0.5</v>
      </c>
      <c r="N337" s="36"/>
    </row>
    <row r="338" spans="1:23" ht="15" customHeight="1">
      <c r="D338" s="25"/>
      <c r="E338" s="32" t="s">
        <v>603</v>
      </c>
      <c r="F338" s="714">
        <v>0</v>
      </c>
      <c r="G338" s="714">
        <v>0</v>
      </c>
      <c r="H338" s="714">
        <v>0</v>
      </c>
      <c r="I338" s="714">
        <v>0</v>
      </c>
      <c r="J338" s="714">
        <v>0</v>
      </c>
      <c r="K338" s="714">
        <v>0</v>
      </c>
      <c r="L338" s="714">
        <v>0</v>
      </c>
      <c r="M338" s="714">
        <v>0</v>
      </c>
      <c r="N338" s="36"/>
      <c r="O338" s="2"/>
    </row>
    <row r="339" spans="1:23" ht="15" customHeight="1">
      <c r="D339" s="25"/>
      <c r="E339" s="26"/>
      <c r="F339" s="727"/>
      <c r="G339" s="727"/>
      <c r="H339" s="727"/>
      <c r="I339" s="727"/>
      <c r="J339" s="727"/>
      <c r="K339" s="727"/>
      <c r="L339" s="727"/>
      <c r="M339" s="733"/>
      <c r="N339" s="86"/>
    </row>
    <row r="340" spans="1:23" ht="15" customHeight="1">
      <c r="D340" s="25"/>
      <c r="E340" s="340" t="s">
        <v>2244</v>
      </c>
      <c r="F340" s="760"/>
      <c r="G340" s="760"/>
      <c r="H340" s="760"/>
      <c r="I340" s="760"/>
      <c r="J340" s="760"/>
      <c r="K340" s="760"/>
      <c r="L340" s="760"/>
      <c r="M340" s="763" t="s">
        <v>2248</v>
      </c>
      <c r="N340" s="36"/>
    </row>
    <row r="341" spans="1:23" ht="15" customHeight="1">
      <c r="D341" s="25"/>
      <c r="E341" s="344" t="s">
        <v>859</v>
      </c>
      <c r="F341" s="762">
        <v>2018</v>
      </c>
      <c r="G341" s="762">
        <v>2020</v>
      </c>
      <c r="H341" s="762">
        <v>2025</v>
      </c>
      <c r="I341" s="762">
        <v>2030</v>
      </c>
      <c r="J341" s="762">
        <v>2035</v>
      </c>
      <c r="K341" s="762">
        <v>2040</v>
      </c>
      <c r="L341" s="762">
        <v>2045</v>
      </c>
      <c r="M341" s="762">
        <v>2050</v>
      </c>
      <c r="N341" s="33"/>
      <c r="O341" s="2"/>
    </row>
    <row r="342" spans="1:23" ht="15" customHeight="1">
      <c r="D342" s="25"/>
      <c r="E342" s="337" t="s">
        <v>495</v>
      </c>
      <c r="F342" s="713">
        <v>0.9957792454030987</v>
      </c>
      <c r="G342" s="713">
        <v>0.9957792454030987</v>
      </c>
      <c r="H342" s="713">
        <v>0.9957792454030987</v>
      </c>
      <c r="I342" s="713">
        <v>0.9957792454030987</v>
      </c>
      <c r="J342" s="713">
        <v>0.9957792454030987</v>
      </c>
      <c r="K342" s="713">
        <v>0.9957792454030987</v>
      </c>
      <c r="L342" s="713">
        <v>0.9957792454030987</v>
      </c>
      <c r="M342" s="713">
        <v>0.9957792454030987</v>
      </c>
      <c r="N342" s="33"/>
      <c r="O342" s="3334"/>
    </row>
    <row r="343" spans="1:23" ht="15" customHeight="1">
      <c r="D343" s="25"/>
      <c r="E343" s="32" t="s">
        <v>601</v>
      </c>
      <c r="F343" s="714">
        <v>0</v>
      </c>
      <c r="G343" s="714">
        <v>0</v>
      </c>
      <c r="H343" s="714">
        <v>0</v>
      </c>
      <c r="I343" s="714">
        <v>0</v>
      </c>
      <c r="J343" s="714">
        <v>0</v>
      </c>
      <c r="K343" s="714">
        <v>0</v>
      </c>
      <c r="L343" s="714">
        <v>0</v>
      </c>
      <c r="M343" s="714">
        <v>0</v>
      </c>
      <c r="N343" s="86"/>
    </row>
    <row r="344" spans="1:23" ht="15" customHeight="1">
      <c r="D344" s="25"/>
      <c r="E344" s="30"/>
      <c r="F344" s="735"/>
      <c r="G344" s="740"/>
      <c r="H344" s="740"/>
      <c r="I344" s="740"/>
      <c r="J344" s="740"/>
      <c r="K344" s="740"/>
      <c r="L344" s="740"/>
      <c r="M344" s="740"/>
      <c r="N344" s="86"/>
      <c r="O344" s="3691"/>
    </row>
    <row r="345" spans="1:23" ht="15" customHeight="1">
      <c r="F345" s="696"/>
      <c r="G345" s="696"/>
      <c r="H345" s="696"/>
      <c r="I345" s="696"/>
      <c r="J345" s="696"/>
      <c r="K345" s="696"/>
      <c r="L345" s="696"/>
      <c r="M345" s="696"/>
    </row>
    <row r="346" spans="1:23" ht="15" customHeight="1">
      <c r="D346" s="956" t="s">
        <v>996</v>
      </c>
      <c r="E346" s="336"/>
      <c r="F346" s="908"/>
      <c r="G346" s="908"/>
      <c r="H346" s="908"/>
      <c r="I346" s="908"/>
      <c r="J346" s="908"/>
      <c r="K346" s="908"/>
      <c r="L346" s="908"/>
      <c r="M346" s="908"/>
      <c r="N346" s="336"/>
    </row>
    <row r="347" spans="1:23" ht="15" customHeight="1">
      <c r="D347" s="12"/>
      <c r="E347" s="12"/>
      <c r="F347" s="12"/>
      <c r="G347" s="12"/>
      <c r="H347" s="12"/>
      <c r="I347" s="12"/>
      <c r="J347" s="12"/>
      <c r="K347" s="12"/>
      <c r="L347" s="12"/>
      <c r="M347" s="12"/>
      <c r="N347" s="12"/>
    </row>
    <row r="348" spans="1:23" s="537" customFormat="1" ht="15" customHeight="1">
      <c r="A348" s="663"/>
      <c r="B348" s="667"/>
      <c r="C348" s="595"/>
      <c r="D348" s="12"/>
      <c r="E348" s="940" t="s">
        <v>1303</v>
      </c>
      <c r="F348" s="752"/>
      <c r="G348" s="752"/>
      <c r="H348" s="752"/>
      <c r="I348" s="752"/>
      <c r="J348" s="752"/>
      <c r="K348" s="752"/>
      <c r="L348" s="752"/>
      <c r="M348" s="752"/>
      <c r="N348" s="12"/>
      <c r="O348" s="915"/>
      <c r="R348" s="3"/>
      <c r="S348" s="3"/>
      <c r="W348" s="3"/>
    </row>
    <row r="349" spans="1:23" s="537" customFormat="1" ht="15" customHeight="1">
      <c r="A349" s="663"/>
      <c r="B349" s="667"/>
      <c r="C349" s="595"/>
      <c r="D349" s="12"/>
      <c r="E349" s="12"/>
      <c r="F349" s="752"/>
      <c r="G349" s="752"/>
      <c r="H349" s="752"/>
      <c r="I349" s="752"/>
      <c r="J349" s="752"/>
      <c r="K349" s="752"/>
      <c r="L349" s="752"/>
      <c r="M349" s="752"/>
      <c r="N349" s="12"/>
      <c r="R349" s="3"/>
      <c r="S349" s="3"/>
      <c r="W349" s="3"/>
    </row>
    <row r="350" spans="1:23" s="537" customFormat="1" ht="15" customHeight="1">
      <c r="A350" s="663"/>
      <c r="B350" s="667"/>
      <c r="C350" s="595"/>
      <c r="D350" s="12"/>
      <c r="E350" s="345"/>
      <c r="F350" s="764">
        <v>2018</v>
      </c>
      <c r="G350" s="764">
        <v>2020</v>
      </c>
      <c r="H350" s="764">
        <v>2025</v>
      </c>
      <c r="I350" s="764">
        <v>2030</v>
      </c>
      <c r="J350" s="764">
        <v>2035</v>
      </c>
      <c r="K350" s="764">
        <v>2040</v>
      </c>
      <c r="L350" s="764">
        <v>2045</v>
      </c>
      <c r="M350" s="764">
        <v>2050</v>
      </c>
      <c r="N350" s="12"/>
      <c r="O350" s="915"/>
      <c r="R350" s="3"/>
      <c r="S350" s="3"/>
      <c r="W350" s="3"/>
    </row>
    <row r="351" spans="1:23" s="537" customFormat="1" ht="15" customHeight="1">
      <c r="A351" s="663"/>
      <c r="B351" s="667"/>
      <c r="C351" s="595"/>
      <c r="D351" s="346"/>
      <c r="E351" s="279" t="s">
        <v>2251</v>
      </c>
      <c r="F351" s="3404">
        <v>239.70652801509721</v>
      </c>
      <c r="G351" s="3404">
        <v>229.64699979451851</v>
      </c>
      <c r="H351" s="3404">
        <v>217.37348464511595</v>
      </c>
      <c r="I351" s="3404">
        <v>207.76354753408805</v>
      </c>
      <c r="J351" s="3404">
        <v>200.12190550926044</v>
      </c>
      <c r="K351" s="3404">
        <v>194.20789308044871</v>
      </c>
      <c r="L351" s="3404">
        <v>189.77744261553588</v>
      </c>
      <c r="M351" s="3404">
        <v>186.59615280319767</v>
      </c>
      <c r="N351" s="12"/>
      <c r="R351" s="3"/>
      <c r="S351" s="3"/>
      <c r="W351" s="3"/>
    </row>
    <row r="352" spans="1:23" s="537" customFormat="1" ht="15" customHeight="1">
      <c r="A352" s="663"/>
      <c r="B352" s="667"/>
      <c r="C352" s="595"/>
      <c r="D352" s="12"/>
      <c r="E352" s="12"/>
      <c r="F352" s="752"/>
      <c r="G352" s="752"/>
      <c r="H352" s="752"/>
      <c r="I352" s="752"/>
      <c r="J352" s="752"/>
      <c r="K352" s="752"/>
      <c r="L352" s="752"/>
      <c r="M352" s="752"/>
      <c r="N352" s="12"/>
      <c r="R352" s="3"/>
      <c r="S352" s="3"/>
      <c r="W352" s="3"/>
    </row>
    <row r="353" spans="1:23" s="537" customFormat="1" ht="15" customHeight="1">
      <c r="A353" s="663"/>
      <c r="B353" s="667"/>
      <c r="C353" s="595"/>
      <c r="D353" s="12"/>
      <c r="E353" s="14" t="s">
        <v>1305</v>
      </c>
      <c r="F353" s="736"/>
      <c r="G353" s="736"/>
      <c r="H353" s="736"/>
      <c r="I353" s="736"/>
      <c r="J353" s="736"/>
      <c r="K353" s="736"/>
      <c r="L353" s="736"/>
      <c r="M353" s="736"/>
      <c r="N353" s="12"/>
      <c r="R353" s="3"/>
      <c r="S353" s="3"/>
      <c r="W353" s="3"/>
    </row>
    <row r="354" spans="1:23" s="537" customFormat="1" ht="15" customHeight="1">
      <c r="A354" s="663"/>
      <c r="B354" s="667"/>
      <c r="C354" s="595"/>
      <c r="D354" s="12"/>
      <c r="E354" s="96"/>
      <c r="F354" s="765"/>
      <c r="G354" s="766"/>
      <c r="H354" s="767"/>
      <c r="I354" s="752"/>
      <c r="J354" s="752"/>
      <c r="K354" s="752"/>
      <c r="L354" s="752"/>
      <c r="M354" s="752"/>
      <c r="N354" s="12"/>
      <c r="R354" s="3"/>
      <c r="S354" s="3"/>
      <c r="W354" s="3"/>
    </row>
    <row r="355" spans="1:23" s="537" customFormat="1" ht="15" customHeight="1">
      <c r="A355" s="663"/>
      <c r="B355" s="667"/>
      <c r="C355" s="595"/>
      <c r="D355" s="12"/>
      <c r="E355" s="344"/>
      <c r="F355" s="768" t="s">
        <v>788</v>
      </c>
      <c r="G355" s="752"/>
      <c r="H355" s="752"/>
      <c r="I355" s="752"/>
      <c r="J355" s="752"/>
      <c r="K355" s="752"/>
      <c r="L355" s="752"/>
      <c r="M355" s="752"/>
      <c r="N355" s="12"/>
      <c r="R355" s="3"/>
      <c r="S355" s="3"/>
      <c r="W355" s="3"/>
    </row>
    <row r="356" spans="1:23" s="537" customFormat="1" ht="15" customHeight="1">
      <c r="A356" s="663"/>
      <c r="B356" s="667"/>
      <c r="C356" s="595"/>
      <c r="D356" s="12"/>
      <c r="E356" s="146" t="s">
        <v>2249</v>
      </c>
      <c r="F356" s="3001">
        <v>0.5</v>
      </c>
      <c r="G356" s="752"/>
      <c r="H356" s="752"/>
      <c r="I356" s="752"/>
      <c r="J356" s="752"/>
      <c r="K356" s="752"/>
      <c r="L356" s="752"/>
      <c r="M356" s="752"/>
      <c r="N356" s="12"/>
      <c r="Q356" s="3"/>
      <c r="R356" s="3"/>
      <c r="V356" s="3"/>
    </row>
    <row r="357" spans="1:23" s="537" customFormat="1" ht="15" customHeight="1">
      <c r="A357" s="663"/>
      <c r="B357" s="667"/>
      <c r="C357" s="595"/>
      <c r="D357" s="12"/>
      <c r="E357" s="146" t="s">
        <v>2252</v>
      </c>
      <c r="F357" s="3001">
        <v>0.5</v>
      </c>
      <c r="G357" s="752"/>
      <c r="H357" s="752"/>
      <c r="I357" s="752"/>
      <c r="J357" s="752"/>
      <c r="K357" s="752"/>
      <c r="L357" s="752"/>
      <c r="M357" s="752"/>
      <c r="N357" s="12"/>
      <c r="Q357" s="3"/>
      <c r="R357" s="3"/>
      <c r="V357" s="3"/>
    </row>
    <row r="358" spans="1:23" s="537" customFormat="1" ht="15" customHeight="1">
      <c r="A358" s="663"/>
      <c r="B358" s="667"/>
      <c r="C358" s="595"/>
      <c r="D358" s="12"/>
      <c r="E358" s="146" t="s">
        <v>899</v>
      </c>
      <c r="F358" s="3001">
        <v>0.5</v>
      </c>
      <c r="G358" s="752"/>
      <c r="H358" s="752"/>
      <c r="I358" s="752"/>
      <c r="J358" s="752"/>
      <c r="K358" s="752"/>
      <c r="L358" s="752"/>
      <c r="M358" s="752"/>
      <c r="N358" s="12"/>
      <c r="Q358" s="3"/>
      <c r="R358" s="3"/>
      <c r="V358" s="3"/>
    </row>
    <row r="359" spans="1:23" s="537" customFormat="1" ht="15" customHeight="1">
      <c r="A359" s="663"/>
      <c r="B359" s="667"/>
      <c r="C359" s="595"/>
      <c r="D359" s="12"/>
      <c r="E359" s="147" t="s">
        <v>2253</v>
      </c>
      <c r="F359" s="3002">
        <v>0.3</v>
      </c>
      <c r="G359" s="752"/>
      <c r="H359" s="752"/>
      <c r="I359" s="752"/>
      <c r="J359" s="752"/>
      <c r="K359" s="752"/>
      <c r="L359" s="752"/>
      <c r="M359" s="752"/>
      <c r="N359" s="12"/>
      <c r="Q359" s="3"/>
      <c r="R359" s="3"/>
      <c r="V359" s="3"/>
    </row>
    <row r="360" spans="1:23" s="537" customFormat="1" ht="15" customHeight="1">
      <c r="A360" s="663"/>
      <c r="B360" s="667"/>
      <c r="C360" s="595"/>
      <c r="D360" s="12"/>
      <c r="E360" s="146"/>
      <c r="F360" s="735"/>
      <c r="G360" s="734"/>
      <c r="H360" s="769"/>
      <c r="I360" s="769"/>
      <c r="J360" s="770"/>
      <c r="K360" s="752"/>
      <c r="L360" s="752"/>
      <c r="M360" s="752"/>
      <c r="N360" s="12"/>
      <c r="O360" s="915"/>
      <c r="Q360" s="3"/>
      <c r="R360" s="3"/>
      <c r="V360" s="3"/>
    </row>
    <row r="361" spans="1:23" s="537" customFormat="1" ht="15" customHeight="1">
      <c r="A361" s="663"/>
      <c r="B361" s="667"/>
      <c r="C361" s="595"/>
      <c r="D361" s="12"/>
      <c r="E361" s="146"/>
      <c r="F361" s="735"/>
      <c r="G361" s="734"/>
      <c r="H361" s="769"/>
      <c r="I361" s="769"/>
      <c r="J361" s="770"/>
      <c r="K361" s="752"/>
      <c r="L361" s="752"/>
      <c r="M361" s="752"/>
      <c r="N361" s="12"/>
      <c r="Q361" s="3"/>
      <c r="R361" s="3"/>
      <c r="V361" s="3"/>
    </row>
    <row r="362" spans="1:23" s="537" customFormat="1" ht="15" customHeight="1">
      <c r="A362" s="663"/>
      <c r="B362" s="667"/>
      <c r="C362" s="595"/>
      <c r="D362" s="12"/>
      <c r="E362" s="14" t="s">
        <v>1307</v>
      </c>
      <c r="F362" s="736"/>
      <c r="G362" s="736"/>
      <c r="H362" s="736"/>
      <c r="I362" s="736"/>
      <c r="J362" s="736"/>
      <c r="K362" s="736"/>
      <c r="L362" s="736"/>
      <c r="M362" s="736"/>
      <c r="N362" s="12"/>
      <c r="Q362" s="3"/>
      <c r="R362" s="3"/>
      <c r="V362" s="3"/>
    </row>
    <row r="363" spans="1:23" s="537" customFormat="1" ht="15" customHeight="1">
      <c r="A363" s="663"/>
      <c r="B363" s="667"/>
      <c r="C363" s="595"/>
      <c r="D363" s="12"/>
      <c r="E363" s="35"/>
      <c r="F363" s="735"/>
      <c r="G363" s="734"/>
      <c r="H363" s="769"/>
      <c r="I363" s="769"/>
      <c r="J363" s="770"/>
      <c r="K363" s="752"/>
      <c r="L363" s="752"/>
      <c r="M363" s="752"/>
      <c r="N363" s="12"/>
      <c r="Q363" s="3"/>
      <c r="R363" s="3"/>
      <c r="V363" s="3"/>
    </row>
    <row r="364" spans="1:23" s="537" customFormat="1" ht="15" customHeight="1">
      <c r="A364" s="663"/>
      <c r="B364" s="667"/>
      <c r="C364" s="595"/>
      <c r="D364" s="12"/>
      <c r="E364" s="23" t="s">
        <v>2254</v>
      </c>
      <c r="F364" s="727"/>
      <c r="G364" s="727"/>
      <c r="H364" s="727"/>
      <c r="I364" s="727"/>
      <c r="J364" s="727"/>
      <c r="K364" s="727"/>
      <c r="L364" s="727"/>
      <c r="M364" s="771"/>
      <c r="N364" s="12"/>
      <c r="Q364" s="3"/>
      <c r="R364" s="3"/>
      <c r="V364" s="3"/>
    </row>
    <row r="365" spans="1:23" s="537" customFormat="1" ht="15" customHeight="1">
      <c r="A365" s="663"/>
      <c r="B365" s="667"/>
      <c r="C365" s="595"/>
      <c r="D365" s="12"/>
      <c r="E365" s="20"/>
      <c r="F365" s="727"/>
      <c r="G365" s="727"/>
      <c r="H365" s="727"/>
      <c r="I365" s="727"/>
      <c r="J365" s="727"/>
      <c r="K365" s="727"/>
      <c r="L365" s="727"/>
      <c r="M365" s="771"/>
      <c r="N365" s="12"/>
      <c r="Q365" s="3"/>
      <c r="R365" s="3"/>
      <c r="V365" s="3"/>
    </row>
    <row r="366" spans="1:23" s="537" customFormat="1" ht="15" customHeight="1">
      <c r="A366" s="663"/>
      <c r="B366" s="667"/>
      <c r="C366" s="595"/>
      <c r="D366" s="12"/>
      <c r="E366" s="24" t="s">
        <v>2249</v>
      </c>
      <c r="F366" s="3007"/>
      <c r="G366" s="727"/>
      <c r="H366" s="727"/>
      <c r="I366" s="727"/>
      <c r="J366" s="727"/>
      <c r="K366" s="727"/>
      <c r="L366" s="727"/>
      <c r="M366" s="771" t="s">
        <v>2255</v>
      </c>
      <c r="N366" s="12"/>
      <c r="Q366" s="3"/>
      <c r="R366" s="3"/>
      <c r="V366" s="3"/>
    </row>
    <row r="367" spans="1:23" s="537" customFormat="1" ht="15" customHeight="1">
      <c r="A367" s="663"/>
      <c r="B367" s="667"/>
      <c r="C367" s="595"/>
      <c r="D367" s="12"/>
      <c r="E367" s="344" t="s">
        <v>859</v>
      </c>
      <c r="F367" s="764">
        <v>2018</v>
      </c>
      <c r="G367" s="764">
        <v>2020</v>
      </c>
      <c r="H367" s="764">
        <v>2025</v>
      </c>
      <c r="I367" s="764">
        <v>2030</v>
      </c>
      <c r="J367" s="764">
        <v>2035</v>
      </c>
      <c r="K367" s="764">
        <v>2040</v>
      </c>
      <c r="L367" s="764">
        <v>2045</v>
      </c>
      <c r="M367" s="764">
        <v>2050</v>
      </c>
      <c r="N367" s="12"/>
      <c r="Q367" s="3"/>
      <c r="R367" s="3"/>
      <c r="V367" s="3"/>
    </row>
    <row r="368" spans="1:23" s="537" customFormat="1" ht="15" customHeight="1">
      <c r="A368" s="663"/>
      <c r="B368" s="667"/>
      <c r="C368" s="595"/>
      <c r="D368" s="12"/>
      <c r="E368" s="337" t="s">
        <v>2256</v>
      </c>
      <c r="F368" s="927">
        <v>221359.07613244699</v>
      </c>
      <c r="G368" s="927">
        <v>221359.07613244699</v>
      </c>
      <c r="H368" s="927">
        <v>221359.07613244699</v>
      </c>
      <c r="I368" s="927">
        <v>221359.07613244699</v>
      </c>
      <c r="J368" s="927">
        <v>221359.07613244699</v>
      </c>
      <c r="K368" s="927">
        <v>221359.07613244699</v>
      </c>
      <c r="L368" s="927">
        <v>221359.07613244699</v>
      </c>
      <c r="M368" s="927">
        <v>221359.07613244699</v>
      </c>
      <c r="N368" s="12"/>
      <c r="Q368" s="3"/>
      <c r="R368" s="3"/>
      <c r="V368" s="3"/>
    </row>
    <row r="369" spans="1:23" s="537" customFormat="1" ht="15" customHeight="1">
      <c r="A369" s="663"/>
      <c r="B369" s="667"/>
      <c r="C369" s="595"/>
      <c r="D369" s="12"/>
      <c r="E369" s="32" t="s">
        <v>2257</v>
      </c>
      <c r="F369" s="929">
        <v>231686.98600837012</v>
      </c>
      <c r="G369" s="929">
        <v>231686.98600837012</v>
      </c>
      <c r="H369" s="929">
        <v>231686.98600837012</v>
      </c>
      <c r="I369" s="929">
        <v>231686.98600837012</v>
      </c>
      <c r="J369" s="929">
        <v>231686.98600837012</v>
      </c>
      <c r="K369" s="929">
        <v>231686.98600837012</v>
      </c>
      <c r="L369" s="929">
        <v>231686.98600837012</v>
      </c>
      <c r="M369" s="929">
        <v>231686.98600837012</v>
      </c>
      <c r="N369" s="12"/>
      <c r="Q369" s="3"/>
      <c r="R369" s="3"/>
      <c r="V369" s="3"/>
    </row>
    <row r="370" spans="1:23" s="537" customFormat="1" ht="15" customHeight="1">
      <c r="A370" s="663"/>
      <c r="B370" s="667"/>
      <c r="C370" s="595"/>
      <c r="D370" s="12"/>
      <c r="E370" s="349"/>
      <c r="F370" s="735"/>
      <c r="G370" s="734"/>
      <c r="H370" s="769"/>
      <c r="I370" s="769"/>
      <c r="J370" s="770"/>
      <c r="K370" s="752"/>
      <c r="L370" s="752"/>
      <c r="M370" s="752"/>
      <c r="N370" s="12"/>
      <c r="Q370" s="3"/>
      <c r="R370" s="3"/>
      <c r="V370" s="3"/>
    </row>
    <row r="371" spans="1:23" s="537" customFormat="1" ht="15" customHeight="1">
      <c r="A371" s="663"/>
      <c r="B371" s="667"/>
      <c r="C371" s="595"/>
      <c r="D371" s="12"/>
      <c r="E371" s="24" t="s">
        <v>2252</v>
      </c>
      <c r="F371" s="727"/>
      <c r="G371" s="727"/>
      <c r="H371" s="727"/>
      <c r="I371" s="727"/>
      <c r="J371" s="727"/>
      <c r="K371" s="727"/>
      <c r="L371" s="727"/>
      <c r="M371" s="771" t="s">
        <v>2255</v>
      </c>
      <c r="N371" s="12"/>
      <c r="Q371" s="3"/>
      <c r="R371" s="3"/>
      <c r="V371" s="3"/>
    </row>
    <row r="372" spans="1:23" s="537" customFormat="1" ht="15" customHeight="1">
      <c r="A372" s="663"/>
      <c r="B372" s="667"/>
      <c r="C372" s="595"/>
      <c r="D372" s="12"/>
      <c r="E372" s="344" t="s">
        <v>859</v>
      </c>
      <c r="F372" s="764">
        <v>2018</v>
      </c>
      <c r="G372" s="764">
        <v>2020</v>
      </c>
      <c r="H372" s="764">
        <v>2025</v>
      </c>
      <c r="I372" s="764">
        <v>2030</v>
      </c>
      <c r="J372" s="764">
        <v>2035</v>
      </c>
      <c r="K372" s="764">
        <v>2040</v>
      </c>
      <c r="L372" s="764">
        <v>2045</v>
      </c>
      <c r="M372" s="764">
        <v>2050</v>
      </c>
      <c r="N372" s="12"/>
      <c r="Q372" s="3"/>
      <c r="R372" s="3"/>
      <c r="V372" s="3"/>
    </row>
    <row r="373" spans="1:23" s="537" customFormat="1" ht="15" customHeight="1">
      <c r="A373" s="663"/>
      <c r="B373" s="667"/>
      <c r="C373" s="595"/>
      <c r="D373" s="12"/>
      <c r="E373" s="337" t="s">
        <v>889</v>
      </c>
      <c r="F373" s="927">
        <v>653807.99290666054</v>
      </c>
      <c r="G373" s="927">
        <v>653807.99290666054</v>
      </c>
      <c r="H373" s="927">
        <v>653807.99290666054</v>
      </c>
      <c r="I373" s="927">
        <v>653807.99290666054</v>
      </c>
      <c r="J373" s="927">
        <v>653807.99290666054</v>
      </c>
      <c r="K373" s="927">
        <v>653807.99290666054</v>
      </c>
      <c r="L373" s="927">
        <v>653807.99290666054</v>
      </c>
      <c r="M373" s="927">
        <v>653807.99290666054</v>
      </c>
      <c r="N373" s="12"/>
      <c r="Q373" s="3"/>
      <c r="R373" s="3"/>
      <c r="V373" s="3"/>
    </row>
    <row r="374" spans="1:23" s="537" customFormat="1" ht="15" customHeight="1">
      <c r="A374" s="663"/>
      <c r="B374" s="667"/>
      <c r="C374" s="595"/>
      <c r="D374" s="12"/>
      <c r="E374" s="32" t="s">
        <v>2258</v>
      </c>
      <c r="F374" s="929">
        <v>809831.8260940715</v>
      </c>
      <c r="G374" s="929">
        <v>809831.8260940715</v>
      </c>
      <c r="H374" s="929">
        <v>809831.8260940715</v>
      </c>
      <c r="I374" s="929">
        <v>809831.8260940715</v>
      </c>
      <c r="J374" s="929">
        <v>809831.8260940715</v>
      </c>
      <c r="K374" s="929">
        <v>809831.8260940715</v>
      </c>
      <c r="L374" s="929">
        <v>809831.8260940715</v>
      </c>
      <c r="M374" s="929">
        <v>809831.8260940715</v>
      </c>
      <c r="N374" s="12"/>
      <c r="Q374" s="3"/>
      <c r="R374" s="3"/>
      <c r="V374" s="3"/>
    </row>
    <row r="375" spans="1:23" s="537" customFormat="1" ht="15" customHeight="1">
      <c r="A375" s="663"/>
      <c r="B375" s="667"/>
      <c r="C375" s="595"/>
      <c r="D375" s="12"/>
      <c r="E375" s="349"/>
      <c r="F375" s="735"/>
      <c r="G375" s="734"/>
      <c r="H375" s="769"/>
      <c r="I375" s="769"/>
      <c r="J375" s="770"/>
      <c r="K375" s="752"/>
      <c r="L375" s="752"/>
      <c r="M375" s="752"/>
      <c r="N375" s="12"/>
      <c r="Q375" s="3"/>
      <c r="R375" s="3"/>
      <c r="V375" s="3"/>
    </row>
    <row r="376" spans="1:23" s="537" customFormat="1" ht="15" customHeight="1">
      <c r="A376" s="663"/>
      <c r="B376" s="667"/>
      <c r="C376" s="595"/>
      <c r="D376" s="12"/>
      <c r="E376" s="24" t="s">
        <v>899</v>
      </c>
      <c r="F376" s="727"/>
      <c r="G376" s="727"/>
      <c r="H376" s="727"/>
      <c r="I376" s="727"/>
      <c r="J376" s="727"/>
      <c r="K376" s="727"/>
      <c r="L376" s="727"/>
      <c r="M376" s="771" t="s">
        <v>2255</v>
      </c>
      <c r="N376" s="12"/>
      <c r="Q376" s="3"/>
      <c r="R376" s="3"/>
      <c r="V376" s="3"/>
    </row>
    <row r="377" spans="1:23" s="537" customFormat="1" ht="15" customHeight="1">
      <c r="A377" s="663"/>
      <c r="B377" s="667"/>
      <c r="C377" s="595"/>
      <c r="D377" s="12"/>
      <c r="E377" s="344" t="s">
        <v>859</v>
      </c>
      <c r="F377" s="764">
        <v>2018</v>
      </c>
      <c r="G377" s="764">
        <v>2020</v>
      </c>
      <c r="H377" s="764">
        <v>2025</v>
      </c>
      <c r="I377" s="764">
        <v>2030</v>
      </c>
      <c r="J377" s="764">
        <v>2035</v>
      </c>
      <c r="K377" s="764">
        <v>2040</v>
      </c>
      <c r="L377" s="764">
        <v>2045</v>
      </c>
      <c r="M377" s="764">
        <v>2050</v>
      </c>
      <c r="N377" s="12"/>
      <c r="Q377" s="3"/>
      <c r="R377" s="3"/>
      <c r="V377" s="3"/>
    </row>
    <row r="378" spans="1:23" s="537" customFormat="1" ht="15" customHeight="1">
      <c r="A378" s="663"/>
      <c r="B378" s="667"/>
      <c r="C378" s="595"/>
      <c r="D378" s="12"/>
      <c r="E378" s="337" t="s">
        <v>889</v>
      </c>
      <c r="F378" s="927">
        <v>54769.255950296167</v>
      </c>
      <c r="G378" s="927">
        <v>54769.255950296167</v>
      </c>
      <c r="H378" s="927">
        <v>54769.255950296167</v>
      </c>
      <c r="I378" s="927">
        <v>54769.255950296167</v>
      </c>
      <c r="J378" s="927">
        <v>54769.255950296167</v>
      </c>
      <c r="K378" s="927">
        <v>54769.255950296167</v>
      </c>
      <c r="L378" s="927">
        <v>54769.255950296167</v>
      </c>
      <c r="M378" s="927">
        <v>54769.255950296167</v>
      </c>
      <c r="N378" s="12"/>
      <c r="Q378" s="3"/>
      <c r="R378" s="3"/>
      <c r="V378" s="3"/>
    </row>
    <row r="379" spans="1:23" s="537" customFormat="1" ht="15" customHeight="1">
      <c r="A379" s="663"/>
      <c r="B379" s="667"/>
      <c r="C379" s="595"/>
      <c r="D379" s="12"/>
      <c r="E379" s="32" t="s">
        <v>2258</v>
      </c>
      <c r="F379" s="929">
        <v>62212.246242988265</v>
      </c>
      <c r="G379" s="929">
        <v>62212.246242988265</v>
      </c>
      <c r="H379" s="929">
        <v>62212.246242988265</v>
      </c>
      <c r="I379" s="929">
        <v>62212.246242988265</v>
      </c>
      <c r="J379" s="929">
        <v>62212.246242988265</v>
      </c>
      <c r="K379" s="929">
        <v>62212.246242988265</v>
      </c>
      <c r="L379" s="929">
        <v>62212.246242988265</v>
      </c>
      <c r="M379" s="929">
        <v>62212.246242988265</v>
      </c>
      <c r="N379" s="12"/>
      <c r="Q379" s="3"/>
      <c r="R379" s="3"/>
      <c r="V379" s="3"/>
    </row>
    <row r="380" spans="1:23" s="537" customFormat="1" ht="15" customHeight="1">
      <c r="A380" s="663"/>
      <c r="B380" s="667"/>
      <c r="C380" s="595"/>
      <c r="D380" s="12"/>
      <c r="E380" s="349"/>
      <c r="F380" s="735"/>
      <c r="G380" s="734"/>
      <c r="H380" s="769"/>
      <c r="I380" s="769"/>
      <c r="J380" s="770"/>
      <c r="K380" s="752"/>
      <c r="L380" s="752"/>
      <c r="M380" s="752"/>
      <c r="N380" s="12"/>
      <c r="Q380" s="3"/>
      <c r="R380" s="3"/>
      <c r="V380" s="3"/>
    </row>
    <row r="381" spans="1:23" s="537" customFormat="1" ht="15" customHeight="1">
      <c r="A381" s="663"/>
      <c r="B381" s="667"/>
      <c r="C381" s="595"/>
      <c r="D381" s="12"/>
      <c r="E381" s="24" t="s">
        <v>2253</v>
      </c>
      <c r="F381" s="727"/>
      <c r="G381" s="727"/>
      <c r="H381" s="727"/>
      <c r="I381" s="727"/>
      <c r="J381" s="727"/>
      <c r="K381" s="727"/>
      <c r="L381" s="727"/>
      <c r="M381" s="771" t="s">
        <v>2255</v>
      </c>
      <c r="N381" s="12"/>
      <c r="Q381" s="3"/>
      <c r="R381" s="3"/>
      <c r="V381" s="3"/>
    </row>
    <row r="382" spans="1:23" s="537" customFormat="1" ht="15" customHeight="1">
      <c r="A382" s="663"/>
      <c r="B382" s="667"/>
      <c r="C382" s="595"/>
      <c r="D382" s="12"/>
      <c r="E382" s="344" t="s">
        <v>859</v>
      </c>
      <c r="F382" s="764">
        <v>2018</v>
      </c>
      <c r="G382" s="764">
        <v>2020</v>
      </c>
      <c r="H382" s="764">
        <v>2025</v>
      </c>
      <c r="I382" s="764">
        <v>2030</v>
      </c>
      <c r="J382" s="764">
        <v>2035</v>
      </c>
      <c r="K382" s="764">
        <v>2040</v>
      </c>
      <c r="L382" s="764">
        <v>2045</v>
      </c>
      <c r="M382" s="764">
        <v>2050</v>
      </c>
      <c r="N382" s="12"/>
      <c r="Q382" s="3"/>
      <c r="R382" s="3"/>
      <c r="V382" s="3"/>
    </row>
    <row r="383" spans="1:23" s="537" customFormat="1" ht="15" customHeight="1">
      <c r="A383" s="663"/>
      <c r="B383" s="667"/>
      <c r="C383" s="595"/>
      <c r="D383" s="12"/>
      <c r="E383" s="337" t="s">
        <v>889</v>
      </c>
      <c r="F383" s="927">
        <v>54769.255950296167</v>
      </c>
      <c r="G383" s="927">
        <v>54769.255950296167</v>
      </c>
      <c r="H383" s="927">
        <v>54769.255950296167</v>
      </c>
      <c r="I383" s="927">
        <v>54769.255950296167</v>
      </c>
      <c r="J383" s="927">
        <v>54769.255950296167</v>
      </c>
      <c r="K383" s="927">
        <v>54769.255950296167</v>
      </c>
      <c r="L383" s="927">
        <v>54769.255950296167</v>
      </c>
      <c r="M383" s="927">
        <v>54769.255950296167</v>
      </c>
      <c r="N383" s="12"/>
      <c r="O383" s="916"/>
    </row>
    <row r="384" spans="1:23" s="537" customFormat="1" ht="15" customHeight="1">
      <c r="A384" s="663"/>
      <c r="B384" s="667"/>
      <c r="C384" s="595"/>
      <c r="D384" s="12"/>
      <c r="E384" s="32" t="s">
        <v>2258</v>
      </c>
      <c r="F384" s="929">
        <v>62212.246242988265</v>
      </c>
      <c r="G384" s="929">
        <v>62212.246242988265</v>
      </c>
      <c r="H384" s="929">
        <v>62212.246242988265</v>
      </c>
      <c r="I384" s="929">
        <v>62212.246242988265</v>
      </c>
      <c r="J384" s="929">
        <v>62212.246242988265</v>
      </c>
      <c r="K384" s="929">
        <v>62212.246242988265</v>
      </c>
      <c r="L384" s="929">
        <v>62212.246242988265</v>
      </c>
      <c r="M384" s="929">
        <v>62212.246242988265</v>
      </c>
      <c r="N384" s="516"/>
      <c r="P384" s="572"/>
      <c r="S384" s="573"/>
      <c r="T384" s="573"/>
      <c r="U384" s="573"/>
      <c r="V384" s="573"/>
      <c r="W384" s="573"/>
    </row>
    <row r="385" spans="1:23" s="537" customFormat="1" ht="15" customHeight="1">
      <c r="A385" s="663"/>
      <c r="B385" s="667"/>
      <c r="C385" s="595"/>
      <c r="D385" s="12"/>
      <c r="E385" s="35"/>
      <c r="F385" s="735"/>
      <c r="G385" s="734"/>
      <c r="H385" s="769"/>
      <c r="I385" s="769"/>
      <c r="J385" s="770"/>
      <c r="K385" s="752"/>
      <c r="L385" s="752"/>
      <c r="M385" s="752"/>
      <c r="N385" s="12"/>
      <c r="P385" s="572"/>
      <c r="S385" s="573"/>
      <c r="T385" s="573"/>
      <c r="U385" s="573"/>
      <c r="V385" s="573"/>
      <c r="W385" s="573"/>
    </row>
    <row r="386" spans="1:23" s="537" customFormat="1" ht="15" customHeight="1">
      <c r="A386" s="663"/>
      <c r="B386" s="667"/>
      <c r="C386" s="595"/>
      <c r="D386" s="12"/>
      <c r="E386" s="14" t="s">
        <v>1309</v>
      </c>
      <c r="F386" s="736"/>
      <c r="G386" s="736"/>
      <c r="H386" s="736"/>
      <c r="I386" s="736"/>
      <c r="J386" s="736"/>
      <c r="K386" s="736"/>
      <c r="L386" s="736"/>
      <c r="M386" s="736"/>
      <c r="N386" s="12"/>
      <c r="P386" s="572"/>
      <c r="S386" s="573"/>
      <c r="T386" s="573"/>
      <c r="U386" s="573"/>
      <c r="V386" s="573"/>
      <c r="W386" s="573"/>
    </row>
    <row r="387" spans="1:23" s="537" customFormat="1" ht="15" customHeight="1">
      <c r="A387" s="663"/>
      <c r="B387" s="667"/>
      <c r="C387" s="595"/>
      <c r="D387" s="12"/>
      <c r="E387" s="35"/>
      <c r="F387" s="735"/>
      <c r="G387" s="734"/>
      <c r="H387" s="769"/>
      <c r="I387" s="769"/>
      <c r="J387" s="770"/>
      <c r="K387" s="752"/>
      <c r="L387" s="752"/>
      <c r="M387" s="752"/>
      <c r="N387" s="12"/>
    </row>
    <row r="388" spans="1:23" s="537" customFormat="1" ht="15" customHeight="1">
      <c r="A388" s="663"/>
      <c r="B388" s="667"/>
      <c r="C388" s="595"/>
      <c r="D388" s="12"/>
      <c r="E388" s="24" t="s">
        <v>2249</v>
      </c>
      <c r="F388" s="727"/>
      <c r="G388" s="727"/>
      <c r="H388" s="727"/>
      <c r="I388" s="727"/>
      <c r="J388" s="727"/>
      <c r="K388" s="727"/>
      <c r="L388" s="727"/>
      <c r="M388" s="771" t="s">
        <v>2255</v>
      </c>
      <c r="N388" s="12"/>
    </row>
    <row r="389" spans="1:23" s="537" customFormat="1" ht="15" customHeight="1">
      <c r="A389" s="663"/>
      <c r="B389" s="667"/>
      <c r="C389" s="595"/>
      <c r="D389" s="12"/>
      <c r="E389" s="344" t="s">
        <v>859</v>
      </c>
      <c r="F389" s="764">
        <v>2018</v>
      </c>
      <c r="G389" s="764">
        <v>2020</v>
      </c>
      <c r="H389" s="764">
        <v>2025</v>
      </c>
      <c r="I389" s="764">
        <v>2030</v>
      </c>
      <c r="J389" s="764">
        <v>2035</v>
      </c>
      <c r="K389" s="764">
        <v>2040</v>
      </c>
      <c r="L389" s="764">
        <v>2045</v>
      </c>
      <c r="M389" s="764">
        <v>2050</v>
      </c>
      <c r="N389" s="12"/>
    </row>
    <row r="390" spans="1:23" s="537" customFormat="1" ht="15" customHeight="1">
      <c r="A390" s="663"/>
      <c r="B390" s="667"/>
      <c r="C390" s="595"/>
      <c r="D390" s="12"/>
      <c r="E390" s="337" t="s">
        <v>889</v>
      </c>
      <c r="F390" s="927">
        <v>221359.07613244699</v>
      </c>
      <c r="G390" s="927">
        <v>221359.07613244699</v>
      </c>
      <c r="H390" s="927">
        <v>221359.07613244699</v>
      </c>
      <c r="I390" s="927">
        <v>221359.07613244699</v>
      </c>
      <c r="J390" s="927">
        <v>221359.07613244699</v>
      </c>
      <c r="K390" s="927">
        <v>221359.07613244699</v>
      </c>
      <c r="L390" s="927">
        <v>221359.07613244699</v>
      </c>
      <c r="M390" s="927">
        <v>221359.07613244699</v>
      </c>
      <c r="N390" s="12"/>
    </row>
    <row r="391" spans="1:23" s="537" customFormat="1" ht="15" customHeight="1">
      <c r="A391" s="663"/>
      <c r="B391" s="667"/>
      <c r="C391" s="595"/>
      <c r="D391" s="12"/>
      <c r="E391" s="32" t="s">
        <v>2258</v>
      </c>
      <c r="F391" s="929">
        <v>231686.98600837012</v>
      </c>
      <c r="G391" s="929">
        <v>231686.98600837012</v>
      </c>
      <c r="H391" s="929">
        <v>231686.98600837012</v>
      </c>
      <c r="I391" s="929">
        <v>231686.98600837012</v>
      </c>
      <c r="J391" s="929">
        <v>231686.98600837012</v>
      </c>
      <c r="K391" s="929">
        <v>231686.98600837012</v>
      </c>
      <c r="L391" s="929">
        <v>231686.98600837012</v>
      </c>
      <c r="M391" s="929">
        <v>231686.98600837012</v>
      </c>
      <c r="N391" s="12"/>
    </row>
    <row r="392" spans="1:23" s="537" customFormat="1" ht="15" customHeight="1">
      <c r="A392" s="663"/>
      <c r="B392" s="667"/>
      <c r="C392" s="595"/>
      <c r="D392" s="12"/>
      <c r="E392" s="349"/>
      <c r="F392" s="735"/>
      <c r="G392" s="734"/>
      <c r="H392" s="769"/>
      <c r="I392" s="769"/>
      <c r="J392" s="770"/>
      <c r="K392" s="752"/>
      <c r="L392" s="752"/>
      <c r="M392" s="752"/>
      <c r="N392" s="12"/>
    </row>
    <row r="393" spans="1:23" s="537" customFormat="1" ht="15" customHeight="1">
      <c r="A393" s="663"/>
      <c r="B393" s="667"/>
      <c r="C393" s="595"/>
      <c r="D393" s="12"/>
      <c r="E393" s="24" t="s">
        <v>2252</v>
      </c>
      <c r="F393" s="727"/>
      <c r="G393" s="727"/>
      <c r="H393" s="727"/>
      <c r="I393" s="727"/>
      <c r="J393" s="727"/>
      <c r="K393" s="727"/>
      <c r="L393" s="727"/>
      <c r="M393" s="771" t="s">
        <v>2255</v>
      </c>
      <c r="N393" s="12"/>
    </row>
    <row r="394" spans="1:23" s="537" customFormat="1" ht="15" customHeight="1">
      <c r="A394" s="663"/>
      <c r="B394" s="667"/>
      <c r="C394" s="595"/>
      <c r="D394" s="12"/>
      <c r="E394" s="344" t="s">
        <v>859</v>
      </c>
      <c r="F394" s="764">
        <v>2018</v>
      </c>
      <c r="G394" s="764">
        <v>2020</v>
      </c>
      <c r="H394" s="764">
        <v>2025</v>
      </c>
      <c r="I394" s="764">
        <v>2030</v>
      </c>
      <c r="J394" s="764">
        <v>2035</v>
      </c>
      <c r="K394" s="764">
        <v>2040</v>
      </c>
      <c r="L394" s="764">
        <v>2045</v>
      </c>
      <c r="M394" s="764">
        <v>2050</v>
      </c>
      <c r="N394" s="12"/>
    </row>
    <row r="395" spans="1:23" s="537" customFormat="1" ht="15" customHeight="1">
      <c r="A395" s="663"/>
      <c r="B395" s="667"/>
      <c r="C395" s="595"/>
      <c r="D395" s="12"/>
      <c r="E395" s="337" t="s">
        <v>889</v>
      </c>
      <c r="F395" s="927">
        <v>653807.99290666054</v>
      </c>
      <c r="G395" s="927">
        <v>653807.99290666054</v>
      </c>
      <c r="H395" s="927">
        <v>653807.99290666054</v>
      </c>
      <c r="I395" s="927">
        <v>653807.99290666054</v>
      </c>
      <c r="J395" s="927">
        <v>653807.99290666054</v>
      </c>
      <c r="K395" s="927">
        <v>653807.99290666054</v>
      </c>
      <c r="L395" s="927">
        <v>653807.99290666054</v>
      </c>
      <c r="M395" s="927">
        <v>653807.99290666054</v>
      </c>
      <c r="N395" s="12"/>
    </row>
    <row r="396" spans="1:23" s="537" customFormat="1" ht="15" customHeight="1">
      <c r="A396" s="663"/>
      <c r="B396" s="667"/>
      <c r="C396" s="595"/>
      <c r="D396" s="12"/>
      <c r="E396" s="32" t="s">
        <v>2258</v>
      </c>
      <c r="F396" s="929">
        <v>809831.8260940715</v>
      </c>
      <c r="G396" s="929">
        <v>809831.8260940715</v>
      </c>
      <c r="H396" s="929">
        <v>809831.8260940715</v>
      </c>
      <c r="I396" s="929">
        <v>809831.8260940715</v>
      </c>
      <c r="J396" s="929">
        <v>809831.8260940715</v>
      </c>
      <c r="K396" s="929">
        <v>809831.8260940715</v>
      </c>
      <c r="L396" s="929">
        <v>809831.8260940715</v>
      </c>
      <c r="M396" s="929">
        <v>809831.8260940715</v>
      </c>
      <c r="N396" s="12"/>
    </row>
    <row r="397" spans="1:23" s="537" customFormat="1" ht="15" customHeight="1">
      <c r="A397" s="663"/>
      <c r="B397" s="667"/>
      <c r="C397" s="595"/>
      <c r="D397" s="12"/>
      <c r="E397" s="349"/>
      <c r="F397" s="735"/>
      <c r="G397" s="734"/>
      <c r="H397" s="769"/>
      <c r="I397" s="769"/>
      <c r="J397" s="770"/>
      <c r="K397" s="752"/>
      <c r="L397" s="752"/>
      <c r="M397" s="752"/>
      <c r="N397" s="12"/>
    </row>
    <row r="398" spans="1:23" s="537" customFormat="1" ht="15" customHeight="1">
      <c r="A398" s="663"/>
      <c r="B398" s="667"/>
      <c r="C398" s="595"/>
      <c r="D398" s="12"/>
      <c r="E398" s="24" t="s">
        <v>899</v>
      </c>
      <c r="F398" s="727"/>
      <c r="G398" s="727"/>
      <c r="H398" s="727"/>
      <c r="I398" s="727"/>
      <c r="J398" s="727"/>
      <c r="K398" s="727"/>
      <c r="L398" s="727"/>
      <c r="M398" s="771" t="s">
        <v>2255</v>
      </c>
      <c r="N398" s="12"/>
    </row>
    <row r="399" spans="1:23" s="537" customFormat="1" ht="15" customHeight="1">
      <c r="A399" s="663"/>
      <c r="B399" s="667"/>
      <c r="C399" s="595"/>
      <c r="D399" s="12"/>
      <c r="E399" s="344" t="s">
        <v>859</v>
      </c>
      <c r="F399" s="764">
        <v>2018</v>
      </c>
      <c r="G399" s="764">
        <v>2020</v>
      </c>
      <c r="H399" s="764">
        <v>2025</v>
      </c>
      <c r="I399" s="764">
        <v>2030</v>
      </c>
      <c r="J399" s="764">
        <v>2035</v>
      </c>
      <c r="K399" s="764">
        <v>2040</v>
      </c>
      <c r="L399" s="764">
        <v>2045</v>
      </c>
      <c r="M399" s="764">
        <v>2050</v>
      </c>
      <c r="N399" s="12"/>
    </row>
    <row r="400" spans="1:23" s="537" customFormat="1" ht="15" customHeight="1">
      <c r="A400" s="663"/>
      <c r="B400" s="667"/>
      <c r="C400" s="595"/>
      <c r="D400" s="12"/>
      <c r="E400" s="337" t="s">
        <v>889</v>
      </c>
      <c r="F400" s="927">
        <v>54769.255950296167</v>
      </c>
      <c r="G400" s="927">
        <v>54769.255950296167</v>
      </c>
      <c r="H400" s="927">
        <v>54769.255950296167</v>
      </c>
      <c r="I400" s="927">
        <v>54769.255950296167</v>
      </c>
      <c r="J400" s="927">
        <v>54769.255950296167</v>
      </c>
      <c r="K400" s="927">
        <v>54769.255950296167</v>
      </c>
      <c r="L400" s="927">
        <v>54769.255950296167</v>
      </c>
      <c r="M400" s="927">
        <v>54769.255950296167</v>
      </c>
      <c r="N400" s="12"/>
    </row>
    <row r="401" spans="1:14" s="537" customFormat="1" ht="15" customHeight="1">
      <c r="A401" s="663"/>
      <c r="B401" s="667"/>
      <c r="C401" s="595"/>
      <c r="D401" s="12"/>
      <c r="E401" s="32" t="s">
        <v>2258</v>
      </c>
      <c r="F401" s="929">
        <v>62212.246242988265</v>
      </c>
      <c r="G401" s="929">
        <v>62212.246242988265</v>
      </c>
      <c r="H401" s="929">
        <v>62212.246242988265</v>
      </c>
      <c r="I401" s="929">
        <v>62212.246242988265</v>
      </c>
      <c r="J401" s="929">
        <v>62212.246242988265</v>
      </c>
      <c r="K401" s="929">
        <v>62212.246242988265</v>
      </c>
      <c r="L401" s="929">
        <v>62212.246242988265</v>
      </c>
      <c r="M401" s="929">
        <v>62212.246242988265</v>
      </c>
      <c r="N401" s="12"/>
    </row>
    <row r="402" spans="1:14" s="537" customFormat="1" ht="15" customHeight="1">
      <c r="A402" s="663"/>
      <c r="B402" s="667"/>
      <c r="C402" s="595"/>
      <c r="D402" s="12"/>
      <c r="E402" s="349"/>
      <c r="F402" s="735"/>
      <c r="G402" s="734"/>
      <c r="H402" s="769"/>
      <c r="I402" s="769"/>
      <c r="J402" s="770"/>
      <c r="K402" s="752"/>
      <c r="L402" s="752"/>
      <c r="M402" s="752"/>
      <c r="N402" s="12"/>
    </row>
    <row r="403" spans="1:14" s="537" customFormat="1" ht="15" customHeight="1">
      <c r="A403" s="663"/>
      <c r="B403" s="667"/>
      <c r="C403" s="595"/>
      <c r="D403" s="12"/>
      <c r="E403" s="24" t="s">
        <v>2253</v>
      </c>
      <c r="F403" s="727"/>
      <c r="G403" s="727"/>
      <c r="H403" s="727"/>
      <c r="I403" s="727"/>
      <c r="J403" s="727"/>
      <c r="K403" s="727"/>
      <c r="L403" s="727"/>
      <c r="M403" s="771" t="s">
        <v>2255</v>
      </c>
      <c r="N403" s="276"/>
    </row>
    <row r="404" spans="1:14" s="537" customFormat="1" ht="15" customHeight="1">
      <c r="A404" s="663"/>
      <c r="B404" s="667"/>
      <c r="C404" s="595"/>
      <c r="D404" s="12"/>
      <c r="E404" s="344" t="s">
        <v>859</v>
      </c>
      <c r="F404" s="764">
        <v>2018</v>
      </c>
      <c r="G404" s="764">
        <v>2020</v>
      </c>
      <c r="H404" s="764">
        <v>2025</v>
      </c>
      <c r="I404" s="764">
        <v>2030</v>
      </c>
      <c r="J404" s="764">
        <v>2035</v>
      </c>
      <c r="K404" s="764">
        <v>2040</v>
      </c>
      <c r="L404" s="764">
        <v>2045</v>
      </c>
      <c r="M404" s="764">
        <v>2050</v>
      </c>
      <c r="N404" s="351"/>
    </row>
    <row r="405" spans="1:14" s="537" customFormat="1" ht="15" customHeight="1">
      <c r="A405" s="663"/>
      <c r="B405" s="667"/>
      <c r="C405" s="595"/>
      <c r="D405" s="12"/>
      <c r="E405" s="337" t="s">
        <v>889</v>
      </c>
      <c r="F405" s="927">
        <v>54769.255950296167</v>
      </c>
      <c r="G405" s="927">
        <v>54769.255950296167</v>
      </c>
      <c r="H405" s="927">
        <v>54769.255950296167</v>
      </c>
      <c r="I405" s="927">
        <v>54769.255950296167</v>
      </c>
      <c r="J405" s="927">
        <v>54769.255950296167</v>
      </c>
      <c r="K405" s="927">
        <v>54769.255950296167</v>
      </c>
      <c r="L405" s="927">
        <v>54769.255950296167</v>
      </c>
      <c r="M405" s="927">
        <v>54769.255950296167</v>
      </c>
      <c r="N405" s="352"/>
    </row>
    <row r="406" spans="1:14" s="537" customFormat="1" ht="15" customHeight="1">
      <c r="A406" s="663"/>
      <c r="B406" s="667"/>
      <c r="C406" s="595"/>
      <c r="D406" s="12"/>
      <c r="E406" s="32" t="s">
        <v>2257</v>
      </c>
      <c r="F406" s="929">
        <v>62212.246242988265</v>
      </c>
      <c r="G406" s="929">
        <v>62212.246242988265</v>
      </c>
      <c r="H406" s="929">
        <v>62212.246242988265</v>
      </c>
      <c r="I406" s="929">
        <v>62212.246242988265</v>
      </c>
      <c r="J406" s="929">
        <v>62212.246242988265</v>
      </c>
      <c r="K406" s="929">
        <v>62212.246242988265</v>
      </c>
      <c r="L406" s="929">
        <v>62212.246242988265</v>
      </c>
      <c r="M406" s="929">
        <v>62212.246242988265</v>
      </c>
      <c r="N406" s="352"/>
    </row>
    <row r="407" spans="1:14" s="537" customFormat="1" ht="15" customHeight="1">
      <c r="A407" s="663"/>
      <c r="B407" s="667"/>
      <c r="C407" s="595"/>
      <c r="D407" s="12"/>
      <c r="E407" s="353"/>
      <c r="F407" s="773"/>
      <c r="G407" s="774"/>
      <c r="H407" s="775"/>
      <c r="I407" s="775"/>
      <c r="J407" s="775"/>
      <c r="K407" s="775"/>
      <c r="L407" s="775"/>
      <c r="M407" s="775"/>
      <c r="N407" s="352"/>
    </row>
    <row r="408" spans="1:14" s="537" customFormat="1" ht="15" customHeight="1">
      <c r="A408" s="663"/>
      <c r="B408" s="667"/>
      <c r="C408" s="595"/>
      <c r="D408" s="12"/>
      <c r="E408" s="14" t="s">
        <v>1310</v>
      </c>
      <c r="F408" s="736"/>
      <c r="G408" s="736"/>
      <c r="H408" s="736"/>
      <c r="I408" s="736"/>
      <c r="J408" s="736"/>
      <c r="K408" s="736"/>
      <c r="L408" s="736"/>
      <c r="M408" s="736"/>
      <c r="N408" s="352"/>
    </row>
    <row r="409" spans="1:14" s="537" customFormat="1" ht="15" customHeight="1">
      <c r="A409" s="663"/>
      <c r="B409" s="667"/>
      <c r="C409" s="595"/>
      <c r="D409" s="12"/>
      <c r="E409" s="353"/>
      <c r="F409" s="773"/>
      <c r="G409" s="774"/>
      <c r="H409" s="775"/>
      <c r="I409" s="775"/>
      <c r="J409" s="775"/>
      <c r="K409" s="775"/>
      <c r="L409" s="775"/>
      <c r="M409" s="775"/>
      <c r="N409" s="352"/>
    </row>
    <row r="410" spans="1:14" s="537" customFormat="1" ht="15" customHeight="1">
      <c r="A410" s="663"/>
      <c r="B410" s="667"/>
      <c r="C410" s="595"/>
      <c r="D410" s="12"/>
      <c r="E410" s="24" t="s">
        <v>2249</v>
      </c>
      <c r="F410" s="727"/>
      <c r="G410" s="727"/>
      <c r="H410" s="727"/>
      <c r="I410" s="727"/>
      <c r="J410" s="727"/>
      <c r="K410" s="727"/>
      <c r="L410" s="727"/>
      <c r="M410" s="771" t="s">
        <v>2255</v>
      </c>
      <c r="N410" s="352"/>
    </row>
    <row r="411" spans="1:14" s="537" customFormat="1" ht="15" customHeight="1">
      <c r="A411" s="663"/>
      <c r="B411" s="667"/>
      <c r="C411" s="595"/>
      <c r="D411" s="12"/>
      <c r="E411" s="344" t="s">
        <v>859</v>
      </c>
      <c r="F411" s="764">
        <v>2018</v>
      </c>
      <c r="G411" s="764">
        <v>2020</v>
      </c>
      <c r="H411" s="764">
        <v>2025</v>
      </c>
      <c r="I411" s="764">
        <v>2030</v>
      </c>
      <c r="J411" s="764">
        <v>2035</v>
      </c>
      <c r="K411" s="764">
        <v>2040</v>
      </c>
      <c r="L411" s="764">
        <v>2045</v>
      </c>
      <c r="M411" s="764">
        <v>2050</v>
      </c>
      <c r="N411" s="352"/>
    </row>
    <row r="412" spans="1:14" s="537" customFormat="1" ht="15" customHeight="1">
      <c r="A412" s="663"/>
      <c r="B412" s="667"/>
      <c r="C412" s="595"/>
      <c r="D412" s="12"/>
      <c r="E412" s="32" t="s">
        <v>2250</v>
      </c>
      <c r="F412" s="3008">
        <v>934129.03539050801</v>
      </c>
      <c r="G412" s="3008">
        <v>934129.03539050766</v>
      </c>
      <c r="H412" s="3008">
        <v>934129.03539050766</v>
      </c>
      <c r="I412" s="3008">
        <v>934129.03539050766</v>
      </c>
      <c r="J412" s="3008">
        <v>934129.03539050766</v>
      </c>
      <c r="K412" s="3008">
        <v>934129.03539050766</v>
      </c>
      <c r="L412" s="3008">
        <v>934129.03539050766</v>
      </c>
      <c r="M412" s="3008">
        <v>934129.03539050766</v>
      </c>
      <c r="N412" s="352"/>
    </row>
    <row r="413" spans="1:14" s="537" customFormat="1" ht="15" customHeight="1">
      <c r="A413" s="663"/>
      <c r="B413" s="667"/>
      <c r="C413" s="595"/>
      <c r="D413" s="12"/>
      <c r="E413" s="349"/>
      <c r="F413" s="735"/>
      <c r="G413" s="734"/>
      <c r="H413" s="769"/>
      <c r="I413" s="769"/>
      <c r="J413" s="770"/>
      <c r="K413" s="752"/>
      <c r="L413" s="752"/>
      <c r="M413" s="752"/>
      <c r="N413" s="352"/>
    </row>
    <row r="414" spans="1:14" s="537" customFormat="1" ht="15" customHeight="1">
      <c r="A414" s="663"/>
      <c r="B414" s="667"/>
      <c r="C414" s="595"/>
      <c r="D414" s="12"/>
      <c r="E414" s="24" t="s">
        <v>2252</v>
      </c>
      <c r="F414" s="727"/>
      <c r="G414" s="727"/>
      <c r="H414" s="727"/>
      <c r="I414" s="727"/>
      <c r="J414" s="727"/>
      <c r="K414" s="727"/>
      <c r="L414" s="727"/>
      <c r="M414" s="771" t="s">
        <v>2255</v>
      </c>
      <c r="N414" s="352"/>
    </row>
    <row r="415" spans="1:14" s="537" customFormat="1" ht="15" customHeight="1">
      <c r="A415" s="663"/>
      <c r="B415" s="667"/>
      <c r="C415" s="595"/>
      <c r="D415" s="12"/>
      <c r="E415" s="344" t="s">
        <v>859</v>
      </c>
      <c r="F415" s="764">
        <v>2018</v>
      </c>
      <c r="G415" s="764">
        <v>2020</v>
      </c>
      <c r="H415" s="764">
        <v>2025</v>
      </c>
      <c r="I415" s="764">
        <v>2030</v>
      </c>
      <c r="J415" s="764">
        <v>2035</v>
      </c>
      <c r="K415" s="764">
        <v>2040</v>
      </c>
      <c r="L415" s="764">
        <v>2045</v>
      </c>
      <c r="M415" s="764">
        <v>2050</v>
      </c>
      <c r="N415" s="352"/>
    </row>
    <row r="416" spans="1:14" s="537" customFormat="1" ht="15" customHeight="1">
      <c r="A416" s="663"/>
      <c r="B416" s="667"/>
      <c r="C416" s="595"/>
      <c r="D416" s="12"/>
      <c r="E416" s="32" t="s">
        <v>2250</v>
      </c>
      <c r="F416" s="3008">
        <v>934129.03539050766</v>
      </c>
      <c r="G416" s="3008">
        <v>934129.03539050766</v>
      </c>
      <c r="H416" s="3008">
        <v>934129.03539050766</v>
      </c>
      <c r="I416" s="3008">
        <v>934129.03539050766</v>
      </c>
      <c r="J416" s="3008">
        <v>934129.03539050766</v>
      </c>
      <c r="K416" s="3008">
        <v>934129.03539050766</v>
      </c>
      <c r="L416" s="3008">
        <v>934129.03539050766</v>
      </c>
      <c r="M416" s="3008">
        <v>934129.03539050766</v>
      </c>
      <c r="N416" s="352"/>
    </row>
    <row r="417" spans="1:15" s="537" customFormat="1" ht="15" customHeight="1">
      <c r="A417" s="663"/>
      <c r="B417" s="667"/>
      <c r="C417" s="595"/>
      <c r="D417" s="12"/>
      <c r="E417" s="349"/>
      <c r="F417" s="735"/>
      <c r="G417" s="734"/>
      <c r="H417" s="769"/>
      <c r="I417" s="769"/>
      <c r="J417" s="770"/>
      <c r="K417" s="752"/>
      <c r="L417" s="752"/>
      <c r="M417" s="752"/>
      <c r="N417" s="352"/>
    </row>
    <row r="418" spans="1:15" s="537" customFormat="1" ht="15" customHeight="1">
      <c r="A418" s="663"/>
      <c r="B418" s="667"/>
      <c r="C418" s="595"/>
      <c r="D418" s="12"/>
      <c r="E418" s="24" t="s">
        <v>896</v>
      </c>
      <c r="F418" s="727"/>
      <c r="G418" s="727"/>
      <c r="H418" s="727"/>
      <c r="I418" s="727"/>
      <c r="J418" s="727"/>
      <c r="K418" s="727"/>
      <c r="L418" s="727"/>
      <c r="M418" s="771" t="s">
        <v>2255</v>
      </c>
      <c r="N418" s="352"/>
    </row>
    <row r="419" spans="1:15" s="537" customFormat="1" ht="15" customHeight="1">
      <c r="A419" s="663"/>
      <c r="B419" s="667"/>
      <c r="C419" s="595"/>
      <c r="D419" s="12"/>
      <c r="E419" s="344" t="s">
        <v>859</v>
      </c>
      <c r="F419" s="764">
        <v>2018</v>
      </c>
      <c r="G419" s="764">
        <v>2020</v>
      </c>
      <c r="H419" s="764">
        <v>2025</v>
      </c>
      <c r="I419" s="764">
        <v>2030</v>
      </c>
      <c r="J419" s="764">
        <v>2035</v>
      </c>
      <c r="K419" s="764">
        <v>2040</v>
      </c>
      <c r="L419" s="764">
        <v>2045</v>
      </c>
      <c r="M419" s="764">
        <v>2050</v>
      </c>
      <c r="N419" s="352"/>
      <c r="O419" s="915"/>
    </row>
    <row r="420" spans="1:15" s="537" customFormat="1" ht="15" customHeight="1">
      <c r="A420" s="663"/>
      <c r="B420" s="667"/>
      <c r="C420" s="595"/>
      <c r="D420" s="12"/>
      <c r="E420" s="347" t="s">
        <v>897</v>
      </c>
      <c r="F420" s="3009">
        <v>1281457.2972370263</v>
      </c>
      <c r="G420" s="3009">
        <v>1281457.2972370263</v>
      </c>
      <c r="H420" s="3009">
        <v>1281457.2972370263</v>
      </c>
      <c r="I420" s="3009">
        <v>1281457.2972370263</v>
      </c>
      <c r="J420" s="3009">
        <v>1281457.2972370263</v>
      </c>
      <c r="K420" s="3009">
        <v>1281457.2972370263</v>
      </c>
      <c r="L420" s="3009">
        <v>1281457.2972370263</v>
      </c>
      <c r="M420" s="3009">
        <v>1281457.2972370263</v>
      </c>
      <c r="N420" s="352"/>
    </row>
    <row r="421" spans="1:15" s="537" customFormat="1" ht="15" customHeight="1">
      <c r="A421" s="663"/>
      <c r="B421" s="667"/>
      <c r="C421" s="595"/>
      <c r="D421" s="12"/>
      <c r="E421" s="348" t="s">
        <v>898</v>
      </c>
      <c r="F421" s="3010">
        <v>1066086.3229114753</v>
      </c>
      <c r="G421" s="3010">
        <v>1066086.3229114753</v>
      </c>
      <c r="H421" s="3010">
        <v>1066086.3229114753</v>
      </c>
      <c r="I421" s="3010">
        <v>1066086.3229114753</v>
      </c>
      <c r="J421" s="3010">
        <v>1066086.3229114753</v>
      </c>
      <c r="K421" s="3010">
        <v>1066086.3229114753</v>
      </c>
      <c r="L421" s="3010">
        <v>1066086.3229114753</v>
      </c>
      <c r="M421" s="3010">
        <v>1066086.3229114753</v>
      </c>
      <c r="N421" s="352"/>
    </row>
    <row r="422" spans="1:15" s="537" customFormat="1" ht="15" customHeight="1">
      <c r="A422" s="663"/>
      <c r="B422" s="667"/>
      <c r="C422" s="595"/>
      <c r="D422" s="12"/>
      <c r="E422" s="284"/>
      <c r="F422" s="776"/>
      <c r="G422" s="776"/>
      <c r="H422" s="776"/>
      <c r="I422" s="776"/>
      <c r="J422" s="776"/>
      <c r="K422" s="776"/>
      <c r="L422" s="776"/>
      <c r="M422" s="776"/>
      <c r="N422" s="352"/>
    </row>
    <row r="423" spans="1:15" s="537" customFormat="1" ht="15" customHeight="1">
      <c r="A423" s="663"/>
      <c r="B423" s="667"/>
      <c r="C423" s="595"/>
      <c r="D423" s="12"/>
      <c r="E423" s="24" t="s">
        <v>899</v>
      </c>
      <c r="F423" s="727"/>
      <c r="G423" s="727"/>
      <c r="H423" s="727"/>
      <c r="I423" s="727"/>
      <c r="J423" s="727"/>
      <c r="K423" s="727"/>
      <c r="L423" s="727"/>
      <c r="M423" s="771" t="s">
        <v>2255</v>
      </c>
      <c r="N423" s="352"/>
    </row>
    <row r="424" spans="1:15" s="537" customFormat="1" ht="15" customHeight="1">
      <c r="A424" s="663"/>
      <c r="B424" s="667"/>
      <c r="C424" s="595"/>
      <c r="D424" s="12"/>
      <c r="E424" s="344" t="s">
        <v>859</v>
      </c>
      <c r="F424" s="764">
        <v>2018</v>
      </c>
      <c r="G424" s="764">
        <v>2020</v>
      </c>
      <c r="H424" s="764">
        <v>2025</v>
      </c>
      <c r="I424" s="764">
        <v>2030</v>
      </c>
      <c r="J424" s="764">
        <v>2035</v>
      </c>
      <c r="K424" s="764">
        <v>2040</v>
      </c>
      <c r="L424" s="764">
        <v>2045</v>
      </c>
      <c r="M424" s="764">
        <v>2050</v>
      </c>
      <c r="N424" s="352"/>
    </row>
    <row r="425" spans="1:15" s="537" customFormat="1" ht="15" customHeight="1">
      <c r="A425" s="663"/>
      <c r="B425" s="667"/>
      <c r="C425" s="595"/>
      <c r="D425" s="12"/>
      <c r="E425" s="32" t="s">
        <v>2250</v>
      </c>
      <c r="F425" s="3008">
        <v>279442.57791653549</v>
      </c>
      <c r="G425" s="3008">
        <v>279442.57791653549</v>
      </c>
      <c r="H425" s="3008">
        <v>279442.57791653549</v>
      </c>
      <c r="I425" s="3008">
        <v>279442.57791653549</v>
      </c>
      <c r="J425" s="3008">
        <v>279442.57791653549</v>
      </c>
      <c r="K425" s="3008">
        <v>279442.57791653549</v>
      </c>
      <c r="L425" s="3008">
        <v>279442.57791653549</v>
      </c>
      <c r="M425" s="3008">
        <v>279442.57791653549</v>
      </c>
      <c r="N425" s="352"/>
    </row>
    <row r="426" spans="1:15" s="537" customFormat="1" ht="15" customHeight="1">
      <c r="A426" s="663"/>
      <c r="B426" s="667"/>
      <c r="C426" s="595"/>
      <c r="D426" s="12"/>
      <c r="E426" s="349"/>
      <c r="F426" s="735"/>
      <c r="G426" s="734"/>
      <c r="H426" s="769"/>
      <c r="I426" s="769"/>
      <c r="J426" s="770"/>
      <c r="K426" s="752"/>
      <c r="L426" s="752"/>
      <c r="M426" s="752"/>
      <c r="N426" s="12"/>
    </row>
    <row r="427" spans="1:15" s="537" customFormat="1" ht="15" customHeight="1">
      <c r="A427" s="663"/>
      <c r="B427" s="667"/>
      <c r="C427" s="595"/>
      <c r="D427" s="354"/>
      <c r="E427" s="24" t="s">
        <v>2253</v>
      </c>
      <c r="F427" s="727"/>
      <c r="G427" s="727"/>
      <c r="H427" s="727"/>
      <c r="I427" s="727"/>
      <c r="J427" s="727"/>
      <c r="K427" s="727"/>
      <c r="L427" s="727"/>
      <c r="M427" s="771" t="s">
        <v>2255</v>
      </c>
      <c r="N427" s="355"/>
    </row>
    <row r="428" spans="1:15" s="537" customFormat="1" ht="15" customHeight="1">
      <c r="A428" s="663"/>
      <c r="B428" s="667"/>
      <c r="C428" s="595"/>
      <c r="D428" s="281"/>
      <c r="E428" s="344" t="s">
        <v>859</v>
      </c>
      <c r="F428" s="764">
        <v>2018</v>
      </c>
      <c r="G428" s="764">
        <v>2020</v>
      </c>
      <c r="H428" s="764">
        <v>2025</v>
      </c>
      <c r="I428" s="764">
        <v>2030</v>
      </c>
      <c r="J428" s="764">
        <v>2035</v>
      </c>
      <c r="K428" s="764">
        <v>2040</v>
      </c>
      <c r="L428" s="764">
        <v>2045</v>
      </c>
      <c r="M428" s="764">
        <v>2050</v>
      </c>
      <c r="N428" s="356"/>
    </row>
    <row r="429" spans="1:15" s="537" customFormat="1" ht="15" customHeight="1">
      <c r="A429" s="663"/>
      <c r="B429" s="667"/>
      <c r="C429" s="595"/>
      <c r="D429" s="281"/>
      <c r="E429" s="32" t="s">
        <v>2250</v>
      </c>
      <c r="F429" s="3008">
        <v>137996.33477359783</v>
      </c>
      <c r="G429" s="3008">
        <v>137996.33477359783</v>
      </c>
      <c r="H429" s="3008">
        <v>137996.33477359783</v>
      </c>
      <c r="I429" s="3008">
        <v>137996.33477359783</v>
      </c>
      <c r="J429" s="3008">
        <v>137996.33477359783</v>
      </c>
      <c r="K429" s="3008">
        <v>137996.33477359783</v>
      </c>
      <c r="L429" s="3008">
        <v>137996.33477359783</v>
      </c>
      <c r="M429" s="3008">
        <v>137996.33477359783</v>
      </c>
      <c r="N429" s="356"/>
    </row>
    <row r="430" spans="1:15" s="537" customFormat="1" ht="15" customHeight="1">
      <c r="A430" s="663"/>
      <c r="B430" s="667"/>
      <c r="C430" s="595"/>
      <c r="D430" s="281"/>
      <c r="E430" s="286"/>
      <c r="F430" s="777"/>
      <c r="G430" s="778"/>
      <c r="H430" s="778"/>
      <c r="I430" s="778"/>
      <c r="J430" s="778"/>
      <c r="K430" s="778"/>
      <c r="L430" s="778"/>
      <c r="M430" s="778"/>
      <c r="N430" s="357"/>
    </row>
    <row r="431" spans="1:15" s="537" customFormat="1" ht="15" customHeight="1">
      <c r="A431" s="663"/>
      <c r="B431" s="667"/>
      <c r="C431" s="595"/>
      <c r="D431" s="281"/>
      <c r="E431" s="358" t="s">
        <v>2244</v>
      </c>
      <c r="F431" s="727"/>
      <c r="G431" s="727"/>
      <c r="H431" s="727"/>
      <c r="I431" s="727"/>
      <c r="J431" s="727"/>
      <c r="K431" s="727"/>
      <c r="L431" s="727"/>
      <c r="M431" s="771" t="s">
        <v>2255</v>
      </c>
      <c r="N431" s="285"/>
    </row>
    <row r="432" spans="1:15" s="537" customFormat="1" ht="15" customHeight="1">
      <c r="A432" s="663"/>
      <c r="B432" s="667"/>
      <c r="C432" s="595"/>
      <c r="D432" s="281"/>
      <c r="E432" s="344" t="s">
        <v>859</v>
      </c>
      <c r="F432" s="764">
        <v>2018</v>
      </c>
      <c r="G432" s="764">
        <v>2020</v>
      </c>
      <c r="H432" s="764">
        <v>2025</v>
      </c>
      <c r="I432" s="764">
        <v>2030</v>
      </c>
      <c r="J432" s="764">
        <v>2035</v>
      </c>
      <c r="K432" s="764">
        <v>2040</v>
      </c>
      <c r="L432" s="764">
        <v>2045</v>
      </c>
      <c r="M432" s="764">
        <v>2050</v>
      </c>
      <c r="N432" s="350"/>
    </row>
    <row r="433" spans="1:24" s="537" customFormat="1" ht="15" customHeight="1">
      <c r="A433" s="663"/>
      <c r="B433" s="667"/>
      <c r="C433" s="595"/>
      <c r="D433" s="281"/>
      <c r="E433" s="348" t="s">
        <v>526</v>
      </c>
      <c r="F433" s="3008">
        <v>137996.33477359783</v>
      </c>
      <c r="G433" s="3008">
        <v>137996.33477359783</v>
      </c>
      <c r="H433" s="3008">
        <v>137996.33477359783</v>
      </c>
      <c r="I433" s="3008">
        <v>137996.33477359783</v>
      </c>
      <c r="J433" s="3008">
        <v>137996.33477359783</v>
      </c>
      <c r="K433" s="3008">
        <v>137996.33477359783</v>
      </c>
      <c r="L433" s="3008">
        <v>137996.33477359783</v>
      </c>
      <c r="M433" s="3008">
        <v>137996.33477359783</v>
      </c>
      <c r="N433" s="350"/>
    </row>
    <row r="434" spans="1:24" s="537" customFormat="1" ht="15" customHeight="1">
      <c r="A434" s="663"/>
      <c r="B434" s="667"/>
      <c r="C434" s="595"/>
      <c r="D434" s="281"/>
      <c r="E434" s="591"/>
      <c r="F434" s="775"/>
      <c r="G434" s="775"/>
      <c r="H434" s="775"/>
      <c r="I434" s="775"/>
      <c r="J434" s="775"/>
      <c r="K434" s="775"/>
      <c r="L434" s="775"/>
      <c r="M434" s="775"/>
      <c r="N434" s="350"/>
    </row>
    <row r="435" spans="1:24" s="537" customFormat="1" ht="15" customHeight="1">
      <c r="A435" s="663"/>
      <c r="B435" s="667"/>
      <c r="C435" s="595"/>
      <c r="D435" s="281"/>
      <c r="E435" s="359"/>
      <c r="F435" s="779"/>
      <c r="G435" s="780"/>
      <c r="H435" s="772"/>
      <c r="I435" s="772"/>
      <c r="J435" s="772"/>
      <c r="K435" s="772"/>
      <c r="L435" s="772"/>
      <c r="M435" s="772"/>
      <c r="N435" s="350"/>
    </row>
    <row r="436" spans="1:24" s="537" customFormat="1" ht="15" customHeight="1">
      <c r="A436" s="663"/>
      <c r="B436" s="667"/>
      <c r="C436" s="595"/>
      <c r="D436" s="281"/>
      <c r="E436" s="23" t="s">
        <v>2259</v>
      </c>
      <c r="F436" s="779"/>
      <c r="G436" s="780"/>
      <c r="H436" s="772"/>
      <c r="I436" s="772"/>
      <c r="J436" s="772"/>
      <c r="K436" s="772"/>
      <c r="L436" s="772"/>
      <c r="M436" s="772"/>
      <c r="N436" s="350"/>
    </row>
    <row r="437" spans="1:24" s="537" customFormat="1" ht="15" customHeight="1">
      <c r="A437" s="663"/>
      <c r="B437" s="667"/>
      <c r="C437" s="595"/>
      <c r="D437" s="281"/>
      <c r="E437" s="359"/>
      <c r="F437" s="779"/>
      <c r="G437" s="780"/>
      <c r="H437" s="772"/>
      <c r="I437" s="772"/>
      <c r="J437" s="772"/>
      <c r="K437" s="772"/>
      <c r="L437" s="772"/>
      <c r="M437" s="772"/>
      <c r="N437" s="350"/>
    </row>
    <row r="438" spans="1:24" s="537" customFormat="1" ht="15" customHeight="1">
      <c r="A438" s="663"/>
      <c r="B438" s="667"/>
      <c r="C438" s="595"/>
      <c r="D438" s="281"/>
      <c r="E438" s="24" t="s">
        <v>2249</v>
      </c>
      <c r="F438" s="727"/>
      <c r="G438" s="727"/>
      <c r="H438" s="727"/>
      <c r="I438" s="727"/>
      <c r="J438" s="727"/>
      <c r="K438" s="727"/>
      <c r="L438" s="727"/>
      <c r="M438" s="781" t="s">
        <v>2260</v>
      </c>
      <c r="N438" s="350"/>
    </row>
    <row r="439" spans="1:24" s="537" customFormat="1" ht="15" customHeight="1">
      <c r="A439" s="663"/>
      <c r="B439" s="667"/>
      <c r="C439" s="595"/>
      <c r="D439" s="281"/>
      <c r="E439" s="344" t="s">
        <v>859</v>
      </c>
      <c r="F439" s="764">
        <v>2018</v>
      </c>
      <c r="G439" s="764">
        <v>2020</v>
      </c>
      <c r="H439" s="764">
        <v>2025</v>
      </c>
      <c r="I439" s="764">
        <v>2030</v>
      </c>
      <c r="J439" s="764">
        <v>2035</v>
      </c>
      <c r="K439" s="764">
        <v>2040</v>
      </c>
      <c r="L439" s="764">
        <v>2045</v>
      </c>
      <c r="M439" s="764">
        <v>2050</v>
      </c>
      <c r="N439" s="361"/>
      <c r="O439" s="903"/>
    </row>
    <row r="440" spans="1:24" s="537" customFormat="1" ht="15" customHeight="1">
      <c r="A440" s="663"/>
      <c r="B440" s="667"/>
      <c r="C440" s="595"/>
      <c r="D440" s="281"/>
      <c r="E440" s="360" t="s">
        <v>2261</v>
      </c>
      <c r="F440" s="3011">
        <v>1.87E-10</v>
      </c>
      <c r="G440" s="3011">
        <v>1.87E-10</v>
      </c>
      <c r="H440" s="3011">
        <v>1.87E-10</v>
      </c>
      <c r="I440" s="3011">
        <v>1.87E-10</v>
      </c>
      <c r="J440" s="3011">
        <v>1.87E-10</v>
      </c>
      <c r="K440" s="3011">
        <v>1.87E-10</v>
      </c>
      <c r="L440" s="3011">
        <v>1.87E-10</v>
      </c>
      <c r="M440" s="3011">
        <v>1.87E-10</v>
      </c>
      <c r="N440" s="361"/>
    </row>
    <row r="441" spans="1:24" s="537" customFormat="1" ht="15" customHeight="1">
      <c r="A441" s="663"/>
      <c r="B441" s="667"/>
      <c r="C441" s="595"/>
      <c r="D441" s="281"/>
      <c r="E441" s="363" t="s">
        <v>2262</v>
      </c>
      <c r="F441" s="3012">
        <v>1.4000000000000001E-10</v>
      </c>
      <c r="G441" s="3012">
        <v>1.4000000000000001E-10</v>
      </c>
      <c r="H441" s="3012">
        <v>1.4000000000000001E-10</v>
      </c>
      <c r="I441" s="3012">
        <v>1.4000000000000001E-10</v>
      </c>
      <c r="J441" s="3012">
        <v>1.4000000000000001E-10</v>
      </c>
      <c r="K441" s="3012">
        <v>1.4000000000000001E-10</v>
      </c>
      <c r="L441" s="3012">
        <v>1.4000000000000001E-10</v>
      </c>
      <c r="M441" s="3012">
        <v>1.4000000000000001E-10</v>
      </c>
      <c r="N441" s="361"/>
    </row>
    <row r="442" spans="1:24" s="537" customFormat="1" ht="15" customHeight="1">
      <c r="A442" s="663"/>
      <c r="B442" s="667"/>
      <c r="C442" s="595"/>
      <c r="D442" s="281"/>
      <c r="E442" s="349"/>
      <c r="F442" s="735"/>
      <c r="G442" s="734"/>
      <c r="H442" s="769"/>
      <c r="I442" s="769"/>
      <c r="J442" s="770"/>
      <c r="K442" s="752"/>
      <c r="L442" s="752"/>
      <c r="M442" s="752"/>
      <c r="N442" s="361"/>
    </row>
    <row r="443" spans="1:24" s="537" customFormat="1" ht="15" customHeight="1">
      <c r="A443" s="663"/>
      <c r="B443" s="667"/>
      <c r="C443" s="595"/>
      <c r="D443" s="281"/>
      <c r="E443" s="24" t="s">
        <v>2252</v>
      </c>
      <c r="F443" s="727"/>
      <c r="G443" s="727"/>
      <c r="H443" s="727"/>
      <c r="I443" s="727"/>
      <c r="J443" s="727"/>
      <c r="K443" s="727"/>
      <c r="L443" s="727"/>
      <c r="M443" s="781" t="s">
        <v>2260</v>
      </c>
      <c r="N443" s="361"/>
    </row>
    <row r="444" spans="1:24" s="537" customFormat="1" ht="15" customHeight="1">
      <c r="A444" s="663"/>
      <c r="B444" s="667"/>
      <c r="C444" s="595"/>
      <c r="D444" s="281"/>
      <c r="E444" s="344" t="s">
        <v>859</v>
      </c>
      <c r="F444" s="764">
        <v>2018</v>
      </c>
      <c r="G444" s="764">
        <v>2020</v>
      </c>
      <c r="H444" s="764">
        <v>2025</v>
      </c>
      <c r="I444" s="764">
        <v>2030</v>
      </c>
      <c r="J444" s="764">
        <v>2035</v>
      </c>
      <c r="K444" s="764">
        <v>2040</v>
      </c>
      <c r="L444" s="764">
        <v>2045</v>
      </c>
      <c r="M444" s="764">
        <v>2050</v>
      </c>
      <c r="N444" s="361"/>
    </row>
    <row r="445" spans="1:24" s="537" customFormat="1" ht="15" customHeight="1">
      <c r="A445" s="663"/>
      <c r="B445" s="667"/>
      <c r="C445" s="595"/>
      <c r="D445" s="281"/>
      <c r="E445" s="364" t="s">
        <v>2261</v>
      </c>
      <c r="F445" s="3013">
        <v>1.87E-10</v>
      </c>
      <c r="G445" s="3013">
        <v>1.87E-10</v>
      </c>
      <c r="H445" s="3013">
        <v>1.87E-10</v>
      </c>
      <c r="I445" s="3013">
        <v>1.87E-10</v>
      </c>
      <c r="J445" s="3013">
        <v>1.87E-10</v>
      </c>
      <c r="K445" s="3013">
        <v>1.87E-10</v>
      </c>
      <c r="L445" s="3013">
        <v>1.87E-10</v>
      </c>
      <c r="M445" s="3013">
        <v>1.87E-10</v>
      </c>
      <c r="N445" s="361"/>
    </row>
    <row r="446" spans="1:24" s="537" customFormat="1" ht="15" customHeight="1">
      <c r="A446" s="663"/>
      <c r="B446" s="667"/>
      <c r="C446" s="595"/>
      <c r="D446" s="281"/>
      <c r="E446" s="363" t="s">
        <v>2262</v>
      </c>
      <c r="F446" s="3012">
        <v>1.5999999999999999E-10</v>
      </c>
      <c r="G446" s="3012">
        <v>1.5999999999999999E-10</v>
      </c>
      <c r="H446" s="3012">
        <v>1.5999999999999999E-10</v>
      </c>
      <c r="I446" s="3012">
        <v>1.5999999999999999E-10</v>
      </c>
      <c r="J446" s="3012">
        <v>1.5999999999999999E-10</v>
      </c>
      <c r="K446" s="3012">
        <v>1.5999999999999999E-10</v>
      </c>
      <c r="L446" s="3012">
        <v>1.5999999999999999E-10</v>
      </c>
      <c r="M446" s="3012">
        <v>1.5999999999999999E-10</v>
      </c>
      <c r="N446" s="361"/>
      <c r="O446" s="574"/>
      <c r="P446" s="574"/>
      <c r="Q446" s="574"/>
      <c r="R446" s="574"/>
      <c r="S446" s="574"/>
      <c r="T446" s="574"/>
      <c r="U446" s="574"/>
      <c r="V446" s="574"/>
      <c r="W446" s="574"/>
      <c r="X446" s="574"/>
    </row>
    <row r="447" spans="1:24" s="537" customFormat="1" ht="15" customHeight="1">
      <c r="A447" s="663"/>
      <c r="B447" s="667"/>
      <c r="C447" s="595"/>
      <c r="D447" s="281"/>
      <c r="E447" s="349"/>
      <c r="F447" s="735"/>
      <c r="G447" s="734"/>
      <c r="H447" s="769"/>
      <c r="I447" s="769"/>
      <c r="J447" s="770"/>
      <c r="K447" s="752"/>
      <c r="L447" s="752"/>
      <c r="M447" s="752"/>
      <c r="N447" s="361"/>
      <c r="O447" s="575"/>
      <c r="P447" s="574"/>
      <c r="Q447" s="574"/>
      <c r="R447" s="574"/>
      <c r="S447" s="574"/>
      <c r="T447" s="574"/>
      <c r="U447" s="574"/>
      <c r="V447" s="574"/>
      <c r="W447" s="574"/>
      <c r="X447" s="574"/>
    </row>
    <row r="448" spans="1:24" s="537" customFormat="1" ht="15" customHeight="1">
      <c r="A448" s="663"/>
      <c r="B448" s="667"/>
      <c r="C448" s="595"/>
      <c r="D448" s="281"/>
      <c r="E448" s="24" t="s">
        <v>896</v>
      </c>
      <c r="F448" s="727"/>
      <c r="G448" s="727"/>
      <c r="H448" s="727"/>
      <c r="I448" s="727"/>
      <c r="J448" s="727"/>
      <c r="K448" s="727"/>
      <c r="L448" s="727"/>
      <c r="M448" s="781" t="s">
        <v>2260</v>
      </c>
      <c r="N448" s="361"/>
      <c r="P448" s="572"/>
      <c r="S448" s="573"/>
      <c r="T448" s="573"/>
      <c r="U448" s="573"/>
      <c r="V448" s="573"/>
      <c r="W448" s="573"/>
    </row>
    <row r="449" spans="1:23" s="537" customFormat="1" ht="15" customHeight="1">
      <c r="A449" s="663"/>
      <c r="B449" s="667"/>
      <c r="C449" s="595"/>
      <c r="D449" s="281"/>
      <c r="E449" s="344" t="s">
        <v>859</v>
      </c>
      <c r="F449" s="764">
        <v>2018</v>
      </c>
      <c r="G449" s="764">
        <v>2020</v>
      </c>
      <c r="H449" s="764">
        <v>2025</v>
      </c>
      <c r="I449" s="764">
        <v>2030</v>
      </c>
      <c r="J449" s="764">
        <v>2035</v>
      </c>
      <c r="K449" s="764">
        <v>2040</v>
      </c>
      <c r="L449" s="764">
        <v>2045</v>
      </c>
      <c r="M449" s="764">
        <v>2050</v>
      </c>
      <c r="N449" s="361"/>
      <c r="P449" s="572"/>
      <c r="S449" s="573"/>
      <c r="T449" s="573"/>
      <c r="U449" s="573"/>
      <c r="V449" s="573"/>
      <c r="W449" s="573"/>
    </row>
    <row r="450" spans="1:23" s="537" customFormat="1" ht="15" customHeight="1">
      <c r="A450" s="663"/>
      <c r="B450" s="667"/>
      <c r="C450" s="595"/>
      <c r="D450" s="281"/>
      <c r="E450" s="365" t="s">
        <v>2262</v>
      </c>
      <c r="F450" s="3014">
        <v>1.6E-11</v>
      </c>
      <c r="G450" s="3014">
        <v>1.6E-11</v>
      </c>
      <c r="H450" s="3014">
        <v>1.6E-11</v>
      </c>
      <c r="I450" s="3014">
        <v>1.6E-11</v>
      </c>
      <c r="J450" s="3014">
        <v>1.6E-11</v>
      </c>
      <c r="K450" s="3014">
        <v>1.6E-11</v>
      </c>
      <c r="L450" s="3014">
        <v>1.6E-11</v>
      </c>
      <c r="M450" s="3014">
        <v>1.6E-11</v>
      </c>
      <c r="N450" s="361"/>
      <c r="P450" s="572"/>
      <c r="S450" s="573"/>
      <c r="T450" s="573"/>
      <c r="U450" s="573"/>
      <c r="V450" s="573"/>
      <c r="W450" s="573"/>
    </row>
    <row r="451" spans="1:23" s="537" customFormat="1" ht="15" customHeight="1">
      <c r="A451" s="663"/>
      <c r="B451" s="667"/>
      <c r="C451" s="595"/>
      <c r="D451" s="281"/>
      <c r="E451" s="349"/>
      <c r="F451" s="735"/>
      <c r="G451" s="734"/>
      <c r="H451" s="769"/>
      <c r="I451" s="769"/>
      <c r="J451" s="770"/>
      <c r="K451" s="752"/>
      <c r="L451" s="752"/>
      <c r="M451" s="752"/>
      <c r="N451" s="361"/>
    </row>
    <row r="452" spans="1:23" s="537" customFormat="1" ht="15" customHeight="1">
      <c r="A452" s="663"/>
      <c r="B452" s="667"/>
      <c r="C452" s="595"/>
      <c r="D452" s="281"/>
      <c r="E452" s="24" t="s">
        <v>899</v>
      </c>
      <c r="F452" s="727"/>
      <c r="G452" s="727"/>
      <c r="H452" s="727"/>
      <c r="I452" s="727"/>
      <c r="J452" s="727"/>
      <c r="K452" s="727"/>
      <c r="L452" s="727"/>
      <c r="M452" s="781" t="s">
        <v>2260</v>
      </c>
      <c r="N452" s="361"/>
    </row>
    <row r="453" spans="1:23" s="537" customFormat="1" ht="15" customHeight="1">
      <c r="A453" s="663"/>
      <c r="B453" s="667"/>
      <c r="C453" s="595"/>
      <c r="D453" s="281"/>
      <c r="E453" s="344" t="s">
        <v>859</v>
      </c>
      <c r="F453" s="764">
        <v>2018</v>
      </c>
      <c r="G453" s="764">
        <v>2020</v>
      </c>
      <c r="H453" s="764">
        <v>2025</v>
      </c>
      <c r="I453" s="764">
        <v>2030</v>
      </c>
      <c r="J453" s="764">
        <v>2035</v>
      </c>
      <c r="K453" s="764">
        <v>2040</v>
      </c>
      <c r="L453" s="764">
        <v>2045</v>
      </c>
      <c r="M453" s="764">
        <v>2050</v>
      </c>
      <c r="N453" s="361"/>
    </row>
    <row r="454" spans="1:23" s="537" customFormat="1" ht="15" customHeight="1">
      <c r="A454" s="663"/>
      <c r="B454" s="667"/>
      <c r="C454" s="595"/>
      <c r="D454" s="281"/>
      <c r="E454" s="364" t="s">
        <v>2261</v>
      </c>
      <c r="F454" s="3013">
        <v>9.9999999999999998E-13</v>
      </c>
      <c r="G454" s="3013">
        <v>9.9999999999999998E-13</v>
      </c>
      <c r="H454" s="3013">
        <v>9.9999999999999998E-13</v>
      </c>
      <c r="I454" s="3013">
        <v>9.9999999999999998E-13</v>
      </c>
      <c r="J454" s="3013">
        <v>9.9999999999999998E-13</v>
      </c>
      <c r="K454" s="3013">
        <v>9.9999999999999998E-13</v>
      </c>
      <c r="L454" s="3013">
        <v>9.9999999999999998E-13</v>
      </c>
      <c r="M454" s="3013">
        <v>9.9999999999999998E-13</v>
      </c>
      <c r="N454" s="361"/>
    </row>
    <row r="455" spans="1:23" s="537" customFormat="1" ht="15" customHeight="1">
      <c r="A455" s="663"/>
      <c r="B455" s="667"/>
      <c r="C455" s="595"/>
      <c r="D455" s="281"/>
      <c r="E455" s="363" t="s">
        <v>2262</v>
      </c>
      <c r="F455" s="3012">
        <v>1.3999999999999999E-9</v>
      </c>
      <c r="G455" s="3012">
        <v>1.3999999999999999E-9</v>
      </c>
      <c r="H455" s="3012">
        <v>1.3999999999999999E-9</v>
      </c>
      <c r="I455" s="3012">
        <v>1.3999999999999999E-9</v>
      </c>
      <c r="J455" s="3012">
        <v>1.3999999999999999E-9</v>
      </c>
      <c r="K455" s="3012">
        <v>1.3999999999999999E-9</v>
      </c>
      <c r="L455" s="3012">
        <v>1.3999999999999999E-9</v>
      </c>
      <c r="M455" s="3012">
        <v>1.3999999999999999E-9</v>
      </c>
      <c r="N455" s="361"/>
    </row>
    <row r="456" spans="1:23" s="537" customFormat="1" ht="15" customHeight="1">
      <c r="A456" s="663"/>
      <c r="B456" s="667"/>
      <c r="C456" s="595"/>
      <c r="D456" s="354"/>
      <c r="E456" s="349"/>
      <c r="F456" s="735"/>
      <c r="G456" s="734"/>
      <c r="H456" s="769"/>
      <c r="I456" s="769"/>
      <c r="J456" s="770"/>
      <c r="K456" s="752"/>
      <c r="L456" s="752"/>
      <c r="M456" s="752"/>
      <c r="N456" s="357"/>
      <c r="P456" s="572"/>
      <c r="S456" s="573"/>
      <c r="T456" s="573"/>
      <c r="U456" s="573"/>
      <c r="V456" s="573"/>
      <c r="W456" s="573"/>
    </row>
    <row r="457" spans="1:23" s="537" customFormat="1" ht="15" customHeight="1">
      <c r="A457" s="663"/>
      <c r="B457" s="667"/>
      <c r="C457" s="595"/>
      <c r="D457" s="354"/>
      <c r="E457" s="24" t="s">
        <v>2253</v>
      </c>
      <c r="F457" s="727"/>
      <c r="G457" s="727"/>
      <c r="H457" s="727"/>
      <c r="I457" s="727"/>
      <c r="J457" s="727"/>
      <c r="K457" s="727"/>
      <c r="L457" s="727"/>
      <c r="M457" s="781" t="s">
        <v>2260</v>
      </c>
      <c r="N457" s="351"/>
    </row>
    <row r="458" spans="1:23" s="537" customFormat="1" ht="15" customHeight="1">
      <c r="A458" s="663"/>
      <c r="B458" s="667"/>
      <c r="C458" s="595"/>
      <c r="D458" s="354"/>
      <c r="E458" s="344" t="s">
        <v>859</v>
      </c>
      <c r="F458" s="764">
        <v>2018</v>
      </c>
      <c r="G458" s="764">
        <v>2020</v>
      </c>
      <c r="H458" s="764">
        <v>2025</v>
      </c>
      <c r="I458" s="764">
        <v>2030</v>
      </c>
      <c r="J458" s="764">
        <v>2035</v>
      </c>
      <c r="K458" s="764">
        <v>2040</v>
      </c>
      <c r="L458" s="764">
        <v>2045</v>
      </c>
      <c r="M458" s="764">
        <v>2050</v>
      </c>
      <c r="N458" s="352"/>
    </row>
    <row r="459" spans="1:23" s="537" customFormat="1" ht="15" customHeight="1">
      <c r="A459" s="663"/>
      <c r="B459" s="667"/>
      <c r="C459" s="595"/>
      <c r="D459" s="354"/>
      <c r="E459" s="364" t="s">
        <v>2261</v>
      </c>
      <c r="F459" s="3011">
        <v>3.65E-9</v>
      </c>
      <c r="G459" s="3011">
        <v>3.65E-9</v>
      </c>
      <c r="H459" s="3011">
        <v>3.65E-9</v>
      </c>
      <c r="I459" s="3011">
        <v>3.65E-9</v>
      </c>
      <c r="J459" s="3011">
        <v>3.65E-9</v>
      </c>
      <c r="K459" s="3011">
        <v>3.65E-9</v>
      </c>
      <c r="L459" s="3011">
        <v>3.65E-9</v>
      </c>
      <c r="M459" s="3011">
        <v>3.65E-9</v>
      </c>
      <c r="N459" s="352"/>
    </row>
    <row r="460" spans="1:23" s="537" customFormat="1" ht="15" customHeight="1">
      <c r="A460" s="663"/>
      <c r="B460" s="667"/>
      <c r="C460" s="595"/>
      <c r="D460" s="354"/>
      <c r="E460" s="363" t="s">
        <v>2262</v>
      </c>
      <c r="F460" s="3012">
        <v>2.1999999999999998E-9</v>
      </c>
      <c r="G460" s="3012">
        <v>2.1999999999999998E-9</v>
      </c>
      <c r="H460" s="3012">
        <v>2.1999999999999998E-9</v>
      </c>
      <c r="I460" s="3012">
        <v>2.1999999999999998E-9</v>
      </c>
      <c r="J460" s="3012">
        <v>2.1999999999999998E-9</v>
      </c>
      <c r="K460" s="3012">
        <v>2.1999999999999998E-9</v>
      </c>
      <c r="L460" s="3012">
        <v>2.1999999999999998E-9</v>
      </c>
      <c r="M460" s="3012">
        <v>2.1999999999999998E-9</v>
      </c>
      <c r="N460" s="352"/>
    </row>
    <row r="461" spans="1:23" s="537" customFormat="1" ht="15" customHeight="1">
      <c r="A461" s="663"/>
      <c r="B461" s="667"/>
      <c r="C461" s="595"/>
      <c r="D461" s="354"/>
      <c r="E461" s="366"/>
      <c r="F461" s="783"/>
      <c r="G461" s="784"/>
      <c r="H461" s="775"/>
      <c r="I461" s="775"/>
      <c r="J461" s="775"/>
      <c r="K461" s="775"/>
      <c r="L461" s="775"/>
      <c r="M461" s="775"/>
      <c r="N461" s="352"/>
    </row>
    <row r="462" spans="1:23" s="537" customFormat="1" ht="15" customHeight="1">
      <c r="A462" s="663"/>
      <c r="B462" s="667"/>
      <c r="C462" s="595"/>
      <c r="D462" s="354"/>
      <c r="E462" s="358" t="s">
        <v>2244</v>
      </c>
      <c r="F462" s="727"/>
      <c r="G462" s="727"/>
      <c r="H462" s="727"/>
      <c r="I462" s="727"/>
      <c r="J462" s="727"/>
      <c r="K462" s="727"/>
      <c r="L462" s="727"/>
      <c r="M462" s="781" t="s">
        <v>2260</v>
      </c>
      <c r="N462" s="352"/>
    </row>
    <row r="463" spans="1:23" s="537" customFormat="1" ht="15" customHeight="1">
      <c r="A463" s="663"/>
      <c r="B463" s="667"/>
      <c r="C463" s="595"/>
      <c r="D463" s="354"/>
      <c r="E463" s="344" t="s">
        <v>859</v>
      </c>
      <c r="F463" s="764">
        <v>2018</v>
      </c>
      <c r="G463" s="764">
        <v>2020</v>
      </c>
      <c r="H463" s="764">
        <v>2025</v>
      </c>
      <c r="I463" s="764">
        <v>2030</v>
      </c>
      <c r="J463" s="764">
        <v>2035</v>
      </c>
      <c r="K463" s="764">
        <v>2040</v>
      </c>
      <c r="L463" s="764">
        <v>2045</v>
      </c>
      <c r="M463" s="764">
        <v>2050</v>
      </c>
      <c r="N463" s="352"/>
    </row>
    <row r="464" spans="1:23" s="537" customFormat="1" ht="15" customHeight="1">
      <c r="A464" s="663"/>
      <c r="B464" s="667"/>
      <c r="C464" s="595"/>
      <c r="D464" s="281"/>
      <c r="E464" s="363" t="s">
        <v>601</v>
      </c>
      <c r="F464" s="3012">
        <v>1.04795167694775E-8</v>
      </c>
      <c r="G464" s="3012">
        <v>9.3108732544133493E-9</v>
      </c>
      <c r="H464" s="3012">
        <v>8.2998463954631002E-9</v>
      </c>
      <c r="I464" s="3012">
        <v>7.4409762903290296E-9</v>
      </c>
      <c r="J464" s="3012">
        <v>6.7325448861270399E-9</v>
      </c>
      <c r="K464" s="3012">
        <v>6.1647247181468198E-9</v>
      </c>
      <c r="L464" s="3012">
        <v>5.7819554966968304E-9</v>
      </c>
      <c r="M464" s="3012">
        <v>5.4463613636352103E-9</v>
      </c>
      <c r="N464" s="282"/>
    </row>
    <row r="465" spans="1:16" s="537" customFormat="1" ht="15" customHeight="1">
      <c r="A465" s="663"/>
      <c r="B465" s="667"/>
      <c r="C465" s="595"/>
      <c r="D465" s="281"/>
      <c r="E465" s="19"/>
      <c r="F465" s="785"/>
      <c r="G465" s="727"/>
      <c r="H465" s="785"/>
      <c r="I465" s="727"/>
      <c r="J465" s="727"/>
      <c r="K465" s="728"/>
      <c r="L465" s="786"/>
      <c r="M465" s="786"/>
      <c r="N465" s="282"/>
    </row>
    <row r="466" spans="1:16" s="537" customFormat="1" ht="15" customHeight="1">
      <c r="A466" s="663"/>
      <c r="B466" s="667"/>
      <c r="C466" s="595"/>
      <c r="D466" s="281"/>
      <c r="E466" s="23" t="s">
        <v>2263</v>
      </c>
      <c r="F466" s="787"/>
      <c r="G466" s="788"/>
      <c r="H466" s="789"/>
      <c r="I466" s="787"/>
      <c r="J466" s="788"/>
      <c r="K466" s="790"/>
      <c r="L466" s="791"/>
      <c r="M466" s="791"/>
      <c r="N466" s="369"/>
    </row>
    <row r="467" spans="1:16" s="537" customFormat="1" ht="15" customHeight="1">
      <c r="A467" s="663"/>
      <c r="B467" s="667"/>
      <c r="C467" s="595"/>
      <c r="D467" s="281"/>
      <c r="E467" s="368"/>
      <c r="F467" s="788"/>
      <c r="G467" s="788"/>
      <c r="H467" s="788"/>
      <c r="I467" s="788"/>
      <c r="J467" s="788"/>
      <c r="K467" s="788"/>
      <c r="L467" s="791"/>
      <c r="M467" s="791"/>
      <c r="N467" s="369"/>
    </row>
    <row r="468" spans="1:16" s="537" customFormat="1" ht="15" customHeight="1">
      <c r="A468" s="663"/>
      <c r="B468" s="667"/>
      <c r="C468" s="595"/>
      <c r="D468" s="281"/>
      <c r="E468" s="340" t="s">
        <v>590</v>
      </c>
      <c r="F468" s="3015"/>
      <c r="G468" s="760"/>
      <c r="H468" s="760"/>
      <c r="I468" s="760"/>
      <c r="J468" s="760"/>
      <c r="K468" s="760"/>
      <c r="L468" s="760"/>
      <c r="M468" s="792" t="s">
        <v>2255</v>
      </c>
      <c r="N468" s="357"/>
      <c r="O468" s="903"/>
      <c r="P468" s="903"/>
    </row>
    <row r="469" spans="1:16" s="537" customFormat="1" ht="15" customHeight="1">
      <c r="A469" s="663"/>
      <c r="B469" s="667"/>
      <c r="C469" s="595"/>
      <c r="D469" s="281"/>
      <c r="E469" s="28" t="s">
        <v>2241</v>
      </c>
      <c r="F469" s="762">
        <v>2018</v>
      </c>
      <c r="G469" s="762">
        <v>2020</v>
      </c>
      <c r="H469" s="762">
        <v>2025</v>
      </c>
      <c r="I469" s="762">
        <v>2030</v>
      </c>
      <c r="J469" s="762">
        <v>2035</v>
      </c>
      <c r="K469" s="762">
        <v>2040</v>
      </c>
      <c r="L469" s="762">
        <v>2045</v>
      </c>
      <c r="M469" s="762">
        <v>2050</v>
      </c>
      <c r="N469" s="362"/>
    </row>
    <row r="470" spans="1:16" s="537" customFormat="1" ht="15" customHeight="1">
      <c r="A470" s="663"/>
      <c r="B470" s="667"/>
      <c r="C470" s="595"/>
      <c r="D470" s="281"/>
      <c r="E470" s="30" t="s">
        <v>2243</v>
      </c>
      <c r="F470" s="3405">
        <v>155005929.76927593</v>
      </c>
      <c r="G470" s="3405">
        <v>155005929.76927593</v>
      </c>
      <c r="H470" s="3405">
        <v>155005929.76927593</v>
      </c>
      <c r="I470" s="3405">
        <v>155005929.76927593</v>
      </c>
      <c r="J470" s="3405">
        <v>155005929.76927593</v>
      </c>
      <c r="K470" s="3405">
        <v>155005929.76927593</v>
      </c>
      <c r="L470" s="3405">
        <v>155005929.76927593</v>
      </c>
      <c r="M470" s="3405">
        <v>155005929.76927593</v>
      </c>
      <c r="N470" s="362"/>
    </row>
    <row r="471" spans="1:16" s="537" customFormat="1" ht="15" customHeight="1">
      <c r="A471" s="663"/>
      <c r="B471" s="667"/>
      <c r="C471" s="595"/>
      <c r="D471" s="281"/>
      <c r="E471" s="30" t="s">
        <v>895</v>
      </c>
      <c r="F471" s="3016">
        <v>832099.61500804278</v>
      </c>
      <c r="G471" s="3016">
        <v>832099.61500804278</v>
      </c>
      <c r="H471" s="3016">
        <v>832099.61500804278</v>
      </c>
      <c r="I471" s="3016">
        <v>832099.61500804278</v>
      </c>
      <c r="J471" s="3016">
        <v>832099.61500804278</v>
      </c>
      <c r="K471" s="3016">
        <v>832099.61500804278</v>
      </c>
      <c r="L471" s="3016">
        <v>832099.61500804278</v>
      </c>
      <c r="M471" s="3016">
        <v>832099.61500804278</v>
      </c>
      <c r="N471" s="362"/>
    </row>
    <row r="472" spans="1:16" s="537" customFormat="1" ht="15" customHeight="1">
      <c r="A472" s="663"/>
      <c r="B472" s="667"/>
      <c r="C472" s="595"/>
      <c r="D472" s="281"/>
      <c r="E472" s="30" t="s">
        <v>899</v>
      </c>
      <c r="F472" s="794">
        <v>41732365.707112759</v>
      </c>
      <c r="G472" s="794">
        <v>41732365.707112759</v>
      </c>
      <c r="H472" s="794">
        <v>41732365.707112759</v>
      </c>
      <c r="I472" s="794">
        <v>41732365.707112759</v>
      </c>
      <c r="J472" s="794">
        <v>41732365.707112759</v>
      </c>
      <c r="K472" s="794">
        <v>41732365.707112759</v>
      </c>
      <c r="L472" s="794">
        <v>41732365.707112759</v>
      </c>
      <c r="M472" s="794">
        <v>41732365.707112759</v>
      </c>
      <c r="N472" s="362"/>
    </row>
    <row r="473" spans="1:16" s="537" customFormat="1" ht="15" customHeight="1">
      <c r="A473" s="663"/>
      <c r="B473" s="667"/>
      <c r="C473" s="595"/>
      <c r="D473" s="281"/>
      <c r="E473" s="32" t="s">
        <v>900</v>
      </c>
      <c r="F473" s="3406">
        <v>41732365.707112759</v>
      </c>
      <c r="G473" s="3406">
        <v>41732365.707112759</v>
      </c>
      <c r="H473" s="3406">
        <v>41732365.707112759</v>
      </c>
      <c r="I473" s="3406">
        <v>41732365.707112759</v>
      </c>
      <c r="J473" s="3406">
        <v>41732365.707112759</v>
      </c>
      <c r="K473" s="3406">
        <v>41732365.707112759</v>
      </c>
      <c r="L473" s="3406">
        <v>41732365.707112759</v>
      </c>
      <c r="M473" s="3406">
        <v>41732365.707112759</v>
      </c>
      <c r="N473" s="362"/>
      <c r="O473" s="594"/>
    </row>
    <row r="474" spans="1:16" s="537" customFormat="1" ht="15" customHeight="1">
      <c r="A474" s="663"/>
      <c r="B474" s="667"/>
      <c r="C474" s="595"/>
      <c r="D474" s="281"/>
      <c r="E474" s="359"/>
      <c r="F474" s="779"/>
      <c r="G474" s="794"/>
      <c r="H474" s="782"/>
      <c r="I474" s="782"/>
      <c r="J474" s="782"/>
      <c r="K474" s="782"/>
      <c r="L474" s="782"/>
      <c r="M474" s="782"/>
      <c r="N474" s="362"/>
      <c r="O474" s="594"/>
    </row>
    <row r="475" spans="1:16" s="537" customFormat="1" ht="15" customHeight="1">
      <c r="A475" s="663"/>
      <c r="B475" s="667"/>
      <c r="C475" s="595"/>
      <c r="D475" s="281"/>
      <c r="E475" s="14" t="s">
        <v>1313</v>
      </c>
      <c r="F475" s="736"/>
      <c r="G475" s="736"/>
      <c r="H475" s="736"/>
      <c r="I475" s="736"/>
      <c r="J475" s="736"/>
      <c r="K475" s="736"/>
      <c r="L475" s="736"/>
      <c r="M475" s="736"/>
      <c r="N475" s="369"/>
      <c r="O475" s="594"/>
    </row>
    <row r="476" spans="1:16" s="537" customFormat="1" ht="15" customHeight="1">
      <c r="A476" s="663"/>
      <c r="B476" s="667"/>
      <c r="C476" s="595"/>
      <c r="D476" s="281"/>
      <c r="E476" s="360"/>
      <c r="F476" s="779"/>
      <c r="G476" s="795"/>
      <c r="H476" s="796"/>
      <c r="I476" s="796"/>
      <c r="J476" s="796"/>
      <c r="K476" s="796"/>
      <c r="L476" s="791"/>
      <c r="M476" s="791"/>
      <c r="N476" s="369"/>
      <c r="O476" s="594"/>
    </row>
    <row r="477" spans="1:16" s="537" customFormat="1" ht="15" customHeight="1">
      <c r="A477" s="663"/>
      <c r="B477" s="667"/>
      <c r="C477" s="595"/>
      <c r="D477" s="272"/>
      <c r="E477" s="24" t="s">
        <v>2249</v>
      </c>
      <c r="F477" s="727"/>
      <c r="G477" s="727"/>
      <c r="H477" s="727"/>
      <c r="I477" s="727"/>
      <c r="J477" s="727"/>
      <c r="K477" s="727"/>
      <c r="L477" s="727"/>
      <c r="M477" s="797" t="s">
        <v>788</v>
      </c>
      <c r="N477" s="369"/>
      <c r="O477" s="594"/>
    </row>
    <row r="478" spans="1:16" s="537" customFormat="1" ht="15" customHeight="1">
      <c r="A478" s="663"/>
      <c r="B478" s="667"/>
      <c r="C478" s="595"/>
      <c r="D478" s="272"/>
      <c r="E478" s="344" t="s">
        <v>859</v>
      </c>
      <c r="F478" s="764">
        <v>2018</v>
      </c>
      <c r="G478" s="764">
        <v>2020</v>
      </c>
      <c r="H478" s="764">
        <v>2025</v>
      </c>
      <c r="I478" s="764">
        <v>2030</v>
      </c>
      <c r="J478" s="764">
        <v>2035</v>
      </c>
      <c r="K478" s="764">
        <v>2040</v>
      </c>
      <c r="L478" s="764">
        <v>2045</v>
      </c>
      <c r="M478" s="764">
        <v>2050</v>
      </c>
      <c r="N478" s="369"/>
      <c r="O478" s="594"/>
    </row>
    <row r="479" spans="1:16" s="537" customFormat="1" ht="15" customHeight="1">
      <c r="A479" s="663"/>
      <c r="B479" s="667"/>
      <c r="C479" s="595"/>
      <c r="D479" s="272"/>
      <c r="E479" s="337" t="s">
        <v>889</v>
      </c>
      <c r="F479" s="809">
        <v>6.1492827821040742E-2</v>
      </c>
      <c r="G479" s="809">
        <v>6.3740531561528049E-2</v>
      </c>
      <c r="H479" s="809">
        <v>6.1961339946008338E-2</v>
      </c>
      <c r="I479" s="809">
        <v>5.8632330656218964E-2</v>
      </c>
      <c r="J479" s="809">
        <v>5.1659156495197749E-2</v>
      </c>
      <c r="K479" s="809">
        <v>4.3693830055713631E-2</v>
      </c>
      <c r="L479" s="809">
        <v>3.2799999999999996E-2</v>
      </c>
      <c r="M479" s="809">
        <v>1.8299999999999997E-2</v>
      </c>
      <c r="N479" s="369"/>
      <c r="O479" s="594"/>
    </row>
    <row r="480" spans="1:16" s="537" customFormat="1" ht="15" customHeight="1">
      <c r="A480" s="663"/>
      <c r="B480" s="667"/>
      <c r="C480" s="595"/>
      <c r="D480" s="272"/>
      <c r="E480" s="32" t="s">
        <v>2257</v>
      </c>
      <c r="F480" s="800">
        <v>6.1492827821040742E-2</v>
      </c>
      <c r="G480" s="800">
        <v>6.3740531561528049E-2</v>
      </c>
      <c r="H480" s="800">
        <v>6.1961339946008338E-2</v>
      </c>
      <c r="I480" s="800">
        <v>5.8632330656218964E-2</v>
      </c>
      <c r="J480" s="800">
        <v>5.1659156495197749E-2</v>
      </c>
      <c r="K480" s="800">
        <v>4.3693830055713631E-2</v>
      </c>
      <c r="L480" s="800">
        <v>3.2799999999999996E-2</v>
      </c>
      <c r="M480" s="800">
        <v>1.8299999999999997E-2</v>
      </c>
      <c r="N480" s="369"/>
      <c r="O480" s="594"/>
    </row>
    <row r="481" spans="1:14" s="537" customFormat="1" ht="15" customHeight="1">
      <c r="A481" s="663"/>
      <c r="B481" s="667"/>
      <c r="C481" s="595"/>
      <c r="D481" s="272"/>
      <c r="E481" s="349"/>
      <c r="F481" s="735"/>
      <c r="G481" s="734"/>
      <c r="H481" s="769"/>
      <c r="I481" s="769"/>
      <c r="J481" s="770"/>
      <c r="K481" s="752"/>
      <c r="L481" s="752"/>
      <c r="M481" s="752"/>
      <c r="N481" s="369"/>
    </row>
    <row r="482" spans="1:14" s="537" customFormat="1" ht="15" customHeight="1">
      <c r="A482" s="663"/>
      <c r="B482" s="667"/>
      <c r="C482" s="595"/>
      <c r="D482" s="272"/>
      <c r="E482" s="24" t="s">
        <v>2252</v>
      </c>
      <c r="F482" s="727"/>
      <c r="G482" s="727"/>
      <c r="H482" s="727"/>
      <c r="I482" s="727"/>
      <c r="J482" s="727"/>
      <c r="K482" s="727"/>
      <c r="L482" s="727"/>
      <c r="M482" s="797" t="s">
        <v>788</v>
      </c>
      <c r="N482" s="369"/>
    </row>
    <row r="483" spans="1:14" s="537" customFormat="1" ht="15" customHeight="1">
      <c r="A483" s="663"/>
      <c r="B483" s="667"/>
      <c r="C483" s="595"/>
      <c r="D483" s="272"/>
      <c r="E483" s="344" t="s">
        <v>859</v>
      </c>
      <c r="F483" s="764">
        <v>2018</v>
      </c>
      <c r="G483" s="764">
        <v>2020</v>
      </c>
      <c r="H483" s="764">
        <v>2025</v>
      </c>
      <c r="I483" s="764">
        <v>2030</v>
      </c>
      <c r="J483" s="764">
        <v>2035</v>
      </c>
      <c r="K483" s="764">
        <v>2040</v>
      </c>
      <c r="L483" s="764">
        <v>2045</v>
      </c>
      <c r="M483" s="764">
        <v>2050</v>
      </c>
      <c r="N483" s="369"/>
    </row>
    <row r="484" spans="1:14" s="537" customFormat="1" ht="15" customHeight="1">
      <c r="A484" s="663"/>
      <c r="B484" s="667"/>
      <c r="C484" s="595"/>
      <c r="D484" s="272"/>
      <c r="E484" s="337" t="s">
        <v>889</v>
      </c>
      <c r="F484" s="810">
        <v>2.0065865014730146E-2</v>
      </c>
      <c r="G484" s="810">
        <v>2.0065865014730108E-2</v>
      </c>
      <c r="H484" s="810">
        <v>2.0065865014730084E-2</v>
      </c>
      <c r="I484" s="810">
        <v>2.0065865014730025E-2</v>
      </c>
      <c r="J484" s="810">
        <v>2.0065865014730139E-2</v>
      </c>
      <c r="K484" s="810">
        <v>2.0065865014730112E-2</v>
      </c>
      <c r="L484" s="810">
        <v>2.0065865014730094E-2</v>
      </c>
      <c r="M484" s="810">
        <v>2.0065865014730067E-2</v>
      </c>
      <c r="N484" s="369"/>
    </row>
    <row r="485" spans="1:14" s="537" customFormat="1" ht="15" customHeight="1">
      <c r="A485" s="663"/>
      <c r="B485" s="667"/>
      <c r="C485" s="595"/>
      <c r="D485" s="272"/>
      <c r="E485" s="32" t="s">
        <v>2257</v>
      </c>
      <c r="F485" s="800">
        <v>2.0065865014730146E-2</v>
      </c>
      <c r="G485" s="800">
        <v>2.0065865014730108E-2</v>
      </c>
      <c r="H485" s="800">
        <v>2.0065865014730084E-2</v>
      </c>
      <c r="I485" s="800">
        <v>2.0065865014730025E-2</v>
      </c>
      <c r="J485" s="800">
        <v>2.0065865014730139E-2</v>
      </c>
      <c r="K485" s="800">
        <v>2.0065865014730112E-2</v>
      </c>
      <c r="L485" s="800">
        <v>2.0065865014730094E-2</v>
      </c>
      <c r="M485" s="800">
        <v>2.0065865014730067E-2</v>
      </c>
      <c r="N485" s="369"/>
    </row>
    <row r="486" spans="1:14" s="537" customFormat="1" ht="15" customHeight="1">
      <c r="A486" s="663"/>
      <c r="B486" s="667"/>
      <c r="C486" s="595"/>
      <c r="D486" s="272"/>
      <c r="E486" s="349"/>
      <c r="F486" s="735"/>
      <c r="G486" s="734"/>
      <c r="H486" s="769"/>
      <c r="I486" s="769"/>
      <c r="J486" s="770"/>
      <c r="K486" s="752"/>
      <c r="L486" s="752"/>
      <c r="M486" s="752"/>
      <c r="N486" s="369"/>
    </row>
    <row r="487" spans="1:14" s="537" customFormat="1" ht="15" customHeight="1">
      <c r="A487" s="663"/>
      <c r="B487" s="667"/>
      <c r="C487" s="595"/>
      <c r="D487" s="272"/>
      <c r="E487" s="24" t="s">
        <v>899</v>
      </c>
      <c r="F487" s="727"/>
      <c r="G487" s="727"/>
      <c r="H487" s="727"/>
      <c r="I487" s="727"/>
      <c r="J487" s="727"/>
      <c r="K487" s="727"/>
      <c r="L487" s="727"/>
      <c r="M487" s="797" t="s">
        <v>788</v>
      </c>
      <c r="N487" s="369"/>
    </row>
    <row r="488" spans="1:14" s="537" customFormat="1" ht="15" customHeight="1">
      <c r="A488" s="663"/>
      <c r="B488" s="667"/>
      <c r="C488" s="595"/>
      <c r="D488" s="272"/>
      <c r="E488" s="344" t="s">
        <v>859</v>
      </c>
      <c r="F488" s="764">
        <v>2018</v>
      </c>
      <c r="G488" s="764">
        <v>2020</v>
      </c>
      <c r="H488" s="764">
        <v>2025</v>
      </c>
      <c r="I488" s="764">
        <v>2030</v>
      </c>
      <c r="J488" s="764">
        <v>2035</v>
      </c>
      <c r="K488" s="764">
        <v>2040</v>
      </c>
      <c r="L488" s="764">
        <v>2045</v>
      </c>
      <c r="M488" s="764">
        <v>2050</v>
      </c>
      <c r="N488" s="369"/>
    </row>
    <row r="489" spans="1:14" s="537" customFormat="1" ht="15" customHeight="1">
      <c r="A489" s="663"/>
      <c r="B489" s="667"/>
      <c r="C489" s="595"/>
      <c r="D489" s="272"/>
      <c r="E489" s="337" t="s">
        <v>889</v>
      </c>
      <c r="F489" s="810">
        <v>4.8269658849383244E-2</v>
      </c>
      <c r="G489" s="810">
        <v>2.5531289166029807E-2</v>
      </c>
      <c r="H489" s="810">
        <v>2.2700267608538761E-2</v>
      </c>
      <c r="I489" s="810">
        <v>1.633889547933158E-2</v>
      </c>
      <c r="J489" s="810">
        <v>7.6822061834453947E-3</v>
      </c>
      <c r="K489" s="810">
        <v>8.9173589511448454E-4</v>
      </c>
      <c r="L489" s="810">
        <v>5.1899999999999798E-4</v>
      </c>
      <c r="M489" s="810">
        <v>4.4899999999999698E-4</v>
      </c>
      <c r="N489" s="369"/>
    </row>
    <row r="490" spans="1:14" s="537" customFormat="1" ht="15" customHeight="1">
      <c r="A490" s="663"/>
      <c r="B490" s="667"/>
      <c r="C490" s="595"/>
      <c r="D490" s="272"/>
      <c r="E490" s="32" t="s">
        <v>2257</v>
      </c>
      <c r="F490" s="800">
        <v>4.8269658849383244E-2</v>
      </c>
      <c r="G490" s="800">
        <v>2.5531289166029807E-2</v>
      </c>
      <c r="H490" s="800">
        <v>2.2700267608538761E-2</v>
      </c>
      <c r="I490" s="800">
        <v>1.633889547933158E-2</v>
      </c>
      <c r="J490" s="800">
        <v>7.6822061834453947E-3</v>
      </c>
      <c r="K490" s="800">
        <v>8.9173589511448454E-4</v>
      </c>
      <c r="L490" s="800">
        <v>5.1899999999999798E-4</v>
      </c>
      <c r="M490" s="800">
        <v>4.4899999999999698E-4</v>
      </c>
      <c r="N490" s="369"/>
    </row>
    <row r="491" spans="1:14" s="537" customFormat="1" ht="15" customHeight="1">
      <c r="A491" s="663"/>
      <c r="B491" s="667"/>
      <c r="C491" s="595"/>
      <c r="D491" s="272"/>
      <c r="E491" s="349"/>
      <c r="F491" s="735"/>
      <c r="G491" s="734"/>
      <c r="H491" s="769"/>
      <c r="I491" s="769"/>
      <c r="J491" s="770"/>
      <c r="K491" s="752"/>
      <c r="L491" s="752"/>
      <c r="M491" s="752"/>
      <c r="N491" s="369"/>
    </row>
    <row r="492" spans="1:14" s="537" customFormat="1" ht="15" customHeight="1">
      <c r="A492" s="663"/>
      <c r="B492" s="667"/>
      <c r="C492" s="595"/>
      <c r="D492" s="272"/>
      <c r="E492" s="24" t="s">
        <v>2253</v>
      </c>
      <c r="F492" s="727"/>
      <c r="G492" s="727"/>
      <c r="H492" s="727"/>
      <c r="I492" s="727"/>
      <c r="J492" s="727"/>
      <c r="K492" s="727"/>
      <c r="L492" s="727"/>
      <c r="M492" s="797" t="s">
        <v>788</v>
      </c>
      <c r="N492" s="369"/>
    </row>
    <row r="493" spans="1:14" s="537" customFormat="1" ht="15" customHeight="1">
      <c r="A493" s="663"/>
      <c r="B493" s="667"/>
      <c r="C493" s="595"/>
      <c r="D493" s="19"/>
      <c r="E493" s="344" t="s">
        <v>859</v>
      </c>
      <c r="F493" s="764">
        <v>2018</v>
      </c>
      <c r="G493" s="764">
        <v>2020</v>
      </c>
      <c r="H493" s="764">
        <v>2025</v>
      </c>
      <c r="I493" s="764">
        <v>2030</v>
      </c>
      <c r="J493" s="764">
        <v>2035</v>
      </c>
      <c r="K493" s="764">
        <v>2040</v>
      </c>
      <c r="L493" s="764">
        <v>2045</v>
      </c>
      <c r="M493" s="764">
        <v>2050</v>
      </c>
      <c r="N493" s="369"/>
    </row>
    <row r="494" spans="1:14" s="537" customFormat="1" ht="15" customHeight="1">
      <c r="A494" s="663"/>
      <c r="B494" s="667"/>
      <c r="C494" s="595"/>
      <c r="D494" s="281"/>
      <c r="E494" s="337" t="s">
        <v>889</v>
      </c>
      <c r="F494" s="810">
        <v>0.02</v>
      </c>
      <c r="G494" s="810">
        <v>0.02</v>
      </c>
      <c r="H494" s="810">
        <v>0.02</v>
      </c>
      <c r="I494" s="810">
        <v>0.02</v>
      </c>
      <c r="J494" s="810">
        <v>0.02</v>
      </c>
      <c r="K494" s="810">
        <v>0.02</v>
      </c>
      <c r="L494" s="810">
        <v>0.02</v>
      </c>
      <c r="M494" s="810">
        <v>0.02</v>
      </c>
      <c r="N494" s="369"/>
    </row>
    <row r="495" spans="1:14" s="537" customFormat="1" ht="15" customHeight="1">
      <c r="A495" s="663"/>
      <c r="B495" s="667"/>
      <c r="C495" s="595"/>
      <c r="D495" s="281"/>
      <c r="E495" s="32" t="s">
        <v>2257</v>
      </c>
      <c r="F495" s="1043">
        <v>0.01</v>
      </c>
      <c r="G495" s="1043">
        <v>0.01</v>
      </c>
      <c r="H495" s="1043">
        <v>0.01</v>
      </c>
      <c r="I495" s="1043">
        <v>0.01</v>
      </c>
      <c r="J495" s="1043">
        <v>0.01</v>
      </c>
      <c r="K495" s="1043">
        <v>0.01</v>
      </c>
      <c r="L495" s="1043">
        <v>0.01</v>
      </c>
      <c r="M495" s="1043">
        <v>0.01</v>
      </c>
      <c r="N495" s="357"/>
    </row>
    <row r="496" spans="1:14" s="537" customFormat="1" ht="15" customHeight="1">
      <c r="A496" s="663"/>
      <c r="B496" s="667"/>
      <c r="C496" s="595"/>
      <c r="D496" s="281"/>
      <c r="E496" s="30"/>
      <c r="F496" s="777"/>
      <c r="G496" s="778"/>
      <c r="H496" s="778"/>
      <c r="I496" s="778"/>
      <c r="J496" s="778"/>
      <c r="K496" s="778"/>
      <c r="L496" s="778"/>
      <c r="M496" s="778"/>
      <c r="N496" s="357"/>
    </row>
    <row r="497" spans="1:15" s="537" customFormat="1" ht="15" customHeight="1">
      <c r="A497" s="663"/>
      <c r="B497" s="667"/>
      <c r="C497" s="595"/>
      <c r="D497" s="281"/>
      <c r="E497" s="14" t="s">
        <v>1315</v>
      </c>
      <c r="F497" s="736"/>
      <c r="G497" s="736"/>
      <c r="H497" s="736"/>
      <c r="I497" s="736"/>
      <c r="J497" s="736"/>
      <c r="K497" s="736"/>
      <c r="L497" s="736"/>
      <c r="M497" s="736"/>
      <c r="N497" s="370"/>
    </row>
    <row r="498" spans="1:15" s="537" customFormat="1" ht="15" customHeight="1">
      <c r="A498" s="663"/>
      <c r="B498" s="667"/>
      <c r="C498" s="595"/>
      <c r="D498" s="281"/>
      <c r="E498" s="359"/>
      <c r="F498" s="779"/>
      <c r="G498" s="801"/>
      <c r="H498" s="793"/>
      <c r="I498" s="793"/>
      <c r="J498" s="793"/>
      <c r="K498" s="793"/>
      <c r="L498" s="793"/>
      <c r="M498" s="793"/>
      <c r="N498" s="370"/>
      <c r="O498" s="915"/>
    </row>
    <row r="499" spans="1:15" s="537" customFormat="1" ht="15" customHeight="1">
      <c r="A499" s="663"/>
      <c r="B499" s="667"/>
      <c r="C499" s="595"/>
      <c r="D499" s="281"/>
      <c r="E499" s="24"/>
      <c r="F499" s="727"/>
      <c r="G499" s="727"/>
      <c r="H499" s="727"/>
      <c r="I499" s="727"/>
      <c r="J499" s="727"/>
      <c r="K499" s="727"/>
      <c r="L499" s="727"/>
      <c r="M499" s="802" t="s">
        <v>2264</v>
      </c>
      <c r="N499" s="370"/>
    </row>
    <row r="500" spans="1:15" s="537" customFormat="1" ht="15" customHeight="1">
      <c r="A500" s="663"/>
      <c r="B500" s="667"/>
      <c r="C500" s="595"/>
      <c r="D500" s="281"/>
      <c r="E500" s="344" t="s">
        <v>2265</v>
      </c>
      <c r="F500" s="764">
        <v>2018</v>
      </c>
      <c r="G500" s="764">
        <v>2020</v>
      </c>
      <c r="H500" s="764">
        <v>2025</v>
      </c>
      <c r="I500" s="764">
        <v>2030</v>
      </c>
      <c r="J500" s="764">
        <v>2035</v>
      </c>
      <c r="K500" s="764">
        <v>2040</v>
      </c>
      <c r="L500" s="764">
        <v>2045</v>
      </c>
      <c r="M500" s="764">
        <v>2050</v>
      </c>
      <c r="N500" s="371"/>
    </row>
    <row r="501" spans="1:15" s="537" customFormat="1" ht="15" customHeight="1">
      <c r="A501" s="663"/>
      <c r="B501" s="667"/>
      <c r="C501" s="595"/>
      <c r="D501" s="281"/>
      <c r="E501" s="348" t="s">
        <v>2264</v>
      </c>
      <c r="F501" s="3014">
        <v>118394456.31831281</v>
      </c>
      <c r="G501" s="3014">
        <v>139669649.83766174</v>
      </c>
      <c r="H501" s="3014">
        <v>169932236.7922276</v>
      </c>
      <c r="I501" s="3014">
        <v>197510087.81965148</v>
      </c>
      <c r="J501" s="3014">
        <v>225104015.33959618</v>
      </c>
      <c r="K501" s="3014">
        <v>256120662.82452008</v>
      </c>
      <c r="L501" s="3014">
        <v>277213139.5948379</v>
      </c>
      <c r="M501" s="3014">
        <v>304450633.92183858</v>
      </c>
      <c r="N501" s="282"/>
    </row>
    <row r="502" spans="1:15" s="537" customFormat="1" ht="15" customHeight="1">
      <c r="A502" s="663"/>
      <c r="B502" s="667"/>
      <c r="C502" s="595"/>
      <c r="D502" s="281"/>
      <c r="E502" s="20"/>
      <c r="F502" s="727"/>
      <c r="G502" s="727"/>
      <c r="H502" s="727"/>
      <c r="I502" s="727"/>
      <c r="J502" s="727"/>
      <c r="K502" s="727"/>
      <c r="L502" s="786"/>
      <c r="M502" s="786"/>
      <c r="N502" s="282"/>
    </row>
    <row r="503" spans="1:15" s="537" customFormat="1" ht="15" customHeight="1">
      <c r="A503" s="663"/>
      <c r="B503" s="667"/>
      <c r="C503" s="595"/>
      <c r="D503" s="281"/>
      <c r="E503" s="14" t="s">
        <v>1317</v>
      </c>
      <c r="F503" s="736"/>
      <c r="G503" s="736"/>
      <c r="H503" s="736"/>
      <c r="I503" s="736"/>
      <c r="J503" s="736"/>
      <c r="K503" s="736"/>
      <c r="L503" s="736"/>
      <c r="M503" s="736"/>
      <c r="N503" s="356"/>
    </row>
    <row r="504" spans="1:15" s="537" customFormat="1" ht="15" customHeight="1">
      <c r="A504" s="663"/>
      <c r="B504" s="667"/>
      <c r="C504" s="595"/>
      <c r="D504" s="281"/>
      <c r="E504" s="286"/>
      <c r="F504" s="777"/>
      <c r="G504" s="778"/>
      <c r="H504" s="778"/>
      <c r="I504" s="778"/>
      <c r="J504" s="778"/>
      <c r="K504" s="778"/>
      <c r="L504" s="778"/>
      <c r="M504" s="778"/>
      <c r="N504" s="357"/>
      <c r="O504" s="903"/>
    </row>
    <row r="505" spans="1:15" s="537" customFormat="1" ht="15" customHeight="1">
      <c r="A505" s="663"/>
      <c r="B505" s="667"/>
      <c r="C505" s="595"/>
      <c r="D505" s="281"/>
      <c r="E505" s="24"/>
      <c r="F505" s="727"/>
      <c r="G505" s="727"/>
      <c r="H505" s="727"/>
      <c r="I505" s="727"/>
      <c r="J505" s="727"/>
      <c r="K505" s="727"/>
      <c r="L505" s="727"/>
      <c r="M505" s="802" t="s">
        <v>9</v>
      </c>
      <c r="N505" s="271"/>
    </row>
    <row r="506" spans="1:15" s="537" customFormat="1" ht="15" customHeight="1">
      <c r="A506" s="663"/>
      <c r="B506" s="667"/>
      <c r="C506" s="595"/>
      <c r="D506" s="281"/>
      <c r="E506" s="344" t="s">
        <v>2265</v>
      </c>
      <c r="F506" s="764">
        <v>2018</v>
      </c>
      <c r="G506" s="764">
        <v>2020</v>
      </c>
      <c r="H506" s="764">
        <v>2025</v>
      </c>
      <c r="I506" s="764">
        <v>2030</v>
      </c>
      <c r="J506" s="764">
        <v>2035</v>
      </c>
      <c r="K506" s="764">
        <v>2040</v>
      </c>
      <c r="L506" s="764">
        <v>2045</v>
      </c>
      <c r="M506" s="764">
        <v>2050</v>
      </c>
      <c r="N506" s="271"/>
    </row>
    <row r="507" spans="1:15" s="537" customFormat="1" ht="15" customHeight="1">
      <c r="A507" s="663"/>
      <c r="B507" s="667"/>
      <c r="C507" s="595"/>
      <c r="D507" s="281"/>
      <c r="E507" s="283" t="s">
        <v>2266</v>
      </c>
      <c r="F507" s="804">
        <v>0</v>
      </c>
      <c r="G507" s="804">
        <v>0</v>
      </c>
      <c r="H507" s="804">
        <v>0</v>
      </c>
      <c r="I507" s="804">
        <v>0</v>
      </c>
      <c r="J507" s="804">
        <v>0</v>
      </c>
      <c r="K507" s="804">
        <v>0</v>
      </c>
      <c r="L507" s="804">
        <v>0</v>
      </c>
      <c r="M507" s="804">
        <v>0</v>
      </c>
      <c r="N507" s="271"/>
    </row>
    <row r="508" spans="1:15" s="537" customFormat="1" ht="15" customHeight="1">
      <c r="A508" s="663"/>
      <c r="B508" s="667"/>
      <c r="C508" s="595"/>
      <c r="D508" s="281"/>
      <c r="E508" s="372" t="s">
        <v>2267</v>
      </c>
      <c r="F508" s="3017">
        <v>0.20164852771498706</v>
      </c>
      <c r="G508" s="3017">
        <v>0.25705638442460194</v>
      </c>
      <c r="H508" s="3017">
        <v>0.32875112028897485</v>
      </c>
      <c r="I508" s="3017">
        <v>0.39358579235233926</v>
      </c>
      <c r="J508" s="3017">
        <v>0.45493745718876083</v>
      </c>
      <c r="K508" s="3017">
        <v>0.51856811163758498</v>
      </c>
      <c r="L508" s="3017">
        <v>0.58431016316430429</v>
      </c>
      <c r="M508" s="3017">
        <v>0.65248600734263473</v>
      </c>
      <c r="N508" s="271"/>
    </row>
    <row r="509" spans="1:15" s="537" customFormat="1" ht="15" customHeight="1">
      <c r="A509" s="663"/>
      <c r="B509" s="667"/>
      <c r="C509" s="595"/>
      <c r="D509" s="281"/>
      <c r="E509" s="359"/>
      <c r="F509" s="779"/>
      <c r="G509" s="805"/>
      <c r="H509" s="799"/>
      <c r="I509" s="799"/>
      <c r="J509" s="799"/>
      <c r="K509" s="799"/>
      <c r="L509" s="799"/>
      <c r="M509" s="799"/>
      <c r="N509" s="271"/>
    </row>
    <row r="510" spans="1:15" s="537" customFormat="1" ht="15" customHeight="1">
      <c r="A510" s="663"/>
      <c r="B510" s="667"/>
      <c r="C510" s="595"/>
      <c r="D510" s="281"/>
      <c r="E510" s="14" t="s">
        <v>1319</v>
      </c>
      <c r="F510" s="736"/>
      <c r="G510" s="736"/>
      <c r="H510" s="736"/>
      <c r="I510" s="736"/>
      <c r="J510" s="736"/>
      <c r="K510" s="736"/>
      <c r="L510" s="736"/>
      <c r="M510" s="736"/>
      <c r="N510" s="271"/>
    </row>
    <row r="511" spans="1:15" s="537" customFormat="1" ht="15" customHeight="1">
      <c r="A511" s="663"/>
      <c r="B511" s="667"/>
      <c r="C511" s="595"/>
      <c r="D511" s="281"/>
      <c r="E511" s="20"/>
      <c r="F511" s="727"/>
      <c r="G511" s="727"/>
      <c r="H511" s="727"/>
      <c r="I511" s="727"/>
      <c r="J511" s="727"/>
      <c r="K511" s="727"/>
      <c r="L511" s="786"/>
      <c r="M511" s="786"/>
      <c r="N511" s="282"/>
    </row>
    <row r="512" spans="1:15" s="537" customFormat="1" ht="15" customHeight="1">
      <c r="A512" s="663"/>
      <c r="B512" s="667"/>
      <c r="C512" s="595"/>
      <c r="D512" s="354"/>
      <c r="E512" s="24" t="s">
        <v>2244</v>
      </c>
      <c r="F512" s="727"/>
      <c r="G512" s="727"/>
      <c r="H512" s="727"/>
      <c r="I512" s="727"/>
      <c r="J512" s="727"/>
      <c r="K512" s="727"/>
      <c r="L512" s="727"/>
      <c r="M512" s="802" t="s">
        <v>788</v>
      </c>
      <c r="N512" s="355"/>
      <c r="O512" s="903"/>
    </row>
    <row r="513" spans="1:24" s="537" customFormat="1" ht="15" customHeight="1">
      <c r="A513" s="663"/>
      <c r="B513" s="667"/>
      <c r="C513" s="595"/>
      <c r="D513" s="354"/>
      <c r="E513" s="344" t="s">
        <v>2268</v>
      </c>
      <c r="F513" s="764">
        <v>2018</v>
      </c>
      <c r="G513" s="764">
        <v>2020</v>
      </c>
      <c r="H513" s="764">
        <v>2025</v>
      </c>
      <c r="I513" s="764">
        <v>2030</v>
      </c>
      <c r="J513" s="764">
        <v>2035</v>
      </c>
      <c r="K513" s="764">
        <v>2040</v>
      </c>
      <c r="L513" s="764">
        <v>2045</v>
      </c>
      <c r="M513" s="764">
        <v>2050</v>
      </c>
      <c r="N513" s="280"/>
    </row>
    <row r="514" spans="1:24" s="537" customFormat="1" ht="15" customHeight="1">
      <c r="A514" s="663"/>
      <c r="B514" s="667"/>
      <c r="C514" s="595"/>
      <c r="D514" s="354"/>
      <c r="E514" s="348" t="s">
        <v>2269</v>
      </c>
      <c r="F514" s="806">
        <v>0</v>
      </c>
      <c r="G514" s="806">
        <v>0</v>
      </c>
      <c r="H514" s="806">
        <v>0</v>
      </c>
      <c r="I514" s="806">
        <v>0</v>
      </c>
      <c r="J514" s="806">
        <v>0</v>
      </c>
      <c r="K514" s="806">
        <v>0</v>
      </c>
      <c r="L514" s="806">
        <v>0</v>
      </c>
      <c r="M514" s="806">
        <v>0</v>
      </c>
      <c r="N514" s="276"/>
    </row>
    <row r="515" spans="1:24" s="537" customFormat="1" ht="15" customHeight="1">
      <c r="A515" s="663"/>
      <c r="B515" s="667"/>
      <c r="C515" s="595"/>
      <c r="D515" s="354"/>
      <c r="E515" s="366"/>
      <c r="F515" s="783"/>
      <c r="G515" s="807"/>
      <c r="H515" s="808"/>
      <c r="I515" s="808"/>
      <c r="J515" s="808"/>
      <c r="K515" s="808"/>
      <c r="L515" s="808"/>
      <c r="M515" s="808"/>
      <c r="N515" s="256"/>
    </row>
    <row r="516" spans="1:24" s="537" customFormat="1" ht="15" customHeight="1">
      <c r="A516" s="663"/>
      <c r="B516" s="667"/>
      <c r="C516" s="595"/>
      <c r="D516" s="354"/>
      <c r="E516" s="14" t="s">
        <v>1320</v>
      </c>
      <c r="F516" s="736"/>
      <c r="G516" s="736"/>
      <c r="H516" s="736"/>
      <c r="I516" s="736"/>
      <c r="J516" s="736"/>
      <c r="K516" s="736"/>
      <c r="L516" s="736"/>
      <c r="M516" s="736"/>
      <c r="N516" s="373"/>
    </row>
    <row r="517" spans="1:24" s="537" customFormat="1" ht="15" customHeight="1">
      <c r="A517" s="663"/>
      <c r="B517" s="667"/>
      <c r="C517" s="595"/>
      <c r="D517" s="354"/>
      <c r="E517" s="19"/>
      <c r="F517" s="783"/>
      <c r="G517" s="807"/>
      <c r="H517" s="807"/>
      <c r="I517" s="807"/>
      <c r="J517" s="807"/>
      <c r="K517" s="807"/>
      <c r="L517" s="807"/>
      <c r="M517" s="807"/>
      <c r="N517" s="373"/>
      <c r="O517" s="574"/>
      <c r="P517" s="574"/>
      <c r="Q517" s="574"/>
      <c r="R517" s="574"/>
      <c r="S517" s="574"/>
      <c r="T517" s="574"/>
      <c r="U517" s="574"/>
      <c r="V517" s="574"/>
      <c r="W517" s="574"/>
      <c r="X517" s="574"/>
    </row>
    <row r="518" spans="1:24" s="576" customFormat="1" ht="15" customHeight="1">
      <c r="A518" s="663"/>
      <c r="B518" s="667"/>
      <c r="C518" s="596"/>
      <c r="D518" s="354"/>
      <c r="E518" s="340" t="s">
        <v>899</v>
      </c>
      <c r="F518" s="760"/>
      <c r="G518" s="760"/>
      <c r="H518" s="760"/>
      <c r="I518" s="760"/>
      <c r="J518" s="760"/>
      <c r="K518" s="760"/>
      <c r="L518" s="760"/>
      <c r="M518" s="763" t="s">
        <v>788</v>
      </c>
      <c r="N518" s="373"/>
    </row>
    <row r="519" spans="1:24" s="576" customFormat="1" ht="15" customHeight="1">
      <c r="A519" s="663"/>
      <c r="B519" s="667"/>
      <c r="C519" s="596"/>
      <c r="D519" s="354"/>
      <c r="E519" s="592" t="s">
        <v>859</v>
      </c>
      <c r="F519" s="733">
        <v>2018</v>
      </c>
      <c r="G519" s="733">
        <v>2020</v>
      </c>
      <c r="H519" s="733">
        <v>2025</v>
      </c>
      <c r="I519" s="733">
        <v>2030</v>
      </c>
      <c r="J519" s="733">
        <v>2035</v>
      </c>
      <c r="K519" s="733">
        <v>2040</v>
      </c>
      <c r="L519" s="733">
        <v>2045</v>
      </c>
      <c r="M519" s="733">
        <v>2050</v>
      </c>
      <c r="N519" s="276"/>
      <c r="O519" s="577"/>
      <c r="P519" s="577"/>
      <c r="Q519" s="577"/>
      <c r="R519" s="577"/>
      <c r="S519" s="577"/>
      <c r="T519" s="577"/>
      <c r="U519" s="577"/>
      <c r="V519" s="577"/>
      <c r="W519" s="577"/>
      <c r="X519" s="577"/>
    </row>
    <row r="520" spans="1:24" s="576" customFormat="1" ht="15" customHeight="1">
      <c r="A520" s="663"/>
      <c r="B520" s="667"/>
      <c r="C520" s="596"/>
      <c r="D520" s="354"/>
      <c r="E520" s="3018" t="s">
        <v>889</v>
      </c>
      <c r="F520" s="809">
        <v>0.27600000000000002</v>
      </c>
      <c r="G520" s="809">
        <v>0.27600000000000002</v>
      </c>
      <c r="H520" s="809">
        <v>0.27600000000000002</v>
      </c>
      <c r="I520" s="809">
        <v>0.27600000000000002</v>
      </c>
      <c r="J520" s="809">
        <v>0.27600000000000002</v>
      </c>
      <c r="K520" s="809">
        <v>0.27600000000000002</v>
      </c>
      <c r="L520" s="809">
        <v>0.27600000000000002</v>
      </c>
      <c r="M520" s="809">
        <v>0.27600000000000002</v>
      </c>
      <c r="N520" s="294"/>
      <c r="O520" s="577"/>
      <c r="P520" s="577"/>
      <c r="Q520" s="577"/>
      <c r="R520" s="577"/>
      <c r="S520" s="577"/>
      <c r="T520" s="577"/>
      <c r="U520" s="577"/>
      <c r="V520" s="577"/>
      <c r="W520" s="577"/>
      <c r="X520" s="577"/>
    </row>
    <row r="521" spans="1:24" s="537" customFormat="1" ht="15" customHeight="1">
      <c r="A521" s="663"/>
      <c r="B521" s="667"/>
      <c r="C521" s="595"/>
      <c r="D521" s="354"/>
      <c r="E521" s="449" t="s">
        <v>2257</v>
      </c>
      <c r="F521" s="810">
        <v>0.52400000000000002</v>
      </c>
      <c r="G521" s="810">
        <v>0.52400000000000002</v>
      </c>
      <c r="H521" s="810">
        <v>0.52400000000000002</v>
      </c>
      <c r="I521" s="810">
        <v>0.52400000000000002</v>
      </c>
      <c r="J521" s="810">
        <v>0.52400000000000002</v>
      </c>
      <c r="K521" s="810">
        <v>0.52400000000000002</v>
      </c>
      <c r="L521" s="810">
        <v>0.52400000000000002</v>
      </c>
      <c r="M521" s="810">
        <v>0.52400000000000002</v>
      </c>
      <c r="N521" s="294"/>
      <c r="P521" s="572"/>
      <c r="S521" s="573"/>
      <c r="T521" s="573"/>
      <c r="U521" s="573"/>
      <c r="V521" s="573"/>
      <c r="W521" s="573"/>
    </row>
    <row r="522" spans="1:24" s="537" customFormat="1" ht="15" customHeight="1">
      <c r="A522" s="663"/>
      <c r="B522" s="667"/>
      <c r="C522" s="595"/>
      <c r="D522" s="354"/>
      <c r="E522" s="449" t="s">
        <v>2250</v>
      </c>
      <c r="F522" s="810">
        <v>0</v>
      </c>
      <c r="G522" s="810">
        <v>0</v>
      </c>
      <c r="H522" s="810">
        <v>0</v>
      </c>
      <c r="I522" s="810">
        <v>0</v>
      </c>
      <c r="J522" s="810">
        <v>0</v>
      </c>
      <c r="K522" s="810">
        <v>0</v>
      </c>
      <c r="L522" s="810">
        <v>0</v>
      </c>
      <c r="M522" s="810">
        <v>0</v>
      </c>
      <c r="N522" s="294"/>
    </row>
    <row r="523" spans="1:24" s="537" customFormat="1" ht="15" customHeight="1">
      <c r="A523" s="663"/>
      <c r="B523" s="667"/>
      <c r="C523" s="595"/>
      <c r="D523" s="354"/>
      <c r="E523" s="449" t="s">
        <v>2270</v>
      </c>
      <c r="F523" s="810">
        <v>0.2</v>
      </c>
      <c r="G523" s="810">
        <v>0.2</v>
      </c>
      <c r="H523" s="810">
        <v>0.2</v>
      </c>
      <c r="I523" s="810">
        <v>0.2</v>
      </c>
      <c r="J523" s="810">
        <v>0.2</v>
      </c>
      <c r="K523" s="810">
        <v>0.2</v>
      </c>
      <c r="L523" s="810">
        <v>0.2</v>
      </c>
      <c r="M523" s="810">
        <v>0.2</v>
      </c>
      <c r="N523" s="294"/>
      <c r="P523" s="572"/>
      <c r="S523" s="573"/>
      <c r="T523" s="573"/>
      <c r="U523" s="573"/>
      <c r="V523" s="573"/>
      <c r="W523" s="573"/>
    </row>
    <row r="524" spans="1:24" s="537" customFormat="1" ht="15" customHeight="1">
      <c r="A524" s="663"/>
      <c r="B524" s="667"/>
      <c r="C524" s="595"/>
      <c r="D524" s="354"/>
      <c r="E524" s="449" t="s">
        <v>894</v>
      </c>
      <c r="F524" s="810">
        <v>0</v>
      </c>
      <c r="G524" s="810">
        <v>0</v>
      </c>
      <c r="H524" s="810">
        <v>0</v>
      </c>
      <c r="I524" s="810">
        <v>0</v>
      </c>
      <c r="J524" s="810">
        <v>0</v>
      </c>
      <c r="K524" s="810">
        <v>0</v>
      </c>
      <c r="L524" s="810">
        <v>0</v>
      </c>
      <c r="M524" s="810">
        <v>0</v>
      </c>
      <c r="N524" s="294"/>
    </row>
    <row r="525" spans="1:24" s="537" customFormat="1" ht="15" customHeight="1">
      <c r="A525" s="663"/>
      <c r="B525" s="667"/>
      <c r="C525" s="595"/>
      <c r="D525" s="354"/>
      <c r="E525" s="450" t="s">
        <v>603</v>
      </c>
      <c r="F525" s="800">
        <v>0</v>
      </c>
      <c r="G525" s="800">
        <v>0</v>
      </c>
      <c r="H525" s="800">
        <v>0</v>
      </c>
      <c r="I525" s="800">
        <v>0</v>
      </c>
      <c r="J525" s="800">
        <v>0</v>
      </c>
      <c r="K525" s="800">
        <v>0</v>
      </c>
      <c r="L525" s="800">
        <v>0</v>
      </c>
      <c r="M525" s="800">
        <v>0</v>
      </c>
      <c r="N525" s="370"/>
    </row>
    <row r="526" spans="1:24" s="537" customFormat="1" ht="15" customHeight="1">
      <c r="A526" s="663"/>
      <c r="B526" s="667"/>
      <c r="C526" s="595"/>
      <c r="D526" s="354"/>
      <c r="E526" s="593"/>
      <c r="F526" s="811"/>
      <c r="G526" s="811"/>
      <c r="H526" s="812"/>
      <c r="I526" s="812"/>
      <c r="J526" s="812"/>
      <c r="K526" s="812"/>
      <c r="L526" s="810"/>
      <c r="M526" s="810"/>
      <c r="N526" s="280"/>
    </row>
    <row r="527" spans="1:24" s="537" customFormat="1" ht="15" customHeight="1">
      <c r="A527" s="663"/>
      <c r="B527" s="667"/>
      <c r="C527" s="595"/>
      <c r="D527" s="354"/>
      <c r="E527" s="14" t="s">
        <v>1322</v>
      </c>
      <c r="F527" s="736"/>
      <c r="G527" s="736"/>
      <c r="H527" s="736"/>
      <c r="I527" s="736"/>
      <c r="J527" s="736"/>
      <c r="K527" s="736"/>
      <c r="L527" s="736"/>
      <c r="M527" s="736"/>
      <c r="N527" s="276"/>
    </row>
    <row r="528" spans="1:24" s="537" customFormat="1" ht="15" customHeight="1">
      <c r="A528" s="663"/>
      <c r="B528" s="667"/>
      <c r="C528" s="595"/>
      <c r="D528" s="354"/>
      <c r="E528" s="366"/>
      <c r="F528" s="783"/>
      <c r="G528" s="805"/>
      <c r="H528" s="805"/>
      <c r="I528" s="805"/>
      <c r="J528" s="805"/>
      <c r="K528" s="805"/>
      <c r="L528" s="805"/>
      <c r="M528" s="805"/>
      <c r="N528" s="280"/>
    </row>
    <row r="529" spans="1:15" s="537" customFormat="1" ht="15" customHeight="1">
      <c r="A529" s="663"/>
      <c r="B529" s="667"/>
      <c r="C529" s="595"/>
      <c r="D529" s="354"/>
      <c r="E529" s="23" t="s">
        <v>2254</v>
      </c>
      <c r="F529" s="783"/>
      <c r="G529" s="805"/>
      <c r="H529" s="805"/>
      <c r="I529" s="805"/>
      <c r="J529" s="805"/>
      <c r="K529" s="805"/>
      <c r="L529" s="805"/>
      <c r="M529" s="805"/>
      <c r="N529" s="280"/>
    </row>
    <row r="530" spans="1:15" s="537" customFormat="1" ht="15" customHeight="1">
      <c r="A530" s="663"/>
      <c r="B530" s="667"/>
      <c r="C530" s="595"/>
      <c r="D530" s="354"/>
      <c r="E530" s="366"/>
      <c r="F530" s="783"/>
      <c r="G530" s="805"/>
      <c r="H530" s="805"/>
      <c r="I530" s="805"/>
      <c r="J530" s="805"/>
      <c r="K530" s="805"/>
      <c r="L530" s="805"/>
      <c r="M530" s="805"/>
      <c r="N530" s="280"/>
    </row>
    <row r="531" spans="1:15" s="537" customFormat="1" ht="15" customHeight="1">
      <c r="A531" s="663"/>
      <c r="B531" s="667"/>
      <c r="C531" s="595"/>
      <c r="D531" s="354"/>
      <c r="E531" s="340" t="s">
        <v>899</v>
      </c>
      <c r="F531" s="785"/>
      <c r="G531" s="807"/>
      <c r="H531" s="807"/>
      <c r="I531" s="807"/>
      <c r="J531" s="807"/>
      <c r="K531" s="807"/>
      <c r="L531" s="807"/>
      <c r="M531" s="813" t="s">
        <v>2255</v>
      </c>
      <c r="N531" s="374"/>
      <c r="O531" s="594"/>
    </row>
    <row r="532" spans="1:15" s="537" customFormat="1" ht="15" customHeight="1">
      <c r="A532" s="663"/>
      <c r="B532" s="667"/>
      <c r="C532" s="595"/>
      <c r="D532" s="354"/>
      <c r="E532" s="344" t="s">
        <v>859</v>
      </c>
      <c r="F532" s="814">
        <v>2018</v>
      </c>
      <c r="G532" s="815">
        <v>2020</v>
      </c>
      <c r="H532" s="815">
        <v>2025</v>
      </c>
      <c r="I532" s="815">
        <v>2030</v>
      </c>
      <c r="J532" s="815">
        <v>2035</v>
      </c>
      <c r="K532" s="815">
        <v>2040</v>
      </c>
      <c r="L532" s="815">
        <v>2045</v>
      </c>
      <c r="M532" s="815">
        <v>2050</v>
      </c>
      <c r="N532" s="373"/>
    </row>
    <row r="533" spans="1:15" s="537" customFormat="1" ht="15" customHeight="1">
      <c r="A533" s="663"/>
      <c r="B533" s="667"/>
      <c r="C533" s="595"/>
      <c r="D533" s="354"/>
      <c r="E533" s="337" t="s">
        <v>889</v>
      </c>
      <c r="F533" s="3019">
        <v>19286.952924676178</v>
      </c>
      <c r="G533" s="3019">
        <v>19479.822453922938</v>
      </c>
      <c r="H533" s="3019">
        <v>19674.620678462168</v>
      </c>
      <c r="I533" s="3019">
        <v>19871.366885246789</v>
      </c>
      <c r="J533" s="3019">
        <v>20070.080554099259</v>
      </c>
      <c r="K533" s="3019">
        <v>20270.781359640252</v>
      </c>
      <c r="L533" s="3019">
        <v>20473.489173236652</v>
      </c>
      <c r="M533" s="3019">
        <v>20678.224064968988</v>
      </c>
      <c r="N533" s="373"/>
      <c r="O533" s="594"/>
    </row>
    <row r="534" spans="1:15" s="537" customFormat="1" ht="15" customHeight="1">
      <c r="A534" s="663"/>
      <c r="B534" s="667"/>
      <c r="C534" s="595"/>
      <c r="D534" s="354"/>
      <c r="E534" s="32" t="s">
        <v>2257</v>
      </c>
      <c r="F534" s="838">
        <v>70167.627850981939</v>
      </c>
      <c r="G534" s="838">
        <v>70869.304129491764</v>
      </c>
      <c r="H534" s="838">
        <v>71577.997170786679</v>
      </c>
      <c r="I534" s="838">
        <v>72293.777142494539</v>
      </c>
      <c r="J534" s="838">
        <v>73016.714913919481</v>
      </c>
      <c r="K534" s="838">
        <v>73746.882063058671</v>
      </c>
      <c r="L534" s="838">
        <v>74484.350883688909</v>
      </c>
      <c r="M534" s="838">
        <v>75229.194392525824</v>
      </c>
      <c r="N534" s="276"/>
    </row>
    <row r="535" spans="1:15" s="537" customFormat="1" ht="15" customHeight="1">
      <c r="A535" s="663"/>
      <c r="B535" s="667"/>
      <c r="C535" s="595"/>
      <c r="D535" s="354"/>
      <c r="E535" s="366"/>
      <c r="F535" s="773"/>
      <c r="G535" s="816"/>
      <c r="H535" s="799"/>
      <c r="I535" s="799"/>
      <c r="J535" s="799"/>
      <c r="K535" s="799"/>
      <c r="L535" s="799"/>
      <c r="M535" s="799"/>
      <c r="N535" s="271"/>
    </row>
    <row r="536" spans="1:15" s="537" customFormat="1" ht="15" customHeight="1">
      <c r="A536" s="663"/>
      <c r="B536" s="667"/>
      <c r="C536" s="595"/>
      <c r="D536" s="354"/>
      <c r="E536" s="14" t="s">
        <v>1323</v>
      </c>
      <c r="F536" s="736"/>
      <c r="G536" s="736"/>
      <c r="H536" s="736"/>
      <c r="I536" s="736"/>
      <c r="J536" s="736"/>
      <c r="K536" s="736"/>
      <c r="L536" s="736"/>
      <c r="M536" s="736"/>
      <c r="N536" s="271"/>
    </row>
    <row r="537" spans="1:15" s="537" customFormat="1" ht="15" customHeight="1">
      <c r="A537" s="663"/>
      <c r="B537" s="667"/>
      <c r="C537" s="595"/>
      <c r="D537" s="354"/>
      <c r="E537" s="366"/>
      <c r="F537" s="773"/>
      <c r="G537" s="816"/>
      <c r="H537" s="799"/>
      <c r="I537" s="799"/>
      <c r="J537" s="799"/>
      <c r="K537" s="799"/>
      <c r="L537" s="799"/>
      <c r="M537" s="799"/>
      <c r="N537" s="271"/>
    </row>
    <row r="538" spans="1:15" s="537" customFormat="1" ht="15" customHeight="1">
      <c r="A538" s="663"/>
      <c r="B538" s="667"/>
      <c r="C538" s="595"/>
      <c r="D538" s="354"/>
      <c r="E538" s="23" t="s">
        <v>2254</v>
      </c>
      <c r="F538" s="773"/>
      <c r="G538" s="816"/>
      <c r="H538" s="799"/>
      <c r="I538" s="799"/>
      <c r="J538" s="799"/>
      <c r="K538" s="799"/>
      <c r="L538" s="799"/>
      <c r="M538" s="799"/>
      <c r="N538" s="271"/>
    </row>
    <row r="539" spans="1:15" s="595" customFormat="1" ht="15" customHeight="1">
      <c r="A539" s="663"/>
      <c r="B539" s="667"/>
      <c r="D539" s="354"/>
      <c r="E539" s="366"/>
      <c r="F539" s="773"/>
      <c r="G539" s="816"/>
      <c r="H539" s="799"/>
      <c r="I539" s="799"/>
      <c r="J539" s="799"/>
      <c r="K539" s="799"/>
      <c r="L539" s="799"/>
      <c r="M539" s="799"/>
      <c r="N539" s="271"/>
    </row>
    <row r="540" spans="1:15" s="537" customFormat="1" ht="15" customHeight="1">
      <c r="A540" s="663"/>
      <c r="B540" s="667"/>
      <c r="C540" s="595"/>
      <c r="D540" s="354"/>
      <c r="E540" s="358" t="s">
        <v>899</v>
      </c>
      <c r="F540" s="817"/>
      <c r="G540" s="818"/>
      <c r="H540" s="818"/>
      <c r="I540" s="818"/>
      <c r="J540" s="818"/>
      <c r="K540" s="818"/>
      <c r="L540" s="818"/>
      <c r="M540" s="819" t="s">
        <v>2255</v>
      </c>
      <c r="N540" s="373"/>
      <c r="O540" s="903"/>
    </row>
    <row r="541" spans="1:15" s="537" customFormat="1" ht="15" customHeight="1">
      <c r="A541" s="663"/>
      <c r="B541" s="667"/>
      <c r="C541" s="595"/>
      <c r="D541" s="354"/>
      <c r="E541" s="592" t="s">
        <v>859</v>
      </c>
      <c r="F541" s="820">
        <v>2018</v>
      </c>
      <c r="G541" s="821">
        <v>2020</v>
      </c>
      <c r="H541" s="821">
        <v>2025</v>
      </c>
      <c r="I541" s="821">
        <v>2030</v>
      </c>
      <c r="J541" s="821">
        <v>2035</v>
      </c>
      <c r="K541" s="821">
        <v>2040</v>
      </c>
      <c r="L541" s="821">
        <v>2045</v>
      </c>
      <c r="M541" s="821">
        <v>2050</v>
      </c>
      <c r="N541" s="373"/>
    </row>
    <row r="542" spans="1:15" s="537" customFormat="1" ht="15" customHeight="1">
      <c r="A542" s="663"/>
      <c r="B542" s="667"/>
      <c r="C542" s="595"/>
      <c r="D542" s="354"/>
      <c r="E542" s="337" t="s">
        <v>889</v>
      </c>
      <c r="F542" s="3020">
        <v>19286.952924676178</v>
      </c>
      <c r="G542" s="3020">
        <v>19286.952924676178</v>
      </c>
      <c r="H542" s="3020">
        <v>19286.952924676178</v>
      </c>
      <c r="I542" s="3020">
        <v>19286.952924676178</v>
      </c>
      <c r="J542" s="3020">
        <v>19286.952924676178</v>
      </c>
      <c r="K542" s="3020">
        <v>19286.952924676178</v>
      </c>
      <c r="L542" s="3020">
        <v>19286.952924676178</v>
      </c>
      <c r="M542" s="3020">
        <v>19286.952924676178</v>
      </c>
      <c r="N542" s="373"/>
    </row>
    <row r="543" spans="1:15" s="537" customFormat="1" ht="15" customHeight="1">
      <c r="A543" s="663"/>
      <c r="B543" s="667"/>
      <c r="C543" s="595"/>
      <c r="D543" s="354"/>
      <c r="E543" s="30" t="s">
        <v>2257</v>
      </c>
      <c r="F543" s="3021">
        <v>70167.627850981939</v>
      </c>
      <c r="G543" s="3021">
        <v>70167.627850981939</v>
      </c>
      <c r="H543" s="3021">
        <v>70167.627850981939</v>
      </c>
      <c r="I543" s="3021">
        <v>70167.627850981939</v>
      </c>
      <c r="J543" s="3021">
        <v>70167.627850981939</v>
      </c>
      <c r="K543" s="3021">
        <v>70167.627850981939</v>
      </c>
      <c r="L543" s="3021">
        <v>70167.627850981939</v>
      </c>
      <c r="M543" s="3021">
        <v>70167.627850981939</v>
      </c>
      <c r="N543" s="373"/>
    </row>
    <row r="544" spans="1:15" s="537" customFormat="1" ht="15" customHeight="1">
      <c r="A544" s="663"/>
      <c r="B544" s="667"/>
      <c r="C544" s="595"/>
      <c r="D544" s="354"/>
      <c r="E544" s="450" t="s">
        <v>2250</v>
      </c>
      <c r="F544" s="1065">
        <v>94726.297598825608</v>
      </c>
      <c r="G544" s="1065">
        <v>94726.297598825608</v>
      </c>
      <c r="H544" s="1065">
        <v>94726.297598825608</v>
      </c>
      <c r="I544" s="1065">
        <v>94726.297598825608</v>
      </c>
      <c r="J544" s="1065">
        <v>94726.297598825608</v>
      </c>
      <c r="K544" s="1065">
        <v>94726.297598825608</v>
      </c>
      <c r="L544" s="1065">
        <v>94726.297598825608</v>
      </c>
      <c r="M544" s="1065">
        <v>94726.297598825608</v>
      </c>
      <c r="N544" s="373"/>
    </row>
    <row r="545" spans="1:15" s="537" customFormat="1" ht="15" customHeight="1">
      <c r="A545" s="663"/>
      <c r="B545" s="667"/>
      <c r="C545" s="595"/>
      <c r="D545" s="354"/>
      <c r="E545" s="290"/>
      <c r="F545" s="783"/>
      <c r="G545" s="807"/>
      <c r="H545" s="785"/>
      <c r="I545" s="807"/>
      <c r="J545" s="807"/>
      <c r="K545" s="807"/>
      <c r="L545" s="807"/>
      <c r="M545" s="807"/>
      <c r="N545" s="373"/>
    </row>
    <row r="546" spans="1:15" s="537" customFormat="1" ht="15" customHeight="1">
      <c r="A546" s="663"/>
      <c r="B546" s="667"/>
      <c r="C546" s="595"/>
      <c r="D546" s="354"/>
      <c r="E546" s="23" t="s">
        <v>2259</v>
      </c>
      <c r="F546" s="783"/>
      <c r="G546" s="807"/>
      <c r="H546" s="785"/>
      <c r="I546" s="807"/>
      <c r="J546" s="807"/>
      <c r="K546" s="807"/>
      <c r="L546" s="807"/>
      <c r="M546" s="807"/>
      <c r="N546" s="373"/>
    </row>
    <row r="547" spans="1:15" s="537" customFormat="1" ht="15" customHeight="1">
      <c r="A547" s="663"/>
      <c r="B547" s="667"/>
      <c r="C547" s="595"/>
      <c r="D547" s="354"/>
      <c r="E547" s="290"/>
      <c r="F547" s="783"/>
      <c r="G547" s="807"/>
      <c r="H547" s="785"/>
      <c r="I547" s="807"/>
      <c r="J547" s="807"/>
      <c r="K547" s="807"/>
      <c r="L547" s="807"/>
      <c r="M547" s="807"/>
      <c r="N547" s="373"/>
    </row>
    <row r="548" spans="1:15" s="537" customFormat="1" ht="15" customHeight="1">
      <c r="A548" s="663"/>
      <c r="B548" s="667"/>
      <c r="C548" s="595"/>
      <c r="D548" s="354"/>
      <c r="E548" s="340" t="s">
        <v>899</v>
      </c>
      <c r="F548" s="785"/>
      <c r="G548" s="807"/>
      <c r="H548" s="807"/>
      <c r="I548" s="807"/>
      <c r="J548" s="807"/>
      <c r="K548" s="807"/>
      <c r="L548" s="807"/>
      <c r="M548" s="781" t="s">
        <v>2260</v>
      </c>
      <c r="N548" s="373"/>
      <c r="O548" s="903"/>
    </row>
    <row r="549" spans="1:15" s="537" customFormat="1" ht="15" customHeight="1">
      <c r="A549" s="663"/>
      <c r="B549" s="667"/>
      <c r="C549" s="595"/>
      <c r="D549" s="354"/>
      <c r="E549" s="344" t="s">
        <v>859</v>
      </c>
      <c r="F549" s="814">
        <v>2018</v>
      </c>
      <c r="G549" s="815">
        <v>2020</v>
      </c>
      <c r="H549" s="815">
        <v>2025</v>
      </c>
      <c r="I549" s="815">
        <v>2030</v>
      </c>
      <c r="J549" s="815">
        <v>2035</v>
      </c>
      <c r="K549" s="815">
        <v>2040</v>
      </c>
      <c r="L549" s="815">
        <v>2045</v>
      </c>
      <c r="M549" s="815">
        <v>2050</v>
      </c>
      <c r="N549" s="373"/>
    </row>
    <row r="550" spans="1:15" s="537" customFormat="1" ht="15" customHeight="1">
      <c r="A550" s="663"/>
      <c r="B550" s="667"/>
      <c r="C550" s="595"/>
      <c r="D550" s="354"/>
      <c r="E550" s="337" t="s">
        <v>2250</v>
      </c>
      <c r="F550" s="3022">
        <v>1</v>
      </c>
      <c r="G550" s="3022">
        <v>1</v>
      </c>
      <c r="H550" s="3022">
        <v>1</v>
      </c>
      <c r="I550" s="3022">
        <v>1</v>
      </c>
      <c r="J550" s="3022">
        <v>1</v>
      </c>
      <c r="K550" s="3022">
        <v>1</v>
      </c>
      <c r="L550" s="3022">
        <v>1</v>
      </c>
      <c r="M550" s="3022">
        <v>1</v>
      </c>
      <c r="N550" s="1064"/>
    </row>
    <row r="551" spans="1:15" s="537" customFormat="1" ht="15" customHeight="1">
      <c r="A551" s="663"/>
      <c r="B551" s="667"/>
      <c r="C551" s="595"/>
      <c r="D551" s="354"/>
      <c r="E551" s="32" t="s">
        <v>894</v>
      </c>
      <c r="F551" s="3012">
        <v>1.3999999999999999E-9</v>
      </c>
      <c r="G551" s="3012">
        <v>1.3999999999999999E-9</v>
      </c>
      <c r="H551" s="3012">
        <v>1.3999999999999999E-9</v>
      </c>
      <c r="I551" s="3012">
        <v>1.3999999999999999E-9</v>
      </c>
      <c r="J551" s="3012">
        <v>1.3999999999999999E-9</v>
      </c>
      <c r="K551" s="3012">
        <v>1.3999999999999999E-9</v>
      </c>
      <c r="L551" s="3012">
        <v>1.3999999999999999E-9</v>
      </c>
      <c r="M551" s="3012">
        <v>1.3999999999999999E-9</v>
      </c>
      <c r="N551" s="373"/>
    </row>
    <row r="552" spans="1:15" s="537" customFormat="1" ht="15" customHeight="1">
      <c r="A552" s="663"/>
      <c r="B552" s="667"/>
      <c r="C552" s="595"/>
      <c r="D552" s="354"/>
      <c r="E552" s="290"/>
      <c r="F552" s="783"/>
      <c r="G552" s="807"/>
      <c r="H552" s="785"/>
      <c r="I552" s="807"/>
      <c r="J552" s="807"/>
      <c r="K552" s="807"/>
      <c r="L552" s="807"/>
      <c r="M552" s="807"/>
      <c r="N552" s="373"/>
    </row>
    <row r="553" spans="1:15" s="537" customFormat="1" ht="15" customHeight="1">
      <c r="A553" s="663"/>
      <c r="B553" s="667"/>
      <c r="C553" s="595"/>
      <c r="D553" s="354"/>
      <c r="E553" s="23" t="s">
        <v>2263</v>
      </c>
      <c r="F553" s="783"/>
      <c r="G553" s="807"/>
      <c r="H553" s="785"/>
      <c r="I553" s="807"/>
      <c r="J553" s="807"/>
      <c r="K553" s="807"/>
      <c r="L553" s="807"/>
      <c r="M553" s="807"/>
      <c r="N553" s="373"/>
    </row>
    <row r="554" spans="1:15" s="537" customFormat="1" ht="15" customHeight="1">
      <c r="A554" s="663"/>
      <c r="B554" s="667"/>
      <c r="C554" s="595"/>
      <c r="D554" s="354"/>
      <c r="E554" s="290"/>
      <c r="F554" s="783"/>
      <c r="G554" s="807"/>
      <c r="H554" s="785"/>
      <c r="I554" s="807"/>
      <c r="J554" s="807"/>
      <c r="K554" s="807"/>
      <c r="L554" s="807"/>
      <c r="M554" s="807"/>
      <c r="N554" s="373"/>
    </row>
    <row r="555" spans="1:15" s="537" customFormat="1" ht="15" customHeight="1">
      <c r="A555" s="663"/>
      <c r="B555" s="667"/>
      <c r="C555" s="595"/>
      <c r="D555" s="354"/>
      <c r="E555" s="340" t="s">
        <v>899</v>
      </c>
      <c r="F555" s="785"/>
      <c r="G555" s="807"/>
      <c r="H555" s="807"/>
      <c r="I555" s="807"/>
      <c r="J555" s="807"/>
      <c r="K555" s="807"/>
      <c r="L555" s="807"/>
      <c r="M555" s="781" t="s">
        <v>2271</v>
      </c>
      <c r="N555" s="276"/>
      <c r="O555" s="903"/>
    </row>
    <row r="556" spans="1:15" s="537" customFormat="1" ht="15" customHeight="1">
      <c r="A556" s="663"/>
      <c r="B556" s="667"/>
      <c r="C556" s="595"/>
      <c r="D556" s="354"/>
      <c r="E556" s="344" t="s">
        <v>859</v>
      </c>
      <c r="F556" s="814">
        <v>2018</v>
      </c>
      <c r="G556" s="815">
        <v>2020</v>
      </c>
      <c r="H556" s="815">
        <v>2025</v>
      </c>
      <c r="I556" s="815">
        <v>2030</v>
      </c>
      <c r="J556" s="815">
        <v>2035</v>
      </c>
      <c r="K556" s="815">
        <v>2040</v>
      </c>
      <c r="L556" s="815">
        <v>2045</v>
      </c>
      <c r="M556" s="815">
        <v>2050</v>
      </c>
      <c r="N556" s="375"/>
    </row>
    <row r="557" spans="1:15" s="537" customFormat="1" ht="15" customHeight="1">
      <c r="A557" s="663"/>
      <c r="B557" s="667"/>
      <c r="C557" s="595"/>
      <c r="D557" s="281"/>
      <c r="E557" s="365" t="s">
        <v>893</v>
      </c>
      <c r="F557" s="3023">
        <v>41757.817359835572</v>
      </c>
      <c r="G557" s="3023">
        <v>41757.817359835572</v>
      </c>
      <c r="H557" s="3023">
        <v>41757.817359835572</v>
      </c>
      <c r="I557" s="3023">
        <v>41757.817359835572</v>
      </c>
      <c r="J557" s="3023">
        <v>41757.817359835572</v>
      </c>
      <c r="K557" s="3023">
        <v>41757.817359835572</v>
      </c>
      <c r="L557" s="3023">
        <v>41757.817359835572</v>
      </c>
      <c r="M557" s="3023">
        <v>41757.817359835572</v>
      </c>
      <c r="N557" s="369"/>
    </row>
    <row r="558" spans="1:15" s="537" customFormat="1" ht="15" customHeight="1">
      <c r="A558" s="663"/>
      <c r="B558" s="667"/>
      <c r="C558" s="595"/>
      <c r="D558" s="281"/>
      <c r="E558" s="286"/>
      <c r="F558" s="777"/>
      <c r="G558" s="778"/>
      <c r="H558" s="778"/>
      <c r="I558" s="778"/>
      <c r="J558" s="778"/>
      <c r="K558" s="778"/>
      <c r="L558" s="778"/>
      <c r="M558" s="778"/>
      <c r="N558" s="357"/>
    </row>
    <row r="559" spans="1:15" s="537" customFormat="1" ht="15" customHeight="1">
      <c r="A559" s="663"/>
      <c r="B559" s="667"/>
      <c r="C559" s="595"/>
      <c r="D559" s="281"/>
      <c r="E559" s="14" t="s">
        <v>1324</v>
      </c>
      <c r="F559" s="736"/>
      <c r="G559" s="736"/>
      <c r="H559" s="736"/>
      <c r="I559" s="736"/>
      <c r="J559" s="736"/>
      <c r="K559" s="736"/>
      <c r="L559" s="736"/>
      <c r="M559" s="736"/>
      <c r="N559" s="376"/>
    </row>
    <row r="560" spans="1:15" s="537" customFormat="1" ht="15" customHeight="1">
      <c r="A560" s="663"/>
      <c r="B560" s="667"/>
      <c r="C560" s="595"/>
      <c r="D560" s="281"/>
      <c r="E560" s="367"/>
      <c r="F560" s="788"/>
      <c r="G560" s="788"/>
      <c r="H560" s="822"/>
      <c r="I560" s="788"/>
      <c r="J560" s="787"/>
      <c r="K560" s="790"/>
      <c r="L560" s="791"/>
      <c r="M560" s="791"/>
      <c r="N560" s="369"/>
    </row>
    <row r="561" spans="1:15" s="537" customFormat="1" ht="15" customHeight="1">
      <c r="A561" s="663"/>
      <c r="B561" s="667"/>
      <c r="C561" s="595"/>
      <c r="D561" s="281"/>
      <c r="E561" s="23" t="s">
        <v>2254</v>
      </c>
      <c r="F561" s="788"/>
      <c r="G561" s="788"/>
      <c r="H561" s="788"/>
      <c r="I561" s="788"/>
      <c r="J561" s="788"/>
      <c r="K561" s="788"/>
      <c r="L561" s="791"/>
      <c r="M561" s="791"/>
      <c r="N561" s="369"/>
    </row>
    <row r="562" spans="1:15" s="537" customFormat="1" ht="15" customHeight="1">
      <c r="A562" s="663"/>
      <c r="B562" s="667"/>
      <c r="C562" s="595"/>
      <c r="D562" s="281"/>
      <c r="E562" s="286"/>
      <c r="F562" s="777"/>
      <c r="G562" s="778"/>
      <c r="H562" s="778"/>
      <c r="I562" s="778"/>
      <c r="J562" s="778"/>
      <c r="K562" s="778"/>
      <c r="L562" s="778"/>
      <c r="M562" s="778"/>
      <c r="N562" s="357"/>
    </row>
    <row r="563" spans="1:15" s="537" customFormat="1" ht="15" customHeight="1">
      <c r="A563" s="663"/>
      <c r="B563" s="667"/>
      <c r="C563" s="595"/>
      <c r="D563" s="377"/>
      <c r="E563" s="358" t="s">
        <v>899</v>
      </c>
      <c r="F563" s="817"/>
      <c r="G563" s="818"/>
      <c r="H563" s="818"/>
      <c r="I563" s="818"/>
      <c r="J563" s="818"/>
      <c r="K563" s="818"/>
      <c r="L563" s="818"/>
      <c r="M563" s="823" t="s">
        <v>788</v>
      </c>
      <c r="N563" s="378"/>
      <c r="O563" s="903"/>
    </row>
    <row r="564" spans="1:15" s="537" customFormat="1" ht="15" customHeight="1">
      <c r="A564" s="663"/>
      <c r="B564" s="667"/>
      <c r="C564" s="595"/>
      <c r="D564" s="377"/>
      <c r="E564" s="592" t="s">
        <v>859</v>
      </c>
      <c r="F564" s="824">
        <v>2018</v>
      </c>
      <c r="G564" s="825">
        <v>2020</v>
      </c>
      <c r="H564" s="825">
        <v>2025</v>
      </c>
      <c r="I564" s="825">
        <v>2030</v>
      </c>
      <c r="J564" s="825">
        <v>2035</v>
      </c>
      <c r="K564" s="825">
        <v>2040</v>
      </c>
      <c r="L564" s="825">
        <v>2045</v>
      </c>
      <c r="M564" s="825">
        <v>2050</v>
      </c>
      <c r="N564" s="379"/>
    </row>
    <row r="565" spans="1:15" s="537" customFormat="1" ht="15" customHeight="1">
      <c r="A565" s="663"/>
      <c r="B565" s="667"/>
      <c r="C565" s="595"/>
      <c r="D565" s="377"/>
      <c r="E565" s="337" t="s">
        <v>889</v>
      </c>
      <c r="F565" s="3024">
        <v>3.5528126948223292E-2</v>
      </c>
      <c r="G565" s="3024">
        <v>3.4045854124051471E-2</v>
      </c>
      <c r="H565" s="3024">
        <v>3.2708513069684295E-2</v>
      </c>
      <c r="I565" s="3024">
        <v>3.1501932832543808E-2</v>
      </c>
      <c r="J565" s="3024">
        <v>3.0413328049265897E-2</v>
      </c>
      <c r="K565" s="3024">
        <v>2.9431163467336329E-2</v>
      </c>
      <c r="L565" s="3024">
        <v>2.7978461384206298E-2</v>
      </c>
      <c r="M565" s="3024">
        <v>2.67637896575647E-2</v>
      </c>
      <c r="N565" s="380"/>
    </row>
    <row r="566" spans="1:15" s="537" customFormat="1" ht="15" customHeight="1">
      <c r="A566" s="663"/>
      <c r="B566" s="667"/>
      <c r="C566" s="595"/>
      <c r="D566" s="377"/>
      <c r="E566" s="32" t="s">
        <v>2257</v>
      </c>
      <c r="F566" s="3025">
        <v>3.5528126948223292E-2</v>
      </c>
      <c r="G566" s="3025">
        <v>3.4045854124051471E-2</v>
      </c>
      <c r="H566" s="3025">
        <v>3.2708513069684295E-2</v>
      </c>
      <c r="I566" s="3025">
        <v>3.1501932832543808E-2</v>
      </c>
      <c r="J566" s="3025">
        <v>3.0413328049265897E-2</v>
      </c>
      <c r="K566" s="3025">
        <v>2.9431163467336329E-2</v>
      </c>
      <c r="L566" s="3025">
        <v>2.7978461384206298E-2</v>
      </c>
      <c r="M566" s="3025">
        <v>2.67637896575647E-2</v>
      </c>
      <c r="N566" s="380"/>
    </row>
    <row r="567" spans="1:15" s="537" customFormat="1" ht="15" customHeight="1">
      <c r="A567" s="663"/>
      <c r="B567" s="667"/>
      <c r="C567" s="595"/>
      <c r="D567" s="281"/>
      <c r="E567" s="286"/>
      <c r="F567" s="777"/>
      <c r="G567" s="778"/>
      <c r="H567" s="778"/>
      <c r="I567" s="778"/>
      <c r="J567" s="778"/>
      <c r="K567" s="778"/>
      <c r="L567" s="778"/>
      <c r="M567" s="778"/>
      <c r="N567" s="357"/>
    </row>
    <row r="568" spans="1:15" s="537" customFormat="1" ht="15" customHeight="1">
      <c r="A568" s="663"/>
      <c r="B568" s="667"/>
      <c r="C568" s="595"/>
      <c r="D568" s="281"/>
      <c r="E568" s="14" t="s">
        <v>1326</v>
      </c>
      <c r="F568" s="736"/>
      <c r="G568" s="736"/>
      <c r="H568" s="736"/>
      <c r="I568" s="736"/>
      <c r="J568" s="736"/>
      <c r="K568" s="736"/>
      <c r="L568" s="736"/>
      <c r="M568" s="736"/>
      <c r="N568" s="370"/>
      <c r="O568" s="903"/>
    </row>
    <row r="569" spans="1:15" s="537" customFormat="1" ht="15" customHeight="1">
      <c r="A569" s="663"/>
      <c r="B569" s="667"/>
      <c r="C569" s="595"/>
      <c r="D569" s="281"/>
      <c r="E569" s="381"/>
      <c r="F569" s="826"/>
      <c r="G569" s="827"/>
      <c r="H569" s="828"/>
      <c r="I569" s="828"/>
      <c r="J569" s="828"/>
      <c r="K569" s="828"/>
      <c r="L569" s="828"/>
      <c r="M569" s="828"/>
      <c r="N569" s="382"/>
    </row>
    <row r="570" spans="1:15" s="537" customFormat="1" ht="15" customHeight="1">
      <c r="A570" s="663"/>
      <c r="B570" s="667"/>
      <c r="C570" s="595"/>
      <c r="D570" s="281"/>
      <c r="E570" s="26"/>
      <c r="F570" s="802"/>
      <c r="G570" s="802"/>
      <c r="H570" s="802"/>
      <c r="I570" s="802"/>
      <c r="J570" s="805"/>
      <c r="K570" s="805"/>
      <c r="L570" s="805"/>
      <c r="M570" s="802" t="s">
        <v>2272</v>
      </c>
      <c r="N570" s="282"/>
    </row>
    <row r="571" spans="1:15" s="537" customFormat="1" ht="15" customHeight="1">
      <c r="A571" s="663"/>
      <c r="B571" s="667"/>
      <c r="C571" s="595"/>
      <c r="D571" s="281"/>
      <c r="E571" s="28" t="s">
        <v>2241</v>
      </c>
      <c r="F571" s="814">
        <v>2018</v>
      </c>
      <c r="G571" s="731">
        <v>2020</v>
      </c>
      <c r="H571" s="731">
        <v>2025</v>
      </c>
      <c r="I571" s="731">
        <v>2030</v>
      </c>
      <c r="J571" s="731">
        <v>2035</v>
      </c>
      <c r="K571" s="731">
        <v>2040</v>
      </c>
      <c r="L571" s="731">
        <v>2045</v>
      </c>
      <c r="M571" s="731">
        <v>2050</v>
      </c>
      <c r="N571" s="282"/>
    </row>
    <row r="572" spans="1:15" s="537" customFormat="1" ht="15" customHeight="1">
      <c r="A572" s="663"/>
      <c r="B572" s="667"/>
      <c r="C572" s="595"/>
      <c r="D572" s="281"/>
      <c r="E572" s="146" t="s">
        <v>887</v>
      </c>
      <c r="F572" s="3026">
        <v>100</v>
      </c>
      <c r="G572" s="3026">
        <v>100</v>
      </c>
      <c r="H572" s="3026">
        <v>100</v>
      </c>
      <c r="I572" s="3027">
        <v>100</v>
      </c>
      <c r="J572" s="3027">
        <v>100</v>
      </c>
      <c r="K572" s="3027">
        <v>100</v>
      </c>
      <c r="L572" s="3027">
        <v>100</v>
      </c>
      <c r="M572" s="3027">
        <v>100</v>
      </c>
      <c r="N572" s="276"/>
    </row>
    <row r="573" spans="1:15" s="537" customFormat="1" ht="15" customHeight="1">
      <c r="A573" s="663"/>
      <c r="B573" s="667"/>
      <c r="C573" s="595"/>
      <c r="D573" s="281"/>
      <c r="E573" s="146" t="s">
        <v>2243</v>
      </c>
      <c r="F573" s="3026">
        <v>4300</v>
      </c>
      <c r="G573" s="3026">
        <v>4300</v>
      </c>
      <c r="H573" s="3026">
        <v>4300</v>
      </c>
      <c r="I573" s="3028">
        <v>4300</v>
      </c>
      <c r="J573" s="3028">
        <v>4300</v>
      </c>
      <c r="K573" s="3028">
        <v>4300</v>
      </c>
      <c r="L573" s="3028">
        <v>4300</v>
      </c>
      <c r="M573" s="3029">
        <v>4300</v>
      </c>
      <c r="N573" s="276"/>
    </row>
    <row r="574" spans="1:15" s="537" customFormat="1" ht="15" customHeight="1">
      <c r="A574" s="663"/>
      <c r="B574" s="667"/>
      <c r="C574" s="595"/>
      <c r="D574" s="281"/>
      <c r="E574" s="146" t="s">
        <v>895</v>
      </c>
      <c r="F574" s="3026">
        <v>69300</v>
      </c>
      <c r="G574" s="3026">
        <v>69300</v>
      </c>
      <c r="H574" s="3026">
        <v>69300</v>
      </c>
      <c r="I574" s="3028">
        <v>69300</v>
      </c>
      <c r="J574" s="3028">
        <v>69300</v>
      </c>
      <c r="K574" s="3028">
        <v>69300</v>
      </c>
      <c r="L574" s="3028">
        <v>69300</v>
      </c>
      <c r="M574" s="3029">
        <v>69300</v>
      </c>
      <c r="N574" s="276"/>
    </row>
    <row r="575" spans="1:15" s="537" customFormat="1" ht="15" customHeight="1">
      <c r="A575" s="663"/>
      <c r="B575" s="667"/>
      <c r="C575" s="595"/>
      <c r="D575" s="281"/>
      <c r="E575" s="146" t="s">
        <v>896</v>
      </c>
      <c r="F575" s="3026">
        <v>2200</v>
      </c>
      <c r="G575" s="3026">
        <v>2200</v>
      </c>
      <c r="H575" s="3026">
        <v>2200</v>
      </c>
      <c r="I575" s="3028">
        <v>2200</v>
      </c>
      <c r="J575" s="3028">
        <v>2200</v>
      </c>
      <c r="K575" s="3028">
        <v>2200</v>
      </c>
      <c r="L575" s="3028">
        <v>2200</v>
      </c>
      <c r="M575" s="3029">
        <v>2200</v>
      </c>
      <c r="N575" s="384"/>
    </row>
    <row r="576" spans="1:15" s="537" customFormat="1" ht="15" customHeight="1">
      <c r="A576" s="663"/>
      <c r="B576" s="667"/>
      <c r="C576" s="595"/>
      <c r="D576" s="281"/>
      <c r="E576" s="146" t="s">
        <v>899</v>
      </c>
      <c r="F576" s="3026">
        <v>29593.316980420648</v>
      </c>
      <c r="G576" s="3026">
        <v>29593.316980420648</v>
      </c>
      <c r="H576" s="3026">
        <v>29593.316980420648</v>
      </c>
      <c r="I576" s="3028">
        <v>29593.316980420648</v>
      </c>
      <c r="J576" s="3028">
        <v>29593.316980420648</v>
      </c>
      <c r="K576" s="3028">
        <v>29593.316980420648</v>
      </c>
      <c r="L576" s="3028">
        <v>29593.316980420648</v>
      </c>
      <c r="M576" s="3026">
        <v>29593.316980420648</v>
      </c>
      <c r="N576" s="384"/>
    </row>
    <row r="577" spans="1:15" s="537" customFormat="1" ht="15" customHeight="1">
      <c r="A577" s="663"/>
      <c r="B577" s="667"/>
      <c r="C577" s="595"/>
      <c r="D577" s="281"/>
      <c r="E577" s="146" t="s">
        <v>2253</v>
      </c>
      <c r="F577" s="3030">
        <v>33728.571428571428</v>
      </c>
      <c r="G577" s="3030">
        <v>33728.571428571428</v>
      </c>
      <c r="H577" s="3030">
        <v>33728.571428571428</v>
      </c>
      <c r="I577" s="3028">
        <v>33728.571428571428</v>
      </c>
      <c r="J577" s="3028">
        <v>33728.571428571428</v>
      </c>
      <c r="K577" s="3028">
        <v>33728.571428571428</v>
      </c>
      <c r="L577" s="3028">
        <v>33728.571428571428</v>
      </c>
      <c r="M577" s="3026">
        <v>33728.571428571428</v>
      </c>
      <c r="N577" s="385"/>
    </row>
    <row r="578" spans="1:15" s="537" customFormat="1" ht="15" customHeight="1">
      <c r="A578" s="663"/>
      <c r="B578" s="667"/>
      <c r="C578" s="595"/>
      <c r="D578" s="281"/>
      <c r="E578" s="147" t="s">
        <v>2244</v>
      </c>
      <c r="F578" s="3008">
        <v>149112</v>
      </c>
      <c r="G578" s="3008">
        <v>149112</v>
      </c>
      <c r="H578" s="3008">
        <v>149112</v>
      </c>
      <c r="I578" s="3031">
        <v>149112</v>
      </c>
      <c r="J578" s="3031">
        <v>149112</v>
      </c>
      <c r="K578" s="3031">
        <v>149112</v>
      </c>
      <c r="L578" s="3031">
        <v>149112</v>
      </c>
      <c r="M578" s="3032">
        <v>149112</v>
      </c>
      <c r="N578" s="280"/>
    </row>
    <row r="579" spans="1:15" s="537" customFormat="1" ht="15" customHeight="1">
      <c r="A579" s="663"/>
      <c r="B579" s="667"/>
      <c r="C579" s="595"/>
      <c r="D579" s="281"/>
      <c r="E579" s="12"/>
      <c r="F579" s="752"/>
      <c r="G579" s="752"/>
      <c r="H579" s="802"/>
      <c r="I579" s="802"/>
      <c r="J579" s="802"/>
      <c r="K579" s="802"/>
      <c r="L579" s="805"/>
      <c r="M579" s="805"/>
      <c r="N579" s="280"/>
    </row>
    <row r="580" spans="1:15" s="537" customFormat="1" ht="15" customHeight="1">
      <c r="A580" s="663"/>
      <c r="B580" s="667"/>
      <c r="C580" s="595"/>
      <c r="D580" s="281"/>
      <c r="E580" s="14" t="s">
        <v>1328</v>
      </c>
      <c r="F580" s="736"/>
      <c r="G580" s="736"/>
      <c r="H580" s="736"/>
      <c r="I580" s="736"/>
      <c r="J580" s="736"/>
      <c r="K580" s="736"/>
      <c r="L580" s="736"/>
      <c r="M580" s="736"/>
      <c r="N580" s="33"/>
      <c r="O580" s="903"/>
    </row>
    <row r="581" spans="1:15" s="537" customFormat="1" ht="15" customHeight="1">
      <c r="A581" s="663"/>
      <c r="B581" s="667"/>
      <c r="C581" s="595"/>
      <c r="D581" s="281"/>
      <c r="E581" s="36"/>
      <c r="F581" s="832"/>
      <c r="G581" s="833"/>
      <c r="H581" s="829"/>
      <c r="I581" s="829"/>
      <c r="J581" s="829"/>
      <c r="K581" s="830"/>
      <c r="L581" s="830"/>
      <c r="M581" s="830"/>
      <c r="N581" s="383"/>
    </row>
    <row r="582" spans="1:15" s="537" customFormat="1" ht="15" customHeight="1">
      <c r="A582" s="663"/>
      <c r="B582" s="667"/>
      <c r="C582" s="595"/>
      <c r="D582" s="281"/>
      <c r="E582" s="36"/>
      <c r="F582" s="802"/>
      <c r="G582" s="802"/>
      <c r="H582" s="802"/>
      <c r="I582" s="802"/>
      <c r="J582" s="805"/>
      <c r="K582" s="805"/>
      <c r="L582" s="805"/>
      <c r="M582" s="802" t="s">
        <v>2272</v>
      </c>
      <c r="N582" s="383"/>
    </row>
    <row r="583" spans="1:15" s="537" customFormat="1" ht="15" customHeight="1">
      <c r="A583" s="663"/>
      <c r="B583" s="667"/>
      <c r="C583" s="595"/>
      <c r="D583" s="281"/>
      <c r="E583" s="28" t="s">
        <v>2241</v>
      </c>
      <c r="F583" s="814">
        <v>2018</v>
      </c>
      <c r="G583" s="731">
        <v>2020</v>
      </c>
      <c r="H583" s="731">
        <v>2025</v>
      </c>
      <c r="I583" s="731">
        <v>2030</v>
      </c>
      <c r="J583" s="731">
        <v>2035</v>
      </c>
      <c r="K583" s="731">
        <v>2040</v>
      </c>
      <c r="L583" s="731">
        <v>2045</v>
      </c>
      <c r="M583" s="731">
        <v>2050</v>
      </c>
      <c r="N583" s="383"/>
    </row>
    <row r="584" spans="1:15" s="537" customFormat="1" ht="15" customHeight="1">
      <c r="A584" s="663"/>
      <c r="B584" s="667"/>
      <c r="C584" s="595"/>
      <c r="D584" s="281"/>
      <c r="E584" s="191" t="s">
        <v>899</v>
      </c>
      <c r="F584" s="3033">
        <v>50000</v>
      </c>
      <c r="G584" s="3033">
        <v>50000</v>
      </c>
      <c r="H584" s="3033">
        <v>50000</v>
      </c>
      <c r="I584" s="3034">
        <v>50000</v>
      </c>
      <c r="J584" s="3034">
        <v>50000</v>
      </c>
      <c r="K584" s="3034">
        <v>50000</v>
      </c>
      <c r="L584" s="3034">
        <v>50000</v>
      </c>
      <c r="M584" s="3033">
        <v>50000</v>
      </c>
      <c r="N584" s="383"/>
    </row>
    <row r="585" spans="1:15" s="537" customFormat="1" ht="15" customHeight="1">
      <c r="A585" s="663"/>
      <c r="B585" s="667"/>
      <c r="C585" s="595"/>
      <c r="D585" s="281"/>
      <c r="E585" s="36"/>
      <c r="F585" s="832"/>
      <c r="G585" s="833"/>
      <c r="H585" s="829"/>
      <c r="I585" s="829"/>
      <c r="J585" s="829"/>
      <c r="K585" s="830"/>
      <c r="L585" s="830"/>
      <c r="M585" s="830"/>
      <c r="N585" s="383"/>
    </row>
    <row r="586" spans="1:15" s="537" customFormat="1" ht="15" customHeight="1">
      <c r="A586" s="663"/>
      <c r="B586" s="667"/>
      <c r="C586" s="595"/>
      <c r="D586" s="281"/>
      <c r="E586" s="14" t="s">
        <v>2273</v>
      </c>
      <c r="F586" s="736"/>
      <c r="G586" s="736"/>
      <c r="H586" s="736"/>
      <c r="I586" s="736"/>
      <c r="J586" s="736"/>
      <c r="K586" s="736"/>
      <c r="L586" s="736"/>
      <c r="M586" s="736"/>
      <c r="N586" s="383"/>
    </row>
    <row r="587" spans="1:15" s="537" customFormat="1" ht="15" customHeight="1">
      <c r="A587" s="663"/>
      <c r="B587" s="667"/>
      <c r="C587" s="595"/>
      <c r="D587" s="281"/>
      <c r="E587" s="36"/>
      <c r="F587" s="832"/>
      <c r="G587" s="833"/>
      <c r="H587" s="829"/>
      <c r="I587" s="829"/>
      <c r="J587" s="829"/>
      <c r="K587" s="830"/>
      <c r="L587" s="830"/>
      <c r="M587" s="830"/>
      <c r="N587" s="383"/>
    </row>
    <row r="588" spans="1:15" s="537" customFormat="1" ht="15" customHeight="1">
      <c r="A588" s="663"/>
      <c r="B588" s="667"/>
      <c r="C588" s="595"/>
      <c r="D588" s="281"/>
      <c r="E588" s="36"/>
      <c r="F588" s="802"/>
      <c r="G588" s="802"/>
      <c r="H588" s="802"/>
      <c r="I588" s="802"/>
      <c r="J588" s="805"/>
      <c r="K588" s="805"/>
      <c r="L588" s="805"/>
      <c r="M588" s="802" t="s">
        <v>2274</v>
      </c>
      <c r="N588" s="383"/>
      <c r="O588" s="903"/>
    </row>
    <row r="589" spans="1:15" s="537" customFormat="1" ht="15" customHeight="1">
      <c r="A589" s="663"/>
      <c r="B589" s="667"/>
      <c r="C589" s="595"/>
      <c r="D589" s="281"/>
      <c r="E589" s="28" t="s">
        <v>2241</v>
      </c>
      <c r="F589" s="814">
        <v>2018</v>
      </c>
      <c r="G589" s="731">
        <v>2020</v>
      </c>
      <c r="H589" s="731">
        <v>2025</v>
      </c>
      <c r="I589" s="731">
        <v>2030</v>
      </c>
      <c r="J589" s="731">
        <v>2035</v>
      </c>
      <c r="K589" s="731">
        <v>2040</v>
      </c>
      <c r="L589" s="731">
        <v>2045</v>
      </c>
      <c r="M589" s="731">
        <v>2050</v>
      </c>
      <c r="N589" s="383"/>
    </row>
    <row r="590" spans="1:15" s="537" customFormat="1" ht="15" customHeight="1">
      <c r="A590" s="663"/>
      <c r="B590" s="667"/>
      <c r="C590" s="595"/>
      <c r="D590" s="281"/>
      <c r="E590" s="191" t="s">
        <v>2275</v>
      </c>
      <c r="F590" s="3407">
        <v>699717737.66774964</v>
      </c>
      <c r="G590" s="3407">
        <v>744744990.68662381</v>
      </c>
      <c r="H590" s="3407">
        <v>817514286.69121587</v>
      </c>
      <c r="I590" s="3408">
        <v>857280390.50512767</v>
      </c>
      <c r="J590" s="3408">
        <v>881517381.82155228</v>
      </c>
      <c r="K590" s="3408">
        <v>904911872.01624382</v>
      </c>
      <c r="L590" s="3408">
        <v>927426420.75694418</v>
      </c>
      <c r="M590" s="3407">
        <v>949749227.28764784</v>
      </c>
      <c r="N590" s="383"/>
    </row>
    <row r="591" spans="1:15" s="537" customFormat="1" ht="15" customHeight="1">
      <c r="A591" s="663"/>
      <c r="B591" s="667"/>
      <c r="C591" s="595"/>
      <c r="D591" s="281"/>
      <c r="E591" s="36"/>
      <c r="F591" s="832"/>
      <c r="G591" s="833"/>
      <c r="H591" s="829"/>
      <c r="I591" s="829"/>
      <c r="J591" s="829"/>
      <c r="K591" s="830"/>
      <c r="L591" s="830"/>
      <c r="M591" s="830"/>
      <c r="N591" s="383"/>
    </row>
    <row r="592" spans="1:15" s="537" customFormat="1" ht="15" customHeight="1">
      <c r="A592" s="663"/>
      <c r="B592" s="667"/>
      <c r="C592" s="595"/>
      <c r="D592" s="281"/>
      <c r="E592" s="14" t="s">
        <v>924</v>
      </c>
      <c r="F592" s="736"/>
      <c r="G592" s="736"/>
      <c r="H592" s="736"/>
      <c r="I592" s="736"/>
      <c r="J592" s="736"/>
      <c r="K592" s="736"/>
      <c r="L592" s="736"/>
      <c r="M592" s="736"/>
      <c r="N592" s="1504"/>
    </row>
    <row r="593" spans="4:15" ht="15" customHeight="1">
      <c r="D593" s="281"/>
      <c r="E593" s="386"/>
      <c r="F593" s="834"/>
      <c r="G593" s="2707"/>
      <c r="H593" s="2706"/>
      <c r="I593" s="2706"/>
      <c r="J593" s="2706"/>
      <c r="K593" s="2705"/>
      <c r="L593" s="2705"/>
      <c r="M593" s="2705"/>
      <c r="N593" s="1504"/>
    </row>
    <row r="594" spans="4:15" ht="15" customHeight="1">
      <c r="D594" s="281"/>
      <c r="E594" s="28" t="s">
        <v>859</v>
      </c>
      <c r="F594" s="762" t="s">
        <v>2276</v>
      </c>
      <c r="G594" s="733"/>
      <c r="H594" s="733"/>
      <c r="I594" s="733"/>
      <c r="J594" s="733"/>
      <c r="K594" s="733"/>
      <c r="L594" s="733"/>
      <c r="M594" s="733"/>
      <c r="N594" s="1504"/>
    </row>
    <row r="595" spans="4:15" ht="15" customHeight="1">
      <c r="D595" s="281"/>
      <c r="E595" s="279" t="s">
        <v>887</v>
      </c>
      <c r="F595" s="3033">
        <v>5</v>
      </c>
      <c r="G595" s="743"/>
      <c r="H595" s="743"/>
      <c r="I595" s="743"/>
      <c r="J595" s="743"/>
      <c r="K595" s="743"/>
      <c r="L595" s="743"/>
      <c r="M595" s="743"/>
      <c r="N595" s="1504"/>
    </row>
    <row r="596" spans="4:15" ht="15" customHeight="1">
      <c r="D596" s="281"/>
      <c r="E596" s="30"/>
      <c r="F596" s="743"/>
      <c r="G596" s="743"/>
      <c r="H596" s="743"/>
      <c r="I596" s="743"/>
      <c r="J596" s="743"/>
      <c r="K596" s="743"/>
      <c r="L596" s="743"/>
      <c r="M596" s="743"/>
      <c r="N596" s="1504"/>
    </row>
    <row r="597" spans="4:15" ht="15" customHeight="1">
      <c r="D597" s="281"/>
      <c r="E597" s="340" t="s">
        <v>2249</v>
      </c>
      <c r="F597" s="760"/>
      <c r="G597" s="727"/>
      <c r="H597" s="727"/>
      <c r="I597" s="2704"/>
      <c r="J597" s="2704"/>
      <c r="K597" s="2704"/>
      <c r="L597" s="727"/>
      <c r="M597" s="733"/>
      <c r="N597" s="1504"/>
    </row>
    <row r="598" spans="4:15" ht="15" customHeight="1">
      <c r="D598" s="281"/>
      <c r="E598" s="28" t="s">
        <v>859</v>
      </c>
      <c r="F598" s="762" t="s">
        <v>2276</v>
      </c>
      <c r="G598" s="733"/>
      <c r="H598" s="733"/>
      <c r="I598" s="2703"/>
      <c r="J598" s="2702"/>
      <c r="K598" s="2701"/>
      <c r="L598" s="733"/>
      <c r="M598" s="733"/>
      <c r="N598" s="1504"/>
    </row>
    <row r="599" spans="4:15" ht="15" customHeight="1">
      <c r="D599" s="281"/>
      <c r="E599" s="30" t="s">
        <v>2277</v>
      </c>
      <c r="F599" s="3027">
        <v>15</v>
      </c>
      <c r="G599" s="743"/>
      <c r="H599" s="743"/>
      <c r="I599" s="2703"/>
      <c r="J599" s="2702"/>
      <c r="K599" s="2701"/>
      <c r="L599" s="743"/>
      <c r="M599" s="743"/>
      <c r="N599" s="1504"/>
    </row>
    <row r="600" spans="4:15" ht="15" customHeight="1">
      <c r="D600" s="281"/>
      <c r="E600" s="30" t="s">
        <v>2278</v>
      </c>
      <c r="F600" s="3027">
        <v>15</v>
      </c>
      <c r="G600" s="743"/>
      <c r="H600" s="743"/>
      <c r="I600" s="2703"/>
      <c r="J600" s="2702"/>
      <c r="K600" s="2701"/>
      <c r="L600" s="743"/>
      <c r="M600" s="743"/>
      <c r="N600" s="1504"/>
    </row>
    <row r="601" spans="4:15" ht="15" customHeight="1">
      <c r="D601" s="281"/>
      <c r="E601" s="30" t="s">
        <v>2279</v>
      </c>
      <c r="F601" s="3027">
        <v>15</v>
      </c>
      <c r="G601" s="743"/>
      <c r="H601" s="743"/>
      <c r="I601" s="2703"/>
      <c r="J601" s="2702"/>
      <c r="K601" s="2701"/>
      <c r="L601" s="743"/>
      <c r="M601" s="743"/>
      <c r="N601" s="1504"/>
    </row>
    <row r="602" spans="4:15" ht="15" customHeight="1">
      <c r="D602" s="281"/>
      <c r="E602" s="30" t="s">
        <v>2262</v>
      </c>
      <c r="F602" s="3027">
        <v>15</v>
      </c>
      <c r="G602" s="743"/>
      <c r="H602" s="743"/>
      <c r="I602" s="2703"/>
      <c r="J602" s="2702"/>
      <c r="K602" s="2701"/>
      <c r="L602" s="743"/>
      <c r="M602" s="743"/>
      <c r="N602" s="1504"/>
    </row>
    <row r="603" spans="4:15" ht="15" customHeight="1">
      <c r="D603" s="281"/>
      <c r="E603" s="32" t="s">
        <v>893</v>
      </c>
      <c r="F603" s="3032">
        <v>15</v>
      </c>
      <c r="G603" s="743"/>
      <c r="H603" s="743"/>
      <c r="I603" s="2703"/>
      <c r="J603" s="2702"/>
      <c r="K603" s="2701"/>
      <c r="L603" s="743"/>
      <c r="M603" s="743"/>
      <c r="N603" s="1504"/>
    </row>
    <row r="604" spans="4:15" ht="15" customHeight="1">
      <c r="D604" s="281"/>
      <c r="E604" s="30"/>
      <c r="F604" s="743"/>
      <c r="G604" s="743"/>
      <c r="H604" s="743"/>
      <c r="I604" s="2703"/>
      <c r="J604" s="2702"/>
      <c r="K604" s="2701"/>
      <c r="L604" s="743"/>
      <c r="M604" s="743"/>
      <c r="N604" s="1504"/>
      <c r="O604" s="2708"/>
    </row>
    <row r="605" spans="4:15" ht="15" customHeight="1">
      <c r="D605" s="281"/>
      <c r="E605" s="912" t="s">
        <v>895</v>
      </c>
      <c r="F605" s="760"/>
      <c r="G605" s="727"/>
      <c r="H605" s="727"/>
      <c r="I605" s="2703"/>
      <c r="J605" s="2702"/>
      <c r="K605" s="2701"/>
      <c r="L605" s="727"/>
      <c r="M605" s="733"/>
      <c r="N605" s="1504"/>
    </row>
    <row r="606" spans="4:15" ht="15" customHeight="1">
      <c r="D606" s="281"/>
      <c r="E606" s="911" t="s">
        <v>859</v>
      </c>
      <c r="F606" s="762" t="s">
        <v>2276</v>
      </c>
      <c r="G606" s="733"/>
      <c r="H606" s="733"/>
      <c r="I606" s="2703"/>
      <c r="J606" s="2702"/>
      <c r="K606" s="2701"/>
      <c r="L606" s="733"/>
      <c r="M606" s="733"/>
      <c r="N606" s="1504"/>
    </row>
    <row r="607" spans="4:15" ht="15" customHeight="1">
      <c r="D607" s="281"/>
      <c r="E607" s="30" t="s">
        <v>2280</v>
      </c>
      <c r="F607" s="3027">
        <v>12</v>
      </c>
      <c r="G607" s="743"/>
      <c r="H607" s="743"/>
      <c r="I607" s="2703"/>
      <c r="J607" s="2702"/>
      <c r="K607" s="2701"/>
      <c r="L607" s="743"/>
      <c r="M607" s="743"/>
      <c r="N607" s="1504"/>
    </row>
    <row r="608" spans="4:15" ht="15" customHeight="1">
      <c r="D608" s="281"/>
      <c r="E608" s="30" t="s">
        <v>2278</v>
      </c>
      <c r="F608" s="3027">
        <v>12</v>
      </c>
      <c r="G608" s="743"/>
      <c r="H608" s="743"/>
      <c r="I608" s="2703"/>
      <c r="J608" s="2702"/>
      <c r="K608" s="2701"/>
      <c r="L608" s="743"/>
      <c r="M608" s="743"/>
      <c r="N608" s="1504"/>
    </row>
    <row r="609" spans="4:14" ht="15" customHeight="1">
      <c r="D609" s="281"/>
      <c r="E609" s="30" t="s">
        <v>2279</v>
      </c>
      <c r="F609" s="3027">
        <v>12</v>
      </c>
      <c r="G609" s="743"/>
      <c r="H609" s="743"/>
      <c r="I609" s="2703"/>
      <c r="J609" s="2702"/>
      <c r="K609" s="2701"/>
      <c r="L609" s="743"/>
      <c r="M609" s="743"/>
      <c r="N609" s="1504"/>
    </row>
    <row r="610" spans="4:14" ht="15" customHeight="1">
      <c r="D610" s="281"/>
      <c r="E610" s="30" t="s">
        <v>2262</v>
      </c>
      <c r="F610" s="3027">
        <v>12</v>
      </c>
      <c r="G610" s="743"/>
      <c r="H610" s="743"/>
      <c r="I610" s="2703"/>
      <c r="J610" s="2702"/>
      <c r="K610" s="2701"/>
      <c r="L610" s="743"/>
      <c r="M610" s="743"/>
      <c r="N610" s="1504"/>
    </row>
    <row r="611" spans="4:14" ht="15" customHeight="1">
      <c r="D611" s="281"/>
      <c r="E611" s="32" t="s">
        <v>893</v>
      </c>
      <c r="F611" s="3032">
        <v>12</v>
      </c>
      <c r="G611" s="743"/>
      <c r="H611" s="743"/>
      <c r="I611" s="2703"/>
      <c r="J611" s="2702"/>
      <c r="K611" s="2701"/>
      <c r="L611" s="743"/>
      <c r="M611" s="743"/>
      <c r="N611" s="1504"/>
    </row>
    <row r="612" spans="4:14" ht="15" customHeight="1">
      <c r="D612" s="281"/>
      <c r="E612" s="30"/>
      <c r="F612" s="743"/>
      <c r="G612" s="743"/>
      <c r="H612" s="743"/>
      <c r="I612" s="2703"/>
      <c r="J612" s="2702"/>
      <c r="K612" s="2701"/>
      <c r="L612" s="743"/>
      <c r="M612" s="743"/>
      <c r="N612" s="1504"/>
    </row>
    <row r="613" spans="4:14" ht="15" customHeight="1">
      <c r="D613" s="281"/>
      <c r="E613" s="912" t="s">
        <v>896</v>
      </c>
      <c r="F613" s="760"/>
      <c r="G613" s="727"/>
      <c r="H613" s="727"/>
      <c r="I613" s="2703"/>
      <c r="J613" s="2702"/>
      <c r="K613" s="2701"/>
      <c r="L613" s="727"/>
      <c r="M613" s="733"/>
      <c r="N613" s="1504"/>
    </row>
    <row r="614" spans="4:14" ht="15" customHeight="1">
      <c r="D614" s="281"/>
      <c r="E614" s="911" t="s">
        <v>859</v>
      </c>
      <c r="F614" s="762" t="s">
        <v>2276</v>
      </c>
      <c r="G614" s="733"/>
      <c r="H614" s="733"/>
      <c r="I614" s="2703"/>
      <c r="J614" s="2702"/>
      <c r="K614" s="2701"/>
      <c r="L614" s="733"/>
      <c r="M614" s="733"/>
      <c r="N614" s="1504"/>
    </row>
    <row r="615" spans="4:14" ht="15" customHeight="1">
      <c r="D615" s="281"/>
      <c r="E615" s="30" t="s">
        <v>897</v>
      </c>
      <c r="F615" s="3027">
        <v>15</v>
      </c>
      <c r="G615" s="743"/>
      <c r="H615" s="743"/>
      <c r="I615" s="2703"/>
      <c r="J615" s="2702"/>
      <c r="K615" s="2701"/>
      <c r="L615" s="743"/>
      <c r="M615" s="743"/>
      <c r="N615" s="1504"/>
    </row>
    <row r="616" spans="4:14" ht="15" customHeight="1">
      <c r="D616" s="281"/>
      <c r="E616" s="30" t="s">
        <v>898</v>
      </c>
      <c r="F616" s="3027">
        <v>15</v>
      </c>
      <c r="G616" s="743"/>
      <c r="H616" s="743"/>
      <c r="I616" s="2703"/>
      <c r="J616" s="2702"/>
      <c r="K616" s="2701"/>
      <c r="L616" s="743"/>
      <c r="M616" s="743"/>
      <c r="N616" s="1504"/>
    </row>
    <row r="617" spans="4:14" ht="15" customHeight="1">
      <c r="D617" s="281"/>
      <c r="E617" s="32" t="s">
        <v>2262</v>
      </c>
      <c r="F617" s="3032">
        <v>15</v>
      </c>
      <c r="G617" s="743"/>
      <c r="H617" s="743"/>
      <c r="I617" s="2703"/>
      <c r="J617" s="2702"/>
      <c r="K617" s="2701"/>
      <c r="L617" s="743"/>
      <c r="M617" s="743"/>
      <c r="N617" s="1504"/>
    </row>
    <row r="618" spans="4:14" ht="15" customHeight="1">
      <c r="D618" s="281"/>
      <c r="E618" s="30"/>
      <c r="F618" s="743"/>
      <c r="G618" s="743"/>
      <c r="H618" s="743"/>
      <c r="I618" s="2703"/>
      <c r="J618" s="2702"/>
      <c r="K618" s="2701"/>
      <c r="L618" s="743"/>
      <c r="M618" s="743"/>
      <c r="N618" s="1504"/>
    </row>
    <row r="619" spans="4:14" ht="15" customHeight="1">
      <c r="D619" s="281"/>
      <c r="E619" s="912" t="s">
        <v>899</v>
      </c>
      <c r="F619" s="760"/>
      <c r="G619" s="727"/>
      <c r="H619" s="727"/>
      <c r="I619" s="2703"/>
      <c r="J619" s="2702"/>
      <c r="K619" s="2701"/>
      <c r="L619" s="727"/>
      <c r="M619" s="733"/>
      <c r="N619" s="1504"/>
    </row>
    <row r="620" spans="4:14" ht="15" customHeight="1">
      <c r="D620" s="281"/>
      <c r="E620" s="911" t="s">
        <v>859</v>
      </c>
      <c r="F620" s="762" t="s">
        <v>2276</v>
      </c>
      <c r="G620" s="733"/>
      <c r="H620" s="733"/>
      <c r="I620" s="2703"/>
      <c r="J620" s="2702"/>
      <c r="K620" s="2701"/>
      <c r="L620" s="733"/>
      <c r="M620" s="733"/>
      <c r="N620" s="1504"/>
    </row>
    <row r="621" spans="4:14" ht="15" customHeight="1">
      <c r="D621" s="281"/>
      <c r="E621" s="30" t="s">
        <v>2280</v>
      </c>
      <c r="F621" s="3027">
        <v>18</v>
      </c>
      <c r="G621" s="743"/>
      <c r="H621" s="743"/>
      <c r="I621" s="2703"/>
      <c r="J621" s="2702"/>
      <c r="K621" s="2701"/>
      <c r="L621" s="743"/>
      <c r="M621" s="743"/>
      <c r="N621" s="1504"/>
    </row>
    <row r="622" spans="4:14" ht="15" customHeight="1">
      <c r="D622" s="281"/>
      <c r="E622" s="30" t="s">
        <v>2278</v>
      </c>
      <c r="F622" s="3027">
        <v>18</v>
      </c>
      <c r="G622" s="743"/>
      <c r="H622" s="743"/>
      <c r="I622" s="2703"/>
      <c r="J622" s="2702"/>
      <c r="K622" s="2701"/>
      <c r="L622" s="743"/>
      <c r="M622" s="743"/>
      <c r="N622" s="1504"/>
    </row>
    <row r="623" spans="4:14" ht="15" customHeight="1">
      <c r="D623" s="281"/>
      <c r="E623" s="30" t="s">
        <v>2279</v>
      </c>
      <c r="F623" s="3027">
        <v>15</v>
      </c>
      <c r="G623" s="743"/>
      <c r="H623" s="743"/>
      <c r="I623" s="743"/>
      <c r="J623" s="743"/>
      <c r="K623" s="743"/>
      <c r="L623" s="743"/>
      <c r="M623" s="743"/>
      <c r="N623" s="1504"/>
    </row>
    <row r="624" spans="4:14" ht="15" customHeight="1">
      <c r="D624" s="281"/>
      <c r="E624" s="30" t="s">
        <v>2262</v>
      </c>
      <c r="F624" s="3027">
        <v>15</v>
      </c>
      <c r="G624" s="743"/>
      <c r="H624" s="743"/>
      <c r="I624" s="743"/>
      <c r="J624" s="743"/>
      <c r="K624" s="743"/>
      <c r="L624" s="743"/>
      <c r="M624" s="743"/>
      <c r="N624" s="1504"/>
    </row>
    <row r="625" spans="4:16" ht="15" customHeight="1">
      <c r="D625" s="281"/>
      <c r="E625" s="32" t="s">
        <v>893</v>
      </c>
      <c r="F625" s="3032">
        <v>18</v>
      </c>
      <c r="G625" s="743"/>
      <c r="H625" s="743"/>
      <c r="I625" s="743"/>
      <c r="J625" s="743"/>
      <c r="K625" s="743"/>
      <c r="L625" s="743"/>
      <c r="M625" s="743"/>
      <c r="N625" s="1504"/>
    </row>
    <row r="626" spans="4:16" ht="15" customHeight="1">
      <c r="D626" s="281"/>
      <c r="E626" s="35"/>
      <c r="F626" s="733"/>
      <c r="G626" s="733"/>
      <c r="H626" s="733"/>
      <c r="I626" s="733"/>
      <c r="J626" s="733"/>
      <c r="K626" s="733"/>
      <c r="L626" s="733"/>
      <c r="M626" s="733"/>
      <c r="N626" s="1504"/>
    </row>
    <row r="627" spans="4:16" ht="15" customHeight="1">
      <c r="D627" s="281"/>
      <c r="E627" s="912" t="s">
        <v>900</v>
      </c>
      <c r="F627" s="760"/>
      <c r="G627" s="727"/>
      <c r="H627" s="727"/>
      <c r="I627" s="727"/>
      <c r="J627" s="727"/>
      <c r="K627" s="727"/>
      <c r="L627" s="727"/>
      <c r="M627" s="733"/>
      <c r="N627" s="1504"/>
    </row>
    <row r="628" spans="4:16" ht="15" customHeight="1">
      <c r="D628" s="281"/>
      <c r="E628" s="911" t="s">
        <v>859</v>
      </c>
      <c r="F628" s="762" t="s">
        <v>2276</v>
      </c>
      <c r="G628" s="733"/>
      <c r="H628" s="733"/>
      <c r="I628" s="733"/>
      <c r="J628" s="733"/>
      <c r="K628" s="733"/>
      <c r="L628" s="733"/>
      <c r="M628" s="733"/>
      <c r="N628" s="1504"/>
    </row>
    <row r="629" spans="4:16" ht="15" customHeight="1">
      <c r="D629" s="281"/>
      <c r="E629" s="30" t="s">
        <v>2278</v>
      </c>
      <c r="F629" s="3027">
        <v>12</v>
      </c>
      <c r="G629" s="743"/>
      <c r="H629" s="743"/>
      <c r="I629" s="743"/>
      <c r="J629" s="743"/>
      <c r="K629" s="743"/>
      <c r="L629" s="743"/>
      <c r="M629" s="743"/>
      <c r="N629" s="1504"/>
    </row>
    <row r="630" spans="4:16" ht="15" customHeight="1">
      <c r="D630" s="281"/>
      <c r="E630" s="30" t="s">
        <v>2281</v>
      </c>
      <c r="F630" s="3027">
        <v>12</v>
      </c>
      <c r="G630" s="743"/>
      <c r="H630" s="743"/>
      <c r="I630" s="743"/>
      <c r="J630" s="743"/>
      <c r="K630" s="743"/>
      <c r="L630" s="743"/>
      <c r="M630" s="743"/>
      <c r="N630" s="1504"/>
    </row>
    <row r="631" spans="4:16" ht="15" customHeight="1">
      <c r="D631" s="281"/>
      <c r="E631" s="30" t="s">
        <v>2262</v>
      </c>
      <c r="F631" s="3027">
        <v>12</v>
      </c>
      <c r="G631" s="743"/>
      <c r="H631" s="743"/>
      <c r="I631" s="743"/>
      <c r="J631" s="743"/>
      <c r="K631" s="743"/>
      <c r="L631" s="743"/>
      <c r="M631" s="743"/>
      <c r="N631" s="1504"/>
    </row>
    <row r="632" spans="4:16" ht="15" customHeight="1">
      <c r="D632" s="281"/>
      <c r="E632" s="32" t="s">
        <v>893</v>
      </c>
      <c r="F632" s="3032">
        <v>12</v>
      </c>
      <c r="G632" s="743"/>
      <c r="H632" s="743"/>
      <c r="I632" s="743"/>
      <c r="J632" s="743"/>
      <c r="K632" s="743"/>
      <c r="L632" s="743"/>
      <c r="M632" s="743"/>
      <c r="N632" s="1504"/>
      <c r="P632" s="2029"/>
    </row>
    <row r="633" spans="4:16" ht="15" customHeight="1">
      <c r="D633" s="281"/>
      <c r="E633" s="26"/>
      <c r="F633" s="727"/>
      <c r="G633" s="727"/>
      <c r="H633" s="727"/>
      <c r="I633" s="727"/>
      <c r="J633" s="727"/>
      <c r="K633" s="727"/>
      <c r="L633" s="727"/>
      <c r="M633" s="733"/>
      <c r="N633" s="1504"/>
    </row>
    <row r="634" spans="4:16" ht="15" customHeight="1">
      <c r="D634" s="281"/>
      <c r="E634" s="912" t="s">
        <v>2244</v>
      </c>
      <c r="F634" s="760"/>
      <c r="G634" s="727"/>
      <c r="H634" s="727"/>
      <c r="I634" s="727"/>
      <c r="J634" s="727"/>
      <c r="K634" s="727"/>
      <c r="L634" s="727"/>
      <c r="M634" s="733"/>
      <c r="N634" s="1504"/>
    </row>
    <row r="635" spans="4:16" ht="15" customHeight="1">
      <c r="D635" s="281"/>
      <c r="E635" s="911" t="s">
        <v>859</v>
      </c>
      <c r="F635" s="762" t="s">
        <v>2276</v>
      </c>
      <c r="G635" s="733"/>
      <c r="H635" s="733"/>
      <c r="I635" s="733"/>
      <c r="J635" s="733"/>
      <c r="K635" s="733"/>
      <c r="L635" s="733"/>
      <c r="M635" s="733"/>
      <c r="N635" s="1504"/>
    </row>
    <row r="636" spans="4:16" ht="15" customHeight="1">
      <c r="D636" s="281"/>
      <c r="E636" s="30" t="s">
        <v>526</v>
      </c>
      <c r="F636" s="3027">
        <v>40</v>
      </c>
      <c r="G636" s="743"/>
      <c r="H636" s="743"/>
      <c r="I636" s="743"/>
      <c r="J636" s="743"/>
      <c r="K636" s="743"/>
      <c r="L636" s="743"/>
      <c r="M636" s="743"/>
      <c r="N636" s="1504"/>
    </row>
    <row r="637" spans="4:16" ht="15" customHeight="1">
      <c r="D637" s="281"/>
      <c r="E637" s="32" t="s">
        <v>601</v>
      </c>
      <c r="F637" s="3032">
        <v>40</v>
      </c>
      <c r="G637" s="743"/>
      <c r="H637" s="743"/>
      <c r="I637" s="743"/>
      <c r="J637" s="743"/>
      <c r="K637" s="743"/>
      <c r="L637" s="743"/>
      <c r="M637" s="743"/>
      <c r="N637" s="1504"/>
    </row>
    <row r="638" spans="4:16" ht="15" customHeight="1">
      <c r="D638" s="281"/>
      <c r="E638" s="30"/>
      <c r="F638" s="2701"/>
      <c r="G638" s="743"/>
      <c r="H638" s="743"/>
      <c r="I638" s="743"/>
      <c r="J638" s="743"/>
      <c r="K638" s="743"/>
      <c r="L638" s="743"/>
      <c r="M638" s="743"/>
      <c r="N638" s="1504"/>
      <c r="P638" s="2029"/>
    </row>
    <row r="639" spans="4:16" ht="15" customHeight="1">
      <c r="D639" s="281"/>
      <c r="E639" s="14" t="s">
        <v>2282</v>
      </c>
      <c r="F639" s="14"/>
      <c r="G639" s="14"/>
      <c r="H639" s="14"/>
      <c r="I639" s="14"/>
      <c r="J639" s="14"/>
      <c r="K639" s="14"/>
      <c r="L639" s="14"/>
      <c r="M639" s="14"/>
      <c r="N639" s="383"/>
    </row>
    <row r="640" spans="4:16" ht="15" customHeight="1">
      <c r="D640" s="281"/>
      <c r="E640" s="914"/>
      <c r="F640" s="37"/>
      <c r="G640" s="37"/>
      <c r="H640" s="37"/>
      <c r="I640" s="37"/>
      <c r="J640" s="37"/>
      <c r="K640" s="37"/>
      <c r="L640" s="37"/>
      <c r="M640" s="341" t="s">
        <v>2283</v>
      </c>
      <c r="N640" s="383"/>
      <c r="O640" s="579"/>
    </row>
    <row r="641" spans="1:48" ht="15" customHeight="1">
      <c r="D641" s="281"/>
      <c r="E641" s="911" t="s">
        <v>859</v>
      </c>
      <c r="F641" s="902">
        <v>2018</v>
      </c>
      <c r="G641" s="902">
        <v>2020</v>
      </c>
      <c r="H641" s="902">
        <v>2025</v>
      </c>
      <c r="I641" s="902">
        <v>2030</v>
      </c>
      <c r="J641" s="902">
        <v>2035</v>
      </c>
      <c r="K641" s="902">
        <v>2040</v>
      </c>
      <c r="L641" s="902">
        <v>2045</v>
      </c>
      <c r="M641" s="902">
        <v>2050</v>
      </c>
      <c r="N641" s="383"/>
      <c r="O641" s="579"/>
      <c r="Q641" s="2029"/>
    </row>
    <row r="642" spans="1:48" ht="15" customHeight="1">
      <c r="D642" s="281"/>
      <c r="E642" s="279" t="s">
        <v>887</v>
      </c>
      <c r="F642" s="2995" cm="1">
        <f t="array" ref="F642:M642">(GEN_POBLACION_CABECERA*(INDEX(F351:M351,0,0))*(INDEX(ST_TRANSPORTE_URBANO_DISTRIBUCION_MODAL,2,0))*(INDEX(ST_TRANSPORTE_URBANO_DISTRIBUCION_TECNOLOGIA_BICICLETA,0,0)*(INDEX(ST_TRANSPORTE_URBANO_DISTANCIA_PROMEDIO_POR_VIAJE_POR_MODO,BICICLETA,0))/INDEX(SF_TRANSPORTE_URBANO_DISTANCIA_VIAJADA_POR_MODO,1,0)))</f>
        <v>140736.01530909914</v>
      </c>
      <c r="G642" s="2995">
        <v>159278.10900469168</v>
      </c>
      <c r="H642" s="2995">
        <v>198654.28740596265</v>
      </c>
      <c r="I642" s="2995">
        <v>230290.03539516393</v>
      </c>
      <c r="J642" s="2995">
        <v>255796.62983898327</v>
      </c>
      <c r="K642" s="2995">
        <v>280373.26014832687</v>
      </c>
      <c r="L642" s="2995">
        <v>305490.8726315021</v>
      </c>
      <c r="M642" s="2996">
        <v>331787.15299737168</v>
      </c>
      <c r="N642" s="383"/>
      <c r="O642" s="579"/>
      <c r="P642" s="653"/>
      <c r="Q642" s="653"/>
    </row>
    <row r="643" spans="1:48" ht="15" customHeight="1">
      <c r="D643" s="281"/>
      <c r="E643" s="30"/>
      <c r="F643" s="33"/>
      <c r="G643" s="33"/>
      <c r="H643" s="33"/>
      <c r="I643" s="33"/>
      <c r="J643" s="33"/>
      <c r="K643" s="33"/>
      <c r="L643" s="33"/>
      <c r="M643" s="33"/>
      <c r="N643" s="383"/>
      <c r="O643" s="579"/>
    </row>
    <row r="644" spans="1:48" ht="15" customHeight="1">
      <c r="D644" s="281"/>
      <c r="E644" s="340" t="s">
        <v>2249</v>
      </c>
      <c r="F644" s="33"/>
      <c r="G644" s="33"/>
      <c r="H644" s="33"/>
      <c r="I644" s="33"/>
      <c r="J644" s="33"/>
      <c r="K644" s="33"/>
      <c r="L644" s="33"/>
      <c r="M644" s="341" t="s">
        <v>2283</v>
      </c>
      <c r="N644" s="383"/>
      <c r="O644" s="579"/>
    </row>
    <row r="645" spans="1:48" ht="15" customHeight="1">
      <c r="D645" s="281"/>
      <c r="E645" s="911" t="s">
        <v>859</v>
      </c>
      <c r="F645" s="902">
        <v>2018</v>
      </c>
      <c r="G645" s="902">
        <v>2020</v>
      </c>
      <c r="H645" s="902">
        <v>2025</v>
      </c>
      <c r="I645" s="902">
        <v>2030</v>
      </c>
      <c r="J645" s="902">
        <v>2035</v>
      </c>
      <c r="K645" s="902">
        <v>2040</v>
      </c>
      <c r="L645" s="902">
        <v>2045</v>
      </c>
      <c r="M645" s="902">
        <v>2050</v>
      </c>
      <c r="N645" s="383"/>
      <c r="O645" s="579"/>
      <c r="R645" s="2029"/>
    </row>
    <row r="646" spans="1:48" s="574" customFormat="1" ht="15" customHeight="1">
      <c r="A646" s="663"/>
      <c r="B646" s="667"/>
      <c r="D646" s="281"/>
      <c r="E646" s="337" t="s">
        <v>889</v>
      </c>
      <c r="F646" s="2997" cm="1">
        <f t="array" ref="F646:M646">(GEN_POBLACION_CABECERA*(INDEX(F351:M351,0,0))*(INDEX(ST_TRANSPORTE_URBANO_DISTRIBUCION_MODAL,3,0))*(INDEX(ST_TRANSPORTE_URBANO_DISTRIBUCION_TECNOLOGIA_VEHICULOS,1,0)*(INDEX(ST_TRANSPORTE_URBANO_DISTANCIA_PROMEDIO_POR_VIAJE_POR_MODO,3,0))/INDEX(SF_TRANSPORTE_URBANO_DISTANCIA_VIAJADA_POR_MODO,2,0)))</f>
        <v>27929.17034256921</v>
      </c>
      <c r="G646" s="2997">
        <v>31500.071839977598</v>
      </c>
      <c r="H646" s="2997">
        <v>32195.145820394522</v>
      </c>
      <c r="I646" s="2997">
        <v>33377.537919452458</v>
      </c>
      <c r="J646" s="2997">
        <v>36424.685052556066</v>
      </c>
      <c r="K646" s="2997">
        <v>40230.62913537956</v>
      </c>
      <c r="L646" s="2997">
        <v>44526.707626477437</v>
      </c>
      <c r="M646" s="2997">
        <v>49149.246243012785</v>
      </c>
      <c r="N646" s="383"/>
      <c r="O646" s="579"/>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spans="1:48" s="574" customFormat="1" ht="15" customHeight="1">
      <c r="A647" s="663"/>
      <c r="B647" s="667"/>
      <c r="D647" s="281"/>
      <c r="E647" s="30" t="s">
        <v>2257</v>
      </c>
      <c r="F647" s="2998" cm="1">
        <f t="array" ref="F647:M647">(GEN_POBLACION_CABECERA*(INDEX(F351:M351,0,0))*(INDEX(ST_TRANSPORTE_URBANO_DISTRIBUCION_MODAL,3,0))*(INDEX(ST_TRANSPORTE_URBANO_DISTRIBUCION_TECNOLOGIA_VEHICULOS,2,0)*(INDEX(ST_TRANSPORTE_URBANO_DISTANCIA_PROMEDIO_POR_VIAJE_POR_MODO,3,0))/INDEX(SF_TRANSPORTE_URBANO_DISTANCIA_VIAJADA_POR_MODO,2,0)))</f>
        <v>593.64806697686049</v>
      </c>
      <c r="G647" s="2998">
        <v>801.04228204010553</v>
      </c>
      <c r="H647" s="2998">
        <v>1016.9137523894102</v>
      </c>
      <c r="I647" s="2998">
        <v>1199.5392485119812</v>
      </c>
      <c r="J647" s="2998">
        <v>1355.3708852961113</v>
      </c>
      <c r="K647" s="2998">
        <v>1510.772825071813</v>
      </c>
      <c r="L647" s="2998">
        <v>1673.5527141291363</v>
      </c>
      <c r="M647" s="2998">
        <v>1847.406969781041</v>
      </c>
      <c r="N647" s="383"/>
      <c r="O647" s="579"/>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spans="1:48" s="574" customFormat="1" ht="15" customHeight="1">
      <c r="A648" s="663"/>
      <c r="B648" s="667"/>
      <c r="D648" s="281"/>
      <c r="E648" s="30" t="s">
        <v>2250</v>
      </c>
      <c r="F648" s="2998" cm="1">
        <f t="array" ref="F648:M648">(GEN_POBLACION_CABECERA*(INDEX(F351:M351,0,0))*(INDEX(ST_TRANSPORTE_URBANO_DISTRIBUCION_MODAL,3,0))*(INDEX(ST_TRANSPORTE_URBANO_DISTRIBUCION_TECNOLOGIA_VEHICULOS,3,0)*(INDEX(ST_TRANSPORTE_URBANO_DISTANCIA_PROMEDIO_POR_VIAJE_POR_MODO,3,0))/INDEX(SF_TRANSPORTE_URBANO_DISTANCIA_VIAJADA_POR_MODO,2,0)))</f>
        <v>0</v>
      </c>
      <c r="G648" s="2998">
        <v>0</v>
      </c>
      <c r="H648" s="2998">
        <v>0</v>
      </c>
      <c r="I648" s="2998">
        <v>0</v>
      </c>
      <c r="J648" s="2998">
        <v>0</v>
      </c>
      <c r="K648" s="2998">
        <v>0</v>
      </c>
      <c r="L648" s="2998">
        <v>0</v>
      </c>
      <c r="M648" s="2998">
        <v>0</v>
      </c>
      <c r="N648" s="383"/>
      <c r="O648" s="579"/>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spans="1:48" s="574" customFormat="1" ht="15" customHeight="1">
      <c r="A649" s="663"/>
      <c r="B649" s="667"/>
      <c r="D649" s="281"/>
      <c r="E649" s="30" t="s">
        <v>893</v>
      </c>
      <c r="F649" s="2998" cm="1">
        <f t="array" ref="F649:M649">(GEN_POBLACION_CABECERA*(INDEX(F351:M351,0,0))*(INDEX(ST_TRANSPORTE_URBANO_DISTRIBUCION_MODAL,3,0))*(INDEX(ST_TRANSPORTE_URBANO_DISTRIBUCION_TECNOLOGIA_VEHICULOS,4,0)*(INDEX(ST_TRANSPORTE_URBANO_DISTANCIA_PROMEDIO_POR_VIAJE_POR_MODO,3,0))/INDEX(SF_TRANSPORTE_URBANO_DISTANCIA_VIAJADA_POR_MODO,2,0)))</f>
        <v>28.568241914189631</v>
      </c>
      <c r="G649" s="2998">
        <v>0.6601090086857071</v>
      </c>
      <c r="H649" s="2998">
        <v>0.83800062001599529</v>
      </c>
      <c r="I649" s="2998">
        <v>0.98849546642932107</v>
      </c>
      <c r="J649" s="2998">
        <v>1.1169104946815918</v>
      </c>
      <c r="K649" s="2998">
        <v>1.2449714256875262</v>
      </c>
      <c r="L649" s="2998">
        <v>1.3791122489733305</v>
      </c>
      <c r="M649" s="2998">
        <v>1.5223790439069147</v>
      </c>
      <c r="N649" s="383"/>
      <c r="O649" s="579"/>
      <c r="W649" s="578"/>
      <c r="X649" s="578"/>
      <c r="Y649" s="578"/>
      <c r="Z649" s="578"/>
      <c r="AA649" s="578"/>
      <c r="AB649" s="578"/>
      <c r="AC649" s="578"/>
      <c r="AD649" s="578"/>
      <c r="AE649" s="578"/>
      <c r="AF649" s="578"/>
      <c r="AG649" s="578"/>
      <c r="AH649" s="578"/>
      <c r="AT649" s="578"/>
    </row>
    <row r="650" spans="1:48" s="574" customFormat="1" ht="15" customHeight="1">
      <c r="A650" s="663"/>
      <c r="B650" s="667"/>
      <c r="D650" s="281"/>
      <c r="E650" s="30" t="s">
        <v>498</v>
      </c>
      <c r="F650" s="2998" cm="1">
        <f t="array" ref="F650:M650">(GEN_POBLACION_CABECERA*(INDEX(F351:M351,0,0))*(INDEX(ST_TRANSPORTE_URBANO_DISTRIBUCION_MODAL,3,0))*(INDEX(ST_TRANSPORTE_URBANO_DISTRIBUCION_TECNOLOGIA_VEHICULOS,5,0)*(INDEX(ST_TRANSPORTE_URBANO_DISTANCIA_PROMEDIO_POR_VIAJE_POR_MODO,3,0))/INDEX(SF_TRANSPORTE_URBANO_DISTANCIA_VIAJADA_POR_MODO,2,0)))</f>
        <v>0</v>
      </c>
      <c r="G650" s="2998">
        <v>0</v>
      </c>
      <c r="H650" s="2998">
        <v>0</v>
      </c>
      <c r="I650" s="2998">
        <v>0</v>
      </c>
      <c r="J650" s="2998">
        <v>0</v>
      </c>
      <c r="K650" s="2998">
        <v>0</v>
      </c>
      <c r="L650" s="2998">
        <v>0</v>
      </c>
      <c r="M650" s="2998">
        <v>0</v>
      </c>
      <c r="N650" s="383"/>
      <c r="O650" s="579"/>
      <c r="W650" s="578"/>
      <c r="X650" s="578"/>
      <c r="Y650" s="578"/>
      <c r="Z650" s="578"/>
      <c r="AA650" s="578"/>
      <c r="AB650" s="578"/>
      <c r="AC650" s="578"/>
      <c r="AD650" s="578"/>
      <c r="AE650" s="578"/>
      <c r="AF650" s="578"/>
      <c r="AG650" s="578"/>
      <c r="AH650" s="578"/>
      <c r="AT650" s="578"/>
    </row>
    <row r="651" spans="1:48" s="574" customFormat="1" ht="15" customHeight="1">
      <c r="A651" s="663"/>
      <c r="B651" s="667"/>
      <c r="D651" s="281"/>
      <c r="E651" s="30" t="s">
        <v>894</v>
      </c>
      <c r="F651" s="2998" cm="1">
        <f t="array" ref="F651:M651">(GEN_POBLACION_CABECERA*(INDEX(F351:M351,0,0))*(INDEX(ST_TRANSPORTE_URBANO_DISTRIBUCION_MODAL,3,0))*(INDEX(ST_TRANSPORTE_URBANO_DISTRIBUCION_TECNOLOGIA_VEHICULOS,6,0)*(INDEX(ST_TRANSPORTE_URBANO_DISTANCIA_PROMEDIO_POR_VIAJE_POR_MODO,3,0))/INDEX(SF_TRANSPORTE_URBANO_DISTANCIA_VIAJADA_POR_MODO,2,0)))</f>
        <v>45.137822224419615</v>
      </c>
      <c r="G651" s="2998">
        <v>703.67620325896371</v>
      </c>
      <c r="H651" s="2998">
        <v>8687.1334273958146</v>
      </c>
      <c r="I651" s="2998">
        <v>14846.213410301973</v>
      </c>
      <c r="J651" s="2998">
        <v>18064.351885732722</v>
      </c>
      <c r="K651" s="2998">
        <v>20505.924352499238</v>
      </c>
      <c r="L651" s="2998">
        <v>22753.972995810975</v>
      </c>
      <c r="M651" s="2998">
        <v>25120.776603507995</v>
      </c>
      <c r="N651" s="383"/>
      <c r="O651" s="579"/>
      <c r="W651" s="578"/>
      <c r="X651" s="578"/>
      <c r="Y651" s="578"/>
      <c r="Z651" s="578"/>
      <c r="AA651" s="578"/>
      <c r="AB651" s="578"/>
      <c r="AC651" s="578"/>
      <c r="AD651" s="578"/>
      <c r="AE651" s="578"/>
      <c r="AF651" s="578"/>
      <c r="AG651" s="578"/>
      <c r="AH651" s="578"/>
      <c r="AT651" s="578"/>
    </row>
    <row r="652" spans="1:48" s="574" customFormat="1" ht="15" customHeight="1">
      <c r="A652" s="663"/>
      <c r="B652" s="667"/>
      <c r="D652" s="281"/>
      <c r="E652" s="32" t="s">
        <v>603</v>
      </c>
      <c r="F652" s="2999" cm="1">
        <f t="array" ref="F652:M652">(GEN_POBLACION_CABECERA*(INDEX(F351:M351,0,0))*(INDEX(ST_TRANSPORTE_URBANO_DISTRIBUCION_MODAL,3,0))*(INDEX(ST_TRANSPORTE_URBANO_DISTRIBUCION_TECNOLOGIA_VEHICULOS,7,0)*(INDEX(ST_TRANSPORTE_URBANO_DISTANCIA_PROMEDIO_POR_VIAJE_POR_MODO,3,0))/INDEX(SF_TRANSPORTE_URBANO_DISTANCIA_VIAJADA_POR_MODO,2,0)))</f>
        <v>0</v>
      </c>
      <c r="G652" s="2999">
        <v>0</v>
      </c>
      <c r="H652" s="2999">
        <v>0</v>
      </c>
      <c r="I652" s="2999">
        <v>0</v>
      </c>
      <c r="J652" s="2999">
        <v>0</v>
      </c>
      <c r="K652" s="2999">
        <v>0</v>
      </c>
      <c r="L652" s="2999">
        <v>0</v>
      </c>
      <c r="M652" s="2999">
        <v>0</v>
      </c>
      <c r="N652" s="383"/>
      <c r="O652" s="579"/>
      <c r="W652" s="578"/>
      <c r="X652" s="578"/>
      <c r="Y652" s="578"/>
      <c r="Z652" s="578"/>
      <c r="AA652" s="578"/>
      <c r="AB652" s="578"/>
      <c r="AC652" s="578"/>
      <c r="AD652" s="578"/>
      <c r="AE652" s="578"/>
      <c r="AF652" s="578"/>
      <c r="AG652" s="578"/>
      <c r="AH652" s="578"/>
      <c r="AT652" s="578"/>
    </row>
    <row r="653" spans="1:48" s="574" customFormat="1" ht="15" customHeight="1">
      <c r="A653" s="663"/>
      <c r="B653" s="667"/>
      <c r="D653" s="281"/>
      <c r="E653" s="30"/>
      <c r="F653" s="33"/>
      <c r="G653" s="33"/>
      <c r="H653" s="33"/>
      <c r="I653" s="33"/>
      <c r="J653" s="33"/>
      <c r="K653" s="33"/>
      <c r="L653" s="33"/>
      <c r="M653" s="33"/>
      <c r="N653" s="383"/>
      <c r="O653" s="579"/>
      <c r="W653" s="578"/>
      <c r="X653" s="578"/>
      <c r="Y653" s="578"/>
      <c r="Z653" s="578"/>
      <c r="AA653" s="578"/>
      <c r="AB653" s="578"/>
      <c r="AC653" s="578"/>
      <c r="AD653" s="578"/>
      <c r="AE653" s="578"/>
      <c r="AF653" s="578"/>
      <c r="AG653" s="578"/>
      <c r="AH653" s="578"/>
      <c r="AT653" s="578"/>
    </row>
    <row r="654" spans="1:48" s="574" customFormat="1" ht="15" customHeight="1">
      <c r="A654" s="663"/>
      <c r="B654" s="667"/>
      <c r="D654" s="281"/>
      <c r="E654" s="340" t="s">
        <v>895</v>
      </c>
      <c r="F654" s="33"/>
      <c r="G654" s="33"/>
      <c r="H654" s="33"/>
      <c r="I654" s="33"/>
      <c r="J654" s="33"/>
      <c r="K654" s="33"/>
      <c r="L654" s="33"/>
      <c r="M654" s="341" t="s">
        <v>2283</v>
      </c>
      <c r="N654" s="383"/>
      <c r="O654" s="579"/>
      <c r="W654" s="578"/>
      <c r="X654" s="578"/>
      <c r="Y654" s="578"/>
      <c r="Z654" s="578"/>
      <c r="AA654" s="578"/>
      <c r="AB654" s="578"/>
      <c r="AC654" s="578"/>
      <c r="AD654" s="578"/>
      <c r="AE654" s="578"/>
      <c r="AF654" s="578"/>
      <c r="AG654" s="578"/>
      <c r="AH654" s="578"/>
      <c r="AT654" s="578"/>
    </row>
    <row r="655" spans="1:48" s="574" customFormat="1" ht="15" customHeight="1">
      <c r="A655" s="663"/>
      <c r="B655" s="667"/>
      <c r="D655" s="281"/>
      <c r="E655" s="913" t="s">
        <v>859</v>
      </c>
      <c r="F655" s="902">
        <v>2018</v>
      </c>
      <c r="G655" s="902">
        <v>2020</v>
      </c>
      <c r="H655" s="902">
        <v>2025</v>
      </c>
      <c r="I655" s="902">
        <v>2030</v>
      </c>
      <c r="J655" s="902">
        <v>2035</v>
      </c>
      <c r="K655" s="902">
        <v>2040</v>
      </c>
      <c r="L655" s="902">
        <v>2045</v>
      </c>
      <c r="M655" s="902">
        <v>2050</v>
      </c>
      <c r="N655" s="383"/>
      <c r="O655" s="579"/>
      <c r="W655" s="578"/>
      <c r="X655" s="578"/>
      <c r="Y655" s="578"/>
      <c r="Z655" s="578"/>
      <c r="AA655" s="578"/>
      <c r="AB655" s="578"/>
      <c r="AC655" s="578"/>
      <c r="AD655" s="578"/>
      <c r="AE655" s="578"/>
      <c r="AF655" s="578"/>
      <c r="AG655" s="578"/>
      <c r="AH655" s="578"/>
      <c r="AT655" s="578"/>
    </row>
    <row r="656" spans="1:48" s="574" customFormat="1" ht="15" customHeight="1">
      <c r="A656" s="663"/>
      <c r="B656" s="667"/>
      <c r="D656" s="281"/>
      <c r="E656" s="337" t="s">
        <v>889</v>
      </c>
      <c r="F656" s="2997" cm="1">
        <f t="array" ref="F656:M656">(GEN_POBLACION_CABECERA*(INDEX(F351:M351,0,0))*(INDEX(ST_TRANSPORTE_URBANO_DISTRIBUCION_MODAL,4,0))*(INDEX(ST_TRANSPORTE_URBANO_DISTRIBUCION_TECNOLOGIA_TAXI,1,0)*(INDEX(ST_TRANSPORTE_URBANO_DISTANCIA_PROMEDIO_POR_VIAJE_POR_MODO,4,0))/INDEX(SF_TRANSPORTE_URBANO_DISTANCIA_VIAJADA_POR_MODO,3,0)))</f>
        <v>1887.1661856354494</v>
      </c>
      <c r="G656" s="2997">
        <v>2093.9885482453092</v>
      </c>
      <c r="H656" s="2997">
        <v>2571.6822306470799</v>
      </c>
      <c r="I656" s="2997">
        <v>2127.8724518606396</v>
      </c>
      <c r="J656" s="2997">
        <v>2205.5781313310736</v>
      </c>
      <c r="K656" s="2997">
        <v>2438.0349712775514</v>
      </c>
      <c r="L656" s="2997">
        <v>2693.2999851191985</v>
      </c>
      <c r="M656" s="2997">
        <v>2991.8460968324407</v>
      </c>
      <c r="N656" s="383"/>
      <c r="O656" s="579"/>
      <c r="W656" s="578"/>
      <c r="X656" s="578"/>
      <c r="Y656" s="578"/>
      <c r="Z656" s="578"/>
      <c r="AA656" s="578"/>
      <c r="AB656" s="578"/>
      <c r="AC656" s="578"/>
      <c r="AD656" s="578"/>
      <c r="AE656" s="578"/>
      <c r="AF656" s="578"/>
      <c r="AG656" s="578"/>
      <c r="AH656" s="578"/>
      <c r="AT656" s="578"/>
    </row>
    <row r="657" spans="1:46" s="574" customFormat="1" ht="15" customHeight="1">
      <c r="A657" s="663"/>
      <c r="B657" s="667"/>
      <c r="D657" s="281"/>
      <c r="E657" s="30" t="s">
        <v>2257</v>
      </c>
      <c r="F657" s="2998" cm="1">
        <f t="array" ref="F657:M657">(GEN_POBLACION_CABECERA*(INDEX(F351:M351,0,0))*(INDEX(ST_TRANSPORTE_URBANO_DISTRIBUCION_MODAL,4,0))*(INDEX(ST_TRANSPORTE_URBANO_DISTRIBUCION_TECNOLOGIA_TAXI,2,0)*(INDEX(ST_TRANSPORTE_URBANO_DISTANCIA_PROMEDIO_POR_VIAJE_POR_MODO,4,0))/INDEX(SF_TRANSPORTE_URBANO_DISTANCIA_VIAJADA_POR_MODO,3,0)))</f>
        <v>1.8892632678627774</v>
      </c>
      <c r="G657" s="2998">
        <v>2.0980798038628419</v>
      </c>
      <c r="H657" s="2998">
        <v>2.5767068089244822</v>
      </c>
      <c r="I657" s="2998">
        <v>2.9587069506815165</v>
      </c>
      <c r="J657" s="2998">
        <v>3.2857774768433119</v>
      </c>
      <c r="K657" s="2998">
        <v>3.6445153242010759</v>
      </c>
      <c r="L657" s="2998">
        <v>4.0264613322158738</v>
      </c>
      <c r="M657" s="2998">
        <v>4.4727853144452698</v>
      </c>
      <c r="N657" s="383"/>
      <c r="O657" s="579"/>
      <c r="W657" s="578"/>
      <c r="X657" s="578"/>
      <c r="Y657" s="578"/>
      <c r="Z657" s="578"/>
      <c r="AA657" s="578"/>
      <c r="AB657" s="578"/>
      <c r="AC657" s="578"/>
      <c r="AD657" s="578"/>
      <c r="AE657" s="578"/>
      <c r="AF657" s="578"/>
      <c r="AG657" s="578"/>
      <c r="AH657" s="578"/>
      <c r="AT657" s="578"/>
    </row>
    <row r="658" spans="1:46" s="574" customFormat="1" ht="15" customHeight="1">
      <c r="A658" s="663"/>
      <c r="B658" s="667"/>
      <c r="D658" s="281"/>
      <c r="E658" s="30" t="s">
        <v>2250</v>
      </c>
      <c r="F658" s="2998" cm="1">
        <f t="array" ref="F658:M658">(GEN_POBLACION_CABECERA*(INDEX(F351:M351,0,0))*(INDEX(ST_TRANSPORTE_URBANO_DISTRIBUCION_MODAL,4,0))*(INDEX(ST_TRANSPORTE_URBANO_DISTRIBUCION_TECNOLOGIA_TAXI,3,0)*(INDEX(ST_TRANSPORTE_URBANO_DISTANCIA_PROMEDIO_POR_VIAJE_POR_MODO,4,0))/INDEX(SF_TRANSPORTE_URBANO_DISTANCIA_VIAJADA_POR_MODO,3,0)))</f>
        <v>0</v>
      </c>
      <c r="G658" s="2998">
        <v>0</v>
      </c>
      <c r="H658" s="2998">
        <v>0</v>
      </c>
      <c r="I658" s="2998">
        <v>0</v>
      </c>
      <c r="J658" s="2998">
        <v>0</v>
      </c>
      <c r="K658" s="2998">
        <v>0</v>
      </c>
      <c r="L658" s="2998">
        <v>0</v>
      </c>
      <c r="M658" s="2998">
        <v>0</v>
      </c>
      <c r="N658" s="383"/>
      <c r="O658" s="579"/>
      <c r="W658" s="578"/>
      <c r="X658" s="578"/>
      <c r="Y658" s="578"/>
      <c r="Z658" s="578"/>
      <c r="AA658" s="578"/>
      <c r="AB658" s="578"/>
      <c r="AC658" s="578"/>
      <c r="AD658" s="578"/>
      <c r="AE658" s="578"/>
      <c r="AF658" s="578"/>
      <c r="AG658" s="578"/>
      <c r="AH658" s="578"/>
      <c r="AT658" s="578"/>
    </row>
    <row r="659" spans="1:46" s="574" customFormat="1" ht="15" customHeight="1">
      <c r="A659" s="663"/>
      <c r="B659" s="667"/>
      <c r="D659" s="281"/>
      <c r="E659" s="30" t="s">
        <v>893</v>
      </c>
      <c r="F659" s="2998" cm="1">
        <f t="array" ref="F659:M659">(GEN_POBLACION_CABECERA*(INDEX(F351:M351,0,0))*(INDEX(ST_TRANSPORTE_URBANO_DISTRIBUCION_MODAL,4,0))*(INDEX(ST_TRANSPORTE_URBANO_DISTRIBUCION_TECNOLOGIA_TAXI,4,0)*(INDEX(ST_TRANSPORTE_URBANO_DISTANCIA_PROMEDIO_POR_VIAJE_POR_MODO,4,0))/INDEX(SF_TRANSPORTE_URBANO_DISTANCIA_VIAJADA_POR_MODO,3,0)))</f>
        <v>0.18892632678627777</v>
      </c>
      <c r="G659" s="2998">
        <v>0.20980798038628418</v>
      </c>
      <c r="H659" s="2998">
        <v>0.25767068089244827</v>
      </c>
      <c r="I659" s="2998">
        <v>0.29587069506815167</v>
      </c>
      <c r="J659" s="2998">
        <v>0.32857774768433123</v>
      </c>
      <c r="K659" s="2998">
        <v>0.36445153242010758</v>
      </c>
      <c r="L659" s="2998">
        <v>0.40264613322158743</v>
      </c>
      <c r="M659" s="2998">
        <v>0.44727853144452695</v>
      </c>
      <c r="N659" s="383"/>
      <c r="O659" s="579"/>
      <c r="W659" s="578"/>
      <c r="X659" s="578"/>
      <c r="Y659" s="578"/>
      <c r="Z659" s="578"/>
      <c r="AA659" s="578"/>
      <c r="AB659" s="578"/>
      <c r="AC659" s="578"/>
      <c r="AD659" s="578"/>
      <c r="AE659" s="578"/>
      <c r="AF659" s="578"/>
      <c r="AG659" s="578"/>
      <c r="AH659" s="578"/>
      <c r="AT659" s="578"/>
    </row>
    <row r="660" spans="1:46" s="574" customFormat="1" ht="15" customHeight="1">
      <c r="A660" s="663"/>
      <c r="B660" s="667"/>
      <c r="D660" s="281"/>
      <c r="E660" s="30" t="s">
        <v>498</v>
      </c>
      <c r="F660" s="2998" cm="1">
        <f t="array" ref="F660:M660">(GEN_POBLACION_CABECERA*(INDEX(F351:M351,0,0))*(INDEX(ST_TRANSPORTE_URBANO_DISTRIBUCION_MODAL,4,0))*(INDEX(ST_TRANSPORTE_URBANO_DISTRIBUCION_TECNOLOGIA_TAXI,5,0)*(INDEX(ST_TRANSPORTE_URBANO_DISTANCIA_PROMEDIO_POR_VIAJE_POR_MODO,4,0))/INDEX(SF_TRANSPORTE_URBANO_DISTANCIA_VIAJADA_POR_MODO,3,0)))</f>
        <v>0</v>
      </c>
      <c r="G660" s="2998">
        <v>0</v>
      </c>
      <c r="H660" s="2998">
        <v>0</v>
      </c>
      <c r="I660" s="2998">
        <v>0</v>
      </c>
      <c r="J660" s="2998">
        <v>0</v>
      </c>
      <c r="K660" s="2998">
        <v>0</v>
      </c>
      <c r="L660" s="2998">
        <v>0</v>
      </c>
      <c r="M660" s="2998">
        <v>0</v>
      </c>
      <c r="N660" s="383"/>
      <c r="O660" s="579"/>
      <c r="W660" s="578"/>
      <c r="X660" s="578"/>
      <c r="Y660" s="578"/>
      <c r="Z660" s="578"/>
      <c r="AA660" s="578"/>
      <c r="AB660" s="578"/>
      <c r="AC660" s="578"/>
      <c r="AD660" s="578"/>
      <c r="AE660" s="578"/>
      <c r="AF660" s="578"/>
      <c r="AG660" s="578"/>
      <c r="AH660" s="578"/>
      <c r="AT660" s="578"/>
    </row>
    <row r="661" spans="1:46" s="574" customFormat="1" ht="15" customHeight="1">
      <c r="A661" s="663"/>
      <c r="B661" s="667"/>
      <c r="D661" s="281"/>
      <c r="E661" s="30" t="s">
        <v>894</v>
      </c>
      <c r="F661" s="2998" cm="1">
        <f t="array" ref="F661:M661">(GEN_POBLACION_CABECERA*(INDEX(F351:M351,0,0))*(INDEX(ST_TRANSPORTE_URBANO_DISTRIBUCION_MODAL,4,0))*(INDEX(ST_TRANSPORTE_URBANO_DISTRIBUCION_TECNOLOGIA_TAXI,6,0)*(INDEX(ST_TRANSPORTE_URBANO_DISTANCIA_PROMEDIO_POR_VIAJE_POR_MODO,4,0))/INDEX(SF_TRANSPORTE_URBANO_DISTANCIA_VIAJADA_POR_MODO,3,0)))</f>
        <v>0</v>
      </c>
      <c r="G661" s="2998">
        <v>1.7833678332834155</v>
      </c>
      <c r="H661" s="2998">
        <v>2.1902007875858103</v>
      </c>
      <c r="I661" s="2998">
        <v>827.57992117512708</v>
      </c>
      <c r="J661" s="2998">
        <v>1076.5849902877112</v>
      </c>
      <c r="K661" s="2998">
        <v>1202.4713860669028</v>
      </c>
      <c r="L661" s="2998">
        <v>1328.7322396312386</v>
      </c>
      <c r="M661" s="2998">
        <v>1476.0191537669389</v>
      </c>
      <c r="N661" s="383"/>
      <c r="O661" s="579"/>
      <c r="W661" s="578"/>
      <c r="X661" s="578"/>
      <c r="Y661" s="578"/>
      <c r="Z661" s="578"/>
      <c r="AA661" s="578"/>
      <c r="AB661" s="578"/>
      <c r="AC661" s="578"/>
      <c r="AD661" s="578"/>
      <c r="AE661" s="578"/>
      <c r="AF661" s="578"/>
      <c r="AG661" s="578"/>
      <c r="AH661" s="578"/>
      <c r="AT661" s="578"/>
    </row>
    <row r="662" spans="1:46" s="574" customFormat="1" ht="15" customHeight="1">
      <c r="A662" s="663"/>
      <c r="B662" s="667"/>
      <c r="D662" s="281"/>
      <c r="E662" s="32" t="s">
        <v>603</v>
      </c>
      <c r="F662" s="2999" cm="1">
        <f t="array" ref="F662:M662">(GEN_POBLACION_CABECERA*(INDEX(F351:M351,0,0))*(INDEX(ST_TRANSPORTE_URBANO_DISTRIBUCION_MODAL,4,0))*(INDEX(ST_TRANSPORTE_URBANO_DISTRIBUCION_TECNOLOGIA_TAXI,7,0)*(INDEX(ST_TRANSPORTE_URBANO_DISTANCIA_PROMEDIO_POR_VIAJE_POR_MODO,4,0))/INDEX(SF_TRANSPORTE_URBANO_DISTANCIA_VIAJADA_POR_MODO,3,0)))</f>
        <v>0</v>
      </c>
      <c r="G662" s="2999">
        <v>0</v>
      </c>
      <c r="H662" s="2999">
        <v>0</v>
      </c>
      <c r="I662" s="2999">
        <v>0</v>
      </c>
      <c r="J662" s="2999">
        <v>0</v>
      </c>
      <c r="K662" s="2999">
        <v>0</v>
      </c>
      <c r="L662" s="2999">
        <v>0</v>
      </c>
      <c r="M662" s="2999">
        <v>0</v>
      </c>
      <c r="N662" s="383"/>
      <c r="O662" s="579"/>
      <c r="W662" s="578"/>
      <c r="X662" s="578"/>
      <c r="Y662" s="578"/>
      <c r="Z662" s="578"/>
      <c r="AA662" s="578"/>
      <c r="AB662" s="578"/>
      <c r="AC662" s="578"/>
      <c r="AD662" s="578"/>
      <c r="AE662" s="578"/>
      <c r="AF662" s="578"/>
      <c r="AG662" s="578"/>
      <c r="AH662" s="578"/>
      <c r="AT662" s="578"/>
    </row>
    <row r="663" spans="1:46" s="574" customFormat="1" ht="15" customHeight="1">
      <c r="A663" s="663"/>
      <c r="B663" s="667"/>
      <c r="D663" s="281"/>
      <c r="E663" s="30"/>
      <c r="F663" s="33"/>
      <c r="G663" s="33"/>
      <c r="H663" s="33"/>
      <c r="I663" s="33"/>
      <c r="J663" s="33"/>
      <c r="K663" s="33"/>
      <c r="L663" s="33"/>
      <c r="M663" s="33"/>
      <c r="N663" s="383"/>
      <c r="O663" s="579"/>
      <c r="W663" s="578"/>
      <c r="X663" s="578"/>
      <c r="Y663" s="578"/>
      <c r="Z663" s="578"/>
      <c r="AA663" s="578"/>
      <c r="AB663" s="578"/>
      <c r="AC663" s="578"/>
      <c r="AD663" s="578"/>
      <c r="AE663" s="578"/>
      <c r="AF663" s="578"/>
      <c r="AG663" s="578"/>
      <c r="AH663" s="578"/>
      <c r="AT663" s="578"/>
    </row>
    <row r="664" spans="1:46" s="574" customFormat="1" ht="15" customHeight="1">
      <c r="A664" s="663"/>
      <c r="B664" s="667"/>
      <c r="D664" s="281"/>
      <c r="E664" s="340" t="s">
        <v>896</v>
      </c>
      <c r="F664" s="33"/>
      <c r="G664" s="33"/>
      <c r="H664" s="33"/>
      <c r="I664" s="33"/>
      <c r="J664" s="33"/>
      <c r="K664" s="33"/>
      <c r="L664" s="33"/>
      <c r="M664" s="341" t="s">
        <v>2283</v>
      </c>
      <c r="N664" s="383"/>
      <c r="O664" s="579"/>
      <c r="W664" s="578"/>
      <c r="X664" s="578"/>
      <c r="Y664" s="578"/>
      <c r="Z664" s="578"/>
      <c r="AA664" s="578"/>
      <c r="AB664" s="578"/>
      <c r="AC664" s="578"/>
      <c r="AD664" s="578"/>
      <c r="AE664" s="578"/>
      <c r="AF664" s="578"/>
      <c r="AG664" s="578"/>
      <c r="AH664" s="578"/>
      <c r="AT664" s="578"/>
    </row>
    <row r="665" spans="1:46" s="574" customFormat="1" ht="15" customHeight="1">
      <c r="A665" s="663"/>
      <c r="B665" s="667"/>
      <c r="D665" s="281"/>
      <c r="E665" s="913" t="s">
        <v>859</v>
      </c>
      <c r="F665" s="2711">
        <v>2018</v>
      </c>
      <c r="G665" s="2711">
        <v>2020</v>
      </c>
      <c r="H665" s="2711">
        <v>2025</v>
      </c>
      <c r="I665" s="2711">
        <v>2030</v>
      </c>
      <c r="J665" s="2711">
        <v>2035</v>
      </c>
      <c r="K665" s="2711">
        <v>2040</v>
      </c>
      <c r="L665" s="2711">
        <v>2045</v>
      </c>
      <c r="M665" s="2711">
        <v>2050</v>
      </c>
      <c r="N665" s="383"/>
      <c r="O665" s="579"/>
      <c r="W665" s="578"/>
      <c r="X665" s="578"/>
      <c r="Y665" s="578"/>
      <c r="Z665" s="578"/>
      <c r="AA665" s="578"/>
      <c r="AB665" s="578"/>
      <c r="AC665" s="578"/>
      <c r="AD665" s="578"/>
      <c r="AE665" s="578"/>
      <c r="AF665" s="578"/>
      <c r="AG665" s="578"/>
      <c r="AH665" s="578"/>
      <c r="AT665" s="578"/>
    </row>
    <row r="666" spans="1:46" s="574" customFormat="1" ht="15" customHeight="1">
      <c r="A666" s="663"/>
      <c r="B666" s="667"/>
      <c r="D666" s="281"/>
      <c r="E666" s="30" t="s">
        <v>897</v>
      </c>
      <c r="F666" s="3000" cm="1">
        <f t="array" ref="F666:M666">(GEN_POBLACION_CABECERA*(INDEX(F351:M351,0,0))*(INDEX(ST_TRANSPORTE_URBANO_DISTRIBUCION_MODAL,5,0))*(INDEX(ST_TRANSPORTE_URBANO_DISTRIBUCION_TECNOLOGIA_MOTOS,1,0)*(INDEX(ST_TRANSPORTE_URBANO_DISTANCIA_PROMEDIO_POR_VIAJE_POR_MODO,5,0))/INDEX(SF_TRANSPORTE_URBANO_DISTANCIA_VIAJADA_POR_MODO,4,0)))</f>
        <v>43261.892689226654</v>
      </c>
      <c r="G666" s="2997">
        <v>49981.313485672574</v>
      </c>
      <c r="H666" s="2997">
        <v>63450.689415071349</v>
      </c>
      <c r="I666" s="2997">
        <v>74845.671149283589</v>
      </c>
      <c r="J666" s="2997">
        <v>84568.840654464759</v>
      </c>
      <c r="K666" s="2997">
        <v>94265.199064446977</v>
      </c>
      <c r="L666" s="2997">
        <v>104421.90720152101</v>
      </c>
      <c r="M666" s="2997">
        <v>115269.60431736571</v>
      </c>
      <c r="N666" s="383"/>
      <c r="O666" s="579"/>
      <c r="W666" s="578"/>
      <c r="X666" s="578"/>
      <c r="Y666" s="578"/>
      <c r="Z666" s="578"/>
      <c r="AA666" s="578"/>
      <c r="AB666" s="578"/>
      <c r="AC666" s="578"/>
      <c r="AD666" s="578"/>
      <c r="AE666" s="578"/>
      <c r="AF666" s="578"/>
      <c r="AG666" s="578"/>
      <c r="AH666" s="578"/>
      <c r="AT666" s="578"/>
    </row>
    <row r="667" spans="1:46" s="574" customFormat="1" ht="15" customHeight="1">
      <c r="A667" s="663"/>
      <c r="B667" s="667"/>
      <c r="D667" s="281"/>
      <c r="E667" s="30" t="s">
        <v>898</v>
      </c>
      <c r="F667" s="2998" cm="1">
        <f t="array" ref="F667:M667">(GEN_POBLACION_CABECERA*(INDEX(F351:M351,0,0))*(INDEX(ST_TRANSPORTE_URBANO_DISTRIBUCION_MODAL,5,0))*(INDEX(ST_TRANSPORTE_URBANO_DISTRIBUCION_TECNOLOGIA_MOTOS,2,0)*(INDEX(ST_TRANSPORTE_URBANO_DISTANCIA_PROMEDIO_POR_VIAJE_POR_MODO,5,0))/INDEX(SF_TRANSPORTE_URBANO_DISTANCIA_VIAJADA_POR_MODO,4,0)))</f>
        <v>31327.577464612405</v>
      </c>
      <c r="G667" s="2998">
        <v>36193.364937900827</v>
      </c>
      <c r="H667" s="2998">
        <v>45947.050955741317</v>
      </c>
      <c r="I667" s="2998">
        <v>54198.589452929496</v>
      </c>
      <c r="J667" s="2998">
        <v>61239.505301508965</v>
      </c>
      <c r="K667" s="2998">
        <v>68261.006219082294</v>
      </c>
      <c r="L667" s="2998">
        <v>75615.863835584198</v>
      </c>
      <c r="M667" s="2998">
        <v>83471.092781540705</v>
      </c>
      <c r="N667" s="383"/>
      <c r="O667" s="579"/>
      <c r="W667" s="578"/>
      <c r="X667" s="578"/>
      <c r="Y667" s="578"/>
      <c r="Z667" s="578"/>
      <c r="AA667" s="578"/>
      <c r="AB667" s="578"/>
      <c r="AC667" s="578"/>
      <c r="AD667" s="578"/>
      <c r="AE667" s="578"/>
      <c r="AF667" s="578"/>
      <c r="AG667" s="578"/>
      <c r="AH667" s="578"/>
      <c r="AT667" s="578"/>
    </row>
    <row r="668" spans="1:46" s="574" customFormat="1" ht="15" customHeight="1">
      <c r="A668" s="663"/>
      <c r="B668" s="667"/>
      <c r="D668" s="281"/>
      <c r="E668" s="32" t="s">
        <v>2262</v>
      </c>
      <c r="F668" s="2999" cm="1">
        <f t="array" ref="F668:M668">(GEN_POBLACION_CABECERA*(INDEX(F351:M351,0,0))*(INDEX(ST_TRANSPORTE_URBANO_DISTRIBUCION_MODAL,5,0))*(INDEX(ST_TRANSPORTE_URBANO_DISTRIBUCION_TECNOLOGIA_MOTOS,3,0)*(INDEX(ST_TRANSPORTE_URBANO_DISTANCIA_PROMEDIO_POR_VIAJE_POR_MODO,5,0))/INDEX(SF_TRANSPORTE_URBANO_DISTANCIA_VIAJADA_POR_MODO,4,0)))</f>
        <v>0</v>
      </c>
      <c r="G668" s="2999">
        <v>0</v>
      </c>
      <c r="H668" s="2999">
        <v>0</v>
      </c>
      <c r="I668" s="2999">
        <v>0</v>
      </c>
      <c r="J668" s="2999">
        <v>0</v>
      </c>
      <c r="K668" s="2999">
        <v>0</v>
      </c>
      <c r="L668" s="2999">
        <v>0</v>
      </c>
      <c r="M668" s="2999">
        <v>0</v>
      </c>
      <c r="N668" s="383"/>
      <c r="O668" s="579"/>
      <c r="W668" s="578"/>
      <c r="X668" s="578"/>
      <c r="Y668" s="578"/>
      <c r="Z668" s="578"/>
      <c r="AA668" s="578"/>
      <c r="AB668" s="578"/>
      <c r="AC668" s="578"/>
      <c r="AD668" s="578"/>
      <c r="AE668" s="578"/>
      <c r="AF668" s="578"/>
      <c r="AG668" s="578"/>
      <c r="AH668" s="578"/>
      <c r="AT668" s="578"/>
    </row>
    <row r="669" spans="1:46" s="574" customFormat="1" ht="15" customHeight="1">
      <c r="A669" s="663"/>
      <c r="B669" s="667"/>
      <c r="D669" s="281"/>
      <c r="E669" s="30"/>
      <c r="F669" s="33"/>
      <c r="G669" s="33"/>
      <c r="H669" s="33"/>
      <c r="I669" s="33"/>
      <c r="J669" s="33"/>
      <c r="K669" s="33"/>
      <c r="L669" s="33"/>
      <c r="M669" s="33"/>
      <c r="N669" s="383"/>
      <c r="O669" s="579"/>
      <c r="W669" s="578"/>
      <c r="X669" s="578"/>
      <c r="Y669" s="578"/>
      <c r="Z669" s="578"/>
      <c r="AA669" s="578"/>
      <c r="AB669" s="578"/>
      <c r="AC669" s="578"/>
      <c r="AD669" s="578"/>
      <c r="AE669" s="578"/>
      <c r="AF669" s="578"/>
      <c r="AG669" s="578"/>
      <c r="AH669" s="578"/>
      <c r="AT669" s="578"/>
    </row>
    <row r="670" spans="1:46" s="574" customFormat="1" ht="15" customHeight="1">
      <c r="A670" s="663"/>
      <c r="B670" s="667"/>
      <c r="D670" s="281"/>
      <c r="E670" s="340" t="s">
        <v>899</v>
      </c>
      <c r="F670" s="33"/>
      <c r="G670" s="33"/>
      <c r="H670" s="33"/>
      <c r="I670" s="33"/>
      <c r="J670" s="33"/>
      <c r="K670" s="33"/>
      <c r="L670" s="33"/>
      <c r="M670" s="341" t="s">
        <v>2283</v>
      </c>
      <c r="N670" s="383"/>
      <c r="O670" s="579"/>
      <c r="W670" s="578"/>
      <c r="X670" s="578"/>
      <c r="Y670" s="578"/>
      <c r="Z670" s="578"/>
      <c r="AA670" s="578"/>
      <c r="AB670" s="578"/>
      <c r="AC670" s="578"/>
      <c r="AD670" s="578"/>
      <c r="AE670" s="578"/>
      <c r="AF670" s="578"/>
      <c r="AG670" s="578"/>
      <c r="AH670" s="578"/>
      <c r="AT670" s="578"/>
    </row>
    <row r="671" spans="1:46" s="574" customFormat="1" ht="15" customHeight="1">
      <c r="A671" s="663"/>
      <c r="B671" s="667"/>
      <c r="D671" s="281"/>
      <c r="E671" s="913" t="s">
        <v>859</v>
      </c>
      <c r="F671" s="902">
        <v>2018</v>
      </c>
      <c r="G671" s="902">
        <v>2020</v>
      </c>
      <c r="H671" s="902">
        <v>2025</v>
      </c>
      <c r="I671" s="902">
        <v>2030</v>
      </c>
      <c r="J671" s="902">
        <v>2035</v>
      </c>
      <c r="K671" s="902">
        <v>2040</v>
      </c>
      <c r="L671" s="902">
        <v>2045</v>
      </c>
      <c r="M671" s="902">
        <v>2050</v>
      </c>
      <c r="N671" s="383"/>
      <c r="O671" s="579"/>
    </row>
    <row r="672" spans="1:46" s="574" customFormat="1" ht="15" customHeight="1">
      <c r="A672" s="663"/>
      <c r="B672" s="667"/>
      <c r="D672" s="281"/>
      <c r="E672" s="30" t="s">
        <v>889</v>
      </c>
      <c r="F672" s="2997" cm="1">
        <f t="array" ref="F672:M672">(GEN_POBLACION_CABECERA*(INDEX(F351:M351,0,0))*(INDEX(ST_TRANSPORTE_URBANO_DISTRIBUCION_MODAL,6,0))*(INDEX(ST_TRANSPORTE_URBANO_DISTRIBUCION_TECNOLOGIA_BUSES,1,0)*(INDEX(ST_TRANSPORTE_URBANO_DISTANCIA_PROMEDIO_POR_VIAJE_POR_MODO,6,0))/INDEX(SF_TRANSPORTE_URBANO_DISTANCIA_VIAJADA_POR_MODO,5,0)))</f>
        <v>10.27824005089345</v>
      </c>
      <c r="G672" s="2997">
        <v>14.624816683093069</v>
      </c>
      <c r="H672" s="2997">
        <v>17.123448672114456</v>
      </c>
      <c r="I672" s="2997">
        <v>18.095694560894547</v>
      </c>
      <c r="J672" s="2997">
        <v>18.45703611688344</v>
      </c>
      <c r="K672" s="2997">
        <v>18.523725852259183</v>
      </c>
      <c r="L672" s="2997">
        <v>18.389776959478542</v>
      </c>
      <c r="M672" s="2997">
        <v>18.140649571015462</v>
      </c>
      <c r="N672" s="383"/>
      <c r="O672" s="579"/>
    </row>
    <row r="673" spans="1:46" s="574" customFormat="1" ht="15" customHeight="1">
      <c r="A673" s="663"/>
      <c r="B673" s="667"/>
      <c r="D673" s="281"/>
      <c r="E673" s="30" t="s">
        <v>2257</v>
      </c>
      <c r="F673" s="2998" cm="1">
        <f t="array" ref="F673:M673">(GEN_POBLACION_CABECERA*(INDEX(F351:M351,0,0))*(INDEX(ST_TRANSPORTE_URBANO_DISTRIBUCION_MODAL,6,0))*(INDEX(ST_TRANSPORTE_URBANO_DISTRIBUCION_TECNOLOGIA_BUSES,2,0)*(INDEX(ST_TRANSPORTE_URBANO_DISTANCIA_PROMEDIO_POR_VIAJE_POR_MODO,6,0))/INDEX(SF_TRANSPORTE_URBANO_DISTANCIA_VIAJADA_POR_MODO,5,0)))</f>
        <v>66.534835008008997</v>
      </c>
      <c r="G673" s="2998">
        <v>65.404945051778853</v>
      </c>
      <c r="H673" s="2998">
        <v>75.820366080487361</v>
      </c>
      <c r="I673" s="2998">
        <v>67.713475812695904</v>
      </c>
      <c r="J673" s="2998">
        <v>55.958143616544028</v>
      </c>
      <c r="K673" s="2998">
        <v>47.626402077200815</v>
      </c>
      <c r="L673" s="2998">
        <v>43.271748569436021</v>
      </c>
      <c r="M673" s="2998">
        <v>41.142518961714799</v>
      </c>
      <c r="N673" s="383"/>
      <c r="O673" s="579"/>
    </row>
    <row r="674" spans="1:46" s="574" customFormat="1" ht="15" customHeight="1">
      <c r="A674" s="663"/>
      <c r="B674" s="667"/>
      <c r="D674" s="281"/>
      <c r="E674" s="30" t="s">
        <v>2250</v>
      </c>
      <c r="F674" s="2998" cm="1">
        <f t="array" ref="F674:M674">(GEN_POBLACION_CABECERA*(INDEX(F351:M351,0,0))*(INDEX(ST_TRANSPORTE_URBANO_DISTRIBUCION_MODAL,6,0))*(INDEX(ST_TRANSPORTE_URBANO_DISTRIBUCION_TECNOLOGIA_BUSES,3,0)*(INDEX(ST_TRANSPORTE_URBANO_DISTANCIA_PROMEDIO_POR_VIAJE_POR_MODO,6,0))/INDEX(SF_TRANSPORTE_URBANO_DISTANCIA_VIAJADA_POR_MODO,5,0)))</f>
        <v>0</v>
      </c>
      <c r="G674" s="2998">
        <v>0</v>
      </c>
      <c r="H674" s="2998">
        <v>0</v>
      </c>
      <c r="I674" s="2998">
        <v>0</v>
      </c>
      <c r="J674" s="2998">
        <v>0</v>
      </c>
      <c r="K674" s="2998">
        <v>0</v>
      </c>
      <c r="L674" s="2998">
        <v>0</v>
      </c>
      <c r="M674" s="2998">
        <v>0</v>
      </c>
      <c r="N674" s="383"/>
      <c r="O674" s="579"/>
    </row>
    <row r="675" spans="1:46" s="574" customFormat="1" ht="15" customHeight="1">
      <c r="A675" s="663"/>
      <c r="B675" s="667"/>
      <c r="D675" s="281"/>
      <c r="E675" s="30" t="s">
        <v>893</v>
      </c>
      <c r="F675" s="2998" cm="1">
        <f t="array" ref="F675:M675">(GEN_POBLACION_CABECERA*(INDEX(F351:M351,0,0))*(INDEX(ST_TRANSPORTE_URBANO_DISTRIBUCION_MODAL,6,0))*(INDEX(ST_TRANSPORTE_URBANO_DISTRIBUCION_TECNOLOGIA_BUSES,4,0)*(INDEX(ST_TRANSPORTE_URBANO_DISTANCIA_PROMEDIO_POR_VIAJE_POR_MODO,6,0))/INDEX(SF_TRANSPORTE_URBANO_DISTANCIA_VIAJADA_POR_MODO,5,0)))</f>
        <v>6.3944235225420618</v>
      </c>
      <c r="G675" s="2998">
        <v>11.268030150087231</v>
      </c>
      <c r="H675" s="2998">
        <v>18.869300962503456</v>
      </c>
      <c r="I675" s="2998">
        <v>27.813605903741298</v>
      </c>
      <c r="J675" s="2998">
        <v>38.442717951219407</v>
      </c>
      <c r="K675" s="2998">
        <v>50.723710742382494</v>
      </c>
      <c r="L675" s="2998">
        <v>64.327515003421766</v>
      </c>
      <c r="M675" s="2998">
        <v>79.04422471030702</v>
      </c>
      <c r="N675" s="383"/>
      <c r="O675" s="579"/>
      <c r="W675" s="578"/>
      <c r="X675" s="578"/>
      <c r="Y675" s="578"/>
      <c r="Z675" s="578"/>
      <c r="AA675" s="578"/>
      <c r="AB675" s="578"/>
      <c r="AC675" s="578"/>
      <c r="AD675" s="578"/>
      <c r="AE675" s="578"/>
      <c r="AF675" s="578"/>
      <c r="AG675" s="578"/>
      <c r="AH675" s="578"/>
      <c r="AT675" s="578"/>
    </row>
    <row r="676" spans="1:46" s="574" customFormat="1" ht="15" customHeight="1">
      <c r="A676" s="663"/>
      <c r="B676" s="667"/>
      <c r="D676" s="281"/>
      <c r="E676" s="30" t="s">
        <v>498</v>
      </c>
      <c r="F676" s="2998" cm="1">
        <f t="array" ref="F676:M676">(GEN_POBLACION_CABECERA*(INDEX(F351:M351,0,0))*(INDEX(ST_TRANSPORTE_URBANO_DISTRIBUCION_MODAL,6,0))*(INDEX(ST_TRANSPORTE_URBANO_DISTRIBUCION_TECNOLOGIA_BUSES,5,0)*(INDEX(ST_TRANSPORTE_URBANO_DISTANCIA_PROMEDIO_POR_VIAJE_POR_MODO,6,0))/INDEX(SF_TRANSPORTE_URBANO_DISTANCIA_VIAJADA_POR_MODO,5,0)))</f>
        <v>0</v>
      </c>
      <c r="G676" s="2998">
        <v>0</v>
      </c>
      <c r="H676" s="2998">
        <v>0</v>
      </c>
      <c r="I676" s="2998">
        <v>0</v>
      </c>
      <c r="J676" s="2998">
        <v>0</v>
      </c>
      <c r="K676" s="2998">
        <v>0</v>
      </c>
      <c r="L676" s="2998">
        <v>0</v>
      </c>
      <c r="M676" s="2998">
        <v>0</v>
      </c>
      <c r="N676" s="383"/>
      <c r="O676" s="579"/>
      <c r="W676" s="578"/>
      <c r="X676" s="578"/>
      <c r="Y676" s="578"/>
      <c r="Z676" s="578"/>
      <c r="AA676" s="578"/>
      <c r="AB676" s="578"/>
      <c r="AC676" s="578"/>
      <c r="AD676" s="578"/>
      <c r="AE676" s="578"/>
      <c r="AF676" s="578"/>
      <c r="AG676" s="578"/>
      <c r="AH676" s="578"/>
      <c r="AT676" s="578"/>
    </row>
    <row r="677" spans="1:46" s="574" customFormat="1" ht="15" customHeight="1">
      <c r="A677" s="663"/>
      <c r="B677" s="667"/>
      <c r="D677" s="281"/>
      <c r="E677" s="30" t="s">
        <v>894</v>
      </c>
      <c r="F677" s="2998" cm="1">
        <f t="array" ref="F677:M677">(GEN_POBLACION_CABECERA*(INDEX(F351:M351,0,0))*(INDEX(ST_TRANSPORTE_URBANO_DISTRIBUCION_MODAL,6,0))*(INDEX(ST_TRANSPORTE_URBANO_DISTRIBUCION_TECNOLOGIA_BUSES,6,0)*(INDEX(ST_TRANSPORTE_URBANO_DISTANCIA_PROMEDIO_POR_VIAJE_POR_MODO,6,0))/INDEX(SF_TRANSPORTE_URBANO_DISTANCIA_VIAJADA_POR_MODO,5,0)))</f>
        <v>0.11748940795913873</v>
      </c>
      <c r="G677" s="2998">
        <v>0.61859729920945483</v>
      </c>
      <c r="H677" s="2998">
        <v>3.7285673997917246</v>
      </c>
      <c r="I677" s="2998">
        <v>18.539760685088279</v>
      </c>
      <c r="J677" s="2998">
        <v>34.267264105088259</v>
      </c>
      <c r="K677" s="2998">
        <v>45.629239249546934</v>
      </c>
      <c r="L677" s="2998">
        <v>53.056592409719364</v>
      </c>
      <c r="M677" s="2998">
        <v>59.283168532730265</v>
      </c>
      <c r="N677" s="383"/>
      <c r="O677" s="579"/>
      <c r="W677" s="578"/>
      <c r="X677" s="578"/>
      <c r="Y677" s="578"/>
      <c r="Z677" s="578"/>
      <c r="AA677" s="578"/>
      <c r="AB677" s="578"/>
      <c r="AC677" s="578"/>
      <c r="AD677" s="578"/>
      <c r="AE677" s="578"/>
      <c r="AF677" s="578"/>
      <c r="AG677" s="578"/>
      <c r="AH677" s="578"/>
      <c r="AT677" s="578"/>
    </row>
    <row r="678" spans="1:46" s="574" customFormat="1" ht="15" customHeight="1">
      <c r="A678" s="663"/>
      <c r="B678" s="667"/>
      <c r="D678" s="281"/>
      <c r="E678" s="32" t="s">
        <v>603</v>
      </c>
      <c r="F678" s="2999" cm="1">
        <f t="array" ref="F678:M678">(GEN_POBLACION_CABECERA*(INDEX(F351:M351,0,0))*(INDEX(ST_TRANSPORTE_URBANO_DISTRIBUCION_MODAL,6,0))*(INDEX(ST_TRANSPORTE_URBANO_DISTRIBUCION_TECNOLOGIA_BUSES,7,0)*(INDEX(ST_TRANSPORTE_URBANO_DISTANCIA_PROMEDIO_POR_VIAJE_POR_MODO,6,0))/INDEX(SF_TRANSPORTE_URBANO_DISTANCIA_VIAJADA_POR_MODO,5,0)))</f>
        <v>0</v>
      </c>
      <c r="G678" s="2999">
        <v>0</v>
      </c>
      <c r="H678" s="2999">
        <v>0</v>
      </c>
      <c r="I678" s="2999">
        <v>0</v>
      </c>
      <c r="J678" s="2999">
        <v>0</v>
      </c>
      <c r="K678" s="2999">
        <v>0</v>
      </c>
      <c r="L678" s="2999">
        <v>0</v>
      </c>
      <c r="M678" s="2999">
        <v>0</v>
      </c>
      <c r="N678" s="383"/>
      <c r="O678" s="579"/>
      <c r="W678" s="578"/>
      <c r="X678" s="578"/>
      <c r="Y678" s="578"/>
      <c r="Z678" s="578"/>
      <c r="AA678" s="578"/>
      <c r="AB678" s="578"/>
      <c r="AC678" s="578"/>
      <c r="AD678" s="578"/>
      <c r="AE678" s="578"/>
      <c r="AF678" s="578"/>
      <c r="AG678" s="578"/>
      <c r="AH678" s="578"/>
      <c r="AT678" s="578"/>
    </row>
    <row r="679" spans="1:46" s="574" customFormat="1" ht="15" customHeight="1">
      <c r="A679" s="663"/>
      <c r="B679" s="667"/>
      <c r="D679" s="281"/>
      <c r="E679" s="35"/>
      <c r="F679" s="900"/>
      <c r="G679" s="901"/>
      <c r="H679" s="901"/>
      <c r="I679" s="901"/>
      <c r="J679" s="901"/>
      <c r="K679" s="901"/>
      <c r="L679" s="901"/>
      <c r="M679" s="901"/>
      <c r="N679" s="383"/>
      <c r="O679" s="579"/>
      <c r="W679" s="578"/>
      <c r="X679" s="578"/>
      <c r="Y679" s="578"/>
      <c r="Z679" s="578"/>
      <c r="AA679" s="578"/>
      <c r="AB679" s="578"/>
      <c r="AC679" s="578"/>
      <c r="AD679" s="578"/>
      <c r="AE679" s="578"/>
      <c r="AF679" s="578"/>
      <c r="AG679" s="578"/>
      <c r="AH679" s="578"/>
      <c r="AT679" s="578"/>
    </row>
    <row r="680" spans="1:46" s="574" customFormat="1" ht="15" customHeight="1">
      <c r="A680" s="663"/>
      <c r="B680" s="667"/>
      <c r="D680" s="281"/>
      <c r="E680" s="340" t="s">
        <v>900</v>
      </c>
      <c r="F680" s="900"/>
      <c r="G680" s="901"/>
      <c r="H680" s="901"/>
      <c r="I680" s="901"/>
      <c r="J680" s="901"/>
      <c r="K680" s="901"/>
      <c r="L680" s="901"/>
      <c r="M680" s="341" t="s">
        <v>2283</v>
      </c>
      <c r="N680" s="383"/>
      <c r="O680" s="579"/>
      <c r="W680" s="578"/>
      <c r="X680" s="578"/>
      <c r="Y680" s="578"/>
      <c r="Z680" s="578"/>
      <c r="AA680" s="578"/>
      <c r="AB680" s="578"/>
      <c r="AC680" s="578"/>
      <c r="AD680" s="578"/>
      <c r="AE680" s="578"/>
      <c r="AF680" s="578"/>
      <c r="AG680" s="578"/>
      <c r="AH680" s="578"/>
      <c r="AT680" s="578"/>
    </row>
    <row r="681" spans="1:46" s="574" customFormat="1" ht="15" customHeight="1">
      <c r="A681" s="663"/>
      <c r="B681" s="667"/>
      <c r="D681" s="281"/>
      <c r="E681" s="913" t="s">
        <v>859</v>
      </c>
      <c r="F681" s="902">
        <v>2018</v>
      </c>
      <c r="G681" s="902">
        <v>2020</v>
      </c>
      <c r="H681" s="902">
        <v>2025</v>
      </c>
      <c r="I681" s="902">
        <v>2030</v>
      </c>
      <c r="J681" s="902">
        <v>2035</v>
      </c>
      <c r="K681" s="902">
        <v>2040</v>
      </c>
      <c r="L681" s="902">
        <v>2045</v>
      </c>
      <c r="M681" s="902">
        <v>2050</v>
      </c>
      <c r="N681" s="383"/>
      <c r="O681" s="579"/>
      <c r="R681" s="2699"/>
      <c r="W681" s="578"/>
      <c r="X681" s="578"/>
      <c r="Y681" s="578"/>
      <c r="Z681" s="578"/>
      <c r="AA681" s="578"/>
      <c r="AB681" s="578"/>
      <c r="AC681" s="578"/>
      <c r="AD681" s="578"/>
      <c r="AE681" s="578"/>
      <c r="AF681" s="578"/>
      <c r="AG681" s="578"/>
      <c r="AH681" s="578"/>
      <c r="AT681" s="578"/>
    </row>
    <row r="682" spans="1:46" s="574" customFormat="1" ht="15" customHeight="1">
      <c r="A682" s="663"/>
      <c r="B682" s="667"/>
      <c r="D682" s="281"/>
      <c r="E682" s="30" t="s">
        <v>889</v>
      </c>
      <c r="F682" s="2997" cm="1">
        <f t="array" ref="F682:M682">(GEN_POBLACION_CABECERA*(INDEX(F351:M351,0,0))*(INDEX(ST_TRANSPORTE_URBANO_DISTRIBUCION_MODAL,7,0))*(INDEX(ST_TRANSPORTE_URBANO_DISTRIBUCION_TECNOLOGIA_BUSES_BRT,1,0)*(INDEX(ST_TRANSPORTE_URBANO_DISTANCIA_PROMEDIO_POR_VIAJE_POR_MODO,7,0))/INDEX(SF_TRANSPORTE_URBANO_DISTANCIA_VIAJADA_POR_MODO,6,0)))</f>
        <v>11.309448722354407</v>
      </c>
      <c r="G682" s="2997">
        <v>8.7061755145351309</v>
      </c>
      <c r="H682" s="2997">
        <v>12.438454163052235</v>
      </c>
      <c r="I682" s="2997">
        <v>16.362347454774692</v>
      </c>
      <c r="J682" s="2997">
        <v>18.425399414313372</v>
      </c>
      <c r="K682" s="2997">
        <v>21.126002418105106</v>
      </c>
      <c r="L682" s="2997">
        <v>22.973419983090764</v>
      </c>
      <c r="M682" s="2997">
        <v>24.328213630825264</v>
      </c>
      <c r="N682" s="383"/>
      <c r="O682" s="579"/>
      <c r="W682" s="578"/>
      <c r="X682" s="578"/>
      <c r="Y682" s="578"/>
      <c r="Z682" s="578"/>
      <c r="AA682" s="578"/>
      <c r="AB682" s="578"/>
      <c r="AC682" s="578"/>
      <c r="AD682" s="578"/>
      <c r="AE682" s="578"/>
      <c r="AF682" s="578"/>
      <c r="AG682" s="578"/>
      <c r="AH682" s="578"/>
      <c r="AT682" s="578"/>
    </row>
    <row r="683" spans="1:46" s="574" customFormat="1" ht="15" customHeight="1">
      <c r="A683" s="663"/>
      <c r="B683" s="667"/>
      <c r="D683" s="281"/>
      <c r="E683" s="30" t="s">
        <v>2257</v>
      </c>
      <c r="F683" s="2998" cm="1">
        <f t="array" ref="F683:M683">(GEN_POBLACION_CABECERA*(INDEX(F351:M351,0,0))*(INDEX(ST_TRANSPORTE_URBANO_DISTRIBUCION_MODAL,7,0))*(INDEX(ST_TRANSPORTE_URBANO_DISTRIBUCION_TECNOLOGIA_BUSES_BRT,2,0)*(INDEX(ST_TRANSPORTE_URBANO_DISTANCIA_PROMEDIO_POR_VIAJE_POR_MODO,7,0))/INDEX(SF_TRANSPORTE_URBANO_DISTANCIA_VIAJADA_POR_MODO,6,0)))</f>
        <v>65.85674533359331</v>
      </c>
      <c r="G683" s="2998">
        <v>84.645466442172051</v>
      </c>
      <c r="H683" s="2998">
        <v>100.86938663067995</v>
      </c>
      <c r="I683" s="2998">
        <v>95.0355270327195</v>
      </c>
      <c r="J683" s="2998">
        <v>78.531091004436135</v>
      </c>
      <c r="K683" s="2998">
        <v>60.533125333595031</v>
      </c>
      <c r="L683" s="2998">
        <v>58.922060588090709</v>
      </c>
      <c r="M683" s="2998">
        <v>68.883332847432456</v>
      </c>
      <c r="N683" s="383"/>
      <c r="O683" s="579"/>
      <c r="W683" s="578"/>
      <c r="X683" s="578"/>
      <c r="Y683" s="578"/>
      <c r="Z683" s="578"/>
      <c r="AA683" s="578"/>
      <c r="AB683" s="578"/>
      <c r="AC683" s="578"/>
      <c r="AD683" s="578"/>
      <c r="AE683" s="578"/>
      <c r="AF683" s="578"/>
      <c r="AG683" s="578"/>
      <c r="AH683" s="578"/>
      <c r="AT683" s="578"/>
    </row>
    <row r="684" spans="1:46" s="574" customFormat="1" ht="15" customHeight="1">
      <c r="A684" s="663"/>
      <c r="B684" s="667"/>
      <c r="D684" s="281"/>
      <c r="E684" s="30" t="s">
        <v>2250</v>
      </c>
      <c r="F684" s="2998" cm="1">
        <f t="array" ref="F684:M684">(GEN_POBLACION_CABECERA*(INDEX(F351:M351,0,0))*(INDEX(ST_TRANSPORTE_URBANO_DISTRIBUCION_MODAL,7,0))*(INDEX(ST_TRANSPORTE_URBANO_DISTRIBUCION_TECNOLOGIA_BUSES_BRT,3,0)*(INDEX(ST_TRANSPORTE_URBANO_DISTANCIA_PROMEDIO_POR_VIAJE_POR_MODO,7,0))/INDEX(SF_TRANSPORTE_URBANO_DISTANCIA_VIAJADA_POR_MODO,6,0)))</f>
        <v>0</v>
      </c>
      <c r="G684" s="2998">
        <v>0</v>
      </c>
      <c r="H684" s="2998">
        <v>0</v>
      </c>
      <c r="I684" s="2998">
        <v>0</v>
      </c>
      <c r="J684" s="2998">
        <v>0</v>
      </c>
      <c r="K684" s="2998">
        <v>0</v>
      </c>
      <c r="L684" s="2998">
        <v>0</v>
      </c>
      <c r="M684" s="2998">
        <v>0</v>
      </c>
      <c r="N684" s="383"/>
      <c r="O684" s="579"/>
      <c r="W684" s="578"/>
      <c r="X684" s="578"/>
      <c r="Y684" s="578"/>
      <c r="Z684" s="578"/>
      <c r="AA684" s="578"/>
      <c r="AB684" s="578"/>
      <c r="AC684" s="578"/>
      <c r="AD684" s="578"/>
      <c r="AE684" s="578"/>
      <c r="AF684" s="578"/>
      <c r="AG684" s="578"/>
      <c r="AH684" s="578"/>
      <c r="AT684" s="578"/>
    </row>
    <row r="685" spans="1:46" s="574" customFormat="1" ht="15" customHeight="1">
      <c r="A685" s="663"/>
      <c r="B685" s="667"/>
      <c r="D685" s="281"/>
      <c r="E685" s="30" t="s">
        <v>893</v>
      </c>
      <c r="F685" s="2998" cm="1">
        <f t="array" ref="F685:M685">(GEN_POBLACION_CABECERA*(INDEX(F351:M351,0,0))*(INDEX(ST_TRANSPORTE_URBANO_DISTRIBUCION_MODAL,7,0))*(INDEX(ST_TRANSPORTE_URBANO_DISTRIBUCION_TECNOLOGIA_BUSES_BRT,4,0)*(INDEX(ST_TRANSPORTE_URBANO_DISTANCIA_PROMEDIO_POR_VIAJE_POR_MODO,7,0))/INDEX(SF_TRANSPORTE_URBANO_DISTANCIA_VIAJADA_POR_MODO,6,0)))</f>
        <v>1.4480748329331863</v>
      </c>
      <c r="G685" s="2998">
        <v>0.21666526383283699</v>
      </c>
      <c r="H685" s="2998">
        <v>1.483931542816932</v>
      </c>
      <c r="I685" s="2998">
        <v>8.5243227021422108</v>
      </c>
      <c r="J685" s="2998">
        <v>34.460893465263922</v>
      </c>
      <c r="K685" s="2998">
        <v>73.699074693344585</v>
      </c>
      <c r="L685" s="2998">
        <v>101.70141255206075</v>
      </c>
      <c r="M685" s="2998">
        <v>124.28206197101032</v>
      </c>
      <c r="N685" s="383"/>
      <c r="O685" s="579"/>
      <c r="W685" s="578"/>
      <c r="X685" s="578"/>
      <c r="Y685" s="578"/>
      <c r="Z685" s="578"/>
      <c r="AA685" s="578"/>
      <c r="AB685" s="578"/>
      <c r="AC685" s="578"/>
      <c r="AD685" s="578"/>
      <c r="AE685" s="578"/>
      <c r="AF685" s="578"/>
      <c r="AG685" s="578"/>
      <c r="AH685" s="578"/>
      <c r="AT685" s="578"/>
    </row>
    <row r="686" spans="1:46" s="574" customFormat="1" ht="15" customHeight="1">
      <c r="A686" s="663"/>
      <c r="B686" s="667"/>
      <c r="D686" s="281"/>
      <c r="E686" s="30" t="s">
        <v>498</v>
      </c>
      <c r="F686" s="2998" cm="1">
        <f t="array" ref="F686:M686">(GEN_POBLACION_CABECERA*(INDEX(F351:M351,0,0))*(INDEX(ST_TRANSPORTE_URBANO_DISTRIBUCION_MODAL,7,0))*(INDEX(ST_TRANSPORTE_URBANO_DISTRIBUCION_TECNOLOGIA_BUSES_BRT,5,0)*(INDEX(ST_TRANSPORTE_URBANO_DISTANCIA_PROMEDIO_POR_VIAJE_POR_MODO,7,0))/INDEX(SF_TRANSPORTE_URBANO_DISTANCIA_VIAJADA_POR_MODO,6,0)))</f>
        <v>0</v>
      </c>
      <c r="G686" s="2998">
        <v>0</v>
      </c>
      <c r="H686" s="2998">
        <v>0</v>
      </c>
      <c r="I686" s="2998">
        <v>0</v>
      </c>
      <c r="J686" s="2998">
        <v>0</v>
      </c>
      <c r="K686" s="2998">
        <v>0</v>
      </c>
      <c r="L686" s="2998">
        <v>0</v>
      </c>
      <c r="M686" s="2998">
        <v>0</v>
      </c>
      <c r="N686" s="383"/>
      <c r="O686" s="579"/>
      <c r="W686" s="578"/>
      <c r="X686" s="578"/>
      <c r="Y686" s="578"/>
      <c r="Z686" s="578"/>
      <c r="AA686" s="578"/>
      <c r="AB686" s="578"/>
      <c r="AC686" s="578"/>
      <c r="AD686" s="578"/>
      <c r="AE686" s="578"/>
      <c r="AF686" s="578"/>
      <c r="AG686" s="578"/>
      <c r="AH686" s="578"/>
      <c r="AT686" s="578"/>
    </row>
    <row r="687" spans="1:46" s="574" customFormat="1" ht="15" customHeight="1">
      <c r="A687" s="663"/>
      <c r="B687" s="667"/>
      <c r="D687" s="281"/>
      <c r="E687" s="30" t="s">
        <v>894</v>
      </c>
      <c r="F687" s="2998" cm="1">
        <f t="array" ref="F687:M687">(GEN_POBLACION_CABECERA*(INDEX(F351:M351,0,0))*(INDEX(ST_TRANSPORTE_URBANO_DISTRIBUCION_MODAL,7,0))*(INDEX(ST_TRANSPORTE_URBANO_DISTRIBUCION_TECNOLOGIA_BUSES_BRT,6,0)*(INDEX(ST_TRANSPORTE_URBANO_DISTANCIA_PROMEDIO_POR_VIAJE_POR_MODO,7,0))/INDEX(SF_TRANSPORTE_URBANO_DISTANCIA_VIAJADA_POR_MODO,6,0)))</f>
        <v>0</v>
      </c>
      <c r="G687" s="2998">
        <v>0.6339814024326057</v>
      </c>
      <c r="H687" s="2998">
        <v>3.8278553866268901</v>
      </c>
      <c r="I687" s="2998">
        <v>19.567861048216482</v>
      </c>
      <c r="J687" s="2998">
        <v>39.901997002210386</v>
      </c>
      <c r="K687" s="2998">
        <v>60.654092218606678</v>
      </c>
      <c r="L687" s="2998">
        <v>77.316451375233214</v>
      </c>
      <c r="M687" s="2998">
        <v>93.211546478257716</v>
      </c>
      <c r="N687" s="383"/>
      <c r="O687" s="579"/>
      <c r="W687" s="578"/>
      <c r="X687" s="578"/>
      <c r="Y687" s="578"/>
      <c r="Z687" s="578"/>
      <c r="AA687" s="578"/>
      <c r="AB687" s="578"/>
      <c r="AC687" s="578"/>
      <c r="AD687" s="578"/>
      <c r="AE687" s="578"/>
      <c r="AF687" s="578"/>
      <c r="AG687" s="578"/>
      <c r="AH687" s="578"/>
      <c r="AT687" s="578"/>
    </row>
    <row r="688" spans="1:46" s="574" customFormat="1" ht="15" customHeight="1">
      <c r="A688" s="663"/>
      <c r="B688" s="667"/>
      <c r="D688" s="281"/>
      <c r="E688" s="32" t="s">
        <v>603</v>
      </c>
      <c r="F688" s="2999" cm="1">
        <f t="array" ref="F688:M688">(GEN_POBLACION_CABECERA*(INDEX(F351:M351,0,0))*(INDEX(ST_TRANSPORTE_URBANO_DISTRIBUCION_MODAL,7,0))*(INDEX(ST_TRANSPORTE_URBANO_DISTRIBUCION_TECNOLOGIA_BUSES_BRT,7,0)*(INDEX(ST_TRANSPORTE_URBANO_DISTANCIA_PROMEDIO_POR_VIAJE_POR_MODO,7,0))/INDEX(SF_TRANSPORTE_URBANO_DISTANCIA_VIAJADA_POR_MODO,6,0)))</f>
        <v>0</v>
      </c>
      <c r="G688" s="2999">
        <v>0</v>
      </c>
      <c r="H688" s="2999">
        <v>0</v>
      </c>
      <c r="I688" s="2999">
        <v>0</v>
      </c>
      <c r="J688" s="2999">
        <v>0</v>
      </c>
      <c r="K688" s="2999">
        <v>0</v>
      </c>
      <c r="L688" s="2999">
        <v>0</v>
      </c>
      <c r="M688" s="2999">
        <v>0</v>
      </c>
      <c r="N688" s="383"/>
      <c r="O688" s="579"/>
      <c r="W688" s="578"/>
      <c r="X688" s="578"/>
      <c r="Y688" s="578"/>
      <c r="Z688" s="578"/>
      <c r="AA688" s="578"/>
      <c r="AB688" s="578"/>
      <c r="AC688" s="578"/>
      <c r="AD688" s="578"/>
      <c r="AE688" s="578"/>
      <c r="AF688" s="578"/>
      <c r="AG688" s="578"/>
      <c r="AH688" s="578"/>
      <c r="AT688" s="578"/>
    </row>
    <row r="689" spans="1:46" s="574" customFormat="1" ht="15" customHeight="1">
      <c r="A689" s="663"/>
      <c r="B689" s="667"/>
      <c r="D689" s="281"/>
      <c r="E689" s="26"/>
      <c r="F689" s="900"/>
      <c r="G689" s="901"/>
      <c r="H689" s="901"/>
      <c r="I689" s="901"/>
      <c r="J689" s="901"/>
      <c r="K689" s="901"/>
      <c r="L689" s="901"/>
      <c r="M689" s="901"/>
      <c r="N689" s="383"/>
      <c r="O689" s="578"/>
      <c r="W689" s="578"/>
      <c r="X689" s="578"/>
      <c r="Y689" s="578"/>
      <c r="Z689" s="578"/>
      <c r="AA689" s="578"/>
      <c r="AB689" s="578"/>
      <c r="AC689" s="578"/>
      <c r="AD689" s="578"/>
      <c r="AE689" s="578"/>
      <c r="AF689" s="578"/>
      <c r="AG689" s="578"/>
      <c r="AH689" s="578"/>
      <c r="AT689" s="578"/>
    </row>
    <row r="690" spans="1:46" s="574" customFormat="1" ht="15" customHeight="1">
      <c r="A690" s="663"/>
      <c r="B690" s="667"/>
      <c r="D690" s="281"/>
      <c r="E690" s="340" t="s">
        <v>2244</v>
      </c>
      <c r="F690" s="900"/>
      <c r="G690" s="901"/>
      <c r="H690" s="901"/>
      <c r="I690" s="901"/>
      <c r="J690" s="901"/>
      <c r="K690" s="901"/>
      <c r="L690" s="901"/>
      <c r="M690" s="341" t="s">
        <v>2283</v>
      </c>
      <c r="N690" s="383"/>
      <c r="O690" s="578"/>
      <c r="W690" s="578"/>
      <c r="X690" s="578"/>
      <c r="Y690" s="578"/>
      <c r="Z690" s="578"/>
      <c r="AA690" s="578"/>
      <c r="AB690" s="578"/>
      <c r="AC690" s="578"/>
      <c r="AD690" s="578"/>
      <c r="AE690" s="578"/>
      <c r="AF690" s="578"/>
      <c r="AG690" s="578"/>
      <c r="AH690" s="578"/>
      <c r="AT690" s="578"/>
    </row>
    <row r="691" spans="1:46" s="574" customFormat="1" ht="15" customHeight="1">
      <c r="A691" s="663"/>
      <c r="B691" s="667"/>
      <c r="D691" s="281"/>
      <c r="E691" s="913" t="s">
        <v>859</v>
      </c>
      <c r="F691" s="902">
        <v>2018</v>
      </c>
      <c r="G691" s="902">
        <v>2020</v>
      </c>
      <c r="H691" s="902">
        <v>2025</v>
      </c>
      <c r="I691" s="902">
        <v>2030</v>
      </c>
      <c r="J691" s="902">
        <v>2035</v>
      </c>
      <c r="K691" s="902">
        <v>2040</v>
      </c>
      <c r="L691" s="902">
        <v>2045</v>
      </c>
      <c r="M691" s="902">
        <v>2050</v>
      </c>
      <c r="N691" s="383"/>
      <c r="O691" s="578"/>
      <c r="W691" s="578"/>
      <c r="X691" s="578"/>
      <c r="Y691" s="578"/>
      <c r="Z691" s="578"/>
      <c r="AA691" s="578"/>
      <c r="AB691" s="578"/>
      <c r="AC691" s="578"/>
      <c r="AD691" s="578"/>
      <c r="AE691" s="578"/>
      <c r="AF691" s="578"/>
      <c r="AG691" s="578"/>
      <c r="AH691" s="578"/>
      <c r="AT691" s="578"/>
    </row>
    <row r="692" spans="1:46" s="574" customFormat="1" ht="15" customHeight="1">
      <c r="A692" s="663"/>
      <c r="B692" s="667"/>
      <c r="D692" s="281"/>
      <c r="E692" s="337" t="s">
        <v>526</v>
      </c>
      <c r="F692" s="2997" cm="1">
        <f t="array" ref="F692:M692">(GEN_POBLACION_CABECERA*(INDEX(F351:M351,0,0))*(INDEX(ST_TRANSPORTE_URBANO_DISTRIBUCION_MODAL,8,0))*(INDEX(ST_TRANSPORTE_URBANO_DISTRIBUCION_TECNOLOGIA_FERREO,1,0)*(INDEX(ST_TRANSPORTE_URBANO_DISTANCIA_PROMEDIO_POR_VIAJE_POR_MODO,8,0))/INDEX(SF_TRANSPORTE_URBANO_DISTANCIA_VIAJADA_POR_MODO,7,0)))</f>
        <v>1.5250397901998087</v>
      </c>
      <c r="G692" s="2997">
        <v>1.725965122761526</v>
      </c>
      <c r="H692" s="2997">
        <v>2.1526521986749367</v>
      </c>
      <c r="I692" s="2997">
        <v>2.4954626325948048</v>
      </c>
      <c r="J692" s="2997">
        <v>2.7718564991816965</v>
      </c>
      <c r="K692" s="2997">
        <v>3.0381731136492967</v>
      </c>
      <c r="L692" s="2997">
        <v>3.3103519044693397</v>
      </c>
      <c r="M692" s="2997">
        <v>3.5953029442165065</v>
      </c>
      <c r="N692" s="383"/>
      <c r="O692" s="578"/>
      <c r="W692" s="578"/>
      <c r="X692" s="578"/>
      <c r="Y692" s="578"/>
      <c r="Z692" s="578"/>
      <c r="AA692" s="578"/>
      <c r="AB692" s="578"/>
      <c r="AC692" s="578"/>
      <c r="AD692" s="578"/>
      <c r="AE692" s="578"/>
      <c r="AF692" s="578"/>
      <c r="AG692" s="578"/>
      <c r="AH692" s="578"/>
      <c r="AT692" s="578"/>
    </row>
    <row r="693" spans="1:46" s="574" customFormat="1" ht="15" customHeight="1">
      <c r="A693" s="663"/>
      <c r="B693" s="667"/>
      <c r="D693" s="272"/>
      <c r="E693" s="32" t="s">
        <v>601</v>
      </c>
      <c r="F693" s="2999" cm="1">
        <f t="array" ref="F693:M693">(GEN_POBLACION_CABECERA*(INDEX(F351:M351,0,0))*(INDEX(ST_TRANSPORTE_URBANO_DISTRIBUCION_MODAL,8,0))*(INDEX(ST_TRANSPORTE_URBANO_DISTRIBUCION_TECNOLOGIA_FERREO,2,0)*(INDEX(ST_TRANSPORTE_URBANO_DISTANCIA_PROMEDIO_POR_VIAJE_POR_MODO,8,0))/INDEX(SF_TRANSPORTE_URBANO_DISTANCIA_VIAJADA_POR_MODO,7,0)))</f>
        <v>0</v>
      </c>
      <c r="G693" s="2999">
        <v>0</v>
      </c>
      <c r="H693" s="2999">
        <v>0</v>
      </c>
      <c r="I693" s="2999">
        <v>0</v>
      </c>
      <c r="J693" s="2999">
        <v>0</v>
      </c>
      <c r="K693" s="2999">
        <v>0</v>
      </c>
      <c r="L693" s="2999">
        <v>0</v>
      </c>
      <c r="M693" s="2999">
        <v>0</v>
      </c>
      <c r="N693" s="383"/>
      <c r="O693" s="578"/>
      <c r="W693" s="578"/>
      <c r="X693" s="578"/>
      <c r="Y693" s="578"/>
      <c r="Z693" s="578"/>
      <c r="AA693" s="578"/>
      <c r="AB693" s="578"/>
      <c r="AC693" s="578"/>
      <c r="AD693" s="578"/>
      <c r="AE693" s="578"/>
      <c r="AF693" s="578"/>
      <c r="AG693" s="578"/>
      <c r="AH693" s="578"/>
      <c r="AT693" s="578"/>
    </row>
    <row r="694" spans="1:46" s="574" customFormat="1" ht="15" customHeight="1">
      <c r="A694" s="663"/>
      <c r="B694" s="667"/>
      <c r="D694" s="272"/>
      <c r="E694" s="386"/>
      <c r="F694" s="832"/>
      <c r="G694" s="835"/>
      <c r="H694" s="831"/>
      <c r="I694" s="831"/>
      <c r="J694" s="831"/>
      <c r="K694" s="830"/>
      <c r="L694" s="830"/>
      <c r="M694" s="830"/>
      <c r="N694" s="383"/>
      <c r="O694" s="578"/>
      <c r="W694" s="578"/>
      <c r="X694" s="578"/>
      <c r="Y694" s="578"/>
      <c r="Z694" s="578"/>
      <c r="AA694" s="578"/>
      <c r="AB694" s="578"/>
      <c r="AC694" s="578"/>
      <c r="AD694" s="578"/>
      <c r="AE694" s="578"/>
      <c r="AF694" s="578"/>
      <c r="AG694" s="578"/>
      <c r="AH694" s="578"/>
      <c r="AT694" s="578"/>
    </row>
    <row r="695" spans="1:46" s="574" customFormat="1" ht="15" customHeight="1">
      <c r="A695" s="663"/>
      <c r="B695" s="667"/>
      <c r="D695" s="272"/>
      <c r="E695" s="14" t="s">
        <v>2284</v>
      </c>
      <c r="F695" s="14"/>
      <c r="G695" s="14"/>
      <c r="H695" s="14"/>
      <c r="I695" s="14"/>
      <c r="J695" s="14"/>
      <c r="K695" s="14"/>
      <c r="L695" s="14"/>
      <c r="M695" s="14"/>
      <c r="N695" s="383"/>
      <c r="O695" s="578"/>
      <c r="W695" s="578"/>
      <c r="X695" s="578"/>
      <c r="Y695" s="578"/>
      <c r="Z695" s="578"/>
      <c r="AA695" s="578"/>
      <c r="AB695" s="578"/>
      <c r="AC695" s="578"/>
      <c r="AD695" s="578"/>
      <c r="AE695" s="578"/>
      <c r="AF695" s="578"/>
      <c r="AG695" s="578"/>
      <c r="AH695" s="578"/>
      <c r="AT695" s="578"/>
    </row>
    <row r="696" spans="1:46" s="574" customFormat="1" ht="15" customHeight="1">
      <c r="A696" s="663"/>
      <c r="B696" s="667"/>
      <c r="D696" s="272"/>
      <c r="E696" s="386"/>
      <c r="F696" s="832"/>
      <c r="G696" s="835"/>
      <c r="H696" s="831"/>
      <c r="I696" s="831"/>
      <c r="J696" s="831"/>
      <c r="K696" s="830"/>
      <c r="L696" s="830"/>
      <c r="M696" s="830"/>
      <c r="N696" s="383"/>
      <c r="O696" s="578"/>
      <c r="W696" s="578"/>
      <c r="X696" s="578"/>
      <c r="Y696" s="578"/>
      <c r="Z696" s="578"/>
      <c r="AA696" s="578"/>
      <c r="AB696" s="578"/>
      <c r="AC696" s="578"/>
      <c r="AD696" s="578"/>
      <c r="AE696" s="578"/>
      <c r="AF696" s="578"/>
      <c r="AG696" s="578"/>
      <c r="AH696" s="578"/>
      <c r="AT696" s="578"/>
    </row>
    <row r="697" spans="1:46" s="574" customFormat="1" ht="15" customHeight="1">
      <c r="A697" s="663"/>
      <c r="B697" s="667"/>
      <c r="D697" s="281"/>
      <c r="E697" s="340" t="s">
        <v>899</v>
      </c>
      <c r="F697" s="33"/>
      <c r="G697" s="33"/>
      <c r="H697" s="33"/>
      <c r="I697" s="33"/>
      <c r="J697" s="33"/>
      <c r="K697" s="33"/>
      <c r="L697" s="33"/>
      <c r="M697" s="341" t="s">
        <v>2283</v>
      </c>
      <c r="N697" s="383"/>
      <c r="O697" s="578"/>
      <c r="W697" s="578"/>
      <c r="X697" s="578"/>
      <c r="Y697" s="578"/>
      <c r="Z697" s="578"/>
      <c r="AA697" s="578"/>
      <c r="AB697" s="578"/>
      <c r="AC697" s="578"/>
      <c r="AD697" s="578"/>
      <c r="AE697" s="578"/>
      <c r="AF697" s="578"/>
      <c r="AG697" s="578"/>
      <c r="AH697" s="578"/>
      <c r="AT697" s="578"/>
    </row>
    <row r="698" spans="1:46" s="574" customFormat="1" ht="15" customHeight="1">
      <c r="A698" s="663"/>
      <c r="B698" s="667"/>
      <c r="D698" s="281"/>
      <c r="E698" s="913" t="s">
        <v>859</v>
      </c>
      <c r="F698" s="902">
        <v>2018</v>
      </c>
      <c r="G698" s="902">
        <v>2020</v>
      </c>
      <c r="H698" s="902">
        <v>2025</v>
      </c>
      <c r="I698" s="902">
        <v>2030</v>
      </c>
      <c r="J698" s="902">
        <v>2035</v>
      </c>
      <c r="K698" s="902">
        <v>2040</v>
      </c>
      <c r="L698" s="902">
        <v>2045</v>
      </c>
      <c r="M698" s="902">
        <v>2050</v>
      </c>
      <c r="N698" s="383"/>
      <c r="O698" s="579"/>
      <c r="W698" s="578"/>
      <c r="X698" s="578"/>
      <c r="Y698" s="578"/>
      <c r="Z698" s="578"/>
      <c r="AA698" s="578"/>
      <c r="AB698" s="578"/>
      <c r="AC698" s="578"/>
      <c r="AD698" s="578"/>
      <c r="AE698" s="578"/>
      <c r="AF698" s="578"/>
      <c r="AG698" s="578"/>
      <c r="AH698" s="578"/>
      <c r="AT698" s="578"/>
    </row>
    <row r="699" spans="1:46" s="574" customFormat="1" ht="15" customHeight="1">
      <c r="A699" s="663"/>
      <c r="B699" s="667"/>
      <c r="D699" s="281"/>
      <c r="E699" s="30" t="s">
        <v>889</v>
      </c>
      <c r="F699" s="2726" cm="1">
        <f t="array" ref="F699:M699">(SF_KM_TOTALES_MODO_CARRETERO_TRANSPORTE_INTERURBANO/SF_TRANSPORTE_INTERUBANO_DISTANCIA_TIPICA_VIAJADA_POR_MODO)*(INDEX(SF_DISTRIBUCION_MODO_CARRETERO_TRANSPORTE_INTERURBANO,1,0))</f>
        <v>653.53739887708684</v>
      </c>
      <c r="G699" s="2726">
        <v>770.9764671038929</v>
      </c>
      <c r="H699" s="2726">
        <v>938.02594709309642</v>
      </c>
      <c r="I699" s="2726">
        <v>1090.2556847644764</v>
      </c>
      <c r="J699" s="2726">
        <v>1242.574164674571</v>
      </c>
      <c r="K699" s="2726">
        <v>1413.7860587913508</v>
      </c>
      <c r="L699" s="2726">
        <v>1530.2165305635053</v>
      </c>
      <c r="M699" s="2726">
        <v>1680.567499248549</v>
      </c>
      <c r="N699" s="383"/>
      <c r="O699" s="579"/>
      <c r="W699" s="578"/>
      <c r="X699" s="578"/>
      <c r="Y699" s="578"/>
      <c r="Z699" s="578"/>
      <c r="AA699" s="578"/>
      <c r="AB699" s="578"/>
      <c r="AC699" s="578"/>
      <c r="AD699" s="578"/>
      <c r="AE699" s="578"/>
      <c r="AF699" s="578"/>
      <c r="AG699" s="578"/>
      <c r="AH699" s="578"/>
      <c r="AT699" s="578"/>
    </row>
    <row r="700" spans="1:46" s="574" customFormat="1" ht="15" customHeight="1">
      <c r="A700" s="663"/>
      <c r="B700" s="667"/>
      <c r="D700" s="281"/>
      <c r="E700" s="30" t="s">
        <v>2257</v>
      </c>
      <c r="F700" s="2729" cm="1">
        <f t="array" ref="F700:M700">(SF_KM_TOTALES_MODO_CARRETERO_TRANSPORTE_INTERURBANO/SF_TRANSPORTE_INTERUBANO_DISTANCIA_TIPICA_VIAJADA_POR_MODO)*(INDEX(SF_DISTRIBUCION_MODO_CARRETERO_TRANSPORTE_INTERURBANO,2,0))</f>
        <v>1240.7739022159183</v>
      </c>
      <c r="G700" s="2729">
        <v>1463.7379302986951</v>
      </c>
      <c r="H700" s="2729">
        <v>1780.8898415825454</v>
      </c>
      <c r="I700" s="2729">
        <v>2069.9057203499478</v>
      </c>
      <c r="J700" s="2729">
        <v>2359.0900807589678</v>
      </c>
      <c r="K700" s="2729">
        <v>2684.1445464009703</v>
      </c>
      <c r="L700" s="2729">
        <v>2905.1937029539013</v>
      </c>
      <c r="M700" s="2729">
        <v>3190.6426435008684</v>
      </c>
      <c r="N700" s="383"/>
      <c r="O700" s="579"/>
      <c r="W700" s="578"/>
      <c r="X700" s="578"/>
      <c r="Y700" s="578"/>
      <c r="Z700" s="578"/>
      <c r="AA700" s="578"/>
      <c r="AB700" s="578"/>
      <c r="AC700" s="578"/>
      <c r="AD700" s="578"/>
      <c r="AE700" s="578"/>
      <c r="AF700" s="578"/>
      <c r="AG700" s="578"/>
      <c r="AH700" s="578"/>
      <c r="AT700" s="578"/>
    </row>
    <row r="701" spans="1:46" s="574" customFormat="1" ht="15" customHeight="1">
      <c r="A701" s="663"/>
      <c r="B701" s="667"/>
      <c r="D701" s="281"/>
      <c r="E701" s="30" t="s">
        <v>2250</v>
      </c>
      <c r="F701" s="2729" cm="1">
        <f t="array" ref="F701:M701">(SF_KM_TOTALES_MODO_CARRETERO_TRANSPORTE_INTERURBANO/SF_TRANSPORTE_INTERUBANO_DISTANCIA_TIPICA_VIAJADA_POR_MODO)*(INDEX(SF_DISTRIBUCION_MODO_CARRETERO_TRANSPORTE_INTERURBANO,3,0))</f>
        <v>0</v>
      </c>
      <c r="G701" s="2729">
        <v>0</v>
      </c>
      <c r="H701" s="2729">
        <v>0</v>
      </c>
      <c r="I701" s="2729">
        <v>0</v>
      </c>
      <c r="J701" s="2729">
        <v>0</v>
      </c>
      <c r="K701" s="2729">
        <v>0</v>
      </c>
      <c r="L701" s="2729">
        <v>0</v>
      </c>
      <c r="M701" s="2729">
        <v>0</v>
      </c>
      <c r="N701" s="383"/>
      <c r="O701" s="579"/>
      <c r="W701" s="578"/>
      <c r="X701" s="578"/>
      <c r="Y701" s="578"/>
      <c r="Z701" s="578"/>
      <c r="AA701" s="578"/>
      <c r="AB701" s="578"/>
      <c r="AC701" s="578"/>
      <c r="AD701" s="578"/>
      <c r="AE701" s="578"/>
      <c r="AF701" s="578"/>
      <c r="AG701" s="578"/>
      <c r="AH701" s="578"/>
      <c r="AT701" s="578"/>
    </row>
    <row r="702" spans="1:46" s="574" customFormat="1" ht="15" customHeight="1">
      <c r="A702" s="663"/>
      <c r="B702" s="667"/>
      <c r="D702" s="281"/>
      <c r="E702" s="30" t="s">
        <v>893</v>
      </c>
      <c r="F702" s="2729" cm="1">
        <f t="array" ref="F702:M702">(SF_KM_TOTALES_MODO_CARRETERO_TRANSPORTE_INTERURBANO/SF_TRANSPORTE_INTERUBANO_DISTANCIA_TIPICA_VIAJADA_POR_MODO)*(INDEX(SF_DISTRIBUCION_MODO_CARRETERO_TRANSPORTE_INTERURBANO,4,0))</f>
        <v>473.57782527325128</v>
      </c>
      <c r="G702" s="2729">
        <v>558.678599350647</v>
      </c>
      <c r="H702" s="2729">
        <v>679.72894716891051</v>
      </c>
      <c r="I702" s="2729">
        <v>790.04035127860607</v>
      </c>
      <c r="J702" s="2729">
        <v>900.4160613583847</v>
      </c>
      <c r="K702" s="2729">
        <v>1024.4826512980803</v>
      </c>
      <c r="L702" s="2729">
        <v>1108.8525583793516</v>
      </c>
      <c r="M702" s="2729">
        <v>1217.8025356873543</v>
      </c>
      <c r="N702" s="383"/>
      <c r="O702" s="579"/>
      <c r="W702" s="578"/>
      <c r="X702" s="578"/>
      <c r="Y702" s="578"/>
      <c r="Z702" s="578"/>
      <c r="AA702" s="578"/>
      <c r="AB702" s="578"/>
      <c r="AC702" s="578"/>
      <c r="AD702" s="578"/>
      <c r="AE702" s="578"/>
      <c r="AF702" s="578"/>
      <c r="AG702" s="578"/>
      <c r="AH702" s="578"/>
      <c r="AT702" s="578"/>
    </row>
    <row r="703" spans="1:46" s="574" customFormat="1" ht="15" customHeight="1">
      <c r="A703" s="663"/>
      <c r="B703" s="667"/>
      <c r="D703" s="281"/>
      <c r="E703" s="30" t="s">
        <v>498</v>
      </c>
      <c r="F703" s="2729">
        <v>0</v>
      </c>
      <c r="G703" s="2729">
        <v>0</v>
      </c>
      <c r="H703" s="2729">
        <v>0</v>
      </c>
      <c r="I703" s="2729">
        <v>0</v>
      </c>
      <c r="J703" s="2729">
        <v>0</v>
      </c>
      <c r="K703" s="2729">
        <v>0</v>
      </c>
      <c r="L703" s="2729">
        <v>0</v>
      </c>
      <c r="M703" s="2729">
        <v>0</v>
      </c>
      <c r="N703" s="383"/>
      <c r="O703" s="579"/>
      <c r="W703" s="578"/>
      <c r="X703" s="578"/>
      <c r="Y703" s="578"/>
      <c r="Z703" s="578"/>
      <c r="AA703" s="578"/>
      <c r="AB703" s="578"/>
      <c r="AC703" s="578"/>
      <c r="AD703" s="578"/>
      <c r="AE703" s="578"/>
      <c r="AF703" s="578"/>
      <c r="AG703" s="578"/>
      <c r="AH703" s="578"/>
      <c r="AT703" s="578"/>
    </row>
    <row r="704" spans="1:46" s="574" customFormat="1" ht="15" customHeight="1">
      <c r="A704" s="663"/>
      <c r="B704" s="667"/>
      <c r="D704" s="281"/>
      <c r="E704" s="30" t="s">
        <v>894</v>
      </c>
      <c r="F704" s="2729" cm="1">
        <f t="array" ref="F704:M704">(SF_KM_TOTALES_MODO_CARRETERO_TRANSPORTE_INTERURBANO/SF_TRANSPORTE_INTERUBANO_DISTANCIA_TIPICA_VIAJADA_POR_MODO)*(INDEX(SF_DISTRIBUCION_MODO_CARRETERO_TRANSPORTE_INTERURBANO,5,0))</f>
        <v>0</v>
      </c>
      <c r="G704" s="2729">
        <v>0</v>
      </c>
      <c r="H704" s="2729">
        <v>0</v>
      </c>
      <c r="I704" s="2729">
        <v>0</v>
      </c>
      <c r="J704" s="2729">
        <v>0</v>
      </c>
      <c r="K704" s="2729">
        <v>0</v>
      </c>
      <c r="L704" s="2729">
        <v>0</v>
      </c>
      <c r="M704" s="2729">
        <v>0</v>
      </c>
      <c r="N704" s="383"/>
      <c r="O704" s="579"/>
      <c r="W704" s="578"/>
      <c r="X704" s="578"/>
      <c r="Y704" s="578"/>
      <c r="Z704" s="578"/>
      <c r="AA704" s="578"/>
      <c r="AB704" s="578"/>
      <c r="AC704" s="578"/>
      <c r="AD704" s="578"/>
      <c r="AE704" s="578"/>
      <c r="AF704" s="578"/>
      <c r="AG704" s="578"/>
      <c r="AH704" s="578"/>
      <c r="AT704" s="578"/>
    </row>
    <row r="705" spans="1:46" s="574" customFormat="1" ht="15" customHeight="1">
      <c r="A705" s="663"/>
      <c r="B705" s="667"/>
      <c r="D705" s="281"/>
      <c r="E705" s="32" t="s">
        <v>603</v>
      </c>
      <c r="F705" s="2727" cm="1">
        <f t="array" ref="F705:M705">(SF_KM_TOTALES_MODO_CARRETERO_TRANSPORTE_INTERURBANO/SF_TRANSPORTE_INTERUBANO_DISTANCIA_TIPICA_VIAJADA_POR_MODO)*(INDEX(SF_DISTRIBUCION_MODO_CARRETERO_TRANSPORTE_INTERURBANO,6,0))</f>
        <v>0</v>
      </c>
      <c r="G705" s="2727">
        <v>0</v>
      </c>
      <c r="H705" s="2727">
        <v>0</v>
      </c>
      <c r="I705" s="2727">
        <v>0</v>
      </c>
      <c r="J705" s="2727">
        <v>0</v>
      </c>
      <c r="K705" s="2727">
        <v>0</v>
      </c>
      <c r="L705" s="2727">
        <v>0</v>
      </c>
      <c r="M705" s="2727">
        <v>0</v>
      </c>
      <c r="N705" s="383"/>
      <c r="O705" s="579"/>
      <c r="W705" s="578"/>
      <c r="X705" s="578"/>
      <c r="Y705" s="578"/>
      <c r="Z705" s="578"/>
      <c r="AA705" s="578"/>
      <c r="AB705" s="578"/>
      <c r="AC705" s="578"/>
      <c r="AD705" s="578"/>
      <c r="AE705" s="578"/>
      <c r="AF705" s="578"/>
      <c r="AG705" s="578"/>
      <c r="AH705" s="578"/>
      <c r="AT705" s="578"/>
    </row>
    <row r="706" spans="1:46" s="574" customFormat="1" ht="15" customHeight="1">
      <c r="A706" s="663"/>
      <c r="B706" s="667"/>
      <c r="D706" s="281"/>
      <c r="E706" s="35"/>
      <c r="F706" s="900"/>
      <c r="G706" s="901"/>
      <c r="H706" s="901"/>
      <c r="I706" s="901"/>
      <c r="J706" s="901"/>
      <c r="K706" s="901"/>
      <c r="L706" s="901"/>
      <c r="M706" s="901"/>
      <c r="N706" s="383"/>
      <c r="O706" s="579"/>
      <c r="W706" s="578"/>
      <c r="X706" s="578"/>
      <c r="Y706" s="578"/>
      <c r="Z706" s="578"/>
      <c r="AA706" s="578"/>
      <c r="AB706" s="578"/>
      <c r="AC706" s="578"/>
      <c r="AD706" s="578"/>
      <c r="AE706" s="578"/>
      <c r="AF706" s="578"/>
      <c r="AG706" s="578"/>
      <c r="AH706" s="578"/>
      <c r="AT706" s="578"/>
    </row>
    <row r="707" spans="1:46" s="574" customFormat="1" ht="15" customHeight="1">
      <c r="A707" s="663"/>
      <c r="B707" s="667"/>
      <c r="D707" s="272"/>
      <c r="E707" s="386"/>
      <c r="F707" s="832"/>
      <c r="G707" s="835"/>
      <c r="H707" s="831"/>
      <c r="I707" s="831"/>
      <c r="J707" s="831"/>
      <c r="K707" s="830"/>
      <c r="L707" s="830"/>
      <c r="M707" s="830"/>
      <c r="N707" s="383"/>
      <c r="O707" s="579"/>
      <c r="W707" s="578"/>
      <c r="X707" s="578"/>
      <c r="Y707" s="578"/>
      <c r="Z707" s="578"/>
      <c r="AA707" s="578"/>
      <c r="AB707" s="578"/>
      <c r="AC707" s="578"/>
      <c r="AD707" s="578"/>
      <c r="AE707" s="578"/>
      <c r="AF707" s="578"/>
      <c r="AG707" s="578"/>
      <c r="AH707" s="578"/>
      <c r="AT707" s="578"/>
    </row>
    <row r="708" spans="1:46" s="574" customFormat="1" ht="15" customHeight="1">
      <c r="A708" s="663"/>
      <c r="B708" s="667"/>
      <c r="D708" s="3"/>
      <c r="E708" s="3"/>
      <c r="F708" s="696"/>
      <c r="G708" s="696"/>
      <c r="H708" s="696"/>
      <c r="I708" s="696"/>
      <c r="J708" s="696"/>
      <c r="K708" s="696"/>
      <c r="L708" s="696"/>
      <c r="M708" s="696"/>
      <c r="N708" s="3"/>
      <c r="O708" s="578"/>
      <c r="S708" s="2699"/>
      <c r="W708" s="578"/>
      <c r="X708" s="578"/>
      <c r="Y708" s="578"/>
      <c r="Z708" s="578"/>
      <c r="AA708" s="578"/>
      <c r="AB708" s="578"/>
      <c r="AC708" s="578"/>
      <c r="AD708" s="578"/>
      <c r="AE708" s="578"/>
      <c r="AF708" s="578"/>
      <c r="AG708" s="578"/>
      <c r="AH708" s="578"/>
      <c r="AT708" s="578"/>
    </row>
    <row r="709" spans="1:46" s="574" customFormat="1" ht="15" customHeight="1">
      <c r="A709" s="663"/>
      <c r="B709" s="667"/>
      <c r="D709" s="956" t="s">
        <v>51</v>
      </c>
      <c r="E709" s="336"/>
      <c r="F709" s="908"/>
      <c r="G709" s="908"/>
      <c r="H709" s="908"/>
      <c r="I709" s="908"/>
      <c r="J709" s="908"/>
      <c r="K709" s="908"/>
      <c r="L709" s="908"/>
      <c r="M709" s="908"/>
      <c r="N709" s="336"/>
      <c r="O709" s="578"/>
      <c r="W709" s="578"/>
      <c r="X709" s="578"/>
      <c r="Y709" s="578"/>
      <c r="Z709" s="578"/>
      <c r="AA709" s="578"/>
      <c r="AB709" s="578"/>
      <c r="AC709" s="578"/>
      <c r="AD709" s="578"/>
      <c r="AE709" s="578"/>
      <c r="AF709" s="578"/>
      <c r="AG709" s="578"/>
      <c r="AH709" s="578"/>
      <c r="AT709" s="578"/>
    </row>
    <row r="710" spans="1:46" s="574" customFormat="1" ht="15" customHeight="1">
      <c r="A710" s="663"/>
      <c r="B710" s="667"/>
      <c r="D710" s="40"/>
      <c r="E710" s="19"/>
      <c r="F710" s="754"/>
      <c r="G710" s="754"/>
      <c r="H710" s="754"/>
      <c r="I710" s="754"/>
      <c r="J710" s="754"/>
      <c r="K710" s="754"/>
      <c r="L710" s="754"/>
      <c r="M710" s="754"/>
      <c r="N710" s="40"/>
      <c r="O710" s="915"/>
      <c r="W710" s="578"/>
      <c r="X710" s="578"/>
      <c r="Y710" s="578"/>
      <c r="Z710" s="578"/>
      <c r="AA710" s="578"/>
      <c r="AB710" s="578"/>
      <c r="AC710" s="578"/>
      <c r="AD710" s="578"/>
      <c r="AE710" s="578"/>
      <c r="AF710" s="578"/>
      <c r="AG710" s="578"/>
      <c r="AH710" s="578"/>
      <c r="AT710" s="578"/>
    </row>
    <row r="711" spans="1:46" s="574" customFormat="1" ht="15" customHeight="1">
      <c r="A711" s="663"/>
      <c r="B711" s="667"/>
      <c r="D711" s="40"/>
      <c r="E711" s="14" t="s">
        <v>2285</v>
      </c>
      <c r="F711" s="736"/>
      <c r="G711" s="736"/>
      <c r="H711" s="736"/>
      <c r="I711" s="736"/>
      <c r="J711" s="736"/>
      <c r="K711" s="736"/>
      <c r="L711" s="736"/>
      <c r="M711" s="736"/>
      <c r="N711" s="40"/>
      <c r="O711" s="579"/>
      <c r="W711" s="578"/>
      <c r="X711" s="578"/>
      <c r="Y711" s="578"/>
      <c r="Z711" s="578"/>
      <c r="AA711" s="578"/>
      <c r="AB711" s="578"/>
      <c r="AC711" s="578"/>
      <c r="AD711" s="578"/>
      <c r="AE711" s="578"/>
      <c r="AF711" s="578"/>
      <c r="AG711" s="578"/>
      <c r="AH711" s="578"/>
      <c r="AT711" s="578"/>
    </row>
    <row r="712" spans="1:46" s="574" customFormat="1" ht="15" customHeight="1">
      <c r="A712" s="663"/>
      <c r="B712" s="667"/>
      <c r="D712" s="40"/>
      <c r="E712" s="37"/>
      <c r="F712" s="836"/>
      <c r="G712" s="836"/>
      <c r="H712" s="836"/>
      <c r="I712" s="836"/>
      <c r="J712" s="836"/>
      <c r="K712" s="836"/>
      <c r="L712" s="836"/>
      <c r="M712" s="836"/>
      <c r="N712" s="40"/>
      <c r="O712" s="578"/>
      <c r="W712" s="578"/>
      <c r="X712" s="578"/>
      <c r="Y712" s="578"/>
      <c r="Z712" s="578"/>
      <c r="AA712" s="578"/>
      <c r="AB712" s="578"/>
      <c r="AC712" s="578"/>
      <c r="AD712" s="578"/>
      <c r="AE712" s="578"/>
      <c r="AF712" s="578"/>
      <c r="AG712" s="578"/>
      <c r="AH712" s="578"/>
      <c r="AT712" s="578"/>
    </row>
    <row r="713" spans="1:46" s="574" customFormat="1" ht="15" customHeight="1">
      <c r="A713" s="663"/>
      <c r="B713" s="667"/>
      <c r="D713" s="40"/>
      <c r="E713" s="23" t="s">
        <v>2286</v>
      </c>
      <c r="F713" s="837"/>
      <c r="G713" s="837"/>
      <c r="H713" s="837"/>
      <c r="I713" s="837"/>
      <c r="J713" s="837"/>
      <c r="K713" s="837"/>
      <c r="L713" s="837"/>
      <c r="M713" s="837"/>
      <c r="N713" s="40"/>
      <c r="O713" s="578"/>
      <c r="W713" s="578"/>
      <c r="X713" s="578"/>
      <c r="Y713" s="578"/>
      <c r="Z713" s="578"/>
      <c r="AA713" s="578"/>
      <c r="AB713" s="578"/>
      <c r="AC713" s="578"/>
      <c r="AD713" s="578"/>
      <c r="AE713" s="578"/>
      <c r="AF713" s="578"/>
      <c r="AG713" s="578"/>
      <c r="AH713" s="578"/>
      <c r="AT713" s="578"/>
    </row>
    <row r="714" spans="1:46" s="574" customFormat="1" ht="15" customHeight="1">
      <c r="A714" s="663"/>
      <c r="B714" s="667"/>
      <c r="D714" s="40"/>
      <c r="E714" s="340"/>
      <c r="F714" s="760"/>
      <c r="G714" s="760"/>
      <c r="H714" s="760"/>
      <c r="I714" s="760"/>
      <c r="J714" s="760"/>
      <c r="K714" s="760"/>
      <c r="L714" s="760"/>
      <c r="M714" s="343" t="s">
        <v>803</v>
      </c>
      <c r="N714" s="40"/>
      <c r="O714" s="578"/>
    </row>
    <row r="715" spans="1:46" s="574" customFormat="1" ht="15" customHeight="1">
      <c r="A715" s="663"/>
      <c r="B715" s="667"/>
      <c r="D715" s="40"/>
      <c r="E715" s="913" t="s">
        <v>859</v>
      </c>
      <c r="F715" s="762">
        <v>2018</v>
      </c>
      <c r="G715" s="762">
        <v>2020</v>
      </c>
      <c r="H715" s="762">
        <v>2025</v>
      </c>
      <c r="I715" s="762">
        <v>2030</v>
      </c>
      <c r="J715" s="762">
        <v>2035</v>
      </c>
      <c r="K715" s="762">
        <v>2040</v>
      </c>
      <c r="L715" s="762">
        <v>2045</v>
      </c>
      <c r="M715" s="762">
        <v>2050</v>
      </c>
      <c r="N715" s="40"/>
      <c r="O715" s="578"/>
    </row>
    <row r="716" spans="1:46" s="574" customFormat="1" ht="15" customHeight="1">
      <c r="A716" s="663"/>
      <c r="B716" s="667"/>
      <c r="D716" s="40"/>
      <c r="E716" s="279" t="s">
        <v>887</v>
      </c>
      <c r="F716" s="2721">
        <v>0</v>
      </c>
      <c r="G716" s="2721">
        <f t="shared" ref="G716:M716" si="4">IF(((G642-F642)/(G641-F641))+(F642/SF_VIDA_UTIL_BICICLETA)*((INDEX(COSTOS_TRANSPORTE_PASAJEROS_BICICLETA,1)*COSTOS_ALTO*COSTOS_2019_US_dolares_MMCOP))&gt;0,((G642-F642)/(G641-F641))+(F642/SF_VIDA_UTIL_BICICLETA)*((INDEX(COSTOS_TRANSPORTE_PASAJEROS_BICICLETA,1)*COSTOS_ALTO*COSTOS_2019_US_dolares_MMCOP)),0)</f>
        <v>9895.1611144066919</v>
      </c>
      <c r="H716" s="2721">
        <f t="shared" si="4"/>
        <v>8581.5775499613046</v>
      </c>
      <c r="I716" s="2721">
        <f t="shared" si="4"/>
        <v>7208.1108402136706</v>
      </c>
      <c r="J716" s="2721">
        <f t="shared" si="4"/>
        <v>6122.5734427788548</v>
      </c>
      <c r="K716" s="2721">
        <f t="shared" si="4"/>
        <v>6049.6933074010176</v>
      </c>
      <c r="L716" s="2721">
        <f t="shared" si="4"/>
        <v>6266.8783728855251</v>
      </c>
      <c r="M716" s="2721">
        <f t="shared" si="4"/>
        <v>6613.9996440348432</v>
      </c>
      <c r="N716" s="40"/>
      <c r="O716" s="578"/>
    </row>
    <row r="717" spans="1:46" s="574" customFormat="1" ht="15" customHeight="1">
      <c r="A717" s="663"/>
      <c r="B717" s="667"/>
      <c r="D717" s="40"/>
      <c r="E717" s="30"/>
      <c r="F717" s="1511"/>
      <c r="G717" s="1511"/>
      <c r="H717" s="1511"/>
      <c r="I717" s="1511"/>
      <c r="J717" s="1511"/>
      <c r="K717" s="1511"/>
      <c r="L717" s="1511"/>
      <c r="M717" s="1511"/>
      <c r="N717" s="40"/>
      <c r="O717" s="578"/>
    </row>
    <row r="718" spans="1:46" s="574" customFormat="1" ht="15" customHeight="1">
      <c r="A718" s="663"/>
      <c r="B718" s="667"/>
      <c r="D718" s="40"/>
      <c r="E718" s="340" t="s">
        <v>2249</v>
      </c>
      <c r="F718" s="2722"/>
      <c r="G718" s="2722"/>
      <c r="H718" s="2722"/>
      <c r="I718" s="2722"/>
      <c r="J718" s="2722"/>
      <c r="K718" s="2722"/>
      <c r="L718" s="2722"/>
      <c r="M718" s="2723" t="s">
        <v>803</v>
      </c>
      <c r="N718" s="40"/>
      <c r="O718" s="578"/>
      <c r="W718" s="578"/>
      <c r="X718" s="578"/>
      <c r="Y718" s="578"/>
      <c r="Z718" s="578"/>
      <c r="AA718" s="578"/>
      <c r="AB718" s="578"/>
      <c r="AC718" s="578"/>
      <c r="AD718" s="578"/>
      <c r="AE718" s="578"/>
      <c r="AF718" s="578"/>
      <c r="AG718" s="578"/>
      <c r="AH718" s="578"/>
      <c r="AT718" s="578"/>
    </row>
    <row r="719" spans="1:46" s="574" customFormat="1" ht="15" customHeight="1">
      <c r="A719" s="663"/>
      <c r="B719" s="667"/>
      <c r="D719" s="40"/>
      <c r="E719" s="913" t="s">
        <v>859</v>
      </c>
      <c r="F719" s="2724">
        <v>2018</v>
      </c>
      <c r="G719" s="2724">
        <v>2020</v>
      </c>
      <c r="H719" s="2724">
        <v>2025</v>
      </c>
      <c r="I719" s="2724">
        <v>2030</v>
      </c>
      <c r="J719" s="2724">
        <v>2035</v>
      </c>
      <c r="K719" s="2724">
        <v>2040</v>
      </c>
      <c r="L719" s="2724">
        <v>2045</v>
      </c>
      <c r="M719" s="2724">
        <v>2050</v>
      </c>
      <c r="N719" s="40"/>
      <c r="O719" s="578"/>
      <c r="W719" s="578"/>
      <c r="X719" s="578"/>
      <c r="Y719" s="578"/>
      <c r="Z719" s="578"/>
      <c r="AA719" s="578"/>
      <c r="AB719" s="578"/>
      <c r="AC719" s="578"/>
      <c r="AD719" s="578"/>
      <c r="AE719" s="578"/>
      <c r="AF719" s="578"/>
      <c r="AG719" s="578"/>
      <c r="AH719" s="578"/>
      <c r="AT719" s="578"/>
    </row>
    <row r="720" spans="1:46" s="574" customFormat="1" ht="15" customHeight="1">
      <c r="A720" s="663"/>
      <c r="B720" s="667"/>
      <c r="D720" s="40"/>
      <c r="E720" s="30" t="s">
        <v>889</v>
      </c>
      <c r="F720" s="2725">
        <v>0</v>
      </c>
      <c r="G720" s="2726">
        <f t="shared" ref="G720:M720" si="5">IF(((G646-F646)/(G$645-F$645))+(F646/$F$599)*((INDEX(COSTOS_TRANSPORTE_PASAJEROS_VEHICULOS,1,1)*COSTOS_ALTO*COSTOS_2019_US_dolares_MMCOP))&gt;0,((G646-F646)/(G$645-F$645))+(F646/$F$599)*((INDEX(COSTOS_TRANSPORTE_PASAJEROS_VEHICULOS,1,1)*COSTOS_ALTO*COSTOS_2019_US_dolares_MMCOP)),0)</f>
        <v>1923.0684771639969</v>
      </c>
      <c r="H720" s="2726">
        <f t="shared" si="5"/>
        <v>294.22772506649312</v>
      </c>
      <c r="I720" s="2726">
        <f t="shared" si="5"/>
        <v>395.11624474123539</v>
      </c>
      <c r="J720" s="2726">
        <f t="shared" si="5"/>
        <v>773.89335067273305</v>
      </c>
      <c r="K720" s="2726">
        <f t="shared" si="5"/>
        <v>940.66720261457954</v>
      </c>
      <c r="L720" s="2726">
        <f t="shared" si="5"/>
        <v>1057.447429710759</v>
      </c>
      <c r="M720" s="2726">
        <f t="shared" si="5"/>
        <v>1143.9078803539808</v>
      </c>
      <c r="N720" s="40"/>
      <c r="O720" s="578"/>
      <c r="W720" s="578"/>
      <c r="X720" s="578"/>
      <c r="Y720" s="578"/>
      <c r="Z720" s="578"/>
      <c r="AA720" s="578"/>
      <c r="AB720" s="578"/>
      <c r="AC720" s="578"/>
      <c r="AD720" s="578"/>
      <c r="AE720" s="578"/>
      <c r="AF720" s="578"/>
      <c r="AG720" s="578"/>
      <c r="AH720" s="578"/>
      <c r="AT720" s="578"/>
    </row>
    <row r="721" spans="1:46" s="574" customFormat="1" ht="15" customHeight="1">
      <c r="A721" s="663"/>
      <c r="B721" s="667"/>
      <c r="D721" s="40"/>
      <c r="E721" s="30" t="s">
        <v>2257</v>
      </c>
      <c r="F721" s="2725">
        <v>0</v>
      </c>
      <c r="G721" s="2725">
        <f t="shared" ref="G721:M721" si="6">IF(((G647-F647)/(G$645-F$645))+(F647/$F$600)*((INDEX(COSTOS_TRANSPORTE_PASAJEROS_VEHICULOS,2,1)*COSTOS_ALTO*COSTOS_2019_US_dolares_MMCOP))&gt;0,((G647-F647)/(G$645-F$645))+(F647/$F$600)*((INDEX(COSTOS_TRANSPORTE_PASAJEROS_VEHICULOS,2,1)*COSTOS_ALTO*COSTOS_2019_US_dolares_MMCOP)),0)</f>
        <v>106.85624964999684</v>
      </c>
      <c r="H721" s="2725">
        <f t="shared" si="6"/>
        <v>47.437099850866225</v>
      </c>
      <c r="I721" s="2725">
        <f t="shared" si="6"/>
        <v>41.936681009472125</v>
      </c>
      <c r="J721" s="2725">
        <f t="shared" si="6"/>
        <v>37.549764233686908</v>
      </c>
      <c r="K721" s="2725">
        <f t="shared" si="6"/>
        <v>38.293094418689115</v>
      </c>
      <c r="L721" s="2725">
        <f t="shared" si="6"/>
        <v>40.595667197273372</v>
      </c>
      <c r="M721" s="2725">
        <f t="shared" si="6"/>
        <v>43.676785741519971</v>
      </c>
      <c r="N721" s="40"/>
      <c r="O721" s="578"/>
      <c r="W721" s="578"/>
      <c r="X721" s="578"/>
      <c r="Y721" s="578"/>
      <c r="Z721" s="578"/>
      <c r="AA721" s="578"/>
      <c r="AB721" s="578"/>
      <c r="AC721" s="578"/>
      <c r="AD721" s="578"/>
      <c r="AE721" s="578"/>
      <c r="AF721" s="578"/>
      <c r="AG721" s="578"/>
      <c r="AH721" s="578"/>
      <c r="AT721" s="578"/>
    </row>
    <row r="722" spans="1:46" s="574" customFormat="1" ht="15" customHeight="1">
      <c r="A722" s="663"/>
      <c r="B722" s="667"/>
      <c r="D722" s="40"/>
      <c r="E722" s="30" t="s">
        <v>2250</v>
      </c>
      <c r="F722" s="2725">
        <v>0</v>
      </c>
      <c r="G722" s="2725">
        <f t="shared" ref="G722:M722" si="7">IF(((G648-F648)/(G$645-F$645))+(F648/$F$601)*((INDEX(COSTOS_TRANSPORTE_PASAJEROS_VEHICULOS,3,1)*COSTOS_ALTO*COSTOS_2019_US_dolares_MMCOP))&gt;0,((G648-F648)/(G$645-F$645))+(F648/$F$601)*((INDEX(COSTOS_TRANSPORTE_PASAJEROS_VEHICULOS,3,1)*COSTOS_ALTO*COSTOS_2019_US_dolares_MMCOP)),0)</f>
        <v>0</v>
      </c>
      <c r="H722" s="2725">
        <f t="shared" si="7"/>
        <v>0</v>
      </c>
      <c r="I722" s="2725">
        <f t="shared" si="7"/>
        <v>0</v>
      </c>
      <c r="J722" s="2725">
        <f t="shared" si="7"/>
        <v>0</v>
      </c>
      <c r="K722" s="2725">
        <f t="shared" si="7"/>
        <v>0</v>
      </c>
      <c r="L722" s="2725">
        <f t="shared" si="7"/>
        <v>0</v>
      </c>
      <c r="M722" s="2725">
        <f t="shared" si="7"/>
        <v>0</v>
      </c>
      <c r="N722" s="40"/>
      <c r="O722" s="578"/>
      <c r="W722" s="578"/>
      <c r="X722" s="578"/>
      <c r="Y722" s="578"/>
      <c r="Z722" s="578"/>
      <c r="AA722" s="578"/>
      <c r="AB722" s="578"/>
      <c r="AC722" s="578"/>
      <c r="AD722" s="578"/>
      <c r="AE722" s="578"/>
      <c r="AF722" s="578"/>
      <c r="AG722" s="578"/>
      <c r="AH722" s="578"/>
      <c r="AT722" s="578"/>
    </row>
    <row r="723" spans="1:46" s="574" customFormat="1" ht="15" customHeight="1">
      <c r="A723" s="663"/>
      <c r="B723" s="667"/>
      <c r="D723" s="40"/>
      <c r="E723" s="30" t="s">
        <v>893</v>
      </c>
      <c r="F723" s="2725">
        <v>0</v>
      </c>
      <c r="G723" s="2725">
        <f t="shared" ref="G723:M723" si="8">IF(((G649-F649)/(G$645-F$645))+(F649/$F$603)*((INDEX(COSTOS_TRANSPORTE_PASAJEROS_VEHICULOS,4,1)*COSTOS_ALTO*COSTOS_2019_US_dolares_MMCOP))&gt;0,((G649-F649)/(G$645-F$645))+(F649/$F$603)*((INDEX(COSTOS_TRANSPORTE_PASAJEROS_VEHICULOS,4,1)*COSTOS_ALTO*COSTOS_2019_US_dolares_MMCOP)),0)</f>
        <v>0</v>
      </c>
      <c r="H723" s="2725">
        <f t="shared" si="8"/>
        <v>4.0782498470187466E-2</v>
      </c>
      <c r="I723" s="2725">
        <f t="shared" si="8"/>
        <v>3.670560974408886E-2</v>
      </c>
      <c r="J723" s="2725">
        <f t="shared" si="8"/>
        <v>3.3476119388629169E-2</v>
      </c>
      <c r="K723" s="2725">
        <f t="shared" si="8"/>
        <v>3.4417700051297545E-2</v>
      </c>
      <c r="L723" s="2725">
        <f t="shared" si="8"/>
        <v>3.6643286982615195E-2</v>
      </c>
      <c r="M723" s="2725">
        <f t="shared" si="8"/>
        <v>3.9526022523336098E-2</v>
      </c>
      <c r="N723" s="40"/>
      <c r="O723" s="578"/>
      <c r="W723" s="578"/>
      <c r="X723" s="578"/>
      <c r="Y723" s="578"/>
      <c r="Z723" s="578"/>
      <c r="AA723" s="578"/>
      <c r="AB723" s="578"/>
      <c r="AC723" s="578"/>
      <c r="AD723" s="578"/>
      <c r="AE723" s="578"/>
      <c r="AF723" s="578"/>
      <c r="AG723" s="578"/>
      <c r="AH723" s="578"/>
      <c r="AT723" s="578"/>
    </row>
    <row r="724" spans="1:46" s="574" customFormat="1" ht="15" customHeight="1">
      <c r="A724" s="663"/>
      <c r="B724" s="667"/>
      <c r="D724" s="40"/>
      <c r="E724" s="30" t="s">
        <v>498</v>
      </c>
      <c r="F724" s="2725">
        <v>0</v>
      </c>
      <c r="G724" s="2725">
        <f t="shared" ref="G724:M724" si="9">IF(((G650-F650)/(G$645-F$645))+(F650/$F$599)*((INDEX(COSTOS_TRANSPORTE_PASAJEROS_VEHICULOS,5,1)*COSTOS_ALTO*COSTOS_2019_US_dolares_MMCOP))&gt;0,((G650-F650)/(G$645-F$645))+(F650/$F$599)*((INDEX(COSTOS_TRANSPORTE_PASAJEROS_VEHICULOS,5,1)*COSTOS_ALTO*COSTOS_2019_US_dolares_MMCOP)),0)</f>
        <v>0</v>
      </c>
      <c r="H724" s="2725">
        <f t="shared" si="9"/>
        <v>0</v>
      </c>
      <c r="I724" s="2725">
        <f t="shared" si="9"/>
        <v>0</v>
      </c>
      <c r="J724" s="2725">
        <f t="shared" si="9"/>
        <v>0</v>
      </c>
      <c r="K724" s="2725">
        <f t="shared" si="9"/>
        <v>0</v>
      </c>
      <c r="L724" s="2725">
        <f t="shared" si="9"/>
        <v>0</v>
      </c>
      <c r="M724" s="2725">
        <f t="shared" si="9"/>
        <v>0</v>
      </c>
      <c r="N724" s="40"/>
      <c r="O724" s="578"/>
      <c r="W724" s="578"/>
      <c r="X724" s="578"/>
      <c r="Y724" s="578"/>
      <c r="Z724" s="578"/>
      <c r="AA724" s="578"/>
      <c r="AB724" s="578"/>
      <c r="AC724" s="578"/>
      <c r="AD724" s="578"/>
      <c r="AE724" s="578"/>
      <c r="AF724" s="578"/>
      <c r="AG724" s="578"/>
      <c r="AH724" s="578"/>
      <c r="AT724" s="578"/>
    </row>
    <row r="725" spans="1:46" s="574" customFormat="1" ht="15" customHeight="1">
      <c r="A725" s="663"/>
      <c r="B725" s="667"/>
      <c r="D725" s="40"/>
      <c r="E725" s="30" t="s">
        <v>894</v>
      </c>
      <c r="F725" s="2725">
        <v>0</v>
      </c>
      <c r="G725" s="2725">
        <f t="shared" ref="G725:M725" si="10">IF(((G651-F651)/(G$645-F$645))+(F651/$F$602)*((INDEX(COSTOS_TRANSPORTE_PASAJEROS_VEHICULOS,6,1)*COSTOS_ALTO*COSTOS_2019_US_dolares_MMCOP))&gt;0,((G651-F651)/(G$645-F$645))+(F651/$F$602)*((INDEX(COSTOS_TRANSPORTE_PASAJEROS_VEHICULOS,6,1)*COSTOS_ALTO*COSTOS_2019_US_dolares_MMCOP)),0)</f>
        <v>329.55387704902444</v>
      </c>
      <c r="H725" s="2725">
        <f t="shared" si="10"/>
        <v>1601.1295662942521</v>
      </c>
      <c r="I725" s="2725">
        <f t="shared" si="10"/>
        <v>1286.6061872559105</v>
      </c>
      <c r="J725" s="2725">
        <f t="shared" si="10"/>
        <v>737.26351527307054</v>
      </c>
      <c r="K725" s="2725">
        <f t="shared" si="10"/>
        <v>602.24727595711511</v>
      </c>
      <c r="L725" s="2725">
        <f t="shared" si="10"/>
        <v>578.94163252039391</v>
      </c>
      <c r="M725" s="2725">
        <f t="shared" si="10"/>
        <v>616.87118209194898</v>
      </c>
      <c r="N725" s="40"/>
      <c r="O725" s="578"/>
      <c r="W725" s="578"/>
      <c r="X725" s="578"/>
      <c r="Y725" s="578"/>
      <c r="Z725" s="578"/>
      <c r="AA725" s="578"/>
      <c r="AB725" s="578"/>
      <c r="AC725" s="578"/>
      <c r="AD725" s="578"/>
      <c r="AE725" s="578"/>
      <c r="AF725" s="578"/>
      <c r="AG725" s="578"/>
      <c r="AH725" s="578"/>
      <c r="AT725" s="578"/>
    </row>
    <row r="726" spans="1:46" s="574" customFormat="1" ht="15" customHeight="1">
      <c r="A726" s="663"/>
      <c r="B726" s="667"/>
      <c r="D726" s="40"/>
      <c r="E726" s="32" t="s">
        <v>603</v>
      </c>
      <c r="F726" s="2727">
        <v>0</v>
      </c>
      <c r="G726" s="2727">
        <f t="shared" ref="G726:M726" si="11">IF(((G652-F652)/(G$645-F$645))+(F652/$F$599)*((INDEX(COSTOS_TRANSPORTE_PASAJEROS_VEHICULOS,7,1)*COSTOS_ALTO*COSTOS_2019_US_dolares_MMCOP))&gt;0,((G652-F652)/(G$645-F$645))+(F652/$F$599)*((INDEX(COSTOS_TRANSPORTE_PASAJEROS_VEHICULOS,7,1)*COSTOS_ALTO*COSTOS_2019_US_dolares_MMCOP)),0)</f>
        <v>0</v>
      </c>
      <c r="H726" s="2727">
        <f t="shared" si="11"/>
        <v>0</v>
      </c>
      <c r="I726" s="2727">
        <f t="shared" si="11"/>
        <v>0</v>
      </c>
      <c r="J726" s="2727">
        <f t="shared" si="11"/>
        <v>0</v>
      </c>
      <c r="K726" s="2727">
        <f t="shared" si="11"/>
        <v>0</v>
      </c>
      <c r="L726" s="2727">
        <f t="shared" si="11"/>
        <v>0</v>
      </c>
      <c r="M726" s="2727">
        <f t="shared" si="11"/>
        <v>0</v>
      </c>
      <c r="N726" s="40"/>
      <c r="O726" s="578"/>
      <c r="W726" s="578"/>
      <c r="X726" s="578"/>
      <c r="Y726" s="578"/>
      <c r="Z726" s="578"/>
      <c r="AA726" s="578"/>
      <c r="AB726" s="578"/>
      <c r="AC726" s="578"/>
      <c r="AD726" s="578"/>
      <c r="AE726" s="578"/>
      <c r="AF726" s="578"/>
      <c r="AG726" s="578"/>
      <c r="AH726" s="578"/>
      <c r="AT726" s="578"/>
    </row>
    <row r="727" spans="1:46" s="574" customFormat="1" ht="15" customHeight="1">
      <c r="A727" s="663"/>
      <c r="B727" s="667"/>
      <c r="D727" s="40"/>
      <c r="E727" s="30"/>
      <c r="F727" s="1511"/>
      <c r="G727" s="1511"/>
      <c r="H727" s="1511"/>
      <c r="I727" s="1511"/>
      <c r="J727" s="1511"/>
      <c r="K727" s="1511"/>
      <c r="L727" s="1511"/>
      <c r="M727" s="1511"/>
      <c r="N727" s="40"/>
      <c r="W727" s="578"/>
      <c r="X727" s="578"/>
      <c r="Y727" s="578"/>
      <c r="Z727" s="578"/>
      <c r="AA727" s="578"/>
      <c r="AB727" s="578"/>
      <c r="AC727" s="578"/>
      <c r="AD727" s="578"/>
      <c r="AE727" s="578"/>
      <c r="AF727" s="578"/>
      <c r="AG727" s="578"/>
      <c r="AH727" s="578"/>
      <c r="AT727" s="578"/>
    </row>
    <row r="728" spans="1:46" s="574" customFormat="1" ht="15" customHeight="1">
      <c r="A728" s="663"/>
      <c r="B728" s="667"/>
      <c r="D728" s="40"/>
      <c r="E728" s="340" t="s">
        <v>895</v>
      </c>
      <c r="F728" s="2722"/>
      <c r="G728" s="2722"/>
      <c r="H728" s="2722"/>
      <c r="I728" s="2722"/>
      <c r="J728" s="2722"/>
      <c r="K728" s="2722"/>
      <c r="L728" s="2722"/>
      <c r="M728" s="2723" t="s">
        <v>803</v>
      </c>
      <c r="N728" s="40"/>
      <c r="O728" s="579"/>
      <c r="W728" s="578"/>
      <c r="X728" s="578"/>
      <c r="Y728" s="578"/>
      <c r="Z728" s="578"/>
      <c r="AA728" s="578"/>
      <c r="AB728" s="578"/>
      <c r="AC728" s="578"/>
      <c r="AD728" s="578"/>
      <c r="AE728" s="578"/>
      <c r="AF728" s="578"/>
      <c r="AG728" s="578"/>
      <c r="AH728" s="578"/>
      <c r="AT728" s="578"/>
    </row>
    <row r="729" spans="1:46" s="574" customFormat="1" ht="15" customHeight="1">
      <c r="A729" s="663"/>
      <c r="B729" s="667"/>
      <c r="D729" s="40"/>
      <c r="E729" s="28" t="s">
        <v>859</v>
      </c>
      <c r="F729" s="2724">
        <v>2018</v>
      </c>
      <c r="G729" s="2728">
        <v>2020</v>
      </c>
      <c r="H729" s="2728">
        <v>2025</v>
      </c>
      <c r="I729" s="2728">
        <v>2030</v>
      </c>
      <c r="J729" s="2728">
        <v>2035</v>
      </c>
      <c r="K729" s="2728">
        <v>2040</v>
      </c>
      <c r="L729" s="2728">
        <v>2045</v>
      </c>
      <c r="M729" s="2728">
        <v>2050</v>
      </c>
      <c r="N729" s="40"/>
      <c r="O729" s="579"/>
      <c r="W729" s="578"/>
      <c r="X729" s="578"/>
      <c r="Y729" s="578"/>
      <c r="Z729" s="578"/>
      <c r="AA729" s="578"/>
      <c r="AB729" s="578"/>
      <c r="AC729" s="578"/>
      <c r="AD729" s="578"/>
      <c r="AE729" s="578"/>
      <c r="AF729" s="578"/>
      <c r="AG729" s="578"/>
      <c r="AH729" s="578"/>
      <c r="AT729" s="578"/>
    </row>
    <row r="730" spans="1:46" s="574" customFormat="1" ht="15" customHeight="1">
      <c r="A730" s="663"/>
      <c r="B730" s="667"/>
      <c r="D730" s="40"/>
      <c r="E730" s="30" t="s">
        <v>889</v>
      </c>
      <c r="F730" s="2714">
        <v>0</v>
      </c>
      <c r="G730" s="2726">
        <f t="shared" ref="G730:M730" si="12">IF(((G656-F656)/(G$655-F$655))+(F656/$F607)*((INDEX(COSTOS_TRANSPORTE_PASAJEROS_TAXI,1,1)*COSTOS_ALTO*COSTOS_2019_US_dolares_MMCOP))&gt;0,((G656-F656)/(G$655-F$655))+(F656/$F607)*((INDEX(COSTOS_TRANSPORTE_PASAJEROS_TAXI,1,1)*COSTOS_ALTO*COSTOS_2019_US_dolares_MMCOP)),0)</f>
        <v>113.407381856035</v>
      </c>
      <c r="H730" s="2726">
        <f t="shared" si="12"/>
        <v>106.63046207363006</v>
      </c>
      <c r="I730" s="2726">
        <f t="shared" si="12"/>
        <v>0</v>
      </c>
      <c r="J730" s="2726">
        <f t="shared" si="12"/>
        <v>26.812342392950846</v>
      </c>
      <c r="K730" s="2726">
        <f t="shared" si="12"/>
        <v>58.174176583332176</v>
      </c>
      <c r="L730" s="2726">
        <f t="shared" si="12"/>
        <v>63.96712061815299</v>
      </c>
      <c r="M730" s="2726">
        <f t="shared" si="12"/>
        <v>73.97546291036744</v>
      </c>
      <c r="N730" s="40"/>
      <c r="O730" s="579"/>
      <c r="W730" s="578"/>
      <c r="X730" s="578"/>
      <c r="Y730" s="578"/>
      <c r="Z730" s="578"/>
      <c r="AA730" s="578"/>
      <c r="AB730" s="578"/>
      <c r="AC730" s="578"/>
      <c r="AD730" s="578"/>
      <c r="AE730" s="578"/>
      <c r="AF730" s="578"/>
      <c r="AG730" s="578"/>
      <c r="AH730" s="578"/>
      <c r="AT730" s="578"/>
    </row>
    <row r="731" spans="1:46" s="574" customFormat="1" ht="15" customHeight="1">
      <c r="A731" s="663"/>
      <c r="B731" s="667"/>
      <c r="D731" s="40"/>
      <c r="E731" s="30" t="s">
        <v>2257</v>
      </c>
      <c r="F731" s="2714">
        <v>0</v>
      </c>
      <c r="G731" s="2725">
        <f t="shared" ref="G731:M731" si="13">IF(((G657-F657)/(G$655-F$655))+(F657/$F608)*((INDEX(COSTOS_TRANSPORTE_PASAJEROS_TAXI,2,1)*COSTOS_ALTO*COSTOS_2019_US_dolares_MMCOP))&gt;0,((G657-F657)/(G$655-F$655))+(F657/$F608)*((INDEX(COSTOS_TRANSPORTE_PASAJEROS_TAXI,2,1)*COSTOS_ALTO*COSTOS_2019_US_dolares_MMCOP)),0)</f>
        <v>0.11697558585679921</v>
      </c>
      <c r="H731" s="2725">
        <f t="shared" si="13"/>
        <v>0.10968175968003006</v>
      </c>
      <c r="I731" s="2725">
        <f t="shared" si="13"/>
        <v>9.3540198301401201E-2</v>
      </c>
      <c r="J731" s="2725">
        <f t="shared" si="13"/>
        <v>8.5095327710316637E-2</v>
      </c>
      <c r="K731" s="2725">
        <f t="shared" si="13"/>
        <v>9.3604454459746522E-2</v>
      </c>
      <c r="L731" s="2725">
        <f t="shared" si="13"/>
        <v>0.10063239909279707</v>
      </c>
      <c r="M731" s="2725">
        <f t="shared" si="13"/>
        <v>0.11604868636778591</v>
      </c>
      <c r="N731" s="40"/>
      <c r="O731" s="579"/>
      <c r="W731" s="578"/>
      <c r="X731" s="578"/>
      <c r="Y731" s="578"/>
      <c r="Z731" s="578"/>
      <c r="AA731" s="578"/>
      <c r="AB731" s="578"/>
      <c r="AC731" s="578"/>
      <c r="AD731" s="578"/>
      <c r="AE731" s="578"/>
      <c r="AF731" s="578"/>
      <c r="AG731" s="578"/>
      <c r="AH731" s="578"/>
      <c r="AT731" s="578"/>
    </row>
    <row r="732" spans="1:46" s="574" customFormat="1" ht="15" customHeight="1">
      <c r="A732" s="663"/>
      <c r="B732" s="667"/>
      <c r="D732" s="40"/>
      <c r="E732" s="30" t="s">
        <v>2250</v>
      </c>
      <c r="F732" s="2714">
        <v>0</v>
      </c>
      <c r="G732" s="2725">
        <f t="shared" ref="G732:M732" si="14">IF(((G658-F658)/(G$655-F$655))+(F658/$F609)*((INDEX(COSTOS_TRANSPORTE_PASAJEROS_TAXI,3,1)*COSTOS_ALTO*COSTOS_2019_US_dolares_MMCOP))&gt;0,((G658-F658)/(G$655-F$655))+(F658/$F609)*((INDEX(COSTOS_TRANSPORTE_PASAJEROS_TAXI,3,1)*COSTOS_ALTO*COSTOS_2019_US_dolares_MMCOP)),0)</f>
        <v>0</v>
      </c>
      <c r="H732" s="2725">
        <f t="shared" si="14"/>
        <v>0</v>
      </c>
      <c r="I732" s="2725">
        <f t="shared" si="14"/>
        <v>0</v>
      </c>
      <c r="J732" s="2725">
        <f t="shared" si="14"/>
        <v>0</v>
      </c>
      <c r="K732" s="2725">
        <f t="shared" si="14"/>
        <v>0</v>
      </c>
      <c r="L732" s="2725">
        <f t="shared" si="14"/>
        <v>0</v>
      </c>
      <c r="M732" s="2725">
        <f t="shared" si="14"/>
        <v>0</v>
      </c>
      <c r="N732" s="40"/>
      <c r="O732" s="579"/>
      <c r="W732" s="578"/>
      <c r="X732" s="578"/>
      <c r="Y732" s="578"/>
      <c r="Z732" s="578"/>
      <c r="AA732" s="578"/>
      <c r="AB732" s="578"/>
      <c r="AC732" s="578"/>
      <c r="AD732" s="578"/>
      <c r="AE732" s="578"/>
      <c r="AF732" s="578"/>
      <c r="AG732" s="578"/>
      <c r="AH732" s="578"/>
      <c r="AT732" s="578"/>
    </row>
    <row r="733" spans="1:46" s="574" customFormat="1" ht="15" customHeight="1">
      <c r="A733" s="663"/>
      <c r="B733" s="667"/>
      <c r="D733" s="40"/>
      <c r="E733" s="30" t="s">
        <v>893</v>
      </c>
      <c r="F733" s="2714">
        <v>0</v>
      </c>
      <c r="G733" s="2725">
        <f t="shared" ref="G733:M733" si="15">IF(((G659-F659)/(G$655-F$655))+(F659/$F611)*((INDEX(COSTOS_TRANSPORTE_PASAJEROS_TAXI,4,1)*COSTOS_ALTO*COSTOS_2019_US_dolares_MMCOP))&gt;0,((G659-F659)/(G$655-F$655))+(F659/$F611)*((INDEX(COSTOS_TRANSPORTE_PASAJEROS_TAXI,4,1)*COSTOS_ALTO*COSTOS_2019_US_dolares_MMCOP)),0)</f>
        <v>1.2302651667672387E-2</v>
      </c>
      <c r="H733" s="2725">
        <f t="shared" si="15"/>
        <v>1.1640148792744226E-2</v>
      </c>
      <c r="I733" s="2725">
        <f t="shared" si="15"/>
        <v>1.0179287272176884E-2</v>
      </c>
      <c r="J733" s="2725">
        <f t="shared" si="15"/>
        <v>9.4571471866370313E-3</v>
      </c>
      <c r="K733" s="2725">
        <f t="shared" si="15"/>
        <v>1.0412813982443227E-2</v>
      </c>
      <c r="L733" s="2725">
        <f t="shared" si="15"/>
        <v>1.1230504973605232E-2</v>
      </c>
      <c r="M733" s="2725">
        <f t="shared" si="15"/>
        <v>1.2894463336722228E-2</v>
      </c>
      <c r="N733" s="40"/>
      <c r="O733" s="579"/>
      <c r="W733" s="578"/>
      <c r="X733" s="578"/>
      <c r="Y733" s="578"/>
      <c r="Z733" s="578"/>
      <c r="AA733" s="578"/>
      <c r="AB733" s="578"/>
      <c r="AC733" s="578"/>
      <c r="AD733" s="578"/>
      <c r="AE733" s="578"/>
      <c r="AF733" s="578"/>
      <c r="AG733" s="578"/>
      <c r="AH733" s="578"/>
      <c r="AT733" s="578"/>
    </row>
    <row r="734" spans="1:46" s="574" customFormat="1" ht="15" customHeight="1">
      <c r="A734" s="663"/>
      <c r="B734" s="667"/>
      <c r="D734" s="40"/>
      <c r="E734" s="30" t="s">
        <v>498</v>
      </c>
      <c r="F734" s="2714">
        <v>0</v>
      </c>
      <c r="G734" s="2725">
        <f t="shared" ref="G734:M734" si="16">IF(((G660-F660)/(G$655-F$655))+(F660/$F607)*((INDEX(COSTOS_TRANSPORTE_PASAJEROS_TAXI,5,1)*COSTOS_ALTO*COSTOS_2019_US_dolares_MMCOP))&gt;0,((G660-F660)/(G$655-F$655))+(F660/$F607)*((INDEX(COSTOS_TRANSPORTE_PASAJEROS_TAXI,5,1)*COSTOS_ALTO*COSTOS_2019_US_dolares_MMCOP)),0)</f>
        <v>0</v>
      </c>
      <c r="H734" s="2725">
        <f t="shared" si="16"/>
        <v>0</v>
      </c>
      <c r="I734" s="2725">
        <f t="shared" si="16"/>
        <v>0</v>
      </c>
      <c r="J734" s="2725">
        <f t="shared" si="16"/>
        <v>0</v>
      </c>
      <c r="K734" s="2725">
        <f t="shared" si="16"/>
        <v>0</v>
      </c>
      <c r="L734" s="2725">
        <f t="shared" si="16"/>
        <v>0</v>
      </c>
      <c r="M734" s="2725">
        <f t="shared" si="16"/>
        <v>0</v>
      </c>
      <c r="N734" s="40"/>
      <c r="O734" s="579"/>
      <c r="W734" s="578"/>
      <c r="X734" s="578"/>
      <c r="Y734" s="578"/>
      <c r="Z734" s="578"/>
      <c r="AA734" s="578"/>
      <c r="AB734" s="578"/>
      <c r="AC734" s="578"/>
      <c r="AD734" s="578"/>
      <c r="AE734" s="578"/>
      <c r="AF734" s="578"/>
      <c r="AG734" s="578"/>
      <c r="AH734" s="578"/>
      <c r="AT734" s="578"/>
    </row>
    <row r="735" spans="1:46" s="574" customFormat="1" ht="15" customHeight="1">
      <c r="A735" s="663"/>
      <c r="B735" s="667"/>
      <c r="D735" s="40"/>
      <c r="E735" s="30" t="s">
        <v>894</v>
      </c>
      <c r="F735" s="2714">
        <v>0</v>
      </c>
      <c r="G735" s="2725">
        <f t="shared" ref="G735:M735" si="17">IF(((G661-F661)/(G$655-F$655))+(F661/$F611)*((INDEX(COSTOS_TRANSPORTE_PASAJEROS_TAXI,6,1)*COSTOS_ALTO*COSTOS_2019_US_dolares_MMCOP))&gt;0,((G661-F661)/(G$655-F$655))+(F661/$F611)*((INDEX(COSTOS_TRANSPORTE_PASAJEROS_TAXI,6,1)*COSTOS_ALTO*COSTOS_2019_US_dolares_MMCOP)),0)</f>
        <v>0.89168391664170776</v>
      </c>
      <c r="H735" s="2725">
        <f t="shared" si="17"/>
        <v>9.5426329962756518E-2</v>
      </c>
      <c r="I735" s="2725">
        <f t="shared" si="17"/>
        <v>165.09521121168009</v>
      </c>
      <c r="J735" s="2725">
        <f t="shared" si="17"/>
        <v>56.325499439476239</v>
      </c>
      <c r="K735" s="2725">
        <f t="shared" si="17"/>
        <v>33.664874256735118</v>
      </c>
      <c r="L735" s="2725">
        <f t="shared" si="17"/>
        <v>34.732230659293215</v>
      </c>
      <c r="M735" s="2725">
        <f t="shared" si="17"/>
        <v>39.932859774374677</v>
      </c>
      <c r="N735" s="40"/>
      <c r="O735" s="579"/>
      <c r="W735" s="578"/>
      <c r="X735" s="578"/>
      <c r="Y735" s="578"/>
      <c r="Z735" s="578"/>
      <c r="AA735" s="578"/>
      <c r="AB735" s="578"/>
      <c r="AC735" s="578"/>
      <c r="AD735" s="578"/>
      <c r="AE735" s="578"/>
      <c r="AF735" s="578"/>
      <c r="AG735" s="578"/>
      <c r="AH735" s="578"/>
      <c r="AT735" s="578"/>
    </row>
    <row r="736" spans="1:46" s="574" customFormat="1" ht="15" customHeight="1">
      <c r="A736" s="663"/>
      <c r="B736" s="667"/>
      <c r="D736" s="40"/>
      <c r="E736" s="32" t="s">
        <v>603</v>
      </c>
      <c r="F736" s="2715">
        <v>0</v>
      </c>
      <c r="G736" s="2727">
        <f t="shared" ref="G736:M736" si="18">IF(((G662-F662)/(G$655-F$655))+(F662/$F611)*((INDEX(COSTOS_TRANSPORTE_PASAJEROS_TAXI,7,1)*COSTOS_ALTO*COSTOS_2019_US_dolares_MMCOP))&gt;0,((G662-F662)/(G$655-F$655))+(F662/$F611)*((INDEX(COSTOS_TRANSPORTE_PASAJEROS_TAXI,7,1)*COSTOS_ALTO*COSTOS_2019_US_dolares_MMCOP)),0)</f>
        <v>0</v>
      </c>
      <c r="H736" s="2727">
        <f t="shared" si="18"/>
        <v>0</v>
      </c>
      <c r="I736" s="2727">
        <f t="shared" si="18"/>
        <v>0</v>
      </c>
      <c r="J736" s="2727">
        <f t="shared" si="18"/>
        <v>0</v>
      </c>
      <c r="K736" s="2727">
        <f t="shared" si="18"/>
        <v>0</v>
      </c>
      <c r="L736" s="2727">
        <f t="shared" si="18"/>
        <v>0</v>
      </c>
      <c r="M736" s="2727">
        <f t="shared" si="18"/>
        <v>0</v>
      </c>
      <c r="N736" s="40"/>
      <c r="O736" s="579"/>
      <c r="W736" s="578"/>
      <c r="X736" s="578"/>
      <c r="Y736" s="578"/>
      <c r="Z736" s="578"/>
      <c r="AA736" s="578"/>
      <c r="AB736" s="578"/>
      <c r="AC736" s="578"/>
      <c r="AD736" s="578"/>
      <c r="AE736" s="578"/>
      <c r="AF736" s="578"/>
      <c r="AG736" s="578"/>
      <c r="AH736" s="578"/>
      <c r="AT736" s="578"/>
    </row>
    <row r="737" spans="1:46" s="574" customFormat="1" ht="15" customHeight="1">
      <c r="A737" s="663"/>
      <c r="B737" s="667"/>
      <c r="D737" s="40"/>
      <c r="E737" s="30"/>
      <c r="F737" s="1511"/>
      <c r="G737" s="1511"/>
      <c r="H737" s="1511"/>
      <c r="I737" s="1511"/>
      <c r="J737" s="1511"/>
      <c r="K737" s="1511"/>
      <c r="L737" s="1511"/>
      <c r="M737" s="1511"/>
      <c r="N737" s="40"/>
      <c r="O737" s="579"/>
      <c r="W737" s="578"/>
      <c r="X737" s="578"/>
      <c r="Y737" s="578"/>
      <c r="Z737" s="578"/>
      <c r="AA737" s="578"/>
      <c r="AB737" s="578"/>
      <c r="AC737" s="578"/>
      <c r="AD737" s="578"/>
      <c r="AE737" s="578"/>
      <c r="AF737" s="578"/>
      <c r="AG737" s="578"/>
      <c r="AH737" s="578"/>
      <c r="AT737" s="578"/>
    </row>
    <row r="738" spans="1:46" s="574" customFormat="1" ht="15" customHeight="1">
      <c r="A738" s="663"/>
      <c r="B738" s="667"/>
      <c r="D738" s="40"/>
      <c r="E738" s="340" t="s">
        <v>896</v>
      </c>
      <c r="F738" s="2722"/>
      <c r="G738" s="2722"/>
      <c r="H738" s="2722"/>
      <c r="I738" s="2722"/>
      <c r="J738" s="2722"/>
      <c r="K738" s="2722"/>
      <c r="L738" s="2722"/>
      <c r="M738" s="2723" t="s">
        <v>803</v>
      </c>
      <c r="N738" s="40"/>
      <c r="O738" s="579"/>
      <c r="W738" s="578"/>
      <c r="X738" s="578"/>
      <c r="Y738" s="578"/>
      <c r="Z738" s="578"/>
      <c r="AA738" s="578"/>
      <c r="AB738" s="578"/>
      <c r="AC738" s="578"/>
      <c r="AD738" s="578"/>
      <c r="AE738" s="578"/>
      <c r="AF738" s="578"/>
      <c r="AG738" s="578"/>
      <c r="AH738" s="578"/>
      <c r="AT738" s="578"/>
    </row>
    <row r="739" spans="1:46" s="574" customFormat="1" ht="15" customHeight="1">
      <c r="A739" s="663"/>
      <c r="B739" s="667"/>
      <c r="D739" s="40"/>
      <c r="E739" s="28" t="s">
        <v>859</v>
      </c>
      <c r="F739" s="2724">
        <v>2018</v>
      </c>
      <c r="G739" s="2724">
        <v>2020</v>
      </c>
      <c r="H739" s="2724">
        <v>2025</v>
      </c>
      <c r="I739" s="2724">
        <v>2030</v>
      </c>
      <c r="J739" s="2724">
        <v>2035</v>
      </c>
      <c r="K739" s="2724">
        <v>2040</v>
      </c>
      <c r="L739" s="2724">
        <v>2045</v>
      </c>
      <c r="M739" s="2724">
        <v>2050</v>
      </c>
      <c r="N739" s="40"/>
      <c r="O739" s="579"/>
      <c r="W739" s="578"/>
      <c r="X739" s="578"/>
      <c r="Y739" s="578"/>
      <c r="Z739" s="578"/>
      <c r="AA739" s="578"/>
      <c r="AB739" s="578"/>
      <c r="AC739" s="578"/>
      <c r="AD739" s="578"/>
      <c r="AE739" s="578"/>
      <c r="AF739" s="578"/>
      <c r="AG739" s="578"/>
      <c r="AH739" s="578"/>
      <c r="AT739" s="578"/>
    </row>
    <row r="740" spans="1:46" s="574" customFormat="1" ht="15" customHeight="1">
      <c r="A740" s="663"/>
      <c r="B740" s="667"/>
      <c r="D740" s="40"/>
      <c r="E740" s="30" t="s">
        <v>897</v>
      </c>
      <c r="F740" s="2726">
        <v>0</v>
      </c>
      <c r="G740" s="2726">
        <f t="shared" ref="G740:M740" si="19">IF(((G666-F666)/(G$665-F$665))+(F666/$F$615)*((INDEX(COSTOS_TRASPORTE_PASAJEROS_MOTOS,1,1)*COSTOS_ALTO*COSTOS_2019_US_dolares_MMCOP))&gt;0,((G666-F666)/(G$665-F$665))+(F666/$F$615)*((INDEX(COSTOS_TRASPORTE_PASAJEROS_MOTOS,1,1)*COSTOS_ALTO*COSTOS_2019_US_dolares_MMCOP)),0)</f>
        <v>3366.6239457636334</v>
      </c>
      <c r="H740" s="2726">
        <f t="shared" si="19"/>
        <v>2701.8625430074412</v>
      </c>
      <c r="I740" s="2726">
        <f t="shared" si="19"/>
        <v>2289.13620274082</v>
      </c>
      <c r="J740" s="2726">
        <f t="shared" si="19"/>
        <v>1956.5947532675793</v>
      </c>
      <c r="K740" s="2726">
        <f t="shared" si="19"/>
        <v>1952.7863634858611</v>
      </c>
      <c r="L740" s="2726">
        <f t="shared" si="19"/>
        <v>2046.4058535651659</v>
      </c>
      <c r="M740" s="2726">
        <f t="shared" si="19"/>
        <v>2186.2267610279523</v>
      </c>
      <c r="N740" s="40"/>
      <c r="O740" s="579"/>
      <c r="W740" s="578"/>
      <c r="X740" s="578"/>
      <c r="Y740" s="578"/>
      <c r="Z740" s="578"/>
      <c r="AA740" s="578"/>
      <c r="AB740" s="578"/>
      <c r="AC740" s="578"/>
      <c r="AD740" s="578"/>
      <c r="AE740" s="578"/>
      <c r="AF740" s="578"/>
      <c r="AG740" s="578"/>
      <c r="AH740" s="578"/>
      <c r="AT740" s="578"/>
    </row>
    <row r="741" spans="1:46" s="574" customFormat="1" ht="15" customHeight="1">
      <c r="A741" s="663"/>
      <c r="B741" s="667"/>
      <c r="D741" s="40"/>
      <c r="E741" s="30" t="s">
        <v>898</v>
      </c>
      <c r="F741" s="2725">
        <v>0</v>
      </c>
      <c r="G741" s="2725">
        <f t="shared" ref="G741:M741" si="20">IF(((G667-F667)/(G$665-F$665))+(F667/$F$615)*((INDEX(COSTOS_TRASPORTE_PASAJEROS_MOTOS,2,1)*COSTOS_ALTO*COSTOS_2019_US_dolares_MMCOP))&gt;0,((G667-F667)/(G$665-F$665))+(F667/$F$615)*((INDEX(COSTOS_TRASPORTE_PASAJEROS_MOTOS,2,1)*COSTOS_ALTO*COSTOS_2019_US_dolares_MMCOP)),0)</f>
        <v>2441.2376733312308</v>
      </c>
      <c r="H741" s="2725">
        <f t="shared" si="20"/>
        <v>1960.3771173428913</v>
      </c>
      <c r="I741" s="2725">
        <f t="shared" si="20"/>
        <v>1662.5454565563605</v>
      </c>
      <c r="J741" s="2725">
        <f t="shared" si="20"/>
        <v>1422.6186810295862</v>
      </c>
      <c r="K741" s="2725">
        <f t="shared" si="20"/>
        <v>1420.6110060018934</v>
      </c>
      <c r="L741" s="2725">
        <f t="shared" si="20"/>
        <v>1489.1524858956416</v>
      </c>
      <c r="M741" s="2725">
        <f t="shared" si="20"/>
        <v>1591.1856797107996</v>
      </c>
      <c r="N741" s="40"/>
      <c r="O741" s="579"/>
      <c r="W741" s="578"/>
      <c r="X741" s="578"/>
      <c r="Y741" s="578"/>
      <c r="Z741" s="578"/>
      <c r="AA741" s="578"/>
      <c r="AB741" s="578"/>
      <c r="AC741" s="578"/>
      <c r="AD741" s="578"/>
      <c r="AE741" s="578"/>
      <c r="AF741" s="578"/>
      <c r="AG741" s="578"/>
      <c r="AH741" s="578"/>
      <c r="AT741" s="578"/>
    </row>
    <row r="742" spans="1:46" s="574" customFormat="1" ht="15" customHeight="1">
      <c r="A742" s="663"/>
      <c r="B742" s="667"/>
      <c r="D742" s="40"/>
      <c r="E742" s="32" t="s">
        <v>2262</v>
      </c>
      <c r="F742" s="2727">
        <v>0</v>
      </c>
      <c r="G742" s="2727">
        <f t="shared" ref="G742:M742" si="21">IF(((G668-F668)/(G$665-F$665))+(F668/$F$615)*((INDEX(COSTOS_TRASPORTE_PASAJEROS_MOTOS,3,1)*COSTOS_ALTO*COSTOS_2019_US_dolares_MMCOP))&gt;0,((G668-F668)/(G$665-F$665))+(F668/$F$615)*((INDEX(COSTOS_TRASPORTE_PASAJEROS_MOTOS,3,1)*COSTOS_ALTO*COSTOS_2019_US_dolares_MMCOP)),0)</f>
        <v>0</v>
      </c>
      <c r="H742" s="2727">
        <f t="shared" si="21"/>
        <v>0</v>
      </c>
      <c r="I742" s="2727">
        <f t="shared" si="21"/>
        <v>0</v>
      </c>
      <c r="J742" s="2727">
        <f t="shared" si="21"/>
        <v>0</v>
      </c>
      <c r="K742" s="2727">
        <f t="shared" si="21"/>
        <v>0</v>
      </c>
      <c r="L742" s="2727">
        <f t="shared" si="21"/>
        <v>0</v>
      </c>
      <c r="M742" s="2727">
        <f t="shared" si="21"/>
        <v>0</v>
      </c>
      <c r="N742" s="40"/>
      <c r="O742" s="578"/>
    </row>
    <row r="743" spans="1:46" s="574" customFormat="1" ht="15" customHeight="1">
      <c r="A743" s="663"/>
      <c r="B743" s="667"/>
      <c r="D743" s="40"/>
      <c r="E743" s="30"/>
      <c r="F743" s="1511"/>
      <c r="G743" s="1511"/>
      <c r="H743" s="1511"/>
      <c r="I743" s="1511"/>
      <c r="J743" s="1511"/>
      <c r="K743" s="1511"/>
      <c r="L743" s="1511"/>
      <c r="M743" s="1511"/>
      <c r="N743" s="40"/>
      <c r="O743" s="578"/>
    </row>
    <row r="744" spans="1:46" s="574" customFormat="1" ht="15" customHeight="1">
      <c r="A744" s="663"/>
      <c r="B744" s="667"/>
      <c r="D744" s="40"/>
      <c r="E744" s="340" t="s">
        <v>899</v>
      </c>
      <c r="F744" s="2722"/>
      <c r="G744" s="2722"/>
      <c r="H744" s="2722"/>
      <c r="I744" s="2722"/>
      <c r="J744" s="2722"/>
      <c r="K744" s="2722"/>
      <c r="L744" s="2722"/>
      <c r="M744" s="2723" t="s">
        <v>803</v>
      </c>
      <c r="N744" s="40"/>
      <c r="O744" s="578"/>
    </row>
    <row r="745" spans="1:46" s="574" customFormat="1" ht="15" customHeight="1">
      <c r="A745" s="663"/>
      <c r="B745" s="667"/>
      <c r="D745" s="40"/>
      <c r="E745" s="28" t="s">
        <v>859</v>
      </c>
      <c r="F745" s="2724">
        <v>2018</v>
      </c>
      <c r="G745" s="2724">
        <v>2020</v>
      </c>
      <c r="H745" s="2724">
        <v>2025</v>
      </c>
      <c r="I745" s="2724">
        <v>2030</v>
      </c>
      <c r="J745" s="2724">
        <v>2035</v>
      </c>
      <c r="K745" s="2724">
        <v>2040</v>
      </c>
      <c r="L745" s="2724">
        <v>2045</v>
      </c>
      <c r="M745" s="2724">
        <v>2050</v>
      </c>
      <c r="N745" s="40"/>
      <c r="O745" s="578"/>
      <c r="W745" s="578"/>
      <c r="X745" s="578"/>
      <c r="Y745" s="578"/>
      <c r="Z745" s="578"/>
      <c r="AA745" s="578"/>
      <c r="AB745" s="578"/>
      <c r="AC745" s="578"/>
      <c r="AD745" s="578"/>
      <c r="AE745" s="578"/>
      <c r="AF745" s="578"/>
      <c r="AG745" s="578"/>
      <c r="AH745" s="578"/>
      <c r="AT745" s="578"/>
    </row>
    <row r="746" spans="1:46" s="574" customFormat="1" ht="15" customHeight="1">
      <c r="A746" s="663"/>
      <c r="B746" s="667"/>
      <c r="D746" s="40"/>
      <c r="E746" s="30" t="s">
        <v>889</v>
      </c>
      <c r="F746" s="2726">
        <v>0</v>
      </c>
      <c r="G746" s="2726">
        <f t="shared" ref="G746:M746" si="22">((G672-F672)/(G$671-F$671))+(F672/$F$621)*((INDEX(COSTOS_TRASPORTE_PASAJEROS_BUSES,1,1)*COSTOS_ALTO*COSTOS_2019_US_dolares_MMCOP))</f>
        <v>2.3336636070552528</v>
      </c>
      <c r="H746" s="2726">
        <f t="shared" si="22"/>
        <v>0.7279229780658163</v>
      </c>
      <c r="I746" s="2726">
        <f t="shared" si="22"/>
        <v>0.46163286381054236</v>
      </c>
      <c r="J746" s="2726">
        <f t="shared" si="22"/>
        <v>0.35462231984851306</v>
      </c>
      <c r="K746" s="2726">
        <f t="shared" si="22"/>
        <v>0.30133010553451428</v>
      </c>
      <c r="L746" s="2726">
        <f t="shared" si="22"/>
        <v>0.26224296522345458</v>
      </c>
      <c r="M746" s="2726">
        <f t="shared" si="22"/>
        <v>0.23711721053791504</v>
      </c>
      <c r="N746" s="40"/>
      <c r="O746" s="578"/>
      <c r="R746" s="580"/>
      <c r="S746" s="581"/>
      <c r="T746" s="581"/>
      <c r="U746" s="581"/>
      <c r="V746" s="581"/>
      <c r="W746" s="582"/>
      <c r="X746" s="582"/>
      <c r="Y746" s="582"/>
      <c r="Z746" s="582"/>
    </row>
    <row r="747" spans="1:46" s="574" customFormat="1" ht="15" customHeight="1">
      <c r="A747" s="663"/>
      <c r="B747" s="667"/>
      <c r="D747" s="40"/>
      <c r="E747" s="30" t="s">
        <v>2257</v>
      </c>
      <c r="F747" s="2725">
        <v>0</v>
      </c>
      <c r="G747" s="2725">
        <f t="shared" ref="G747:M747" si="23">((G673-F673)/(G$671-F$671))+(F673/$F$621)*((INDEX(COSTOS_TRASPORTE_PASAJEROS_BUSES,2,1)*COSTOS_ALTO*COSTOS_2019_US_dolares_MMCOP))</f>
        <v>1.292829965477359</v>
      </c>
      <c r="H747" s="2725">
        <f t="shared" si="23"/>
        <v>3.9093105440141009</v>
      </c>
      <c r="I747" s="2725">
        <f t="shared" si="23"/>
        <v>0.4956659926376521</v>
      </c>
      <c r="J747" s="2725">
        <f t="shared" si="23"/>
        <v>-0.46038167698160581</v>
      </c>
      <c r="K747" s="2725">
        <f t="shared" si="23"/>
        <v>-0.10389403728619406</v>
      </c>
      <c r="L747" s="2725">
        <f t="shared" si="23"/>
        <v>0.45888602410408519</v>
      </c>
      <c r="M747" s="2725">
        <f t="shared" si="23"/>
        <v>0.78238087045205629</v>
      </c>
      <c r="N747" s="40"/>
      <c r="O747" s="578"/>
      <c r="R747" s="580"/>
      <c r="S747" s="581"/>
      <c r="T747" s="581"/>
      <c r="U747" s="581"/>
      <c r="V747" s="581"/>
      <c r="W747" s="582"/>
      <c r="X747" s="582"/>
      <c r="Y747" s="582"/>
      <c r="Z747" s="582"/>
    </row>
    <row r="748" spans="1:46" s="574" customFormat="1" ht="15" customHeight="1">
      <c r="A748" s="663"/>
      <c r="B748" s="667"/>
      <c r="D748" s="40"/>
      <c r="E748" s="30" t="s">
        <v>2250</v>
      </c>
      <c r="F748" s="2725">
        <v>0</v>
      </c>
      <c r="G748" s="2725">
        <f t="shared" ref="G748:M748" si="24">((G674-F674)/(G$671-F$671))+(F674/$F$621)*((INDEX(COSTOS_TRASPORTE_PASAJEROS_BUSES,3,1)*COSTOS_ALTO*COSTOS_2019_US_dolares_MMCOP))</f>
        <v>0</v>
      </c>
      <c r="H748" s="2725">
        <f t="shared" si="24"/>
        <v>0</v>
      </c>
      <c r="I748" s="2725">
        <f t="shared" si="24"/>
        <v>0</v>
      </c>
      <c r="J748" s="2725">
        <f t="shared" si="24"/>
        <v>0</v>
      </c>
      <c r="K748" s="2725">
        <f t="shared" si="24"/>
        <v>0</v>
      </c>
      <c r="L748" s="2725">
        <f t="shared" si="24"/>
        <v>0</v>
      </c>
      <c r="M748" s="2725">
        <f t="shared" si="24"/>
        <v>0</v>
      </c>
      <c r="N748" s="40"/>
      <c r="O748" s="578"/>
      <c r="R748" s="580"/>
      <c r="S748" s="581"/>
      <c r="T748" s="581"/>
      <c r="U748" s="581"/>
      <c r="V748" s="581"/>
      <c r="W748" s="582"/>
      <c r="X748" s="582"/>
      <c r="Y748" s="582"/>
      <c r="Z748" s="582"/>
    </row>
    <row r="749" spans="1:46" s="574" customFormat="1" ht="15" customHeight="1">
      <c r="A749" s="663"/>
      <c r="B749" s="667"/>
      <c r="D749" s="40"/>
      <c r="E749" s="30" t="s">
        <v>893</v>
      </c>
      <c r="F749" s="2725">
        <v>0</v>
      </c>
      <c r="G749" s="2725">
        <f t="shared" ref="G749:M749" si="25">((G675-F675)/(G$671-F$671))+(F675/$F$621)*((INDEX(COSTOS_TRASPORTE_PASAJEROS_BUSES,4,1)*COSTOS_ALTO*COSTOS_2019_US_dolares_MMCOP))</f>
        <v>2.8043940325038159</v>
      </c>
      <c r="H749" s="2725">
        <f t="shared" si="25"/>
        <v>2.1680097086953469</v>
      </c>
      <c r="I749" s="2725">
        <f t="shared" si="25"/>
        <v>2.8735842441142867</v>
      </c>
      <c r="J749" s="2725">
        <f t="shared" si="25"/>
        <v>3.7247192214789138</v>
      </c>
      <c r="K749" s="2725">
        <f t="shared" si="25"/>
        <v>4.6661219816427977</v>
      </c>
      <c r="L749" s="2725">
        <f t="shared" si="25"/>
        <v>5.6366711329042793</v>
      </c>
      <c r="M749" s="2725">
        <f t="shared" si="25"/>
        <v>6.6412824032408384</v>
      </c>
      <c r="N749" s="40"/>
      <c r="O749" s="578"/>
      <c r="R749" s="580"/>
      <c r="S749" s="582"/>
      <c r="T749" s="582"/>
      <c r="U749" s="582"/>
      <c r="V749" s="582"/>
      <c r="W749" s="582"/>
      <c r="X749" s="582"/>
      <c r="Y749" s="582"/>
      <c r="Z749" s="582"/>
    </row>
    <row r="750" spans="1:46" s="574" customFormat="1" ht="15" customHeight="1">
      <c r="A750" s="663"/>
      <c r="B750" s="667"/>
      <c r="D750" s="40"/>
      <c r="E750" s="30" t="s">
        <v>498</v>
      </c>
      <c r="F750" s="2725">
        <v>0</v>
      </c>
      <c r="G750" s="2725">
        <f t="shared" ref="G750:M750" si="26">((G676-F676)/(G$671-F$671))+(F676/$F$621)*((INDEX(COSTOS_TRASPORTE_PASAJEROS_BUSES,5,1)*COSTOS_ALTO*COSTOS_2019_US_dolares_MMCOP))</f>
        <v>0</v>
      </c>
      <c r="H750" s="2725">
        <f t="shared" si="26"/>
        <v>0</v>
      </c>
      <c r="I750" s="2725">
        <f t="shared" si="26"/>
        <v>0</v>
      </c>
      <c r="J750" s="2725">
        <f t="shared" si="26"/>
        <v>0</v>
      </c>
      <c r="K750" s="2725">
        <f t="shared" si="26"/>
        <v>0</v>
      </c>
      <c r="L750" s="2725">
        <f t="shared" si="26"/>
        <v>0</v>
      </c>
      <c r="M750" s="2725">
        <f t="shared" si="26"/>
        <v>0</v>
      </c>
      <c r="N750" s="40"/>
      <c r="O750" s="578"/>
      <c r="W750" s="578"/>
      <c r="X750" s="578"/>
      <c r="Y750" s="578"/>
      <c r="Z750" s="578"/>
      <c r="AA750" s="578"/>
      <c r="AB750" s="578"/>
      <c r="AC750" s="578"/>
      <c r="AD750" s="578"/>
      <c r="AE750" s="578"/>
      <c r="AF750" s="578"/>
      <c r="AG750" s="578"/>
      <c r="AH750" s="578"/>
      <c r="AT750" s="578"/>
    </row>
    <row r="751" spans="1:46" s="574" customFormat="1" ht="15" customHeight="1">
      <c r="A751" s="663"/>
      <c r="B751" s="667"/>
      <c r="D751" s="40"/>
      <c r="E751" s="30" t="s">
        <v>894</v>
      </c>
      <c r="F751" s="2725">
        <v>0</v>
      </c>
      <c r="G751" s="2725">
        <f t="shared" ref="G751:M751" si="27">((G677-F677)/(G$671-F$671))+(F677/$F$621)*((INDEX(COSTOS_TRASPORTE_PASAJEROS_BUSES,6,1)*COSTOS_ALTO*COSTOS_2019_US_dolares_MMCOP))</f>
        <v>0.2553782402136669</v>
      </c>
      <c r="H751" s="2725">
        <f t="shared" si="27"/>
        <v>0.64739457030120129</v>
      </c>
      <c r="I751" s="2725">
        <f t="shared" si="27"/>
        <v>3.1153393309171751</v>
      </c>
      <c r="J751" s="2725">
        <f t="shared" si="27"/>
        <v>3.9067715823641005</v>
      </c>
      <c r="K751" s="2725">
        <f t="shared" si="27"/>
        <v>3.6794612458112641</v>
      </c>
      <c r="L751" s="2725">
        <f t="shared" si="27"/>
        <v>3.3590769069586255</v>
      </c>
      <c r="M751" s="2725">
        <f t="shared" si="27"/>
        <v>3.4238999676281052</v>
      </c>
      <c r="N751" s="40"/>
      <c r="O751" s="578"/>
    </row>
    <row r="752" spans="1:46" s="574" customFormat="1" ht="15" customHeight="1">
      <c r="A752" s="663"/>
      <c r="B752" s="667"/>
      <c r="D752" s="40"/>
      <c r="E752" s="32" t="s">
        <v>603</v>
      </c>
      <c r="F752" s="2727">
        <v>0</v>
      </c>
      <c r="G752" s="2727">
        <f t="shared" ref="G752:M752" si="28">((G678-F678)/(G$671-F$671))+(F678/$F$621)*((INDEX(COSTOS_TRASPORTE_PASAJEROS_BUSES,7,1)*COSTOS_ALTO*COSTOS_2019_US_dolares_MMCOP))</f>
        <v>0</v>
      </c>
      <c r="H752" s="2727">
        <f t="shared" si="28"/>
        <v>0</v>
      </c>
      <c r="I752" s="2727">
        <f t="shared" si="28"/>
        <v>0</v>
      </c>
      <c r="J752" s="2727">
        <f t="shared" si="28"/>
        <v>0</v>
      </c>
      <c r="K752" s="2727">
        <f t="shared" si="28"/>
        <v>0</v>
      </c>
      <c r="L752" s="2727">
        <f t="shared" si="28"/>
        <v>0</v>
      </c>
      <c r="M752" s="2727">
        <f t="shared" si="28"/>
        <v>0</v>
      </c>
      <c r="N752" s="40"/>
      <c r="O752" s="578"/>
      <c r="R752" s="584"/>
      <c r="S752" s="585"/>
      <c r="T752" s="585"/>
      <c r="U752" s="585"/>
      <c r="V752" s="585"/>
      <c r="W752" s="585"/>
      <c r="X752" s="585"/>
      <c r="Y752" s="585"/>
      <c r="Z752" s="585"/>
    </row>
    <row r="753" spans="1:46" s="574" customFormat="1" ht="15" customHeight="1">
      <c r="A753" s="663"/>
      <c r="B753" s="667"/>
      <c r="D753" s="40"/>
      <c r="E753" s="35"/>
      <c r="F753" s="2728"/>
      <c r="G753" s="2728"/>
      <c r="H753" s="2728"/>
      <c r="I753" s="2728"/>
      <c r="J753" s="2728"/>
      <c r="K753" s="2728"/>
      <c r="L753" s="2728"/>
      <c r="M753" s="2728"/>
      <c r="N753" s="40"/>
      <c r="O753" s="578"/>
      <c r="S753" s="587"/>
      <c r="T753" s="587"/>
      <c r="U753" s="587"/>
      <c r="V753" s="587"/>
      <c r="W753" s="587"/>
      <c r="X753" s="587"/>
      <c r="Y753" s="587"/>
      <c r="Z753" s="587"/>
    </row>
    <row r="754" spans="1:46" s="574" customFormat="1" ht="15" customHeight="1">
      <c r="A754" s="663"/>
      <c r="B754" s="667"/>
      <c r="D754" s="40"/>
      <c r="E754" s="340" t="s">
        <v>900</v>
      </c>
      <c r="F754" s="2722"/>
      <c r="G754" s="2722"/>
      <c r="H754" s="2722"/>
      <c r="I754" s="2722"/>
      <c r="J754" s="2722"/>
      <c r="K754" s="2722"/>
      <c r="L754" s="2722"/>
      <c r="M754" s="2723" t="s">
        <v>803</v>
      </c>
      <c r="N754" s="40"/>
      <c r="S754" s="581"/>
      <c r="T754" s="581"/>
      <c r="U754" s="581"/>
      <c r="V754" s="581"/>
      <c r="W754" s="588"/>
      <c r="X754" s="588"/>
      <c r="Y754" s="588"/>
      <c r="Z754" s="588"/>
    </row>
    <row r="755" spans="1:46" s="574" customFormat="1" ht="15" customHeight="1">
      <c r="A755" s="663"/>
      <c r="B755" s="667"/>
      <c r="D755" s="40"/>
      <c r="E755" s="28" t="s">
        <v>859</v>
      </c>
      <c r="F755" s="2724">
        <v>2018</v>
      </c>
      <c r="G755" s="2724">
        <v>2020</v>
      </c>
      <c r="H755" s="2724">
        <v>2025</v>
      </c>
      <c r="I755" s="2724">
        <v>2030</v>
      </c>
      <c r="J755" s="2724">
        <v>2035</v>
      </c>
      <c r="K755" s="2724">
        <v>2040</v>
      </c>
      <c r="L755" s="2724">
        <v>2045</v>
      </c>
      <c r="M755" s="2724">
        <v>2050</v>
      </c>
      <c r="N755" s="40"/>
      <c r="O755" s="579"/>
      <c r="R755" s="580"/>
      <c r="S755" s="581"/>
      <c r="T755" s="581"/>
      <c r="U755" s="581"/>
      <c r="V755" s="581"/>
      <c r="W755" s="582"/>
      <c r="X755" s="582"/>
      <c r="Y755" s="582"/>
      <c r="Z755" s="582"/>
    </row>
    <row r="756" spans="1:46" s="574" customFormat="1" ht="15" customHeight="1">
      <c r="A756" s="663"/>
      <c r="B756" s="667"/>
      <c r="D756" s="40"/>
      <c r="E756" s="30" t="s">
        <v>889</v>
      </c>
      <c r="F756" s="2726">
        <v>0</v>
      </c>
      <c r="G756" s="2725">
        <f t="shared" ref="G756:M756" si="29">IF(((G682-F682)/(G$681-F$681))+(F682/$F629)*((INDEX(COSTOS_TRASPORTE_PASAJEROS_BUSES_BRT,1,1)*COSTOS_ALTO*COSTOS_2019_US_dolares_MMCOP))&gt;0,((G682-F682)/(G$681-F$681))+(F682/$F629)*((INDEX(COSTOS_TRASPORTE_PASAJEROS_BUSES_BRT,1,1)*COSTOS_ALTO*COSTOS_2019_US_dolares_MMCOP)),0)</f>
        <v>0</v>
      </c>
      <c r="H756" s="2725">
        <f t="shared" si="29"/>
        <v>0.98239838240409416</v>
      </c>
      <c r="I756" s="2725">
        <f t="shared" si="29"/>
        <v>1.1218683328894894</v>
      </c>
      <c r="J756" s="2725">
        <f t="shared" si="29"/>
        <v>0.85603996169349839</v>
      </c>
      <c r="K756" s="2725">
        <f t="shared" si="29"/>
        <v>1.0394601336708829</v>
      </c>
      <c r="L756" s="2725">
        <f t="shared" si="29"/>
        <v>0.94201103017925103</v>
      </c>
      <c r="M756" s="2725">
        <f t="shared" si="29"/>
        <v>0.89355238658581593</v>
      </c>
      <c r="N756" s="40"/>
      <c r="O756" s="578"/>
      <c r="Q756" s="580"/>
      <c r="R756" s="580"/>
      <c r="S756" s="582"/>
      <c r="T756" s="582"/>
      <c r="U756" s="582"/>
      <c r="V756" s="582"/>
      <c r="W756" s="582"/>
      <c r="X756" s="582"/>
      <c r="Y756" s="582"/>
      <c r="Z756" s="582"/>
    </row>
    <row r="757" spans="1:46" s="574" customFormat="1" ht="15" customHeight="1">
      <c r="A757" s="663"/>
      <c r="B757" s="667"/>
      <c r="D757" s="40"/>
      <c r="E757" s="30" t="s">
        <v>2257</v>
      </c>
      <c r="F757" s="2725">
        <v>0</v>
      </c>
      <c r="G757" s="2725">
        <f t="shared" ref="G757:M757" si="30">IF(((G683-F683)/(G$681-F$681))+(F683/$F629)*((INDEX(COSTOS_TRASPORTE_PASAJEROS_BUSES_BRT,2,1)*COSTOS_ALTO*COSTOS_2019_US_dolares_MMCOP))&gt;0,((G683-F683)/(G$681-F$681))+(F683/$F629)*((INDEX(COSTOS_TRASPORTE_PASAJEROS_BUSES_BRT,2,1)*COSTOS_ALTO*COSTOS_2019_US_dolares_MMCOP)),0)</f>
        <v>12.963876277076951</v>
      </c>
      <c r="H757" s="2725">
        <f t="shared" si="30"/>
        <v>7.8326713041848102</v>
      </c>
      <c r="I757" s="2725">
        <f t="shared" si="30"/>
        <v>4.3004715602111627</v>
      </c>
      <c r="J757" s="2725">
        <f t="shared" si="30"/>
        <v>1.8501539860746132</v>
      </c>
      <c r="K757" s="2725">
        <f t="shared" si="30"/>
        <v>0.65688754443293895</v>
      </c>
      <c r="L757" s="2725">
        <f t="shared" si="30"/>
        <v>2.9587560926158085</v>
      </c>
      <c r="M757" s="2725">
        <f t="shared" si="30"/>
        <v>5.185901824249914</v>
      </c>
      <c r="N757" s="40"/>
      <c r="O757" s="578"/>
      <c r="Q757" s="580"/>
      <c r="R757" s="580"/>
      <c r="S757" s="582"/>
      <c r="T757" s="582"/>
      <c r="U757" s="582"/>
      <c r="V757" s="582"/>
      <c r="W757" s="582"/>
      <c r="X757" s="582"/>
      <c r="Y757" s="582"/>
      <c r="Z757" s="582"/>
    </row>
    <row r="758" spans="1:46" s="574" customFormat="1" ht="15" customHeight="1">
      <c r="A758" s="663"/>
      <c r="B758" s="667"/>
      <c r="D758" s="40"/>
      <c r="E758" s="30" t="s">
        <v>2250</v>
      </c>
      <c r="F758" s="2725">
        <v>0</v>
      </c>
      <c r="G758" s="2725">
        <f t="shared" ref="G758:M758" si="31">IF(((G684-F684)/(G$681-F$681))+(F684/$F630)*((INDEX(COSTOS_TRASPORTE_PASAJEROS_BUSES_BRT,3,1)*COSTOS_ALTO*COSTOS_2019_US_dolares_MMCOP))&gt;0,((G684-F684)/(G$681-F$681))+(F684/$F630)*((INDEX(COSTOS_TRASPORTE_PASAJEROS_BUSES_BRT,3,1)*COSTOS_ALTO*COSTOS_2019_US_dolares_MMCOP)),0)</f>
        <v>0</v>
      </c>
      <c r="H758" s="2725">
        <f t="shared" si="31"/>
        <v>0</v>
      </c>
      <c r="I758" s="2725">
        <f t="shared" si="31"/>
        <v>0</v>
      </c>
      <c r="J758" s="2725">
        <f t="shared" si="31"/>
        <v>0</v>
      </c>
      <c r="K758" s="2725">
        <f t="shared" si="31"/>
        <v>0</v>
      </c>
      <c r="L758" s="2725">
        <f t="shared" si="31"/>
        <v>0</v>
      </c>
      <c r="M758" s="2725">
        <f t="shared" si="31"/>
        <v>0</v>
      </c>
      <c r="N758" s="40"/>
      <c r="O758" s="578"/>
      <c r="Q758" s="580"/>
      <c r="W758" s="578"/>
      <c r="X758" s="578"/>
      <c r="Y758" s="578"/>
      <c r="Z758" s="578"/>
      <c r="AA758" s="578"/>
      <c r="AB758" s="578"/>
      <c r="AC758" s="578"/>
      <c r="AD758" s="578"/>
      <c r="AE758" s="578"/>
      <c r="AF758" s="578"/>
      <c r="AG758" s="578"/>
      <c r="AH758" s="578"/>
      <c r="AT758" s="578"/>
    </row>
    <row r="759" spans="1:46" s="574" customFormat="1" ht="15" customHeight="1">
      <c r="A759" s="663"/>
      <c r="B759" s="667"/>
      <c r="D759" s="40"/>
      <c r="E759" s="30" t="s">
        <v>893</v>
      </c>
      <c r="F759" s="2725">
        <v>0</v>
      </c>
      <c r="G759" s="2725">
        <f t="shared" ref="G759:M759" si="32">IF(((G685-F685)/(G$681-F$681))+(F685/$F632)*((INDEX(COSTOS_TRASPORTE_PASAJEROS_BUSES_BRT,4,1)*COSTOS_ALTO*COSTOS_2019_US_dolares_MMCOP))&gt;0,((G685-F685)/(G$681-F$681))+(F685/$F632)*((INDEX(COSTOS_TRASPORTE_PASAJEROS_BUSES_BRT,4,1)*COSTOS_ALTO*COSTOS_2019_US_dolares_MMCOP)),0)</f>
        <v>0</v>
      </c>
      <c r="H759" s="2725">
        <f t="shared" si="32"/>
        <v>0.2876162257143291</v>
      </c>
      <c r="I759" s="2725">
        <f t="shared" si="32"/>
        <v>1.6420590175253365</v>
      </c>
      <c r="J759" s="2725">
        <f t="shared" si="32"/>
        <v>6.5313975321600379</v>
      </c>
      <c r="K759" s="2725">
        <f t="shared" si="32"/>
        <v>13.281301273216677</v>
      </c>
      <c r="L759" s="2725">
        <f t="shared" si="32"/>
        <v>17.221062526177619</v>
      </c>
      <c r="M759" s="2725">
        <f t="shared" si="32"/>
        <v>20.552028929725324</v>
      </c>
      <c r="N759" s="40"/>
      <c r="O759" s="578"/>
      <c r="Q759" s="580"/>
    </row>
    <row r="760" spans="1:46" s="574" customFormat="1" ht="15" customHeight="1">
      <c r="A760" s="663"/>
      <c r="B760" s="667"/>
      <c r="D760" s="40"/>
      <c r="E760" s="30" t="s">
        <v>498</v>
      </c>
      <c r="F760" s="2725">
        <v>0</v>
      </c>
      <c r="G760" s="2725">
        <f t="shared" ref="G760:M760" si="33">IF(((G686-F686)/(G$681-F$681))+(F686/$F629)*((INDEX(COSTOS_TRASPORTE_PASAJEROS_BUSES_BRT,5,1)*COSTOS_ALTO*COSTOS_2019_US_dolares_MMCOP))&gt;0,((G686-F686)/(G$681-F$681))+(F686/$F629)*((INDEX(COSTOS_TRASPORTE_PASAJEROS_BUSES_BRT,5,1)*COSTOS_ALTO*COSTOS_2019_US_dolares_MMCOP)),0)</f>
        <v>0</v>
      </c>
      <c r="H760" s="2725">
        <f t="shared" si="33"/>
        <v>0</v>
      </c>
      <c r="I760" s="2725">
        <f t="shared" si="33"/>
        <v>0</v>
      </c>
      <c r="J760" s="2725">
        <f t="shared" si="33"/>
        <v>0</v>
      </c>
      <c r="K760" s="2725">
        <f t="shared" si="33"/>
        <v>0</v>
      </c>
      <c r="L760" s="2725">
        <f t="shared" si="33"/>
        <v>0</v>
      </c>
      <c r="M760" s="2725">
        <f t="shared" si="33"/>
        <v>0</v>
      </c>
      <c r="N760" s="40"/>
      <c r="O760" s="579"/>
      <c r="R760" s="584"/>
      <c r="S760" s="585"/>
      <c r="T760" s="585"/>
      <c r="U760" s="585"/>
      <c r="V760" s="585"/>
      <c r="W760" s="585"/>
      <c r="X760" s="585"/>
      <c r="Y760" s="585"/>
      <c r="Z760" s="585"/>
    </row>
    <row r="761" spans="1:46" s="574" customFormat="1" ht="15" customHeight="1">
      <c r="A761" s="663"/>
      <c r="B761" s="667"/>
      <c r="D761" s="40"/>
      <c r="E761" s="30" t="s">
        <v>894</v>
      </c>
      <c r="F761" s="2725">
        <v>0</v>
      </c>
      <c r="G761" s="2725">
        <f t="shared" ref="G761:M761" si="34">IF(((G687-F687)/(G$681-F$681))+(F687/$F631)*((INDEX(COSTOS_TRASPORTE_PASAJEROS_BUSES_BRT,6,1)*COSTOS_ALTO*COSTOS_2019_US_dolares_MMCOP))&gt;0,((G687-F687)/(G$681-F$681))+(F687/$F631)*((INDEX(COSTOS_TRASPORTE_PASAJEROS_BUSES_BRT,6,1)*COSTOS_ALTO*COSTOS_2019_US_dolares_MMCOP)),0)</f>
        <v>0.31699070121630285</v>
      </c>
      <c r="H761" s="2725">
        <f t="shared" si="34"/>
        <v>0.67001349079875394</v>
      </c>
      <c r="I761" s="2725">
        <f t="shared" si="34"/>
        <v>3.3366142406626738</v>
      </c>
      <c r="J761" s="2725">
        <f t="shared" si="34"/>
        <v>5.0310107147784251</v>
      </c>
      <c r="K761" s="2725">
        <f t="shared" si="34"/>
        <v>6.1165433932333393</v>
      </c>
      <c r="L761" s="2725">
        <f t="shared" si="34"/>
        <v>6.3211314622895625</v>
      </c>
      <c r="M761" s="2725">
        <f t="shared" si="34"/>
        <v>6.9886969595929127</v>
      </c>
      <c r="N761" s="40"/>
      <c r="Q761" s="583"/>
      <c r="S761" s="587"/>
      <c r="T761" s="587"/>
      <c r="U761" s="587"/>
      <c r="V761" s="587"/>
      <c r="W761" s="587"/>
      <c r="X761" s="587"/>
      <c r="Y761" s="587"/>
      <c r="Z761" s="587"/>
    </row>
    <row r="762" spans="1:46" s="574" customFormat="1" ht="15" customHeight="1">
      <c r="A762" s="663"/>
      <c r="B762" s="667"/>
      <c r="D762" s="40"/>
      <c r="E762" s="32" t="s">
        <v>603</v>
      </c>
      <c r="F762" s="2727">
        <v>0</v>
      </c>
      <c r="G762" s="2727">
        <f t="shared" ref="G762:M762" si="35">IF(((G688-F688)/(G$681-F$681))+(F688/$F631)*((INDEX(COSTOS_TRASPORTE_PASAJEROS_BUSES_BRT,7,1)*COSTOS_ALTO*COSTOS_2019_US_dolares_MMCOP))&gt;0,((G688-F688)/(G$681-F$681))+(F688/$F631)*((INDEX(COSTOS_TRASPORTE_PASAJEROS_BUSES_BRT,7,1)*COSTOS_ALTO*COSTOS_2019_US_dolares_MMCOP)),0)</f>
        <v>0</v>
      </c>
      <c r="H762" s="2727">
        <f t="shared" si="35"/>
        <v>0</v>
      </c>
      <c r="I762" s="2727">
        <f t="shared" si="35"/>
        <v>0</v>
      </c>
      <c r="J762" s="2727">
        <f t="shared" si="35"/>
        <v>0</v>
      </c>
      <c r="K762" s="2727">
        <f t="shared" si="35"/>
        <v>0</v>
      </c>
      <c r="L762" s="2727">
        <f t="shared" si="35"/>
        <v>0</v>
      </c>
      <c r="M762" s="2727">
        <f t="shared" si="35"/>
        <v>0</v>
      </c>
      <c r="N762" s="40"/>
      <c r="O762" s="578"/>
      <c r="Q762" s="584"/>
      <c r="S762" s="581"/>
      <c r="T762" s="581"/>
      <c r="U762" s="581"/>
      <c r="V762" s="581"/>
      <c r="W762" s="588"/>
      <c r="X762" s="588"/>
      <c r="Y762" s="588"/>
      <c r="Z762" s="588"/>
    </row>
    <row r="763" spans="1:46" s="574" customFormat="1" ht="15" customHeight="1">
      <c r="A763" s="663"/>
      <c r="B763" s="667"/>
      <c r="D763" s="40"/>
      <c r="E763" s="26"/>
      <c r="F763" s="788"/>
      <c r="G763" s="788"/>
      <c r="H763" s="788"/>
      <c r="I763" s="788"/>
      <c r="J763" s="788"/>
      <c r="K763" s="788"/>
      <c r="L763" s="788"/>
      <c r="M763" s="2728"/>
      <c r="N763" s="40"/>
      <c r="O763" s="578"/>
      <c r="Q763" s="586"/>
      <c r="R763" s="580"/>
      <c r="S763" s="581"/>
      <c r="T763" s="581"/>
      <c r="U763" s="581"/>
      <c r="V763" s="581"/>
      <c r="W763" s="582"/>
      <c r="X763" s="582"/>
      <c r="Y763" s="582"/>
      <c r="Z763" s="582"/>
    </row>
    <row r="764" spans="1:46" s="574" customFormat="1" ht="15" customHeight="1">
      <c r="A764" s="663"/>
      <c r="B764" s="667"/>
      <c r="D764" s="40"/>
      <c r="E764" s="340" t="s">
        <v>2244</v>
      </c>
      <c r="F764" s="2722"/>
      <c r="G764" s="2722"/>
      <c r="H764" s="2722"/>
      <c r="I764" s="2722"/>
      <c r="J764" s="2722"/>
      <c r="K764" s="2722"/>
      <c r="L764" s="2722"/>
      <c r="M764" s="2723" t="s">
        <v>803</v>
      </c>
      <c r="N764" s="40"/>
      <c r="O764" s="578"/>
      <c r="R764" s="580"/>
      <c r="S764" s="582"/>
      <c r="T764" s="582"/>
      <c r="U764" s="582"/>
      <c r="V764" s="582"/>
      <c r="W764" s="582"/>
      <c r="X764" s="582"/>
      <c r="Y764" s="582"/>
      <c r="Z764" s="582"/>
    </row>
    <row r="765" spans="1:46" s="574" customFormat="1" ht="15" customHeight="1">
      <c r="A765" s="663"/>
      <c r="B765" s="667"/>
      <c r="D765" s="40"/>
      <c r="E765" s="28" t="s">
        <v>859</v>
      </c>
      <c r="F765" s="2724">
        <v>2018</v>
      </c>
      <c r="G765" s="2724">
        <v>2020</v>
      </c>
      <c r="H765" s="2724">
        <v>2025</v>
      </c>
      <c r="I765" s="2724">
        <v>2030</v>
      </c>
      <c r="J765" s="2724">
        <v>2035</v>
      </c>
      <c r="K765" s="2724">
        <v>2040</v>
      </c>
      <c r="L765" s="2724">
        <v>2045</v>
      </c>
      <c r="M765" s="2724">
        <v>2050</v>
      </c>
      <c r="N765" s="40"/>
      <c r="O765" s="578"/>
      <c r="Q765" s="580"/>
      <c r="W765" s="578"/>
      <c r="X765" s="578"/>
      <c r="Y765" s="578"/>
      <c r="Z765" s="578"/>
      <c r="AA765" s="578"/>
      <c r="AB765" s="578"/>
      <c r="AC765" s="578"/>
      <c r="AD765" s="578"/>
      <c r="AE765" s="578"/>
      <c r="AF765" s="578"/>
      <c r="AG765" s="578"/>
      <c r="AH765" s="578"/>
      <c r="AT765" s="578"/>
    </row>
    <row r="766" spans="1:46" s="574" customFormat="1" ht="15" customHeight="1">
      <c r="A766" s="663"/>
      <c r="B766" s="667"/>
      <c r="D766" s="40"/>
      <c r="E766" s="337" t="s">
        <v>526</v>
      </c>
      <c r="F766" s="2725">
        <v>0</v>
      </c>
      <c r="G766" s="2729">
        <f t="shared" ref="G766:M766" si="36">IF(((G692-F692)/(G$691-F$691))+(F692/$F$636)*((INDEX(COSTOS_TRASPORTE_PASAJEROS_FERREO,1,1)*COSTOS_ALTO*COSTOS_2019_US_dolares_MMCOP))&gt;0,((G692-F692)/(G$691-F$691))+(F692/$F$636)*((INDEX(COSTOS_TRASPORTE_PASAJEROS_FERREO,1,1)*COSTOS_ALTO*COSTOS_2019_US_dolares_MMCOP)),0)</f>
        <v>0.10046277899769332</v>
      </c>
      <c r="H766" s="2729">
        <f t="shared" si="36"/>
        <v>8.5337542750058851E-2</v>
      </c>
      <c r="I766" s="2729">
        <f t="shared" si="36"/>
        <v>6.8562245888112106E-2</v>
      </c>
      <c r="J766" s="2729">
        <f t="shared" si="36"/>
        <v>5.5278957758893105E-2</v>
      </c>
      <c r="K766" s="2729">
        <f t="shared" si="36"/>
        <v>5.3263527763512772E-2</v>
      </c>
      <c r="L766" s="2729">
        <f t="shared" si="36"/>
        <v>5.4435982717662063E-2</v>
      </c>
      <c r="M766" s="2729">
        <f t="shared" si="36"/>
        <v>5.6990452620025389E-2</v>
      </c>
      <c r="N766" s="40"/>
      <c r="O766" s="578"/>
      <c r="Q766" s="580"/>
      <c r="W766" s="578"/>
      <c r="X766" s="578"/>
      <c r="Y766" s="578"/>
      <c r="Z766" s="578"/>
      <c r="AA766" s="578"/>
      <c r="AB766" s="578"/>
      <c r="AC766" s="578"/>
      <c r="AD766" s="578"/>
      <c r="AE766" s="578"/>
      <c r="AF766" s="578"/>
      <c r="AG766" s="578"/>
      <c r="AH766" s="578"/>
      <c r="AT766" s="578"/>
    </row>
    <row r="767" spans="1:46" s="574" customFormat="1" ht="15" customHeight="1">
      <c r="A767" s="663"/>
      <c r="B767" s="667"/>
      <c r="D767" s="40"/>
      <c r="E767" s="32" t="s">
        <v>601</v>
      </c>
      <c r="F767" s="2727">
        <v>0</v>
      </c>
      <c r="G767" s="2727">
        <f t="shared" ref="G767:M767" si="37">IF(((G693-F693)/(G$691-F$691))+(F693/$F$637)*((INDEX(COSTOS_TRASPORTE_PASAJEROS_FERREO,2,1)*COSTOS_ALTO*COSTOS_2019_US_dolares_MMCOP))&gt;0,((G693-F693)/(G$691-F$691))+(F693/$F$637)*((INDEX(COSTOS_TRASPORTE_PASAJEROS_FERREO,2,1)*COSTOS_ALTO*COSTOS_2019_US_dolares_MMCOP)),0)</f>
        <v>0</v>
      </c>
      <c r="H767" s="2727">
        <f t="shared" si="37"/>
        <v>0</v>
      </c>
      <c r="I767" s="2727">
        <f t="shared" si="37"/>
        <v>0</v>
      </c>
      <c r="J767" s="2727">
        <f t="shared" si="37"/>
        <v>0</v>
      </c>
      <c r="K767" s="2727">
        <f t="shared" si="37"/>
        <v>0</v>
      </c>
      <c r="L767" s="2727">
        <f t="shared" si="37"/>
        <v>0</v>
      </c>
      <c r="M767" s="2727">
        <f t="shared" si="37"/>
        <v>0</v>
      </c>
      <c r="N767" s="40"/>
      <c r="O767" s="578"/>
      <c r="Q767" s="580"/>
    </row>
    <row r="768" spans="1:46" s="574" customFormat="1" ht="15" customHeight="1">
      <c r="A768" s="663"/>
      <c r="B768" s="667"/>
      <c r="D768" s="40"/>
      <c r="E768" s="19"/>
      <c r="F768" s="973"/>
      <c r="G768" s="973"/>
      <c r="H768" s="973"/>
      <c r="I768" s="973"/>
      <c r="J768" s="973"/>
      <c r="K768" s="973"/>
      <c r="L768" s="973"/>
      <c r="M768" s="973"/>
      <c r="N768" s="40"/>
      <c r="O768" s="579"/>
      <c r="R768" s="584"/>
      <c r="S768" s="585"/>
      <c r="T768" s="585"/>
      <c r="U768" s="585"/>
      <c r="V768" s="585"/>
      <c r="W768" s="585"/>
      <c r="X768" s="585"/>
      <c r="Y768" s="585"/>
      <c r="Z768" s="585"/>
    </row>
    <row r="769" spans="1:46" s="574" customFormat="1" ht="15" customHeight="1">
      <c r="A769" s="663"/>
      <c r="B769" s="667"/>
      <c r="D769" s="40"/>
      <c r="E769" s="2677" t="s">
        <v>338</v>
      </c>
      <c r="F769" s="2759">
        <f t="shared" ref="F769:M769" si="38">F716+SUM(F720:F726)+SUM(F730:F736)+SUM(F740:F742)+SUM(F746:F752)+SUM(F756:F762)+SUM(F766:F767)</f>
        <v>0</v>
      </c>
      <c r="G769" s="2759">
        <f t="shared" si="38"/>
        <v>18196.997276977319</v>
      </c>
      <c r="H769" s="2759">
        <f t="shared" si="38"/>
        <v>15310.810269080714</v>
      </c>
      <c r="I769" s="2759">
        <f t="shared" si="38"/>
        <v>13066.103046653123</v>
      </c>
      <c r="J769" s="2759">
        <f t="shared" si="38"/>
        <v>11155.608990281402</v>
      </c>
      <c r="K769" s="2759">
        <f t="shared" si="38"/>
        <v>11125.966210855737</v>
      </c>
      <c r="L769" s="2759">
        <f t="shared" si="38"/>
        <v>11615.483573366424</v>
      </c>
      <c r="M769" s="2759">
        <f t="shared" si="38"/>
        <v>12354.706575822645</v>
      </c>
      <c r="N769" s="40"/>
      <c r="Q769" s="583"/>
      <c r="S769" s="587"/>
      <c r="T769" s="587"/>
      <c r="U769" s="587"/>
      <c r="V769" s="587"/>
      <c r="W769" s="587"/>
      <c r="X769" s="587"/>
      <c r="Y769" s="587"/>
      <c r="Z769" s="587"/>
    </row>
    <row r="770" spans="1:46" s="574" customFormat="1" ht="15" customHeight="1">
      <c r="A770" s="663"/>
      <c r="B770" s="667"/>
      <c r="D770" s="40"/>
      <c r="E770" s="19"/>
      <c r="F770" s="973"/>
      <c r="G770" s="973"/>
      <c r="H770" s="973"/>
      <c r="I770" s="973"/>
      <c r="J770" s="973"/>
      <c r="K770" s="973"/>
      <c r="L770" s="973"/>
      <c r="M770" s="973"/>
      <c r="N770" s="40"/>
      <c r="Q770" s="583"/>
      <c r="S770" s="587"/>
      <c r="T770" s="587"/>
      <c r="U770" s="587"/>
      <c r="V770" s="587"/>
      <c r="W770" s="587"/>
      <c r="X770" s="587"/>
      <c r="Y770" s="587"/>
      <c r="Z770" s="587"/>
    </row>
    <row r="771" spans="1:46" s="574" customFormat="1" ht="15" customHeight="1">
      <c r="A771" s="663"/>
      <c r="B771" s="667"/>
      <c r="D771" s="40"/>
      <c r="E771" s="23" t="s">
        <v>2287</v>
      </c>
      <c r="F771" s="2730"/>
      <c r="G771" s="2730"/>
      <c r="H771" s="2730"/>
      <c r="I771" s="2730"/>
      <c r="J771" s="2730"/>
      <c r="K771" s="2730"/>
      <c r="L771" s="2730"/>
      <c r="M771" s="2730"/>
      <c r="N771" s="40"/>
      <c r="O771" s="578"/>
      <c r="Q771" s="584"/>
      <c r="S771" s="581"/>
      <c r="T771" s="581"/>
      <c r="U771" s="581"/>
      <c r="V771" s="581"/>
      <c r="W771" s="588"/>
      <c r="X771" s="588"/>
      <c r="Y771" s="588"/>
      <c r="Z771" s="588"/>
    </row>
    <row r="772" spans="1:46" s="574" customFormat="1" ht="15" customHeight="1">
      <c r="A772" s="663"/>
      <c r="B772" s="667"/>
      <c r="D772" s="40"/>
      <c r="E772" s="340"/>
      <c r="F772" s="2722"/>
      <c r="G772" s="2722"/>
      <c r="H772" s="2722"/>
      <c r="I772" s="2722"/>
      <c r="J772" s="2722"/>
      <c r="K772" s="2722"/>
      <c r="L772" s="2722"/>
      <c r="M772" s="2723" t="s">
        <v>803</v>
      </c>
      <c r="N772" s="40"/>
      <c r="O772" s="578"/>
      <c r="Q772" s="586"/>
      <c r="R772" s="580"/>
      <c r="S772" s="581"/>
      <c r="T772" s="581"/>
      <c r="U772" s="581"/>
      <c r="V772" s="581"/>
      <c r="W772" s="582"/>
      <c r="X772" s="582"/>
      <c r="Y772" s="582"/>
      <c r="Z772" s="582"/>
    </row>
    <row r="773" spans="1:46" s="574" customFormat="1" ht="15" customHeight="1">
      <c r="A773" s="663"/>
      <c r="B773" s="667"/>
      <c r="D773" s="40"/>
      <c r="E773" s="28" t="s">
        <v>859</v>
      </c>
      <c r="F773" s="2724">
        <v>2018</v>
      </c>
      <c r="G773" s="2724">
        <v>2020</v>
      </c>
      <c r="H773" s="2724">
        <v>2025</v>
      </c>
      <c r="I773" s="2724">
        <v>2030</v>
      </c>
      <c r="J773" s="2724">
        <v>2035</v>
      </c>
      <c r="K773" s="2724">
        <v>2040</v>
      </c>
      <c r="L773" s="2724">
        <v>2045</v>
      </c>
      <c r="M773" s="2724">
        <v>2050</v>
      </c>
      <c r="N773" s="40"/>
      <c r="O773" s="578"/>
      <c r="R773" s="580"/>
      <c r="S773" s="581"/>
      <c r="T773" s="581"/>
      <c r="U773" s="581"/>
      <c r="V773" s="581"/>
      <c r="W773" s="582"/>
      <c r="X773" s="582"/>
      <c r="Y773" s="582"/>
      <c r="Z773" s="582"/>
    </row>
    <row r="774" spans="1:46" s="574" customFormat="1" ht="15" customHeight="1">
      <c r="A774" s="663"/>
      <c r="B774" s="667"/>
      <c r="D774" s="40"/>
      <c r="E774" s="279" t="s">
        <v>887</v>
      </c>
      <c r="F774" s="2715" cm="1">
        <f t="array" ref="F774:M774">F716:M716*0.8</f>
        <v>0</v>
      </c>
      <c r="G774" s="2731">
        <v>7916.1288915253535</v>
      </c>
      <c r="H774" s="2731">
        <v>6865.2620399690441</v>
      </c>
      <c r="I774" s="2731">
        <v>5766.4886721709372</v>
      </c>
      <c r="J774" s="2731">
        <v>4898.0587542230842</v>
      </c>
      <c r="K774" s="2731">
        <v>4839.7546459208143</v>
      </c>
      <c r="L774" s="2731">
        <v>5013.5026983084208</v>
      </c>
      <c r="M774" s="2732">
        <v>5291.1997152278745</v>
      </c>
      <c r="N774" s="40"/>
      <c r="O774" s="578"/>
      <c r="Q774" s="580"/>
      <c r="R774" s="580"/>
      <c r="S774" s="582"/>
      <c r="T774" s="582"/>
      <c r="U774" s="582"/>
      <c r="V774" s="582"/>
      <c r="W774" s="582"/>
      <c r="X774" s="582"/>
      <c r="Y774" s="582"/>
      <c r="Z774" s="582"/>
    </row>
    <row r="775" spans="1:46" s="574" customFormat="1" ht="15" customHeight="1">
      <c r="A775" s="663"/>
      <c r="B775" s="667"/>
      <c r="D775" s="40"/>
      <c r="E775" s="30"/>
      <c r="F775" s="1511"/>
      <c r="G775" s="1511"/>
      <c r="H775" s="1511"/>
      <c r="I775" s="1511"/>
      <c r="J775" s="1511"/>
      <c r="K775" s="1511"/>
      <c r="L775" s="1511"/>
      <c r="M775" s="1511"/>
      <c r="N775" s="40"/>
      <c r="O775" s="578"/>
      <c r="Q775" s="580"/>
      <c r="W775" s="578"/>
      <c r="X775" s="578"/>
      <c r="Y775" s="578"/>
      <c r="Z775" s="578"/>
      <c r="AA775" s="578"/>
      <c r="AB775" s="578"/>
      <c r="AC775" s="578"/>
      <c r="AD775" s="578"/>
      <c r="AE775" s="578"/>
      <c r="AF775" s="578"/>
      <c r="AG775" s="578"/>
      <c r="AH775" s="578"/>
      <c r="AT775" s="578"/>
    </row>
    <row r="776" spans="1:46" s="574" customFormat="1" ht="15" customHeight="1">
      <c r="A776" s="663"/>
      <c r="B776" s="667"/>
      <c r="D776" s="40"/>
      <c r="E776" s="340" t="s">
        <v>2249</v>
      </c>
      <c r="F776" s="2722"/>
      <c r="G776" s="2722"/>
      <c r="H776" s="2722"/>
      <c r="I776" s="2722"/>
      <c r="J776" s="2722"/>
      <c r="K776" s="2722"/>
      <c r="L776" s="2722"/>
      <c r="M776" s="2723" t="s">
        <v>803</v>
      </c>
      <c r="N776" s="40"/>
    </row>
    <row r="777" spans="1:46" s="574" customFormat="1" ht="15" customHeight="1">
      <c r="A777" s="663"/>
      <c r="B777" s="667"/>
      <c r="D777" s="40"/>
      <c r="E777" s="28" t="s">
        <v>859</v>
      </c>
      <c r="F777" s="2724">
        <v>2018</v>
      </c>
      <c r="G777" s="2724">
        <v>2020</v>
      </c>
      <c r="H777" s="2724">
        <v>2025</v>
      </c>
      <c r="I777" s="2724">
        <v>2030</v>
      </c>
      <c r="J777" s="2724">
        <v>2035</v>
      </c>
      <c r="K777" s="2724">
        <v>2040</v>
      </c>
      <c r="L777" s="2724">
        <v>2045</v>
      </c>
      <c r="M777" s="2724">
        <v>2050</v>
      </c>
      <c r="N777" s="40"/>
      <c r="O777" s="579"/>
      <c r="R777" s="584"/>
      <c r="S777" s="585"/>
      <c r="T777" s="585"/>
      <c r="U777" s="585"/>
      <c r="V777" s="585"/>
      <c r="W777" s="585"/>
      <c r="X777" s="585"/>
      <c r="Y777" s="585"/>
      <c r="Z777" s="585"/>
    </row>
    <row r="778" spans="1:46" s="574" customFormat="1" ht="15" customHeight="1">
      <c r="A778" s="663"/>
      <c r="B778" s="667"/>
      <c r="D778" s="40"/>
      <c r="E778" s="30" t="s">
        <v>889</v>
      </c>
      <c r="F778" s="2714" cm="1">
        <f t="array" ref="F778:M784">F720:M726*0.8</f>
        <v>0</v>
      </c>
      <c r="G778" s="2714">
        <v>1538.4547817311977</v>
      </c>
      <c r="H778" s="2714">
        <v>235.3821800531945</v>
      </c>
      <c r="I778" s="2714">
        <v>316.09299579298835</v>
      </c>
      <c r="J778" s="2714">
        <v>619.11468053818646</v>
      </c>
      <c r="K778" s="2714">
        <v>752.53376209166368</v>
      </c>
      <c r="L778" s="2714">
        <v>845.95794376860727</v>
      </c>
      <c r="M778" s="2733">
        <v>915.12630428318471</v>
      </c>
      <c r="N778" s="40"/>
      <c r="Q778" s="583"/>
      <c r="S778" s="587"/>
      <c r="T778" s="587"/>
      <c r="U778" s="587"/>
      <c r="V778" s="587"/>
      <c r="W778" s="587"/>
      <c r="X778" s="587"/>
      <c r="Y778" s="587"/>
      <c r="Z778" s="587"/>
    </row>
    <row r="779" spans="1:46" s="574" customFormat="1" ht="15" customHeight="1">
      <c r="A779" s="663"/>
      <c r="B779" s="667"/>
      <c r="D779" s="40"/>
      <c r="E779" s="30" t="s">
        <v>2257</v>
      </c>
      <c r="F779" s="2714">
        <v>0</v>
      </c>
      <c r="G779" s="2714">
        <v>85.484999719997475</v>
      </c>
      <c r="H779" s="2714">
        <v>37.949679880692983</v>
      </c>
      <c r="I779" s="2714">
        <v>33.549344807577704</v>
      </c>
      <c r="J779" s="2714">
        <v>30.039811386949527</v>
      </c>
      <c r="K779" s="2714">
        <v>30.634475534951292</v>
      </c>
      <c r="L779" s="2714">
        <v>32.4765337578187</v>
      </c>
      <c r="M779" s="2733">
        <v>34.941428593215981</v>
      </c>
      <c r="N779" s="40"/>
      <c r="O779" s="578"/>
      <c r="Q779" s="584"/>
      <c r="S779" s="581"/>
      <c r="T779" s="581"/>
      <c r="U779" s="581"/>
      <c r="V779" s="581"/>
      <c r="W779" s="588"/>
      <c r="X779" s="588"/>
      <c r="Y779" s="588"/>
      <c r="Z779" s="588"/>
    </row>
    <row r="780" spans="1:46" s="574" customFormat="1" ht="15" customHeight="1">
      <c r="A780" s="663"/>
      <c r="B780" s="667"/>
      <c r="D780" s="40"/>
      <c r="E780" s="30" t="s">
        <v>2250</v>
      </c>
      <c r="F780" s="2714">
        <v>0</v>
      </c>
      <c r="G780" s="2714">
        <v>0</v>
      </c>
      <c r="H780" s="2714">
        <v>0</v>
      </c>
      <c r="I780" s="2714">
        <v>0</v>
      </c>
      <c r="J780" s="2714">
        <v>0</v>
      </c>
      <c r="K780" s="2714">
        <v>0</v>
      </c>
      <c r="L780" s="2714">
        <v>0</v>
      </c>
      <c r="M780" s="2733">
        <v>0</v>
      </c>
      <c r="N780" s="40"/>
      <c r="O780" s="578"/>
      <c r="Q780" s="586"/>
      <c r="R780" s="580"/>
      <c r="S780" s="581"/>
      <c r="T780" s="581"/>
      <c r="U780" s="581"/>
      <c r="V780" s="581"/>
      <c r="W780" s="582"/>
      <c r="X780" s="582"/>
      <c r="Y780" s="582"/>
      <c r="Z780" s="582"/>
    </row>
    <row r="781" spans="1:46" s="574" customFormat="1" ht="15" customHeight="1">
      <c r="A781" s="663"/>
      <c r="B781" s="667"/>
      <c r="D781" s="40"/>
      <c r="E781" s="30" t="s">
        <v>893</v>
      </c>
      <c r="F781" s="2714">
        <v>0</v>
      </c>
      <c r="G781" s="2714">
        <v>0</v>
      </c>
      <c r="H781" s="2714">
        <v>3.2625998776149974E-2</v>
      </c>
      <c r="I781" s="2714">
        <v>2.936448779527109E-2</v>
      </c>
      <c r="J781" s="2714">
        <v>2.6780895510903336E-2</v>
      </c>
      <c r="K781" s="2714">
        <v>2.7534160041038036E-2</v>
      </c>
      <c r="L781" s="2714">
        <v>2.9314629586092156E-2</v>
      </c>
      <c r="M781" s="2733">
        <v>3.1620818018668881E-2</v>
      </c>
      <c r="N781" s="40"/>
      <c r="O781" s="578"/>
      <c r="R781" s="580"/>
      <c r="S781" s="582"/>
      <c r="T781" s="582"/>
      <c r="U781" s="582"/>
      <c r="V781" s="582"/>
      <c r="W781" s="582"/>
      <c r="X781" s="582"/>
      <c r="Y781" s="582"/>
      <c r="Z781" s="582"/>
    </row>
    <row r="782" spans="1:46" s="574" customFormat="1" ht="15" customHeight="1">
      <c r="A782" s="663"/>
      <c r="B782" s="667"/>
      <c r="D782" s="40"/>
      <c r="E782" s="30" t="s">
        <v>498</v>
      </c>
      <c r="F782" s="2714">
        <v>0</v>
      </c>
      <c r="G782" s="2714">
        <v>0</v>
      </c>
      <c r="H782" s="2714">
        <v>0</v>
      </c>
      <c r="I782" s="2714">
        <v>0</v>
      </c>
      <c r="J782" s="2714">
        <v>0</v>
      </c>
      <c r="K782" s="2714">
        <v>0</v>
      </c>
      <c r="L782" s="2714">
        <v>0</v>
      </c>
      <c r="M782" s="2733">
        <v>0</v>
      </c>
      <c r="N782" s="40"/>
      <c r="O782" s="578"/>
      <c r="Q782" s="580"/>
      <c r="R782" s="580"/>
      <c r="S782" s="582"/>
      <c r="T782" s="582"/>
      <c r="U782" s="582"/>
      <c r="V782" s="582"/>
      <c r="W782" s="582"/>
      <c r="X782" s="582"/>
      <c r="Y782" s="582"/>
      <c r="Z782" s="582"/>
    </row>
    <row r="783" spans="1:46" s="574" customFormat="1" ht="15" customHeight="1">
      <c r="A783" s="663"/>
      <c r="B783" s="667"/>
      <c r="D783" s="40"/>
      <c r="E783" s="30" t="s">
        <v>894</v>
      </c>
      <c r="F783" s="2714">
        <v>0</v>
      </c>
      <c r="G783" s="2714">
        <v>263.64310163921954</v>
      </c>
      <c r="H783" s="2714">
        <v>1280.9036530354017</v>
      </c>
      <c r="I783" s="2714">
        <v>1029.2849498047285</v>
      </c>
      <c r="J783" s="2714">
        <v>589.81081221845648</v>
      </c>
      <c r="K783" s="2714">
        <v>481.79782076569211</v>
      </c>
      <c r="L783" s="2714">
        <v>463.15330601631513</v>
      </c>
      <c r="M783" s="2733">
        <v>493.4969456735592</v>
      </c>
      <c r="N783" s="40"/>
      <c r="O783" s="578"/>
      <c r="Q783" s="580"/>
      <c r="W783" s="578"/>
      <c r="X783" s="578"/>
      <c r="Y783" s="578"/>
      <c r="Z783" s="578"/>
      <c r="AA783" s="578"/>
      <c r="AB783" s="578"/>
      <c r="AC783" s="578"/>
      <c r="AD783" s="578"/>
      <c r="AE783" s="578"/>
      <c r="AF783" s="578"/>
      <c r="AG783" s="578"/>
      <c r="AH783" s="578"/>
      <c r="AT783" s="578"/>
    </row>
    <row r="784" spans="1:46" s="574" customFormat="1" ht="15" customHeight="1">
      <c r="A784" s="663"/>
      <c r="B784" s="667"/>
      <c r="D784" s="40"/>
      <c r="E784" s="32" t="s">
        <v>603</v>
      </c>
      <c r="F784" s="2715">
        <v>0</v>
      </c>
      <c r="G784" s="2715">
        <v>0</v>
      </c>
      <c r="H784" s="2715">
        <v>0</v>
      </c>
      <c r="I784" s="2715">
        <v>0</v>
      </c>
      <c r="J784" s="2715">
        <v>0</v>
      </c>
      <c r="K784" s="2715">
        <v>0</v>
      </c>
      <c r="L784" s="2715">
        <v>0</v>
      </c>
      <c r="M784" s="2732">
        <v>0</v>
      </c>
      <c r="N784" s="40"/>
      <c r="O784" s="578"/>
      <c r="Q784" s="580"/>
    </row>
    <row r="785" spans="1:26" s="574" customFormat="1" ht="15" customHeight="1">
      <c r="A785" s="663"/>
      <c r="B785" s="667"/>
      <c r="D785" s="40"/>
      <c r="E785" s="30"/>
      <c r="F785" s="1511"/>
      <c r="G785" s="1511"/>
      <c r="H785" s="1511"/>
      <c r="I785" s="1511"/>
      <c r="J785" s="1511"/>
      <c r="K785" s="1511"/>
      <c r="L785" s="1511"/>
      <c r="M785" s="1511"/>
      <c r="N785" s="40"/>
      <c r="O785" s="579"/>
      <c r="R785" s="584"/>
      <c r="S785" s="585"/>
      <c r="T785" s="585"/>
      <c r="U785" s="585"/>
      <c r="V785" s="585"/>
      <c r="W785" s="585"/>
      <c r="X785" s="585"/>
      <c r="Y785" s="585"/>
      <c r="Z785" s="585"/>
    </row>
    <row r="786" spans="1:26" s="574" customFormat="1" ht="15" customHeight="1">
      <c r="A786" s="663"/>
      <c r="B786" s="667"/>
      <c r="D786" s="40"/>
      <c r="E786" s="340" t="s">
        <v>895</v>
      </c>
      <c r="F786" s="2722"/>
      <c r="G786" s="2722"/>
      <c r="H786" s="2722"/>
      <c r="I786" s="2722"/>
      <c r="J786" s="2722"/>
      <c r="K786" s="2722"/>
      <c r="L786" s="2722"/>
      <c r="M786" s="2723" t="s">
        <v>803</v>
      </c>
      <c r="N786" s="40"/>
      <c r="Q786" s="583"/>
      <c r="S786" s="587"/>
      <c r="T786" s="587"/>
      <c r="U786" s="587"/>
      <c r="V786" s="587"/>
      <c r="W786" s="587"/>
      <c r="X786" s="587"/>
      <c r="Y786" s="587"/>
      <c r="Z786" s="587"/>
    </row>
    <row r="787" spans="1:26" s="574" customFormat="1" ht="15" customHeight="1">
      <c r="A787" s="663"/>
      <c r="B787" s="667"/>
      <c r="D787" s="40"/>
      <c r="E787" s="28" t="s">
        <v>859</v>
      </c>
      <c r="F787" s="2724">
        <v>2018</v>
      </c>
      <c r="G787" s="2724">
        <v>2020</v>
      </c>
      <c r="H787" s="2724">
        <v>2025</v>
      </c>
      <c r="I787" s="2724">
        <v>2030</v>
      </c>
      <c r="J787" s="2724">
        <v>2035</v>
      </c>
      <c r="K787" s="2724">
        <v>2040</v>
      </c>
      <c r="L787" s="2724">
        <v>2045</v>
      </c>
      <c r="M787" s="2724">
        <v>2050</v>
      </c>
      <c r="N787" s="40"/>
      <c r="O787" s="578"/>
      <c r="Q787" s="584"/>
      <c r="S787" s="581"/>
      <c r="T787" s="581"/>
      <c r="U787" s="581"/>
      <c r="V787" s="581"/>
      <c r="W787" s="588"/>
      <c r="X787" s="588"/>
      <c r="Y787" s="588"/>
      <c r="Z787" s="588"/>
    </row>
    <row r="788" spans="1:26" s="574" customFormat="1" ht="15" customHeight="1">
      <c r="A788" s="663"/>
      <c r="B788" s="667"/>
      <c r="D788" s="40"/>
      <c r="E788" s="30" t="s">
        <v>889</v>
      </c>
      <c r="F788" s="2714" cm="1">
        <f t="array" ref="F788:M794">F730:M736*0.8</f>
        <v>0</v>
      </c>
      <c r="G788" s="2714">
        <v>90.725905484828004</v>
      </c>
      <c r="H788" s="2714">
        <v>85.304369658904051</v>
      </c>
      <c r="I788" s="2714">
        <v>0</v>
      </c>
      <c r="J788" s="2714">
        <v>21.44987391436068</v>
      </c>
      <c r="K788" s="2714">
        <v>46.539341266665744</v>
      </c>
      <c r="L788" s="2714">
        <v>51.173696494522396</v>
      </c>
      <c r="M788" s="2733">
        <v>59.180370328293954</v>
      </c>
      <c r="N788" s="40"/>
      <c r="O788" s="578"/>
      <c r="Q788" s="586"/>
      <c r="R788" s="580"/>
      <c r="S788" s="581"/>
      <c r="T788" s="581"/>
      <c r="U788" s="581"/>
      <c r="V788" s="581"/>
      <c r="W788" s="582"/>
      <c r="X788" s="582"/>
      <c r="Y788" s="582"/>
      <c r="Z788" s="582"/>
    </row>
    <row r="789" spans="1:26" ht="15" customHeight="1">
      <c r="C789" s="574"/>
      <c r="D789" s="40"/>
      <c r="E789" s="30" t="s">
        <v>2257</v>
      </c>
      <c r="F789" s="2714">
        <v>0</v>
      </c>
      <c r="G789" s="2714">
        <v>9.3580468685439372E-2</v>
      </c>
      <c r="H789" s="2714">
        <v>8.7745407744024062E-2</v>
      </c>
      <c r="I789" s="2714">
        <v>7.4832158641120958E-2</v>
      </c>
      <c r="J789" s="2714">
        <v>6.8076262168253313E-2</v>
      </c>
      <c r="K789" s="2714">
        <v>7.4883563567797226E-2</v>
      </c>
      <c r="L789" s="2714">
        <v>8.0505919274237669E-2</v>
      </c>
      <c r="M789" s="2733">
        <v>9.283894909422874E-2</v>
      </c>
      <c r="N789" s="40"/>
      <c r="O789" s="578"/>
      <c r="P789" s="574"/>
      <c r="Q789" s="574"/>
    </row>
    <row r="790" spans="1:26" ht="15" customHeight="1">
      <c r="C790" s="574"/>
      <c r="D790" s="40"/>
      <c r="E790" s="30" t="s">
        <v>2250</v>
      </c>
      <c r="F790" s="2714">
        <v>0</v>
      </c>
      <c r="G790" s="2714">
        <v>0</v>
      </c>
      <c r="H790" s="2714">
        <v>0</v>
      </c>
      <c r="I790" s="2714">
        <v>0</v>
      </c>
      <c r="J790" s="2714">
        <v>0</v>
      </c>
      <c r="K790" s="2714">
        <v>0</v>
      </c>
      <c r="L790" s="2714">
        <v>0</v>
      </c>
      <c r="M790" s="2733">
        <v>0</v>
      </c>
      <c r="N790" s="40"/>
      <c r="O790" s="578"/>
      <c r="P790" s="574"/>
      <c r="Q790" s="580"/>
    </row>
    <row r="791" spans="1:26" ht="15" customHeight="1">
      <c r="C791" s="574"/>
      <c r="D791" s="40"/>
      <c r="E791" s="30" t="s">
        <v>893</v>
      </c>
      <c r="F791" s="2714">
        <v>0</v>
      </c>
      <c r="G791" s="2714">
        <v>9.8421213341379106E-3</v>
      </c>
      <c r="H791" s="2714">
        <v>9.3121190341953815E-3</v>
      </c>
      <c r="I791" s="2714">
        <v>8.1434298177415071E-3</v>
      </c>
      <c r="J791" s="2714">
        <v>7.5657177493096252E-3</v>
      </c>
      <c r="K791" s="2714">
        <v>8.3302511859545819E-3</v>
      </c>
      <c r="L791" s="2714">
        <v>8.9844039788841857E-3</v>
      </c>
      <c r="M791" s="2733">
        <v>1.0315570669377784E-2</v>
      </c>
      <c r="N791" s="40"/>
      <c r="O791" s="578"/>
      <c r="P791" s="574"/>
      <c r="Q791" s="580"/>
    </row>
    <row r="792" spans="1:26" s="589" customFormat="1" ht="15" customHeight="1">
      <c r="A792" s="663"/>
      <c r="B792" s="667"/>
      <c r="C792" s="574"/>
      <c r="D792" s="40"/>
      <c r="E792" s="30" t="s">
        <v>498</v>
      </c>
      <c r="F792" s="2714">
        <v>0</v>
      </c>
      <c r="G792" s="2714">
        <v>0</v>
      </c>
      <c r="H792" s="2714">
        <v>0</v>
      </c>
      <c r="I792" s="2714">
        <v>0</v>
      </c>
      <c r="J792" s="2714">
        <v>0</v>
      </c>
      <c r="K792" s="2714">
        <v>0</v>
      </c>
      <c r="L792" s="2714">
        <v>0</v>
      </c>
      <c r="M792" s="2733">
        <v>0</v>
      </c>
      <c r="N792" s="40"/>
      <c r="O792" s="578"/>
      <c r="P792" s="574"/>
      <c r="Q792" s="580"/>
      <c r="R792" s="574"/>
      <c r="S792" s="574"/>
    </row>
    <row r="793" spans="1:26" s="589" customFormat="1" ht="15" customHeight="1">
      <c r="A793" s="663"/>
      <c r="B793" s="667"/>
      <c r="C793" s="574"/>
      <c r="D793" s="40"/>
      <c r="E793" s="30" t="s">
        <v>894</v>
      </c>
      <c r="F793" s="2714">
        <v>0</v>
      </c>
      <c r="G793" s="2714">
        <v>0.7133471333133663</v>
      </c>
      <c r="H793" s="2714">
        <v>7.6341063970205222E-2</v>
      </c>
      <c r="I793" s="2714">
        <v>132.07616896934408</v>
      </c>
      <c r="J793" s="2714">
        <v>45.060399551580993</v>
      </c>
      <c r="K793" s="2714">
        <v>26.931899405388094</v>
      </c>
      <c r="L793" s="2714">
        <v>27.785784527434572</v>
      </c>
      <c r="M793" s="2733">
        <v>31.946287819499744</v>
      </c>
      <c r="N793" s="40"/>
      <c r="O793" s="579"/>
      <c r="P793" s="574"/>
      <c r="Q793" s="574"/>
      <c r="R793" s="574"/>
      <c r="S793" s="574"/>
    </row>
    <row r="794" spans="1:26" s="589" customFormat="1" ht="15" customHeight="1">
      <c r="A794" s="663"/>
      <c r="B794" s="667"/>
      <c r="C794" s="574"/>
      <c r="D794" s="40"/>
      <c r="E794" s="32" t="s">
        <v>603</v>
      </c>
      <c r="F794" s="2715">
        <v>0</v>
      </c>
      <c r="G794" s="2715">
        <v>0</v>
      </c>
      <c r="H794" s="2715">
        <v>0</v>
      </c>
      <c r="I794" s="2715">
        <v>0</v>
      </c>
      <c r="J794" s="2715">
        <v>0</v>
      </c>
      <c r="K794" s="2715">
        <v>0</v>
      </c>
      <c r="L794" s="2715">
        <v>0</v>
      </c>
      <c r="M794" s="2732">
        <v>0</v>
      </c>
      <c r="N794" s="40"/>
      <c r="O794" s="574"/>
      <c r="P794" s="574"/>
      <c r="Q794" s="583"/>
      <c r="R794" s="574"/>
      <c r="S794" s="574"/>
    </row>
    <row r="795" spans="1:26" s="589" customFormat="1" ht="15" customHeight="1">
      <c r="A795" s="663"/>
      <c r="B795" s="667"/>
      <c r="C795" s="574"/>
      <c r="D795" s="40"/>
      <c r="E795" s="30"/>
      <c r="F795" s="1511"/>
      <c r="G795" s="1511"/>
      <c r="H795" s="1511"/>
      <c r="I795" s="1511"/>
      <c r="J795" s="1511"/>
      <c r="K795" s="1511"/>
      <c r="L795" s="1511"/>
      <c r="M795" s="1511"/>
      <c r="N795" s="40"/>
      <c r="O795" s="578"/>
      <c r="P795" s="574"/>
      <c r="Q795" s="584"/>
    </row>
    <row r="796" spans="1:26" s="589" customFormat="1" ht="15" customHeight="1">
      <c r="A796" s="663"/>
      <c r="B796" s="667"/>
      <c r="C796" s="574"/>
      <c r="D796" s="40"/>
      <c r="E796" s="340" t="s">
        <v>896</v>
      </c>
      <c r="F796" s="2722"/>
      <c r="G796" s="2722"/>
      <c r="H796" s="2722"/>
      <c r="I796" s="2722"/>
      <c r="J796" s="2722"/>
      <c r="K796" s="2722"/>
      <c r="L796" s="2722"/>
      <c r="M796" s="2723" t="s">
        <v>803</v>
      </c>
      <c r="N796" s="40"/>
      <c r="O796" s="578"/>
      <c r="P796" s="574"/>
      <c r="Q796" s="586"/>
    </row>
    <row r="797" spans="1:26" s="589" customFormat="1" ht="15" customHeight="1">
      <c r="A797" s="663"/>
      <c r="B797" s="667"/>
      <c r="C797" s="574"/>
      <c r="D797" s="40"/>
      <c r="E797" s="28" t="s">
        <v>859</v>
      </c>
      <c r="F797" s="2724">
        <v>2018</v>
      </c>
      <c r="G797" s="2724">
        <v>2020</v>
      </c>
      <c r="H797" s="2724">
        <v>2025</v>
      </c>
      <c r="I797" s="2724">
        <v>2030</v>
      </c>
      <c r="J797" s="2724">
        <v>2035</v>
      </c>
      <c r="K797" s="2724">
        <v>2040</v>
      </c>
      <c r="L797" s="2724">
        <v>2045</v>
      </c>
      <c r="M797" s="2724">
        <v>2050</v>
      </c>
      <c r="N797" s="40"/>
      <c r="O797" s="578"/>
      <c r="P797" s="574"/>
      <c r="Q797" s="574"/>
    </row>
    <row r="798" spans="1:26" s="589" customFormat="1" ht="15" customHeight="1">
      <c r="A798" s="663"/>
      <c r="B798" s="667"/>
      <c r="C798" s="574"/>
      <c r="D798" s="40"/>
      <c r="E798" s="30" t="s">
        <v>897</v>
      </c>
      <c r="F798" s="2714" cm="1">
        <f t="array" ref="F798:M800">F740:M742*0.8</f>
        <v>0</v>
      </c>
      <c r="G798" s="2714">
        <v>2693.2991566109067</v>
      </c>
      <c r="H798" s="2714">
        <v>2161.4900344059529</v>
      </c>
      <c r="I798" s="2714">
        <v>1831.3089621926561</v>
      </c>
      <c r="J798" s="2714">
        <v>1565.2758026140637</v>
      </c>
      <c r="K798" s="2714">
        <v>1562.2290907886891</v>
      </c>
      <c r="L798" s="2714">
        <v>1637.1246828521328</v>
      </c>
      <c r="M798" s="2733">
        <v>1748.981408822362</v>
      </c>
      <c r="N798" s="40"/>
      <c r="O798" s="578"/>
      <c r="P798" s="574"/>
      <c r="Q798" s="580"/>
    </row>
    <row r="799" spans="1:26" s="589" customFormat="1" ht="15" customHeight="1">
      <c r="A799" s="663"/>
      <c r="B799" s="667"/>
      <c r="C799" s="574"/>
      <c r="D799" s="40"/>
      <c r="E799" s="30" t="s">
        <v>898</v>
      </c>
      <c r="F799" s="2714">
        <v>0</v>
      </c>
      <c r="G799" s="2714">
        <v>1952.9901386649847</v>
      </c>
      <c r="H799" s="2714">
        <v>1568.3016938743131</v>
      </c>
      <c r="I799" s="2714">
        <v>1330.0363652450885</v>
      </c>
      <c r="J799" s="2714">
        <v>1138.094944823669</v>
      </c>
      <c r="K799" s="2714">
        <v>1136.4888048015148</v>
      </c>
      <c r="L799" s="2714">
        <v>1191.3219887165133</v>
      </c>
      <c r="M799" s="2733">
        <v>1272.9485437686399</v>
      </c>
      <c r="N799" s="40"/>
      <c r="O799" s="3"/>
      <c r="P799" s="3"/>
      <c r="Q799" s="3"/>
    </row>
    <row r="800" spans="1:26" s="589" customFormat="1" ht="15" customHeight="1">
      <c r="A800" s="663"/>
      <c r="B800" s="667"/>
      <c r="C800" s="574"/>
      <c r="D800" s="40"/>
      <c r="E800" s="32" t="s">
        <v>2262</v>
      </c>
      <c r="F800" s="2715">
        <v>0</v>
      </c>
      <c r="G800" s="2715">
        <v>0</v>
      </c>
      <c r="H800" s="2715">
        <v>0</v>
      </c>
      <c r="I800" s="2715">
        <v>0</v>
      </c>
      <c r="J800" s="2715">
        <v>0</v>
      </c>
      <c r="K800" s="2715">
        <v>0</v>
      </c>
      <c r="L800" s="2715">
        <v>0</v>
      </c>
      <c r="M800" s="2734">
        <v>0</v>
      </c>
      <c r="N800" s="40"/>
      <c r="O800" s="3"/>
      <c r="P800" s="3"/>
      <c r="Q800" s="3"/>
    </row>
    <row r="801" spans="1:18" s="589" customFormat="1" ht="15" customHeight="1">
      <c r="A801" s="663"/>
      <c r="B801" s="667"/>
      <c r="C801" s="3"/>
      <c r="D801" s="40"/>
      <c r="E801" s="30"/>
      <c r="F801" s="1511"/>
      <c r="G801" s="1511"/>
      <c r="H801" s="1511"/>
      <c r="I801" s="1511"/>
      <c r="J801" s="1511"/>
      <c r="K801" s="1511"/>
      <c r="L801" s="1511"/>
      <c r="M801" s="1511"/>
      <c r="N801" s="40"/>
      <c r="O801" s="3"/>
      <c r="P801" s="3"/>
      <c r="Q801" s="3"/>
    </row>
    <row r="802" spans="1:18" s="589" customFormat="1" ht="15" customHeight="1">
      <c r="A802" s="663"/>
      <c r="B802" s="667"/>
      <c r="C802" s="3"/>
      <c r="D802" s="40"/>
      <c r="E802" s="340" t="s">
        <v>899</v>
      </c>
      <c r="F802" s="2722"/>
      <c r="G802" s="2722"/>
      <c r="H802" s="2722"/>
      <c r="I802" s="2722"/>
      <c r="J802" s="2722"/>
      <c r="K802" s="2722"/>
      <c r="L802" s="2722"/>
      <c r="M802" s="2723" t="s">
        <v>803</v>
      </c>
      <c r="N802" s="40"/>
      <c r="O802" s="574"/>
      <c r="P802" s="574"/>
      <c r="Q802" s="574"/>
    </row>
    <row r="803" spans="1:18" s="589" customFormat="1" ht="15" customHeight="1">
      <c r="A803" s="663"/>
      <c r="B803" s="667"/>
      <c r="C803" s="3"/>
      <c r="D803" s="40"/>
      <c r="E803" s="28" t="s">
        <v>859</v>
      </c>
      <c r="F803" s="2724">
        <v>2018</v>
      </c>
      <c r="G803" s="2724">
        <v>2020</v>
      </c>
      <c r="H803" s="2724">
        <v>2025</v>
      </c>
      <c r="I803" s="2724">
        <v>2030</v>
      </c>
      <c r="J803" s="2724">
        <v>2035</v>
      </c>
      <c r="K803" s="2724">
        <v>2040</v>
      </c>
      <c r="L803" s="2724">
        <v>2045</v>
      </c>
      <c r="M803" s="2724">
        <v>2050</v>
      </c>
      <c r="N803" s="40"/>
      <c r="O803" s="574"/>
      <c r="P803" s="574"/>
      <c r="Q803" s="574"/>
    </row>
    <row r="804" spans="1:18" s="589" customFormat="1" ht="15" customHeight="1">
      <c r="A804" s="663"/>
      <c r="B804" s="667"/>
      <c r="C804" s="597"/>
      <c r="D804" s="40"/>
      <c r="E804" s="30" t="s">
        <v>889</v>
      </c>
      <c r="F804" s="2714" cm="1">
        <f t="array" ref="F804:M810">F746:M752*0.8</f>
        <v>0</v>
      </c>
      <c r="G804" s="2714">
        <v>1.8669308856442024</v>
      </c>
      <c r="H804" s="2714">
        <v>0.58233838245265301</v>
      </c>
      <c r="I804" s="2714">
        <v>0.36930629104843393</v>
      </c>
      <c r="J804" s="2714">
        <v>0.28369785587881047</v>
      </c>
      <c r="K804" s="2714">
        <v>0.24106408442761143</v>
      </c>
      <c r="L804" s="2714">
        <v>0.20979437217876368</v>
      </c>
      <c r="M804" s="2735">
        <v>0.18969376843033203</v>
      </c>
      <c r="N804" s="40"/>
      <c r="O804" s="574"/>
      <c r="P804" s="574"/>
      <c r="Q804" s="574"/>
      <c r="R804" s="574"/>
    </row>
    <row r="805" spans="1:18" s="589" customFormat="1" ht="15" customHeight="1">
      <c r="A805" s="663"/>
      <c r="B805" s="667"/>
      <c r="C805" s="574"/>
      <c r="D805" s="40"/>
      <c r="E805" s="30" t="s">
        <v>2257</v>
      </c>
      <c r="F805" s="2714">
        <v>0</v>
      </c>
      <c r="G805" s="2714">
        <v>1.0342639723818872</v>
      </c>
      <c r="H805" s="2714">
        <v>3.127448435211281</v>
      </c>
      <c r="I805" s="2714">
        <v>0.39653279411012171</v>
      </c>
      <c r="J805" s="2714">
        <v>-0.36830534158528466</v>
      </c>
      <c r="K805" s="2714">
        <v>-8.311522982895525E-2</v>
      </c>
      <c r="L805" s="2714">
        <v>0.36710881928326816</v>
      </c>
      <c r="M805" s="2735">
        <v>0.62590469636164503</v>
      </c>
      <c r="N805" s="40"/>
      <c r="O805" s="574"/>
      <c r="P805" s="574"/>
      <c r="Q805" s="574"/>
      <c r="R805" s="574"/>
    </row>
    <row r="806" spans="1:18" s="589" customFormat="1" ht="15" customHeight="1">
      <c r="A806" s="663"/>
      <c r="B806" s="667"/>
      <c r="C806" s="574"/>
      <c r="D806" s="40"/>
      <c r="E806" s="30" t="s">
        <v>2250</v>
      </c>
      <c r="F806" s="2714">
        <v>0</v>
      </c>
      <c r="G806" s="2714">
        <v>0</v>
      </c>
      <c r="H806" s="2714">
        <v>0</v>
      </c>
      <c r="I806" s="2714">
        <v>0</v>
      </c>
      <c r="J806" s="2714">
        <v>0</v>
      </c>
      <c r="K806" s="2714">
        <v>0</v>
      </c>
      <c r="L806" s="2714">
        <v>0</v>
      </c>
      <c r="M806" s="2735">
        <v>0</v>
      </c>
      <c r="N806" s="40"/>
      <c r="O806" s="574"/>
      <c r="P806" s="574"/>
      <c r="Q806" s="574"/>
      <c r="R806" s="574"/>
    </row>
    <row r="807" spans="1:18" s="589" customFormat="1" ht="15" customHeight="1">
      <c r="A807" s="663"/>
      <c r="B807" s="667"/>
      <c r="C807" s="574"/>
      <c r="D807" s="40"/>
      <c r="E807" s="30" t="s">
        <v>893</v>
      </c>
      <c r="F807" s="2714">
        <v>0</v>
      </c>
      <c r="G807" s="2714">
        <v>2.2435152260030526</v>
      </c>
      <c r="H807" s="2714">
        <v>1.7344077669562776</v>
      </c>
      <c r="I807" s="2714">
        <v>2.2988673952914294</v>
      </c>
      <c r="J807" s="2714">
        <v>2.979775377183131</v>
      </c>
      <c r="K807" s="2714">
        <v>3.7328975853142383</v>
      </c>
      <c r="L807" s="2714">
        <v>4.5093369063234237</v>
      </c>
      <c r="M807" s="2735">
        <v>5.3130259225926713</v>
      </c>
      <c r="N807" s="40"/>
      <c r="O807" s="574"/>
      <c r="P807" s="574"/>
      <c r="Q807" s="574"/>
    </row>
    <row r="808" spans="1:18" s="589" customFormat="1" ht="15" customHeight="1">
      <c r="A808" s="663"/>
      <c r="B808" s="667"/>
      <c r="C808" s="574"/>
      <c r="D808" s="40"/>
      <c r="E808" s="30" t="s">
        <v>498</v>
      </c>
      <c r="F808" s="2714">
        <v>0</v>
      </c>
      <c r="G808" s="2714">
        <v>0</v>
      </c>
      <c r="H808" s="2714">
        <v>0</v>
      </c>
      <c r="I808" s="2714">
        <v>0</v>
      </c>
      <c r="J808" s="2714">
        <v>0</v>
      </c>
      <c r="K808" s="2714">
        <v>0</v>
      </c>
      <c r="L808" s="2714">
        <v>0</v>
      </c>
      <c r="M808" s="2735">
        <v>0</v>
      </c>
      <c r="N808" s="40"/>
      <c r="O808" s="574"/>
      <c r="P808" s="574"/>
      <c r="Q808" s="574"/>
    </row>
    <row r="809" spans="1:18" s="589" customFormat="1" ht="15" customHeight="1">
      <c r="A809" s="663"/>
      <c r="B809" s="667"/>
      <c r="C809" s="574"/>
      <c r="D809" s="40"/>
      <c r="E809" s="30" t="s">
        <v>894</v>
      </c>
      <c r="F809" s="2714">
        <v>0</v>
      </c>
      <c r="G809" s="2714">
        <v>0.20430259217093352</v>
      </c>
      <c r="H809" s="2714">
        <v>0.51791565624096103</v>
      </c>
      <c r="I809" s="2714">
        <v>2.4922714647337401</v>
      </c>
      <c r="J809" s="2714">
        <v>3.1254172658912807</v>
      </c>
      <c r="K809" s="2714">
        <v>2.9435689966490113</v>
      </c>
      <c r="L809" s="2714">
        <v>2.6872615255669006</v>
      </c>
      <c r="M809" s="2735">
        <v>2.7391199741024845</v>
      </c>
      <c r="N809" s="40"/>
      <c r="O809" s="574"/>
      <c r="P809" s="574"/>
      <c r="Q809" s="574"/>
    </row>
    <row r="810" spans="1:18" s="589" customFormat="1" ht="15" customHeight="1">
      <c r="A810" s="663"/>
      <c r="B810" s="667"/>
      <c r="C810" s="574"/>
      <c r="D810" s="40"/>
      <c r="E810" s="32" t="s">
        <v>603</v>
      </c>
      <c r="F810" s="2715">
        <v>0</v>
      </c>
      <c r="G810" s="2715">
        <v>0</v>
      </c>
      <c r="H810" s="2715">
        <v>0</v>
      </c>
      <c r="I810" s="2715">
        <v>0</v>
      </c>
      <c r="J810" s="2715">
        <v>0</v>
      </c>
      <c r="K810" s="2715">
        <v>0</v>
      </c>
      <c r="L810" s="2715">
        <v>0</v>
      </c>
      <c r="M810" s="2736">
        <v>0</v>
      </c>
      <c r="N810" s="40"/>
      <c r="O810" s="574"/>
      <c r="P810" s="574"/>
      <c r="Q810" s="574"/>
    </row>
    <row r="811" spans="1:18" s="589" customFormat="1" ht="15" customHeight="1">
      <c r="A811" s="663"/>
      <c r="B811" s="667"/>
      <c r="C811" s="574"/>
      <c r="D811" s="40"/>
      <c r="E811" s="35"/>
      <c r="F811" s="2728"/>
      <c r="G811" s="2728"/>
      <c r="H811" s="2728"/>
      <c r="I811" s="2728"/>
      <c r="J811" s="2728"/>
      <c r="K811" s="2728"/>
      <c r="L811" s="2728"/>
      <c r="M811" s="2728"/>
      <c r="N811" s="40"/>
      <c r="O811" s="574"/>
      <c r="P811" s="574"/>
      <c r="Q811" s="574"/>
    </row>
    <row r="812" spans="1:18" s="589" customFormat="1" ht="15" customHeight="1">
      <c r="A812" s="663"/>
      <c r="B812" s="667"/>
      <c r="C812" s="574"/>
      <c r="D812" s="40"/>
      <c r="E812" s="340" t="s">
        <v>900</v>
      </c>
      <c r="F812" s="2722"/>
      <c r="G812" s="2722"/>
      <c r="H812" s="2722"/>
      <c r="I812" s="2722"/>
      <c r="J812" s="2722"/>
      <c r="K812" s="2722"/>
      <c r="L812" s="2722"/>
      <c r="M812" s="2723" t="s">
        <v>803</v>
      </c>
      <c r="N812" s="40"/>
      <c r="O812" s="574"/>
      <c r="P812" s="574"/>
      <c r="Q812" s="574"/>
    </row>
    <row r="813" spans="1:18" s="589" customFormat="1" ht="15" customHeight="1">
      <c r="A813" s="663"/>
      <c r="B813" s="667"/>
      <c r="C813" s="574"/>
      <c r="D813" s="40"/>
      <c r="E813" s="28" t="s">
        <v>859</v>
      </c>
      <c r="F813" s="2724">
        <v>2018</v>
      </c>
      <c r="G813" s="2724">
        <v>2020</v>
      </c>
      <c r="H813" s="2724">
        <v>2025</v>
      </c>
      <c r="I813" s="2724">
        <v>2030</v>
      </c>
      <c r="J813" s="2724">
        <v>2035</v>
      </c>
      <c r="K813" s="2724">
        <v>2040</v>
      </c>
      <c r="L813" s="2724">
        <v>2045</v>
      </c>
      <c r="M813" s="2724">
        <v>2050</v>
      </c>
      <c r="N813" s="40"/>
      <c r="O813" s="574"/>
      <c r="P813" s="574"/>
      <c r="Q813" s="574"/>
      <c r="R813" s="574"/>
    </row>
    <row r="814" spans="1:18" s="589" customFormat="1" ht="15" customHeight="1">
      <c r="A814" s="663"/>
      <c r="B814" s="667"/>
      <c r="C814" s="574"/>
      <c r="D814" s="40"/>
      <c r="E814" s="30" t="s">
        <v>889</v>
      </c>
      <c r="F814" s="2714" cm="1">
        <f t="array" ref="F814:M820">F756:M762*0.8</f>
        <v>0</v>
      </c>
      <c r="G814" s="2714">
        <v>0</v>
      </c>
      <c r="H814" s="2714">
        <v>0.7859187059232754</v>
      </c>
      <c r="I814" s="2714">
        <v>0.89749466631159158</v>
      </c>
      <c r="J814" s="2714">
        <v>0.68483196935479873</v>
      </c>
      <c r="K814" s="2714">
        <v>0.83156810693670635</v>
      </c>
      <c r="L814" s="2714">
        <v>0.75360882414340091</v>
      </c>
      <c r="M814" s="2735">
        <v>0.71484190926865276</v>
      </c>
      <c r="N814" s="40"/>
      <c r="O814" s="574"/>
      <c r="P814" s="574"/>
      <c r="Q814" s="574"/>
      <c r="R814" s="574"/>
    </row>
    <row r="815" spans="1:18" s="589" customFormat="1" ht="15" customHeight="1">
      <c r="A815" s="663"/>
      <c r="B815" s="667"/>
      <c r="C815" s="574"/>
      <c r="D815" s="40"/>
      <c r="E815" s="30" t="s">
        <v>2257</v>
      </c>
      <c r="F815" s="2714">
        <v>0</v>
      </c>
      <c r="G815" s="2714">
        <v>10.371101021661561</v>
      </c>
      <c r="H815" s="2714">
        <v>6.2661370433478485</v>
      </c>
      <c r="I815" s="2714">
        <v>3.4403772481689305</v>
      </c>
      <c r="J815" s="2714">
        <v>1.4801231888596906</v>
      </c>
      <c r="K815" s="2714">
        <v>0.52551003554635123</v>
      </c>
      <c r="L815" s="2714">
        <v>2.3670048740926468</v>
      </c>
      <c r="M815" s="2735">
        <v>4.1487214593999315</v>
      </c>
      <c r="N815" s="40"/>
      <c r="O815" s="574"/>
      <c r="P815" s="574"/>
      <c r="Q815" s="574"/>
      <c r="R815" s="574"/>
    </row>
    <row r="816" spans="1:18" s="589" customFormat="1" ht="15" customHeight="1">
      <c r="A816" s="663"/>
      <c r="B816" s="667"/>
      <c r="C816" s="574"/>
      <c r="D816" s="40"/>
      <c r="E816" s="30" t="s">
        <v>2250</v>
      </c>
      <c r="F816" s="2714">
        <v>0</v>
      </c>
      <c r="G816" s="2714">
        <v>0</v>
      </c>
      <c r="H816" s="2714">
        <v>0</v>
      </c>
      <c r="I816" s="2714">
        <v>0</v>
      </c>
      <c r="J816" s="2714">
        <v>0</v>
      </c>
      <c r="K816" s="2714">
        <v>0</v>
      </c>
      <c r="L816" s="2714">
        <v>0</v>
      </c>
      <c r="M816" s="2735">
        <v>0</v>
      </c>
      <c r="N816" s="40"/>
      <c r="O816" s="574"/>
      <c r="P816" s="574"/>
      <c r="Q816" s="574"/>
    </row>
    <row r="817" spans="1:19" s="589" customFormat="1" ht="15" customHeight="1">
      <c r="A817" s="663"/>
      <c r="B817" s="667"/>
      <c r="C817" s="574"/>
      <c r="D817" s="40"/>
      <c r="E817" s="30" t="s">
        <v>893</v>
      </c>
      <c r="F817" s="2714">
        <v>0</v>
      </c>
      <c r="G817" s="2714">
        <v>0</v>
      </c>
      <c r="H817" s="2714">
        <v>0.2300929805714633</v>
      </c>
      <c r="I817" s="2714">
        <v>1.3136472140202693</v>
      </c>
      <c r="J817" s="2714">
        <v>5.2251180257280305</v>
      </c>
      <c r="K817" s="2714">
        <v>10.625041018573341</v>
      </c>
      <c r="L817" s="2714">
        <v>13.776850020942096</v>
      </c>
      <c r="M817" s="2735">
        <v>16.441623143780259</v>
      </c>
      <c r="N817" s="40"/>
      <c r="O817" s="574"/>
      <c r="P817" s="574"/>
      <c r="Q817" s="574"/>
    </row>
    <row r="818" spans="1:19" s="589" customFormat="1" ht="15" customHeight="1">
      <c r="A818" s="663"/>
      <c r="B818" s="667"/>
      <c r="C818" s="574"/>
      <c r="D818" s="40"/>
      <c r="E818" s="30" t="s">
        <v>498</v>
      </c>
      <c r="F818" s="2714">
        <v>0</v>
      </c>
      <c r="G818" s="2714">
        <v>0</v>
      </c>
      <c r="H818" s="2714">
        <v>0</v>
      </c>
      <c r="I818" s="2714">
        <v>0</v>
      </c>
      <c r="J818" s="2714">
        <v>0</v>
      </c>
      <c r="K818" s="2714">
        <v>0</v>
      </c>
      <c r="L818" s="2714">
        <v>0</v>
      </c>
      <c r="M818" s="2735">
        <v>0</v>
      </c>
      <c r="N818" s="40"/>
      <c r="O818" s="574"/>
      <c r="P818" s="574"/>
      <c r="Q818" s="574"/>
    </row>
    <row r="819" spans="1:19" s="589" customFormat="1" ht="15" customHeight="1">
      <c r="A819" s="663"/>
      <c r="B819" s="667"/>
      <c r="C819" s="574"/>
      <c r="D819" s="40"/>
      <c r="E819" s="30" t="s">
        <v>894</v>
      </c>
      <c r="F819" s="2714">
        <v>0</v>
      </c>
      <c r="G819" s="2714">
        <v>0.25359256097304228</v>
      </c>
      <c r="H819" s="2714">
        <v>0.5360107926390032</v>
      </c>
      <c r="I819" s="2714">
        <v>2.6692913925301394</v>
      </c>
      <c r="J819" s="2714">
        <v>4.0248085718227404</v>
      </c>
      <c r="K819" s="2714">
        <v>4.8932347145866721</v>
      </c>
      <c r="L819" s="2714">
        <v>5.0569051698316505</v>
      </c>
      <c r="M819" s="2735">
        <v>5.5909575676743302</v>
      </c>
      <c r="N819" s="40"/>
      <c r="O819" s="574"/>
      <c r="P819" s="574"/>
      <c r="Q819" s="574"/>
    </row>
    <row r="820" spans="1:19" s="589" customFormat="1" ht="15" customHeight="1">
      <c r="A820" s="663"/>
      <c r="B820" s="667"/>
      <c r="C820" s="574"/>
      <c r="D820" s="40"/>
      <c r="E820" s="32" t="s">
        <v>603</v>
      </c>
      <c r="F820" s="2715">
        <v>0</v>
      </c>
      <c r="G820" s="2715">
        <v>0</v>
      </c>
      <c r="H820" s="2715">
        <v>0</v>
      </c>
      <c r="I820" s="2715">
        <v>0</v>
      </c>
      <c r="J820" s="2715">
        <v>0</v>
      </c>
      <c r="K820" s="2715">
        <v>0</v>
      </c>
      <c r="L820" s="2715">
        <v>0</v>
      </c>
      <c r="M820" s="2736">
        <v>0</v>
      </c>
      <c r="N820" s="40"/>
      <c r="O820" s="574"/>
      <c r="P820" s="574"/>
      <c r="Q820" s="574"/>
    </row>
    <row r="821" spans="1:19" s="589" customFormat="1" ht="15" customHeight="1">
      <c r="A821" s="663"/>
      <c r="B821" s="667"/>
      <c r="C821" s="574"/>
      <c r="D821" s="40"/>
      <c r="E821" s="26"/>
      <c r="F821" s="788"/>
      <c r="G821" s="788"/>
      <c r="H821" s="788"/>
      <c r="I821" s="788"/>
      <c r="J821" s="788"/>
      <c r="K821" s="788"/>
      <c r="L821" s="788"/>
      <c r="M821" s="2728"/>
      <c r="N821" s="40"/>
      <c r="O821" s="574"/>
      <c r="P821" s="574"/>
      <c r="Q821" s="574"/>
    </row>
    <row r="822" spans="1:19" s="589" customFormat="1" ht="15" customHeight="1">
      <c r="A822" s="663"/>
      <c r="B822" s="667"/>
      <c r="C822" s="574"/>
      <c r="D822" s="40"/>
      <c r="E822" s="340" t="s">
        <v>2244</v>
      </c>
      <c r="F822" s="2722"/>
      <c r="G822" s="2722"/>
      <c r="H822" s="2722"/>
      <c r="I822" s="2722"/>
      <c r="J822" s="2722"/>
      <c r="K822" s="2722"/>
      <c r="L822" s="2722"/>
      <c r="M822" s="2723" t="s">
        <v>803</v>
      </c>
      <c r="N822" s="40"/>
      <c r="O822" s="574"/>
      <c r="P822" s="574"/>
      <c r="Q822" s="574"/>
      <c r="R822" s="574"/>
    </row>
    <row r="823" spans="1:19" s="589" customFormat="1" ht="15" customHeight="1">
      <c r="A823" s="663"/>
      <c r="B823" s="667"/>
      <c r="C823" s="574"/>
      <c r="D823" s="40"/>
      <c r="E823" s="28" t="s">
        <v>859</v>
      </c>
      <c r="F823" s="2724">
        <v>2018</v>
      </c>
      <c r="G823" s="2724">
        <v>2020</v>
      </c>
      <c r="H823" s="2724">
        <v>2025</v>
      </c>
      <c r="I823" s="2724">
        <v>2030</v>
      </c>
      <c r="J823" s="2724">
        <v>2035</v>
      </c>
      <c r="K823" s="2724">
        <v>2040</v>
      </c>
      <c r="L823" s="2724">
        <v>2045</v>
      </c>
      <c r="M823" s="2724">
        <v>2050</v>
      </c>
      <c r="N823" s="40"/>
      <c r="O823" s="574"/>
      <c r="P823" s="574"/>
      <c r="Q823" s="574"/>
      <c r="R823" s="574"/>
    </row>
    <row r="824" spans="1:19" s="589" customFormat="1" ht="15" customHeight="1">
      <c r="A824" s="663"/>
      <c r="B824" s="667"/>
      <c r="C824" s="574"/>
      <c r="D824" s="40"/>
      <c r="E824" s="337" t="s">
        <v>526</v>
      </c>
      <c r="F824" s="2714" cm="1">
        <f t="array" ref="F824:M825">F766:M767*0.8</f>
        <v>0</v>
      </c>
      <c r="G824" s="2714">
        <v>8.0370223198154664E-2</v>
      </c>
      <c r="H824" s="2714">
        <v>6.8270034200047083E-2</v>
      </c>
      <c r="I824" s="2714">
        <v>5.4849796710489687E-2</v>
      </c>
      <c r="J824" s="2714">
        <v>4.4223166207114487E-2</v>
      </c>
      <c r="K824" s="2714">
        <v>4.2610822210810223E-2</v>
      </c>
      <c r="L824" s="2714">
        <v>4.3548786174129654E-2</v>
      </c>
      <c r="M824" s="2735">
        <v>4.5592362096020314E-2</v>
      </c>
      <c r="N824" s="40"/>
      <c r="O824" s="574"/>
      <c r="P824" s="574"/>
      <c r="Q824" s="574"/>
      <c r="R824" s="574"/>
    </row>
    <row r="825" spans="1:19" s="589" customFormat="1" ht="15" customHeight="1">
      <c r="A825" s="663"/>
      <c r="B825" s="667"/>
      <c r="C825" s="574"/>
      <c r="D825" s="40"/>
      <c r="E825" s="32" t="s">
        <v>601</v>
      </c>
      <c r="F825" s="2715">
        <v>0</v>
      </c>
      <c r="G825" s="2715">
        <v>0</v>
      </c>
      <c r="H825" s="2715">
        <v>0</v>
      </c>
      <c r="I825" s="2715">
        <v>0</v>
      </c>
      <c r="J825" s="2715">
        <v>0</v>
      </c>
      <c r="K825" s="2715">
        <v>0</v>
      </c>
      <c r="L825" s="2715">
        <v>0</v>
      </c>
      <c r="M825" s="2737">
        <v>0</v>
      </c>
      <c r="N825" s="40"/>
      <c r="O825" s="574"/>
      <c r="P825" s="574"/>
      <c r="Q825" s="574"/>
    </row>
    <row r="826" spans="1:19" s="589" customFormat="1" ht="15" customHeight="1">
      <c r="A826" s="663"/>
      <c r="B826" s="667"/>
      <c r="C826" s="574"/>
      <c r="D826" s="40"/>
      <c r="E826" s="30"/>
      <c r="F826" s="2714"/>
      <c r="G826" s="2714"/>
      <c r="H826" s="2714"/>
      <c r="I826" s="2714"/>
      <c r="J826" s="2714"/>
      <c r="K826" s="2714"/>
      <c r="L826" s="2714"/>
      <c r="M826" s="2738"/>
      <c r="N826" s="40"/>
      <c r="O826" s="574"/>
      <c r="P826" s="574"/>
      <c r="Q826" s="574"/>
    </row>
    <row r="827" spans="1:19" s="589" customFormat="1" ht="15" customHeight="1">
      <c r="A827" s="663"/>
      <c r="B827" s="667"/>
      <c r="C827" s="574"/>
      <c r="D827" s="40"/>
      <c r="E827" s="2677" t="s">
        <v>338</v>
      </c>
      <c r="F827" s="2759">
        <f t="shared" ref="F827:M827" si="39">F774+SUM(F778:F784)+SUM(F788:F794)+SUM(F798:F800)+SUM(F804:F810)+SUM(F814:F820)+SUM(F824:F825)</f>
        <v>0</v>
      </c>
      <c r="G827" s="2759">
        <f t="shared" si="39"/>
        <v>14557.597821581852</v>
      </c>
      <c r="H827" s="2759">
        <f t="shared" si="39"/>
        <v>12248.648215264573</v>
      </c>
      <c r="I827" s="2759">
        <f t="shared" si="39"/>
        <v>10452.882437322498</v>
      </c>
      <c r="J827" s="2759">
        <f t="shared" si="39"/>
        <v>8924.4871922251205</v>
      </c>
      <c r="K827" s="2759">
        <f t="shared" si="39"/>
        <v>8900.7729686845905</v>
      </c>
      <c r="L827" s="2759">
        <f t="shared" si="39"/>
        <v>9292.3868586931403</v>
      </c>
      <c r="M827" s="2759">
        <f t="shared" si="39"/>
        <v>9883.7652606581178</v>
      </c>
      <c r="N827" s="40"/>
      <c r="O827" s="574"/>
      <c r="P827" s="574"/>
      <c r="Q827" s="574"/>
    </row>
    <row r="828" spans="1:19" s="589" customFormat="1" ht="15" customHeight="1">
      <c r="A828" s="663"/>
      <c r="B828" s="667"/>
      <c r="C828" s="574"/>
      <c r="D828" s="40"/>
      <c r="E828" s="30"/>
      <c r="F828" s="2714"/>
      <c r="G828" s="2714"/>
      <c r="H828" s="2714"/>
      <c r="I828" s="2714"/>
      <c r="J828" s="2714"/>
      <c r="K828" s="2714"/>
      <c r="L828" s="2714"/>
      <c r="M828" s="2738"/>
      <c r="N828" s="40"/>
      <c r="O828" s="574"/>
      <c r="P828" s="574"/>
      <c r="Q828" s="574"/>
    </row>
    <row r="829" spans="1:19" s="589" customFormat="1" ht="15" customHeight="1">
      <c r="A829" s="663"/>
      <c r="B829" s="667"/>
      <c r="C829" s="574"/>
      <c r="D829" s="40"/>
      <c r="E829" s="23" t="s">
        <v>2288</v>
      </c>
      <c r="F829" s="2730"/>
      <c r="G829" s="2730"/>
      <c r="H829" s="2730"/>
      <c r="I829" s="2730"/>
      <c r="J829" s="2730"/>
      <c r="K829" s="2730"/>
      <c r="L829" s="2730"/>
      <c r="M829" s="2730"/>
      <c r="N829" s="40"/>
      <c r="O829" s="574"/>
      <c r="P829" s="574"/>
      <c r="Q829" s="574"/>
    </row>
    <row r="830" spans="1:19" s="589" customFormat="1" ht="15" customHeight="1">
      <c r="A830" s="663"/>
      <c r="B830" s="667"/>
      <c r="C830" s="574"/>
      <c r="D830" s="40"/>
      <c r="E830" s="340"/>
      <c r="F830" s="2722"/>
      <c r="G830" s="2722"/>
      <c r="H830" s="2722"/>
      <c r="I830" s="2722"/>
      <c r="J830" s="2722"/>
      <c r="K830" s="2722"/>
      <c r="L830" s="2722"/>
      <c r="M830" s="2723" t="s">
        <v>803</v>
      </c>
      <c r="N830" s="40"/>
      <c r="O830" s="574"/>
      <c r="P830" s="574"/>
      <c r="Q830" s="574"/>
    </row>
    <row r="831" spans="1:19" s="589" customFormat="1" ht="15" customHeight="1">
      <c r="A831" s="663"/>
      <c r="B831" s="667"/>
      <c r="C831" s="574"/>
      <c r="D831" s="40"/>
      <c r="E831" s="28" t="s">
        <v>859</v>
      </c>
      <c r="F831" s="2724">
        <v>2018</v>
      </c>
      <c r="G831" s="2724">
        <v>2020</v>
      </c>
      <c r="H831" s="2724">
        <v>2025</v>
      </c>
      <c r="I831" s="2724">
        <v>2030</v>
      </c>
      <c r="J831" s="2724">
        <v>2035</v>
      </c>
      <c r="K831" s="2724">
        <v>2040</v>
      </c>
      <c r="L831" s="2724">
        <v>2045</v>
      </c>
      <c r="M831" s="2724">
        <v>2050</v>
      </c>
      <c r="N831" s="40"/>
      <c r="O831" s="574"/>
      <c r="P831" s="574"/>
      <c r="Q831" s="574"/>
      <c r="R831" s="580"/>
      <c r="S831" s="574"/>
    </row>
    <row r="832" spans="1:19" s="589" customFormat="1" ht="15" customHeight="1">
      <c r="A832" s="663"/>
      <c r="B832" s="667"/>
      <c r="C832" s="574"/>
      <c r="D832" s="40"/>
      <c r="E832" s="279" t="s">
        <v>887</v>
      </c>
      <c r="F832" s="2715" cm="1">
        <f t="array" ref="F832:M832">F716:M716*0.7</f>
        <v>0</v>
      </c>
      <c r="G832" s="2731">
        <v>6926.6127800846843</v>
      </c>
      <c r="H832" s="2731">
        <v>6007.1042849729129</v>
      </c>
      <c r="I832" s="2731">
        <v>5045.6775881495687</v>
      </c>
      <c r="J832" s="2731">
        <v>4285.8014099451984</v>
      </c>
      <c r="K832" s="2731">
        <v>4234.7853151807121</v>
      </c>
      <c r="L832" s="2731">
        <v>4386.8148610198668</v>
      </c>
      <c r="M832" s="2732">
        <v>4629.7997508243898</v>
      </c>
      <c r="N832" s="40"/>
      <c r="O832" s="574"/>
      <c r="P832" s="574"/>
      <c r="Q832" s="574"/>
      <c r="R832" s="580"/>
      <c r="S832" s="574"/>
    </row>
    <row r="833" spans="1:28" s="589" customFormat="1" ht="15" customHeight="1">
      <c r="A833" s="663"/>
      <c r="B833" s="667"/>
      <c r="C833" s="574"/>
      <c r="D833" s="40"/>
      <c r="E833" s="30"/>
      <c r="F833" s="1511"/>
      <c r="G833" s="1511"/>
      <c r="H833" s="1511"/>
      <c r="I833" s="1511"/>
      <c r="J833" s="1511"/>
      <c r="K833" s="1511"/>
      <c r="L833" s="1511"/>
      <c r="M833" s="1511"/>
      <c r="N833" s="40"/>
      <c r="O833" s="574"/>
      <c r="P833" s="574"/>
      <c r="Q833" s="574"/>
      <c r="R833" s="580"/>
      <c r="S833" s="574"/>
    </row>
    <row r="834" spans="1:28" s="589" customFormat="1" ht="15" customHeight="1">
      <c r="A834" s="663"/>
      <c r="B834" s="667"/>
      <c r="C834" s="574"/>
      <c r="D834" s="40"/>
      <c r="E834" s="340" t="s">
        <v>2249</v>
      </c>
      <c r="F834" s="2722"/>
      <c r="G834" s="2722"/>
      <c r="H834" s="2722"/>
      <c r="I834" s="2722"/>
      <c r="J834" s="2722"/>
      <c r="K834" s="2722"/>
      <c r="L834" s="2722"/>
      <c r="M834" s="2723" t="s">
        <v>803</v>
      </c>
      <c r="N834" s="40"/>
      <c r="O834" s="574"/>
      <c r="P834" s="574"/>
      <c r="Q834" s="574"/>
      <c r="R834" s="574"/>
      <c r="S834" s="574"/>
    </row>
    <row r="835" spans="1:28" s="589" customFormat="1" ht="15" customHeight="1">
      <c r="A835" s="663"/>
      <c r="B835" s="667"/>
      <c r="C835" s="574"/>
      <c r="D835" s="40"/>
      <c r="E835" s="28" t="s">
        <v>859</v>
      </c>
      <c r="F835" s="2724">
        <v>2018</v>
      </c>
      <c r="G835" s="2724">
        <v>2020</v>
      </c>
      <c r="H835" s="2724">
        <v>2025</v>
      </c>
      <c r="I835" s="2724">
        <v>2030</v>
      </c>
      <c r="J835" s="2724">
        <v>2035</v>
      </c>
      <c r="K835" s="2724">
        <v>2040</v>
      </c>
      <c r="L835" s="2724">
        <v>2045</v>
      </c>
      <c r="M835" s="2724">
        <v>2050</v>
      </c>
      <c r="N835" s="40"/>
      <c r="O835" s="574"/>
      <c r="P835" s="574"/>
      <c r="Q835" s="574"/>
      <c r="R835" s="574"/>
      <c r="S835" s="574"/>
    </row>
    <row r="836" spans="1:28" s="589" customFormat="1" ht="15" customHeight="1">
      <c r="A836" s="663"/>
      <c r="B836" s="667"/>
      <c r="C836" s="574"/>
      <c r="D836" s="40"/>
      <c r="E836" s="30" t="s">
        <v>889</v>
      </c>
      <c r="F836" s="2714" cm="1">
        <f t="array" ref="F836:M842">F720:M726*0.7</f>
        <v>0</v>
      </c>
      <c r="G836" s="2714">
        <v>1346.1479340147978</v>
      </c>
      <c r="H836" s="2714">
        <v>205.95940754654518</v>
      </c>
      <c r="I836" s="2714">
        <v>276.58137131886474</v>
      </c>
      <c r="J836" s="2714">
        <v>541.72534547091311</v>
      </c>
      <c r="K836" s="2714">
        <v>658.46704183020563</v>
      </c>
      <c r="L836" s="2714">
        <v>740.21320079753127</v>
      </c>
      <c r="M836" s="2733">
        <v>800.73551624778645</v>
      </c>
      <c r="N836" s="40"/>
      <c r="O836" s="574"/>
      <c r="P836" s="574"/>
      <c r="Q836" s="574"/>
      <c r="R836" s="574"/>
      <c r="S836" s="574"/>
    </row>
    <row r="837" spans="1:28" s="589" customFormat="1" ht="15" customHeight="1">
      <c r="A837" s="663"/>
      <c r="B837" s="667"/>
      <c r="C837" s="574"/>
      <c r="D837" s="40"/>
      <c r="E837" s="30" t="s">
        <v>2257</v>
      </c>
      <c r="F837" s="2714">
        <v>0</v>
      </c>
      <c r="G837" s="2714">
        <v>74.799374754997785</v>
      </c>
      <c r="H837" s="2714">
        <v>33.205969895606358</v>
      </c>
      <c r="I837" s="2714">
        <v>29.355676706630486</v>
      </c>
      <c r="J837" s="2714">
        <v>26.284834963580835</v>
      </c>
      <c r="K837" s="2714">
        <v>26.805166093082381</v>
      </c>
      <c r="L837" s="2714">
        <v>28.416967038091357</v>
      </c>
      <c r="M837" s="2733">
        <v>30.573750019063979</v>
      </c>
      <c r="N837" s="40"/>
      <c r="O837" s="574"/>
      <c r="P837" s="574"/>
      <c r="Q837" s="574"/>
    </row>
    <row r="838" spans="1:28" s="589" customFormat="1" ht="15" customHeight="1">
      <c r="A838" s="663"/>
      <c r="B838" s="667"/>
      <c r="C838" s="574"/>
      <c r="D838" s="40"/>
      <c r="E838" s="30" t="s">
        <v>2250</v>
      </c>
      <c r="F838" s="2714">
        <v>0</v>
      </c>
      <c r="G838" s="2714">
        <v>0</v>
      </c>
      <c r="H838" s="2714">
        <v>0</v>
      </c>
      <c r="I838" s="2714">
        <v>0</v>
      </c>
      <c r="J838" s="2714">
        <v>0</v>
      </c>
      <c r="K838" s="2714">
        <v>0</v>
      </c>
      <c r="L838" s="2714">
        <v>0</v>
      </c>
      <c r="M838" s="2733">
        <v>0</v>
      </c>
      <c r="N838" s="40"/>
      <c r="O838" s="574"/>
      <c r="P838" s="574"/>
      <c r="Q838" s="574"/>
    </row>
    <row r="839" spans="1:28" s="589" customFormat="1" ht="15" customHeight="1">
      <c r="A839" s="663"/>
      <c r="B839" s="667"/>
      <c r="C839" s="574"/>
      <c r="D839" s="40"/>
      <c r="E839" s="30" t="s">
        <v>893</v>
      </c>
      <c r="F839" s="2714">
        <v>0</v>
      </c>
      <c r="G839" s="2714">
        <v>0</v>
      </c>
      <c r="H839" s="2714">
        <v>2.8547748929131225E-2</v>
      </c>
      <c r="I839" s="2714">
        <v>2.56939268208622E-2</v>
      </c>
      <c r="J839" s="2714">
        <v>2.3433283572040418E-2</v>
      </c>
      <c r="K839" s="2714">
        <v>2.4092390035908282E-2</v>
      </c>
      <c r="L839" s="2714">
        <v>2.5650300887830636E-2</v>
      </c>
      <c r="M839" s="2733">
        <v>2.7668215766335266E-2</v>
      </c>
      <c r="N839" s="40"/>
      <c r="O839" s="574"/>
      <c r="P839" s="574"/>
      <c r="Q839" s="574"/>
    </row>
    <row r="840" spans="1:28" s="589" customFormat="1" ht="15" customHeight="1">
      <c r="A840" s="663"/>
      <c r="B840" s="667"/>
      <c r="C840" s="574"/>
      <c r="D840" s="40"/>
      <c r="E840" s="30" t="s">
        <v>498</v>
      </c>
      <c r="F840" s="2714">
        <v>0</v>
      </c>
      <c r="G840" s="2714">
        <v>0</v>
      </c>
      <c r="H840" s="2714">
        <v>0</v>
      </c>
      <c r="I840" s="2714">
        <v>0</v>
      </c>
      <c r="J840" s="2714">
        <v>0</v>
      </c>
      <c r="K840" s="2714">
        <v>0</v>
      </c>
      <c r="L840" s="2714">
        <v>0</v>
      </c>
      <c r="M840" s="2733">
        <v>0</v>
      </c>
      <c r="N840" s="40"/>
      <c r="O840" s="574"/>
      <c r="P840" s="580"/>
      <c r="Q840" s="574"/>
    </row>
    <row r="841" spans="1:28" s="589" customFormat="1" ht="15" customHeight="1">
      <c r="A841" s="663"/>
      <c r="B841" s="667"/>
      <c r="C841" s="574"/>
      <c r="D841" s="40"/>
      <c r="E841" s="30" t="s">
        <v>894</v>
      </c>
      <c r="F841" s="2714">
        <v>0</v>
      </c>
      <c r="G841" s="2714">
        <v>230.68771393431709</v>
      </c>
      <c r="H841" s="2714">
        <v>1120.7906964059764</v>
      </c>
      <c r="I841" s="2714">
        <v>900.62433107913728</v>
      </c>
      <c r="J841" s="2714">
        <v>516.08446069114939</v>
      </c>
      <c r="K841" s="2714">
        <v>421.57309316998055</v>
      </c>
      <c r="L841" s="2714">
        <v>405.25914276427574</v>
      </c>
      <c r="M841" s="2733">
        <v>431.80982746436428</v>
      </c>
      <c r="N841" s="40"/>
      <c r="O841" s="574"/>
      <c r="P841" s="574"/>
      <c r="Q841" s="574"/>
    </row>
    <row r="842" spans="1:28" s="589" customFormat="1" ht="15" customHeight="1">
      <c r="A842" s="663"/>
      <c r="B842" s="667"/>
      <c r="C842" s="574"/>
      <c r="D842" s="40"/>
      <c r="E842" s="32" t="s">
        <v>603</v>
      </c>
      <c r="F842" s="2715">
        <v>0</v>
      </c>
      <c r="G842" s="2715">
        <v>0</v>
      </c>
      <c r="H842" s="2715">
        <v>0</v>
      </c>
      <c r="I842" s="2715">
        <v>0</v>
      </c>
      <c r="J842" s="2715">
        <v>0</v>
      </c>
      <c r="K842" s="2715">
        <v>0</v>
      </c>
      <c r="L842" s="2715">
        <v>0</v>
      </c>
      <c r="M842" s="2732">
        <v>0</v>
      </c>
      <c r="N842" s="40"/>
      <c r="O842" s="574"/>
      <c r="P842" s="574"/>
      <c r="Q842" s="574"/>
      <c r="R842" s="580"/>
      <c r="S842" s="574"/>
    </row>
    <row r="843" spans="1:28" s="574" customFormat="1" ht="15" customHeight="1">
      <c r="A843" s="663"/>
      <c r="B843" s="667"/>
      <c r="C843" s="598"/>
      <c r="D843" s="40"/>
      <c r="E843" s="30"/>
      <c r="F843" s="1511"/>
      <c r="G843" s="1511"/>
      <c r="H843" s="1511"/>
      <c r="I843" s="1511"/>
      <c r="J843" s="1511"/>
      <c r="K843" s="1511"/>
      <c r="L843" s="1511"/>
      <c r="M843" s="1511"/>
      <c r="N843" s="40"/>
      <c r="T843" s="590"/>
      <c r="U843" s="590"/>
      <c r="V843" s="590"/>
      <c r="W843" s="590"/>
      <c r="X843" s="590"/>
      <c r="Y843" s="590"/>
      <c r="Z843" s="590"/>
      <c r="AA843" s="590"/>
      <c r="AB843" s="590"/>
    </row>
    <row r="844" spans="1:28" ht="15" customHeight="1">
      <c r="C844" s="598"/>
      <c r="D844" s="40"/>
      <c r="E844" s="340" t="s">
        <v>895</v>
      </c>
      <c r="F844" s="2722"/>
      <c r="G844" s="2722"/>
      <c r="H844" s="2722"/>
      <c r="I844" s="2722"/>
      <c r="J844" s="2722"/>
      <c r="K844" s="2722"/>
      <c r="L844" s="2722"/>
      <c r="M844" s="2723" t="s">
        <v>803</v>
      </c>
      <c r="N844" s="40"/>
      <c r="O844" s="574"/>
      <c r="P844" s="574"/>
      <c r="Q844" s="574"/>
    </row>
    <row r="845" spans="1:28" ht="15" customHeight="1">
      <c r="C845" s="598"/>
      <c r="D845" s="40"/>
      <c r="E845" s="28" t="s">
        <v>859</v>
      </c>
      <c r="F845" s="2724">
        <v>2018</v>
      </c>
      <c r="G845" s="2724">
        <v>2020</v>
      </c>
      <c r="H845" s="2724">
        <v>2025</v>
      </c>
      <c r="I845" s="2724">
        <v>2030</v>
      </c>
      <c r="J845" s="2724">
        <v>2035</v>
      </c>
      <c r="K845" s="2724">
        <v>2040</v>
      </c>
      <c r="L845" s="2724">
        <v>2045</v>
      </c>
      <c r="M845" s="2724">
        <v>2050</v>
      </c>
      <c r="N845" s="40"/>
      <c r="O845" s="574"/>
      <c r="P845" s="574"/>
      <c r="Q845" s="574"/>
    </row>
    <row r="846" spans="1:28" ht="15" customHeight="1">
      <c r="C846" s="598"/>
      <c r="D846" s="40"/>
      <c r="E846" s="30" t="s">
        <v>889</v>
      </c>
      <c r="F846" s="2714" cm="1">
        <f t="array" ref="F846:M852">F730:M736*0.7</f>
        <v>0</v>
      </c>
      <c r="G846" s="2714">
        <v>79.385167299224491</v>
      </c>
      <c r="H846" s="2714">
        <v>74.641323451541041</v>
      </c>
      <c r="I846" s="2714">
        <v>0</v>
      </c>
      <c r="J846" s="2714">
        <v>18.76863967506559</v>
      </c>
      <c r="K846" s="2714">
        <v>40.721923608332524</v>
      </c>
      <c r="L846" s="2714">
        <v>44.776984432707089</v>
      </c>
      <c r="M846" s="2733">
        <v>51.782824037257207</v>
      </c>
      <c r="N846" s="40"/>
      <c r="O846" s="574"/>
      <c r="P846" s="574"/>
      <c r="Q846" s="574"/>
    </row>
    <row r="847" spans="1:28" ht="15" customHeight="1">
      <c r="C847" s="598"/>
      <c r="D847" s="40"/>
      <c r="E847" s="30" t="s">
        <v>2257</v>
      </c>
      <c r="F847" s="2714">
        <v>0</v>
      </c>
      <c r="G847" s="2714">
        <v>8.188291009975944E-2</v>
      </c>
      <c r="H847" s="2714">
        <v>7.677723177602104E-2</v>
      </c>
      <c r="I847" s="2714">
        <v>6.5478138810980843E-2</v>
      </c>
      <c r="J847" s="2714">
        <v>5.9566729397221643E-2</v>
      </c>
      <c r="K847" s="2714">
        <v>6.5523118121822557E-2</v>
      </c>
      <c r="L847" s="2714">
        <v>7.0442679364957947E-2</v>
      </c>
      <c r="M847" s="2733">
        <v>8.1234080457450134E-2</v>
      </c>
      <c r="N847" s="40"/>
      <c r="O847" s="580"/>
      <c r="P847" s="574"/>
      <c r="Q847" s="589"/>
    </row>
    <row r="848" spans="1:28" ht="15" customHeight="1">
      <c r="C848" s="598"/>
      <c r="D848" s="40"/>
      <c r="E848" s="30" t="s">
        <v>2250</v>
      </c>
      <c r="F848" s="2714">
        <v>0</v>
      </c>
      <c r="G848" s="2714">
        <v>0</v>
      </c>
      <c r="H848" s="2714">
        <v>0</v>
      </c>
      <c r="I848" s="2714">
        <v>0</v>
      </c>
      <c r="J848" s="2714">
        <v>0</v>
      </c>
      <c r="K848" s="2714">
        <v>0</v>
      </c>
      <c r="L848" s="2714">
        <v>0</v>
      </c>
      <c r="M848" s="2733">
        <v>0</v>
      </c>
      <c r="N848" s="40"/>
      <c r="O848" s="580"/>
      <c r="P848" s="574"/>
      <c r="Q848" s="589"/>
    </row>
    <row r="849" spans="3:17" ht="15" customHeight="1">
      <c r="C849" s="598"/>
      <c r="D849" s="40"/>
      <c r="E849" s="30" t="s">
        <v>893</v>
      </c>
      <c r="F849" s="2714">
        <v>0</v>
      </c>
      <c r="G849" s="2714">
        <v>8.6118561673706705E-3</v>
      </c>
      <c r="H849" s="2714">
        <v>8.1481041549209578E-3</v>
      </c>
      <c r="I849" s="2714">
        <v>7.1255010905238178E-3</v>
      </c>
      <c r="J849" s="2714">
        <v>6.6200030306459217E-3</v>
      </c>
      <c r="K849" s="2714">
        <v>7.2889697877102583E-3</v>
      </c>
      <c r="L849" s="2714">
        <v>7.861353481523661E-3</v>
      </c>
      <c r="M849" s="2733">
        <v>9.0261243357055588E-3</v>
      </c>
      <c r="N849" s="40"/>
      <c r="O849" s="574"/>
      <c r="P849" s="574"/>
      <c r="Q849" s="589"/>
    </row>
    <row r="850" spans="3:17" ht="15" customHeight="1">
      <c r="C850" s="598"/>
      <c r="D850" s="40"/>
      <c r="E850" s="30" t="s">
        <v>498</v>
      </c>
      <c r="F850" s="2714">
        <v>0</v>
      </c>
      <c r="G850" s="2714">
        <v>0</v>
      </c>
      <c r="H850" s="2714">
        <v>0</v>
      </c>
      <c r="I850" s="2714">
        <v>0</v>
      </c>
      <c r="J850" s="2714">
        <v>0</v>
      </c>
      <c r="K850" s="2714">
        <v>0</v>
      </c>
      <c r="L850" s="2714">
        <v>0</v>
      </c>
      <c r="M850" s="2733">
        <v>0</v>
      </c>
      <c r="N850" s="40"/>
      <c r="O850" s="574"/>
      <c r="P850" s="574"/>
      <c r="Q850" s="589"/>
    </row>
    <row r="851" spans="3:17" ht="15" customHeight="1">
      <c r="C851" s="598"/>
      <c r="D851" s="40"/>
      <c r="E851" s="30" t="s">
        <v>894</v>
      </c>
      <c r="F851" s="2714">
        <v>0</v>
      </c>
      <c r="G851" s="2714">
        <v>0.6241787416491954</v>
      </c>
      <c r="H851" s="2714">
        <v>6.6798430973929554E-2</v>
      </c>
      <c r="I851" s="2714">
        <v>115.56664784817606</v>
      </c>
      <c r="J851" s="2714">
        <v>39.427849607633362</v>
      </c>
      <c r="K851" s="2714">
        <v>23.565411979714582</v>
      </c>
      <c r="L851" s="2714">
        <v>24.312561461505251</v>
      </c>
      <c r="M851" s="2733">
        <v>27.953001842062271</v>
      </c>
      <c r="N851" s="40"/>
      <c r="O851" s="574"/>
      <c r="P851" s="574"/>
      <c r="Q851" s="589"/>
    </row>
    <row r="852" spans="3:17" ht="15" customHeight="1">
      <c r="C852" s="598"/>
      <c r="D852" s="40"/>
      <c r="E852" s="32" t="s">
        <v>603</v>
      </c>
      <c r="F852" s="2715">
        <v>0</v>
      </c>
      <c r="G852" s="2715">
        <v>0</v>
      </c>
      <c r="H852" s="2715">
        <v>0</v>
      </c>
      <c r="I852" s="2715">
        <v>0</v>
      </c>
      <c r="J852" s="2715">
        <v>0</v>
      </c>
      <c r="K852" s="2715">
        <v>0</v>
      </c>
      <c r="L852" s="2715">
        <v>0</v>
      </c>
      <c r="M852" s="2732">
        <v>0</v>
      </c>
      <c r="N852" s="40"/>
      <c r="O852" s="574"/>
      <c r="P852" s="574"/>
      <c r="Q852" s="574"/>
    </row>
    <row r="853" spans="3:17" ht="15" customHeight="1">
      <c r="C853" s="598"/>
      <c r="D853" s="40"/>
      <c r="E853" s="30"/>
      <c r="F853" s="1511"/>
      <c r="G853" s="1511"/>
      <c r="H853" s="1511"/>
      <c r="I853" s="1511"/>
      <c r="J853" s="1511"/>
      <c r="K853" s="1511"/>
      <c r="L853" s="1511"/>
      <c r="M853" s="1511"/>
      <c r="N853" s="40"/>
      <c r="O853" s="574"/>
      <c r="P853" s="574"/>
      <c r="Q853" s="574"/>
    </row>
    <row r="854" spans="3:17" ht="15" customHeight="1">
      <c r="C854" s="574"/>
      <c r="D854" s="40"/>
      <c r="E854" s="340" t="s">
        <v>896</v>
      </c>
      <c r="F854" s="2722"/>
      <c r="G854" s="2722"/>
      <c r="H854" s="2722"/>
      <c r="I854" s="2722"/>
      <c r="J854" s="2722"/>
      <c r="K854" s="2722"/>
      <c r="L854" s="2722"/>
      <c r="M854" s="2723" t="s">
        <v>803</v>
      </c>
      <c r="N854" s="40"/>
    </row>
    <row r="855" spans="3:17" ht="15" customHeight="1">
      <c r="C855" s="574"/>
      <c r="D855" s="40"/>
      <c r="E855" s="28" t="s">
        <v>859</v>
      </c>
      <c r="F855" s="2724">
        <v>2018</v>
      </c>
      <c r="G855" s="2724">
        <v>2020</v>
      </c>
      <c r="H855" s="2724">
        <v>2025</v>
      </c>
      <c r="I855" s="2724">
        <v>2030</v>
      </c>
      <c r="J855" s="2724">
        <v>2035</v>
      </c>
      <c r="K855" s="2724">
        <v>2040</v>
      </c>
      <c r="L855" s="2724">
        <v>2045</v>
      </c>
      <c r="M855" s="2724">
        <v>2050</v>
      </c>
      <c r="N855" s="40"/>
    </row>
    <row r="856" spans="3:17" ht="15" customHeight="1">
      <c r="D856" s="40"/>
      <c r="E856" s="30" t="s">
        <v>897</v>
      </c>
      <c r="F856" s="2714" cm="1">
        <f t="array" ref="F856:M858">F740:M742*0.7</f>
        <v>0</v>
      </c>
      <c r="G856" s="2714">
        <v>2356.6367620345432</v>
      </c>
      <c r="H856" s="2714">
        <v>1891.3037801052087</v>
      </c>
      <c r="I856" s="2714">
        <v>1602.3953419185739</v>
      </c>
      <c r="J856" s="2714">
        <v>1369.6163272873055</v>
      </c>
      <c r="K856" s="2714">
        <v>1366.9504544401027</v>
      </c>
      <c r="L856" s="2714">
        <v>1432.484097495616</v>
      </c>
      <c r="M856" s="2733">
        <v>1530.3587327195664</v>
      </c>
      <c r="N856" s="40"/>
    </row>
    <row r="857" spans="3:17" ht="15" customHeight="1">
      <c r="D857" s="40"/>
      <c r="E857" s="30" t="s">
        <v>898</v>
      </c>
      <c r="F857" s="2714">
        <v>0</v>
      </c>
      <c r="G857" s="2714">
        <v>1708.8663713318615</v>
      </c>
      <c r="H857" s="2714">
        <v>1372.2639821400239</v>
      </c>
      <c r="I857" s="2714">
        <v>1163.7818195894522</v>
      </c>
      <c r="J857" s="2714">
        <v>995.83307672071032</v>
      </c>
      <c r="K857" s="2714">
        <v>994.42770420132535</v>
      </c>
      <c r="L857" s="2714">
        <v>1042.406740126949</v>
      </c>
      <c r="M857" s="2733">
        <v>1113.8299757975597</v>
      </c>
      <c r="N857" s="40"/>
    </row>
    <row r="858" spans="3:17" ht="15" customHeight="1">
      <c r="D858" s="40"/>
      <c r="E858" s="32" t="s">
        <v>2262</v>
      </c>
      <c r="F858" s="2715">
        <v>0</v>
      </c>
      <c r="G858" s="2715">
        <v>0</v>
      </c>
      <c r="H858" s="2715">
        <v>0</v>
      </c>
      <c r="I858" s="2715">
        <v>0</v>
      </c>
      <c r="J858" s="2715">
        <v>0</v>
      </c>
      <c r="K858" s="2715">
        <v>0</v>
      </c>
      <c r="L858" s="2715">
        <v>0</v>
      </c>
      <c r="M858" s="2734">
        <v>0</v>
      </c>
      <c r="N858" s="40"/>
    </row>
    <row r="859" spans="3:17" ht="15" customHeight="1">
      <c r="D859" s="40"/>
      <c r="E859" s="30"/>
      <c r="F859" s="1511"/>
      <c r="G859" s="1511"/>
      <c r="H859" s="1511"/>
      <c r="I859" s="1511"/>
      <c r="J859" s="1511"/>
      <c r="K859" s="1511"/>
      <c r="L859" s="1511"/>
      <c r="M859" s="1511"/>
      <c r="N859" s="40"/>
    </row>
    <row r="860" spans="3:17" ht="15" customHeight="1">
      <c r="D860" s="40"/>
      <c r="E860" s="340" t="s">
        <v>899</v>
      </c>
      <c r="F860" s="2722"/>
      <c r="G860" s="2722"/>
      <c r="H860" s="2722"/>
      <c r="I860" s="2722"/>
      <c r="J860" s="2722"/>
      <c r="K860" s="2722"/>
      <c r="L860" s="2722"/>
      <c r="M860" s="2723" t="s">
        <v>803</v>
      </c>
      <c r="N860" s="40"/>
    </row>
    <row r="861" spans="3:17" ht="15" customHeight="1">
      <c r="D861" s="40"/>
      <c r="E861" s="28" t="s">
        <v>859</v>
      </c>
      <c r="F861" s="2724">
        <v>2018</v>
      </c>
      <c r="G861" s="2724">
        <v>2020</v>
      </c>
      <c r="H861" s="2724">
        <v>2025</v>
      </c>
      <c r="I861" s="2724">
        <v>2030</v>
      </c>
      <c r="J861" s="2724">
        <v>2035</v>
      </c>
      <c r="K861" s="2724">
        <v>2040</v>
      </c>
      <c r="L861" s="2724">
        <v>2045</v>
      </c>
      <c r="M861" s="2724">
        <v>2050</v>
      </c>
      <c r="N861" s="40"/>
    </row>
    <row r="862" spans="3:17" ht="15" customHeight="1">
      <c r="D862" s="40"/>
      <c r="E862" s="30" t="s">
        <v>889</v>
      </c>
      <c r="F862" s="2714" cm="1">
        <f t="array" ref="F862:M868">F746:M752*0.7</f>
        <v>0</v>
      </c>
      <c r="G862" s="2714">
        <v>1.6335645249386768</v>
      </c>
      <c r="H862" s="2714">
        <v>0.50954608464607143</v>
      </c>
      <c r="I862" s="2714">
        <v>0.32314300466737961</v>
      </c>
      <c r="J862" s="2714">
        <v>0.24823562389395912</v>
      </c>
      <c r="K862" s="2714">
        <v>0.21093107387415999</v>
      </c>
      <c r="L862" s="2714">
        <v>0.1835700756564182</v>
      </c>
      <c r="M862" s="2733">
        <v>0.16598204737654051</v>
      </c>
      <c r="N862" s="40"/>
    </row>
    <row r="863" spans="3:17" ht="15" customHeight="1">
      <c r="D863" s="40"/>
      <c r="E863" s="30" t="s">
        <v>2257</v>
      </c>
      <c r="F863" s="2714">
        <v>0</v>
      </c>
      <c r="G863" s="2714">
        <v>0.90498097583415116</v>
      </c>
      <c r="H863" s="2714">
        <v>2.7365173808098704</v>
      </c>
      <c r="I863" s="2714">
        <v>0.34696619484635643</v>
      </c>
      <c r="J863" s="2714">
        <v>-0.32226717388712406</v>
      </c>
      <c r="K863" s="2714">
        <v>-7.2725826100335844E-2</v>
      </c>
      <c r="L863" s="2714">
        <v>0.32122021687285962</v>
      </c>
      <c r="M863" s="2733">
        <v>0.5476666093164394</v>
      </c>
      <c r="N863" s="40"/>
    </row>
    <row r="864" spans="3:17" ht="15" customHeight="1">
      <c r="D864" s="40"/>
      <c r="E864" s="30" t="s">
        <v>2250</v>
      </c>
      <c r="F864" s="2714">
        <v>0</v>
      </c>
      <c r="G864" s="2714">
        <v>0</v>
      </c>
      <c r="H864" s="2714">
        <v>0</v>
      </c>
      <c r="I864" s="2714">
        <v>0</v>
      </c>
      <c r="J864" s="2714">
        <v>0</v>
      </c>
      <c r="K864" s="2714">
        <v>0</v>
      </c>
      <c r="L864" s="2714">
        <v>0</v>
      </c>
      <c r="M864" s="2733">
        <v>0</v>
      </c>
      <c r="N864" s="40"/>
    </row>
    <row r="865" spans="4:14" ht="15" customHeight="1">
      <c r="D865" s="40"/>
      <c r="E865" s="30" t="s">
        <v>893</v>
      </c>
      <c r="F865" s="2714">
        <v>0</v>
      </c>
      <c r="G865" s="2714">
        <v>1.963075822752671</v>
      </c>
      <c r="H865" s="2714">
        <v>1.5176067960867428</v>
      </c>
      <c r="I865" s="2714">
        <v>2.0115089708800005</v>
      </c>
      <c r="J865" s="2714">
        <v>2.6073034550352396</v>
      </c>
      <c r="K865" s="2714">
        <v>3.2662853871499582</v>
      </c>
      <c r="L865" s="2714">
        <v>3.9456697930329954</v>
      </c>
      <c r="M865" s="2733">
        <v>4.6488976822685864</v>
      </c>
      <c r="N865" s="40"/>
    </row>
    <row r="866" spans="4:14" ht="15" customHeight="1">
      <c r="D866" s="40"/>
      <c r="E866" s="30" t="s">
        <v>498</v>
      </c>
      <c r="F866" s="2714">
        <v>0</v>
      </c>
      <c r="G866" s="2714">
        <v>0</v>
      </c>
      <c r="H866" s="2714">
        <v>0</v>
      </c>
      <c r="I866" s="2714">
        <v>0</v>
      </c>
      <c r="J866" s="2714">
        <v>0</v>
      </c>
      <c r="K866" s="2714">
        <v>0</v>
      </c>
      <c r="L866" s="2714">
        <v>0</v>
      </c>
      <c r="M866" s="2733">
        <v>0</v>
      </c>
      <c r="N866" s="40"/>
    </row>
    <row r="867" spans="4:14" ht="15" customHeight="1">
      <c r="D867" s="40"/>
      <c r="E867" s="30" t="s">
        <v>894</v>
      </c>
      <c r="F867" s="2714">
        <v>0</v>
      </c>
      <c r="G867" s="2714">
        <v>0.17876476814956682</v>
      </c>
      <c r="H867" s="2714">
        <v>0.45317619921084085</v>
      </c>
      <c r="I867" s="2714">
        <v>2.1807375316420226</v>
      </c>
      <c r="J867" s="2714">
        <v>2.7347401076548703</v>
      </c>
      <c r="K867" s="2714">
        <v>2.5756228720678846</v>
      </c>
      <c r="L867" s="2714">
        <v>2.3513538348710377</v>
      </c>
      <c r="M867" s="2733">
        <v>2.3967299773396733</v>
      </c>
      <c r="N867" s="40"/>
    </row>
    <row r="868" spans="4:14" ht="15" customHeight="1">
      <c r="D868" s="40"/>
      <c r="E868" s="32" t="s">
        <v>603</v>
      </c>
      <c r="F868" s="2715">
        <v>0</v>
      </c>
      <c r="G868" s="2715">
        <v>0</v>
      </c>
      <c r="H868" s="2715">
        <v>0</v>
      </c>
      <c r="I868" s="2715">
        <v>0</v>
      </c>
      <c r="J868" s="2715">
        <v>0</v>
      </c>
      <c r="K868" s="2715">
        <v>0</v>
      </c>
      <c r="L868" s="2715">
        <v>0</v>
      </c>
      <c r="M868" s="2732">
        <v>0</v>
      </c>
      <c r="N868" s="40"/>
    </row>
    <row r="869" spans="4:14" ht="15" customHeight="1">
      <c r="D869" s="40"/>
      <c r="E869" s="35"/>
      <c r="F869" s="2728"/>
      <c r="G869" s="2728"/>
      <c r="H869" s="2728"/>
      <c r="I869" s="2728"/>
      <c r="J869" s="2728"/>
      <c r="K869" s="2728"/>
      <c r="L869" s="2728"/>
      <c r="M869" s="2728"/>
      <c r="N869" s="40"/>
    </row>
    <row r="870" spans="4:14" ht="15" customHeight="1">
      <c r="D870" s="40"/>
      <c r="E870" s="340" t="s">
        <v>900</v>
      </c>
      <c r="F870" s="2722"/>
      <c r="G870" s="2722"/>
      <c r="H870" s="2722"/>
      <c r="I870" s="2722"/>
      <c r="J870" s="2722"/>
      <c r="K870" s="2722"/>
      <c r="L870" s="2722"/>
      <c r="M870" s="2723" t="s">
        <v>803</v>
      </c>
      <c r="N870" s="40"/>
    </row>
    <row r="871" spans="4:14" ht="15" customHeight="1">
      <c r="D871" s="40"/>
      <c r="E871" s="28" t="s">
        <v>859</v>
      </c>
      <c r="F871" s="2724">
        <v>2018</v>
      </c>
      <c r="G871" s="2724">
        <v>2020</v>
      </c>
      <c r="H871" s="2724">
        <v>2025</v>
      </c>
      <c r="I871" s="2724">
        <v>2030</v>
      </c>
      <c r="J871" s="2724">
        <v>2035</v>
      </c>
      <c r="K871" s="2724">
        <v>2040</v>
      </c>
      <c r="L871" s="2724">
        <v>2045</v>
      </c>
      <c r="M871" s="2724">
        <v>2050</v>
      </c>
      <c r="N871" s="40"/>
    </row>
    <row r="872" spans="4:14" ht="15" customHeight="1">
      <c r="D872" s="40"/>
      <c r="E872" s="30" t="s">
        <v>889</v>
      </c>
      <c r="F872" s="2714" cm="1">
        <f t="array" ref="F872:M878">F756:M762*0.7</f>
        <v>0</v>
      </c>
      <c r="G872" s="2714">
        <v>0</v>
      </c>
      <c r="H872" s="2714">
        <v>0.6876788676828659</v>
      </c>
      <c r="I872" s="2714">
        <v>0.78530783302264251</v>
      </c>
      <c r="J872" s="2714">
        <v>0.59922797318544885</v>
      </c>
      <c r="K872" s="2714">
        <v>0.72762209356961793</v>
      </c>
      <c r="L872" s="2714">
        <v>0.65940772112547563</v>
      </c>
      <c r="M872" s="2735">
        <v>0.62548667061007113</v>
      </c>
      <c r="N872" s="40"/>
    </row>
    <row r="873" spans="4:14" ht="15" customHeight="1">
      <c r="D873" s="40"/>
      <c r="E873" s="30" t="s">
        <v>2257</v>
      </c>
      <c r="F873" s="2714">
        <v>0</v>
      </c>
      <c r="G873" s="2714">
        <v>9.0747133939538642</v>
      </c>
      <c r="H873" s="2714">
        <v>5.4828699129293668</v>
      </c>
      <c r="I873" s="2714">
        <v>3.0103300921478136</v>
      </c>
      <c r="J873" s="2714">
        <v>1.2951077902522292</v>
      </c>
      <c r="K873" s="2714">
        <v>0.45982128110305726</v>
      </c>
      <c r="L873" s="2714">
        <v>2.071129264831066</v>
      </c>
      <c r="M873" s="2735">
        <v>3.6301312769749394</v>
      </c>
      <c r="N873" s="40"/>
    </row>
    <row r="874" spans="4:14" ht="15" customHeight="1">
      <c r="D874" s="40"/>
      <c r="E874" s="30" t="s">
        <v>2250</v>
      </c>
      <c r="F874" s="2714">
        <v>0</v>
      </c>
      <c r="G874" s="2714">
        <v>0</v>
      </c>
      <c r="H874" s="2714">
        <v>0</v>
      </c>
      <c r="I874" s="2714">
        <v>0</v>
      </c>
      <c r="J874" s="2714">
        <v>0</v>
      </c>
      <c r="K874" s="2714">
        <v>0</v>
      </c>
      <c r="L874" s="2714">
        <v>0</v>
      </c>
      <c r="M874" s="2735">
        <v>0</v>
      </c>
      <c r="N874" s="40"/>
    </row>
    <row r="875" spans="4:14" ht="15" customHeight="1">
      <c r="D875" s="40"/>
      <c r="E875" s="30" t="s">
        <v>893</v>
      </c>
      <c r="F875" s="2714">
        <v>0</v>
      </c>
      <c r="G875" s="2714">
        <v>0</v>
      </c>
      <c r="H875" s="2714">
        <v>0.20133135800003035</v>
      </c>
      <c r="I875" s="2714">
        <v>1.1494413122677354</v>
      </c>
      <c r="J875" s="2714">
        <v>4.5719782725120259</v>
      </c>
      <c r="K875" s="2714">
        <v>9.2969108912516738</v>
      </c>
      <c r="L875" s="2714">
        <v>12.054743768324332</v>
      </c>
      <c r="M875" s="2735">
        <v>14.386420250807726</v>
      </c>
      <c r="N875" s="40"/>
    </row>
    <row r="876" spans="4:14" ht="15" customHeight="1">
      <c r="D876" s="40"/>
      <c r="E876" s="30" t="s">
        <v>498</v>
      </c>
      <c r="F876" s="2714">
        <v>0</v>
      </c>
      <c r="G876" s="2714">
        <v>0</v>
      </c>
      <c r="H876" s="2714">
        <v>0</v>
      </c>
      <c r="I876" s="2714">
        <v>0</v>
      </c>
      <c r="J876" s="2714">
        <v>0</v>
      </c>
      <c r="K876" s="2714">
        <v>0</v>
      </c>
      <c r="L876" s="2714">
        <v>0</v>
      </c>
      <c r="M876" s="2735">
        <v>0</v>
      </c>
      <c r="N876" s="40"/>
    </row>
    <row r="877" spans="4:14" ht="15" customHeight="1">
      <c r="D877" s="40"/>
      <c r="E877" s="30" t="s">
        <v>894</v>
      </c>
      <c r="F877" s="2714">
        <v>0</v>
      </c>
      <c r="G877" s="2714">
        <v>0.22189349085141197</v>
      </c>
      <c r="H877" s="2714">
        <v>0.46900944355912771</v>
      </c>
      <c r="I877" s="2714">
        <v>2.3356299684638713</v>
      </c>
      <c r="J877" s="2714">
        <v>3.5217075003448972</v>
      </c>
      <c r="K877" s="2714">
        <v>4.2815803752633368</v>
      </c>
      <c r="L877" s="2714">
        <v>4.4247920236026932</v>
      </c>
      <c r="M877" s="2735">
        <v>4.8920878717150389</v>
      </c>
      <c r="N877" s="40"/>
    </row>
    <row r="878" spans="4:14" ht="15" customHeight="1">
      <c r="D878" s="40"/>
      <c r="E878" s="32" t="s">
        <v>603</v>
      </c>
      <c r="F878" s="2715">
        <v>0</v>
      </c>
      <c r="G878" s="2715">
        <v>0</v>
      </c>
      <c r="H878" s="2715">
        <v>0</v>
      </c>
      <c r="I878" s="2715">
        <v>0</v>
      </c>
      <c r="J878" s="2715">
        <v>0</v>
      </c>
      <c r="K878" s="2715">
        <v>0</v>
      </c>
      <c r="L878" s="2715">
        <v>0</v>
      </c>
      <c r="M878" s="2736">
        <v>0</v>
      </c>
      <c r="N878" s="40"/>
    </row>
    <row r="879" spans="4:14" ht="15" customHeight="1">
      <c r="D879" s="40"/>
      <c r="E879" s="26"/>
      <c r="F879" s="788"/>
      <c r="G879" s="788"/>
      <c r="H879" s="788"/>
      <c r="I879" s="788"/>
      <c r="J879" s="788"/>
      <c r="K879" s="788"/>
      <c r="L879" s="788"/>
      <c r="M879" s="2728"/>
      <c r="N879" s="40"/>
    </row>
    <row r="880" spans="4:14" ht="15" customHeight="1">
      <c r="D880" s="40"/>
      <c r="E880" s="340" t="s">
        <v>2244</v>
      </c>
      <c r="F880" s="2722"/>
      <c r="G880" s="2722"/>
      <c r="H880" s="2722"/>
      <c r="I880" s="2722"/>
      <c r="J880" s="2722"/>
      <c r="K880" s="2722"/>
      <c r="L880" s="2722"/>
      <c r="M880" s="2723" t="s">
        <v>803</v>
      </c>
      <c r="N880" s="40"/>
    </row>
    <row r="881" spans="4:14" ht="15" customHeight="1">
      <c r="D881" s="40"/>
      <c r="E881" s="28" t="s">
        <v>859</v>
      </c>
      <c r="F881" s="2724">
        <v>2018</v>
      </c>
      <c r="G881" s="2724">
        <v>2020</v>
      </c>
      <c r="H881" s="2724">
        <v>2025</v>
      </c>
      <c r="I881" s="2724">
        <v>2030</v>
      </c>
      <c r="J881" s="2724">
        <v>2035</v>
      </c>
      <c r="K881" s="2724">
        <v>2040</v>
      </c>
      <c r="L881" s="2724">
        <v>2045</v>
      </c>
      <c r="M881" s="2724">
        <v>2050</v>
      </c>
      <c r="N881" s="40"/>
    </row>
    <row r="882" spans="4:14" ht="15" customHeight="1">
      <c r="D882" s="40"/>
      <c r="E882" s="337" t="s">
        <v>526</v>
      </c>
      <c r="F882" s="2714" cm="1">
        <f t="array" ref="F882:M883">F766:M767*0.7</f>
        <v>0</v>
      </c>
      <c r="G882" s="2714">
        <v>7.0323945298385315E-2</v>
      </c>
      <c r="H882" s="2714">
        <v>5.9736279925041193E-2</v>
      </c>
      <c r="I882" s="2714">
        <v>4.7993572121678471E-2</v>
      </c>
      <c r="J882" s="2714">
        <v>3.8695270431225171E-2</v>
      </c>
      <c r="K882" s="2714">
        <v>3.7284469434458935E-2</v>
      </c>
      <c r="L882" s="2714">
        <v>3.810518790236344E-2</v>
      </c>
      <c r="M882" s="2733">
        <v>3.989331683401777E-2</v>
      </c>
      <c r="N882" s="40"/>
    </row>
    <row r="883" spans="4:14" ht="15" customHeight="1">
      <c r="D883" s="40"/>
      <c r="E883" s="32" t="s">
        <v>601</v>
      </c>
      <c r="F883" s="2715">
        <v>0</v>
      </c>
      <c r="G883" s="2715">
        <v>0</v>
      </c>
      <c r="H883" s="2715">
        <v>0</v>
      </c>
      <c r="I883" s="2715">
        <v>0</v>
      </c>
      <c r="J883" s="2715">
        <v>0</v>
      </c>
      <c r="K883" s="2715">
        <v>0</v>
      </c>
      <c r="L883" s="2715">
        <v>0</v>
      </c>
      <c r="M883" s="2732">
        <v>0</v>
      </c>
      <c r="N883" s="40"/>
    </row>
    <row r="884" spans="4:14" ht="15" customHeight="1">
      <c r="D884" s="40"/>
      <c r="E884" s="19"/>
      <c r="F884" s="973"/>
      <c r="G884" s="973"/>
      <c r="H884" s="973"/>
      <c r="I884" s="973"/>
      <c r="J884" s="973"/>
      <c r="K884" s="973"/>
      <c r="L884" s="973"/>
      <c r="M884" s="973"/>
      <c r="N884" s="40"/>
    </row>
    <row r="885" spans="4:14" ht="15" customHeight="1">
      <c r="D885" s="40"/>
      <c r="E885" s="2677" t="s">
        <v>338</v>
      </c>
      <c r="F885" s="2759">
        <f t="shared" ref="F885:M885" si="40">F832+SUM(F836:F842)+SUM(F846:F852)+SUM(F856:F858)+SUM(F862:F868)+SUM(F872:F878)+SUM(F882:F883)</f>
        <v>0</v>
      </c>
      <c r="G885" s="2759">
        <f t="shared" si="40"/>
        <v>12737.898093884121</v>
      </c>
      <c r="H885" s="2759">
        <f t="shared" si="40"/>
        <v>10717.567188356499</v>
      </c>
      <c r="I885" s="2759">
        <f t="shared" si="40"/>
        <v>9146.2721326571864</v>
      </c>
      <c r="J885" s="2759">
        <f t="shared" si="40"/>
        <v>7808.9262931969788</v>
      </c>
      <c r="K885" s="2759">
        <f t="shared" si="40"/>
        <v>7788.1763475990156</v>
      </c>
      <c r="L885" s="2759">
        <f t="shared" si="40"/>
        <v>8130.8385013564966</v>
      </c>
      <c r="M885" s="2759">
        <f t="shared" si="40"/>
        <v>8648.2946030758521</v>
      </c>
      <c r="N885" s="40"/>
    </row>
    <row r="886" spans="4:14" ht="15" customHeight="1">
      <c r="D886" s="40"/>
      <c r="E886" s="19"/>
      <c r="F886" s="973"/>
      <c r="G886" s="973"/>
      <c r="H886" s="973"/>
      <c r="I886" s="973"/>
      <c r="J886" s="973"/>
      <c r="K886" s="973"/>
      <c r="L886" s="973"/>
      <c r="M886" s="973"/>
      <c r="N886" s="40"/>
    </row>
    <row r="887" spans="4:14" ht="15" customHeight="1">
      <c r="D887" s="20"/>
      <c r="E887" s="14" t="s">
        <v>2289</v>
      </c>
      <c r="F887" s="974"/>
      <c r="G887" s="974"/>
      <c r="H887" s="974"/>
      <c r="I887" s="974"/>
      <c r="J887" s="974"/>
      <c r="K887" s="974"/>
      <c r="L887" s="974"/>
      <c r="M887" s="974"/>
      <c r="N887" s="293"/>
    </row>
    <row r="888" spans="4:14" ht="15" customHeight="1">
      <c r="D888" s="20"/>
      <c r="E888" s="20"/>
      <c r="F888" s="788"/>
      <c r="G888" s="788"/>
      <c r="H888" s="788"/>
      <c r="I888" s="788"/>
      <c r="J888" s="788"/>
      <c r="K888" s="788"/>
      <c r="L888" s="788"/>
      <c r="M888" s="788"/>
      <c r="N888" s="20"/>
    </row>
    <row r="889" spans="4:14" ht="15" customHeight="1">
      <c r="D889" s="20"/>
      <c r="E889" s="23" t="s">
        <v>2290</v>
      </c>
      <c r="F889" s="2739"/>
      <c r="G889" s="2739"/>
      <c r="H889" s="2761"/>
      <c r="I889" s="2761"/>
      <c r="J889" s="2761"/>
      <c r="K889" s="2761"/>
      <c r="L889" s="2761"/>
      <c r="M889" s="2761"/>
      <c r="N889" s="20"/>
    </row>
    <row r="890" spans="4:14" ht="15" customHeight="1">
      <c r="D890" s="40"/>
      <c r="E890" s="340"/>
      <c r="F890" s="2722"/>
      <c r="G890" s="2722"/>
      <c r="H890" s="2722"/>
      <c r="I890" s="2722"/>
      <c r="J890" s="2722"/>
      <c r="K890" s="2722"/>
      <c r="L890" s="2722"/>
      <c r="M890" s="2723" t="s">
        <v>803</v>
      </c>
      <c r="N890" s="40"/>
    </row>
    <row r="891" spans="4:14" ht="15" customHeight="1">
      <c r="D891" s="40"/>
      <c r="E891" s="28" t="s">
        <v>859</v>
      </c>
      <c r="F891" s="2724">
        <v>2018</v>
      </c>
      <c r="G891" s="2724">
        <v>2020</v>
      </c>
      <c r="H891" s="2724">
        <v>2025</v>
      </c>
      <c r="I891" s="2724">
        <v>2030</v>
      </c>
      <c r="J891" s="2724">
        <v>2035</v>
      </c>
      <c r="K891" s="2724">
        <v>2040</v>
      </c>
      <c r="L891" s="2724">
        <v>2045</v>
      </c>
      <c r="M891" s="2724">
        <v>2050</v>
      </c>
      <c r="N891" s="40"/>
    </row>
    <row r="892" spans="4:14" ht="15" customHeight="1">
      <c r="D892" s="40"/>
      <c r="E892" s="279" t="s">
        <v>887</v>
      </c>
      <c r="F892" s="2727">
        <f>F642*(INDEX(COSTOS_TRANSPORTE_PASAJEROS_BICICLETA,1,2))*COSTOS_2019_US_dolares_MMCOP</f>
        <v>468.08569995781494</v>
      </c>
      <c r="G892" s="2727">
        <f t="shared" ref="G892:M892" si="41">G642*(INDEX(COSTOS_TRANSPORTE_PASAJEROS_BICICLETA,1,2))*COSTOS_2019_US_dolares_MMCOP</f>
        <v>529.75640228033319</v>
      </c>
      <c r="H892" s="2727">
        <f t="shared" si="41"/>
        <v>660.72093178006139</v>
      </c>
      <c r="I892" s="2727">
        <f t="shared" si="41"/>
        <v>765.94091551123995</v>
      </c>
      <c r="J892" s="2727">
        <f t="shared" si="41"/>
        <v>850.77543414922343</v>
      </c>
      <c r="K892" s="2727">
        <f t="shared" si="41"/>
        <v>932.51690718785767</v>
      </c>
      <c r="L892" s="2727">
        <f t="shared" si="41"/>
        <v>1016.0576781456956</v>
      </c>
      <c r="M892" s="2727">
        <f t="shared" si="41"/>
        <v>1103.5186793280218</v>
      </c>
      <c r="N892" s="40"/>
    </row>
    <row r="893" spans="4:14" ht="15" customHeight="1">
      <c r="D893" s="40"/>
      <c r="E893" s="30"/>
      <c r="F893" s="1511"/>
      <c r="G893" s="1511"/>
      <c r="H893" s="1511"/>
      <c r="I893" s="1511"/>
      <c r="J893" s="1511"/>
      <c r="K893" s="1511"/>
      <c r="L893" s="1511"/>
      <c r="M893" s="1511"/>
      <c r="N893" s="40"/>
    </row>
    <row r="894" spans="4:14" ht="15" customHeight="1">
      <c r="D894" s="40"/>
      <c r="E894" s="340" t="s">
        <v>2249</v>
      </c>
      <c r="F894" s="2722"/>
      <c r="G894" s="2722"/>
      <c r="H894" s="2722"/>
      <c r="I894" s="2722"/>
      <c r="J894" s="2722"/>
      <c r="K894" s="2722"/>
      <c r="L894" s="2722"/>
      <c r="M894" s="2723" t="s">
        <v>803</v>
      </c>
      <c r="N894" s="40"/>
    </row>
    <row r="895" spans="4:14" ht="15" customHeight="1">
      <c r="D895" s="40"/>
      <c r="E895" s="28" t="s">
        <v>859</v>
      </c>
      <c r="F895" s="2728">
        <v>2018</v>
      </c>
      <c r="G895" s="2728">
        <v>2020</v>
      </c>
      <c r="H895" s="2728">
        <v>2025</v>
      </c>
      <c r="I895" s="2728">
        <v>2030</v>
      </c>
      <c r="J895" s="2728">
        <v>2035</v>
      </c>
      <c r="K895" s="2728">
        <v>2040</v>
      </c>
      <c r="L895" s="2728">
        <v>2045</v>
      </c>
      <c r="M895" s="2728">
        <v>2050</v>
      </c>
      <c r="N895" s="40"/>
    </row>
    <row r="896" spans="4:14" ht="15" customHeight="1">
      <c r="D896" s="40"/>
      <c r="E896" s="30" t="s">
        <v>889</v>
      </c>
      <c r="F896" s="2726">
        <f t="shared" ref="F896:M896" si="42">F646*(INDEX(COSTOS_TRANSPORTE_PASAJEROS_VEHICULOS,1,2))*COSTOS_2019_US_dolares_MMCOP</f>
        <v>165.14127415176375</v>
      </c>
      <c r="G896" s="2726">
        <f t="shared" si="42"/>
        <v>186.25551477972994</v>
      </c>
      <c r="H896" s="2726">
        <f t="shared" si="42"/>
        <v>190.36538991557794</v>
      </c>
      <c r="I896" s="2726">
        <f t="shared" si="42"/>
        <v>197.35670886241365</v>
      </c>
      <c r="J896" s="2726">
        <f t="shared" si="42"/>
        <v>215.37406325985665</v>
      </c>
      <c r="K896" s="2726">
        <f t="shared" si="42"/>
        <v>237.87807778942036</v>
      </c>
      <c r="L896" s="2726">
        <f t="shared" si="42"/>
        <v>263.28018845629333</v>
      </c>
      <c r="M896" s="2726">
        <f t="shared" si="42"/>
        <v>290.61261214046056</v>
      </c>
      <c r="N896" s="40"/>
    </row>
    <row r="897" spans="4:14" ht="15" customHeight="1">
      <c r="D897" s="40"/>
      <c r="E897" s="30" t="s">
        <v>2257</v>
      </c>
      <c r="F897" s="2725">
        <f t="shared" ref="F897:M897" si="43">F647*(INDEX(COSTOS_TRANSPORTE_PASAJEROS_VEHICULOS,2,2))*COSTOS_2019_US_dolares_MMCOP</f>
        <v>3.6856658047700388</v>
      </c>
      <c r="G897" s="2725">
        <f t="shared" si="43"/>
        <v>4.9732734111728405</v>
      </c>
      <c r="H897" s="2725">
        <f t="shared" si="43"/>
        <v>6.3135120824509103</v>
      </c>
      <c r="I897" s="2725">
        <f t="shared" si="43"/>
        <v>7.4473430230043807</v>
      </c>
      <c r="J897" s="2725">
        <f t="shared" si="43"/>
        <v>8.4148242074735613</v>
      </c>
      <c r="K897" s="2725">
        <f t="shared" si="43"/>
        <v>9.3796376167768258</v>
      </c>
      <c r="L897" s="2725">
        <f t="shared" si="43"/>
        <v>10.390257046328886</v>
      </c>
      <c r="M897" s="2725">
        <f t="shared" si="43"/>
        <v>11.469631714106502</v>
      </c>
      <c r="N897" s="40"/>
    </row>
    <row r="898" spans="4:14" ht="15" customHeight="1">
      <c r="D898" s="40"/>
      <c r="E898" s="30" t="s">
        <v>2250</v>
      </c>
      <c r="F898" s="2725">
        <f t="shared" ref="F898:M898" si="44">F648*(INDEX(COSTOS_TRANSPORTE_PASAJEROS_VEHICULOS,3,2))*COSTOS_2019_US_dolares_MMCOP</f>
        <v>0</v>
      </c>
      <c r="G898" s="2725">
        <f t="shared" si="44"/>
        <v>0</v>
      </c>
      <c r="H898" s="2725">
        <f t="shared" si="44"/>
        <v>0</v>
      </c>
      <c r="I898" s="2725">
        <f t="shared" si="44"/>
        <v>0</v>
      </c>
      <c r="J898" s="2725">
        <f t="shared" si="44"/>
        <v>0</v>
      </c>
      <c r="K898" s="2725">
        <f t="shared" si="44"/>
        <v>0</v>
      </c>
      <c r="L898" s="2725">
        <f t="shared" si="44"/>
        <v>0</v>
      </c>
      <c r="M898" s="2725">
        <f t="shared" si="44"/>
        <v>0</v>
      </c>
      <c r="N898" s="40"/>
    </row>
    <row r="899" spans="4:14" ht="15" customHeight="1">
      <c r="D899" s="40"/>
      <c r="E899" s="30" t="s">
        <v>893</v>
      </c>
      <c r="F899" s="2725">
        <f t="shared" ref="F899:M899" si="45">F649*(INDEX(COSTOS_TRANSPORTE_PASAJEROS_VEHICULOS,4,2))*COSTOS_2019_US_dolares_MMCOP</f>
        <v>0.33784002976947058</v>
      </c>
      <c r="G899" s="2725">
        <f t="shared" si="45"/>
        <v>7.8062643061947391E-3</v>
      </c>
      <c r="H899" s="2725">
        <f t="shared" si="45"/>
        <v>9.9099606921355544E-3</v>
      </c>
      <c r="I899" s="2725">
        <f t="shared" si="45"/>
        <v>1.1689670607262549E-2</v>
      </c>
      <c r="J899" s="2725">
        <f t="shared" si="45"/>
        <v>1.3208270775165992E-2</v>
      </c>
      <c r="K899" s="2725">
        <f t="shared" si="45"/>
        <v>1.472268348818149E-2</v>
      </c>
      <c r="L899" s="2725">
        <f t="shared" si="45"/>
        <v>1.6308995304928891E-2</v>
      </c>
      <c r="M899" s="2725">
        <f t="shared" si="45"/>
        <v>1.8003228307110878E-2</v>
      </c>
      <c r="N899" s="40"/>
    </row>
    <row r="900" spans="4:14" ht="15" customHeight="1">
      <c r="D900" s="40"/>
      <c r="E900" s="30" t="s">
        <v>498</v>
      </c>
      <c r="F900" s="2725">
        <f t="shared" ref="F900:M900" si="46">F650*(INDEX(COSTOS_TRANSPORTE_PASAJEROS_VEHICULOS,5,2))*COSTOS_2019_US_dolares_MMCOP</f>
        <v>0</v>
      </c>
      <c r="G900" s="2725">
        <f t="shared" si="46"/>
        <v>0</v>
      </c>
      <c r="H900" s="2725">
        <f t="shared" si="46"/>
        <v>0</v>
      </c>
      <c r="I900" s="2725">
        <f t="shared" si="46"/>
        <v>0</v>
      </c>
      <c r="J900" s="2725">
        <f t="shared" si="46"/>
        <v>0</v>
      </c>
      <c r="K900" s="2725">
        <f t="shared" si="46"/>
        <v>0</v>
      </c>
      <c r="L900" s="2725">
        <f t="shared" si="46"/>
        <v>0</v>
      </c>
      <c r="M900" s="2725">
        <f t="shared" si="46"/>
        <v>0</v>
      </c>
      <c r="N900" s="40"/>
    </row>
    <row r="901" spans="4:14" ht="15" customHeight="1">
      <c r="D901" s="40"/>
      <c r="E901" s="30" t="s">
        <v>894</v>
      </c>
      <c r="F901" s="2725">
        <f t="shared" ref="F901:M901" si="47">F651*(INDEX(COSTOS_TRANSPORTE_PASAJEROS_VEHICULOS,6,2))*COSTOS_2019_US_dolares_MMCOP</f>
        <v>0.42702979762861076</v>
      </c>
      <c r="G901" s="2725">
        <f t="shared" si="47"/>
        <v>6.6571822003228727</v>
      </c>
      <c r="H901" s="2725">
        <f t="shared" si="47"/>
        <v>82.18528601201858</v>
      </c>
      <c r="I901" s="2725">
        <f t="shared" si="47"/>
        <v>140.45373028038097</v>
      </c>
      <c r="J901" s="2725">
        <f t="shared" si="47"/>
        <v>170.89917390571773</v>
      </c>
      <c r="K901" s="2725">
        <f t="shared" si="47"/>
        <v>193.9978557870698</v>
      </c>
      <c r="L901" s="2725">
        <f t="shared" si="47"/>
        <v>215.26569082881738</v>
      </c>
      <c r="M901" s="2725">
        <f t="shared" si="47"/>
        <v>237.65701623650924</v>
      </c>
      <c r="N901" s="40"/>
    </row>
    <row r="902" spans="4:14" ht="15" customHeight="1">
      <c r="D902" s="40"/>
      <c r="E902" s="32" t="s">
        <v>603</v>
      </c>
      <c r="F902" s="2727">
        <f t="shared" ref="F902:M902" si="48">F652*(INDEX(COSTOS_TRANSPORTE_PASAJEROS_VEHICULOS,7,2))*COSTOS_2019_US_dolares_MMCOP</f>
        <v>0</v>
      </c>
      <c r="G902" s="2727">
        <f t="shared" si="48"/>
        <v>0</v>
      </c>
      <c r="H902" s="2727">
        <f t="shared" si="48"/>
        <v>0</v>
      </c>
      <c r="I902" s="2727">
        <f t="shared" si="48"/>
        <v>0</v>
      </c>
      <c r="J902" s="2727">
        <f t="shared" si="48"/>
        <v>0</v>
      </c>
      <c r="K902" s="2727">
        <f t="shared" si="48"/>
        <v>0</v>
      </c>
      <c r="L902" s="2727">
        <f t="shared" si="48"/>
        <v>0</v>
      </c>
      <c r="M902" s="2727">
        <f t="shared" si="48"/>
        <v>0</v>
      </c>
      <c r="N902" s="40"/>
    </row>
    <row r="903" spans="4:14" ht="15" customHeight="1">
      <c r="D903" s="40"/>
      <c r="E903" s="30"/>
      <c r="F903" s="740"/>
      <c r="G903" s="740"/>
      <c r="H903" s="740"/>
      <c r="I903" s="740"/>
      <c r="J903" s="740"/>
      <c r="K903" s="740"/>
      <c r="L903" s="740"/>
      <c r="M903" s="740"/>
      <c r="N903" s="40"/>
    </row>
    <row r="904" spans="4:14" ht="15" customHeight="1">
      <c r="D904" s="40"/>
      <c r="E904" s="340" t="s">
        <v>895</v>
      </c>
      <c r="F904" s="760"/>
      <c r="G904" s="760"/>
      <c r="H904" s="760"/>
      <c r="I904" s="760"/>
      <c r="J904" s="760"/>
      <c r="K904" s="760"/>
      <c r="L904" s="760"/>
      <c r="M904" s="343" t="s">
        <v>803</v>
      </c>
      <c r="N904" s="40"/>
    </row>
    <row r="905" spans="4:14" ht="15" customHeight="1">
      <c r="D905" s="40"/>
      <c r="E905" s="28" t="s">
        <v>859</v>
      </c>
      <c r="F905" s="762">
        <v>2018</v>
      </c>
      <c r="G905" s="762">
        <v>2020</v>
      </c>
      <c r="H905" s="762">
        <v>2025</v>
      </c>
      <c r="I905" s="762">
        <v>2030</v>
      </c>
      <c r="J905" s="762">
        <v>2035</v>
      </c>
      <c r="K905" s="762">
        <v>2040</v>
      </c>
      <c r="L905" s="762">
        <v>2045</v>
      </c>
      <c r="M905" s="762">
        <v>2050</v>
      </c>
      <c r="N905" s="40"/>
    </row>
    <row r="906" spans="4:14" ht="15" customHeight="1">
      <c r="D906" s="40"/>
      <c r="E906" s="30" t="s">
        <v>889</v>
      </c>
      <c r="F906" s="2726">
        <f t="shared" ref="F906:M906" si="49">F656*(INDEX(COSTOS_TRANSPORTE_PASAJEROS_TAXI,1,2))*COSTOS_2019_US_dolares_MMCOP</f>
        <v>9.4847670345369597</v>
      </c>
      <c r="G906" s="2726">
        <f t="shared" si="49"/>
        <v>10.524241958271094</v>
      </c>
      <c r="H906" s="2726">
        <f t="shared" si="49"/>
        <v>12.925097445158308</v>
      </c>
      <c r="I906" s="2726">
        <f t="shared" si="49"/>
        <v>10.694540119852395</v>
      </c>
      <c r="J906" s="2726">
        <f t="shared" si="49"/>
        <v>11.085083503178913</v>
      </c>
      <c r="K906" s="2726">
        <f t="shared" si="49"/>
        <v>12.253395541227954</v>
      </c>
      <c r="L906" s="2726">
        <f t="shared" si="49"/>
        <v>13.536339887510119</v>
      </c>
      <c r="M906" s="2726">
        <f t="shared" si="49"/>
        <v>15.036812045299163</v>
      </c>
      <c r="N906" s="40"/>
    </row>
    <row r="907" spans="4:14" ht="15" customHeight="1">
      <c r="D907" s="40"/>
      <c r="E907" s="30" t="s">
        <v>2257</v>
      </c>
      <c r="F907" s="2725">
        <f t="shared" ref="F907:M907" si="50">F657*(INDEX(COSTOS_TRANSPORTE_PASAJEROS_TAXI,2,2))*COSTOS_2019_US_dolares_MMCOP</f>
        <v>1.1729496666315857E-2</v>
      </c>
      <c r="G907" s="2725">
        <f t="shared" si="50"/>
        <v>1.3025934756521865E-2</v>
      </c>
      <c r="H907" s="2725">
        <f t="shared" si="50"/>
        <v>1.5997491953328072E-2</v>
      </c>
      <c r="I907" s="2725">
        <f t="shared" si="50"/>
        <v>1.8369140979427045E-2</v>
      </c>
      <c r="J907" s="2725">
        <f t="shared" si="50"/>
        <v>2.039975932231413E-2</v>
      </c>
      <c r="K907" s="2725">
        <f t="shared" si="50"/>
        <v>2.262698432384835E-2</v>
      </c>
      <c r="L907" s="2725">
        <f t="shared" si="50"/>
        <v>2.4998297260446247E-2</v>
      </c>
      <c r="M907" s="2725">
        <f t="shared" si="50"/>
        <v>2.77693010430894E-2</v>
      </c>
      <c r="N907" s="40"/>
    </row>
    <row r="908" spans="4:14" ht="15" customHeight="1">
      <c r="D908" s="40"/>
      <c r="E908" s="30" t="s">
        <v>2250</v>
      </c>
      <c r="F908" s="2725">
        <f t="shared" ref="F908:M908" si="51">F658*(INDEX(COSTOS_TRANSPORTE_PASAJEROS_TAXI,3,2))*COSTOS_2019_US_dolares_MMCOP</f>
        <v>0</v>
      </c>
      <c r="G908" s="2725">
        <f t="shared" si="51"/>
        <v>0</v>
      </c>
      <c r="H908" s="2725">
        <f t="shared" si="51"/>
        <v>0</v>
      </c>
      <c r="I908" s="2725">
        <f t="shared" si="51"/>
        <v>0</v>
      </c>
      <c r="J908" s="2725">
        <f t="shared" si="51"/>
        <v>0</v>
      </c>
      <c r="K908" s="2725">
        <f t="shared" si="51"/>
        <v>0</v>
      </c>
      <c r="L908" s="2725">
        <f t="shared" si="51"/>
        <v>0</v>
      </c>
      <c r="M908" s="2725">
        <f t="shared" si="51"/>
        <v>0</v>
      </c>
      <c r="N908" s="40"/>
    </row>
    <row r="909" spans="4:14" ht="15" customHeight="1">
      <c r="D909" s="40"/>
      <c r="E909" s="30" t="s">
        <v>893</v>
      </c>
      <c r="F909" s="2725">
        <f t="shared" ref="F909:M909" si="52">F659*(INDEX(COSTOS_TRANSPORTE_PASAJEROS_TAXI,4,2))*COSTOS_2019_US_dolares_MMCOP</f>
        <v>2.2341898412030206E-3</v>
      </c>
      <c r="G909" s="2725">
        <f t="shared" si="52"/>
        <v>2.4811304298136883E-3</v>
      </c>
      <c r="H909" s="2725">
        <f t="shared" si="52"/>
        <v>3.0471413244434432E-3</v>
      </c>
      <c r="I909" s="2725">
        <f t="shared" si="52"/>
        <v>3.4988839960813423E-3</v>
      </c>
      <c r="J909" s="2725">
        <f t="shared" si="52"/>
        <v>3.8856684423455496E-3</v>
      </c>
      <c r="K909" s="2725">
        <f t="shared" si="52"/>
        <v>4.3099017759711143E-3</v>
      </c>
      <c r="L909" s="2725">
        <f t="shared" si="52"/>
        <v>4.7615804305611905E-3</v>
      </c>
      <c r="M909" s="2725">
        <f t="shared" si="52"/>
        <v>5.289390674874171E-3</v>
      </c>
      <c r="N909" s="40"/>
    </row>
    <row r="910" spans="4:14" ht="15" customHeight="1">
      <c r="D910" s="40"/>
      <c r="E910" s="30" t="s">
        <v>498</v>
      </c>
      <c r="F910" s="2725">
        <f t="shared" ref="F910:M910" si="53">F660*(INDEX(COSTOS_TRANSPORTE_PASAJEROS_TAXI,5,2))*COSTOS_2019_US_dolares_MMCOP</f>
        <v>0</v>
      </c>
      <c r="G910" s="2725">
        <f t="shared" si="53"/>
        <v>0</v>
      </c>
      <c r="H910" s="2725">
        <f t="shared" si="53"/>
        <v>0</v>
      </c>
      <c r="I910" s="2725">
        <f t="shared" si="53"/>
        <v>0</v>
      </c>
      <c r="J910" s="2725">
        <f t="shared" si="53"/>
        <v>0</v>
      </c>
      <c r="K910" s="2725">
        <f t="shared" si="53"/>
        <v>0</v>
      </c>
      <c r="L910" s="2725">
        <f t="shared" si="53"/>
        <v>0</v>
      </c>
      <c r="M910" s="2725">
        <f t="shared" si="53"/>
        <v>0</v>
      </c>
      <c r="N910" s="40"/>
    </row>
    <row r="911" spans="4:14" ht="15" customHeight="1">
      <c r="D911" s="40"/>
      <c r="E911" s="30" t="s">
        <v>894</v>
      </c>
      <c r="F911" s="2725">
        <f t="shared" ref="F911:M911" si="54">F661*(INDEX(COSTOS_TRANSPORTE_PASAJEROS_TAXI,6,2))*COSTOS_2019_US_dolares_MMCOP</f>
        <v>0</v>
      </c>
      <c r="G911" s="2725">
        <f t="shared" si="54"/>
        <v>1.6871686922733078E-2</v>
      </c>
      <c r="H911" s="2725">
        <f t="shared" si="54"/>
        <v>2.0720561006215412E-2</v>
      </c>
      <c r="I911" s="2725">
        <f t="shared" si="54"/>
        <v>7.8293827403512983</v>
      </c>
      <c r="J911" s="2725">
        <f t="shared" si="54"/>
        <v>10.185114121076154</v>
      </c>
      <c r="K911" s="2725">
        <f t="shared" si="54"/>
        <v>11.376071935711273</v>
      </c>
      <c r="L911" s="2725">
        <f t="shared" si="54"/>
        <v>12.570572336681543</v>
      </c>
      <c r="M911" s="2725">
        <f t="shared" si="54"/>
        <v>13.96399138166781</v>
      </c>
      <c r="N911" s="40"/>
    </row>
    <row r="912" spans="4:14" ht="15" customHeight="1">
      <c r="D912" s="40"/>
      <c r="E912" s="32" t="s">
        <v>603</v>
      </c>
      <c r="F912" s="2727">
        <f t="shared" ref="F912:M912" si="55">F662*(INDEX(COSTOS_TRANSPORTE_PASAJEROS_TAXI,7,2))*COSTOS_2019_US_dolares_MMCOP</f>
        <v>0</v>
      </c>
      <c r="G912" s="2727">
        <f t="shared" si="55"/>
        <v>0</v>
      </c>
      <c r="H912" s="2727">
        <f t="shared" si="55"/>
        <v>0</v>
      </c>
      <c r="I912" s="2727">
        <f t="shared" si="55"/>
        <v>0</v>
      </c>
      <c r="J912" s="2727">
        <f t="shared" si="55"/>
        <v>0</v>
      </c>
      <c r="K912" s="2727">
        <f t="shared" si="55"/>
        <v>0</v>
      </c>
      <c r="L912" s="2727">
        <f t="shared" si="55"/>
        <v>0</v>
      </c>
      <c r="M912" s="2727">
        <f t="shared" si="55"/>
        <v>0</v>
      </c>
      <c r="N912" s="40"/>
    </row>
    <row r="913" spans="4:14" ht="15" customHeight="1">
      <c r="D913" s="40"/>
      <c r="E913" s="30"/>
      <c r="F913" s="740"/>
      <c r="G913" s="740"/>
      <c r="H913" s="740"/>
      <c r="I913" s="740"/>
      <c r="J913" s="740"/>
      <c r="K913" s="740"/>
      <c r="L913" s="740"/>
      <c r="M913" s="740"/>
      <c r="N913" s="40"/>
    </row>
    <row r="914" spans="4:14" ht="15" customHeight="1">
      <c r="D914" s="40"/>
      <c r="E914" s="340" t="s">
        <v>896</v>
      </c>
      <c r="F914" s="760"/>
      <c r="G914" s="760"/>
      <c r="H914" s="760"/>
      <c r="I914" s="760"/>
      <c r="J914" s="760"/>
      <c r="K914" s="760"/>
      <c r="L914" s="760"/>
      <c r="M914" s="343" t="s">
        <v>803</v>
      </c>
      <c r="N914" s="40"/>
    </row>
    <row r="915" spans="4:14" ht="15" customHeight="1">
      <c r="D915" s="40"/>
      <c r="E915" s="28" t="s">
        <v>859</v>
      </c>
      <c r="F915" s="733">
        <v>2018</v>
      </c>
      <c r="G915" s="733">
        <v>2020</v>
      </c>
      <c r="H915" s="733">
        <v>2025</v>
      </c>
      <c r="I915" s="733">
        <v>2030</v>
      </c>
      <c r="J915" s="733">
        <v>2035</v>
      </c>
      <c r="K915" s="733">
        <v>2040</v>
      </c>
      <c r="L915" s="733">
        <v>2045</v>
      </c>
      <c r="M915" s="733">
        <v>2050</v>
      </c>
      <c r="N915" s="40"/>
    </row>
    <row r="916" spans="4:14" ht="15" customHeight="1">
      <c r="D916" s="40"/>
      <c r="E916" s="30" t="s">
        <v>897</v>
      </c>
      <c r="F916" s="2709">
        <f t="shared" ref="F916:M916" si="56">F666*(INDEX(COSTOS_TRASPORTE_PASAJEROS_MOTOS,1,2))*COSTOS_2019_US_dolares_MMCOP</f>
        <v>10.370193410252295</v>
      </c>
      <c r="G916" s="2709">
        <f t="shared" si="56"/>
        <v>11.980887925274478</v>
      </c>
      <c r="H916" s="2709">
        <f t="shared" si="56"/>
        <v>15.209596260035941</v>
      </c>
      <c r="I916" s="2709">
        <f t="shared" si="56"/>
        <v>17.941057071030464</v>
      </c>
      <c r="J916" s="2709">
        <f t="shared" si="56"/>
        <v>20.271772212268502</v>
      </c>
      <c r="K916" s="2709">
        <f t="shared" si="56"/>
        <v>22.596060537075946</v>
      </c>
      <c r="L916" s="2709">
        <f t="shared" si="56"/>
        <v>25.030698072459835</v>
      </c>
      <c r="M916" s="2709">
        <f t="shared" si="56"/>
        <v>27.630970740954506</v>
      </c>
      <c r="N916" s="40"/>
    </row>
    <row r="917" spans="4:14" ht="15" customHeight="1">
      <c r="D917" s="40"/>
      <c r="E917" s="30" t="s">
        <v>898</v>
      </c>
      <c r="F917" s="2714">
        <f t="shared" ref="F917:M917" si="57">F667*(INDEX(COSTOS_TRASPORTE_PASAJEROS_MOTOS,2,2))*COSTOS_2019_US_dolares_MMCOP</f>
        <v>12.515441941579725</v>
      </c>
      <c r="G917" s="2714">
        <f t="shared" si="57"/>
        <v>14.459335646440783</v>
      </c>
      <c r="H917" s="2714">
        <f t="shared" si="57"/>
        <v>18.355956481887528</v>
      </c>
      <c r="I917" s="2714">
        <f t="shared" si="57"/>
        <v>21.652465798859907</v>
      </c>
      <c r="J917" s="2714">
        <f t="shared" si="57"/>
        <v>24.465328479288527</v>
      </c>
      <c r="K917" s="2714">
        <f t="shared" si="57"/>
        <v>27.270434848458109</v>
      </c>
      <c r="L917" s="2714">
        <f t="shared" si="57"/>
        <v>30.208718014205406</v>
      </c>
      <c r="M917" s="2714">
        <f t="shared" si="57"/>
        <v>33.346900719905776</v>
      </c>
      <c r="N917" s="40"/>
    </row>
    <row r="918" spans="4:14" ht="15" customHeight="1">
      <c r="D918" s="40"/>
      <c r="E918" s="32" t="s">
        <v>2262</v>
      </c>
      <c r="F918" s="2715">
        <f t="shared" ref="F918:M918" si="58">F668*(INDEX(COSTOS_TRASPORTE_PASAJEROS_MOTOS,3,2))*COSTOS_2019_US_dolares_MMCOP</f>
        <v>0</v>
      </c>
      <c r="G918" s="2715">
        <f t="shared" si="58"/>
        <v>0</v>
      </c>
      <c r="H918" s="2715">
        <f t="shared" si="58"/>
        <v>0</v>
      </c>
      <c r="I918" s="2715">
        <f t="shared" si="58"/>
        <v>0</v>
      </c>
      <c r="J918" s="2715">
        <f t="shared" si="58"/>
        <v>0</v>
      </c>
      <c r="K918" s="2715">
        <f t="shared" si="58"/>
        <v>0</v>
      </c>
      <c r="L918" s="2715">
        <f t="shared" si="58"/>
        <v>0</v>
      </c>
      <c r="M918" s="2715">
        <f t="shared" si="58"/>
        <v>0</v>
      </c>
      <c r="N918" s="40"/>
    </row>
    <row r="919" spans="4:14" ht="15" customHeight="1">
      <c r="D919" s="40"/>
      <c r="E919" s="30"/>
      <c r="F919" s="740"/>
      <c r="G919" s="740"/>
      <c r="H919" s="740"/>
      <c r="I919" s="740"/>
      <c r="J919" s="740"/>
      <c r="K919" s="740"/>
      <c r="L919" s="740"/>
      <c r="M919" s="740"/>
      <c r="N919" s="40"/>
    </row>
    <row r="920" spans="4:14" ht="15" customHeight="1">
      <c r="D920" s="40"/>
      <c r="E920" s="340" t="s">
        <v>899</v>
      </c>
      <c r="F920" s="760"/>
      <c r="G920" s="760"/>
      <c r="H920" s="760"/>
      <c r="I920" s="760"/>
      <c r="J920" s="760"/>
      <c r="K920" s="760"/>
      <c r="L920" s="760"/>
      <c r="M920" s="343" t="s">
        <v>803</v>
      </c>
      <c r="N920" s="40"/>
    </row>
    <row r="921" spans="4:14" ht="15" customHeight="1">
      <c r="D921" s="40"/>
      <c r="E921" s="28" t="s">
        <v>859</v>
      </c>
      <c r="F921" s="762">
        <v>2018</v>
      </c>
      <c r="G921" s="762">
        <v>2020</v>
      </c>
      <c r="H921" s="762">
        <v>2025</v>
      </c>
      <c r="I921" s="762">
        <v>2030</v>
      </c>
      <c r="J921" s="762">
        <v>2035</v>
      </c>
      <c r="K921" s="762">
        <v>2040</v>
      </c>
      <c r="L921" s="762">
        <v>2045</v>
      </c>
      <c r="M921" s="762">
        <v>2050</v>
      </c>
      <c r="N921" s="40"/>
    </row>
    <row r="922" spans="4:14" ht="15" customHeight="1">
      <c r="D922" s="40"/>
      <c r="E922" s="30" t="s">
        <v>889</v>
      </c>
      <c r="F922" s="2709">
        <f t="shared" ref="F922:M922" si="59">F672*(INDEX(COSTOS_TRASPORTE_PASAJEROS_BUSES,1,2))*COSTOS_2019_US_dolares_MMCOP</f>
        <v>0.28867552371979771</v>
      </c>
      <c r="G922" s="2709">
        <f t="shared" si="59"/>
        <v>0.41075384447077001</v>
      </c>
      <c r="H922" s="2709">
        <f t="shared" si="59"/>
        <v>0.48093063489814364</v>
      </c>
      <c r="I922" s="2709">
        <f t="shared" si="59"/>
        <v>0.50823721557132184</v>
      </c>
      <c r="J922" s="2709">
        <f t="shared" si="59"/>
        <v>0.51838588522685825</v>
      </c>
      <c r="K922" s="2709">
        <f t="shared" si="59"/>
        <v>0.5202589388032488</v>
      </c>
      <c r="L922" s="2709">
        <f t="shared" si="59"/>
        <v>0.51649683881495589</v>
      </c>
      <c r="M922" s="2709">
        <f t="shared" si="59"/>
        <v>0.50949982580675379</v>
      </c>
      <c r="N922" s="40"/>
    </row>
    <row r="923" spans="4:14" ht="15" customHeight="1">
      <c r="D923" s="40"/>
      <c r="E923" s="30" t="s">
        <v>2257</v>
      </c>
      <c r="F923" s="2714">
        <f t="shared" ref="F923:M923" si="60">F673*(INDEX(COSTOS_TRASPORTE_PASAJEROS_BUSES,2,2))*COSTOS_2019_US_dolares_MMCOP</f>
        <v>2.6161842440942826</v>
      </c>
      <c r="G923" s="2714">
        <f t="shared" si="60"/>
        <v>2.5717563846024265</v>
      </c>
      <c r="H923" s="2714">
        <f t="shared" si="60"/>
        <v>2.9812961450547584</v>
      </c>
      <c r="I923" s="2714">
        <f t="shared" si="60"/>
        <v>2.6625290122491494</v>
      </c>
      <c r="J923" s="2714">
        <f t="shared" si="60"/>
        <v>2.200303249279048</v>
      </c>
      <c r="K923" s="2714">
        <f t="shared" si="60"/>
        <v>1.8726948477782142</v>
      </c>
      <c r="L923" s="2714">
        <f t="shared" si="60"/>
        <v>1.7014676117877316</v>
      </c>
      <c r="M923" s="2714">
        <f t="shared" si="60"/>
        <v>1.6177451985419669</v>
      </c>
      <c r="N923" s="40"/>
    </row>
    <row r="924" spans="4:14" ht="15" customHeight="1">
      <c r="D924" s="40"/>
      <c r="E924" s="30" t="s">
        <v>2250</v>
      </c>
      <c r="F924" s="2714">
        <f t="shared" ref="F924:M924" si="61">F674*(INDEX(COSTOS_TRASPORTE_PASAJEROS_BUSES,3,2))*COSTOS_2019_US_dolares_MMCOP</f>
        <v>0</v>
      </c>
      <c r="G924" s="2714">
        <f t="shared" si="61"/>
        <v>0</v>
      </c>
      <c r="H924" s="2714">
        <f t="shared" si="61"/>
        <v>0</v>
      </c>
      <c r="I924" s="2714">
        <f t="shared" si="61"/>
        <v>0</v>
      </c>
      <c r="J924" s="2714">
        <f t="shared" si="61"/>
        <v>0</v>
      </c>
      <c r="K924" s="2714">
        <f t="shared" si="61"/>
        <v>0</v>
      </c>
      <c r="L924" s="2714">
        <f t="shared" si="61"/>
        <v>0</v>
      </c>
      <c r="M924" s="2714">
        <f t="shared" si="61"/>
        <v>0</v>
      </c>
      <c r="N924" s="40"/>
    </row>
    <row r="925" spans="4:14" ht="15" customHeight="1">
      <c r="D925" s="40"/>
      <c r="E925" s="30" t="s">
        <v>893</v>
      </c>
      <c r="F925" s="2714">
        <f t="shared" ref="F925:M925" si="62">F675*(INDEX(COSTOS_TRASPORTE_PASAJEROS_BUSES,4,2))*COSTOS_2019_US_dolares_MMCOP</f>
        <v>0.66166329371621591</v>
      </c>
      <c r="G925" s="2714">
        <f t="shared" si="62"/>
        <v>1.1659599831817837</v>
      </c>
      <c r="H925" s="2714">
        <f t="shared" si="62"/>
        <v>1.9525018605600928</v>
      </c>
      <c r="I925" s="2714">
        <f t="shared" si="62"/>
        <v>2.8780142615699256</v>
      </c>
      <c r="J925" s="2714">
        <f t="shared" si="62"/>
        <v>3.9778621621383254</v>
      </c>
      <c r="K925" s="2714">
        <f t="shared" si="62"/>
        <v>5.2486385052535649</v>
      </c>
      <c r="L925" s="2714">
        <f t="shared" si="62"/>
        <v>6.6562928313548175</v>
      </c>
      <c r="M925" s="2714">
        <f t="shared" si="62"/>
        <v>8.1791051041102527</v>
      </c>
      <c r="N925" s="40"/>
    </row>
    <row r="926" spans="4:14" ht="15" customHeight="1">
      <c r="D926" s="40"/>
      <c r="E926" s="30" t="s">
        <v>498</v>
      </c>
      <c r="F926" s="2714">
        <f t="shared" ref="F926:M926" si="63">F676*(INDEX(COSTOS_TRASPORTE_PASAJEROS_BUSES,5,2))*COSTOS_2019_US_dolares_MMCOP</f>
        <v>0</v>
      </c>
      <c r="G926" s="2714">
        <f t="shared" si="63"/>
        <v>0</v>
      </c>
      <c r="H926" s="2714">
        <f t="shared" si="63"/>
        <v>0</v>
      </c>
      <c r="I926" s="2714">
        <f t="shared" si="63"/>
        <v>0</v>
      </c>
      <c r="J926" s="2714">
        <f t="shared" si="63"/>
        <v>0</v>
      </c>
      <c r="K926" s="2714">
        <f t="shared" si="63"/>
        <v>0</v>
      </c>
      <c r="L926" s="2714">
        <f t="shared" si="63"/>
        <v>0</v>
      </c>
      <c r="M926" s="2714">
        <f t="shared" si="63"/>
        <v>0</v>
      </c>
      <c r="N926" s="40"/>
    </row>
    <row r="927" spans="4:14" ht="15" customHeight="1">
      <c r="D927" s="40"/>
      <c r="E927" s="30" t="s">
        <v>894</v>
      </c>
      <c r="F927" s="2714">
        <f t="shared" ref="F927:M927" si="64">F677*(INDEX(COSTOS_TRASPORTE_PASAJEROS_BUSES,6,2))*COSTOS_2019_US_dolares_MMCOP</f>
        <v>8.6837302593159131E-3</v>
      </c>
      <c r="G927" s="2714">
        <f t="shared" si="64"/>
        <v>4.572099033254521E-2</v>
      </c>
      <c r="H927" s="2714">
        <f t="shared" si="64"/>
        <v>0.27558121294415622</v>
      </c>
      <c r="I927" s="2714">
        <f t="shared" si="64"/>
        <v>1.3702876170553884</v>
      </c>
      <c r="J927" s="2714">
        <f t="shared" si="64"/>
        <v>2.5327191904551518</v>
      </c>
      <c r="K927" s="2714">
        <f t="shared" si="64"/>
        <v>3.3724912948634511</v>
      </c>
      <c r="L927" s="2714">
        <f t="shared" si="64"/>
        <v>3.9214525374466653</v>
      </c>
      <c r="M927" s="2714">
        <f t="shared" si="64"/>
        <v>4.3816634486304933</v>
      </c>
      <c r="N927" s="40"/>
    </row>
    <row r="928" spans="4:14" ht="15" customHeight="1">
      <c r="D928" s="40"/>
      <c r="E928" s="32" t="s">
        <v>603</v>
      </c>
      <c r="F928" s="2715">
        <f t="shared" ref="F928:M928" si="65">F678*(INDEX(COSTOS_TRASPORTE_PASAJEROS_BUSES,7,2))*COSTOS_2019_US_dolares_MMCOP</f>
        <v>0</v>
      </c>
      <c r="G928" s="2715">
        <f t="shared" si="65"/>
        <v>0</v>
      </c>
      <c r="H928" s="2715">
        <f t="shared" si="65"/>
        <v>0</v>
      </c>
      <c r="I928" s="2715">
        <f t="shared" si="65"/>
        <v>0</v>
      </c>
      <c r="J928" s="2715">
        <f t="shared" si="65"/>
        <v>0</v>
      </c>
      <c r="K928" s="2715">
        <f t="shared" si="65"/>
        <v>0</v>
      </c>
      <c r="L928" s="2715">
        <f t="shared" si="65"/>
        <v>0</v>
      </c>
      <c r="M928" s="2715">
        <f t="shared" si="65"/>
        <v>0</v>
      </c>
      <c r="N928" s="40"/>
    </row>
    <row r="929" spans="4:14" ht="15" customHeight="1">
      <c r="D929" s="40"/>
      <c r="E929" s="35"/>
      <c r="F929" s="733"/>
      <c r="G929" s="733"/>
      <c r="H929" s="733"/>
      <c r="I929" s="733"/>
      <c r="J929" s="733"/>
      <c r="K929" s="733"/>
      <c r="L929" s="733"/>
      <c r="M929" s="733"/>
      <c r="N929" s="40"/>
    </row>
    <row r="930" spans="4:14" ht="15" customHeight="1">
      <c r="D930" s="40"/>
      <c r="E930" s="340" t="s">
        <v>900</v>
      </c>
      <c r="F930" s="760"/>
      <c r="G930" s="760"/>
      <c r="H930" s="760"/>
      <c r="I930" s="760"/>
      <c r="J930" s="760"/>
      <c r="K930" s="760"/>
      <c r="L930" s="760"/>
      <c r="M930" s="343" t="s">
        <v>803</v>
      </c>
      <c r="N930" s="40"/>
    </row>
    <row r="931" spans="4:14" ht="15" customHeight="1">
      <c r="D931" s="40"/>
      <c r="E931" s="28" t="s">
        <v>859</v>
      </c>
      <c r="F931" s="762">
        <v>2018</v>
      </c>
      <c r="G931" s="762">
        <v>2020</v>
      </c>
      <c r="H931" s="762">
        <v>2025</v>
      </c>
      <c r="I931" s="762">
        <v>2030</v>
      </c>
      <c r="J931" s="762">
        <v>2035</v>
      </c>
      <c r="K931" s="762">
        <v>2040</v>
      </c>
      <c r="L931" s="762">
        <v>2045</v>
      </c>
      <c r="M931" s="762">
        <v>2050</v>
      </c>
      <c r="N931" s="40"/>
    </row>
    <row r="932" spans="4:14" ht="15" customHeight="1">
      <c r="D932" s="40"/>
      <c r="E932" s="30" t="s">
        <v>889</v>
      </c>
      <c r="F932" s="2709">
        <f>F682*(INDEX(COSTOS_TRASPORTE_PASAJEROS_BUSES_BRT,1,2))*COSTOS_2019_US_dolares_MMCOP</f>
        <v>0.36779152834853263</v>
      </c>
      <c r="G932" s="2709">
        <f t="shared" ref="G932:M932" si="66">G672*(INDEX(COSTOS_TRASPORTE_PASAJEROS_BUSES_BRT,1,2))*COSTOS_2019_US_dolares_MMCOP</f>
        <v>0.47560971465036528</v>
      </c>
      <c r="H932" s="2709">
        <f t="shared" si="66"/>
        <v>0.55686705093469269</v>
      </c>
      <c r="I932" s="2709">
        <f t="shared" si="66"/>
        <v>0.58848519697732005</v>
      </c>
      <c r="J932" s="2709">
        <f t="shared" si="66"/>
        <v>0.6002362881574147</v>
      </c>
      <c r="K932" s="2709">
        <f t="shared" si="66"/>
        <v>0.60240508703534079</v>
      </c>
      <c r="L932" s="2709">
        <f t="shared" si="66"/>
        <v>0.59804897125942258</v>
      </c>
      <c r="M932" s="2709">
        <f t="shared" si="66"/>
        <v>0.58994716672360958</v>
      </c>
      <c r="N932" s="40"/>
    </row>
    <row r="933" spans="4:14" ht="15" customHeight="1">
      <c r="D933" s="40"/>
      <c r="E933" s="30" t="s">
        <v>2257</v>
      </c>
      <c r="F933" s="2714">
        <f>F683*(INDEX(COSTOS_TRASPORTE_PASAJEROS_BUSES_BRT,2,2))*COSTOS_2019_US_dolares_MMCOP</f>
        <v>4.8675214401648814</v>
      </c>
      <c r="G933" s="2714">
        <f t="shared" ref="G933:M933" si="67">G673*(INDEX(COSTOS_TRASPORTE_PASAJEROS_BUSES_BRT,2,2))*COSTOS_2019_US_dolares_MMCOP</f>
        <v>4.8341285424857636</v>
      </c>
      <c r="H933" s="2714">
        <f t="shared" si="67"/>
        <v>5.6039401222833805</v>
      </c>
      <c r="I933" s="2714">
        <f t="shared" si="67"/>
        <v>5.0047537824232133</v>
      </c>
      <c r="J933" s="2714">
        <f t="shared" si="67"/>
        <v>4.1359083633064815</v>
      </c>
      <c r="K933" s="2714">
        <f t="shared" si="67"/>
        <v>3.5201030973274698</v>
      </c>
      <c r="L933" s="2714">
        <f t="shared" si="67"/>
        <v>3.1982473905784428</v>
      </c>
      <c r="M933" s="2714">
        <f t="shared" si="67"/>
        <v>3.0408744333495616</v>
      </c>
      <c r="N933" s="40"/>
    </row>
    <row r="934" spans="4:14" ht="15" customHeight="1">
      <c r="D934" s="40"/>
      <c r="E934" s="30" t="s">
        <v>2250</v>
      </c>
      <c r="F934" s="2714">
        <f>F684*(INDEX(COSTOS_TRASPORTE_PASAJEROS_BUSES_BRT,3,2))*COSTOS_2019_US_dolares_MMCOP</f>
        <v>0</v>
      </c>
      <c r="G934" s="2714">
        <f t="shared" ref="G934:M934" si="68">G674*(INDEX(COSTOS_TRASPORTE_PASAJEROS_BUSES_BRT,3,2))*COSTOS_2019_US_dolares_MMCOP</f>
        <v>0</v>
      </c>
      <c r="H934" s="2714">
        <f t="shared" si="68"/>
        <v>0</v>
      </c>
      <c r="I934" s="2714">
        <f t="shared" si="68"/>
        <v>0</v>
      </c>
      <c r="J934" s="2714">
        <f t="shared" si="68"/>
        <v>0</v>
      </c>
      <c r="K934" s="2714">
        <f t="shared" si="68"/>
        <v>0</v>
      </c>
      <c r="L934" s="2714">
        <f t="shared" si="68"/>
        <v>0</v>
      </c>
      <c r="M934" s="2714">
        <f t="shared" si="68"/>
        <v>0</v>
      </c>
      <c r="N934" s="40"/>
    </row>
    <row r="935" spans="4:14" ht="15" customHeight="1">
      <c r="D935" s="40"/>
      <c r="E935" s="30" t="s">
        <v>893</v>
      </c>
      <c r="F935" s="2714">
        <f>F685*(INDEX(COSTOS_TRASPORTE_PASAJEROS_BUSES_BRT,4,2))*COSTOS_2019_US_dolares_MMCOP</f>
        <v>0.27399244021303421</v>
      </c>
      <c r="G935" s="2714">
        <f t="shared" ref="G935:M935" si="69">G675*(INDEX(COSTOS_TRASPORTE_PASAJEROS_BUSES_BRT,4,2))*COSTOS_2019_US_dolares_MMCOP</f>
        <v>2.132041112103833</v>
      </c>
      <c r="H935" s="2714">
        <f t="shared" si="69"/>
        <v>3.5702891164527411</v>
      </c>
      <c r="I935" s="2714">
        <f t="shared" si="69"/>
        <v>5.2626546497278639</v>
      </c>
      <c r="J935" s="2714">
        <f t="shared" si="69"/>
        <v>7.2738050964815093</v>
      </c>
      <c r="K935" s="2714">
        <f t="shared" si="69"/>
        <v>9.5975104096065191</v>
      </c>
      <c r="L935" s="2714">
        <f t="shared" si="69"/>
        <v>12.171506891620236</v>
      </c>
      <c r="M935" s="2714">
        <f t="shared" si="69"/>
        <v>14.95607790465875</v>
      </c>
      <c r="N935" s="40"/>
    </row>
    <row r="936" spans="4:14" ht="15" customHeight="1">
      <c r="D936" s="40"/>
      <c r="E936" s="30" t="s">
        <v>498</v>
      </c>
      <c r="F936" s="2714">
        <f>F686*(INDEX(COSTOS_TRASPORTE_PASAJEROS_BUSES_BRT,5,2))*COSTOS_2019_US_dolares_MMCOP</f>
        <v>0</v>
      </c>
      <c r="G936" s="2714">
        <f t="shared" ref="G936:M936" si="70">G676*(INDEX(COSTOS_TRASPORTE_PASAJEROS_BUSES_BRT,5,2))*COSTOS_2019_US_dolares_MMCOP</f>
        <v>0</v>
      </c>
      <c r="H936" s="2714">
        <f t="shared" si="70"/>
        <v>0</v>
      </c>
      <c r="I936" s="2714">
        <f t="shared" si="70"/>
        <v>0</v>
      </c>
      <c r="J936" s="2714">
        <f t="shared" si="70"/>
        <v>0</v>
      </c>
      <c r="K936" s="2714">
        <f t="shared" si="70"/>
        <v>0</v>
      </c>
      <c r="L936" s="2714">
        <f t="shared" si="70"/>
        <v>0</v>
      </c>
      <c r="M936" s="2714">
        <f t="shared" si="70"/>
        <v>0</v>
      </c>
      <c r="N936" s="40"/>
    </row>
    <row r="937" spans="4:14" ht="15" customHeight="1">
      <c r="D937" s="40"/>
      <c r="E937" s="30" t="s">
        <v>894</v>
      </c>
      <c r="F937" s="2714">
        <f>F687*(INDEX(COSTOS_TRASPORTE_PASAJEROS_BUSES_BRT,6,2))*COSTOS_2019_US_dolares_MMCOP</f>
        <v>0</v>
      </c>
      <c r="G937" s="2714">
        <f t="shared" ref="G937:M937" si="71">G677*(INDEX(COSTOS_TRASPORTE_PASAJEROS_BUSES_BRT,6,2))*COSTOS_2019_US_dolares_MMCOP</f>
        <v>3.6576792266036169E-2</v>
      </c>
      <c r="H937" s="2714">
        <f t="shared" si="71"/>
        <v>0.22046497035532497</v>
      </c>
      <c r="I937" s="2714">
        <f t="shared" si="71"/>
        <v>1.0962300936443108</v>
      </c>
      <c r="J937" s="2714">
        <f t="shared" si="71"/>
        <v>2.0261753523641213</v>
      </c>
      <c r="K937" s="2714">
        <f t="shared" si="71"/>
        <v>2.6979930358907609</v>
      </c>
      <c r="L937" s="2714">
        <f t="shared" si="71"/>
        <v>3.1371620299573322</v>
      </c>
      <c r="M937" s="2714">
        <f t="shared" si="71"/>
        <v>3.5053307589043947</v>
      </c>
      <c r="N937" s="40"/>
    </row>
    <row r="938" spans="4:14" ht="15" customHeight="1">
      <c r="D938" s="40"/>
      <c r="E938" s="32" t="s">
        <v>603</v>
      </c>
      <c r="F938" s="2715">
        <f>F688*(INDEX(COSTOS_TRASPORTE_PASAJEROS_BUSES_BRT,7,2))*COSTOS_2019_US_dolares_MMCOP</f>
        <v>0</v>
      </c>
      <c r="G938" s="2715">
        <f t="shared" ref="G938:M938" si="72">G678*(INDEX(COSTOS_TRASPORTE_PASAJEROS_BUSES_BRT,7,2))*COSTOS_2019_US_dolares_MMCOP</f>
        <v>0</v>
      </c>
      <c r="H938" s="2715">
        <f t="shared" si="72"/>
        <v>0</v>
      </c>
      <c r="I938" s="2715">
        <f t="shared" si="72"/>
        <v>0</v>
      </c>
      <c r="J938" s="2715">
        <f t="shared" si="72"/>
        <v>0</v>
      </c>
      <c r="K938" s="2715">
        <f t="shared" si="72"/>
        <v>0</v>
      </c>
      <c r="L938" s="2715">
        <f t="shared" si="72"/>
        <v>0</v>
      </c>
      <c r="M938" s="2715">
        <f t="shared" si="72"/>
        <v>0</v>
      </c>
      <c r="N938" s="40"/>
    </row>
    <row r="939" spans="4:14" ht="15" customHeight="1">
      <c r="D939" s="40"/>
      <c r="E939" s="26"/>
      <c r="F939" s="727"/>
      <c r="G939" s="727"/>
      <c r="H939" s="727"/>
      <c r="I939" s="727"/>
      <c r="J939" s="727"/>
      <c r="K939" s="727"/>
      <c r="L939" s="727"/>
      <c r="M939" s="733"/>
      <c r="N939" s="40"/>
    </row>
    <row r="940" spans="4:14" ht="15" customHeight="1">
      <c r="D940" s="40"/>
      <c r="E940" s="340" t="s">
        <v>2244</v>
      </c>
      <c r="F940" s="760"/>
      <c r="G940" s="760"/>
      <c r="H940" s="760"/>
      <c r="I940" s="760"/>
      <c r="J940" s="760"/>
      <c r="K940" s="760"/>
      <c r="L940" s="760"/>
      <c r="M940" s="343" t="s">
        <v>803</v>
      </c>
      <c r="N940" s="40"/>
    </row>
    <row r="941" spans="4:14" ht="15" customHeight="1">
      <c r="D941" s="40"/>
      <c r="E941" s="28" t="s">
        <v>859</v>
      </c>
      <c r="F941" s="762">
        <v>2018</v>
      </c>
      <c r="G941" s="762">
        <v>2020</v>
      </c>
      <c r="H941" s="762">
        <v>2025</v>
      </c>
      <c r="I941" s="762">
        <v>2030</v>
      </c>
      <c r="J941" s="762">
        <v>2035</v>
      </c>
      <c r="K941" s="762">
        <v>2040</v>
      </c>
      <c r="L941" s="762">
        <v>2045</v>
      </c>
      <c r="M941" s="762">
        <v>2050</v>
      </c>
      <c r="N941" s="40"/>
    </row>
    <row r="942" spans="4:14" ht="15" customHeight="1">
      <c r="D942" s="40"/>
      <c r="E942" s="337" t="s">
        <v>526</v>
      </c>
      <c r="F942" s="2709">
        <f t="shared" ref="F942:M942" si="73">F692*(INDEX(COSTOS_TRASPORTE_PASAJEROS_FERREO,1,2))*COSTOS_2019_US_dolares_MMCOP</f>
        <v>4.5086733869404204E-6</v>
      </c>
      <c r="G942" s="2709">
        <f t="shared" si="73"/>
        <v>5.1026950678858578E-6</v>
      </c>
      <c r="H942" s="2709">
        <f t="shared" si="73"/>
        <v>6.3641655397285428E-6</v>
      </c>
      <c r="I942" s="2709">
        <f t="shared" si="73"/>
        <v>7.3776605908822586E-6</v>
      </c>
      <c r="J942" s="2709">
        <f t="shared" si="73"/>
        <v>8.1947997098757418E-6</v>
      </c>
      <c r="K942" s="2709">
        <f t="shared" si="73"/>
        <v>8.9821461383861888E-6</v>
      </c>
      <c r="L942" s="2709">
        <f t="shared" si="73"/>
        <v>9.7868236809302899E-6</v>
      </c>
      <c r="M942" s="2709">
        <f t="shared" si="73"/>
        <v>1.0629261483370005E-5</v>
      </c>
      <c r="N942" s="40"/>
    </row>
    <row r="943" spans="4:14" ht="15" customHeight="1">
      <c r="D943" s="40"/>
      <c r="E943" s="32" t="s">
        <v>601</v>
      </c>
      <c r="F943" s="2715">
        <f t="shared" ref="F943:M943" si="74">F693*(INDEX(COSTOS_TRASPORTE_PASAJEROS_FERREO,2,2))*COSTOS_2019_US_dolares_MMCOP</f>
        <v>0</v>
      </c>
      <c r="G943" s="2715">
        <f t="shared" si="74"/>
        <v>0</v>
      </c>
      <c r="H943" s="2715">
        <f t="shared" si="74"/>
        <v>0</v>
      </c>
      <c r="I943" s="2715">
        <f t="shared" si="74"/>
        <v>0</v>
      </c>
      <c r="J943" s="2715">
        <f t="shared" si="74"/>
        <v>0</v>
      </c>
      <c r="K943" s="2715">
        <f t="shared" si="74"/>
        <v>0</v>
      </c>
      <c r="L943" s="2715">
        <f t="shared" si="74"/>
        <v>0</v>
      </c>
      <c r="M943" s="2715">
        <f t="shared" si="74"/>
        <v>0</v>
      </c>
      <c r="N943" s="40"/>
    </row>
    <row r="944" spans="4:14" ht="15" customHeight="1">
      <c r="D944" s="40"/>
      <c r="E944" s="30"/>
      <c r="F944" s="2714"/>
      <c r="G944" s="2714"/>
      <c r="H944" s="2714"/>
      <c r="I944" s="2714"/>
      <c r="J944" s="2714"/>
      <c r="K944" s="2714"/>
      <c r="L944" s="2714"/>
      <c r="M944" s="2714"/>
      <c r="N944" s="40"/>
    </row>
    <row r="945" spans="4:14" ht="15" customHeight="1">
      <c r="D945" s="40"/>
      <c r="E945" s="2677" t="s">
        <v>338</v>
      </c>
      <c r="F945" s="2759">
        <f t="shared" ref="F945:M945" si="75">F892+SUM(F896:F902)+SUM(F906:F912)+SUM(F916:F918)+SUM(F922:F928)+SUM(F932:F938)+SUM(F942:F943)</f>
        <v>679.14639252381278</v>
      </c>
      <c r="G945" s="2759">
        <f t="shared" si="75"/>
        <v>776.31957568474888</v>
      </c>
      <c r="H945" s="2759">
        <f t="shared" si="75"/>
        <v>1001.7673226098156</v>
      </c>
      <c r="I945" s="2759">
        <f t="shared" si="75"/>
        <v>1188.720900309595</v>
      </c>
      <c r="J945" s="2759">
        <f t="shared" si="75"/>
        <v>1334.7736913188321</v>
      </c>
      <c r="K945" s="2759">
        <f t="shared" si="75"/>
        <v>1474.7422050118905</v>
      </c>
      <c r="L945" s="2759">
        <f t="shared" si="75"/>
        <v>1618.2868965506314</v>
      </c>
      <c r="M945" s="2759">
        <f t="shared" si="75"/>
        <v>1770.067930696938</v>
      </c>
      <c r="N945" s="40"/>
    </row>
    <row r="946" spans="4:14" ht="15" customHeight="1">
      <c r="D946" s="40"/>
      <c r="E946" s="19"/>
      <c r="F946" s="754"/>
      <c r="G946" s="754"/>
      <c r="H946" s="754"/>
      <c r="I946" s="754"/>
      <c r="J946" s="754"/>
      <c r="K946" s="754"/>
      <c r="L946" s="754"/>
      <c r="M946" s="754"/>
      <c r="N946" s="40"/>
    </row>
    <row r="947" spans="4:14" ht="15" customHeight="1">
      <c r="D947" s="20"/>
      <c r="E947" s="23" t="s">
        <v>2291</v>
      </c>
      <c r="F947" s="839"/>
      <c r="G947" s="839"/>
      <c r="H947" s="2760"/>
      <c r="I947" s="2760"/>
      <c r="J947" s="2760"/>
      <c r="K947" s="2760"/>
      <c r="L947" s="2760"/>
      <c r="M947" s="2760"/>
      <c r="N947" s="20"/>
    </row>
    <row r="948" spans="4:14" ht="15" customHeight="1">
      <c r="D948" s="20"/>
      <c r="E948" s="340"/>
      <c r="F948" s="760"/>
      <c r="G948" s="760"/>
      <c r="H948" s="760"/>
      <c r="I948" s="760"/>
      <c r="J948" s="760"/>
      <c r="K948" s="760"/>
      <c r="L948" s="760"/>
      <c r="M948" s="343" t="s">
        <v>803</v>
      </c>
      <c r="N948" s="20"/>
    </row>
    <row r="949" spans="4:14" ht="15" customHeight="1">
      <c r="D949" s="20"/>
      <c r="E949" s="28" t="s">
        <v>859</v>
      </c>
      <c r="F949" s="762">
        <v>2018</v>
      </c>
      <c r="G949" s="762">
        <v>2020</v>
      </c>
      <c r="H949" s="762">
        <v>2025</v>
      </c>
      <c r="I949" s="762">
        <v>2030</v>
      </c>
      <c r="J949" s="762">
        <v>2035</v>
      </c>
      <c r="K949" s="762">
        <v>2040</v>
      </c>
      <c r="L949" s="762">
        <v>2045</v>
      </c>
      <c r="M949" s="762">
        <v>2050</v>
      </c>
      <c r="N949" s="27"/>
    </row>
    <row r="950" spans="4:14" ht="15" customHeight="1">
      <c r="D950" s="20"/>
      <c r="E950" s="279" t="s">
        <v>887</v>
      </c>
      <c r="F950" s="2715" cm="1">
        <f t="array" ref="F950:M950">F892:M892*0.8</f>
        <v>374.46855996625197</v>
      </c>
      <c r="G950" s="2731">
        <v>423.80512182426656</v>
      </c>
      <c r="H950" s="2731">
        <v>528.57674542404914</v>
      </c>
      <c r="I950" s="2731">
        <v>612.75273240899196</v>
      </c>
      <c r="J950" s="2731">
        <v>680.62034731937877</v>
      </c>
      <c r="K950" s="2731">
        <v>746.01352575028614</v>
      </c>
      <c r="L950" s="2731">
        <v>812.84614251655648</v>
      </c>
      <c r="M950" s="2732">
        <v>882.81494346241743</v>
      </c>
      <c r="N950" s="20"/>
    </row>
    <row r="951" spans="4:14" ht="15" customHeight="1">
      <c r="D951" s="20"/>
      <c r="E951" s="30"/>
      <c r="F951" s="740"/>
      <c r="G951" s="740"/>
      <c r="H951" s="740"/>
      <c r="I951" s="740"/>
      <c r="J951" s="740"/>
      <c r="K951" s="740"/>
      <c r="L951" s="740"/>
      <c r="M951" s="740"/>
      <c r="N951" s="27"/>
    </row>
    <row r="952" spans="4:14" ht="15" customHeight="1">
      <c r="D952" s="20"/>
      <c r="E952" s="340" t="s">
        <v>2249</v>
      </c>
      <c r="F952" s="760"/>
      <c r="G952" s="760"/>
      <c r="H952" s="760"/>
      <c r="I952" s="760"/>
      <c r="J952" s="760"/>
      <c r="K952" s="760"/>
      <c r="L952" s="760"/>
      <c r="M952" s="343" t="s">
        <v>803</v>
      </c>
      <c r="N952" s="387"/>
    </row>
    <row r="953" spans="4:14" ht="15" customHeight="1">
      <c r="D953" s="20"/>
      <c r="E953" s="28" t="s">
        <v>859</v>
      </c>
      <c r="F953" s="762">
        <v>2018</v>
      </c>
      <c r="G953" s="762">
        <v>2020</v>
      </c>
      <c r="H953" s="762">
        <v>2025</v>
      </c>
      <c r="I953" s="762">
        <v>2030</v>
      </c>
      <c r="J953" s="762">
        <v>2035</v>
      </c>
      <c r="K953" s="762">
        <v>2040</v>
      </c>
      <c r="L953" s="762">
        <v>2045</v>
      </c>
      <c r="M953" s="762">
        <v>2050</v>
      </c>
      <c r="N953" s="293"/>
    </row>
    <row r="954" spans="4:14" ht="15" customHeight="1">
      <c r="D954" s="20"/>
      <c r="E954" s="30" t="s">
        <v>889</v>
      </c>
      <c r="F954" s="2714" cm="1">
        <f t="array" ref="F954:M960">F896:M902*0.8</f>
        <v>132.113019321411</v>
      </c>
      <c r="G954" s="2714">
        <v>149.00441182378395</v>
      </c>
      <c r="H954" s="2714">
        <v>152.29231193246235</v>
      </c>
      <c r="I954" s="2714">
        <v>157.88536708993092</v>
      </c>
      <c r="J954" s="2714">
        <v>172.29925060788534</v>
      </c>
      <c r="K954" s="2714">
        <v>190.30246223153631</v>
      </c>
      <c r="L954" s="2714">
        <v>210.62415076503467</v>
      </c>
      <c r="M954" s="2733">
        <v>232.49008971236844</v>
      </c>
      <c r="N954" s="293"/>
    </row>
    <row r="955" spans="4:14" ht="15" customHeight="1">
      <c r="D955" s="20"/>
      <c r="E955" s="30" t="s">
        <v>2257</v>
      </c>
      <c r="F955" s="2714">
        <v>2.9485326438160313</v>
      </c>
      <c r="G955" s="2714">
        <v>3.9786187289382724</v>
      </c>
      <c r="H955" s="2714">
        <v>5.0508096659607284</v>
      </c>
      <c r="I955" s="2714">
        <v>5.9578744184035051</v>
      </c>
      <c r="J955" s="2714">
        <v>6.731859365978849</v>
      </c>
      <c r="K955" s="2714">
        <v>7.5037100934214607</v>
      </c>
      <c r="L955" s="2714">
        <v>8.3122056370631086</v>
      </c>
      <c r="M955" s="2733">
        <v>9.1757053712852024</v>
      </c>
      <c r="N955" s="293"/>
    </row>
    <row r="956" spans="4:14" ht="15" customHeight="1">
      <c r="D956" s="20"/>
      <c r="E956" s="30" t="s">
        <v>2250</v>
      </c>
      <c r="F956" s="2714">
        <v>0</v>
      </c>
      <c r="G956" s="2714">
        <v>0</v>
      </c>
      <c r="H956" s="2714">
        <v>0</v>
      </c>
      <c r="I956" s="2714">
        <v>0</v>
      </c>
      <c r="J956" s="2714">
        <v>0</v>
      </c>
      <c r="K956" s="2714">
        <v>0</v>
      </c>
      <c r="L956" s="2714">
        <v>0</v>
      </c>
      <c r="M956" s="2733">
        <v>0</v>
      </c>
      <c r="N956" s="293"/>
    </row>
    <row r="957" spans="4:14" ht="15" customHeight="1">
      <c r="D957" s="20"/>
      <c r="E957" s="30" t="s">
        <v>893</v>
      </c>
      <c r="F957" s="2714">
        <v>0.27027202381557647</v>
      </c>
      <c r="G957" s="2714">
        <v>6.2450114449557918E-3</v>
      </c>
      <c r="H957" s="2714">
        <v>7.9279685537084442E-3</v>
      </c>
      <c r="I957" s="2714">
        <v>9.3517364858100391E-3</v>
      </c>
      <c r="J957" s="2714">
        <v>1.0566616620132793E-2</v>
      </c>
      <c r="K957" s="2714">
        <v>1.1778146790545193E-2</v>
      </c>
      <c r="L957" s="2714">
        <v>1.3047196243943113E-2</v>
      </c>
      <c r="M957" s="2733">
        <v>1.4402582645688703E-2</v>
      </c>
      <c r="N957" s="293"/>
    </row>
    <row r="958" spans="4:14" ht="15" customHeight="1">
      <c r="D958" s="20"/>
      <c r="E958" s="30" t="s">
        <v>498</v>
      </c>
      <c r="F958" s="2714">
        <v>0</v>
      </c>
      <c r="G958" s="2714">
        <v>0</v>
      </c>
      <c r="H958" s="2714">
        <v>0</v>
      </c>
      <c r="I958" s="2714">
        <v>0</v>
      </c>
      <c r="J958" s="2714">
        <v>0</v>
      </c>
      <c r="K958" s="2714">
        <v>0</v>
      </c>
      <c r="L958" s="2714">
        <v>0</v>
      </c>
      <c r="M958" s="2733">
        <v>0</v>
      </c>
      <c r="N958" s="293"/>
    </row>
    <row r="959" spans="4:14" ht="15" customHeight="1">
      <c r="D959" s="20"/>
      <c r="E959" s="30" t="s">
        <v>894</v>
      </c>
      <c r="F959" s="2714">
        <v>0.34162383810288866</v>
      </c>
      <c r="G959" s="2714">
        <v>5.3257457602582985</v>
      </c>
      <c r="H959" s="2714">
        <v>65.748228809614872</v>
      </c>
      <c r="I959" s="2714">
        <v>112.36298422430478</v>
      </c>
      <c r="J959" s="2714">
        <v>136.71933912457419</v>
      </c>
      <c r="K959" s="2714">
        <v>155.19828462965586</v>
      </c>
      <c r="L959" s="2714">
        <v>172.21255266305391</v>
      </c>
      <c r="M959" s="2733">
        <v>190.12561298920741</v>
      </c>
      <c r="N959" s="293"/>
    </row>
    <row r="960" spans="4:14" ht="15" customHeight="1">
      <c r="D960" s="20"/>
      <c r="E960" s="32" t="s">
        <v>603</v>
      </c>
      <c r="F960" s="2715">
        <v>0</v>
      </c>
      <c r="G960" s="2715">
        <v>0</v>
      </c>
      <c r="H960" s="2715">
        <v>0</v>
      </c>
      <c r="I960" s="2715">
        <v>0</v>
      </c>
      <c r="J960" s="2715">
        <v>0</v>
      </c>
      <c r="K960" s="2715">
        <v>0</v>
      </c>
      <c r="L960" s="2715">
        <v>0</v>
      </c>
      <c r="M960" s="2732">
        <v>0</v>
      </c>
      <c r="N960" s="293"/>
    </row>
    <row r="961" spans="4:14" ht="15" customHeight="1">
      <c r="D961" s="20"/>
      <c r="E961" s="30"/>
      <c r="F961" s="1511"/>
      <c r="G961" s="1511"/>
      <c r="H961" s="1511"/>
      <c r="I961" s="1511"/>
      <c r="J961" s="1511"/>
      <c r="K961" s="1511"/>
      <c r="L961" s="1511"/>
      <c r="M961" s="1511"/>
      <c r="N961" s="293"/>
    </row>
    <row r="962" spans="4:14" ht="15" customHeight="1">
      <c r="D962" s="20"/>
      <c r="E962" s="340" t="s">
        <v>895</v>
      </c>
      <c r="F962" s="2722"/>
      <c r="G962" s="2722"/>
      <c r="H962" s="2722"/>
      <c r="I962" s="2722"/>
      <c r="J962" s="2722"/>
      <c r="K962" s="2722"/>
      <c r="L962" s="2722"/>
      <c r="M962" s="2723" t="s">
        <v>803</v>
      </c>
      <c r="N962" s="293"/>
    </row>
    <row r="963" spans="4:14" ht="15" customHeight="1">
      <c r="D963" s="20"/>
      <c r="E963" s="28" t="s">
        <v>859</v>
      </c>
      <c r="F963" s="2724">
        <v>2018</v>
      </c>
      <c r="G963" s="2724">
        <v>2020</v>
      </c>
      <c r="H963" s="2724">
        <v>2025</v>
      </c>
      <c r="I963" s="2724">
        <v>2030</v>
      </c>
      <c r="J963" s="2724">
        <v>2035</v>
      </c>
      <c r="K963" s="2724">
        <v>2040</v>
      </c>
      <c r="L963" s="2724">
        <v>2045</v>
      </c>
      <c r="M963" s="2724">
        <v>2050</v>
      </c>
      <c r="N963" s="293"/>
    </row>
    <row r="964" spans="4:14" ht="15" customHeight="1">
      <c r="D964" s="20"/>
      <c r="E964" s="30" t="s">
        <v>889</v>
      </c>
      <c r="F964" s="2714" cm="1">
        <f t="array" ref="F964:M970">F906:M912*0.8</f>
        <v>7.5878136276295685</v>
      </c>
      <c r="G964" s="2714">
        <v>8.4193935666168755</v>
      </c>
      <c r="H964" s="2714">
        <v>10.340077956126647</v>
      </c>
      <c r="I964" s="2714">
        <v>8.5556320958819168</v>
      </c>
      <c r="J964" s="2714">
        <v>8.8680668025431313</v>
      </c>
      <c r="K964" s="2714">
        <v>9.8027164329823648</v>
      </c>
      <c r="L964" s="2714">
        <v>10.829071910008096</v>
      </c>
      <c r="M964" s="2733">
        <v>12.029449636239331</v>
      </c>
      <c r="N964" s="293"/>
    </row>
    <row r="965" spans="4:14" ht="15" customHeight="1">
      <c r="D965" s="20"/>
      <c r="E965" s="30" t="s">
        <v>2257</v>
      </c>
      <c r="F965" s="2714">
        <v>9.3835973330526866E-3</v>
      </c>
      <c r="G965" s="2714">
        <v>1.0420747805217493E-2</v>
      </c>
      <c r="H965" s="2714">
        <v>1.2797993562662459E-2</v>
      </c>
      <c r="I965" s="2714">
        <v>1.4695312783541636E-2</v>
      </c>
      <c r="J965" s="2714">
        <v>1.6319807457851304E-2</v>
      </c>
      <c r="K965" s="2714">
        <v>1.810158745907868E-2</v>
      </c>
      <c r="L965" s="2714">
        <v>1.9998637808356999E-2</v>
      </c>
      <c r="M965" s="2733">
        <v>2.2215440834471523E-2</v>
      </c>
      <c r="N965" s="293"/>
    </row>
    <row r="966" spans="4:14" ht="15" customHeight="1">
      <c r="D966" s="20"/>
      <c r="E966" s="30" t="s">
        <v>2250</v>
      </c>
      <c r="F966" s="2714">
        <v>0</v>
      </c>
      <c r="G966" s="2714">
        <v>0</v>
      </c>
      <c r="H966" s="2714">
        <v>0</v>
      </c>
      <c r="I966" s="2714">
        <v>0</v>
      </c>
      <c r="J966" s="2714">
        <v>0</v>
      </c>
      <c r="K966" s="2714">
        <v>0</v>
      </c>
      <c r="L966" s="2714">
        <v>0</v>
      </c>
      <c r="M966" s="2733">
        <v>0</v>
      </c>
      <c r="N966" s="293"/>
    </row>
    <row r="967" spans="4:14" ht="15" customHeight="1">
      <c r="D967" s="20"/>
      <c r="E967" s="30" t="s">
        <v>893</v>
      </c>
      <c r="F967" s="2714">
        <v>1.7873518729624165E-3</v>
      </c>
      <c r="G967" s="2714">
        <v>1.9849043438509508E-3</v>
      </c>
      <c r="H967" s="2714">
        <v>2.4377130595547546E-3</v>
      </c>
      <c r="I967" s="2714">
        <v>2.7991071968650741E-3</v>
      </c>
      <c r="J967" s="2714">
        <v>3.10853475387644E-3</v>
      </c>
      <c r="K967" s="2714">
        <v>3.4479214207768917E-3</v>
      </c>
      <c r="L967" s="2714">
        <v>3.8092643444489526E-3</v>
      </c>
      <c r="M967" s="2733">
        <v>4.2315125398993368E-3</v>
      </c>
      <c r="N967" s="293"/>
    </row>
    <row r="968" spans="4:14" ht="15" customHeight="1">
      <c r="D968" s="20"/>
      <c r="E968" s="30" t="s">
        <v>498</v>
      </c>
      <c r="F968" s="2714">
        <v>0</v>
      </c>
      <c r="G968" s="2714">
        <v>0</v>
      </c>
      <c r="H968" s="2714">
        <v>0</v>
      </c>
      <c r="I968" s="2714">
        <v>0</v>
      </c>
      <c r="J968" s="2714">
        <v>0</v>
      </c>
      <c r="K968" s="2714">
        <v>0</v>
      </c>
      <c r="L968" s="2714">
        <v>0</v>
      </c>
      <c r="M968" s="2733">
        <v>0</v>
      </c>
      <c r="N968" s="293"/>
    </row>
    <row r="969" spans="4:14" ht="15" customHeight="1">
      <c r="D969" s="20"/>
      <c r="E969" s="30" t="s">
        <v>894</v>
      </c>
      <c r="F969" s="2714">
        <v>0</v>
      </c>
      <c r="G969" s="2714">
        <v>1.3497349538186463E-2</v>
      </c>
      <c r="H969" s="2714">
        <v>1.6576448804972329E-2</v>
      </c>
      <c r="I969" s="2714">
        <v>6.2635061922810387</v>
      </c>
      <c r="J969" s="2714">
        <v>8.1480912968609243</v>
      </c>
      <c r="K969" s="2714">
        <v>9.1008575485690191</v>
      </c>
      <c r="L969" s="2714">
        <v>10.056457869345236</v>
      </c>
      <c r="M969" s="2733">
        <v>11.171193105334249</v>
      </c>
      <c r="N969" s="293"/>
    </row>
    <row r="970" spans="4:14" ht="15" customHeight="1">
      <c r="D970" s="20"/>
      <c r="E970" s="32" t="s">
        <v>603</v>
      </c>
      <c r="F970" s="2715">
        <v>0</v>
      </c>
      <c r="G970" s="2715">
        <v>0</v>
      </c>
      <c r="H970" s="2715">
        <v>0</v>
      </c>
      <c r="I970" s="2715">
        <v>0</v>
      </c>
      <c r="J970" s="2715">
        <v>0</v>
      </c>
      <c r="K970" s="2715">
        <v>0</v>
      </c>
      <c r="L970" s="2715">
        <v>0</v>
      </c>
      <c r="M970" s="2732">
        <v>0</v>
      </c>
      <c r="N970" s="293"/>
    </row>
    <row r="971" spans="4:14" ht="15" customHeight="1">
      <c r="D971" s="20"/>
      <c r="E971" s="30"/>
      <c r="F971" s="1511"/>
      <c r="G971" s="1511"/>
      <c r="H971" s="1511"/>
      <c r="I971" s="1511"/>
      <c r="J971" s="1511"/>
      <c r="K971" s="1511"/>
      <c r="L971" s="1511"/>
      <c r="M971" s="1511"/>
      <c r="N971" s="293"/>
    </row>
    <row r="972" spans="4:14" ht="15" customHeight="1">
      <c r="D972" s="20"/>
      <c r="E972" s="340" t="s">
        <v>896</v>
      </c>
      <c r="F972" s="2722"/>
      <c r="G972" s="2722"/>
      <c r="H972" s="2722"/>
      <c r="I972" s="2722"/>
      <c r="J972" s="2722"/>
      <c r="K972" s="2722"/>
      <c r="L972" s="2722"/>
      <c r="M972" s="2723" t="s">
        <v>803</v>
      </c>
      <c r="N972" s="293"/>
    </row>
    <row r="973" spans="4:14" ht="15" customHeight="1">
      <c r="D973" s="20"/>
      <c r="E973" s="28" t="s">
        <v>859</v>
      </c>
      <c r="F973" s="2724">
        <v>2018</v>
      </c>
      <c r="G973" s="2724">
        <v>2020</v>
      </c>
      <c r="H973" s="2724">
        <v>2025</v>
      </c>
      <c r="I973" s="2724">
        <v>2030</v>
      </c>
      <c r="J973" s="2724">
        <v>2035</v>
      </c>
      <c r="K973" s="2724">
        <v>2040</v>
      </c>
      <c r="L973" s="2724">
        <v>2045</v>
      </c>
      <c r="M973" s="2724">
        <v>2050</v>
      </c>
      <c r="N973" s="293"/>
    </row>
    <row r="974" spans="4:14" ht="15" customHeight="1">
      <c r="D974" s="20"/>
      <c r="E974" s="30" t="s">
        <v>897</v>
      </c>
      <c r="F974" s="2714" cm="1">
        <f t="array" ref="F974:M976">F916:M918*0.8</f>
        <v>8.2961547282018362</v>
      </c>
      <c r="G974" s="2714">
        <v>9.5847103402195835</v>
      </c>
      <c r="H974" s="2714">
        <v>12.167677008028754</v>
      </c>
      <c r="I974" s="2714">
        <v>14.352845656824371</v>
      </c>
      <c r="J974" s="2714">
        <v>16.217417769814801</v>
      </c>
      <c r="K974" s="2714">
        <v>18.076848429660757</v>
      </c>
      <c r="L974" s="2714">
        <v>20.024558457967871</v>
      </c>
      <c r="M974" s="2733">
        <v>22.104776592763606</v>
      </c>
      <c r="N974" s="293"/>
    </row>
    <row r="975" spans="4:14" ht="15" customHeight="1">
      <c r="D975" s="20"/>
      <c r="E975" s="30" t="s">
        <v>898</v>
      </c>
      <c r="F975" s="2714">
        <v>10.012353553263781</v>
      </c>
      <c r="G975" s="2714">
        <v>11.567468517152626</v>
      </c>
      <c r="H975" s="2714">
        <v>14.684765185510024</v>
      </c>
      <c r="I975" s="2714">
        <v>17.321972639087928</v>
      </c>
      <c r="J975" s="2714">
        <v>19.572262783430823</v>
      </c>
      <c r="K975" s="2714">
        <v>21.816347878766489</v>
      </c>
      <c r="L975" s="2714">
        <v>24.166974411364325</v>
      </c>
      <c r="M975" s="2733">
        <v>26.677520575924621</v>
      </c>
      <c r="N975" s="293"/>
    </row>
    <row r="976" spans="4:14" ht="15" customHeight="1">
      <c r="D976" s="20"/>
      <c r="E976" s="32" t="s">
        <v>2262</v>
      </c>
      <c r="F976" s="2715">
        <v>0</v>
      </c>
      <c r="G976" s="2715">
        <v>0</v>
      </c>
      <c r="H976" s="2715">
        <v>0</v>
      </c>
      <c r="I976" s="2715">
        <v>0</v>
      </c>
      <c r="J976" s="2715">
        <v>0</v>
      </c>
      <c r="K976" s="2715">
        <v>0</v>
      </c>
      <c r="L976" s="2715">
        <v>0</v>
      </c>
      <c r="M976" s="2734">
        <v>0</v>
      </c>
      <c r="N976" s="293"/>
    </row>
    <row r="977" spans="4:14" ht="15" customHeight="1">
      <c r="D977" s="20"/>
      <c r="E977" s="30"/>
      <c r="F977" s="1511"/>
      <c r="G977" s="1511"/>
      <c r="H977" s="1511"/>
      <c r="I977" s="1511"/>
      <c r="J977" s="1511"/>
      <c r="K977" s="1511"/>
      <c r="L977" s="1511"/>
      <c r="M977" s="1511"/>
      <c r="N977" s="293"/>
    </row>
    <row r="978" spans="4:14" ht="15" customHeight="1">
      <c r="D978" s="20"/>
      <c r="E978" s="340" t="s">
        <v>899</v>
      </c>
      <c r="F978" s="2722"/>
      <c r="G978" s="2722"/>
      <c r="H978" s="2722"/>
      <c r="I978" s="2722"/>
      <c r="J978" s="2722"/>
      <c r="K978" s="2722"/>
      <c r="L978" s="2722"/>
      <c r="M978" s="2723" t="s">
        <v>803</v>
      </c>
      <c r="N978" s="293"/>
    </row>
    <row r="979" spans="4:14" ht="15" customHeight="1">
      <c r="D979" s="20"/>
      <c r="E979" s="28" t="s">
        <v>859</v>
      </c>
      <c r="F979" s="2724">
        <v>2018</v>
      </c>
      <c r="G979" s="2724">
        <v>2020</v>
      </c>
      <c r="H979" s="2724">
        <v>2025</v>
      </c>
      <c r="I979" s="2724">
        <v>2030</v>
      </c>
      <c r="J979" s="2724">
        <v>2035</v>
      </c>
      <c r="K979" s="2724">
        <v>2040</v>
      </c>
      <c r="L979" s="2724">
        <v>2045</v>
      </c>
      <c r="M979" s="2724">
        <v>2050</v>
      </c>
      <c r="N979" s="293"/>
    </row>
    <row r="980" spans="4:14" ht="15" customHeight="1">
      <c r="D980" s="20"/>
      <c r="E980" s="30" t="s">
        <v>889</v>
      </c>
      <c r="F980" s="2714" cm="1">
        <f t="array" ref="F980:M986">F922:M928*0.8</f>
        <v>0.23094041897583817</v>
      </c>
      <c r="G980" s="2714">
        <v>0.32860307557661605</v>
      </c>
      <c r="H980" s="2714">
        <v>0.38474450791851494</v>
      </c>
      <c r="I980" s="2714">
        <v>0.40658977245705752</v>
      </c>
      <c r="J980" s="2714">
        <v>0.41470870818148664</v>
      </c>
      <c r="K980" s="2714">
        <v>0.41620715104259909</v>
      </c>
      <c r="L980" s="2714">
        <v>0.41319747105196475</v>
      </c>
      <c r="M980" s="2733">
        <v>0.40759986064540304</v>
      </c>
      <c r="N980" s="293"/>
    </row>
    <row r="981" spans="4:14" ht="15" customHeight="1">
      <c r="D981" s="20"/>
      <c r="E981" s="30" t="s">
        <v>2257</v>
      </c>
      <c r="F981" s="2714">
        <v>2.0929473952754263</v>
      </c>
      <c r="G981" s="2714">
        <v>2.0574051076819413</v>
      </c>
      <c r="H981" s="2714">
        <v>2.385036916043807</v>
      </c>
      <c r="I981" s="2714">
        <v>2.1300232097993197</v>
      </c>
      <c r="J981" s="2714">
        <v>1.7602425994232385</v>
      </c>
      <c r="K981" s="2714">
        <v>1.4981558782225715</v>
      </c>
      <c r="L981" s="2714">
        <v>1.3611740894301854</v>
      </c>
      <c r="M981" s="2733">
        <v>1.2941961588335735</v>
      </c>
      <c r="N981" s="293"/>
    </row>
    <row r="982" spans="4:14" ht="15" customHeight="1">
      <c r="D982" s="20"/>
      <c r="E982" s="30" t="s">
        <v>2250</v>
      </c>
      <c r="F982" s="2714">
        <v>0</v>
      </c>
      <c r="G982" s="2714">
        <v>0</v>
      </c>
      <c r="H982" s="2714">
        <v>0</v>
      </c>
      <c r="I982" s="2714">
        <v>0</v>
      </c>
      <c r="J982" s="2714">
        <v>0</v>
      </c>
      <c r="K982" s="2714">
        <v>0</v>
      </c>
      <c r="L982" s="2714">
        <v>0</v>
      </c>
      <c r="M982" s="2733">
        <v>0</v>
      </c>
      <c r="N982" s="293"/>
    </row>
    <row r="983" spans="4:14" ht="15" customHeight="1">
      <c r="D983" s="20"/>
      <c r="E983" s="30" t="s">
        <v>893</v>
      </c>
      <c r="F983" s="2714">
        <v>0.52933063497297272</v>
      </c>
      <c r="G983" s="2714">
        <v>0.93276798654542703</v>
      </c>
      <c r="H983" s="2714">
        <v>1.5620014884480744</v>
      </c>
      <c r="I983" s="2714">
        <v>2.3024114092559405</v>
      </c>
      <c r="J983" s="2714">
        <v>3.1822897297106607</v>
      </c>
      <c r="K983" s="2714">
        <v>4.1989108042028525</v>
      </c>
      <c r="L983" s="2714">
        <v>5.325034265083854</v>
      </c>
      <c r="M983" s="2733">
        <v>6.5432840832882029</v>
      </c>
      <c r="N983" s="388"/>
    </row>
    <row r="984" spans="4:14" ht="15" customHeight="1">
      <c r="D984" s="20"/>
      <c r="E984" s="30" t="s">
        <v>498</v>
      </c>
      <c r="F984" s="2714">
        <v>0</v>
      </c>
      <c r="G984" s="2714">
        <v>0</v>
      </c>
      <c r="H984" s="2714">
        <v>0</v>
      </c>
      <c r="I984" s="2714">
        <v>0</v>
      </c>
      <c r="J984" s="2714">
        <v>0</v>
      </c>
      <c r="K984" s="2714">
        <v>0</v>
      </c>
      <c r="L984" s="2714">
        <v>0</v>
      </c>
      <c r="M984" s="2733">
        <v>0</v>
      </c>
      <c r="N984" s="20"/>
    </row>
    <row r="985" spans="4:14" ht="15" customHeight="1">
      <c r="D985" s="20"/>
      <c r="E985" s="30" t="s">
        <v>894</v>
      </c>
      <c r="F985" s="2714">
        <v>6.946984207452731E-3</v>
      </c>
      <c r="G985" s="2714">
        <v>3.6576792266036169E-2</v>
      </c>
      <c r="H985" s="2714">
        <v>0.22046497035532497</v>
      </c>
      <c r="I985" s="2714">
        <v>1.0962300936443108</v>
      </c>
      <c r="J985" s="2714">
        <v>2.0261753523641217</v>
      </c>
      <c r="K985" s="2714">
        <v>2.6979930358907609</v>
      </c>
      <c r="L985" s="2714">
        <v>3.1371620299573326</v>
      </c>
      <c r="M985" s="2733">
        <v>3.5053307589043947</v>
      </c>
      <c r="N985" s="27"/>
    </row>
    <row r="986" spans="4:14" ht="15" customHeight="1">
      <c r="D986" s="20"/>
      <c r="E986" s="32" t="s">
        <v>603</v>
      </c>
      <c r="F986" s="2715">
        <v>0</v>
      </c>
      <c r="G986" s="2715">
        <v>0</v>
      </c>
      <c r="H986" s="2715">
        <v>0</v>
      </c>
      <c r="I986" s="2715">
        <v>0</v>
      </c>
      <c r="J986" s="2715">
        <v>0</v>
      </c>
      <c r="K986" s="2715">
        <v>0</v>
      </c>
      <c r="L986" s="2715">
        <v>0</v>
      </c>
      <c r="M986" s="2732">
        <v>0</v>
      </c>
      <c r="N986" s="387"/>
    </row>
    <row r="987" spans="4:14" ht="15" customHeight="1">
      <c r="D987" s="20"/>
      <c r="E987" s="35"/>
      <c r="F987" s="2728"/>
      <c r="G987" s="2728"/>
      <c r="H987" s="2728"/>
      <c r="I987" s="2728"/>
      <c r="J987" s="2728"/>
      <c r="K987" s="2728"/>
      <c r="L987" s="2728"/>
      <c r="M987" s="2728"/>
      <c r="N987" s="293"/>
    </row>
    <row r="988" spans="4:14" ht="15" customHeight="1">
      <c r="D988" s="20"/>
      <c r="E988" s="340" t="s">
        <v>900</v>
      </c>
      <c r="F988" s="2722"/>
      <c r="G988" s="2722"/>
      <c r="H988" s="2722"/>
      <c r="I988" s="2722"/>
      <c r="J988" s="2722"/>
      <c r="K988" s="2722"/>
      <c r="L988" s="2722"/>
      <c r="M988" s="2723" t="s">
        <v>803</v>
      </c>
      <c r="N988" s="293"/>
    </row>
    <row r="989" spans="4:14" ht="15" customHeight="1">
      <c r="D989" s="20"/>
      <c r="E989" s="28" t="s">
        <v>859</v>
      </c>
      <c r="F989" s="2724">
        <v>2018</v>
      </c>
      <c r="G989" s="2724">
        <v>2020</v>
      </c>
      <c r="H989" s="2724">
        <v>2025</v>
      </c>
      <c r="I989" s="2724">
        <v>2030</v>
      </c>
      <c r="J989" s="2724">
        <v>2035</v>
      </c>
      <c r="K989" s="2724">
        <v>2040</v>
      </c>
      <c r="L989" s="2724">
        <v>2045</v>
      </c>
      <c r="M989" s="2724">
        <v>2050</v>
      </c>
      <c r="N989" s="293"/>
    </row>
    <row r="990" spans="4:14" ht="15" customHeight="1">
      <c r="D990" s="20"/>
      <c r="E990" s="30" t="s">
        <v>889</v>
      </c>
      <c r="F990" s="2714" cm="1">
        <f t="array" ref="F990:M996">F932:M938*0.8</f>
        <v>0.29423322267882612</v>
      </c>
      <c r="G990" s="2714">
        <v>0.38048777172029224</v>
      </c>
      <c r="H990" s="2714">
        <v>0.44549364074775416</v>
      </c>
      <c r="I990" s="2714">
        <v>0.47078815758185605</v>
      </c>
      <c r="J990" s="2714">
        <v>0.48018903052593176</v>
      </c>
      <c r="K990" s="2714">
        <v>0.48192406962827267</v>
      </c>
      <c r="L990" s="2714">
        <v>0.47843917700753807</v>
      </c>
      <c r="M990" s="2735">
        <v>0.47195773337888769</v>
      </c>
      <c r="N990" s="293"/>
    </row>
    <row r="991" spans="4:14" ht="15" customHeight="1">
      <c r="D991" s="20"/>
      <c r="E991" s="30" t="s">
        <v>2257</v>
      </c>
      <c r="F991" s="2714">
        <v>3.8940171521319051</v>
      </c>
      <c r="G991" s="2714">
        <v>3.8673028339886111</v>
      </c>
      <c r="H991" s="2714">
        <v>4.4831520978267045</v>
      </c>
      <c r="I991" s="2714">
        <v>4.0038030259385708</v>
      </c>
      <c r="J991" s="2714">
        <v>3.3087266906451855</v>
      </c>
      <c r="K991" s="2714">
        <v>2.816082477861976</v>
      </c>
      <c r="L991" s="2714">
        <v>2.5585979124627545</v>
      </c>
      <c r="M991" s="2735">
        <v>2.4326995466796495</v>
      </c>
      <c r="N991" s="293"/>
    </row>
    <row r="992" spans="4:14" ht="15" customHeight="1">
      <c r="D992" s="20"/>
      <c r="E992" s="30" t="s">
        <v>2250</v>
      </c>
      <c r="F992" s="2714">
        <v>0</v>
      </c>
      <c r="G992" s="2714">
        <v>0</v>
      </c>
      <c r="H992" s="2714">
        <v>0</v>
      </c>
      <c r="I992" s="2714">
        <v>0</v>
      </c>
      <c r="J992" s="2714">
        <v>0</v>
      </c>
      <c r="K992" s="2714">
        <v>0</v>
      </c>
      <c r="L992" s="2714">
        <v>0</v>
      </c>
      <c r="M992" s="2735">
        <v>0</v>
      </c>
      <c r="N992" s="293"/>
    </row>
    <row r="993" spans="4:14" ht="15" customHeight="1">
      <c r="D993" s="20"/>
      <c r="E993" s="30" t="s">
        <v>893</v>
      </c>
      <c r="F993" s="2714">
        <v>0.21919395217042736</v>
      </c>
      <c r="G993" s="2714">
        <v>1.7056328896830664</v>
      </c>
      <c r="H993" s="2714">
        <v>2.8562312931621929</v>
      </c>
      <c r="I993" s="2714">
        <v>4.2101237197822909</v>
      </c>
      <c r="J993" s="2714">
        <v>5.8190440771852074</v>
      </c>
      <c r="K993" s="2714">
        <v>7.678008327685216</v>
      </c>
      <c r="L993" s="2714">
        <v>9.737205513296189</v>
      </c>
      <c r="M993" s="2735">
        <v>11.964862323727001</v>
      </c>
      <c r="N993" s="293"/>
    </row>
    <row r="994" spans="4:14" ht="15" customHeight="1">
      <c r="D994" s="20"/>
      <c r="E994" s="30" t="s">
        <v>498</v>
      </c>
      <c r="F994" s="2714">
        <v>0</v>
      </c>
      <c r="G994" s="2714">
        <v>0</v>
      </c>
      <c r="H994" s="2714">
        <v>0</v>
      </c>
      <c r="I994" s="2714">
        <v>0</v>
      </c>
      <c r="J994" s="2714">
        <v>0</v>
      </c>
      <c r="K994" s="2714">
        <v>0</v>
      </c>
      <c r="L994" s="2714">
        <v>0</v>
      </c>
      <c r="M994" s="2735">
        <v>0</v>
      </c>
      <c r="N994" s="293"/>
    </row>
    <row r="995" spans="4:14" ht="15" customHeight="1">
      <c r="D995" s="20"/>
      <c r="E995" s="30" t="s">
        <v>894</v>
      </c>
      <c r="F995" s="2714">
        <v>0</v>
      </c>
      <c r="G995" s="2714">
        <v>2.9261433812828936E-2</v>
      </c>
      <c r="H995" s="2714">
        <v>0.17637197628425999</v>
      </c>
      <c r="I995" s="2714">
        <v>0.87698407491544872</v>
      </c>
      <c r="J995" s="2714">
        <v>1.620940281891297</v>
      </c>
      <c r="K995" s="2714">
        <v>2.1583944287126089</v>
      </c>
      <c r="L995" s="2714">
        <v>2.5097296239658657</v>
      </c>
      <c r="M995" s="2735">
        <v>2.8042646071235158</v>
      </c>
      <c r="N995" s="293"/>
    </row>
    <row r="996" spans="4:14" ht="15" customHeight="1">
      <c r="D996" s="20"/>
      <c r="E996" s="32" t="s">
        <v>603</v>
      </c>
      <c r="F996" s="2715">
        <v>0</v>
      </c>
      <c r="G996" s="2715">
        <v>0</v>
      </c>
      <c r="H996" s="2715">
        <v>0</v>
      </c>
      <c r="I996" s="2715">
        <v>0</v>
      </c>
      <c r="J996" s="2715">
        <v>0</v>
      </c>
      <c r="K996" s="2715">
        <v>0</v>
      </c>
      <c r="L996" s="2715">
        <v>0</v>
      </c>
      <c r="M996" s="2736">
        <v>0</v>
      </c>
      <c r="N996" s="293"/>
    </row>
    <row r="997" spans="4:14" ht="15" customHeight="1">
      <c r="D997" s="20"/>
      <c r="E997" s="26"/>
      <c r="F997" s="788"/>
      <c r="G997" s="788"/>
      <c r="H997" s="788"/>
      <c r="I997" s="788"/>
      <c r="J997" s="788"/>
      <c r="K997" s="788"/>
      <c r="L997" s="788"/>
      <c r="M997" s="2728"/>
      <c r="N997" s="293"/>
    </row>
    <row r="998" spans="4:14" ht="15" customHeight="1">
      <c r="D998" s="20"/>
      <c r="E998" s="340" t="s">
        <v>2244</v>
      </c>
      <c r="F998" s="2722"/>
      <c r="G998" s="2722"/>
      <c r="H998" s="2722"/>
      <c r="I998" s="2722"/>
      <c r="J998" s="2722"/>
      <c r="K998" s="2722"/>
      <c r="L998" s="2722"/>
      <c r="M998" s="2723" t="s">
        <v>803</v>
      </c>
      <c r="N998" s="293"/>
    </row>
    <row r="999" spans="4:14" ht="15" customHeight="1">
      <c r="D999" s="20"/>
      <c r="E999" s="28" t="s">
        <v>859</v>
      </c>
      <c r="F999" s="2724">
        <v>2018</v>
      </c>
      <c r="G999" s="2724">
        <v>2020</v>
      </c>
      <c r="H999" s="2724">
        <v>2025</v>
      </c>
      <c r="I999" s="2724">
        <v>2030</v>
      </c>
      <c r="J999" s="2724">
        <v>2035</v>
      </c>
      <c r="K999" s="2724">
        <v>2040</v>
      </c>
      <c r="L999" s="2724">
        <v>2045</v>
      </c>
      <c r="M999" s="2724">
        <v>2050</v>
      </c>
      <c r="N999" s="293"/>
    </row>
    <row r="1000" spans="4:14" ht="15" customHeight="1">
      <c r="D1000" s="20"/>
      <c r="E1000" s="337" t="s">
        <v>526</v>
      </c>
      <c r="F1000" s="2714" cm="1">
        <f t="array" ref="F1000:M1001">F942:M943*0.8</f>
        <v>3.6069387095523365E-6</v>
      </c>
      <c r="G1000" s="2714">
        <v>4.0821560543086864E-6</v>
      </c>
      <c r="H1000" s="2714">
        <v>5.0913324317828349E-6</v>
      </c>
      <c r="I1000" s="2714">
        <v>5.9021284727058069E-6</v>
      </c>
      <c r="J1000" s="2714">
        <v>6.5558397679005942E-6</v>
      </c>
      <c r="K1000" s="2714">
        <v>7.1857169107089516E-6</v>
      </c>
      <c r="L1000" s="2714">
        <v>7.8294589447442323E-6</v>
      </c>
      <c r="M1000" s="2735">
        <v>8.5034091866960043E-6</v>
      </c>
      <c r="N1000" s="293"/>
    </row>
    <row r="1001" spans="4:14" ht="15" customHeight="1">
      <c r="D1001" s="20"/>
      <c r="E1001" s="32" t="s">
        <v>601</v>
      </c>
      <c r="F1001" s="2715">
        <v>0</v>
      </c>
      <c r="G1001" s="2715">
        <v>0</v>
      </c>
      <c r="H1001" s="2715">
        <v>0</v>
      </c>
      <c r="I1001" s="2715">
        <v>0</v>
      </c>
      <c r="J1001" s="2715">
        <v>0</v>
      </c>
      <c r="K1001" s="2715">
        <v>0</v>
      </c>
      <c r="L1001" s="2715">
        <v>0</v>
      </c>
      <c r="M1001" s="2736">
        <v>0</v>
      </c>
      <c r="N1001" s="293"/>
    </row>
    <row r="1002" spans="4:14" ht="15" customHeight="1">
      <c r="D1002" s="20"/>
      <c r="E1002" s="289"/>
      <c r="F1002" s="779"/>
      <c r="G1002" s="741"/>
      <c r="H1002" s="2714"/>
      <c r="I1002" s="2714"/>
      <c r="J1002" s="2714"/>
      <c r="K1002" s="2714"/>
      <c r="L1002" s="2714"/>
      <c r="M1002" s="2714"/>
      <c r="N1002" s="293"/>
    </row>
    <row r="1003" spans="4:14" ht="15" customHeight="1">
      <c r="D1003" s="20"/>
      <c r="E1003" s="2677" t="s">
        <v>338</v>
      </c>
      <c r="F1003" s="2759">
        <f t="shared" ref="F1003:M1003" si="76">F950+SUM(F954:F960)+SUM(F964:F970)+SUM(F974:F976)+SUM(F980:F986)+SUM(F990:F996)+SUM(F1000:F1001)</f>
        <v>543.31711401905022</v>
      </c>
      <c r="G1003" s="2759">
        <f t="shared" si="76"/>
        <v>621.05566054779911</v>
      </c>
      <c r="H1003" s="2759">
        <f t="shared" si="76"/>
        <v>801.41385808785253</v>
      </c>
      <c r="I1003" s="2759">
        <f t="shared" si="76"/>
        <v>950.97672024767587</v>
      </c>
      <c r="J1003" s="2759">
        <f t="shared" si="76"/>
        <v>1067.8189530550655</v>
      </c>
      <c r="K1003" s="2759">
        <f t="shared" si="76"/>
        <v>1179.7937640095124</v>
      </c>
      <c r="L1003" s="2759">
        <f t="shared" si="76"/>
        <v>1294.629517240505</v>
      </c>
      <c r="M1003" s="2759">
        <f t="shared" si="76"/>
        <v>1416.0543445575504</v>
      </c>
      <c r="N1003" s="293"/>
    </row>
    <row r="1004" spans="4:14" ht="15" customHeight="1">
      <c r="D1004" s="20"/>
      <c r="E1004" s="289"/>
      <c r="F1004" s="779"/>
      <c r="G1004" s="741"/>
      <c r="H1004" s="2714"/>
      <c r="I1004" s="2714"/>
      <c r="J1004" s="2714"/>
      <c r="K1004" s="2714"/>
      <c r="L1004" s="2714"/>
      <c r="M1004" s="2714"/>
      <c r="N1004" s="293"/>
    </row>
    <row r="1005" spans="4:14" ht="15" customHeight="1">
      <c r="D1005" s="20"/>
      <c r="E1005" s="23" t="s">
        <v>2292</v>
      </c>
      <c r="F1005" s="2739"/>
      <c r="G1005" s="2739"/>
      <c r="H1005" s="2761"/>
      <c r="I1005" s="2761"/>
      <c r="J1005" s="2761"/>
      <c r="K1005" s="2761"/>
      <c r="L1005" s="2761"/>
      <c r="M1005" s="2761"/>
      <c r="N1005" s="20"/>
    </row>
    <row r="1006" spans="4:14" ht="15" customHeight="1">
      <c r="D1006" s="20"/>
      <c r="E1006" s="340"/>
      <c r="F1006" s="2722"/>
      <c r="G1006" s="2722"/>
      <c r="H1006" s="2722"/>
      <c r="I1006" s="2722"/>
      <c r="J1006" s="2722"/>
      <c r="K1006" s="2722"/>
      <c r="L1006" s="2722"/>
      <c r="M1006" s="2723" t="s">
        <v>803</v>
      </c>
      <c r="N1006" s="20"/>
    </row>
    <row r="1007" spans="4:14" ht="15" customHeight="1">
      <c r="D1007" s="20"/>
      <c r="E1007" s="28" t="s">
        <v>859</v>
      </c>
      <c r="F1007" s="2724">
        <v>2018</v>
      </c>
      <c r="G1007" s="2724">
        <v>2020</v>
      </c>
      <c r="H1007" s="2724">
        <v>2025</v>
      </c>
      <c r="I1007" s="2724">
        <v>2030</v>
      </c>
      <c r="J1007" s="2724">
        <v>2035</v>
      </c>
      <c r="K1007" s="2724">
        <v>2040</v>
      </c>
      <c r="L1007" s="2724">
        <v>2045</v>
      </c>
      <c r="M1007" s="2724">
        <v>2050</v>
      </c>
      <c r="N1007" s="27"/>
    </row>
    <row r="1008" spans="4:14" ht="15" customHeight="1">
      <c r="D1008" s="20"/>
      <c r="E1008" s="279" t="s">
        <v>887</v>
      </c>
      <c r="F1008" s="2715" cm="1">
        <f t="array" ref="F1008:M1008">F892:M892*0.7</f>
        <v>327.65998997047046</v>
      </c>
      <c r="G1008" s="2731">
        <v>370.82948159623322</v>
      </c>
      <c r="H1008" s="2731">
        <v>462.50465224604295</v>
      </c>
      <c r="I1008" s="2731">
        <v>536.15864085786791</v>
      </c>
      <c r="J1008" s="2731">
        <v>595.54280390445638</v>
      </c>
      <c r="K1008" s="2731">
        <v>652.76183503150037</v>
      </c>
      <c r="L1008" s="2731">
        <v>711.24037470198687</v>
      </c>
      <c r="M1008" s="2732">
        <v>772.46307552961525</v>
      </c>
      <c r="N1008" s="20"/>
    </row>
    <row r="1009" spans="4:14" ht="15" customHeight="1">
      <c r="D1009" s="20"/>
      <c r="E1009" s="30"/>
      <c r="F1009" s="1511"/>
      <c r="G1009" s="1511"/>
      <c r="H1009" s="1511"/>
      <c r="I1009" s="1511"/>
      <c r="J1009" s="1511"/>
      <c r="K1009" s="1511"/>
      <c r="L1009" s="1511"/>
      <c r="M1009" s="1511"/>
      <c r="N1009" s="27"/>
    </row>
    <row r="1010" spans="4:14" ht="15" customHeight="1">
      <c r="D1010" s="20"/>
      <c r="E1010" s="340" t="s">
        <v>2249</v>
      </c>
      <c r="F1010" s="2722"/>
      <c r="G1010" s="2722"/>
      <c r="H1010" s="2722"/>
      <c r="I1010" s="2722"/>
      <c r="J1010" s="2722"/>
      <c r="K1010" s="2722"/>
      <c r="L1010" s="2722"/>
      <c r="M1010" s="2723" t="s">
        <v>803</v>
      </c>
      <c r="N1010" s="387"/>
    </row>
    <row r="1011" spans="4:14" ht="15" customHeight="1">
      <c r="D1011" s="20"/>
      <c r="E1011" s="28" t="s">
        <v>859</v>
      </c>
      <c r="F1011" s="2724">
        <v>2018</v>
      </c>
      <c r="G1011" s="2724">
        <v>2020</v>
      </c>
      <c r="H1011" s="2724">
        <v>2025</v>
      </c>
      <c r="I1011" s="2724">
        <v>2030</v>
      </c>
      <c r="J1011" s="2724">
        <v>2035</v>
      </c>
      <c r="K1011" s="2724">
        <v>2040</v>
      </c>
      <c r="L1011" s="2724">
        <v>2045</v>
      </c>
      <c r="M1011" s="2724">
        <v>2050</v>
      </c>
      <c r="N1011" s="293"/>
    </row>
    <row r="1012" spans="4:14" ht="15" customHeight="1">
      <c r="D1012" s="20"/>
      <c r="E1012" s="30" t="s">
        <v>889</v>
      </c>
      <c r="F1012" s="2714" cm="1">
        <f t="array" ref="F1012:M1018">F896:M902*0.7</f>
        <v>115.59889190623461</v>
      </c>
      <c r="G1012" s="2714">
        <v>130.37886034581095</v>
      </c>
      <c r="H1012" s="2714">
        <v>133.25577294090454</v>
      </c>
      <c r="I1012" s="2714">
        <v>138.14969620368956</v>
      </c>
      <c r="J1012" s="2714">
        <v>150.76184428189964</v>
      </c>
      <c r="K1012" s="2714">
        <v>166.51465445259424</v>
      </c>
      <c r="L1012" s="2714">
        <v>184.29613191940533</v>
      </c>
      <c r="M1012" s="2733">
        <v>203.42882849832239</v>
      </c>
      <c r="N1012" s="293"/>
    </row>
    <row r="1013" spans="4:14" ht="15" customHeight="1">
      <c r="D1013" s="20"/>
      <c r="E1013" s="30" t="s">
        <v>2257</v>
      </c>
      <c r="F1013" s="2714">
        <v>2.5799660633390271</v>
      </c>
      <c r="G1013" s="2714">
        <v>3.4812913878209883</v>
      </c>
      <c r="H1013" s="2714">
        <v>4.4194584577156366</v>
      </c>
      <c r="I1013" s="2714">
        <v>5.2131401161030659</v>
      </c>
      <c r="J1013" s="2714">
        <v>5.8903769452314929</v>
      </c>
      <c r="K1013" s="2714">
        <v>6.5657463317437781</v>
      </c>
      <c r="L1013" s="2714">
        <v>7.2731799324302191</v>
      </c>
      <c r="M1013" s="2733">
        <v>8.0287421998745501</v>
      </c>
      <c r="N1013" s="293"/>
    </row>
    <row r="1014" spans="4:14" ht="15" customHeight="1">
      <c r="D1014" s="20"/>
      <c r="E1014" s="30" t="s">
        <v>2250</v>
      </c>
      <c r="F1014" s="2714">
        <v>0</v>
      </c>
      <c r="G1014" s="2714">
        <v>0</v>
      </c>
      <c r="H1014" s="2714">
        <v>0</v>
      </c>
      <c r="I1014" s="2714">
        <v>0</v>
      </c>
      <c r="J1014" s="2714">
        <v>0</v>
      </c>
      <c r="K1014" s="2714">
        <v>0</v>
      </c>
      <c r="L1014" s="2714">
        <v>0</v>
      </c>
      <c r="M1014" s="2733">
        <v>0</v>
      </c>
      <c r="N1014" s="293"/>
    </row>
    <row r="1015" spans="4:14" ht="15" customHeight="1">
      <c r="D1015" s="20"/>
      <c r="E1015" s="30" t="s">
        <v>893</v>
      </c>
      <c r="F1015" s="2714">
        <v>0.23648802083862938</v>
      </c>
      <c r="G1015" s="2714">
        <v>5.4643850143363173E-3</v>
      </c>
      <c r="H1015" s="2714">
        <v>6.9369724844948874E-3</v>
      </c>
      <c r="I1015" s="2714">
        <v>8.1827694250837836E-3</v>
      </c>
      <c r="J1015" s="2714">
        <v>9.2457895426161941E-3</v>
      </c>
      <c r="K1015" s="2714">
        <v>1.0305878441727043E-2</v>
      </c>
      <c r="L1015" s="2714">
        <v>1.1416296713450224E-2</v>
      </c>
      <c r="M1015" s="2733">
        <v>1.2602259814977614E-2</v>
      </c>
      <c r="N1015" s="293"/>
    </row>
    <row r="1016" spans="4:14" ht="15" customHeight="1">
      <c r="D1016" s="20"/>
      <c r="E1016" s="30" t="s">
        <v>498</v>
      </c>
      <c r="F1016" s="2714">
        <v>0</v>
      </c>
      <c r="G1016" s="2714">
        <v>0</v>
      </c>
      <c r="H1016" s="2714">
        <v>0</v>
      </c>
      <c r="I1016" s="2714">
        <v>0</v>
      </c>
      <c r="J1016" s="2714">
        <v>0</v>
      </c>
      <c r="K1016" s="2714">
        <v>0</v>
      </c>
      <c r="L1016" s="2714">
        <v>0</v>
      </c>
      <c r="M1016" s="2733">
        <v>0</v>
      </c>
      <c r="N1016" s="293"/>
    </row>
    <row r="1017" spans="4:14" ht="15" customHeight="1">
      <c r="D1017" s="20"/>
      <c r="E1017" s="30" t="s">
        <v>894</v>
      </c>
      <c r="F1017" s="2714">
        <v>0.29892085834002752</v>
      </c>
      <c r="G1017" s="2714">
        <v>4.660027540226011</v>
      </c>
      <c r="H1017" s="2714">
        <v>57.529700208413004</v>
      </c>
      <c r="I1017" s="2714">
        <v>98.317611196266668</v>
      </c>
      <c r="J1017" s="2714">
        <v>119.62942173400241</v>
      </c>
      <c r="K1017" s="2714">
        <v>135.79849905094883</v>
      </c>
      <c r="L1017" s="2714">
        <v>150.68598358017215</v>
      </c>
      <c r="M1017" s="2733">
        <v>166.35991136555646</v>
      </c>
      <c r="N1017" s="293"/>
    </row>
    <row r="1018" spans="4:14" ht="15" customHeight="1">
      <c r="D1018" s="20"/>
      <c r="E1018" s="32" t="s">
        <v>603</v>
      </c>
      <c r="F1018" s="2715">
        <v>0</v>
      </c>
      <c r="G1018" s="2715">
        <v>0</v>
      </c>
      <c r="H1018" s="2715">
        <v>0</v>
      </c>
      <c r="I1018" s="2715">
        <v>0</v>
      </c>
      <c r="J1018" s="2715">
        <v>0</v>
      </c>
      <c r="K1018" s="2715">
        <v>0</v>
      </c>
      <c r="L1018" s="2715">
        <v>0</v>
      </c>
      <c r="M1018" s="2732">
        <v>0</v>
      </c>
      <c r="N1018" s="293"/>
    </row>
    <row r="1019" spans="4:14" ht="15" customHeight="1">
      <c r="D1019" s="20"/>
      <c r="E1019" s="30"/>
      <c r="F1019" s="1511"/>
      <c r="G1019" s="1511"/>
      <c r="H1019" s="1511"/>
      <c r="I1019" s="1511"/>
      <c r="J1019" s="1511"/>
      <c r="K1019" s="1511"/>
      <c r="L1019" s="1511"/>
      <c r="M1019" s="1511"/>
      <c r="N1019" s="293"/>
    </row>
    <row r="1020" spans="4:14" ht="15" customHeight="1">
      <c r="D1020" s="20"/>
      <c r="E1020" s="340" t="s">
        <v>895</v>
      </c>
      <c r="F1020" s="2722"/>
      <c r="G1020" s="2722"/>
      <c r="H1020" s="2722"/>
      <c r="I1020" s="2722"/>
      <c r="J1020" s="2722"/>
      <c r="K1020" s="2722"/>
      <c r="L1020" s="2722"/>
      <c r="M1020" s="2723" t="s">
        <v>803</v>
      </c>
      <c r="N1020" s="293"/>
    </row>
    <row r="1021" spans="4:14" ht="15" customHeight="1">
      <c r="D1021" s="20"/>
      <c r="E1021" s="28" t="s">
        <v>859</v>
      </c>
      <c r="F1021" s="2724">
        <v>2018</v>
      </c>
      <c r="G1021" s="2724">
        <v>2020</v>
      </c>
      <c r="H1021" s="2724">
        <v>2025</v>
      </c>
      <c r="I1021" s="2724">
        <v>2030</v>
      </c>
      <c r="J1021" s="2724">
        <v>2035</v>
      </c>
      <c r="K1021" s="2724">
        <v>2040</v>
      </c>
      <c r="L1021" s="2724">
        <v>2045</v>
      </c>
      <c r="M1021" s="2724">
        <v>2050</v>
      </c>
      <c r="N1021" s="293"/>
    </row>
    <row r="1022" spans="4:14" ht="15" customHeight="1">
      <c r="D1022" s="20"/>
      <c r="E1022" s="30" t="s">
        <v>889</v>
      </c>
      <c r="F1022" s="2714" cm="1">
        <f t="array" ref="F1022:M1028">F906:M912*0.7</f>
        <v>6.6393369241758711</v>
      </c>
      <c r="G1022" s="2714">
        <v>7.3669693707897652</v>
      </c>
      <c r="H1022" s="2714">
        <v>9.0475682116108143</v>
      </c>
      <c r="I1022" s="2714">
        <v>7.486178083896676</v>
      </c>
      <c r="J1022" s="2714">
        <v>7.7595584522252388</v>
      </c>
      <c r="K1022" s="2714">
        <v>8.5773768788595675</v>
      </c>
      <c r="L1022" s="2714">
        <v>9.4754379212570825</v>
      </c>
      <c r="M1022" s="2733">
        <v>10.525768431709414</v>
      </c>
      <c r="N1022" s="293"/>
    </row>
    <row r="1023" spans="4:14" ht="15" customHeight="1">
      <c r="D1023" s="20"/>
      <c r="E1023" s="30" t="s">
        <v>2257</v>
      </c>
      <c r="F1023" s="2714">
        <v>8.2106476664211003E-3</v>
      </c>
      <c r="G1023" s="2714">
        <v>9.1181543295653054E-3</v>
      </c>
      <c r="H1023" s="2714">
        <v>1.1198244367329649E-2</v>
      </c>
      <c r="I1023" s="2714">
        <v>1.2858398685598932E-2</v>
      </c>
      <c r="J1023" s="2714">
        <v>1.4279831525619889E-2</v>
      </c>
      <c r="K1023" s="2714">
        <v>1.5838889026693843E-2</v>
      </c>
      <c r="L1023" s="2714">
        <v>1.7498808082312373E-2</v>
      </c>
      <c r="M1023" s="2733">
        <v>1.9438510730162579E-2</v>
      </c>
      <c r="N1023" s="293"/>
    </row>
    <row r="1024" spans="4:14" ht="15" customHeight="1">
      <c r="D1024" s="20"/>
      <c r="E1024" s="30" t="s">
        <v>2250</v>
      </c>
      <c r="F1024" s="2714">
        <v>0</v>
      </c>
      <c r="G1024" s="2714">
        <v>0</v>
      </c>
      <c r="H1024" s="2714">
        <v>0</v>
      </c>
      <c r="I1024" s="2714">
        <v>0</v>
      </c>
      <c r="J1024" s="2714">
        <v>0</v>
      </c>
      <c r="K1024" s="2714">
        <v>0</v>
      </c>
      <c r="L1024" s="2714">
        <v>0</v>
      </c>
      <c r="M1024" s="2733">
        <v>0</v>
      </c>
      <c r="N1024" s="293"/>
    </row>
    <row r="1025" spans="4:14" ht="15" customHeight="1">
      <c r="D1025" s="20"/>
      <c r="E1025" s="30" t="s">
        <v>893</v>
      </c>
      <c r="F1025" s="2714">
        <v>1.5639328888421144E-3</v>
      </c>
      <c r="G1025" s="2714">
        <v>1.7367913008695818E-3</v>
      </c>
      <c r="H1025" s="2714">
        <v>2.1329989271104102E-3</v>
      </c>
      <c r="I1025" s="2714">
        <v>2.4492187972569397E-3</v>
      </c>
      <c r="J1025" s="2714">
        <v>2.7199679096418846E-3</v>
      </c>
      <c r="K1025" s="2714">
        <v>3.0169312431797797E-3</v>
      </c>
      <c r="L1025" s="2714">
        <v>3.3331063013928332E-3</v>
      </c>
      <c r="M1025" s="2733">
        <v>3.7025734724119193E-3</v>
      </c>
      <c r="N1025" s="293"/>
    </row>
    <row r="1026" spans="4:14" ht="15" customHeight="1">
      <c r="D1026" s="20"/>
      <c r="E1026" s="30" t="s">
        <v>498</v>
      </c>
      <c r="F1026" s="2714">
        <v>0</v>
      </c>
      <c r="G1026" s="2714">
        <v>0</v>
      </c>
      <c r="H1026" s="2714">
        <v>0</v>
      </c>
      <c r="I1026" s="2714">
        <v>0</v>
      </c>
      <c r="J1026" s="2714">
        <v>0</v>
      </c>
      <c r="K1026" s="2714">
        <v>0</v>
      </c>
      <c r="L1026" s="2714">
        <v>0</v>
      </c>
      <c r="M1026" s="2733">
        <v>0</v>
      </c>
      <c r="N1026" s="293"/>
    </row>
    <row r="1027" spans="4:14" ht="15" customHeight="1">
      <c r="D1027" s="20"/>
      <c r="E1027" s="30" t="s">
        <v>894</v>
      </c>
      <c r="F1027" s="2714">
        <v>0</v>
      </c>
      <c r="G1027" s="2714">
        <v>1.1810180845913154E-2</v>
      </c>
      <c r="H1027" s="2714">
        <v>1.4504392704350787E-2</v>
      </c>
      <c r="I1027" s="2714">
        <v>5.4805679182459084</v>
      </c>
      <c r="J1027" s="2714">
        <v>7.1295798847533076</v>
      </c>
      <c r="K1027" s="2714">
        <v>7.963250354997891</v>
      </c>
      <c r="L1027" s="2714">
        <v>8.7994006356770793</v>
      </c>
      <c r="M1027" s="2733">
        <v>9.7747939671674668</v>
      </c>
      <c r="N1027" s="293"/>
    </row>
    <row r="1028" spans="4:14" ht="15" customHeight="1">
      <c r="D1028" s="20"/>
      <c r="E1028" s="32" t="s">
        <v>603</v>
      </c>
      <c r="F1028" s="2715">
        <v>0</v>
      </c>
      <c r="G1028" s="2715">
        <v>0</v>
      </c>
      <c r="H1028" s="2715">
        <v>0</v>
      </c>
      <c r="I1028" s="2715">
        <v>0</v>
      </c>
      <c r="J1028" s="2715">
        <v>0</v>
      </c>
      <c r="K1028" s="2715">
        <v>0</v>
      </c>
      <c r="L1028" s="2715">
        <v>0</v>
      </c>
      <c r="M1028" s="2732">
        <v>0</v>
      </c>
      <c r="N1028" s="293"/>
    </row>
    <row r="1029" spans="4:14" ht="15" customHeight="1">
      <c r="D1029" s="20"/>
      <c r="E1029" s="30"/>
      <c r="F1029" s="1511"/>
      <c r="G1029" s="1511"/>
      <c r="H1029" s="1511"/>
      <c r="I1029" s="1511"/>
      <c r="J1029" s="1511"/>
      <c r="K1029" s="1511"/>
      <c r="L1029" s="1511"/>
      <c r="M1029" s="1511"/>
      <c r="N1029" s="293"/>
    </row>
    <row r="1030" spans="4:14" ht="15" customHeight="1">
      <c r="D1030" s="20"/>
      <c r="E1030" s="340" t="s">
        <v>896</v>
      </c>
      <c r="F1030" s="2722"/>
      <c r="G1030" s="2722"/>
      <c r="H1030" s="2722"/>
      <c r="I1030" s="2722"/>
      <c r="J1030" s="2722"/>
      <c r="K1030" s="2722"/>
      <c r="L1030" s="2722"/>
      <c r="M1030" s="2723" t="s">
        <v>803</v>
      </c>
      <c r="N1030" s="293"/>
    </row>
    <row r="1031" spans="4:14" ht="15" customHeight="1">
      <c r="D1031" s="20"/>
      <c r="E1031" s="28" t="s">
        <v>859</v>
      </c>
      <c r="F1031" s="2724">
        <v>2018</v>
      </c>
      <c r="G1031" s="2724">
        <v>2020</v>
      </c>
      <c r="H1031" s="2724">
        <v>2025</v>
      </c>
      <c r="I1031" s="2724">
        <v>2030</v>
      </c>
      <c r="J1031" s="2724">
        <v>2035</v>
      </c>
      <c r="K1031" s="2724">
        <v>2040</v>
      </c>
      <c r="L1031" s="2724">
        <v>2045</v>
      </c>
      <c r="M1031" s="2724">
        <v>2050</v>
      </c>
      <c r="N1031" s="293"/>
    </row>
    <row r="1032" spans="4:14" ht="15" customHeight="1">
      <c r="D1032" s="20"/>
      <c r="E1032" s="30" t="s">
        <v>897</v>
      </c>
      <c r="F1032" s="2714" cm="1">
        <f t="array" ref="F1032:M1034">F916:M918*0.7</f>
        <v>7.259135387176606</v>
      </c>
      <c r="G1032" s="2714">
        <v>8.3866215476921351</v>
      </c>
      <c r="H1032" s="2714">
        <v>10.646717382025157</v>
      </c>
      <c r="I1032" s="2714">
        <v>12.558739949721325</v>
      </c>
      <c r="J1032" s="2714">
        <v>14.190240548587949</v>
      </c>
      <c r="K1032" s="2714">
        <v>15.81724237595316</v>
      </c>
      <c r="L1032" s="2714">
        <v>17.521488650721881</v>
      </c>
      <c r="M1032" s="2733">
        <v>19.341679518668155</v>
      </c>
      <c r="N1032" s="293"/>
    </row>
    <row r="1033" spans="4:14" ht="15" customHeight="1">
      <c r="D1033" s="20"/>
      <c r="E1033" s="30" t="s">
        <v>898</v>
      </c>
      <c r="F1033" s="2714">
        <v>8.7608093591058065</v>
      </c>
      <c r="G1033" s="2714">
        <v>10.121534952508547</v>
      </c>
      <c r="H1033" s="2714">
        <v>12.849169537321268</v>
      </c>
      <c r="I1033" s="2714">
        <v>15.156726059201935</v>
      </c>
      <c r="J1033" s="2714">
        <v>17.125729935501969</v>
      </c>
      <c r="K1033" s="2714">
        <v>19.089304393920674</v>
      </c>
      <c r="L1033" s="2714">
        <v>21.146102609943782</v>
      </c>
      <c r="M1033" s="2733">
        <v>23.342830503934042</v>
      </c>
      <c r="N1033" s="293"/>
    </row>
    <row r="1034" spans="4:14" ht="15" customHeight="1">
      <c r="D1034" s="20"/>
      <c r="E1034" s="32" t="s">
        <v>2262</v>
      </c>
      <c r="F1034" s="2715">
        <v>0</v>
      </c>
      <c r="G1034" s="2715">
        <v>0</v>
      </c>
      <c r="H1034" s="2715">
        <v>0</v>
      </c>
      <c r="I1034" s="2715">
        <v>0</v>
      </c>
      <c r="J1034" s="2715">
        <v>0</v>
      </c>
      <c r="K1034" s="2715">
        <v>0</v>
      </c>
      <c r="L1034" s="2715">
        <v>0</v>
      </c>
      <c r="M1034" s="2734">
        <v>0</v>
      </c>
      <c r="N1034" s="293"/>
    </row>
    <row r="1035" spans="4:14" ht="15" customHeight="1">
      <c r="D1035" s="20"/>
      <c r="E1035" s="30"/>
      <c r="F1035" s="1511"/>
      <c r="G1035" s="1511"/>
      <c r="H1035" s="1511"/>
      <c r="I1035" s="1511"/>
      <c r="J1035" s="1511"/>
      <c r="K1035" s="1511"/>
      <c r="L1035" s="1511"/>
      <c r="M1035" s="1511"/>
      <c r="N1035" s="293"/>
    </row>
    <row r="1036" spans="4:14" ht="15" customHeight="1">
      <c r="D1036" s="20"/>
      <c r="E1036" s="340" t="s">
        <v>899</v>
      </c>
      <c r="F1036" s="2722"/>
      <c r="G1036" s="2722"/>
      <c r="H1036" s="2722"/>
      <c r="I1036" s="2722"/>
      <c r="J1036" s="2722"/>
      <c r="K1036" s="2722"/>
      <c r="L1036" s="2722"/>
      <c r="M1036" s="2723" t="s">
        <v>803</v>
      </c>
      <c r="N1036" s="293"/>
    </row>
    <row r="1037" spans="4:14" ht="15" customHeight="1">
      <c r="D1037" s="20"/>
      <c r="E1037" s="28" t="s">
        <v>859</v>
      </c>
      <c r="F1037" s="2724">
        <v>2018</v>
      </c>
      <c r="G1037" s="2724">
        <v>2020</v>
      </c>
      <c r="H1037" s="2724">
        <v>2025</v>
      </c>
      <c r="I1037" s="2724">
        <v>2030</v>
      </c>
      <c r="J1037" s="2724">
        <v>2035</v>
      </c>
      <c r="K1037" s="2724">
        <v>2040</v>
      </c>
      <c r="L1037" s="2724">
        <v>2045</v>
      </c>
      <c r="M1037" s="2724">
        <v>2050</v>
      </c>
      <c r="N1037" s="293"/>
    </row>
    <row r="1038" spans="4:14" ht="15" customHeight="1">
      <c r="D1038" s="20"/>
      <c r="E1038" s="30" t="s">
        <v>889</v>
      </c>
      <c r="F1038" s="2714" cm="1">
        <f t="array" ref="F1038:M1044">F922:M928*0.7</f>
        <v>0.2020728666038584</v>
      </c>
      <c r="G1038" s="2714">
        <v>0.28752769112953896</v>
      </c>
      <c r="H1038" s="2714">
        <v>0.33665144442870054</v>
      </c>
      <c r="I1038" s="2714">
        <v>0.35576605089992525</v>
      </c>
      <c r="J1038" s="2714">
        <v>0.36287011965880073</v>
      </c>
      <c r="K1038" s="2714">
        <v>0.36418125716227412</v>
      </c>
      <c r="L1038" s="2714">
        <v>0.36154778717046909</v>
      </c>
      <c r="M1038" s="2733">
        <v>0.35664987806472764</v>
      </c>
      <c r="N1038" s="293"/>
    </row>
    <row r="1039" spans="4:14" ht="15" customHeight="1">
      <c r="D1039" s="20"/>
      <c r="E1039" s="30" t="s">
        <v>2257</v>
      </c>
      <c r="F1039" s="2714">
        <v>1.8313289708659977</v>
      </c>
      <c r="G1039" s="2714">
        <v>1.8002294692216985</v>
      </c>
      <c r="H1039" s="2714">
        <v>2.0869073015383308</v>
      </c>
      <c r="I1039" s="2714">
        <v>1.8637703085744044</v>
      </c>
      <c r="J1039" s="2714">
        <v>1.5402122744953335</v>
      </c>
      <c r="K1039" s="2714">
        <v>1.3108863934447499</v>
      </c>
      <c r="L1039" s="2714">
        <v>1.1910273282514121</v>
      </c>
      <c r="M1039" s="2733">
        <v>1.1324216389793766</v>
      </c>
      <c r="N1039" s="293"/>
    </row>
    <row r="1040" spans="4:14" ht="15" customHeight="1">
      <c r="D1040" s="20"/>
      <c r="E1040" s="30" t="s">
        <v>2250</v>
      </c>
      <c r="F1040" s="2714">
        <v>0</v>
      </c>
      <c r="G1040" s="2714">
        <v>0</v>
      </c>
      <c r="H1040" s="2714">
        <v>0</v>
      </c>
      <c r="I1040" s="2714">
        <v>0</v>
      </c>
      <c r="J1040" s="2714">
        <v>0</v>
      </c>
      <c r="K1040" s="2714">
        <v>0</v>
      </c>
      <c r="L1040" s="2714">
        <v>0</v>
      </c>
      <c r="M1040" s="2733">
        <v>0</v>
      </c>
      <c r="N1040" s="293"/>
    </row>
    <row r="1041" spans="4:14" ht="15" customHeight="1">
      <c r="D1041" s="20"/>
      <c r="E1041" s="30" t="s">
        <v>893</v>
      </c>
      <c r="F1041" s="2714">
        <v>0.46316430560135108</v>
      </c>
      <c r="G1041" s="2714">
        <v>0.81617198822724857</v>
      </c>
      <c r="H1041" s="2714">
        <v>1.3667513023920648</v>
      </c>
      <c r="I1041" s="2714">
        <v>2.0146099830989477</v>
      </c>
      <c r="J1041" s="2714">
        <v>2.7845035134968277</v>
      </c>
      <c r="K1041" s="2714">
        <v>3.6740469536774953</v>
      </c>
      <c r="L1041" s="2714">
        <v>4.6594049819483718</v>
      </c>
      <c r="M1041" s="2733">
        <v>5.7253735728771762</v>
      </c>
      <c r="N1041" s="388"/>
    </row>
    <row r="1042" spans="4:14" ht="15" customHeight="1">
      <c r="D1042" s="20"/>
      <c r="E1042" s="30" t="s">
        <v>498</v>
      </c>
      <c r="F1042" s="2714">
        <v>0</v>
      </c>
      <c r="G1042" s="2714">
        <v>0</v>
      </c>
      <c r="H1042" s="2714">
        <v>0</v>
      </c>
      <c r="I1042" s="2714">
        <v>0</v>
      </c>
      <c r="J1042" s="2714">
        <v>0</v>
      </c>
      <c r="K1042" s="2714">
        <v>0</v>
      </c>
      <c r="L1042" s="2714">
        <v>0</v>
      </c>
      <c r="M1042" s="2733">
        <v>0</v>
      </c>
      <c r="N1042" s="20"/>
    </row>
    <row r="1043" spans="4:14" ht="15" customHeight="1">
      <c r="D1043" s="20"/>
      <c r="E1043" s="30" t="s">
        <v>894</v>
      </c>
      <c r="F1043" s="2714">
        <v>6.0786111815211387E-3</v>
      </c>
      <c r="G1043" s="2714">
        <v>3.2004693232781642E-2</v>
      </c>
      <c r="H1043" s="2714">
        <v>0.19290684906090935</v>
      </c>
      <c r="I1043" s="2714">
        <v>0.95920133193877177</v>
      </c>
      <c r="J1043" s="2714">
        <v>1.7729034333186062</v>
      </c>
      <c r="K1043" s="2714">
        <v>2.3607439064044158</v>
      </c>
      <c r="L1043" s="2714">
        <v>2.7450167762126654</v>
      </c>
      <c r="M1043" s="2733">
        <v>3.0671644140413452</v>
      </c>
      <c r="N1043" s="27"/>
    </row>
    <row r="1044" spans="4:14" ht="15" customHeight="1">
      <c r="D1044" s="20"/>
      <c r="E1044" s="32" t="s">
        <v>603</v>
      </c>
      <c r="F1044" s="2715">
        <v>0</v>
      </c>
      <c r="G1044" s="2715">
        <v>0</v>
      </c>
      <c r="H1044" s="2715">
        <v>0</v>
      </c>
      <c r="I1044" s="2715">
        <v>0</v>
      </c>
      <c r="J1044" s="2715">
        <v>0</v>
      </c>
      <c r="K1044" s="2715">
        <v>0</v>
      </c>
      <c r="L1044" s="2715">
        <v>0</v>
      </c>
      <c r="M1044" s="2732">
        <v>0</v>
      </c>
      <c r="N1044" s="387"/>
    </row>
    <row r="1045" spans="4:14" ht="15" customHeight="1">
      <c r="D1045" s="20"/>
      <c r="E1045" s="35"/>
      <c r="F1045" s="2728"/>
      <c r="G1045" s="2728"/>
      <c r="H1045" s="2728"/>
      <c r="I1045" s="2728"/>
      <c r="J1045" s="2728"/>
      <c r="K1045" s="2728"/>
      <c r="L1045" s="2728"/>
      <c r="M1045" s="2728"/>
      <c r="N1045" s="293"/>
    </row>
    <row r="1046" spans="4:14" ht="15" customHeight="1">
      <c r="D1046" s="20"/>
      <c r="E1046" s="340" t="s">
        <v>900</v>
      </c>
      <c r="F1046" s="2722"/>
      <c r="G1046" s="2722"/>
      <c r="H1046" s="2722"/>
      <c r="I1046" s="2722"/>
      <c r="J1046" s="2722"/>
      <c r="K1046" s="2722"/>
      <c r="L1046" s="2722"/>
      <c r="M1046" s="2723" t="s">
        <v>803</v>
      </c>
      <c r="N1046" s="293"/>
    </row>
    <row r="1047" spans="4:14" ht="15" customHeight="1">
      <c r="D1047" s="20"/>
      <c r="E1047" s="28" t="s">
        <v>859</v>
      </c>
      <c r="F1047" s="2724">
        <v>2018</v>
      </c>
      <c r="G1047" s="2724">
        <v>2020</v>
      </c>
      <c r="H1047" s="2724">
        <v>2025</v>
      </c>
      <c r="I1047" s="2724">
        <v>2030</v>
      </c>
      <c r="J1047" s="2724">
        <v>2035</v>
      </c>
      <c r="K1047" s="2724">
        <v>2040</v>
      </c>
      <c r="L1047" s="2724">
        <v>2045</v>
      </c>
      <c r="M1047" s="2724">
        <v>2050</v>
      </c>
      <c r="N1047" s="293"/>
    </row>
    <row r="1048" spans="4:14" ht="15" customHeight="1">
      <c r="D1048" s="20"/>
      <c r="E1048" s="30" t="s">
        <v>889</v>
      </c>
      <c r="F1048" s="2714" cm="1">
        <f t="array" ref="F1048:M1054">F932:M938*0.7</f>
        <v>0.25745406984397284</v>
      </c>
      <c r="G1048" s="2714">
        <v>0.33292680025525567</v>
      </c>
      <c r="H1048" s="2714">
        <v>0.38980693565428487</v>
      </c>
      <c r="I1048" s="2714">
        <v>0.41193963788412402</v>
      </c>
      <c r="J1048" s="2714">
        <v>0.42016540171019029</v>
      </c>
      <c r="K1048" s="2714">
        <v>0.42168356092473852</v>
      </c>
      <c r="L1048" s="2714">
        <v>0.41863427988159579</v>
      </c>
      <c r="M1048" s="2735">
        <v>0.41296301670652669</v>
      </c>
      <c r="N1048" s="293"/>
    </row>
    <row r="1049" spans="4:14" ht="15" customHeight="1">
      <c r="D1049" s="20"/>
      <c r="E1049" s="30" t="s">
        <v>2257</v>
      </c>
      <c r="F1049" s="2714">
        <v>3.407265008115417</v>
      </c>
      <c r="G1049" s="2714">
        <v>3.3838899797400344</v>
      </c>
      <c r="H1049" s="2714">
        <v>3.9227580855983661</v>
      </c>
      <c r="I1049" s="2714">
        <v>3.5033276476962492</v>
      </c>
      <c r="J1049" s="2714">
        <v>2.8951358543145367</v>
      </c>
      <c r="K1049" s="2714">
        <v>2.4640721681292286</v>
      </c>
      <c r="L1049" s="2714">
        <v>2.2387731734049097</v>
      </c>
      <c r="M1049" s="2735">
        <v>2.1286121033446932</v>
      </c>
      <c r="N1049" s="293"/>
    </row>
    <row r="1050" spans="4:14" ht="15" customHeight="1">
      <c r="D1050" s="20"/>
      <c r="E1050" s="30" t="s">
        <v>2250</v>
      </c>
      <c r="F1050" s="2714">
        <v>0</v>
      </c>
      <c r="G1050" s="2714">
        <v>0</v>
      </c>
      <c r="H1050" s="2714">
        <v>0</v>
      </c>
      <c r="I1050" s="2714">
        <v>0</v>
      </c>
      <c r="J1050" s="2714">
        <v>0</v>
      </c>
      <c r="K1050" s="2714">
        <v>0</v>
      </c>
      <c r="L1050" s="2714">
        <v>0</v>
      </c>
      <c r="M1050" s="2735">
        <v>0</v>
      </c>
      <c r="N1050" s="293"/>
    </row>
    <row r="1051" spans="4:14" ht="15" customHeight="1">
      <c r="D1051" s="20"/>
      <c r="E1051" s="30" t="s">
        <v>893</v>
      </c>
      <c r="F1051" s="2714">
        <v>0.19179470814912394</v>
      </c>
      <c r="G1051" s="2714">
        <v>1.4924287784726831</v>
      </c>
      <c r="H1051" s="2714">
        <v>2.4992023815169184</v>
      </c>
      <c r="I1051" s="2714">
        <v>3.6838582548095045</v>
      </c>
      <c r="J1051" s="2714">
        <v>5.0916635675370561</v>
      </c>
      <c r="K1051" s="2714">
        <v>6.7182572867245627</v>
      </c>
      <c r="L1051" s="2714">
        <v>8.5200548241341654</v>
      </c>
      <c r="M1051" s="2735">
        <v>10.469254533261125</v>
      </c>
      <c r="N1051" s="293"/>
    </row>
    <row r="1052" spans="4:14" ht="15" customHeight="1">
      <c r="D1052" s="20"/>
      <c r="E1052" s="30" t="s">
        <v>498</v>
      </c>
      <c r="F1052" s="2714">
        <v>0</v>
      </c>
      <c r="G1052" s="2714">
        <v>0</v>
      </c>
      <c r="H1052" s="2714">
        <v>0</v>
      </c>
      <c r="I1052" s="2714">
        <v>0</v>
      </c>
      <c r="J1052" s="2714">
        <v>0</v>
      </c>
      <c r="K1052" s="2714">
        <v>0</v>
      </c>
      <c r="L1052" s="2714">
        <v>0</v>
      </c>
      <c r="M1052" s="2735">
        <v>0</v>
      </c>
      <c r="N1052" s="293"/>
    </row>
    <row r="1053" spans="4:14" ht="15" customHeight="1">
      <c r="D1053" s="20"/>
      <c r="E1053" s="30" t="s">
        <v>894</v>
      </c>
      <c r="F1053" s="2714">
        <v>0</v>
      </c>
      <c r="G1053" s="2714">
        <v>2.5603754586225318E-2</v>
      </c>
      <c r="H1053" s="2714">
        <v>0.15432547924872747</v>
      </c>
      <c r="I1053" s="2714">
        <v>0.76736106555101746</v>
      </c>
      <c r="J1053" s="2714">
        <v>1.4183227466548849</v>
      </c>
      <c r="K1053" s="2714">
        <v>1.8885951251235324</v>
      </c>
      <c r="L1053" s="2714">
        <v>2.1960134209701323</v>
      </c>
      <c r="M1053" s="2735">
        <v>2.4537315312330761</v>
      </c>
      <c r="N1053" s="293"/>
    </row>
    <row r="1054" spans="4:14" ht="15" customHeight="1">
      <c r="D1054" s="20"/>
      <c r="E1054" s="32" t="s">
        <v>603</v>
      </c>
      <c r="F1054" s="2715">
        <v>0</v>
      </c>
      <c r="G1054" s="2715">
        <v>0</v>
      </c>
      <c r="H1054" s="2715">
        <v>0</v>
      </c>
      <c r="I1054" s="2715">
        <v>0</v>
      </c>
      <c r="J1054" s="2715">
        <v>0</v>
      </c>
      <c r="K1054" s="2715">
        <v>0</v>
      </c>
      <c r="L1054" s="2715">
        <v>0</v>
      </c>
      <c r="M1054" s="2736">
        <v>0</v>
      </c>
      <c r="N1054" s="293"/>
    </row>
    <row r="1055" spans="4:14" ht="15" customHeight="1">
      <c r="D1055" s="20"/>
      <c r="E1055" s="26"/>
      <c r="F1055" s="788"/>
      <c r="G1055" s="788"/>
      <c r="H1055" s="788"/>
      <c r="I1055" s="788"/>
      <c r="J1055" s="788"/>
      <c r="K1055" s="788"/>
      <c r="L1055" s="788"/>
      <c r="M1055" s="2728"/>
      <c r="N1055" s="293"/>
    </row>
    <row r="1056" spans="4:14" ht="15" customHeight="1">
      <c r="D1056" s="20"/>
      <c r="E1056" s="340" t="s">
        <v>2244</v>
      </c>
      <c r="F1056" s="2722"/>
      <c r="G1056" s="2722"/>
      <c r="H1056" s="2722"/>
      <c r="I1056" s="2722"/>
      <c r="J1056" s="2722"/>
      <c r="K1056" s="2722"/>
      <c r="L1056" s="2722"/>
      <c r="M1056" s="2723" t="s">
        <v>803</v>
      </c>
      <c r="N1056" s="293"/>
    </row>
    <row r="1057" spans="4:14" ht="15" customHeight="1">
      <c r="D1057" s="20"/>
      <c r="E1057" s="28" t="s">
        <v>859</v>
      </c>
      <c r="F1057" s="2724">
        <v>2018</v>
      </c>
      <c r="G1057" s="2724">
        <v>2020</v>
      </c>
      <c r="H1057" s="2724">
        <v>2025</v>
      </c>
      <c r="I1057" s="2724">
        <v>2030</v>
      </c>
      <c r="J1057" s="2724">
        <v>2035</v>
      </c>
      <c r="K1057" s="2724">
        <v>2040</v>
      </c>
      <c r="L1057" s="2724">
        <v>2045</v>
      </c>
      <c r="M1057" s="2724">
        <v>2050</v>
      </c>
      <c r="N1057" s="293"/>
    </row>
    <row r="1058" spans="4:14" ht="15" customHeight="1">
      <c r="D1058" s="20"/>
      <c r="E1058" s="337" t="s">
        <v>526</v>
      </c>
      <c r="F1058" s="2714" cm="1">
        <f t="array" ref="F1058:M1059">F942:M943*0.7</f>
        <v>3.1560713708582941E-6</v>
      </c>
      <c r="G1058" s="2714">
        <v>3.5718865475201003E-6</v>
      </c>
      <c r="H1058" s="2714">
        <v>4.4549158778099797E-6</v>
      </c>
      <c r="I1058" s="2714">
        <v>5.164362413617581E-6</v>
      </c>
      <c r="J1058" s="2714">
        <v>5.7363597969130186E-6</v>
      </c>
      <c r="K1058" s="2714">
        <v>6.2875022968703317E-6</v>
      </c>
      <c r="L1058" s="2714">
        <v>6.8507765766512026E-6</v>
      </c>
      <c r="M1058" s="2735">
        <v>7.4404830383590029E-6</v>
      </c>
      <c r="N1058" s="293"/>
    </row>
    <row r="1059" spans="4:14" ht="15" customHeight="1">
      <c r="D1059" s="20"/>
      <c r="E1059" s="32" t="s">
        <v>601</v>
      </c>
      <c r="F1059" s="2715">
        <v>0</v>
      </c>
      <c r="G1059" s="2715">
        <v>0</v>
      </c>
      <c r="H1059" s="2715">
        <v>0</v>
      </c>
      <c r="I1059" s="2715">
        <v>0</v>
      </c>
      <c r="J1059" s="2715">
        <v>0</v>
      </c>
      <c r="K1059" s="2715">
        <v>0</v>
      </c>
      <c r="L1059" s="2715">
        <v>0</v>
      </c>
      <c r="M1059" s="2736">
        <v>0</v>
      </c>
      <c r="N1059" s="293"/>
    </row>
    <row r="1060" spans="4:14" ht="15" customHeight="1">
      <c r="D1060" s="20"/>
      <c r="E1060" s="289"/>
      <c r="F1060" s="773"/>
      <c r="G1060" s="840"/>
      <c r="H1060" s="822"/>
      <c r="I1060" s="822"/>
      <c r="J1060" s="822"/>
      <c r="K1060" s="822"/>
      <c r="L1060" s="822"/>
      <c r="M1060" s="822"/>
      <c r="N1060" s="293"/>
    </row>
    <row r="1061" spans="4:14" ht="15" customHeight="1">
      <c r="D1061" s="20"/>
      <c r="E1061" s="2677" t="s">
        <v>338</v>
      </c>
      <c r="F1061" s="2759">
        <f t="shared" ref="F1061:M1061" si="77">F1008+SUM(F1012:F1018)+SUM(F1022:F1028)+SUM(F1032:F1034)+SUM(F1038:F1044)+SUM(F1048:F1054)+SUM(F1058:F1059)</f>
        <v>475.40247476666894</v>
      </c>
      <c r="G1061" s="2759">
        <f t="shared" si="77"/>
        <v>543.42370297932416</v>
      </c>
      <c r="H1061" s="2759">
        <f t="shared" si="77"/>
        <v>701.23712582687062</v>
      </c>
      <c r="I1061" s="2759">
        <f t="shared" si="77"/>
        <v>832.10463021671626</v>
      </c>
      <c r="J1061" s="2759">
        <f t="shared" si="77"/>
        <v>934.34158392318227</v>
      </c>
      <c r="K1061" s="2759">
        <f t="shared" si="77"/>
        <v>1032.3195435083235</v>
      </c>
      <c r="L1061" s="2759">
        <f t="shared" si="77"/>
        <v>1132.800827585442</v>
      </c>
      <c r="M1061" s="2759">
        <f t="shared" si="77"/>
        <v>1239.0475514878563</v>
      </c>
      <c r="N1061" s="293"/>
    </row>
    <row r="1062" spans="4:14" ht="15" customHeight="1">
      <c r="D1062" s="20"/>
      <c r="E1062" s="289"/>
      <c r="F1062" s="773"/>
      <c r="G1062" s="840"/>
      <c r="H1062" s="822"/>
      <c r="I1062" s="822"/>
      <c r="J1062" s="822"/>
      <c r="K1062" s="822"/>
      <c r="L1062" s="822"/>
      <c r="M1062" s="822"/>
      <c r="N1062" s="293"/>
    </row>
    <row r="1063" spans="4:14" ht="15" customHeight="1">
      <c r="D1063" s="20"/>
      <c r="E1063" s="14" t="s">
        <v>2293</v>
      </c>
      <c r="F1063" s="736"/>
      <c r="G1063" s="736"/>
      <c r="H1063" s="736"/>
      <c r="I1063" s="736"/>
      <c r="J1063" s="736"/>
      <c r="K1063" s="736"/>
      <c r="L1063" s="736"/>
      <c r="M1063" s="736"/>
      <c r="N1063" s="293"/>
    </row>
    <row r="1064" spans="4:14" ht="15" customHeight="1">
      <c r="D1064" s="20"/>
      <c r="E1064" s="289"/>
      <c r="F1064" s="773"/>
      <c r="G1064" s="840"/>
      <c r="H1064" s="822"/>
      <c r="I1064" s="822"/>
      <c r="J1064" s="822"/>
      <c r="K1064" s="822"/>
      <c r="L1064" s="822"/>
      <c r="M1064" s="822"/>
      <c r="N1064" s="293"/>
    </row>
    <row r="1065" spans="4:14" ht="15" customHeight="1">
      <c r="D1065" s="20"/>
      <c r="E1065" s="23" t="s">
        <v>2286</v>
      </c>
      <c r="F1065" s="839"/>
      <c r="G1065" s="839"/>
      <c r="H1065" s="2760"/>
      <c r="I1065" s="2760"/>
      <c r="J1065" s="2760"/>
      <c r="K1065" s="2760"/>
      <c r="L1065" s="2760"/>
      <c r="M1065" s="2760"/>
      <c r="N1065" s="20"/>
    </row>
    <row r="1066" spans="4:14" ht="15" customHeight="1">
      <c r="D1066" s="20"/>
      <c r="E1066" s="289"/>
      <c r="F1066" s="773"/>
      <c r="G1066" s="840"/>
      <c r="H1066" s="822"/>
      <c r="I1066" s="822"/>
      <c r="J1066" s="822"/>
      <c r="K1066" s="822"/>
      <c r="L1066" s="822"/>
      <c r="M1066" s="822"/>
      <c r="N1066" s="293"/>
    </row>
    <row r="1067" spans="4:14" ht="15" customHeight="1">
      <c r="D1067" s="20"/>
      <c r="E1067" s="340" t="s">
        <v>899</v>
      </c>
      <c r="F1067" s="760"/>
      <c r="G1067" s="760"/>
      <c r="H1067" s="760"/>
      <c r="I1067" s="760"/>
      <c r="J1067" s="760"/>
      <c r="K1067" s="760"/>
      <c r="L1067" s="760"/>
      <c r="M1067" s="343" t="s">
        <v>803</v>
      </c>
      <c r="N1067" s="293"/>
    </row>
    <row r="1068" spans="4:14" ht="15" customHeight="1">
      <c r="D1068" s="20"/>
      <c r="E1068" s="28" t="s">
        <v>859</v>
      </c>
      <c r="F1068" s="762">
        <v>2018</v>
      </c>
      <c r="G1068" s="762">
        <v>2020</v>
      </c>
      <c r="H1068" s="762">
        <v>2025</v>
      </c>
      <c r="I1068" s="762">
        <v>2030</v>
      </c>
      <c r="J1068" s="762">
        <v>2035</v>
      </c>
      <c r="K1068" s="762">
        <v>2040</v>
      </c>
      <c r="L1068" s="762">
        <v>2045</v>
      </c>
      <c r="M1068" s="762">
        <v>2050</v>
      </c>
      <c r="N1068" s="293"/>
    </row>
    <row r="1069" spans="4:14" ht="15" customHeight="1">
      <c r="D1069" s="20"/>
      <c r="E1069" s="30" t="s">
        <v>889</v>
      </c>
      <c r="F1069" s="2709">
        <v>0</v>
      </c>
      <c r="G1069" s="2740">
        <f t="shared" ref="G1069:M1069" si="78">((H699-G699)/(H$698-G$698)+(G699/$F$621))*((INDEX(COSTOS_TRASPORTE_PASAJEROS_BUSES,1,1)*COSTOS_ALTO*COSTOS_2019_US_dolares_MMCOP))</f>
        <v>21.41337100396494</v>
      </c>
      <c r="H1069" s="2740">
        <f t="shared" si="78"/>
        <v>23.187450527011165</v>
      </c>
      <c r="I1069" s="2740">
        <f t="shared" si="78"/>
        <v>25.567733899889355</v>
      </c>
      <c r="J1069" s="2740">
        <f t="shared" si="78"/>
        <v>29.005701182268645</v>
      </c>
      <c r="K1069" s="2740">
        <f t="shared" si="78"/>
        <v>28.599994153026149</v>
      </c>
      <c r="L1069" s="2740">
        <f t="shared" si="78"/>
        <v>32.322091031425231</v>
      </c>
      <c r="M1069" s="2740">
        <f t="shared" si="78"/>
        <v>26.452780882181393</v>
      </c>
      <c r="N1069" s="293"/>
    </row>
    <row r="1070" spans="4:14" ht="15" customHeight="1">
      <c r="D1070" s="20"/>
      <c r="E1070" s="30" t="s">
        <v>2257</v>
      </c>
      <c r="F1070" s="2714">
        <v>0</v>
      </c>
      <c r="G1070" s="2714">
        <f t="shared" ref="G1070:M1070" si="79">((H700-G700)/(H$698-G$698)+(G700/$F$622))*((INDEX(COSTOS_TRASPORTE_PASAJEROS_BUSES,1,1)*COSTOS_ALTO*COSTOS_2019_US_dolares_MMCOP))</f>
        <v>40.654371036513147</v>
      </c>
      <c r="H1070" s="2714">
        <f t="shared" si="79"/>
        <v>44.022551000557421</v>
      </c>
      <c r="I1070" s="2714">
        <f t="shared" si="79"/>
        <v>48.541639722978331</v>
      </c>
      <c r="J1070" s="2714">
        <f t="shared" si="79"/>
        <v>55.068794998220177</v>
      </c>
      <c r="K1070" s="2714">
        <f t="shared" si="79"/>
        <v>54.298539623861238</v>
      </c>
      <c r="L1070" s="2714">
        <f t="shared" si="79"/>
        <v>61.365129349517474</v>
      </c>
      <c r="M1070" s="2714">
        <f t="shared" si="79"/>
        <v>50.221946312547296</v>
      </c>
      <c r="N1070" s="293"/>
    </row>
    <row r="1071" spans="4:14" ht="15" customHeight="1">
      <c r="D1071" s="20"/>
      <c r="E1071" s="30" t="s">
        <v>2250</v>
      </c>
      <c r="F1071" s="2714">
        <v>0</v>
      </c>
      <c r="G1071" s="2714">
        <f>((H701-G701)/(H$698-G$698)+(G701/$F$623))*((INDEX(COSTOS_TRASPORTE_PASAJEROS_BUSES,1,1)*COSTOS_ALTO*COSTOS_2019_US_dolares_MMCOP))</f>
        <v>0</v>
      </c>
      <c r="H1071" s="2714">
        <f t="shared" ref="H1071:M1071" si="80">((I701-H701)/(I$698-H$698)+(H701/$F$623))*((INDEX(COSTOS_TRASPORTE_PASAJEROS_BUSES,1,1)*COSTOS_ALTO*COSTOS_2019_US_dolares_MMCOP))</f>
        <v>0</v>
      </c>
      <c r="I1071" s="2714">
        <f t="shared" si="80"/>
        <v>0</v>
      </c>
      <c r="J1071" s="2714">
        <f t="shared" si="80"/>
        <v>0</v>
      </c>
      <c r="K1071" s="2714">
        <f t="shared" si="80"/>
        <v>0</v>
      </c>
      <c r="L1071" s="2714">
        <f t="shared" si="80"/>
        <v>0</v>
      </c>
      <c r="M1071" s="2714">
        <f t="shared" si="80"/>
        <v>0</v>
      </c>
      <c r="N1071" s="293"/>
    </row>
    <row r="1072" spans="4:14" ht="15" customHeight="1">
      <c r="D1072" s="20"/>
      <c r="E1072" s="30" t="s">
        <v>893</v>
      </c>
      <c r="F1072" s="2714">
        <v>0</v>
      </c>
      <c r="G1072" s="2714">
        <f t="shared" ref="G1072:M1072" si="81">((H702-G702)/(H$698-G$698)+(G702/$F$625))*((INDEX(COSTOS_TRASPORTE_PASAJEROS_BUSES,1,1)*COSTOS_ALTO*COSTOS_2019_US_dolares_MMCOP))</f>
        <v>15.516935510119524</v>
      </c>
      <c r="H1072" s="2714">
        <f t="shared" si="81"/>
        <v>16.802500381892145</v>
      </c>
      <c r="I1072" s="2714">
        <f t="shared" si="81"/>
        <v>18.52734340571692</v>
      </c>
      <c r="J1072" s="2714">
        <f t="shared" si="81"/>
        <v>21.018624045122209</v>
      </c>
      <c r="K1072" s="2714">
        <f t="shared" si="81"/>
        <v>20.724633444221844</v>
      </c>
      <c r="L1072" s="2714">
        <f t="shared" si="81"/>
        <v>23.421805095235676</v>
      </c>
      <c r="M1072" s="2714">
        <f t="shared" si="81"/>
        <v>19.168681798682172</v>
      </c>
      <c r="N1072" s="293"/>
    </row>
    <row r="1073" spans="4:14" ht="15" customHeight="1">
      <c r="D1073" s="20"/>
      <c r="E1073" s="30" t="s">
        <v>498</v>
      </c>
      <c r="F1073" s="2714">
        <v>0</v>
      </c>
      <c r="G1073" s="2714">
        <f t="shared" ref="G1073:M1073" si="82">((H703-G703)/(H$698-G$698)+(G703/$F$621))*((INDEX(COSTOS_TRASPORTE_PASAJEROS_BUSES,1,1)*COSTOS_ALTO*COSTOS_2019_US_dolares_MMCOP))</f>
        <v>0</v>
      </c>
      <c r="H1073" s="2714">
        <f t="shared" si="82"/>
        <v>0</v>
      </c>
      <c r="I1073" s="2714">
        <f t="shared" si="82"/>
        <v>0</v>
      </c>
      <c r="J1073" s="2714">
        <f t="shared" si="82"/>
        <v>0</v>
      </c>
      <c r="K1073" s="2714">
        <f t="shared" si="82"/>
        <v>0</v>
      </c>
      <c r="L1073" s="2714">
        <f t="shared" si="82"/>
        <v>0</v>
      </c>
      <c r="M1073" s="2714">
        <f t="shared" si="82"/>
        <v>0</v>
      </c>
      <c r="N1073" s="293"/>
    </row>
    <row r="1074" spans="4:14" ht="15" customHeight="1">
      <c r="D1074" s="20"/>
      <c r="E1074" s="30" t="s">
        <v>894</v>
      </c>
      <c r="F1074" s="2714">
        <v>0</v>
      </c>
      <c r="G1074" s="2714">
        <f t="shared" ref="G1074:M1074" si="83">((H704-G704)/(H$698-G$698)+(G704/$F$624))*((INDEX(COSTOS_TRASPORTE_PASAJEROS_BUSES,1,1)*COSTOS_ALTO*COSTOS_2019_US_dolares_MMCOP))</f>
        <v>0</v>
      </c>
      <c r="H1074" s="2714">
        <f t="shared" si="83"/>
        <v>0</v>
      </c>
      <c r="I1074" s="2714">
        <f t="shared" si="83"/>
        <v>0</v>
      </c>
      <c r="J1074" s="2714">
        <f t="shared" si="83"/>
        <v>0</v>
      </c>
      <c r="K1074" s="2714">
        <f t="shared" si="83"/>
        <v>0</v>
      </c>
      <c r="L1074" s="2714">
        <f t="shared" si="83"/>
        <v>0</v>
      </c>
      <c r="M1074" s="2714">
        <f t="shared" si="83"/>
        <v>0</v>
      </c>
      <c r="N1074" s="293"/>
    </row>
    <row r="1075" spans="4:14" ht="15" customHeight="1">
      <c r="D1075" s="20"/>
      <c r="E1075" s="32" t="s">
        <v>603</v>
      </c>
      <c r="F1075" s="2715">
        <v>0</v>
      </c>
      <c r="G1075" s="2715">
        <f t="shared" ref="G1075:M1075" si="84">((H705-G705)/(H$698-G$698)+(G705/$F$621))*((INDEX(COSTOS_TRASPORTE_PASAJEROS_BUSES,1,1)*COSTOS_ALTO*COSTOS_2019_US_dolares_MMCOP))</f>
        <v>0</v>
      </c>
      <c r="H1075" s="2715">
        <f t="shared" si="84"/>
        <v>0</v>
      </c>
      <c r="I1075" s="2715">
        <f t="shared" si="84"/>
        <v>0</v>
      </c>
      <c r="J1075" s="2715">
        <f t="shared" si="84"/>
        <v>0</v>
      </c>
      <c r="K1075" s="2715">
        <f t="shared" si="84"/>
        <v>0</v>
      </c>
      <c r="L1075" s="2715">
        <f t="shared" si="84"/>
        <v>0</v>
      </c>
      <c r="M1075" s="2715">
        <f t="shared" si="84"/>
        <v>0</v>
      </c>
      <c r="N1075" s="293"/>
    </row>
    <row r="1076" spans="4:14" ht="15" customHeight="1">
      <c r="D1076" s="20"/>
      <c r="E1076" s="289"/>
      <c r="F1076" s="773"/>
      <c r="G1076" s="840"/>
      <c r="H1076" s="822"/>
      <c r="I1076" s="822"/>
      <c r="J1076" s="822"/>
      <c r="K1076" s="822"/>
      <c r="L1076" s="822"/>
      <c r="M1076" s="822"/>
      <c r="N1076" s="293"/>
    </row>
    <row r="1077" spans="4:14" ht="15" customHeight="1">
      <c r="D1077" s="20"/>
      <c r="E1077" s="2677" t="s">
        <v>338</v>
      </c>
      <c r="F1077" s="2759">
        <f t="shared" ref="F1077:M1077" si="85">SUM(F1069:F1075)</f>
        <v>0</v>
      </c>
      <c r="G1077" s="2759">
        <f t="shared" si="85"/>
        <v>77.584677550597604</v>
      </c>
      <c r="H1077" s="2759">
        <f t="shared" si="85"/>
        <v>84.012501909460724</v>
      </c>
      <c r="I1077" s="2759">
        <f t="shared" si="85"/>
        <v>92.636717028584599</v>
      </c>
      <c r="J1077" s="2759">
        <f t="shared" si="85"/>
        <v>105.09312022561103</v>
      </c>
      <c r="K1077" s="2759">
        <f t="shared" si="85"/>
        <v>103.62316722110924</v>
      </c>
      <c r="L1077" s="2759">
        <f t="shared" si="85"/>
        <v>117.10902547617837</v>
      </c>
      <c r="M1077" s="2759">
        <f t="shared" si="85"/>
        <v>95.843408993410861</v>
      </c>
      <c r="N1077" s="293"/>
    </row>
    <row r="1078" spans="4:14" ht="15" customHeight="1">
      <c r="D1078" s="20"/>
      <c r="E1078" s="289"/>
      <c r="F1078" s="773"/>
      <c r="G1078" s="840"/>
      <c r="H1078" s="822"/>
      <c r="I1078" s="822"/>
      <c r="J1078" s="822"/>
      <c r="K1078" s="822"/>
      <c r="L1078" s="822"/>
      <c r="M1078" s="822"/>
      <c r="N1078" s="293"/>
    </row>
    <row r="1079" spans="4:14" ht="15" customHeight="1">
      <c r="D1079" s="20"/>
      <c r="E1079" s="23" t="s">
        <v>2287</v>
      </c>
      <c r="F1079" s="839"/>
      <c r="G1079" s="839"/>
      <c r="H1079" s="2760"/>
      <c r="I1079" s="2760"/>
      <c r="J1079" s="2760"/>
      <c r="K1079" s="2760"/>
      <c r="L1079" s="2760"/>
      <c r="M1079" s="2760"/>
      <c r="N1079" s="20"/>
    </row>
    <row r="1080" spans="4:14" ht="15" customHeight="1">
      <c r="D1080" s="20"/>
      <c r="E1080" s="289"/>
      <c r="F1080" s="773"/>
      <c r="G1080" s="840"/>
      <c r="H1080" s="822"/>
      <c r="I1080" s="822"/>
      <c r="J1080" s="822"/>
      <c r="K1080" s="822"/>
      <c r="L1080" s="822"/>
      <c r="M1080" s="822"/>
      <c r="N1080" s="293"/>
    </row>
    <row r="1081" spans="4:14" ht="15" customHeight="1">
      <c r="D1081" s="20"/>
      <c r="E1081" s="340" t="s">
        <v>899</v>
      </c>
      <c r="F1081" s="760"/>
      <c r="G1081" s="760"/>
      <c r="H1081" s="760"/>
      <c r="I1081" s="760"/>
      <c r="J1081" s="760"/>
      <c r="K1081" s="760"/>
      <c r="L1081" s="760"/>
      <c r="M1081" s="343" t="s">
        <v>803</v>
      </c>
      <c r="N1081" s="293"/>
    </row>
    <row r="1082" spans="4:14" ht="15" customHeight="1">
      <c r="D1082" s="20"/>
      <c r="E1082" s="28" t="s">
        <v>859</v>
      </c>
      <c r="F1082" s="762">
        <v>2018</v>
      </c>
      <c r="G1082" s="762">
        <v>2020</v>
      </c>
      <c r="H1082" s="762">
        <v>2025</v>
      </c>
      <c r="I1082" s="762">
        <v>2030</v>
      </c>
      <c r="J1082" s="762">
        <v>2035</v>
      </c>
      <c r="K1082" s="762">
        <v>2040</v>
      </c>
      <c r="L1082" s="762">
        <v>2045</v>
      </c>
      <c r="M1082" s="762">
        <v>2050</v>
      </c>
      <c r="N1082" s="293"/>
    </row>
    <row r="1083" spans="4:14" ht="15" customHeight="1">
      <c r="D1083" s="20"/>
      <c r="E1083" s="30" t="s">
        <v>889</v>
      </c>
      <c r="F1083" s="2714" cm="1">
        <f t="array" ref="F1083:M1089">F1069:M1075*0.8</f>
        <v>0</v>
      </c>
      <c r="G1083" s="2714">
        <v>17.130696803171954</v>
      </c>
      <c r="H1083" s="2714">
        <v>18.549960421608933</v>
      </c>
      <c r="I1083" s="2714">
        <v>20.454187119911484</v>
      </c>
      <c r="J1083" s="2714">
        <v>23.204560945814919</v>
      </c>
      <c r="K1083" s="2714">
        <v>22.879995322420921</v>
      </c>
      <c r="L1083" s="2714">
        <v>25.857672825140185</v>
      </c>
      <c r="M1083" s="2755">
        <v>21.162224705745118</v>
      </c>
      <c r="N1083" s="293"/>
    </row>
    <row r="1084" spans="4:14" ht="15" customHeight="1">
      <c r="D1084" s="20"/>
      <c r="E1084" s="30" t="s">
        <v>2257</v>
      </c>
      <c r="F1084" s="2714">
        <v>0</v>
      </c>
      <c r="G1084" s="2714">
        <v>32.523496829210522</v>
      </c>
      <c r="H1084" s="2714">
        <v>35.218040800445941</v>
      </c>
      <c r="I1084" s="2714">
        <v>38.833311778382665</v>
      </c>
      <c r="J1084" s="2714">
        <v>44.055035998576145</v>
      </c>
      <c r="K1084" s="2714">
        <v>43.438831699088993</v>
      </c>
      <c r="L1084" s="2714">
        <v>49.092103479613982</v>
      </c>
      <c r="M1084" s="2755">
        <v>40.177557050037841</v>
      </c>
      <c r="N1084" s="293"/>
    </row>
    <row r="1085" spans="4:14" ht="15" customHeight="1">
      <c r="D1085" s="20"/>
      <c r="E1085" s="30" t="s">
        <v>2250</v>
      </c>
      <c r="F1085" s="2714">
        <v>0</v>
      </c>
      <c r="G1085" s="2714">
        <v>0</v>
      </c>
      <c r="H1085" s="2714">
        <v>0</v>
      </c>
      <c r="I1085" s="2714">
        <v>0</v>
      </c>
      <c r="J1085" s="2714">
        <v>0</v>
      </c>
      <c r="K1085" s="2714">
        <v>0</v>
      </c>
      <c r="L1085" s="2714">
        <v>0</v>
      </c>
      <c r="M1085" s="2755">
        <v>0</v>
      </c>
      <c r="N1085" s="293"/>
    </row>
    <row r="1086" spans="4:14" ht="15" customHeight="1">
      <c r="D1086" s="20"/>
      <c r="E1086" s="30" t="s">
        <v>893</v>
      </c>
      <c r="F1086" s="2714">
        <v>0</v>
      </c>
      <c r="G1086" s="2714">
        <v>12.41354840809562</v>
      </c>
      <c r="H1086" s="2714">
        <v>13.442000305513716</v>
      </c>
      <c r="I1086" s="2714">
        <v>14.821874724573536</v>
      </c>
      <c r="J1086" s="2714">
        <v>16.814899236097769</v>
      </c>
      <c r="K1086" s="2714">
        <v>16.579706755377476</v>
      </c>
      <c r="L1086" s="2714">
        <v>18.737444076188542</v>
      </c>
      <c r="M1086" s="2755">
        <v>15.334945438945738</v>
      </c>
      <c r="N1086" s="293"/>
    </row>
    <row r="1087" spans="4:14" ht="15" customHeight="1">
      <c r="D1087" s="20"/>
      <c r="E1087" s="30" t="s">
        <v>498</v>
      </c>
      <c r="F1087" s="2714">
        <v>0</v>
      </c>
      <c r="G1087" s="2714">
        <v>0</v>
      </c>
      <c r="H1087" s="2714">
        <v>0</v>
      </c>
      <c r="I1087" s="2714">
        <v>0</v>
      </c>
      <c r="J1087" s="2714">
        <v>0</v>
      </c>
      <c r="K1087" s="2714">
        <v>0</v>
      </c>
      <c r="L1087" s="2714">
        <v>0</v>
      </c>
      <c r="M1087" s="2755">
        <v>0</v>
      </c>
      <c r="N1087" s="293"/>
    </row>
    <row r="1088" spans="4:14" ht="15" customHeight="1">
      <c r="D1088" s="20"/>
      <c r="E1088" s="30" t="s">
        <v>894</v>
      </c>
      <c r="F1088" s="2714">
        <v>0</v>
      </c>
      <c r="G1088" s="2714">
        <v>0</v>
      </c>
      <c r="H1088" s="2714">
        <v>0</v>
      </c>
      <c r="I1088" s="2714">
        <v>0</v>
      </c>
      <c r="J1088" s="2714">
        <v>0</v>
      </c>
      <c r="K1088" s="2714">
        <v>0</v>
      </c>
      <c r="L1088" s="2714">
        <v>0</v>
      </c>
      <c r="M1088" s="2755">
        <v>0</v>
      </c>
      <c r="N1088" s="293"/>
    </row>
    <row r="1089" spans="4:14" ht="15" customHeight="1">
      <c r="D1089" s="20"/>
      <c r="E1089" s="32" t="s">
        <v>603</v>
      </c>
      <c r="F1089" s="2715">
        <v>0</v>
      </c>
      <c r="G1089" s="2715">
        <v>0</v>
      </c>
      <c r="H1089" s="2715">
        <v>0</v>
      </c>
      <c r="I1089" s="2715">
        <v>0</v>
      </c>
      <c r="J1089" s="2715">
        <v>0</v>
      </c>
      <c r="K1089" s="2715">
        <v>0</v>
      </c>
      <c r="L1089" s="2715">
        <v>0</v>
      </c>
      <c r="M1089" s="2734">
        <v>0</v>
      </c>
      <c r="N1089" s="293"/>
    </row>
    <row r="1090" spans="4:14" ht="15" customHeight="1">
      <c r="D1090" s="20"/>
      <c r="E1090" s="289"/>
      <c r="F1090" s="773"/>
      <c r="G1090" s="840"/>
      <c r="H1090" s="822"/>
      <c r="I1090" s="822"/>
      <c r="J1090" s="822"/>
      <c r="K1090" s="822"/>
      <c r="L1090" s="822"/>
      <c r="M1090" s="822"/>
      <c r="N1090" s="293"/>
    </row>
    <row r="1091" spans="4:14" ht="15" customHeight="1">
      <c r="D1091" s="20"/>
      <c r="E1091" s="2677" t="s">
        <v>338</v>
      </c>
      <c r="F1091" s="2759">
        <f t="shared" ref="F1091:M1091" si="86">SUM(F1083:F1089)</f>
        <v>0</v>
      </c>
      <c r="G1091" s="2759">
        <f t="shared" si="86"/>
        <v>62.067742040478095</v>
      </c>
      <c r="H1091" s="2759">
        <f t="shared" si="86"/>
        <v>67.210001527568593</v>
      </c>
      <c r="I1091" s="2759">
        <f t="shared" si="86"/>
        <v>74.109373622867679</v>
      </c>
      <c r="J1091" s="2759">
        <f t="shared" si="86"/>
        <v>84.074496180488836</v>
      </c>
      <c r="K1091" s="2759">
        <f t="shared" si="86"/>
        <v>82.89853377688739</v>
      </c>
      <c r="L1091" s="2759">
        <f t="shared" si="86"/>
        <v>93.687220380942705</v>
      </c>
      <c r="M1091" s="2759">
        <f t="shared" si="86"/>
        <v>76.674727194728689</v>
      </c>
      <c r="N1091" s="293"/>
    </row>
    <row r="1092" spans="4:14" ht="15" customHeight="1">
      <c r="D1092" s="20"/>
      <c r="E1092" s="289"/>
      <c r="F1092" s="773"/>
      <c r="G1092" s="840"/>
      <c r="H1092" s="822"/>
      <c r="I1092" s="822"/>
      <c r="J1092" s="822"/>
      <c r="K1092" s="822"/>
      <c r="L1092" s="822"/>
      <c r="M1092" s="822"/>
      <c r="N1092" s="293"/>
    </row>
    <row r="1093" spans="4:14" ht="15" customHeight="1">
      <c r="D1093" s="20"/>
      <c r="E1093" s="23" t="s">
        <v>2288</v>
      </c>
      <c r="F1093" s="839"/>
      <c r="G1093" s="839"/>
      <c r="H1093" s="2760"/>
      <c r="I1093" s="2760"/>
      <c r="J1093" s="2760"/>
      <c r="K1093" s="2760"/>
      <c r="L1093" s="2760"/>
      <c r="M1093" s="2760"/>
      <c r="N1093" s="293"/>
    </row>
    <row r="1094" spans="4:14" ht="15" customHeight="1">
      <c r="D1094" s="20"/>
      <c r="E1094" s="289"/>
      <c r="F1094" s="773"/>
      <c r="G1094" s="840"/>
      <c r="H1094" s="822"/>
      <c r="I1094" s="822"/>
      <c r="J1094" s="822"/>
      <c r="K1094" s="822"/>
      <c r="L1094" s="822"/>
      <c r="M1094" s="822"/>
      <c r="N1094" s="293"/>
    </row>
    <row r="1095" spans="4:14" ht="15" customHeight="1">
      <c r="D1095" s="20"/>
      <c r="E1095" s="340" t="s">
        <v>899</v>
      </c>
      <c r="F1095" s="760"/>
      <c r="G1095" s="760"/>
      <c r="H1095" s="760"/>
      <c r="I1095" s="760"/>
      <c r="J1095" s="760"/>
      <c r="K1095" s="760"/>
      <c r="L1095" s="760"/>
      <c r="M1095" s="343" t="s">
        <v>803</v>
      </c>
      <c r="N1095" s="20"/>
    </row>
    <row r="1096" spans="4:14" ht="15" customHeight="1">
      <c r="D1096" s="20"/>
      <c r="E1096" s="28" t="s">
        <v>859</v>
      </c>
      <c r="F1096" s="762">
        <v>2018</v>
      </c>
      <c r="G1096" s="762">
        <v>2020</v>
      </c>
      <c r="H1096" s="762">
        <v>2025</v>
      </c>
      <c r="I1096" s="762">
        <v>2030</v>
      </c>
      <c r="J1096" s="762">
        <v>2035</v>
      </c>
      <c r="K1096" s="762">
        <v>2040</v>
      </c>
      <c r="L1096" s="762">
        <v>2045</v>
      </c>
      <c r="M1096" s="764">
        <v>2050</v>
      </c>
      <c r="N1096" s="20"/>
    </row>
    <row r="1097" spans="4:14" ht="15" customHeight="1">
      <c r="D1097" s="20"/>
      <c r="E1097" s="30" t="s">
        <v>889</v>
      </c>
      <c r="F1097" s="2714" cm="1">
        <f t="array" ref="F1097:M1103">F1069:M1075*0.7</f>
        <v>0</v>
      </c>
      <c r="G1097" s="2714">
        <v>14.989359702775458</v>
      </c>
      <c r="H1097" s="2714">
        <v>16.231215368907815</v>
      </c>
      <c r="I1097" s="2714">
        <v>17.897413729922548</v>
      </c>
      <c r="J1097" s="2714">
        <v>20.303990827588049</v>
      </c>
      <c r="K1097" s="2714">
        <v>20.019995907118304</v>
      </c>
      <c r="L1097" s="2714">
        <v>22.625463721997662</v>
      </c>
      <c r="M1097" s="2755">
        <v>18.516946617526973</v>
      </c>
      <c r="N1097" s="20"/>
    </row>
    <row r="1098" spans="4:14" ht="15" customHeight="1">
      <c r="D1098" s="20"/>
      <c r="E1098" s="30" t="s">
        <v>2257</v>
      </c>
      <c r="F1098" s="2714">
        <v>0</v>
      </c>
      <c r="G1098" s="2714">
        <v>28.458059725559202</v>
      </c>
      <c r="H1098" s="2714">
        <v>30.815785700390194</v>
      </c>
      <c r="I1098" s="2714">
        <v>33.979147806084832</v>
      </c>
      <c r="J1098" s="2714">
        <v>38.548156498754125</v>
      </c>
      <c r="K1098" s="2714">
        <v>38.008977736702867</v>
      </c>
      <c r="L1098" s="2714">
        <v>42.955590544662229</v>
      </c>
      <c r="M1098" s="2755">
        <v>35.155362418783106</v>
      </c>
      <c r="N1098" s="20"/>
    </row>
    <row r="1099" spans="4:14" ht="15" customHeight="1">
      <c r="D1099" s="20"/>
      <c r="E1099" s="30" t="s">
        <v>2250</v>
      </c>
      <c r="F1099" s="2714">
        <v>0</v>
      </c>
      <c r="G1099" s="2714">
        <v>0</v>
      </c>
      <c r="H1099" s="2714">
        <v>0</v>
      </c>
      <c r="I1099" s="2714">
        <v>0</v>
      </c>
      <c r="J1099" s="2714">
        <v>0</v>
      </c>
      <c r="K1099" s="2714">
        <v>0</v>
      </c>
      <c r="L1099" s="2714">
        <v>0</v>
      </c>
      <c r="M1099" s="2755">
        <v>0</v>
      </c>
      <c r="N1099" s="27"/>
    </row>
    <row r="1100" spans="4:14" ht="15" customHeight="1">
      <c r="D1100" s="20"/>
      <c r="E1100" s="30" t="s">
        <v>893</v>
      </c>
      <c r="F1100" s="2714">
        <v>0</v>
      </c>
      <c r="G1100" s="2714">
        <v>10.861854857083665</v>
      </c>
      <c r="H1100" s="2714">
        <v>11.761750267324501</v>
      </c>
      <c r="I1100" s="2714">
        <v>12.969140384001843</v>
      </c>
      <c r="J1100" s="2714">
        <v>14.713036831585546</v>
      </c>
      <c r="K1100" s="2714">
        <v>14.50724341095529</v>
      </c>
      <c r="L1100" s="2714">
        <v>16.395263566664973</v>
      </c>
      <c r="M1100" s="2755">
        <v>13.418077259077521</v>
      </c>
      <c r="N1100" s="293"/>
    </row>
    <row r="1101" spans="4:14" ht="15" customHeight="1">
      <c r="D1101" s="20"/>
      <c r="E1101" s="30" t="s">
        <v>498</v>
      </c>
      <c r="F1101" s="2714">
        <v>0</v>
      </c>
      <c r="G1101" s="2714">
        <v>0</v>
      </c>
      <c r="H1101" s="2714">
        <v>0</v>
      </c>
      <c r="I1101" s="2714">
        <v>0</v>
      </c>
      <c r="J1101" s="2714">
        <v>0</v>
      </c>
      <c r="K1101" s="2714">
        <v>0</v>
      </c>
      <c r="L1101" s="2714">
        <v>0</v>
      </c>
      <c r="M1101" s="2755">
        <v>0</v>
      </c>
      <c r="N1101" s="293"/>
    </row>
    <row r="1102" spans="4:14" ht="15" customHeight="1">
      <c r="D1102" s="20"/>
      <c r="E1102" s="30" t="s">
        <v>894</v>
      </c>
      <c r="F1102" s="2714">
        <v>0</v>
      </c>
      <c r="G1102" s="2714">
        <v>0</v>
      </c>
      <c r="H1102" s="2714">
        <v>0</v>
      </c>
      <c r="I1102" s="2714">
        <v>0</v>
      </c>
      <c r="J1102" s="2714">
        <v>0</v>
      </c>
      <c r="K1102" s="2714">
        <v>0</v>
      </c>
      <c r="L1102" s="2714">
        <v>0</v>
      </c>
      <c r="M1102" s="2755">
        <v>0</v>
      </c>
      <c r="N1102" s="293"/>
    </row>
    <row r="1103" spans="4:14" ht="15" customHeight="1">
      <c r="D1103" s="20"/>
      <c r="E1103" s="32" t="s">
        <v>603</v>
      </c>
      <c r="F1103" s="2715">
        <v>0</v>
      </c>
      <c r="G1103" s="2715">
        <v>0</v>
      </c>
      <c r="H1103" s="2715">
        <v>0</v>
      </c>
      <c r="I1103" s="2715">
        <v>0</v>
      </c>
      <c r="J1103" s="2715">
        <v>0</v>
      </c>
      <c r="K1103" s="2715">
        <v>0</v>
      </c>
      <c r="L1103" s="2715">
        <v>0</v>
      </c>
      <c r="M1103" s="2734">
        <v>0</v>
      </c>
      <c r="N1103" s="293"/>
    </row>
    <row r="1104" spans="4:14" ht="15" customHeight="1">
      <c r="D1104" s="20"/>
      <c r="E1104" s="289"/>
      <c r="F1104" s="773"/>
      <c r="G1104" s="840"/>
      <c r="H1104" s="822"/>
      <c r="I1104" s="822"/>
      <c r="J1104" s="822"/>
      <c r="K1104" s="822"/>
      <c r="L1104" s="822"/>
      <c r="M1104" s="822"/>
      <c r="N1104" s="293"/>
    </row>
    <row r="1105" spans="4:14" ht="15" customHeight="1">
      <c r="D1105" s="20"/>
      <c r="E1105" s="2677" t="s">
        <v>338</v>
      </c>
      <c r="F1105" s="2759">
        <f t="shared" ref="F1105:M1105" si="87">SUM(F1097:F1103)</f>
        <v>0</v>
      </c>
      <c r="G1105" s="2759">
        <f t="shared" si="87"/>
        <v>54.309274285418326</v>
      </c>
      <c r="H1105" s="2759">
        <f t="shared" si="87"/>
        <v>58.808751336622507</v>
      </c>
      <c r="I1105" s="2759">
        <f t="shared" si="87"/>
        <v>64.845701920009219</v>
      </c>
      <c r="J1105" s="2759">
        <f t="shared" si="87"/>
        <v>73.565184157927717</v>
      </c>
      <c r="K1105" s="2759">
        <f t="shared" si="87"/>
        <v>72.536217054776472</v>
      </c>
      <c r="L1105" s="2759">
        <f t="shared" si="87"/>
        <v>81.976317833324856</v>
      </c>
      <c r="M1105" s="2759">
        <f t="shared" si="87"/>
        <v>67.090386295387603</v>
      </c>
      <c r="N1105" s="293"/>
    </row>
    <row r="1106" spans="4:14" ht="15" customHeight="1">
      <c r="D1106" s="20"/>
      <c r="E1106" s="289"/>
      <c r="F1106" s="773"/>
      <c r="G1106" s="840"/>
      <c r="H1106" s="822"/>
      <c r="I1106" s="822"/>
      <c r="J1106" s="822"/>
      <c r="K1106" s="822"/>
      <c r="L1106" s="822"/>
      <c r="M1106" s="822"/>
      <c r="N1106" s="293"/>
    </row>
    <row r="1107" spans="4:14" ht="15" customHeight="1">
      <c r="D1107" s="20"/>
      <c r="E1107" s="14" t="s">
        <v>2294</v>
      </c>
      <c r="F1107" s="736"/>
      <c r="G1107" s="736"/>
      <c r="H1107" s="736"/>
      <c r="I1107" s="736"/>
      <c r="J1107" s="736"/>
      <c r="K1107" s="736"/>
      <c r="L1107" s="736"/>
      <c r="M1107" s="736"/>
      <c r="N1107" s="388"/>
    </row>
    <row r="1108" spans="4:14" ht="15" customHeight="1">
      <c r="D1108" s="20"/>
      <c r="E1108" s="283"/>
      <c r="F1108" s="773"/>
      <c r="G1108" s="727"/>
      <c r="H1108" s="841"/>
      <c r="I1108" s="841"/>
      <c r="J1108" s="841"/>
      <c r="K1108" s="841"/>
      <c r="L1108" s="841"/>
      <c r="M1108" s="841"/>
      <c r="N1108" s="388"/>
    </row>
    <row r="1109" spans="4:14" ht="15" customHeight="1">
      <c r="D1109" s="20"/>
      <c r="E1109" s="23" t="s">
        <v>2290</v>
      </c>
      <c r="F1109" s="839"/>
      <c r="G1109" s="839"/>
      <c r="H1109" s="2760"/>
      <c r="I1109" s="2760"/>
      <c r="J1109" s="2760"/>
      <c r="K1109" s="2760"/>
      <c r="L1109" s="2760"/>
      <c r="M1109" s="2760"/>
      <c r="N1109" s="27"/>
    </row>
    <row r="1110" spans="4:14" ht="15" customHeight="1">
      <c r="D1110" s="20"/>
      <c r="E1110" s="289"/>
      <c r="F1110" s="773"/>
      <c r="G1110" s="840"/>
      <c r="H1110" s="822"/>
      <c r="I1110" s="822"/>
      <c r="J1110" s="822"/>
      <c r="K1110" s="822"/>
      <c r="L1110" s="822"/>
      <c r="M1110" s="822"/>
      <c r="N1110" s="27"/>
    </row>
    <row r="1111" spans="4:14" ht="15" customHeight="1">
      <c r="D1111" s="20"/>
      <c r="E1111" s="340" t="s">
        <v>899</v>
      </c>
      <c r="F1111" s="760"/>
      <c r="G1111" s="760"/>
      <c r="H1111" s="760"/>
      <c r="I1111" s="760"/>
      <c r="J1111" s="760"/>
      <c r="K1111" s="760"/>
      <c r="L1111" s="760"/>
      <c r="M1111" s="343" t="s">
        <v>803</v>
      </c>
      <c r="N1111" s="27"/>
    </row>
    <row r="1112" spans="4:14" ht="15" customHeight="1">
      <c r="D1112" s="20"/>
      <c r="E1112" s="28" t="s">
        <v>859</v>
      </c>
      <c r="F1112" s="762">
        <v>2018</v>
      </c>
      <c r="G1112" s="762">
        <v>2020</v>
      </c>
      <c r="H1112" s="762">
        <v>2025</v>
      </c>
      <c r="I1112" s="762">
        <v>2030</v>
      </c>
      <c r="J1112" s="762">
        <v>2035</v>
      </c>
      <c r="K1112" s="762">
        <v>2040</v>
      </c>
      <c r="L1112" s="762">
        <v>2045</v>
      </c>
      <c r="M1112" s="764">
        <v>2050</v>
      </c>
      <c r="N1112" s="27"/>
    </row>
    <row r="1113" spans="4:14" ht="15" customHeight="1">
      <c r="D1113" s="20"/>
      <c r="E1113" s="30" t="s">
        <v>889</v>
      </c>
      <c r="F1113" s="2709" cm="1">
        <f t="array" ref="F1113:M1113">F699:M699*(INDEX(COSTOS_TRASPORTE_PASAJEROS_BUSES,1,2))*COSTOS_2019_US_dolares_MMCOP</f>
        <v>18.355306935540764</v>
      </c>
      <c r="G1113" s="2709">
        <v>21.65371058807964</v>
      </c>
      <c r="H1113" s="2709">
        <v>26.345476482262207</v>
      </c>
      <c r="I1113" s="2709">
        <v>30.621013834028286</v>
      </c>
      <c r="J1113" s="2709">
        <v>34.89904360785399</v>
      </c>
      <c r="K1113" s="2709">
        <v>39.707715419028872</v>
      </c>
      <c r="L1113" s="2709">
        <v>42.977791545811705</v>
      </c>
      <c r="M1113" s="2756">
        <v>47.200561632132178</v>
      </c>
      <c r="N1113" s="27"/>
    </row>
    <row r="1114" spans="4:14" ht="15" customHeight="1">
      <c r="D1114" s="20"/>
      <c r="E1114" s="30" t="s">
        <v>2257</v>
      </c>
      <c r="F1114" s="2714" cm="1">
        <f t="array" ref="F1114:M1114">F700:M700*(INDEX(COSTOS_TRASPORTE_PASAJEROS_BUSES,2,2))*COSTOS_2019_US_dolares_MMCOP</f>
        <v>48.787873796785156</v>
      </c>
      <c r="G1114" s="2714">
        <v>57.554935099330514</v>
      </c>
      <c r="H1114" s="2714">
        <v>70.025512852853467</v>
      </c>
      <c r="I1114" s="2714">
        <v>81.389767205228793</v>
      </c>
      <c r="J1114" s="2714">
        <v>92.760646343194523</v>
      </c>
      <c r="K1114" s="2714">
        <v>105.54195663550573</v>
      </c>
      <c r="L1114" s="2714">
        <v>114.23372419567923</v>
      </c>
      <c r="M1114" s="2755">
        <v>125.45772468598611</v>
      </c>
      <c r="N1114" s="27"/>
    </row>
    <row r="1115" spans="4:14" ht="15" customHeight="1">
      <c r="D1115" s="20"/>
      <c r="E1115" s="30" t="s">
        <v>2250</v>
      </c>
      <c r="F1115" s="2714" cm="1">
        <f t="array" ref="F1115:M1115">F701:M701*(INDEX(COSTOS_TRASPORTE_PASAJEROS_BUSES,3,2))*COSTOS_2019_US_dolares_MMCOP</f>
        <v>0</v>
      </c>
      <c r="G1115" s="2714">
        <v>0</v>
      </c>
      <c r="H1115" s="2714">
        <v>0</v>
      </c>
      <c r="I1115" s="2714">
        <v>0</v>
      </c>
      <c r="J1115" s="2714">
        <v>0</v>
      </c>
      <c r="K1115" s="2714">
        <v>0</v>
      </c>
      <c r="L1115" s="2714">
        <v>0</v>
      </c>
      <c r="M1115" s="2755">
        <v>0</v>
      </c>
      <c r="N1115" s="27"/>
    </row>
    <row r="1116" spans="4:14" ht="15" customHeight="1">
      <c r="D1116" s="20"/>
      <c r="E1116" s="30" t="s">
        <v>893</v>
      </c>
      <c r="F1116" s="2714" cm="1">
        <f t="array" ref="F1116:M1116">F702:M702*(INDEX(COSTOS_TRASPORTE_PASAJEROS_BUSES,4,2))*COSTOS_2019_US_dolares_MMCOP</f>
        <v>49.003489149040938</v>
      </c>
      <c r="G1116" s="2714">
        <v>57.809296001738161</v>
      </c>
      <c r="H1116" s="2714">
        <v>70.334986794750364</v>
      </c>
      <c r="I1116" s="2714">
        <v>81.749464850571314</v>
      </c>
      <c r="J1116" s="2714">
        <v>93.170596969861919</v>
      </c>
      <c r="K1116" s="2714">
        <v>106.00839356720142</v>
      </c>
      <c r="L1116" s="2714">
        <v>114.73857392093132</v>
      </c>
      <c r="M1116" s="2755">
        <v>126.01217827037576</v>
      </c>
      <c r="N1116" s="27"/>
    </row>
    <row r="1117" spans="4:14" ht="15" customHeight="1">
      <c r="D1117" s="20"/>
      <c r="E1117" s="30" t="s">
        <v>498</v>
      </c>
      <c r="F1117" s="2714" cm="1">
        <f t="array" ref="F1117:M1117">F703:M703*(INDEX(COSTOS_TRASPORTE_PASAJEROS_BUSES,5,2))*COSTOS_2019_US_dolares_MMCOP</f>
        <v>0</v>
      </c>
      <c r="G1117" s="2714">
        <v>0</v>
      </c>
      <c r="H1117" s="2714">
        <v>0</v>
      </c>
      <c r="I1117" s="2714">
        <v>0</v>
      </c>
      <c r="J1117" s="2714">
        <v>0</v>
      </c>
      <c r="K1117" s="2714">
        <v>0</v>
      </c>
      <c r="L1117" s="2714">
        <v>0</v>
      </c>
      <c r="M1117" s="2755">
        <v>0</v>
      </c>
      <c r="N1117" s="27"/>
    </row>
    <row r="1118" spans="4:14" ht="15" customHeight="1">
      <c r="D1118" s="20"/>
      <c r="E1118" s="30" t="s">
        <v>894</v>
      </c>
      <c r="F1118" s="2714" cm="1">
        <f t="array" ref="F1118:M1118">F704:M704*(INDEX(COSTOS_TRASPORTE_PASAJEROS_BUSES,6,2))*COSTOS_2019_US_dolares_MMCOP</f>
        <v>0</v>
      </c>
      <c r="G1118" s="2714">
        <v>0</v>
      </c>
      <c r="H1118" s="2714">
        <v>0</v>
      </c>
      <c r="I1118" s="2714">
        <v>0</v>
      </c>
      <c r="J1118" s="2714">
        <v>0</v>
      </c>
      <c r="K1118" s="2714">
        <v>0</v>
      </c>
      <c r="L1118" s="2714">
        <v>0</v>
      </c>
      <c r="M1118" s="2755">
        <v>0</v>
      </c>
      <c r="N1118" s="27"/>
    </row>
    <row r="1119" spans="4:14" ht="15" customHeight="1">
      <c r="D1119" s="20"/>
      <c r="E1119" s="32" t="s">
        <v>603</v>
      </c>
      <c r="F1119" s="2715" cm="1">
        <f t="array" ref="F1119:M1119">F705:M705*(INDEX(COSTOS_TRASPORTE_PASAJEROS_BUSES,7,2))*COSTOS_2019_US_dolares_MMCOP</f>
        <v>0</v>
      </c>
      <c r="G1119" s="2715">
        <v>0</v>
      </c>
      <c r="H1119" s="2715">
        <v>0</v>
      </c>
      <c r="I1119" s="2715">
        <v>0</v>
      </c>
      <c r="J1119" s="2715">
        <v>0</v>
      </c>
      <c r="K1119" s="2715">
        <v>0</v>
      </c>
      <c r="L1119" s="2715">
        <v>0</v>
      </c>
      <c r="M1119" s="2734">
        <v>0</v>
      </c>
      <c r="N1119" s="27"/>
    </row>
    <row r="1120" spans="4:14" ht="15" customHeight="1">
      <c r="D1120" s="20"/>
      <c r="E1120" s="289"/>
      <c r="F1120" s="773"/>
      <c r="G1120" s="840"/>
      <c r="H1120" s="822"/>
      <c r="I1120" s="822"/>
      <c r="J1120" s="822"/>
      <c r="K1120" s="822"/>
      <c r="L1120" s="822"/>
      <c r="M1120" s="822"/>
      <c r="N1120" s="27"/>
    </row>
    <row r="1121" spans="4:14" ht="15" customHeight="1">
      <c r="D1121" s="20"/>
      <c r="E1121" s="2677" t="s">
        <v>338</v>
      </c>
      <c r="F1121" s="2759">
        <f t="shared" ref="F1121:M1121" si="88">SUM(F1113:F1119)</f>
        <v>116.14666988136685</v>
      </c>
      <c r="G1121" s="2759">
        <f t="shared" si="88"/>
        <v>137.0179416891483</v>
      </c>
      <c r="H1121" s="2759">
        <f t="shared" si="88"/>
        <v>166.70597612986603</v>
      </c>
      <c r="I1121" s="2759">
        <f t="shared" si="88"/>
        <v>193.76024588982841</v>
      </c>
      <c r="J1121" s="2759">
        <f t="shared" si="88"/>
        <v>220.83028692091042</v>
      </c>
      <c r="K1121" s="2759">
        <f t="shared" si="88"/>
        <v>251.25806562173602</v>
      </c>
      <c r="L1121" s="2759">
        <f t="shared" si="88"/>
        <v>271.95008966242222</v>
      </c>
      <c r="M1121" s="2759">
        <f t="shared" si="88"/>
        <v>298.67046458849404</v>
      </c>
      <c r="N1121" s="27"/>
    </row>
    <row r="1122" spans="4:14" ht="15" customHeight="1">
      <c r="D1122" s="20"/>
      <c r="E1122" s="289"/>
      <c r="F1122" s="773"/>
      <c r="G1122" s="840"/>
      <c r="H1122" s="822"/>
      <c r="I1122" s="822"/>
      <c r="J1122" s="822"/>
      <c r="K1122" s="822"/>
      <c r="L1122" s="822"/>
      <c r="M1122" s="822"/>
      <c r="N1122" s="27"/>
    </row>
    <row r="1123" spans="4:14" ht="15" customHeight="1">
      <c r="D1123" s="20"/>
      <c r="E1123" s="23" t="s">
        <v>2291</v>
      </c>
      <c r="F1123" s="839"/>
      <c r="G1123" s="839"/>
      <c r="H1123" s="2760"/>
      <c r="I1123" s="2760"/>
      <c r="J1123" s="2760"/>
      <c r="K1123" s="2760"/>
      <c r="L1123" s="2760"/>
      <c r="M1123" s="2760"/>
      <c r="N1123" s="27"/>
    </row>
    <row r="1124" spans="4:14" ht="15" customHeight="1">
      <c r="D1124" s="20"/>
      <c r="E1124" s="289"/>
      <c r="F1124" s="773"/>
      <c r="G1124" s="840"/>
      <c r="H1124" s="822"/>
      <c r="I1124" s="822"/>
      <c r="J1124" s="822"/>
      <c r="K1124" s="822"/>
      <c r="L1124" s="822"/>
      <c r="M1124" s="822"/>
      <c r="N1124" s="27"/>
    </row>
    <row r="1125" spans="4:14" ht="15" customHeight="1">
      <c r="D1125" s="20"/>
      <c r="E1125" s="340" t="s">
        <v>899</v>
      </c>
      <c r="F1125" s="760"/>
      <c r="G1125" s="760"/>
      <c r="H1125" s="760"/>
      <c r="I1125" s="760"/>
      <c r="J1125" s="760"/>
      <c r="K1125" s="760"/>
      <c r="L1125" s="760"/>
      <c r="M1125" s="343" t="s">
        <v>803</v>
      </c>
      <c r="N1125" s="27"/>
    </row>
    <row r="1126" spans="4:14" ht="15" customHeight="1">
      <c r="D1126" s="20"/>
      <c r="E1126" s="28" t="s">
        <v>859</v>
      </c>
      <c r="F1126" s="762">
        <v>2018</v>
      </c>
      <c r="G1126" s="762">
        <v>2020</v>
      </c>
      <c r="H1126" s="762">
        <v>2025</v>
      </c>
      <c r="I1126" s="762">
        <v>2030</v>
      </c>
      <c r="J1126" s="762">
        <v>2035</v>
      </c>
      <c r="K1126" s="762">
        <v>2040</v>
      </c>
      <c r="L1126" s="762">
        <v>2045</v>
      </c>
      <c r="M1126" s="764">
        <v>2050</v>
      </c>
      <c r="N1126" s="27"/>
    </row>
    <row r="1127" spans="4:14" ht="15" customHeight="1">
      <c r="D1127" s="20"/>
      <c r="E1127" s="30" t="s">
        <v>889</v>
      </c>
      <c r="F1127" s="2714" cm="1">
        <f t="array" ref="F1127:M1133">F1113:M1119*0.8</f>
        <v>14.684245548432612</v>
      </c>
      <c r="G1127" s="2714">
        <v>17.322968470463714</v>
      </c>
      <c r="H1127" s="2714">
        <v>21.076381185809765</v>
      </c>
      <c r="I1127" s="2714">
        <v>24.49681106722263</v>
      </c>
      <c r="J1127" s="2714">
        <v>27.919234886283192</v>
      </c>
      <c r="K1127" s="2714">
        <v>31.7661723352231</v>
      </c>
      <c r="L1127" s="2714">
        <v>34.382233236649363</v>
      </c>
      <c r="M1127" s="2755">
        <v>37.760449305705741</v>
      </c>
      <c r="N1127" s="27"/>
    </row>
    <row r="1128" spans="4:14" ht="15" customHeight="1">
      <c r="D1128" s="20"/>
      <c r="E1128" s="30" t="s">
        <v>2257</v>
      </c>
      <c r="F1128" s="2714">
        <v>39.030299037428129</v>
      </c>
      <c r="G1128" s="2714">
        <v>46.043948079464414</v>
      </c>
      <c r="H1128" s="2714">
        <v>56.020410282282775</v>
      </c>
      <c r="I1128" s="2714">
        <v>65.11181376418304</v>
      </c>
      <c r="J1128" s="2714">
        <v>74.208517074555616</v>
      </c>
      <c r="K1128" s="2714">
        <v>84.433565308404582</v>
      </c>
      <c r="L1128" s="2714">
        <v>91.386979356543392</v>
      </c>
      <c r="M1128" s="2755">
        <v>100.36617974878889</v>
      </c>
      <c r="N1128" s="27"/>
    </row>
    <row r="1129" spans="4:14" ht="15" customHeight="1">
      <c r="D1129" s="20"/>
      <c r="E1129" s="30" t="s">
        <v>2250</v>
      </c>
      <c r="F1129" s="2714">
        <v>0</v>
      </c>
      <c r="G1129" s="2714">
        <v>0</v>
      </c>
      <c r="H1129" s="2714">
        <v>0</v>
      </c>
      <c r="I1129" s="2714">
        <v>0</v>
      </c>
      <c r="J1129" s="2714">
        <v>0</v>
      </c>
      <c r="K1129" s="2714">
        <v>0</v>
      </c>
      <c r="L1129" s="2714">
        <v>0</v>
      </c>
      <c r="M1129" s="2755">
        <v>0</v>
      </c>
      <c r="N1129" s="27"/>
    </row>
    <row r="1130" spans="4:14" ht="15" customHeight="1">
      <c r="D1130" s="20"/>
      <c r="E1130" s="30" t="s">
        <v>893</v>
      </c>
      <c r="F1130" s="2714">
        <v>39.202791319232752</v>
      </c>
      <c r="G1130" s="2714">
        <v>46.247436801390535</v>
      </c>
      <c r="H1130" s="2714">
        <v>56.267989435800295</v>
      </c>
      <c r="I1130" s="2714">
        <v>65.39957188045706</v>
      </c>
      <c r="J1130" s="2714">
        <v>74.536477575889535</v>
      </c>
      <c r="K1130" s="2714">
        <v>84.80671485376115</v>
      </c>
      <c r="L1130" s="2714">
        <v>91.790859136745055</v>
      </c>
      <c r="M1130" s="2755">
        <v>100.80974261630061</v>
      </c>
      <c r="N1130" s="27"/>
    </row>
    <row r="1131" spans="4:14" ht="15" customHeight="1">
      <c r="D1131" s="20"/>
      <c r="E1131" s="30" t="s">
        <v>498</v>
      </c>
      <c r="F1131" s="2714">
        <v>0</v>
      </c>
      <c r="G1131" s="2714">
        <v>0</v>
      </c>
      <c r="H1131" s="2714">
        <v>0</v>
      </c>
      <c r="I1131" s="2714">
        <v>0</v>
      </c>
      <c r="J1131" s="2714">
        <v>0</v>
      </c>
      <c r="K1131" s="2714">
        <v>0</v>
      </c>
      <c r="L1131" s="2714">
        <v>0</v>
      </c>
      <c r="M1131" s="2755">
        <v>0</v>
      </c>
      <c r="N1131" s="27"/>
    </row>
    <row r="1132" spans="4:14" ht="15" customHeight="1">
      <c r="D1132" s="20"/>
      <c r="E1132" s="30" t="s">
        <v>894</v>
      </c>
      <c r="F1132" s="2714">
        <v>0</v>
      </c>
      <c r="G1132" s="2714">
        <v>0</v>
      </c>
      <c r="H1132" s="2714">
        <v>0</v>
      </c>
      <c r="I1132" s="2714">
        <v>0</v>
      </c>
      <c r="J1132" s="2714">
        <v>0</v>
      </c>
      <c r="K1132" s="2714">
        <v>0</v>
      </c>
      <c r="L1132" s="2714">
        <v>0</v>
      </c>
      <c r="M1132" s="2755">
        <v>0</v>
      </c>
      <c r="N1132" s="27"/>
    </row>
    <row r="1133" spans="4:14" ht="15" customHeight="1">
      <c r="D1133" s="20"/>
      <c r="E1133" s="32" t="s">
        <v>603</v>
      </c>
      <c r="F1133" s="2715">
        <v>0</v>
      </c>
      <c r="G1133" s="2715">
        <v>0</v>
      </c>
      <c r="H1133" s="2715">
        <v>0</v>
      </c>
      <c r="I1133" s="2715">
        <v>0</v>
      </c>
      <c r="J1133" s="2715">
        <v>0</v>
      </c>
      <c r="K1133" s="2715">
        <v>0</v>
      </c>
      <c r="L1133" s="2715">
        <v>0</v>
      </c>
      <c r="M1133" s="2734">
        <v>0</v>
      </c>
      <c r="N1133" s="27"/>
    </row>
    <row r="1134" spans="4:14" ht="15" customHeight="1">
      <c r="D1134" s="20"/>
      <c r="E1134" s="289"/>
      <c r="F1134" s="773"/>
      <c r="G1134" s="840"/>
      <c r="H1134" s="822"/>
      <c r="I1134" s="822"/>
      <c r="J1134" s="822"/>
      <c r="K1134" s="822"/>
      <c r="L1134" s="822"/>
      <c r="M1134" s="822"/>
      <c r="N1134" s="27"/>
    </row>
    <row r="1135" spans="4:14" ht="15" customHeight="1">
      <c r="D1135" s="20"/>
      <c r="E1135" s="2677" t="s">
        <v>338</v>
      </c>
      <c r="F1135" s="2759">
        <f t="shared" ref="F1135:M1135" si="89">SUM(F1127:F1133)</f>
        <v>92.917335905093495</v>
      </c>
      <c r="G1135" s="2759">
        <f t="shared" si="89"/>
        <v>109.61435335131867</v>
      </c>
      <c r="H1135" s="2759">
        <f t="shared" si="89"/>
        <v>133.36478090389284</v>
      </c>
      <c r="I1135" s="2759">
        <f t="shared" si="89"/>
        <v>155.00819671186275</v>
      </c>
      <c r="J1135" s="2759">
        <f t="shared" si="89"/>
        <v>176.66422953672833</v>
      </c>
      <c r="K1135" s="2759">
        <f t="shared" si="89"/>
        <v>201.00645249738884</v>
      </c>
      <c r="L1135" s="2759">
        <f t="shared" si="89"/>
        <v>217.56007172993782</v>
      </c>
      <c r="M1135" s="2759">
        <f t="shared" si="89"/>
        <v>238.93637167079524</v>
      </c>
      <c r="N1135" s="27"/>
    </row>
    <row r="1136" spans="4:14" ht="15" customHeight="1">
      <c r="D1136" s="20"/>
      <c r="E1136" s="289"/>
      <c r="F1136" s="773"/>
      <c r="G1136" s="840"/>
      <c r="H1136" s="822"/>
      <c r="I1136" s="822"/>
      <c r="J1136" s="822"/>
      <c r="K1136" s="822"/>
      <c r="L1136" s="822"/>
      <c r="M1136" s="822"/>
      <c r="N1136" s="27"/>
    </row>
    <row r="1137" spans="4:14" ht="15" customHeight="1">
      <c r="D1137" s="20"/>
      <c r="E1137" s="23" t="s">
        <v>2292</v>
      </c>
      <c r="F1137" s="839"/>
      <c r="G1137" s="839"/>
      <c r="H1137" s="2760"/>
      <c r="I1137" s="2760"/>
      <c r="J1137" s="2760"/>
      <c r="K1137" s="2760"/>
      <c r="L1137" s="2760"/>
      <c r="M1137" s="2760"/>
      <c r="N1137" s="27"/>
    </row>
    <row r="1138" spans="4:14" ht="15" customHeight="1">
      <c r="D1138" s="20"/>
      <c r="E1138" s="289"/>
      <c r="F1138" s="773"/>
      <c r="G1138" s="840"/>
      <c r="H1138" s="822"/>
      <c r="I1138" s="822"/>
      <c r="J1138" s="822"/>
      <c r="K1138" s="822"/>
      <c r="L1138" s="822"/>
      <c r="M1138" s="822"/>
      <c r="N1138" s="27"/>
    </row>
    <row r="1139" spans="4:14" ht="15" customHeight="1">
      <c r="D1139" s="20"/>
      <c r="E1139" s="340" t="s">
        <v>899</v>
      </c>
      <c r="F1139" s="760"/>
      <c r="G1139" s="760"/>
      <c r="H1139" s="760"/>
      <c r="I1139" s="760"/>
      <c r="J1139" s="760"/>
      <c r="K1139" s="760"/>
      <c r="L1139" s="760"/>
      <c r="M1139" s="343" t="s">
        <v>803</v>
      </c>
      <c r="N1139" s="293"/>
    </row>
    <row r="1140" spans="4:14" ht="15" customHeight="1">
      <c r="D1140" s="20"/>
      <c r="E1140" s="28" t="s">
        <v>859</v>
      </c>
      <c r="F1140" s="762">
        <v>2018</v>
      </c>
      <c r="G1140" s="762">
        <v>2020</v>
      </c>
      <c r="H1140" s="762">
        <v>2025</v>
      </c>
      <c r="I1140" s="762">
        <v>2030</v>
      </c>
      <c r="J1140" s="762">
        <v>2035</v>
      </c>
      <c r="K1140" s="762">
        <v>2040</v>
      </c>
      <c r="L1140" s="762">
        <v>2045</v>
      </c>
      <c r="M1140" s="764">
        <v>2050</v>
      </c>
      <c r="N1140" s="293"/>
    </row>
    <row r="1141" spans="4:14" ht="15" customHeight="1">
      <c r="D1141" s="20"/>
      <c r="E1141" s="30" t="s">
        <v>889</v>
      </c>
      <c r="F1141" s="2714" cm="1">
        <f t="array" ref="F1141:M1147">F1113:M1119*0.7</f>
        <v>12.848714854878533</v>
      </c>
      <c r="G1141" s="2714">
        <v>15.157597411655747</v>
      </c>
      <c r="H1141" s="2714">
        <v>18.441833537583545</v>
      </c>
      <c r="I1141" s="2714">
        <v>21.434709683819801</v>
      </c>
      <c r="J1141" s="2714">
        <v>24.429330525497793</v>
      </c>
      <c r="K1141" s="2714">
        <v>27.795400793320209</v>
      </c>
      <c r="L1141" s="2714">
        <v>30.084454082068191</v>
      </c>
      <c r="M1141" s="2755">
        <v>33.040393142492526</v>
      </c>
      <c r="N1141" s="293"/>
    </row>
    <row r="1142" spans="4:14" ht="15" customHeight="1">
      <c r="D1142" s="20"/>
      <c r="E1142" s="30" t="s">
        <v>2257</v>
      </c>
      <c r="F1142" s="2714">
        <v>34.151511657749609</v>
      </c>
      <c r="G1142" s="2714">
        <v>40.288454569531361</v>
      </c>
      <c r="H1142" s="2714">
        <v>49.017858996997425</v>
      </c>
      <c r="I1142" s="2714">
        <v>56.972837043660149</v>
      </c>
      <c r="J1142" s="2714">
        <v>64.932452440236162</v>
      </c>
      <c r="K1142" s="2714">
        <v>73.879369644854009</v>
      </c>
      <c r="L1142" s="2714">
        <v>79.963606936975452</v>
      </c>
      <c r="M1142" s="2755">
        <v>87.820407280190267</v>
      </c>
      <c r="N1142" s="293"/>
    </row>
    <row r="1143" spans="4:14" ht="15" customHeight="1">
      <c r="D1143" s="20"/>
      <c r="E1143" s="30" t="s">
        <v>2250</v>
      </c>
      <c r="F1143" s="2714">
        <v>0</v>
      </c>
      <c r="G1143" s="2714">
        <v>0</v>
      </c>
      <c r="H1143" s="2714">
        <v>0</v>
      </c>
      <c r="I1143" s="2714">
        <v>0</v>
      </c>
      <c r="J1143" s="2714">
        <v>0</v>
      </c>
      <c r="K1143" s="2714">
        <v>0</v>
      </c>
      <c r="L1143" s="2714">
        <v>0</v>
      </c>
      <c r="M1143" s="2755">
        <v>0</v>
      </c>
      <c r="N1143" s="293"/>
    </row>
    <row r="1144" spans="4:14" ht="15" customHeight="1">
      <c r="D1144" s="20"/>
      <c r="E1144" s="30" t="s">
        <v>893</v>
      </c>
      <c r="F1144" s="2714">
        <v>34.302442404328652</v>
      </c>
      <c r="G1144" s="2714">
        <v>40.466507201216707</v>
      </c>
      <c r="H1144" s="2714">
        <v>49.234490756325251</v>
      </c>
      <c r="I1144" s="2714">
        <v>57.224625395399919</v>
      </c>
      <c r="J1144" s="2714">
        <v>65.219417878903343</v>
      </c>
      <c r="K1144" s="2714">
        <v>74.205875497040992</v>
      </c>
      <c r="L1144" s="2714">
        <v>80.317001744651918</v>
      </c>
      <c r="M1144" s="2755">
        <v>88.208524789263024</v>
      </c>
      <c r="N1144" s="293"/>
    </row>
    <row r="1145" spans="4:14" ht="15" customHeight="1">
      <c r="D1145" s="20"/>
      <c r="E1145" s="30" t="s">
        <v>498</v>
      </c>
      <c r="F1145" s="2714">
        <v>0</v>
      </c>
      <c r="G1145" s="2714">
        <v>0</v>
      </c>
      <c r="H1145" s="2714">
        <v>0</v>
      </c>
      <c r="I1145" s="2714">
        <v>0</v>
      </c>
      <c r="J1145" s="2714">
        <v>0</v>
      </c>
      <c r="K1145" s="2714">
        <v>0</v>
      </c>
      <c r="L1145" s="2714">
        <v>0</v>
      </c>
      <c r="M1145" s="2755">
        <v>0</v>
      </c>
      <c r="N1145" s="293"/>
    </row>
    <row r="1146" spans="4:14" ht="15" customHeight="1">
      <c r="D1146" s="20"/>
      <c r="E1146" s="30" t="s">
        <v>894</v>
      </c>
      <c r="F1146" s="2714">
        <v>0</v>
      </c>
      <c r="G1146" s="2714">
        <v>0</v>
      </c>
      <c r="H1146" s="2714">
        <v>0</v>
      </c>
      <c r="I1146" s="2714">
        <v>0</v>
      </c>
      <c r="J1146" s="2714">
        <v>0</v>
      </c>
      <c r="K1146" s="2714">
        <v>0</v>
      </c>
      <c r="L1146" s="2714">
        <v>0</v>
      </c>
      <c r="M1146" s="2755">
        <v>0</v>
      </c>
      <c r="N1146" s="388"/>
    </row>
    <row r="1147" spans="4:14" ht="15" customHeight="1">
      <c r="D1147" s="20"/>
      <c r="E1147" s="32" t="s">
        <v>603</v>
      </c>
      <c r="F1147" s="2715">
        <v>0</v>
      </c>
      <c r="G1147" s="2715">
        <v>0</v>
      </c>
      <c r="H1147" s="2715">
        <v>0</v>
      </c>
      <c r="I1147" s="2715">
        <v>0</v>
      </c>
      <c r="J1147" s="2715">
        <v>0</v>
      </c>
      <c r="K1147" s="2715">
        <v>0</v>
      </c>
      <c r="L1147" s="2715">
        <v>0</v>
      </c>
      <c r="M1147" s="2734">
        <v>0</v>
      </c>
      <c r="N1147" s="388"/>
    </row>
    <row r="1148" spans="4:14" ht="15" customHeight="1">
      <c r="D1148" s="20"/>
      <c r="E1148" s="30"/>
      <c r="F1148" s="2714"/>
      <c r="G1148" s="2714"/>
      <c r="H1148" s="2714"/>
      <c r="I1148" s="2714"/>
      <c r="J1148" s="2714"/>
      <c r="K1148" s="2714"/>
      <c r="L1148" s="2714"/>
      <c r="M1148" s="2755"/>
      <c r="N1148" s="388"/>
    </row>
    <row r="1149" spans="4:14" ht="15" customHeight="1">
      <c r="D1149" s="20"/>
      <c r="E1149" s="2677" t="s">
        <v>338</v>
      </c>
      <c r="F1149" s="2759">
        <f t="shared" ref="F1149:M1149" si="90">SUM(F1141:F1147)</f>
        <v>81.302668916956804</v>
      </c>
      <c r="G1149" s="2759">
        <f t="shared" si="90"/>
        <v>95.912559182403811</v>
      </c>
      <c r="H1149" s="2759">
        <f t="shared" si="90"/>
        <v>116.69418329090621</v>
      </c>
      <c r="I1149" s="2759">
        <f t="shared" si="90"/>
        <v>135.63217212287987</v>
      </c>
      <c r="J1149" s="2759">
        <f t="shared" si="90"/>
        <v>154.58120084463729</v>
      </c>
      <c r="K1149" s="2759">
        <f t="shared" si="90"/>
        <v>175.88064593521523</v>
      </c>
      <c r="L1149" s="2759">
        <f t="shared" si="90"/>
        <v>190.36506276369556</v>
      </c>
      <c r="M1149" s="2759">
        <f t="shared" si="90"/>
        <v>209.0693252119458</v>
      </c>
      <c r="N1149" s="388"/>
    </row>
    <row r="1150" spans="4:14" ht="15" customHeight="1">
      <c r="D1150" s="20"/>
      <c r="E1150" s="389"/>
      <c r="F1150" s="205"/>
      <c r="G1150" s="27"/>
      <c r="H1150" s="27"/>
      <c r="I1150" s="27"/>
      <c r="J1150" s="27"/>
      <c r="K1150" s="27"/>
      <c r="L1150" s="27"/>
      <c r="M1150" s="27"/>
      <c r="N1150" s="27"/>
    </row>
    <row r="1152" spans="4:14" ht="15" customHeight="1">
      <c r="D1152" s="99" t="s">
        <v>52</v>
      </c>
      <c r="E1152" s="49"/>
      <c r="F1152" s="49"/>
      <c r="G1152" s="49"/>
      <c r="H1152" s="49"/>
      <c r="I1152" s="49"/>
      <c r="J1152" s="49"/>
      <c r="K1152" s="49"/>
      <c r="L1152" s="49"/>
      <c r="M1152" s="49"/>
      <c r="N1152" s="49"/>
    </row>
    <row r="1153" spans="4:14" ht="15" customHeight="1">
      <c r="D1153" s="50"/>
      <c r="E1153" s="50"/>
      <c r="F1153" s="50"/>
      <c r="G1153" s="50"/>
      <c r="H1153" s="50"/>
      <c r="I1153" s="50"/>
      <c r="J1153" s="50"/>
      <c r="K1153" s="50"/>
      <c r="L1153" s="50"/>
      <c r="M1153" s="50"/>
      <c r="N1153" s="50"/>
    </row>
    <row r="1154" spans="4:14" ht="15" customHeight="1">
      <c r="D1154" s="296"/>
      <c r="E1154" s="297" t="s">
        <v>2295</v>
      </c>
      <c r="F1154" s="298"/>
      <c r="G1154" s="299"/>
      <c r="H1154" s="298"/>
      <c r="I1154" s="299"/>
      <c r="J1154" s="298"/>
      <c r="K1154" s="298"/>
      <c r="L1154" s="298"/>
      <c r="M1154" s="298"/>
      <c r="N1154" s="81"/>
    </row>
    <row r="1155" spans="4:14" ht="15" customHeight="1">
      <c r="D1155" s="296"/>
      <c r="E1155" s="300"/>
      <c r="F1155" s="81"/>
      <c r="G1155" s="301"/>
      <c r="H1155" s="81"/>
      <c r="I1155" s="301"/>
      <c r="J1155" s="81"/>
      <c r="K1155" s="81"/>
      <c r="L1155" s="81"/>
      <c r="M1155" s="81"/>
      <c r="N1155" s="81"/>
    </row>
    <row r="1156" spans="4:14" ht="15" customHeight="1">
      <c r="D1156" s="296"/>
      <c r="E1156" s="81"/>
      <c r="F1156" s="81"/>
      <c r="G1156" s="81"/>
      <c r="H1156" s="81"/>
      <c r="I1156" s="81"/>
      <c r="J1156" s="81"/>
      <c r="K1156" s="81"/>
      <c r="L1156" s="81"/>
      <c r="M1156" s="82" t="s">
        <v>9</v>
      </c>
      <c r="N1156" s="302"/>
    </row>
    <row r="1157" spans="4:14" ht="15" customHeight="1">
      <c r="D1157" s="303"/>
      <c r="E1157" s="304" t="s">
        <v>699</v>
      </c>
      <c r="F1157" s="1336">
        <v>2018</v>
      </c>
      <c r="G1157" s="1336" t="s">
        <v>322</v>
      </c>
      <c r="H1157" s="1336" t="s">
        <v>323</v>
      </c>
      <c r="I1157" s="1336" t="s">
        <v>324</v>
      </c>
      <c r="J1157" s="1336" t="s">
        <v>325</v>
      </c>
      <c r="K1157" s="1336" t="s">
        <v>326</v>
      </c>
      <c r="L1157" s="1336" t="s">
        <v>327</v>
      </c>
      <c r="M1157" s="1336" t="s">
        <v>328</v>
      </c>
      <c r="N1157" s="302"/>
    </row>
    <row r="1158" spans="4:14" ht="15" customHeight="1">
      <c r="D1158" s="303"/>
      <c r="E1158" s="305" t="s">
        <v>494</v>
      </c>
      <c r="F1158" s="306" cm="1">
        <f t="array" ref="F1158:M1158">F1571:M1571</f>
        <v>1.3274973999762025</v>
      </c>
      <c r="G1158" s="306">
        <v>1.6091838495541115</v>
      </c>
      <c r="H1158" s="306">
        <v>1.7849936105181865</v>
      </c>
      <c r="I1158" s="306">
        <v>1.8256706208004259</v>
      </c>
      <c r="J1158" s="306">
        <v>1.9078886624051048</v>
      </c>
      <c r="K1158" s="306">
        <v>2.0150175826932593</v>
      </c>
      <c r="L1158" s="306">
        <v>2.0802052431354214</v>
      </c>
      <c r="M1158" s="306">
        <v>2.1691400207488791</v>
      </c>
      <c r="N1158" s="302"/>
    </row>
    <row r="1159" spans="4:14" ht="15" customHeight="1">
      <c r="D1159" s="303"/>
      <c r="E1159" s="307" t="s">
        <v>526</v>
      </c>
      <c r="F1159" s="308" cm="1">
        <f t="array" ref="F1159:M1159">F1572:M1572</f>
        <v>2.7357618645162942</v>
      </c>
      <c r="G1159" s="308">
        <v>2.7077853133858691</v>
      </c>
      <c r="H1159" s="308">
        <v>2.8504286162060675</v>
      </c>
      <c r="I1159" s="308">
        <v>2.5175633425499786</v>
      </c>
      <c r="J1159" s="308">
        <v>2.1321519535572429</v>
      </c>
      <c r="K1159" s="308">
        <v>1.8922626480707574</v>
      </c>
      <c r="L1159" s="308">
        <v>1.7612583033969968</v>
      </c>
      <c r="M1159" s="308">
        <v>1.7092005819946017</v>
      </c>
      <c r="N1159" s="302"/>
    </row>
    <row r="1160" spans="4:14" ht="15" customHeight="1">
      <c r="D1160" s="303"/>
      <c r="E1160" s="307" t="s">
        <v>601</v>
      </c>
      <c r="F1160" s="308" cm="1">
        <f t="array" ref="F1160:M1160">F1573:M1573</f>
        <v>3.8037425117657468E-7</v>
      </c>
      <c r="G1160" s="308">
        <v>2.0710071581740471E-6</v>
      </c>
      <c r="H1160" s="308">
        <v>1.1280006724256547E-5</v>
      </c>
      <c r="I1160" s="308">
        <v>5.8731399680705542E-5</v>
      </c>
      <c r="J1160" s="308">
        <v>9.7204927314617116E-5</v>
      </c>
      <c r="K1160" s="308">
        <v>1.200130344323735E-4</v>
      </c>
      <c r="L1160" s="308">
        <v>1.31271957127949E-4</v>
      </c>
      <c r="M1160" s="308">
        <v>1.3815422342403601E-4</v>
      </c>
      <c r="N1160" s="302"/>
    </row>
    <row r="1161" spans="4:14" ht="15" customHeight="1">
      <c r="D1161" s="303"/>
      <c r="E1161" s="307" t="s">
        <v>590</v>
      </c>
      <c r="F1161" s="308" cm="1">
        <f t="array" ref="F1161:M1161">F1574:M1574</f>
        <v>0.15788293062304007</v>
      </c>
      <c r="G1161" s="308">
        <v>0.18644751147058908</v>
      </c>
      <c r="H1161" s="308">
        <v>0.22700927631690243</v>
      </c>
      <c r="I1161" s="308">
        <v>0.26404092843689908</v>
      </c>
      <c r="J1161" s="308">
        <v>0.30112593553111711</v>
      </c>
      <c r="K1161" s="308">
        <v>0.34279230365237584</v>
      </c>
      <c r="L1161" s="308">
        <v>0.37125770992522589</v>
      </c>
      <c r="M1161" s="308">
        <v>0.4078807584397236</v>
      </c>
      <c r="N1161" s="302"/>
    </row>
    <row r="1162" spans="4:14" ht="15" customHeight="1">
      <c r="D1162" s="303"/>
      <c r="E1162" s="1490" t="s">
        <v>498</v>
      </c>
      <c r="F1162" s="308">
        <v>0</v>
      </c>
      <c r="G1162" s="308">
        <v>0</v>
      </c>
      <c r="H1162" s="308">
        <v>0</v>
      </c>
      <c r="I1162" s="308">
        <v>0</v>
      </c>
      <c r="J1162" s="308">
        <v>0</v>
      </c>
      <c r="K1162" s="308">
        <v>0</v>
      </c>
      <c r="L1162" s="308">
        <v>0</v>
      </c>
      <c r="M1162" s="308">
        <v>0</v>
      </c>
      <c r="N1162" s="302"/>
    </row>
    <row r="1163" spans="4:14" ht="15" customHeight="1">
      <c r="D1163" s="303"/>
      <c r="E1163" s="307" t="s">
        <v>602</v>
      </c>
      <c r="F1163" s="308" cm="1">
        <f t="array" ref="F1163:M1163">F1576:M1576</f>
        <v>5.6013479920829742E-5</v>
      </c>
      <c r="G1163" s="308">
        <v>7.140455122905609E-5</v>
      </c>
      <c r="H1163" s="308">
        <v>9.1319755635826342E-5</v>
      </c>
      <c r="I1163" s="308">
        <v>1.0932938676453869E-4</v>
      </c>
      <c r="J1163" s="308">
        <v>1.263715158857669E-4</v>
      </c>
      <c r="K1163" s="308">
        <v>1.4404669767710695E-4</v>
      </c>
      <c r="L1163" s="308">
        <v>1.623083786567512E-4</v>
      </c>
      <c r="M1163" s="308">
        <v>1.8124611315073187E-4</v>
      </c>
      <c r="N1163" s="302"/>
    </row>
    <row r="1164" spans="4:14" ht="15" customHeight="1">
      <c r="D1164" s="303"/>
      <c r="E1164" s="307" t="s">
        <v>603</v>
      </c>
      <c r="F1164" s="308"/>
      <c r="G1164" s="308"/>
      <c r="H1164" s="308"/>
      <c r="I1164" s="308"/>
      <c r="J1164" s="308"/>
      <c r="K1164" s="308"/>
      <c r="L1164" s="308"/>
      <c r="M1164" s="308"/>
      <c r="N1164" s="302"/>
    </row>
    <row r="1165" spans="4:14" ht="15" customHeight="1">
      <c r="D1165" s="303"/>
      <c r="E1165" s="2089" t="s">
        <v>1626</v>
      </c>
      <c r="F1165" s="2090">
        <f>SUM(F1158:F1164)</f>
        <v>4.2211985889697088</v>
      </c>
      <c r="G1165" s="2090">
        <f t="shared" ref="G1165:M1165" si="91">SUM(G1158:G1164)</f>
        <v>4.5034901499689566</v>
      </c>
      <c r="H1165" s="2090">
        <f t="shared" si="91"/>
        <v>4.8625341028035161</v>
      </c>
      <c r="I1165" s="2090">
        <f t="shared" si="91"/>
        <v>4.6074429525737486</v>
      </c>
      <c r="J1165" s="2090">
        <f t="shared" si="91"/>
        <v>4.3413901279366645</v>
      </c>
      <c r="K1165" s="2090">
        <f t="shared" si="91"/>
        <v>4.2503365941485027</v>
      </c>
      <c r="L1165" s="2090">
        <f t="shared" si="91"/>
        <v>4.2130148367934286</v>
      </c>
      <c r="M1165" s="2090">
        <f t="shared" si="91"/>
        <v>4.2865407615197793</v>
      </c>
      <c r="N1165" s="309"/>
    </row>
    <row r="1166" spans="4:14" ht="15" customHeight="1">
      <c r="D1166" s="987"/>
      <c r="E1166" s="1506"/>
      <c r="F1166" s="1506"/>
      <c r="G1166" s="1506"/>
      <c r="H1166" s="309"/>
      <c r="I1166" s="309"/>
      <c r="J1166" s="309"/>
      <c r="K1166" s="309"/>
      <c r="L1166" s="309"/>
      <c r="M1166" s="309"/>
      <c r="N1166" s="309"/>
    </row>
    <row r="1168" spans="4:14" ht="15" customHeight="1">
      <c r="D1168" s="105" t="s">
        <v>1671</v>
      </c>
      <c r="E1168" s="57"/>
      <c r="F1168" s="57"/>
      <c r="G1168" s="57"/>
      <c r="H1168" s="57"/>
      <c r="I1168" s="57"/>
      <c r="J1168" s="57"/>
      <c r="K1168" s="57"/>
      <c r="L1168" s="57"/>
      <c r="M1168" s="57"/>
      <c r="N1168" s="57"/>
    </row>
    <row r="1169" spans="4:14" ht="15" customHeight="1">
      <c r="D1169" s="58"/>
      <c r="E1169" s="58"/>
      <c r="F1169" s="58"/>
      <c r="G1169" s="58"/>
      <c r="H1169" s="58"/>
      <c r="I1169" s="58"/>
      <c r="J1169" s="58"/>
      <c r="K1169" s="58"/>
      <c r="L1169" s="58"/>
      <c r="M1169" s="58"/>
      <c r="N1169" s="58"/>
    </row>
    <row r="1170" spans="4:14" ht="15" customHeight="1">
      <c r="D1170" s="314"/>
      <c r="E1170" s="313" t="s">
        <v>2106</v>
      </c>
      <c r="F1170" s="314"/>
      <c r="G1170" s="315"/>
      <c r="H1170" s="314"/>
      <c r="I1170" s="315"/>
      <c r="J1170" s="314"/>
      <c r="K1170" s="314"/>
      <c r="L1170" s="314"/>
      <c r="M1170" s="314"/>
      <c r="N1170" s="314"/>
    </row>
    <row r="1171" spans="4:14" ht="15" customHeight="1">
      <c r="D1171" s="314"/>
      <c r="E1171" s="314"/>
      <c r="F1171" s="314"/>
      <c r="G1171" s="314"/>
      <c r="H1171" s="314"/>
      <c r="I1171" s="314"/>
      <c r="J1171" s="314"/>
      <c r="K1171" s="314"/>
      <c r="L1171" s="314"/>
      <c r="M1171" s="316" t="s">
        <v>29</v>
      </c>
      <c r="N1171" s="58"/>
    </row>
    <row r="1172" spans="4:14" ht="15" customHeight="1">
      <c r="D1172" s="392"/>
      <c r="E1172" s="1149" t="s">
        <v>1986</v>
      </c>
      <c r="F1172" s="393">
        <v>2018</v>
      </c>
      <c r="G1172" s="393" t="s">
        <v>322</v>
      </c>
      <c r="H1172" s="393" t="s">
        <v>323</v>
      </c>
      <c r="I1172" s="393" t="s">
        <v>324</v>
      </c>
      <c r="J1172" s="393" t="s">
        <v>325</v>
      </c>
      <c r="K1172" s="393" t="s">
        <v>326</v>
      </c>
      <c r="L1172" s="393" t="s">
        <v>327</v>
      </c>
      <c r="M1172" s="393" t="s">
        <v>328</v>
      </c>
      <c r="N1172" s="58"/>
    </row>
    <row r="1173" spans="4:14" ht="15" customHeight="1">
      <c r="D1173" s="392"/>
      <c r="E1173" s="63" t="s">
        <v>694</v>
      </c>
      <c r="F1173" s="1299" cm="1">
        <f t="array" ref="F1173:M1173">F1593:M1593</f>
        <v>1.0939702136456109</v>
      </c>
      <c r="G1173" s="1299">
        <v>1.1625041485057941</v>
      </c>
      <c r="H1173" s="1299">
        <v>1.2526101512630392</v>
      </c>
      <c r="I1173" s="1299">
        <v>1.1812108660649436</v>
      </c>
      <c r="J1173" s="1299">
        <v>1.1061470129328088</v>
      </c>
      <c r="K1173" s="1299">
        <v>1.077105408749625</v>
      </c>
      <c r="L1173" s="1299">
        <v>1.0640557529151851</v>
      </c>
      <c r="M1173" s="1299">
        <v>1.0796613140601719</v>
      </c>
      <c r="N1173" s="58"/>
    </row>
    <row r="1174" spans="4:14" ht="15" customHeight="1">
      <c r="D1174" s="392"/>
      <c r="E1174" s="63" t="s">
        <v>695</v>
      </c>
      <c r="F1174" s="1299" cm="1">
        <f t="array" ref="F1174:M1174">F1602:M1602</f>
        <v>2.4840761434533927E-4</v>
      </c>
      <c r="G1174" s="1299">
        <v>2.9093976296172747E-4</v>
      </c>
      <c r="H1174" s="1299">
        <v>3.2726273106291174E-4</v>
      </c>
      <c r="I1174" s="1299">
        <v>3.3968661463345797E-4</v>
      </c>
      <c r="J1174" s="1299">
        <v>3.5632549643276192E-4</v>
      </c>
      <c r="K1174" s="1299">
        <v>3.7948426744456283E-4</v>
      </c>
      <c r="L1174" s="1299">
        <v>3.9481700307257095E-4</v>
      </c>
      <c r="M1174" s="1299">
        <v>4.167811179220305E-4</v>
      </c>
      <c r="N1174" s="58"/>
    </row>
    <row r="1175" spans="4:14" ht="15" customHeight="1">
      <c r="D1175" s="392"/>
      <c r="E1175" s="63" t="s">
        <v>1616</v>
      </c>
      <c r="F1175" s="2239" cm="1">
        <f t="array" ref="F1175:M1175">F1611:M1611</f>
        <v>5.5408002388290421E-5</v>
      </c>
      <c r="G1175" s="2239">
        <v>5.8568737013492444E-5</v>
      </c>
      <c r="H1175" s="2239">
        <v>6.3034844531564764E-5</v>
      </c>
      <c r="I1175" s="2239">
        <v>5.9229957126799893E-5</v>
      </c>
      <c r="J1175" s="2239">
        <v>5.51664511753296E-5</v>
      </c>
      <c r="K1175" s="2239">
        <v>5.3482527299078838E-5</v>
      </c>
      <c r="L1175" s="2239">
        <v>5.2701614572423092E-5</v>
      </c>
      <c r="M1175" s="2239">
        <v>5.3390781763872545E-5</v>
      </c>
      <c r="N1175" s="314"/>
    </row>
    <row r="1176" spans="4:14" ht="15" customHeight="1">
      <c r="D1176" s="392"/>
      <c r="E1176" s="1145" t="s">
        <v>1990</v>
      </c>
      <c r="F1176" s="2240" cm="1">
        <f t="array" ref="F1176:M1176">F1620:M1620</f>
        <v>1.1156087474801775</v>
      </c>
      <c r="G1176" s="2240">
        <v>1.1861711771772978</v>
      </c>
      <c r="H1176" s="2240">
        <v>1.2784777415336654</v>
      </c>
      <c r="I1176" s="2240">
        <v>1.2064180299132823</v>
      </c>
      <c r="J1176" s="2240">
        <v>1.1307432363943888</v>
      </c>
      <c r="K1176" s="2240">
        <v>1.1019038379723285</v>
      </c>
      <c r="L1176" s="2240">
        <v>1.0890765568629093</v>
      </c>
      <c r="M1176" s="2240">
        <v>1.1054797425294152</v>
      </c>
      <c r="N1176" s="314"/>
    </row>
    <row r="1177" spans="4:14" ht="15" customHeight="1">
      <c r="D1177" s="392"/>
      <c r="E1177" s="319"/>
      <c r="F1177" s="319"/>
      <c r="G1177" s="319"/>
      <c r="H1177" s="321"/>
      <c r="I1177" s="321"/>
      <c r="J1177" s="321"/>
      <c r="K1177" s="321"/>
      <c r="L1177" s="321"/>
      <c r="M1177" s="321"/>
      <c r="N1177" s="314"/>
    </row>
    <row r="1179" spans="4:14" ht="15" customHeight="1">
      <c r="D1179" s="110" t="s">
        <v>797</v>
      </c>
      <c r="E1179" s="65"/>
      <c r="F1179" s="65"/>
      <c r="G1179" s="65"/>
      <c r="H1179" s="65"/>
      <c r="I1179" s="65"/>
      <c r="J1179" s="65"/>
      <c r="K1179" s="65"/>
      <c r="L1179" s="65"/>
      <c r="M1179" s="65"/>
      <c r="N1179" s="65"/>
    </row>
    <row r="1180" spans="4:14" ht="15" customHeight="1">
      <c r="D1180" s="66"/>
      <c r="E1180" s="66"/>
      <c r="F1180" s="66"/>
      <c r="G1180" s="66"/>
      <c r="H1180" s="66"/>
      <c r="I1180" s="66"/>
      <c r="J1180" s="66"/>
      <c r="K1180" s="66"/>
      <c r="L1180" s="66"/>
      <c r="M1180" s="66"/>
      <c r="N1180" s="66"/>
    </row>
    <row r="1181" spans="4:14" ht="15" customHeight="1">
      <c r="D1181" s="324"/>
      <c r="E1181" s="323" t="s">
        <v>2296</v>
      </c>
      <c r="F1181" s="324"/>
      <c r="G1181" s="324"/>
      <c r="H1181" s="324"/>
      <c r="I1181" s="324"/>
      <c r="J1181" s="324"/>
      <c r="K1181" s="324"/>
      <c r="L1181" s="324"/>
      <c r="M1181" s="324"/>
      <c r="N1181" s="324"/>
    </row>
    <row r="1182" spans="4:14" ht="15" customHeight="1">
      <c r="D1182" s="324"/>
      <c r="E1182" s="324"/>
      <c r="F1182" s="324"/>
      <c r="G1182" s="324"/>
      <c r="H1182" s="324"/>
      <c r="I1182" s="324"/>
      <c r="J1182" s="324"/>
      <c r="K1182" s="324"/>
      <c r="L1182" s="324"/>
      <c r="M1182" s="325" t="s">
        <v>803</v>
      </c>
      <c r="N1182" s="66"/>
    </row>
    <row r="1183" spans="4:14" ht="15" customHeight="1">
      <c r="D1183" s="394"/>
      <c r="E1183" s="327" t="s">
        <v>699</v>
      </c>
      <c r="F1183" s="328">
        <v>2018</v>
      </c>
      <c r="G1183" s="328" t="s">
        <v>322</v>
      </c>
      <c r="H1183" s="328" t="s">
        <v>323</v>
      </c>
      <c r="I1183" s="328" t="s">
        <v>324</v>
      </c>
      <c r="J1183" s="328" t="s">
        <v>325</v>
      </c>
      <c r="K1183" s="328" t="s">
        <v>326</v>
      </c>
      <c r="L1183" s="328" t="s">
        <v>327</v>
      </c>
      <c r="M1183" s="328" t="s">
        <v>328</v>
      </c>
      <c r="N1183" s="66"/>
    </row>
    <row r="1184" spans="4:14" ht="15" customHeight="1">
      <c r="D1184" s="394"/>
      <c r="E1184" s="329" t="s">
        <v>2107</v>
      </c>
      <c r="F1184" s="330" cm="1">
        <f t="array" ref="F1184:M1184">F769:M769</f>
        <v>0</v>
      </c>
      <c r="G1184" s="330">
        <v>18196.997276977319</v>
      </c>
      <c r="H1184" s="330">
        <v>15310.810269080714</v>
      </c>
      <c r="I1184" s="330">
        <v>13066.103046653123</v>
      </c>
      <c r="J1184" s="330">
        <v>11155.608990281402</v>
      </c>
      <c r="K1184" s="330">
        <v>11125.966210855737</v>
      </c>
      <c r="L1184" s="330">
        <v>11615.483573366424</v>
      </c>
      <c r="M1184" s="330">
        <v>12354.706575822645</v>
      </c>
      <c r="N1184" s="66"/>
    </row>
    <row r="1185" spans="4:14" ht="15" customHeight="1">
      <c r="D1185" s="394"/>
      <c r="E1185" s="331" t="s">
        <v>2110</v>
      </c>
      <c r="F1185" s="241" cm="1">
        <f t="array" ref="F1185:M1185">F945:M945</f>
        <v>679.14639252381278</v>
      </c>
      <c r="G1185" s="241">
        <v>776.31957568474888</v>
      </c>
      <c r="H1185" s="241">
        <v>1001.7673226098156</v>
      </c>
      <c r="I1185" s="241">
        <v>1188.720900309595</v>
      </c>
      <c r="J1185" s="241">
        <v>1334.7736913188321</v>
      </c>
      <c r="K1185" s="241">
        <v>1474.7422050118905</v>
      </c>
      <c r="L1185" s="241">
        <v>1618.2868965506314</v>
      </c>
      <c r="M1185" s="241">
        <v>1770.067930696938</v>
      </c>
      <c r="N1185" s="66"/>
    </row>
    <row r="1186" spans="4:14" ht="15" customHeight="1">
      <c r="D1186" s="395"/>
      <c r="E1186" s="331" t="s">
        <v>2108</v>
      </c>
      <c r="F1186" s="241" cm="1">
        <f t="array" ref="F1186:M1186">F827:M827</f>
        <v>0</v>
      </c>
      <c r="G1186" s="241">
        <v>14557.597821581852</v>
      </c>
      <c r="H1186" s="241">
        <v>12248.648215264573</v>
      </c>
      <c r="I1186" s="241">
        <v>10452.882437322498</v>
      </c>
      <c r="J1186" s="241">
        <v>8924.4871922251205</v>
      </c>
      <c r="K1186" s="241">
        <v>8900.7729686845905</v>
      </c>
      <c r="L1186" s="241">
        <v>9292.3868586931403</v>
      </c>
      <c r="M1186" s="241">
        <v>9883.7652606581178</v>
      </c>
      <c r="N1186" s="66"/>
    </row>
    <row r="1187" spans="4:14" ht="15" customHeight="1">
      <c r="D1187" s="395"/>
      <c r="E1187" s="331" t="s">
        <v>2297</v>
      </c>
      <c r="F1187" s="241" cm="1">
        <f t="array" ref="F1187:M1187">F1003:M1003</f>
        <v>543.31711401905022</v>
      </c>
      <c r="G1187" s="241">
        <v>621.05566054779911</v>
      </c>
      <c r="H1187" s="241">
        <v>801.41385808785253</v>
      </c>
      <c r="I1187" s="241">
        <v>950.97672024767587</v>
      </c>
      <c r="J1187" s="241">
        <v>1067.8189530550655</v>
      </c>
      <c r="K1187" s="241">
        <v>1179.7937640095124</v>
      </c>
      <c r="L1187" s="241">
        <v>1294.629517240505</v>
      </c>
      <c r="M1187" s="241">
        <v>1416.0543445575504</v>
      </c>
      <c r="N1187" s="66"/>
    </row>
    <row r="1188" spans="4:14" ht="15" customHeight="1">
      <c r="D1188" s="395"/>
      <c r="E1188" s="331" t="s">
        <v>2175</v>
      </c>
      <c r="F1188" s="241" cm="1">
        <f t="array" ref="F1188:M1188">F885:M885</f>
        <v>0</v>
      </c>
      <c r="G1188" s="241">
        <v>12737.898093884121</v>
      </c>
      <c r="H1188" s="241">
        <v>10717.567188356499</v>
      </c>
      <c r="I1188" s="241">
        <v>9146.2721326571864</v>
      </c>
      <c r="J1188" s="241">
        <v>7808.9262931969788</v>
      </c>
      <c r="K1188" s="241">
        <v>7788.1763475990156</v>
      </c>
      <c r="L1188" s="241">
        <v>8130.8385013564966</v>
      </c>
      <c r="M1188" s="241">
        <v>8648.2946030758521</v>
      </c>
      <c r="N1188" s="66"/>
    </row>
    <row r="1189" spans="4:14" ht="15" customHeight="1">
      <c r="D1189" s="395"/>
      <c r="E1189" s="333" t="s">
        <v>2298</v>
      </c>
      <c r="F1189" s="334" cm="1">
        <f t="array" ref="F1189:M1189">F1061:M1061</f>
        <v>475.40247476666894</v>
      </c>
      <c r="G1189" s="334">
        <v>543.42370297932416</v>
      </c>
      <c r="H1189" s="334">
        <v>701.23712582687062</v>
      </c>
      <c r="I1189" s="334">
        <v>832.10463021671626</v>
      </c>
      <c r="J1189" s="334">
        <v>934.34158392318227</v>
      </c>
      <c r="K1189" s="334">
        <v>1032.3195435083235</v>
      </c>
      <c r="L1189" s="334">
        <v>1132.800827585442</v>
      </c>
      <c r="M1189" s="334">
        <v>1239.0475514878563</v>
      </c>
      <c r="N1189" s="66"/>
    </row>
    <row r="1190" spans="4:14" ht="15" customHeight="1">
      <c r="D1190" s="324"/>
      <c r="E1190" s="324"/>
      <c r="F1190" s="324"/>
      <c r="G1190" s="324"/>
      <c r="H1190" s="324"/>
      <c r="I1190" s="324"/>
      <c r="J1190" s="324"/>
      <c r="K1190" s="324"/>
      <c r="L1190" s="324"/>
      <c r="M1190" s="324"/>
      <c r="N1190" s="66"/>
    </row>
    <row r="1191" spans="4:14" ht="15" customHeight="1">
      <c r="D1191" s="324"/>
      <c r="E1191" s="323" t="s">
        <v>2299</v>
      </c>
      <c r="F1191" s="324"/>
      <c r="G1191" s="324"/>
      <c r="H1191" s="324"/>
      <c r="I1191" s="324"/>
      <c r="J1191" s="324"/>
      <c r="K1191" s="324"/>
      <c r="L1191" s="324"/>
      <c r="M1191" s="323"/>
      <c r="N1191" s="66"/>
    </row>
    <row r="1192" spans="4:14" ht="15" customHeight="1">
      <c r="D1192" s="324"/>
      <c r="E1192" s="324"/>
      <c r="F1192" s="324"/>
      <c r="G1192" s="324"/>
      <c r="H1192" s="324"/>
      <c r="I1192" s="324"/>
      <c r="J1192" s="324"/>
      <c r="K1192" s="324"/>
      <c r="L1192" s="324"/>
      <c r="M1192" s="325" t="s">
        <v>803</v>
      </c>
      <c r="N1192" s="66"/>
    </row>
    <row r="1193" spans="4:14" ht="15" customHeight="1">
      <c r="D1193" s="394"/>
      <c r="E1193" s="327" t="s">
        <v>699</v>
      </c>
      <c r="F1193" s="328">
        <v>2018</v>
      </c>
      <c r="G1193" s="328" t="s">
        <v>322</v>
      </c>
      <c r="H1193" s="328" t="s">
        <v>323</v>
      </c>
      <c r="I1193" s="328" t="s">
        <v>324</v>
      </c>
      <c r="J1193" s="328" t="s">
        <v>325</v>
      </c>
      <c r="K1193" s="328" t="s">
        <v>326</v>
      </c>
      <c r="L1193" s="328" t="s">
        <v>327</v>
      </c>
      <c r="M1193" s="328" t="s">
        <v>328</v>
      </c>
      <c r="N1193" s="66"/>
    </row>
    <row r="1194" spans="4:14" ht="15" customHeight="1">
      <c r="D1194" s="394"/>
      <c r="E1194" s="329" t="s">
        <v>2107</v>
      </c>
      <c r="F1194" s="330" cm="1">
        <f t="array" ref="F1194:M1194">F1077:M1077</f>
        <v>0</v>
      </c>
      <c r="G1194" s="330">
        <v>77.584677550597604</v>
      </c>
      <c r="H1194" s="330">
        <v>84.012501909460724</v>
      </c>
      <c r="I1194" s="330">
        <v>92.636717028584599</v>
      </c>
      <c r="J1194" s="330">
        <v>105.09312022561103</v>
      </c>
      <c r="K1194" s="330">
        <v>103.62316722110924</v>
      </c>
      <c r="L1194" s="330">
        <v>117.10902547617837</v>
      </c>
      <c r="M1194" s="330">
        <v>95.843408993410861</v>
      </c>
      <c r="N1194" s="66"/>
    </row>
    <row r="1195" spans="4:14" ht="15" customHeight="1">
      <c r="D1195" s="394"/>
      <c r="E1195" s="331" t="s">
        <v>2110</v>
      </c>
      <c r="F1195" s="241" cm="1">
        <f t="array" ref="F1195:M1195">F1121:M1121</f>
        <v>116.14666988136685</v>
      </c>
      <c r="G1195" s="241">
        <v>137.0179416891483</v>
      </c>
      <c r="H1195" s="241">
        <v>166.70597612986603</v>
      </c>
      <c r="I1195" s="241">
        <v>193.76024588982841</v>
      </c>
      <c r="J1195" s="241">
        <v>220.83028692091042</v>
      </c>
      <c r="K1195" s="241">
        <v>251.25806562173602</v>
      </c>
      <c r="L1195" s="241">
        <v>271.95008966242222</v>
      </c>
      <c r="M1195" s="241">
        <v>298.67046458849404</v>
      </c>
      <c r="N1195" s="66"/>
    </row>
    <row r="1196" spans="4:14" ht="15" customHeight="1">
      <c r="D1196" s="394"/>
      <c r="E1196" s="331" t="s">
        <v>2108</v>
      </c>
      <c r="F1196" s="241" cm="1">
        <f t="array" ref="F1196:M1196">F1091:M1091</f>
        <v>0</v>
      </c>
      <c r="G1196" s="241">
        <v>62.067742040478095</v>
      </c>
      <c r="H1196" s="241">
        <v>67.210001527568593</v>
      </c>
      <c r="I1196" s="241">
        <v>74.109373622867679</v>
      </c>
      <c r="J1196" s="241">
        <v>84.074496180488836</v>
      </c>
      <c r="K1196" s="241">
        <v>82.89853377688739</v>
      </c>
      <c r="L1196" s="241">
        <v>93.687220380942705</v>
      </c>
      <c r="M1196" s="241">
        <v>76.674727194728689</v>
      </c>
      <c r="N1196" s="66"/>
    </row>
    <row r="1197" spans="4:14" ht="15" customHeight="1">
      <c r="D1197" s="394"/>
      <c r="E1197" s="331" t="s">
        <v>2297</v>
      </c>
      <c r="F1197" s="241" cm="1">
        <f t="array" ref="F1197:M1197">F1135:M1135</f>
        <v>92.917335905093495</v>
      </c>
      <c r="G1197" s="241">
        <v>109.61435335131867</v>
      </c>
      <c r="H1197" s="241">
        <v>133.36478090389284</v>
      </c>
      <c r="I1197" s="241">
        <v>155.00819671186275</v>
      </c>
      <c r="J1197" s="241">
        <v>176.66422953672833</v>
      </c>
      <c r="K1197" s="241">
        <v>201.00645249738884</v>
      </c>
      <c r="L1197" s="241">
        <v>217.56007172993782</v>
      </c>
      <c r="M1197" s="241">
        <v>238.93637167079524</v>
      </c>
      <c r="N1197" s="66"/>
    </row>
    <row r="1198" spans="4:14" ht="15" customHeight="1">
      <c r="D1198" s="395"/>
      <c r="E1198" s="331" t="s">
        <v>2175</v>
      </c>
      <c r="F1198" s="241" cm="1">
        <f t="array" ref="F1198:M1198">F1105:M1105</f>
        <v>0</v>
      </c>
      <c r="G1198" s="241">
        <v>54.309274285418326</v>
      </c>
      <c r="H1198" s="241">
        <v>58.808751336622507</v>
      </c>
      <c r="I1198" s="241">
        <v>64.845701920009219</v>
      </c>
      <c r="J1198" s="241">
        <v>73.565184157927717</v>
      </c>
      <c r="K1198" s="241">
        <v>72.536217054776472</v>
      </c>
      <c r="L1198" s="241">
        <v>81.976317833324856</v>
      </c>
      <c r="M1198" s="241">
        <v>67.090386295387603</v>
      </c>
      <c r="N1198" s="66"/>
    </row>
    <row r="1199" spans="4:14" ht="15" customHeight="1">
      <c r="D1199" s="395"/>
      <c r="E1199" s="333" t="s">
        <v>2298</v>
      </c>
      <c r="F1199" s="334" cm="1">
        <f t="array" ref="F1199:M1199">F1149:M1149</f>
        <v>81.302668916956804</v>
      </c>
      <c r="G1199" s="334">
        <v>95.912559182403811</v>
      </c>
      <c r="H1199" s="334">
        <v>116.69418329090621</v>
      </c>
      <c r="I1199" s="334">
        <v>135.63217212287987</v>
      </c>
      <c r="J1199" s="334">
        <v>154.58120084463729</v>
      </c>
      <c r="K1199" s="334">
        <v>175.88064593521523</v>
      </c>
      <c r="L1199" s="334">
        <v>190.36506276369556</v>
      </c>
      <c r="M1199" s="334">
        <v>209.0693252119458</v>
      </c>
      <c r="N1199" s="66"/>
    </row>
    <row r="1200" spans="4:14" ht="15" customHeight="1">
      <c r="D1200" s="324"/>
      <c r="E1200" s="324"/>
      <c r="F1200" s="324"/>
      <c r="G1200" s="324"/>
      <c r="H1200" s="324"/>
      <c r="I1200" s="324"/>
      <c r="J1200" s="324"/>
      <c r="K1200" s="324"/>
      <c r="L1200" s="324"/>
      <c r="M1200" s="324"/>
      <c r="N1200" s="324"/>
    </row>
    <row r="1201" spans="4:14" ht="15" customHeight="1">
      <c r="D1201" s="324"/>
      <c r="E1201" s="324"/>
      <c r="F1201" s="324"/>
      <c r="G1201" s="324"/>
      <c r="H1201" s="324"/>
      <c r="I1201" s="324"/>
      <c r="J1201" s="324"/>
      <c r="K1201" s="324"/>
      <c r="L1201" s="324"/>
      <c r="M1201" s="324"/>
      <c r="N1201" s="324"/>
    </row>
    <row r="1204" spans="4:14" ht="15" customHeight="1">
      <c r="D1204" s="3" t="s">
        <v>1893</v>
      </c>
    </row>
    <row r="1205" spans="4:14" ht="15" customHeight="1">
      <c r="D1205" s="3">
        <v>1</v>
      </c>
      <c r="E1205" s="3" t="s">
        <v>2300</v>
      </c>
    </row>
    <row r="1206" spans="4:14" ht="15" customHeight="1">
      <c r="D1206" s="3">
        <v>2</v>
      </c>
      <c r="E1206" s="3" t="s">
        <v>2301</v>
      </c>
    </row>
    <row r="1207" spans="4:14" ht="15" customHeight="1">
      <c r="D1207" s="3">
        <v>3</v>
      </c>
      <c r="E1207" s="3" t="s">
        <v>2302</v>
      </c>
    </row>
    <row r="1208" spans="4:14" ht="15" customHeight="1">
      <c r="D1208" s="3">
        <v>4</v>
      </c>
      <c r="E1208" s="3" t="s">
        <v>2303</v>
      </c>
    </row>
    <row r="1209" spans="4:14" ht="15" customHeight="1">
      <c r="D1209" s="3">
        <v>5</v>
      </c>
      <c r="E1209" s="3" t="s">
        <v>2304</v>
      </c>
    </row>
    <row r="1210" spans="4:14" ht="15" customHeight="1">
      <c r="D1210" s="3">
        <v>6</v>
      </c>
      <c r="E1210" s="3" t="s">
        <v>2305</v>
      </c>
    </row>
    <row r="1211" spans="4:14" ht="15" customHeight="1">
      <c r="D1211" s="3">
        <v>7</v>
      </c>
      <c r="E1211" s="3" t="s">
        <v>2306</v>
      </c>
    </row>
    <row r="1212" spans="4:14" ht="15" customHeight="1">
      <c r="D1212" s="3">
        <v>8</v>
      </c>
      <c r="E1212" s="3" t="s">
        <v>2307</v>
      </c>
    </row>
    <row r="1213" spans="4:14" ht="15" customHeight="1">
      <c r="D1213" s="3">
        <v>9</v>
      </c>
      <c r="E1213" s="3" t="s">
        <v>2197</v>
      </c>
    </row>
    <row r="1216" spans="4:14" ht="15" customHeight="1">
      <c r="D1216" s="3">
        <v>1</v>
      </c>
      <c r="E1216" s="2" t="s">
        <v>2308</v>
      </c>
    </row>
    <row r="1218" spans="4:16" ht="15" customHeight="1">
      <c r="D1218" s="3" t="s">
        <v>2309</v>
      </c>
      <c r="E1218" s="2" t="s">
        <v>2310</v>
      </c>
    </row>
    <row r="1219" spans="4:16" ht="15" customHeight="1">
      <c r="D1219" s="415"/>
      <c r="E1219" s="415"/>
      <c r="F1219" s="415"/>
      <c r="G1219" s="415"/>
      <c r="H1219" s="415"/>
      <c r="I1219" s="415"/>
      <c r="J1219" s="415"/>
      <c r="K1219" s="415"/>
      <c r="L1219" s="415"/>
      <c r="M1219" s="415"/>
      <c r="N1219" s="415"/>
    </row>
    <row r="1220" spans="4:16" ht="15" customHeight="1">
      <c r="D1220" s="415"/>
      <c r="E1220" s="1315" t="s">
        <v>2311</v>
      </c>
      <c r="F1220" s="1086">
        <v>2018</v>
      </c>
      <c r="G1220" s="1086">
        <v>2020</v>
      </c>
      <c r="H1220" s="1086">
        <v>2025</v>
      </c>
      <c r="I1220" s="1086">
        <v>2030</v>
      </c>
      <c r="J1220" s="1086">
        <v>2035</v>
      </c>
      <c r="K1220" s="1086">
        <v>2040</v>
      </c>
      <c r="L1220" s="1086">
        <v>2045</v>
      </c>
      <c r="M1220" s="1086">
        <v>2050</v>
      </c>
      <c r="N1220" s="415"/>
      <c r="O1220" s="415"/>
      <c r="P1220" s="415"/>
    </row>
    <row r="1221" spans="4:16" ht="15" customHeight="1">
      <c r="D1221" s="415"/>
      <c r="E1221" s="415" t="s">
        <v>2312</v>
      </c>
      <c r="F1221" s="2688" cm="1">
        <f t="array" ref="F1221:M1221">GEN_POBLACION</f>
        <v>2919060</v>
      </c>
      <c r="G1221" s="2689">
        <v>3242999</v>
      </c>
      <c r="H1221" s="2689">
        <v>3760874</v>
      </c>
      <c r="I1221" s="2689">
        <v>4126231</v>
      </c>
      <c r="J1221" s="2689">
        <v>4404902</v>
      </c>
      <c r="K1221" s="2689">
        <v>4659501</v>
      </c>
      <c r="L1221" s="2689">
        <v>4886916</v>
      </c>
      <c r="M1221" s="2689">
        <v>5089865</v>
      </c>
      <c r="N1221" s="415"/>
      <c r="O1221" s="415"/>
      <c r="P1221" s="415"/>
    </row>
    <row r="1222" spans="4:16" ht="15" customHeight="1">
      <c r="D1222" s="415"/>
      <c r="E1222" s="1320" t="s">
        <v>2313</v>
      </c>
      <c r="F1222" s="1320"/>
      <c r="G1222" s="2690">
        <v>0.77076799191353618</v>
      </c>
      <c r="H1222" s="2690">
        <v>0.78149644522888828</v>
      </c>
      <c r="I1222" s="2690">
        <v>0.7918583804778776</v>
      </c>
      <c r="J1222" s="2690">
        <v>0.801853519035023</v>
      </c>
      <c r="K1222" s="2690">
        <v>0.81148294975496504</v>
      </c>
      <c r="L1222" s="2690">
        <v>0.81148294975496504</v>
      </c>
      <c r="M1222" s="2690">
        <v>0.81148294975496504</v>
      </c>
      <c r="N1222" s="415"/>
      <c r="O1222" s="415"/>
      <c r="P1222" s="415"/>
    </row>
    <row r="1223" spans="4:16" ht="15" customHeight="1">
      <c r="D1223" s="415"/>
      <c r="E1223" s="415"/>
      <c r="F1223" s="415"/>
      <c r="G1223" s="415"/>
      <c r="H1223" s="415"/>
      <c r="I1223" s="415"/>
      <c r="J1223" s="415"/>
      <c r="K1223" s="415"/>
      <c r="L1223" s="415"/>
      <c r="M1223" s="415"/>
      <c r="N1223" s="415"/>
      <c r="O1223" s="415"/>
      <c r="P1223" s="415"/>
    </row>
    <row r="1224" spans="4:16" ht="15" customHeight="1">
      <c r="D1224" s="415"/>
      <c r="E1224" s="415"/>
      <c r="F1224" s="415"/>
      <c r="G1224" s="415"/>
      <c r="H1224" s="415"/>
      <c r="I1224" s="415"/>
      <c r="J1224" s="415"/>
      <c r="K1224" s="415"/>
      <c r="L1224" s="415"/>
      <c r="M1224" s="415"/>
      <c r="N1224" s="415"/>
      <c r="O1224" s="415"/>
      <c r="P1224" s="415"/>
    </row>
    <row r="1225" spans="4:16" ht="15" customHeight="1">
      <c r="D1225" s="415"/>
      <c r="E1225" s="415"/>
      <c r="F1225" s="415"/>
      <c r="G1225" s="415"/>
      <c r="H1225" s="415"/>
      <c r="I1225" s="415"/>
      <c r="J1225" s="415"/>
      <c r="K1225" s="415"/>
      <c r="L1225" s="415"/>
      <c r="M1225" s="415"/>
      <c r="N1225" s="415"/>
      <c r="O1225" s="415"/>
      <c r="P1225" s="415"/>
    </row>
    <row r="1226" spans="4:16" ht="15" customHeight="1">
      <c r="D1226" s="609"/>
      <c r="E1226" s="609" t="s">
        <v>2314</v>
      </c>
      <c r="F1226" s="415"/>
      <c r="G1226" s="415"/>
      <c r="H1226" s="415"/>
      <c r="I1226" s="415"/>
      <c r="J1226" s="415"/>
      <c r="K1226" s="415"/>
      <c r="L1226" s="415"/>
      <c r="M1226" s="415"/>
      <c r="N1226" s="415"/>
      <c r="O1226" s="415"/>
      <c r="P1226" s="415"/>
    </row>
    <row r="1227" spans="4:16" ht="15" customHeight="1">
      <c r="D1227" s="2" t="s">
        <v>2315</v>
      </c>
      <c r="E1227" s="2" t="s">
        <v>2316</v>
      </c>
      <c r="O1227" s="415"/>
      <c r="P1227" s="415"/>
    </row>
    <row r="1228" spans="4:16" ht="15" customHeight="1">
      <c r="M1228" s="554" t="s">
        <v>2317</v>
      </c>
    </row>
    <row r="1229" spans="4:16" ht="15" customHeight="1">
      <c r="E1229" s="550"/>
      <c r="F1229" s="551">
        <v>2018</v>
      </c>
      <c r="G1229" s="551">
        <v>2020</v>
      </c>
      <c r="H1229" s="551">
        <v>2025</v>
      </c>
      <c r="I1229" s="551">
        <v>2030</v>
      </c>
      <c r="J1229" s="551">
        <v>2035</v>
      </c>
      <c r="K1229" s="551">
        <v>2040</v>
      </c>
      <c r="L1229" s="551">
        <v>2045</v>
      </c>
      <c r="M1229" s="551">
        <v>2050</v>
      </c>
    </row>
    <row r="1230" spans="4:16" ht="15" customHeight="1">
      <c r="E1230" s="3" t="s">
        <v>2242</v>
      </c>
      <c r="F1230" s="955" cm="1">
        <f t="array" ref="F1230:M1230">INDEX(ST_TRANSPORTE_URBANO_DISTRIBUCION_MODAL,CAMINATA,0)*SF_TOTAL_VIAJES_ANUALES</f>
        <v>226008829.26668313</v>
      </c>
      <c r="G1230" s="955">
        <v>240552631.99177951</v>
      </c>
      <c r="H1230" s="955">
        <v>264057114.60126275</v>
      </c>
      <c r="I1230" s="955">
        <v>276901566.13315624</v>
      </c>
      <c r="J1230" s="955">
        <v>284730114.32836139</v>
      </c>
      <c r="K1230" s="955">
        <v>292286534.66124678</v>
      </c>
      <c r="L1230" s="955">
        <v>299558733.90449297</v>
      </c>
      <c r="M1230" s="955">
        <v>306769000.41391027</v>
      </c>
    </row>
    <row r="1231" spans="4:16" ht="15" customHeight="1">
      <c r="E1231" s="3" t="s">
        <v>887</v>
      </c>
      <c r="F1231" s="955" cm="1">
        <f t="array" ref="F1231:M1231">INDEX(ST_TRANSPORTE_URBANO_DISTRIBUCION_MODAL,BICICLETA,0)*SF_TOTAL_VIAJES_ANUALES</f>
        <v>37784757.834058486</v>
      </c>
      <c r="G1231" s="955">
        <v>40216229.497077689</v>
      </c>
      <c r="H1231" s="955">
        <v>44145771.481325664</v>
      </c>
      <c r="I1231" s="955">
        <v>46293141.087276898</v>
      </c>
      <c r="J1231" s="955">
        <v>47601938.618363827</v>
      </c>
      <c r="K1231" s="955">
        <v>48865241.088877171</v>
      </c>
      <c r="L1231" s="955">
        <v>50081026.720874995</v>
      </c>
      <c r="M1231" s="955">
        <v>51286458.273532987</v>
      </c>
    </row>
    <row r="1232" spans="4:16" ht="15" customHeight="1">
      <c r="E1232" s="3" t="s">
        <v>2243</v>
      </c>
      <c r="F1232" s="955" cm="1">
        <f t="array" ref="F1232:M1232">INDEX(ST_TRANSPORTE_URBANO_DISTRIBUCION_MODAL,VEHICULOS_LIVIANOS,0)*SF_TOTAL_VIAJES_ANUALES</f>
        <v>93762176.847478464</v>
      </c>
      <c r="G1232" s="955">
        <v>99795828.752007604</v>
      </c>
      <c r="H1232" s="955">
        <v>109546914.41662294</v>
      </c>
      <c r="I1232" s="955">
        <v>114875572.32768711</v>
      </c>
      <c r="J1232" s="955">
        <v>118123329.16408801</v>
      </c>
      <c r="K1232" s="955">
        <v>121258190.85017668</v>
      </c>
      <c r="L1232" s="955">
        <v>124275140.38143052</v>
      </c>
      <c r="M1232" s="955">
        <v>127266396.45654482</v>
      </c>
    </row>
    <row r="1233" spans="4:13" ht="15" customHeight="1">
      <c r="E1233" s="3" t="s">
        <v>895</v>
      </c>
      <c r="F1233" s="955" cm="1">
        <f t="array" ref="F1233:M1233">INDEX(ST_TRANSPORTE_URBANO_DISTRIBUCION_MODAL,TAXI,0)*SF_TOTAL_VIAJES_ANUALES</f>
        <v>38484475.571726233</v>
      </c>
      <c r="G1233" s="955">
        <v>40960974.487764306</v>
      </c>
      <c r="H1233" s="955">
        <v>44963285.768016875</v>
      </c>
      <c r="I1233" s="955">
        <v>47150421.477782018</v>
      </c>
      <c r="J1233" s="955">
        <v>48483456.000185378</v>
      </c>
      <c r="K1233" s="955">
        <v>49770152.960893407</v>
      </c>
      <c r="L1233" s="955">
        <v>51008453.141631931</v>
      </c>
      <c r="M1233" s="955">
        <v>52236207.500820629</v>
      </c>
    </row>
    <row r="1234" spans="4:13" ht="15" customHeight="1">
      <c r="E1234" s="3" t="s">
        <v>896</v>
      </c>
      <c r="F1234" s="955" cm="1">
        <f t="array" ref="F1234:M1234">INDEX(ST_TRANSPORTE_URBANO_DISTRIBUCION_MODAL,MOTOS,0)*SF_TOTAL_VIAJES_ANUALES</f>
        <v>125249475.04252718</v>
      </c>
      <c r="G1234" s="955">
        <v>133309353.33290565</v>
      </c>
      <c r="H1234" s="955">
        <v>146335057.31772763</v>
      </c>
      <c r="I1234" s="955">
        <v>153453189.90041783</v>
      </c>
      <c r="J1234" s="955">
        <v>157791611.34605786</v>
      </c>
      <c r="K1234" s="955">
        <v>161979225.09090763</v>
      </c>
      <c r="L1234" s="955">
        <v>166009329.31549299</v>
      </c>
      <c r="M1234" s="955">
        <v>170005111.68448895</v>
      </c>
    </row>
    <row r="1235" spans="4:13" ht="15" customHeight="1">
      <c r="E1235" s="3" t="s">
        <v>899</v>
      </c>
      <c r="F1235" s="955" cm="1">
        <f t="array" ref="F1235:M1235">INDEX(ST_TRANSPORTE_URBANO_DISTRIBUCION_MODAL,BUSES,0)*SF_TOTAL_VIAJES_ANUALES</f>
        <v>27988709.506709985</v>
      </c>
      <c r="G1235" s="955">
        <v>29789799.627464954</v>
      </c>
      <c r="H1235" s="955">
        <v>32700571.467648637</v>
      </c>
      <c r="I1235" s="955">
        <v>34291215.620205104</v>
      </c>
      <c r="J1235" s="955">
        <v>35260695.272862092</v>
      </c>
      <c r="K1235" s="955">
        <v>36196474.880649753</v>
      </c>
      <c r="L1235" s="955">
        <v>37097056.830277771</v>
      </c>
      <c r="M1235" s="955">
        <v>37989969.091505915</v>
      </c>
    </row>
    <row r="1236" spans="4:13" ht="15" customHeight="1">
      <c r="E1236" s="3" t="s">
        <v>900</v>
      </c>
      <c r="F1236" s="955" cm="1">
        <f t="array" ref="F1236:M1236">INDEX(ST_TRANSPORTE_URBANO_DISTRIBUCION_MODAL,BUSES_BRT,0)*SF_TOTAL_VIAJES_ANUALES</f>
        <v>27988709.506709985</v>
      </c>
      <c r="G1236" s="955">
        <v>29789799.627464954</v>
      </c>
      <c r="H1236" s="955">
        <v>32700571.467648637</v>
      </c>
      <c r="I1236" s="955">
        <v>34291215.620205104</v>
      </c>
      <c r="J1236" s="955">
        <v>35260695.272862092</v>
      </c>
      <c r="K1236" s="955">
        <v>36196474.880649753</v>
      </c>
      <c r="L1236" s="955">
        <v>37097056.830277771</v>
      </c>
      <c r="M1236" s="955">
        <v>37989969.091505915</v>
      </c>
    </row>
    <row r="1237" spans="4:13" ht="15" customHeight="1">
      <c r="E1237" s="958" t="s">
        <v>2244</v>
      </c>
      <c r="F1237" s="1044" cm="1">
        <f t="array" ref="F1237:M1237">INDEX(ST_TRANSPORTE_URBANO_DISTRIBUCION_MODAL,FERREO,0)*SF_TOTAL_VIAJES_ANUALES</f>
        <v>27988709.506709985</v>
      </c>
      <c r="G1237" s="1044">
        <v>29789799.627464954</v>
      </c>
      <c r="H1237" s="1044">
        <v>32700571.467648637</v>
      </c>
      <c r="I1237" s="1044">
        <v>34291215.620205104</v>
      </c>
      <c r="J1237" s="1044">
        <v>35260695.272862092</v>
      </c>
      <c r="K1237" s="1044">
        <v>36196474.880649753</v>
      </c>
      <c r="L1237" s="1044">
        <v>37097056.830277771</v>
      </c>
      <c r="M1237" s="1044">
        <v>37989969.091505915</v>
      </c>
    </row>
    <row r="1240" spans="4:13" ht="15" customHeight="1">
      <c r="D1240" s="2"/>
      <c r="E1240" s="2" t="s">
        <v>2318</v>
      </c>
    </row>
    <row r="1241" spans="4:13" ht="15" customHeight="1">
      <c r="D1241" s="2" t="s">
        <v>2319</v>
      </c>
      <c r="E1241" s="2" t="s">
        <v>2320</v>
      </c>
    </row>
    <row r="1242" spans="4:13" ht="15" customHeight="1">
      <c r="M1242" s="554" t="s">
        <v>2321</v>
      </c>
    </row>
    <row r="1243" spans="4:13" ht="15" customHeight="1">
      <c r="E1243" s="550"/>
      <c r="F1243" s="551">
        <v>2018</v>
      </c>
      <c r="G1243" s="551">
        <v>2020</v>
      </c>
      <c r="H1243" s="551">
        <v>2025</v>
      </c>
      <c r="I1243" s="551">
        <v>2030</v>
      </c>
      <c r="J1243" s="551">
        <v>2035</v>
      </c>
      <c r="K1243" s="551">
        <v>2040</v>
      </c>
      <c r="L1243" s="551">
        <v>2045</v>
      </c>
      <c r="M1243" s="551">
        <v>2050</v>
      </c>
    </row>
    <row r="1244" spans="4:13" ht="15" customHeight="1">
      <c r="E1244" s="3" t="s">
        <v>2242</v>
      </c>
      <c r="F1244" s="552" cm="1">
        <f t="array" ref="F1244:M1244">INDEX($F$1230:$M$1237,CAMINATA,0)*INDEX(ST_TRANSPORTE_URBANO_DISTANCIA_PROMEDIO_POR_VIAJE_POR_MODO,CAMINATA,0)</f>
        <v>160194897.77669561</v>
      </c>
      <c r="G1244" s="552">
        <v>170503534.82592389</v>
      </c>
      <c r="H1244" s="552">
        <v>187163495.41745174</v>
      </c>
      <c r="I1244" s="552">
        <v>196267633.54703552</v>
      </c>
      <c r="J1244" s="552">
        <v>201816502.95156235</v>
      </c>
      <c r="K1244" s="552">
        <v>207172488.32041699</v>
      </c>
      <c r="L1244" s="552">
        <v>212327017.98265845</v>
      </c>
      <c r="M1244" s="552">
        <v>217437649.76711816</v>
      </c>
    </row>
    <row r="1245" spans="4:13" ht="15" customHeight="1">
      <c r="E1245" s="3" t="s">
        <v>887</v>
      </c>
      <c r="F1245" s="552" cm="1">
        <f t="array" ref="F1245:M1245">INDEX($F$1230:$M$1237,BICICLETA,0)*INDEX(ST_TRANSPORTE_URBANO_DISTANCIA_PROMEDIO_POR_VIAJE_POR_MODO,BICICLETA,0)</f>
        <v>58927454.339292154</v>
      </c>
      <c r="G1245" s="552">
        <v>62719471.110422455</v>
      </c>
      <c r="H1245" s="552">
        <v>68847812.778458282</v>
      </c>
      <c r="I1245" s="552">
        <v>72196756.417583987</v>
      </c>
      <c r="J1245" s="552">
        <v>74237899.756154895</v>
      </c>
      <c r="K1245" s="552">
        <v>76208090.989742428</v>
      </c>
      <c r="L1245" s="552">
        <v>78104177.041969061</v>
      </c>
      <c r="M1245" s="552">
        <v>79984115.32529366</v>
      </c>
    </row>
    <row r="1246" spans="4:13" ht="15" customHeight="1">
      <c r="E1246" s="3" t="s">
        <v>2243</v>
      </c>
      <c r="F1246" s="552" cm="1">
        <f t="array" ref="F1246:M1246">INDEX($F$1230:$M$1237,VEHICULOS_LIVIANOS,0)*INDEX(ST_TRANSPORTE_URBANO_DISTANCIA_PROMEDIO_POR_VIAJE_POR_MODO,VEHICULOS_LIVIANOS,0)</f>
        <v>514356698.19100708</v>
      </c>
      <c r="G1246" s="552">
        <v>558856641.01124251</v>
      </c>
      <c r="H1246" s="552">
        <v>624417412.1747508</v>
      </c>
      <c r="I1246" s="552">
        <v>666278319.5005852</v>
      </c>
      <c r="J1246" s="552">
        <v>696927642.06811929</v>
      </c>
      <c r="K1246" s="552">
        <v>727549145.10106003</v>
      </c>
      <c r="L1246" s="552">
        <v>758078356.32672608</v>
      </c>
      <c r="M1246" s="552">
        <v>789051658.0305779</v>
      </c>
    </row>
    <row r="1247" spans="4:13" ht="15" customHeight="1">
      <c r="E1247" s="3" t="s">
        <v>895</v>
      </c>
      <c r="F1247" s="552" cm="1">
        <f t="array" ref="F1247:M1247">INDEX($F$1230:$M$1237,TAXI,0)*INDEX(ST_TRANSPORTE_URBANO_DISTANCIA_PROMEDIO_POR_VIAJE_POR_MODO,TAXI,0)</f>
        <v>548198881.23312986</v>
      </c>
      <c r="G1247" s="552">
        <v>572534332.13354564</v>
      </c>
      <c r="H1247" s="552">
        <v>618857195.51108611</v>
      </c>
      <c r="I1247" s="552">
        <v>642802750.67628634</v>
      </c>
      <c r="J1247" s="552">
        <v>660849006.63713598</v>
      </c>
      <c r="K1247" s="552">
        <v>686495202.21097779</v>
      </c>
      <c r="L1247" s="552">
        <v>713399480.98056543</v>
      </c>
      <c r="M1247" s="552">
        <v>747232009.48700416</v>
      </c>
    </row>
    <row r="1248" spans="4:13" ht="15" customHeight="1">
      <c r="E1248" s="3" t="s">
        <v>896</v>
      </c>
      <c r="F1248" s="552" cm="1">
        <f t="array" ref="F1248:M1248">INDEX($F$1230:$M$1237,MOTOS,0)*INDEX(ST_TRANSPORTE_URBANO_DISTANCIA_PROMEDIO_POR_VIAJE_POR_MODO,MOTOS,0)</f>
        <v>687088425.19544959</v>
      </c>
      <c r="G1248" s="552">
        <v>746532378.66427159</v>
      </c>
      <c r="H1248" s="552">
        <v>834109826.71104753</v>
      </c>
      <c r="I1248" s="552">
        <v>890028501.42242336</v>
      </c>
      <c r="J1248" s="552">
        <v>930970506.94174147</v>
      </c>
      <c r="K1248" s="552">
        <v>971875350.5454458</v>
      </c>
      <c r="L1248" s="552">
        <v>1012656908.8245071</v>
      </c>
      <c r="M1248" s="552">
        <v>1054031692.4438316</v>
      </c>
    </row>
    <row r="1249" spans="4:13" ht="15" customHeight="1">
      <c r="E1249" s="3" t="s">
        <v>899</v>
      </c>
      <c r="F1249" s="552" cm="1">
        <f t="array" ref="F1249:M1249">INDEX($F$1230:$M$1237,BUSES,0)*INDEX(ST_TRANSPORTE_URBANO_DISTANCIA_PROMEDIO_POR_VIAJE_POR_MODO,BUSES,0)</f>
        <v>10324895.816928715</v>
      </c>
      <c r="G1249" s="552">
        <v>10711070.99175241</v>
      </c>
      <c r="H1249" s="552">
        <v>11850287.416486125</v>
      </c>
      <c r="I1249" s="552">
        <v>12261526.82494125</v>
      </c>
      <c r="J1249" s="552">
        <v>12636179.920343306</v>
      </c>
      <c r="K1249" s="552">
        <v>13071328.473796159</v>
      </c>
      <c r="L1249" s="552">
        <v>13546696.481148602</v>
      </c>
      <c r="M1249" s="552">
        <v>14097690.715991532</v>
      </c>
    </row>
    <row r="1250" spans="4:13" ht="15" customHeight="1">
      <c r="E1250" s="3" t="s">
        <v>900</v>
      </c>
      <c r="F1250" s="552" cm="1">
        <f t="array" ref="F1250:M1250">INDEX($F$1230:$M$1237,BUSES_BRT,0)*INDEX(ST_TRANSPORTE_URBANO_DISTANCIA_PROMEDIO_POR_VIAJE_POR_MODO,BUSES_BRT,0)</f>
        <v>11102269.270371273</v>
      </c>
      <c r="G1250" s="552">
        <v>12511393.905983347</v>
      </c>
      <c r="H1250" s="552">
        <v>13865856.744723495</v>
      </c>
      <c r="I1250" s="552">
        <v>14749866.363970254</v>
      </c>
      <c r="J1250" s="552">
        <v>16770086.470528701</v>
      </c>
      <c r="K1250" s="552">
        <v>19803452.387360416</v>
      </c>
      <c r="L1250" s="552">
        <v>22499364.967563488</v>
      </c>
      <c r="M1250" s="552">
        <v>25263329.4458514</v>
      </c>
    </row>
    <row r="1251" spans="4:13" ht="15" customHeight="1">
      <c r="E1251" s="958" t="s">
        <v>2244</v>
      </c>
      <c r="F1251" s="1044" cm="1">
        <f t="array" ref="F1251:M1251">INDEX($F$1230:$M$1237,FERREO,0)*INDEX(ST_TRANSPORTE_URBANO_DISTANCIA_PROMEDIO_POR_VIAJE_POR_MODO,FERREO,0)</f>
        <v>956187.64900883776</v>
      </c>
      <c r="G1251" s="1044">
        <v>1017718.8935203027</v>
      </c>
      <c r="H1251" s="1044">
        <v>1117160.5659560794</v>
      </c>
      <c r="I1251" s="1044">
        <v>1171502.2744324203</v>
      </c>
      <c r="J1251" s="1044">
        <v>1204622.9322324432</v>
      </c>
      <c r="K1251" s="1044">
        <v>1236592.2841222251</v>
      </c>
      <c r="L1251" s="1044">
        <v>1267359.1666377683</v>
      </c>
      <c r="M1251" s="1044">
        <v>1297864.0270219247</v>
      </c>
    </row>
    <row r="1254" spans="4:13" ht="15" customHeight="1">
      <c r="D1254" s="2"/>
      <c r="E1254" s="2" t="s">
        <v>2322</v>
      </c>
    </row>
    <row r="1255" spans="4:13" ht="15" customHeight="1">
      <c r="D1255" s="2" t="s">
        <v>2323</v>
      </c>
      <c r="E1255" s="2" t="s">
        <v>2324</v>
      </c>
    </row>
    <row r="1256" spans="4:13" ht="15" customHeight="1">
      <c r="D1256" s="2"/>
      <c r="E1256" s="2"/>
    </row>
    <row r="1257" spans="4:13" ht="15" customHeight="1">
      <c r="E1257" s="3" t="s">
        <v>887</v>
      </c>
      <c r="M1257" s="554" t="s">
        <v>2325</v>
      </c>
    </row>
    <row r="1258" spans="4:13" ht="15" customHeight="1">
      <c r="E1258" s="550" t="s">
        <v>859</v>
      </c>
      <c r="F1258" s="551">
        <v>2018</v>
      </c>
      <c r="G1258" s="551">
        <v>2020</v>
      </c>
      <c r="H1258" s="551">
        <v>2025</v>
      </c>
      <c r="I1258" s="551">
        <v>2030</v>
      </c>
      <c r="J1258" s="551">
        <v>2035</v>
      </c>
      <c r="K1258" s="551">
        <v>2040</v>
      </c>
      <c r="L1258" s="551">
        <v>2045</v>
      </c>
      <c r="M1258" s="551">
        <v>2050</v>
      </c>
    </row>
    <row r="1259" spans="4:13" ht="15" customHeight="1">
      <c r="E1259" s="958" t="s">
        <v>887</v>
      </c>
      <c r="F1259" s="1079" cm="1">
        <f t="array" ref="F1259:M1259">INDEX(ST_TRANSPORTE_URBANO_DISTRIBUCION_TECNOLOGIA_BICICLETA,1,0)*INDEX(DISTANCIA_TOTAL_POR_MODO,1,0)</f>
        <v>160194897.77669561</v>
      </c>
      <c r="G1259" s="1079">
        <v>170503534.82592389</v>
      </c>
      <c r="H1259" s="1079">
        <v>187163495.41745174</v>
      </c>
      <c r="I1259" s="1079">
        <v>196267633.54703552</v>
      </c>
      <c r="J1259" s="1079">
        <v>201816502.95156235</v>
      </c>
      <c r="K1259" s="1079">
        <v>207172488.32041699</v>
      </c>
      <c r="L1259" s="1079">
        <v>212327017.98265845</v>
      </c>
      <c r="M1259" s="1079">
        <v>217437649.76711816</v>
      </c>
    </row>
    <row r="1261" spans="4:13" ht="15" customHeight="1">
      <c r="E1261" s="3" t="s">
        <v>2243</v>
      </c>
      <c r="M1261" s="554" t="s">
        <v>2325</v>
      </c>
    </row>
    <row r="1262" spans="4:13" ht="15" customHeight="1">
      <c r="E1262" s="550" t="s">
        <v>859</v>
      </c>
      <c r="F1262" s="551">
        <v>2018</v>
      </c>
      <c r="G1262" s="551">
        <v>2020</v>
      </c>
      <c r="H1262" s="551">
        <v>2025</v>
      </c>
      <c r="I1262" s="551">
        <v>2030</v>
      </c>
      <c r="J1262" s="551">
        <v>2035</v>
      </c>
      <c r="K1262" s="551">
        <v>2040</v>
      </c>
      <c r="L1262" s="551">
        <v>2045</v>
      </c>
      <c r="M1262" s="551">
        <v>2050</v>
      </c>
    </row>
    <row r="1263" spans="4:13" ht="15" customHeight="1">
      <c r="E1263" s="3" t="s">
        <v>889</v>
      </c>
      <c r="F1263" s="552" cm="1">
        <f t="array" ref="F1263:M1263">INDEX(ST_TRANSPORTE_URBANO_DISTRIBUCION_TECNOLOGIA_VEHICULOS,1,0)*INDEX(DISTANCIA_TOTAL_POR_MODO,2,0)</f>
        <v>57609247.185722187</v>
      </c>
      <c r="G1263" s="552">
        <v>59858836.033076085</v>
      </c>
      <c r="H1263" s="552">
        <v>52901282.382711768</v>
      </c>
      <c r="I1263" s="552">
        <v>48755913.543922819</v>
      </c>
      <c r="J1263" s="552">
        <v>48420927.736954473</v>
      </c>
      <c r="K1263" s="552">
        <v>49252527.125760637</v>
      </c>
      <c r="L1263" s="552">
        <v>50434210.241310686</v>
      </c>
      <c r="M1263" s="552">
        <v>51644943.424388863</v>
      </c>
    </row>
    <row r="1264" spans="4:13" ht="15" customHeight="1">
      <c r="E1264" s="3" t="s">
        <v>890</v>
      </c>
      <c r="F1264" s="552" cm="1">
        <f t="array" ref="F1264:M1264">INDEX(ST_TRANSPORTE_URBANO_DISTRIBUCION_TECNOLOGIA_VEHICULOS,2,0)*INDEX(DISTANCIA_TOTAL_POR_MODO,2,0)</f>
        <v>1224512.5011704909</v>
      </c>
      <c r="G1264" s="552">
        <v>1522201.563849953</v>
      </c>
      <c r="H1264" s="552">
        <v>1670936.4161331826</v>
      </c>
      <c r="I1264" s="552">
        <v>1752215.2782547635</v>
      </c>
      <c r="J1264" s="552">
        <v>1801753.8270818794</v>
      </c>
      <c r="K1264" s="552">
        <v>1849570.3683210488</v>
      </c>
      <c r="L1264" s="552">
        <v>1895588.3768085891</v>
      </c>
      <c r="M1264" s="552">
        <v>1941214.4789448772</v>
      </c>
    </row>
    <row r="1265" spans="5:13" ht="15" customHeight="1">
      <c r="E1265" s="3" t="s">
        <v>2250</v>
      </c>
      <c r="F1265" s="552" cm="1">
        <f t="array" ref="F1265:M1265">INDEX(ST_TRANSPORTE_URBANO_DISTRIBUCION_TECNOLOGIA_VEHICULOS,3,0)*INDEX(DISTANCIA_TOTAL_POR_MODO,2,0)</f>
        <v>0</v>
      </c>
      <c r="G1265" s="552">
        <v>0</v>
      </c>
      <c r="H1265" s="552">
        <v>0</v>
      </c>
      <c r="I1265" s="552">
        <v>0</v>
      </c>
      <c r="J1265" s="552">
        <v>0</v>
      </c>
      <c r="K1265" s="552">
        <v>0</v>
      </c>
      <c r="L1265" s="552">
        <v>0</v>
      </c>
      <c r="M1265" s="552">
        <v>0</v>
      </c>
    </row>
    <row r="1266" spans="5:13" ht="15" customHeight="1">
      <c r="E1266" s="3" t="s">
        <v>893</v>
      </c>
      <c r="F1266" s="552" cm="1">
        <f t="array" ref="F1266:M1266">INDEX(ST_TRANSPORTE_URBANO_DISTRIBUCION_TECNOLOGIA_VEHICULOS,4,0)*INDEX(DISTANCIA_TOTAL_POR_MODO,2,0)</f>
        <v>58927.454339292155</v>
      </c>
      <c r="G1266" s="552">
        <v>1254.3894222084491</v>
      </c>
      <c r="H1266" s="552">
        <v>1376.9562555691657</v>
      </c>
      <c r="I1266" s="552">
        <v>1443.9351283516799</v>
      </c>
      <c r="J1266" s="552">
        <v>1484.757995123098</v>
      </c>
      <c r="K1266" s="552">
        <v>1524.1618197948487</v>
      </c>
      <c r="L1266" s="552">
        <v>1562.0835408393814</v>
      </c>
      <c r="M1266" s="552">
        <v>1599.6823065058734</v>
      </c>
    </row>
    <row r="1267" spans="5:13" ht="15" customHeight="1">
      <c r="E1267" s="3" t="s">
        <v>498</v>
      </c>
      <c r="F1267" s="552" cm="1">
        <f t="array" ref="F1267:M1267">INDEX(ST_TRANSPORTE_URBANO_DISTRIBUCION_TECNOLOGIA_VEHICULOS,5,0)*INDEX(DISTANCIA_TOTAL_POR_MODO,2,0)</f>
        <v>0</v>
      </c>
      <c r="G1267" s="552">
        <v>0</v>
      </c>
      <c r="H1267" s="552">
        <v>0</v>
      </c>
      <c r="I1267" s="552">
        <v>0</v>
      </c>
      <c r="J1267" s="552">
        <v>0</v>
      </c>
      <c r="K1267" s="552">
        <v>0</v>
      </c>
      <c r="L1267" s="552">
        <v>0</v>
      </c>
      <c r="M1267" s="552">
        <v>0</v>
      </c>
    </row>
    <row r="1268" spans="5:13" ht="15" customHeight="1">
      <c r="E1268" s="3" t="s">
        <v>894</v>
      </c>
      <c r="F1268" s="552" cm="1">
        <f t="array" ref="F1268:M1268">INDEX(ST_TRANSPORTE_URBANO_DISTRIBUCION_TECNOLOGIA_VEHICULOS,6,0)*INDEX(DISTANCIA_TOTAL_POR_MODO,2,0)</f>
        <v>93105.377856081599</v>
      </c>
      <c r="G1268" s="552">
        <v>1337179.1240742067</v>
      </c>
      <c r="H1268" s="552">
        <v>14274217.023357755</v>
      </c>
      <c r="I1268" s="552">
        <v>21686461.692713875</v>
      </c>
      <c r="J1268" s="552">
        <v>24013733.434123423</v>
      </c>
      <c r="K1268" s="552">
        <v>25104469.333840951</v>
      </c>
      <c r="L1268" s="552">
        <v>25772816.340308949</v>
      </c>
      <c r="M1268" s="552">
        <v>26396357.739653412</v>
      </c>
    </row>
    <row r="1269" spans="5:13" ht="15" customHeight="1">
      <c r="E1269" s="958" t="s">
        <v>603</v>
      </c>
      <c r="F1269" s="1079" cm="1">
        <f t="array" ref="F1269:M1269">INDEX(ST_TRANSPORTE_URBANO_DISTRIBUCION_TECNOLOGIA_VEHICULOS,7,0)*INDEX(DISTANCIA_TOTAL_POR_MODO,2,0)</f>
        <v>0</v>
      </c>
      <c r="G1269" s="1079">
        <v>0</v>
      </c>
      <c r="H1269" s="1079">
        <v>0</v>
      </c>
      <c r="I1269" s="1079">
        <v>0</v>
      </c>
      <c r="J1269" s="1079">
        <v>0</v>
      </c>
      <c r="K1269" s="1079">
        <v>0</v>
      </c>
      <c r="L1269" s="1079">
        <v>0</v>
      </c>
      <c r="M1269" s="1079">
        <v>0</v>
      </c>
    </row>
    <row r="1271" spans="5:13" ht="15" customHeight="1">
      <c r="E1271" s="3" t="s">
        <v>895</v>
      </c>
      <c r="M1271" s="554" t="s">
        <v>2325</v>
      </c>
    </row>
    <row r="1272" spans="5:13" ht="15" customHeight="1">
      <c r="E1272" s="550" t="s">
        <v>859</v>
      </c>
      <c r="F1272" s="551">
        <v>2018</v>
      </c>
      <c r="G1272" s="551">
        <v>2020</v>
      </c>
      <c r="H1272" s="551">
        <v>2025</v>
      </c>
      <c r="I1272" s="551">
        <v>2030</v>
      </c>
      <c r="J1272" s="551">
        <v>2035</v>
      </c>
      <c r="K1272" s="551">
        <v>2040</v>
      </c>
      <c r="L1272" s="551">
        <v>2045</v>
      </c>
      <c r="M1272" s="551">
        <v>2050</v>
      </c>
    </row>
    <row r="1273" spans="5:13" ht="15" customHeight="1">
      <c r="E1273" s="3" t="s">
        <v>889</v>
      </c>
      <c r="F1273" s="552" cm="1">
        <f t="array" ref="F1273:M1273">INDEX(ST_TRANSPORTE_URBANO_DISTRIBUCION_TECNOLOGIA_TAXI,1,0)*INDEX(DISTANCIA_TOTAL_POR_MODO,3,0)</f>
        <v>513785762.256015</v>
      </c>
      <c r="G1273" s="552">
        <v>557766870.56127059</v>
      </c>
      <c r="H1273" s="552">
        <v>623199798.22101009</v>
      </c>
      <c r="I1273" s="552">
        <v>479180704.60162586</v>
      </c>
      <c r="J1273" s="552">
        <v>467812679.7382251</v>
      </c>
      <c r="K1273" s="552">
        <v>486701276.10680515</v>
      </c>
      <c r="L1273" s="552">
        <v>507078612.54694712</v>
      </c>
      <c r="M1273" s="552">
        <v>527796654.05665362</v>
      </c>
    </row>
    <row r="1274" spans="5:13" ht="15" customHeight="1">
      <c r="E1274" s="3" t="s">
        <v>890</v>
      </c>
      <c r="F1274" s="552" cm="1">
        <f t="array" ref="F1274:M1274">INDEX(ST_TRANSPORTE_URBANO_DISTRIBUCION_TECNOLOGIA_TAXI,2,0)*INDEX(DISTANCIA_TOTAL_POR_MODO,3,0)</f>
        <v>514356.69819100708</v>
      </c>
      <c r="G1274" s="552">
        <v>558856.64101124252</v>
      </c>
      <c r="H1274" s="552">
        <v>624417.41217475082</v>
      </c>
      <c r="I1274" s="552">
        <v>666278.3195005852</v>
      </c>
      <c r="J1274" s="552">
        <v>696927.64206811925</v>
      </c>
      <c r="K1274" s="552">
        <v>727549.14510106004</v>
      </c>
      <c r="L1274" s="552">
        <v>758078.35632672615</v>
      </c>
      <c r="M1274" s="552">
        <v>789051.65803057794</v>
      </c>
    </row>
    <row r="1275" spans="5:13" ht="15" customHeight="1">
      <c r="E1275" s="3" t="s">
        <v>2250</v>
      </c>
      <c r="F1275" s="552" cm="1">
        <f t="array" ref="F1275:M1275">INDEX(ST_TRANSPORTE_URBANO_DISTRIBUCION_TECNOLOGIA_TAXI,3,0)*INDEX(DISTANCIA_TOTAL_POR_MODO,3,0)</f>
        <v>0</v>
      </c>
      <c r="G1275" s="552">
        <v>0</v>
      </c>
      <c r="H1275" s="552">
        <v>0</v>
      </c>
      <c r="I1275" s="552">
        <v>0</v>
      </c>
      <c r="J1275" s="552">
        <v>0</v>
      </c>
      <c r="K1275" s="552">
        <v>0</v>
      </c>
      <c r="L1275" s="552">
        <v>0</v>
      </c>
      <c r="M1275" s="552">
        <v>0</v>
      </c>
    </row>
    <row r="1276" spans="5:13" ht="15" customHeight="1">
      <c r="E1276" s="3" t="s">
        <v>893</v>
      </c>
      <c r="F1276" s="552" cm="1">
        <f t="array" ref="F1276:M1276">INDEX(ST_TRANSPORTE_URBANO_DISTRIBUCION_TECNOLOGIA_TAXI,4,0)*INDEX(DISTANCIA_TOTAL_POR_MODO,3,0)</f>
        <v>51435.669819100709</v>
      </c>
      <c r="G1276" s="552">
        <v>55885.664101124254</v>
      </c>
      <c r="H1276" s="552">
        <v>62441.741217475086</v>
      </c>
      <c r="I1276" s="552">
        <v>66627.83195005852</v>
      </c>
      <c r="J1276" s="552">
        <v>69692.764206811931</v>
      </c>
      <c r="K1276" s="552">
        <v>72754.914510106013</v>
      </c>
      <c r="L1276" s="552">
        <v>75807.835632672606</v>
      </c>
      <c r="M1276" s="552">
        <v>78905.165803057796</v>
      </c>
    </row>
    <row r="1277" spans="5:13" ht="15" customHeight="1">
      <c r="E1277" s="3" t="s">
        <v>498</v>
      </c>
      <c r="F1277" s="552" cm="1">
        <f t="array" ref="F1277:M1277">INDEX(ST_TRANSPORTE_URBANO_DISTRIBUCION_TECNOLOGIA_TAXI,5,0)*INDEX(DISTANCIA_TOTAL_POR_MODO,3,0)</f>
        <v>0</v>
      </c>
      <c r="G1277" s="552">
        <v>0</v>
      </c>
      <c r="H1277" s="552">
        <v>0</v>
      </c>
      <c r="I1277" s="552">
        <v>0</v>
      </c>
      <c r="J1277" s="552">
        <v>0</v>
      </c>
      <c r="K1277" s="552">
        <v>0</v>
      </c>
      <c r="L1277" s="552">
        <v>0</v>
      </c>
      <c r="M1277" s="552">
        <v>0</v>
      </c>
    </row>
    <row r="1278" spans="5:13" ht="15" customHeight="1">
      <c r="E1278" s="3" t="s">
        <v>894</v>
      </c>
      <c r="F1278" s="552" cm="1">
        <f t="array" ref="F1278:M1278">INDEX(ST_TRANSPORTE_URBANO_DISTRIBUCION_TECNOLOGIA_TAXI,6,0)*INDEX(DISTANCIA_TOTAL_POR_MODO,3,0)</f>
        <v>0</v>
      </c>
      <c r="G1278" s="552">
        <v>475028.14485955611</v>
      </c>
      <c r="H1278" s="552">
        <v>530754.80034853821</v>
      </c>
      <c r="I1278" s="552">
        <v>186364708.7475087</v>
      </c>
      <c r="J1278" s="552">
        <v>228348341.92361927</v>
      </c>
      <c r="K1278" s="552">
        <v>240047564.93464375</v>
      </c>
      <c r="L1278" s="552">
        <v>250165857.58781961</v>
      </c>
      <c r="M1278" s="552">
        <v>260387047.15009072</v>
      </c>
    </row>
    <row r="1279" spans="5:13" ht="15" customHeight="1">
      <c r="E1279" s="958" t="s">
        <v>603</v>
      </c>
      <c r="F1279" s="1079" cm="1">
        <f t="array" ref="F1279:M1279">INDEX(ST_TRANSPORTE_URBANO_DISTRIBUCION_TECNOLOGIA_TAXI,7,0)*INDEX(DISTANCIA_TOTAL_POR_MODO,3,0)</f>
        <v>0</v>
      </c>
      <c r="G1279" s="1079">
        <v>0</v>
      </c>
      <c r="H1279" s="1079">
        <v>0</v>
      </c>
      <c r="I1279" s="1079">
        <v>0</v>
      </c>
      <c r="J1279" s="1079">
        <v>0</v>
      </c>
      <c r="K1279" s="1079">
        <v>0</v>
      </c>
      <c r="L1279" s="1079">
        <v>0</v>
      </c>
      <c r="M1279" s="1079">
        <v>0</v>
      </c>
    </row>
    <row r="1281" spans="5:13" ht="15" customHeight="1">
      <c r="E1281" s="3" t="s">
        <v>896</v>
      </c>
      <c r="M1281" s="554" t="s">
        <v>2325</v>
      </c>
    </row>
    <row r="1282" spans="5:13" ht="15" customHeight="1">
      <c r="E1282" s="550" t="s">
        <v>859</v>
      </c>
      <c r="F1282" s="551">
        <v>2018</v>
      </c>
      <c r="G1282" s="551">
        <v>2020</v>
      </c>
      <c r="H1282" s="551">
        <v>2025</v>
      </c>
      <c r="I1282" s="551">
        <v>2030</v>
      </c>
      <c r="J1282" s="551">
        <v>2035</v>
      </c>
      <c r="K1282" s="551">
        <v>2040</v>
      </c>
      <c r="L1282" s="551">
        <v>2045</v>
      </c>
      <c r="M1282" s="551">
        <v>2050</v>
      </c>
    </row>
    <row r="1283" spans="5:13" ht="15" customHeight="1">
      <c r="E1283" s="3" t="s">
        <v>897</v>
      </c>
      <c r="F1283" s="552" cm="1">
        <f t="array" ref="F1283:M1283">INDEX(ST_TRANSPORTE_URBANO_DISTRIBUCION_TECNOLOGIA_MOTOS,1,0)*INDEX(DISTANCIA_TOTAL_POR_MODO,4,0)</f>
        <v>317955351.1152153</v>
      </c>
      <c r="G1283" s="552">
        <v>332069912.63745642</v>
      </c>
      <c r="H1283" s="552">
        <v>358937173.3964299</v>
      </c>
      <c r="I1283" s="552">
        <v>372825595.39224607</v>
      </c>
      <c r="J1283" s="552">
        <v>383292423.84953886</v>
      </c>
      <c r="K1283" s="552">
        <v>398167217.28236711</v>
      </c>
      <c r="L1283" s="552">
        <v>413771698.96872795</v>
      </c>
      <c r="M1283" s="552">
        <v>433394565.50246239</v>
      </c>
    </row>
    <row r="1284" spans="5:13" ht="15" customHeight="1">
      <c r="E1284" s="3" t="s">
        <v>898</v>
      </c>
      <c r="F1284" s="552" cm="1">
        <f t="array" ref="F1284:M1284">INDEX(ST_TRANSPORTE_URBANO_DISTRIBUCION_TECNOLOGIA_MOTOS,2,0)*INDEX(DISTANCIA_TOTAL_POR_MODO,4,0)</f>
        <v>230243530.11791453</v>
      </c>
      <c r="G1284" s="552">
        <v>240464419.49608916</v>
      </c>
      <c r="H1284" s="552">
        <v>259920022.11465615</v>
      </c>
      <c r="I1284" s="552">
        <v>269977155.28404027</v>
      </c>
      <c r="J1284" s="552">
        <v>277556582.78759712</v>
      </c>
      <c r="K1284" s="552">
        <v>288327984.92861068</v>
      </c>
      <c r="L1284" s="552">
        <v>299627782.01183748</v>
      </c>
      <c r="M1284" s="552">
        <v>313837443.98454171</v>
      </c>
    </row>
    <row r="1285" spans="5:13" ht="15" customHeight="1">
      <c r="E1285" s="958" t="s">
        <v>894</v>
      </c>
      <c r="F1285" s="1079" cm="1">
        <f t="array" ref="F1285:M1285">INDEX(ST_TRANSPORTE_URBANO_DISTRIBUCION_TECNOLOGIA_MOTOS,3,0)*INDEX(DISTANCIA_TOTAL_POR_MODO,4,0)</f>
        <v>0</v>
      </c>
      <c r="G1285" s="1079">
        <v>0</v>
      </c>
      <c r="H1285" s="1079">
        <v>0</v>
      </c>
      <c r="I1285" s="1079">
        <v>0</v>
      </c>
      <c r="J1285" s="1079">
        <v>0</v>
      </c>
      <c r="K1285" s="1079">
        <v>0</v>
      </c>
      <c r="L1285" s="1079">
        <v>0</v>
      </c>
      <c r="M1285" s="1079">
        <v>0</v>
      </c>
    </row>
    <row r="1287" spans="5:13" ht="15" customHeight="1">
      <c r="E1287" s="3" t="s">
        <v>899</v>
      </c>
      <c r="M1287" s="554" t="s">
        <v>2325</v>
      </c>
    </row>
    <row r="1288" spans="5:13" ht="15" customHeight="1">
      <c r="E1288" s="550" t="s">
        <v>859</v>
      </c>
      <c r="F1288" s="551">
        <v>2018</v>
      </c>
      <c r="G1288" s="551">
        <v>2020</v>
      </c>
      <c r="H1288" s="551">
        <v>2025</v>
      </c>
      <c r="I1288" s="551">
        <v>2030</v>
      </c>
      <c r="J1288" s="551">
        <v>2035</v>
      </c>
      <c r="K1288" s="551">
        <v>2040</v>
      </c>
      <c r="L1288" s="551">
        <v>2045</v>
      </c>
      <c r="M1288" s="551">
        <v>2050</v>
      </c>
    </row>
    <row r="1289" spans="5:13" ht="15" customHeight="1">
      <c r="E1289" s="3" t="s">
        <v>889</v>
      </c>
      <c r="F1289" s="552" cm="1">
        <f t="array" ref="F1289:M1289">INDEX(ST_TRANSPORTE_URBANO_DISTRIBUCION_TECNOLOGIA_BUSES,1,0)*INDEX(DISTANCIA_TOTAL_POR_MODO,5,0)</f>
        <v>84752357.247858703</v>
      </c>
      <c r="G1289" s="552">
        <v>118780766.76927225</v>
      </c>
      <c r="H1289" s="552">
        <v>123615076.31857724</v>
      </c>
      <c r="I1289" s="552">
        <v>121862702.41475819</v>
      </c>
      <c r="J1289" s="552">
        <v>116790250.09584147</v>
      </c>
      <c r="K1289" s="552">
        <v>110784071.20867535</v>
      </c>
      <c r="L1289" s="552">
        <v>104009991.10536513</v>
      </c>
      <c r="M1289" s="552">
        <v>96760109.366343752</v>
      </c>
    </row>
    <row r="1290" spans="5:13" ht="15" customHeight="1">
      <c r="E1290" s="3" t="s">
        <v>890</v>
      </c>
      <c r="F1290" s="552" cm="1">
        <f t="array" ref="F1290:M1290">INDEX(ST_TRANSPORTE_URBANO_DISTRIBUCION_TECNOLOGIA_BUSES,2,0)*INDEX(DISTANCIA_TOTAL_POR_MODO,5,0)</f>
        <v>548633236.63431454</v>
      </c>
      <c r="G1290" s="552">
        <v>531210044.68613577</v>
      </c>
      <c r="H1290" s="552">
        <v>547351209.38605642</v>
      </c>
      <c r="I1290" s="552">
        <v>456006102.70377856</v>
      </c>
      <c r="J1290" s="552">
        <v>354085322.61022198</v>
      </c>
      <c r="K1290" s="552">
        <v>284837227.73785925</v>
      </c>
      <c r="L1290" s="552">
        <v>244738921.72470689</v>
      </c>
      <c r="M1290" s="552">
        <v>219449398.36680573</v>
      </c>
    </row>
    <row r="1291" spans="5:13" ht="15" customHeight="1">
      <c r="E1291" s="3" t="s">
        <v>2250</v>
      </c>
      <c r="F1291" s="552" cm="1">
        <f t="array" ref="F1291:M1291">INDEX(ST_TRANSPORTE_URBANO_DISTRIBUCION_TECNOLOGIA_BUSES,3,0)*INDEX(DISTANCIA_TOTAL_POR_MODO,5,0)</f>
        <v>0</v>
      </c>
      <c r="G1291" s="552">
        <v>0</v>
      </c>
      <c r="H1291" s="552">
        <v>0</v>
      </c>
      <c r="I1291" s="552">
        <v>0</v>
      </c>
      <c r="J1291" s="552">
        <v>0</v>
      </c>
      <c r="K1291" s="552">
        <v>0</v>
      </c>
      <c r="L1291" s="552">
        <v>0</v>
      </c>
      <c r="M1291" s="552">
        <v>0</v>
      </c>
    </row>
    <row r="1292" spans="5:13" ht="15" customHeight="1">
      <c r="E1292" s="3" t="s">
        <v>893</v>
      </c>
      <c r="F1292" s="552" cm="1">
        <f t="array" ref="F1292:M1292">INDEX(ST_TRANSPORTE_URBANO_DISTRIBUCION_TECNOLOGIA_BUSES,4,0)*INDEX(DISTANCIA_TOTAL_POR_MODO,5,0)</f>
        <v>52727165.749498807</v>
      </c>
      <c r="G1292" s="552">
        <v>91517404.300453052</v>
      </c>
      <c r="H1292" s="552">
        <v>136218475.80018118</v>
      </c>
      <c r="I1292" s="552">
        <v>187306498.124349</v>
      </c>
      <c r="J1292" s="552">
        <v>243253283.75880766</v>
      </c>
      <c r="K1292" s="552">
        <v>303361171.91925544</v>
      </c>
      <c r="L1292" s="552">
        <v>363827374.20246893</v>
      </c>
      <c r="M1292" s="552">
        <v>421612676.97753263</v>
      </c>
    </row>
    <row r="1293" spans="5:13" ht="15" customHeight="1">
      <c r="E1293" s="3" t="s">
        <v>498</v>
      </c>
      <c r="F1293" s="552" cm="1">
        <f t="array" ref="F1293:M1293">INDEX(ST_TRANSPORTE_URBANO_DISTRIBUCION_TECNOLOGIA_BUSES,5,0)*INDEX(DISTANCIA_TOTAL_POR_MODO,5,0)</f>
        <v>0</v>
      </c>
      <c r="G1293" s="552">
        <v>0</v>
      </c>
      <c r="H1293" s="552">
        <v>0</v>
      </c>
      <c r="I1293" s="552">
        <v>0</v>
      </c>
      <c r="J1293" s="552">
        <v>0</v>
      </c>
      <c r="K1293" s="552">
        <v>0</v>
      </c>
      <c r="L1293" s="552">
        <v>0</v>
      </c>
      <c r="M1293" s="552">
        <v>0</v>
      </c>
    </row>
    <row r="1294" spans="5:13" ht="15" customHeight="1">
      <c r="E1294" s="3" t="s">
        <v>894</v>
      </c>
      <c r="F1294" s="552" cm="1">
        <f t="array" ref="F1294:M1294">INDEX(ST_TRANSPORTE_URBANO_DISTRIBUCION_TECNOLOGIA_BUSES,6,0)*INDEX(DISTANCIA_TOTAL_POR_MODO,5,0)</f>
        <v>968794.67952558398</v>
      </c>
      <c r="G1294" s="552">
        <v>5024162.9084105473</v>
      </c>
      <c r="H1294" s="552">
        <v>26916724.107965503</v>
      </c>
      <c r="I1294" s="552">
        <v>124853198.17953753</v>
      </c>
      <c r="J1294" s="552">
        <v>216832340.77180102</v>
      </c>
      <c r="K1294" s="552">
        <v>272892879.67965573</v>
      </c>
      <c r="L1294" s="552">
        <v>300080621.7919662</v>
      </c>
      <c r="M1294" s="552">
        <v>316209507.73314947</v>
      </c>
    </row>
    <row r="1295" spans="5:13" ht="15" customHeight="1">
      <c r="E1295" s="958" t="s">
        <v>603</v>
      </c>
      <c r="F1295" s="1079" cm="1">
        <f t="array" ref="F1295:M1295">INDEX(ST_TRANSPORTE_URBANO_DISTRIBUCION_TECNOLOGIA_BUSES,7,0)*INDEX(DISTANCIA_TOTAL_POR_MODO,5,0)</f>
        <v>0</v>
      </c>
      <c r="G1295" s="1079">
        <v>0</v>
      </c>
      <c r="H1295" s="1079">
        <v>0</v>
      </c>
      <c r="I1295" s="1079">
        <v>0</v>
      </c>
      <c r="J1295" s="1079">
        <v>0</v>
      </c>
      <c r="K1295" s="1079">
        <v>0</v>
      </c>
      <c r="L1295" s="1079">
        <v>0</v>
      </c>
      <c r="M1295" s="1079">
        <v>0</v>
      </c>
    </row>
    <row r="1297" spans="5:13" ht="15" customHeight="1">
      <c r="E1297" s="3" t="s">
        <v>900</v>
      </c>
      <c r="M1297" s="554" t="s">
        <v>2325</v>
      </c>
    </row>
    <row r="1298" spans="5:13" ht="15" customHeight="1">
      <c r="E1298" s="550" t="s">
        <v>859</v>
      </c>
      <c r="F1298" s="551">
        <v>2018</v>
      </c>
      <c r="G1298" s="551">
        <v>2020</v>
      </c>
      <c r="H1298" s="551">
        <v>2025</v>
      </c>
      <c r="I1298" s="551">
        <v>2030</v>
      </c>
      <c r="J1298" s="551">
        <v>2035</v>
      </c>
      <c r="K1298" s="551">
        <v>2040</v>
      </c>
      <c r="L1298" s="551">
        <v>2045</v>
      </c>
      <c r="M1298" s="551">
        <v>2050</v>
      </c>
    </row>
    <row r="1299" spans="5:13" ht="15" customHeight="1">
      <c r="E1299" s="3" t="s">
        <v>889</v>
      </c>
      <c r="F1299" s="552" cm="1">
        <f t="array" ref="F1299:M1299">INDEX(ST_TRANSPORTE_URBANO_DISTRIBUCION_TECNOLOGIA_BUSES_BRT,1,0)*INDEX(DISTANCIA_TOTAL_POR_MODO,6,0)</f>
        <v>1485339.5122233648</v>
      </c>
      <c r="G1299" s="552">
        <v>989917.18105775781</v>
      </c>
      <c r="H1299" s="552">
        <v>1242621.1384927351</v>
      </c>
      <c r="I1299" s="552">
        <v>1438277.0965656086</v>
      </c>
      <c r="J1299" s="552">
        <v>1359021.1504329226</v>
      </c>
      <c r="K1299" s="552">
        <v>1278375.9247372644</v>
      </c>
      <c r="L1299" s="552">
        <v>1192786.6251651344</v>
      </c>
      <c r="M1299" s="552">
        <v>1103849.1830621369</v>
      </c>
    </row>
    <row r="1300" spans="5:13" ht="15" customHeight="1">
      <c r="E1300" s="3" t="s">
        <v>890</v>
      </c>
      <c r="F1300" s="552" cm="1">
        <f t="array" ref="F1300:M1300">INDEX(ST_TRANSPORTE_URBANO_DISTRIBUCION_TECNOLOGIA_BUSES_BRT,2,0)*INDEX(DISTANCIA_TOTAL_POR_MODO,6,0)</f>
        <v>8649371.7237575222</v>
      </c>
      <c r="G1300" s="552">
        <v>9624432.8396391273</v>
      </c>
      <c r="H1300" s="552">
        <v>10077010.407483142</v>
      </c>
      <c r="I1300" s="552">
        <v>8353778.2258324735</v>
      </c>
      <c r="J1300" s="552">
        <v>5792298.513686168</v>
      </c>
      <c r="K1300" s="552">
        <v>3662978.3782118973</v>
      </c>
      <c r="L1300" s="552">
        <v>3059250.4663377889</v>
      </c>
      <c r="M1300" s="552">
        <v>3125458.0317353229</v>
      </c>
    </row>
    <row r="1301" spans="5:13" ht="15" customHeight="1">
      <c r="E1301" s="3" t="s">
        <v>2250</v>
      </c>
      <c r="F1301" s="552" cm="1">
        <f t="array" ref="F1301:M1301">INDEX(ST_TRANSPORTE_URBANO_DISTRIBUCION_TECNOLOGIA_BUSES_BRT,3,0)*INDEX(DISTANCIA_TOTAL_POR_MODO,6,0)</f>
        <v>0</v>
      </c>
      <c r="G1301" s="552">
        <v>0</v>
      </c>
      <c r="H1301" s="552">
        <v>0</v>
      </c>
      <c r="I1301" s="552">
        <v>0</v>
      </c>
      <c r="J1301" s="552">
        <v>0</v>
      </c>
      <c r="K1301" s="552">
        <v>0</v>
      </c>
      <c r="L1301" s="552">
        <v>0</v>
      </c>
      <c r="M1301" s="552">
        <v>0</v>
      </c>
    </row>
    <row r="1302" spans="5:13" ht="15" customHeight="1">
      <c r="E1302" s="3" t="s">
        <v>893</v>
      </c>
      <c r="F1302" s="552" cm="1">
        <f t="array" ref="F1302:M1302">INDEX(ST_TRANSPORTE_URBANO_DISTRIBUCION_TECNOLOGIA_BUSES_BRT,4,0)*INDEX(DISTANCIA_TOTAL_POR_MODO,6,0)</f>
        <v>190184.58094782691</v>
      </c>
      <c r="G1302" s="552">
        <v>24635.463281030545</v>
      </c>
      <c r="H1302" s="552">
        <v>148247.09558024144</v>
      </c>
      <c r="I1302" s="552">
        <v>749301.90427215968</v>
      </c>
      <c r="J1302" s="552">
        <v>2541767.590977056</v>
      </c>
      <c r="K1302" s="552">
        <v>4459675.8486897731</v>
      </c>
      <c r="L1302" s="552">
        <v>5280366.8213869138</v>
      </c>
      <c r="M1302" s="552">
        <v>5639076.2863966133</v>
      </c>
    </row>
    <row r="1303" spans="5:13" ht="15" customHeight="1">
      <c r="E1303" s="3" t="s">
        <v>498</v>
      </c>
      <c r="F1303" s="552" cm="1">
        <f t="array" ref="F1303:M1303">INDEX(ST_TRANSPORTE_URBANO_DISTRIBUCION_TECNOLOGIA_BUSES_BRT,5,0)*INDEX(DISTANCIA_TOTAL_POR_MODO,6,0)</f>
        <v>0</v>
      </c>
      <c r="G1303" s="552">
        <v>0</v>
      </c>
      <c r="H1303" s="552">
        <v>0</v>
      </c>
      <c r="I1303" s="552">
        <v>0</v>
      </c>
      <c r="J1303" s="552">
        <v>0</v>
      </c>
      <c r="K1303" s="552">
        <v>0</v>
      </c>
      <c r="L1303" s="552">
        <v>0</v>
      </c>
      <c r="M1303" s="552">
        <v>0</v>
      </c>
    </row>
    <row r="1304" spans="5:13" ht="15" customHeight="1">
      <c r="E1304" s="3" t="s">
        <v>894</v>
      </c>
      <c r="F1304" s="552" cm="1">
        <f t="array" ref="F1304:M1304">INDEX(ST_TRANSPORTE_URBANO_DISTRIBUCION_TECNOLOGIA_BUSES_BRT,6,0)*INDEX(DISTANCIA_TOTAL_POR_MODO,6,0)</f>
        <v>0</v>
      </c>
      <c r="G1304" s="552">
        <v>72085.507774493715</v>
      </c>
      <c r="H1304" s="552">
        <v>382408.77493000729</v>
      </c>
      <c r="I1304" s="552">
        <v>1720046.9830027584</v>
      </c>
      <c r="J1304" s="552">
        <v>2943092.6652471595</v>
      </c>
      <c r="K1304" s="552">
        <v>3670298.3221572232</v>
      </c>
      <c r="L1304" s="552">
        <v>4014292.5682587652</v>
      </c>
      <c r="M1304" s="552">
        <v>4229307.2147974595</v>
      </c>
    </row>
    <row r="1305" spans="5:13" ht="15" customHeight="1">
      <c r="E1305" s="958" t="s">
        <v>603</v>
      </c>
      <c r="F1305" s="1079" cm="1">
        <f t="array" ref="F1305:M1305">INDEX(ST_TRANSPORTE_URBANO_DISTRIBUCION_TECNOLOGIA_BUSES_BRT,7,0)*INDEX(DISTANCIA_TOTAL_POR_MODO,6,0)</f>
        <v>0</v>
      </c>
      <c r="G1305" s="1079">
        <v>0</v>
      </c>
      <c r="H1305" s="1079">
        <v>0</v>
      </c>
      <c r="I1305" s="1079">
        <v>0</v>
      </c>
      <c r="J1305" s="1079">
        <v>0</v>
      </c>
      <c r="K1305" s="1079">
        <v>0</v>
      </c>
      <c r="L1305" s="1079">
        <v>0</v>
      </c>
      <c r="M1305" s="1079">
        <v>0</v>
      </c>
    </row>
    <row r="1307" spans="5:13" ht="15" customHeight="1">
      <c r="E1307" s="3" t="s">
        <v>2244</v>
      </c>
      <c r="M1307" s="554" t="s">
        <v>2325</v>
      </c>
    </row>
    <row r="1308" spans="5:13" ht="15" customHeight="1">
      <c r="E1308" s="550" t="s">
        <v>859</v>
      </c>
      <c r="F1308" s="551">
        <v>2018</v>
      </c>
      <c r="G1308" s="551">
        <v>2020</v>
      </c>
      <c r="H1308" s="551">
        <v>2025</v>
      </c>
      <c r="I1308" s="551">
        <v>2030</v>
      </c>
      <c r="J1308" s="551">
        <v>2035</v>
      </c>
      <c r="K1308" s="551">
        <v>2040</v>
      </c>
      <c r="L1308" s="551">
        <v>2045</v>
      </c>
      <c r="M1308" s="551">
        <v>2050</v>
      </c>
    </row>
    <row r="1309" spans="5:13" ht="15" customHeight="1">
      <c r="E1309" s="1307" t="s">
        <v>495</v>
      </c>
      <c r="F1309" s="1845" cm="1">
        <f t="array" ref="F1309:M1309">INDEX(ST_TRANSPORTE_URBANO_DISTRIBUCION_TECNOLOGIA_FERREO,1,0)*INDEX(DISTANCIA_TOTAL_POR_MODO,7,0)</f>
        <v>11055409.316312317</v>
      </c>
      <c r="G1309" s="1845">
        <v>12458586.382641025</v>
      </c>
      <c r="H1309" s="1845">
        <v>13807332.366128229</v>
      </c>
      <c r="I1309" s="1845">
        <v>14687610.797710847</v>
      </c>
      <c r="J1309" s="1845">
        <v>16699304.050967785</v>
      </c>
      <c r="K1309" s="1845">
        <v>19719866.874661949</v>
      </c>
      <c r="L1309" s="1845">
        <v>22404400.669449285</v>
      </c>
      <c r="M1309" s="1845">
        <v>25156699.131959792</v>
      </c>
    </row>
    <row r="1310" spans="5:13" ht="15" customHeight="1">
      <c r="E1310" s="958" t="s">
        <v>601</v>
      </c>
      <c r="F1310" s="1079" cm="1">
        <f t="array" ref="F1310:M1310">INDEX(ST_TRANSPORTE_URBANO_DISTRIBUCION_TECNOLOGIA_FERREO,2,0)*INDEX(DISTANCIA_TOTAL_POR_MODO,7,0)</f>
        <v>0</v>
      </c>
      <c r="G1310" s="1079">
        <v>0</v>
      </c>
      <c r="H1310" s="1079">
        <v>0</v>
      </c>
      <c r="I1310" s="1079">
        <v>0</v>
      </c>
      <c r="J1310" s="1079">
        <v>0</v>
      </c>
      <c r="K1310" s="1079">
        <v>0</v>
      </c>
      <c r="L1310" s="1079">
        <v>0</v>
      </c>
      <c r="M1310" s="1079">
        <v>0</v>
      </c>
    </row>
    <row r="1313" spans="4:15" ht="15" customHeight="1">
      <c r="D1313" s="2"/>
      <c r="E1313" s="2" t="s">
        <v>2326</v>
      </c>
    </row>
    <row r="1314" spans="4:15" ht="15" customHeight="1">
      <c r="D1314" s="2">
        <v>2</v>
      </c>
      <c r="E1314" s="2" t="s">
        <v>2327</v>
      </c>
    </row>
    <row r="1316" spans="4:15" ht="15" customHeight="1">
      <c r="E1316" s="3" t="s">
        <v>899</v>
      </c>
      <c r="M1316" s="554" t="s">
        <v>2325</v>
      </c>
    </row>
    <row r="1317" spans="4:15" ht="15" customHeight="1">
      <c r="E1317" s="550" t="s">
        <v>859</v>
      </c>
      <c r="F1317" s="551">
        <v>2018</v>
      </c>
      <c r="G1317" s="551">
        <v>2020</v>
      </c>
      <c r="H1317" s="551">
        <v>2025</v>
      </c>
      <c r="I1317" s="551">
        <v>2030</v>
      </c>
      <c r="J1317" s="551">
        <v>2035</v>
      </c>
      <c r="K1317" s="551">
        <v>2040</v>
      </c>
      <c r="L1317" s="551">
        <v>2045</v>
      </c>
      <c r="M1317" s="551">
        <v>2050</v>
      </c>
    </row>
    <row r="1318" spans="4:15" ht="15" customHeight="1">
      <c r="E1318" s="3" t="s">
        <v>889</v>
      </c>
      <c r="F1318" s="552" cm="1">
        <f t="array" ref="F1318:M1318">SF_KM_TOTALES_MODO_CARRETERO_TRANSPORTE_INTERURBANO*INDEX(SF_DISTRIBUCION_MODO_CARRETERO_TRANSPORTE_INTERURBANO,1,0)</f>
        <v>32676869.943854339</v>
      </c>
      <c r="G1318" s="552">
        <v>38548823.355194643</v>
      </c>
      <c r="H1318" s="552">
        <v>46901297.354654819</v>
      </c>
      <c r="I1318" s="552">
        <v>54512784.238223813</v>
      </c>
      <c r="J1318" s="552">
        <v>62128708.23372855</v>
      </c>
      <c r="K1318" s="552">
        <v>70689302.939567551</v>
      </c>
      <c r="L1318" s="552">
        <v>76510826.528175265</v>
      </c>
      <c r="M1318" s="552">
        <v>84028374.962427452</v>
      </c>
    </row>
    <row r="1319" spans="4:15" ht="15" customHeight="1">
      <c r="E1319" s="3" t="s">
        <v>890</v>
      </c>
      <c r="F1319" s="552" cm="1">
        <f t="array" ref="F1319:M1319">SF_KM_TOTALES_MODO_CARRETERO_TRANSPORTE_INTERURBANO*INDEX(SF_DISTRIBUCION_MODO_CARRETERO_TRANSPORTE_INTERURBANO,2,0)</f>
        <v>62038695.110795915</v>
      </c>
      <c r="G1319" s="552">
        <v>73186896.514934763</v>
      </c>
      <c r="H1319" s="552">
        <v>89044492.079127267</v>
      </c>
      <c r="I1319" s="552">
        <v>103495286.01749738</v>
      </c>
      <c r="J1319" s="552">
        <v>117954504.0379484</v>
      </c>
      <c r="K1319" s="552">
        <v>134207227.32004853</v>
      </c>
      <c r="L1319" s="552">
        <v>145259685.14769506</v>
      </c>
      <c r="M1319" s="552">
        <v>159532132.17504343</v>
      </c>
    </row>
    <row r="1320" spans="4:15" ht="15" customHeight="1">
      <c r="E1320" s="3" t="s">
        <v>2250</v>
      </c>
      <c r="F1320" s="552" cm="1">
        <f t="array" ref="F1320:M1320">SF_KM_TOTALES_MODO_CARRETERO_TRANSPORTE_INTERURBANO*INDEX(SF_DISTRIBUCION_MODO_CARRETERO_TRANSPORTE_INTERURBANO,3,0)</f>
        <v>0</v>
      </c>
      <c r="G1320" s="552">
        <v>0</v>
      </c>
      <c r="H1320" s="552">
        <v>0</v>
      </c>
      <c r="I1320" s="552">
        <v>0</v>
      </c>
      <c r="J1320" s="552">
        <v>0</v>
      </c>
      <c r="K1320" s="552">
        <v>0</v>
      </c>
      <c r="L1320" s="552">
        <v>0</v>
      </c>
      <c r="M1320" s="552">
        <v>0</v>
      </c>
      <c r="O1320" s="552"/>
    </row>
    <row r="1321" spans="4:15" ht="15" customHeight="1">
      <c r="E1321" s="3" t="s">
        <v>2270</v>
      </c>
      <c r="F1321" s="552" cm="1">
        <f t="array" ref="F1321:M1321">SF_KM_TOTALES_MODO_CARRETERO_TRANSPORTE_INTERURBANO*INDEX(SF_DISTRIBUCION_MODO_CARRETERO_TRANSPORTE_INTERURBANO,4,0)</f>
        <v>23678891.263662562</v>
      </c>
      <c r="G1321" s="552">
        <v>27933929.967532352</v>
      </c>
      <c r="H1321" s="552">
        <v>33986447.358445518</v>
      </c>
      <c r="I1321" s="552">
        <v>39502017.563930295</v>
      </c>
      <c r="J1321" s="552">
        <v>45020803.067919239</v>
      </c>
      <c r="K1321" s="552">
        <v>51224132.564904019</v>
      </c>
      <c r="L1321" s="552">
        <v>55442627.918967582</v>
      </c>
      <c r="M1321" s="552">
        <v>60890126.784367718</v>
      </c>
    </row>
    <row r="1322" spans="4:15" ht="15" customHeight="1">
      <c r="E1322" s="3" t="s">
        <v>894</v>
      </c>
      <c r="F1322" s="552" cm="1">
        <f t="array" ref="F1322:M1322">SF_KM_TOTALES_MODO_CARRETERO_TRANSPORTE_INTERURBANO*INDEX(SF_DISTRIBUCION_MODO_CARRETERO_TRANSPORTE_INTERURBANO,5,0)</f>
        <v>0</v>
      </c>
      <c r="G1322" s="552">
        <v>0</v>
      </c>
      <c r="H1322" s="552">
        <v>0</v>
      </c>
      <c r="I1322" s="552">
        <v>0</v>
      </c>
      <c r="J1322" s="552">
        <v>0</v>
      </c>
      <c r="K1322" s="552">
        <v>0</v>
      </c>
      <c r="L1322" s="552">
        <v>0</v>
      </c>
      <c r="M1322" s="552">
        <v>0</v>
      </c>
    </row>
    <row r="1323" spans="4:15" ht="15" customHeight="1">
      <c r="E1323" s="958" t="s">
        <v>603</v>
      </c>
      <c r="F1323" s="1079" cm="1">
        <f t="array" ref="F1323:M1323">SF_KM_TOTALES_MODO_CARRETERO_TRANSPORTE_INTERURBANO*INDEX(SF_DISTRIBUCION_MODO_CARRETERO_TRANSPORTE_INTERURBANO,6,0)</f>
        <v>0</v>
      </c>
      <c r="G1323" s="1079">
        <v>0</v>
      </c>
      <c r="H1323" s="1079">
        <v>0</v>
      </c>
      <c r="I1323" s="1079">
        <v>0</v>
      </c>
      <c r="J1323" s="1079">
        <v>0</v>
      </c>
      <c r="K1323" s="1079">
        <v>0</v>
      </c>
      <c r="L1323" s="1079">
        <v>0</v>
      </c>
      <c r="M1323" s="1079">
        <v>0</v>
      </c>
    </row>
    <row r="1326" spans="4:15" ht="15" customHeight="1">
      <c r="D1326" s="2">
        <v>3</v>
      </c>
      <c r="E1326" s="2" t="s">
        <v>2328</v>
      </c>
    </row>
    <row r="1327" spans="4:15" ht="15" customHeight="1">
      <c r="D1327" s="2"/>
      <c r="E1327" s="2" t="s">
        <v>2329</v>
      </c>
    </row>
    <row r="1328" spans="4:15" ht="15" customHeight="1">
      <c r="D1328" s="2"/>
      <c r="E1328" s="3" t="s">
        <v>2330</v>
      </c>
    </row>
    <row r="1329" spans="4:15" ht="15" customHeight="1">
      <c r="D1329" s="2"/>
      <c r="E1329" s="3" t="s">
        <v>2331</v>
      </c>
    </row>
    <row r="1330" spans="4:15" ht="15" customHeight="1">
      <c r="D1330" s="2"/>
      <c r="E1330" s="3" t="s">
        <v>2332</v>
      </c>
    </row>
    <row r="1331" spans="4:15" ht="15" customHeight="1">
      <c r="D1331" s="2"/>
      <c r="E1331" s="3" t="s">
        <v>2333</v>
      </c>
    </row>
    <row r="1332" spans="4:15" ht="15" customHeight="1">
      <c r="D1332" s="2"/>
      <c r="O1332" s="976"/>
    </row>
    <row r="1333" spans="4:15" ht="15" customHeight="1">
      <c r="E1333" s="3" t="s">
        <v>887</v>
      </c>
      <c r="M1333" s="554" t="s">
        <v>11</v>
      </c>
    </row>
    <row r="1334" spans="4:15" ht="15" customHeight="1">
      <c r="E1334" s="550" t="s">
        <v>859</v>
      </c>
      <c r="F1334" s="551">
        <v>2018</v>
      </c>
      <c r="G1334" s="551">
        <v>2020</v>
      </c>
      <c r="H1334" s="551">
        <v>2025</v>
      </c>
      <c r="I1334" s="551">
        <v>2030</v>
      </c>
      <c r="J1334" s="551">
        <v>2035</v>
      </c>
      <c r="K1334" s="551">
        <v>2040</v>
      </c>
      <c r="L1334" s="551">
        <v>2045</v>
      </c>
      <c r="M1334" s="551">
        <v>2050</v>
      </c>
    </row>
    <row r="1335" spans="4:15" ht="15" customHeight="1">
      <c r="E1335" s="1047" t="s">
        <v>887</v>
      </c>
      <c r="F1335" s="549">
        <v>0</v>
      </c>
      <c r="G1335" s="549">
        <v>0</v>
      </c>
      <c r="H1335" s="549">
        <v>0</v>
      </c>
      <c r="I1335" s="549">
        <v>0</v>
      </c>
      <c r="J1335" s="549">
        <v>0</v>
      </c>
      <c r="K1335" s="549">
        <v>0</v>
      </c>
      <c r="L1335" s="549">
        <v>0</v>
      </c>
      <c r="M1335" s="549">
        <v>0</v>
      </c>
    </row>
    <row r="1337" spans="4:15" ht="15" customHeight="1">
      <c r="D1337" s="3" t="s">
        <v>2334</v>
      </c>
      <c r="E1337" s="2" t="s">
        <v>494</v>
      </c>
      <c r="M1337" s="554" t="s">
        <v>11</v>
      </c>
    </row>
    <row r="1338" spans="4:15" ht="15" customHeight="1">
      <c r="E1338" s="550" t="s">
        <v>859</v>
      </c>
      <c r="F1338" s="551">
        <v>2018</v>
      </c>
      <c r="G1338" s="551">
        <v>2020</v>
      </c>
      <c r="H1338" s="551">
        <v>2025</v>
      </c>
      <c r="I1338" s="551">
        <v>2030</v>
      </c>
      <c r="J1338" s="551">
        <v>2035</v>
      </c>
      <c r="K1338" s="551">
        <v>2040</v>
      </c>
      <c r="L1338" s="551">
        <v>2045</v>
      </c>
      <c r="M1338" s="551">
        <v>2050</v>
      </c>
    </row>
    <row r="1339" spans="4:15" ht="15" customHeight="1">
      <c r="E1339" s="3" t="s">
        <v>2243</v>
      </c>
      <c r="F1339" s="955" cm="1">
        <f t="array" ref="F1339:M1339" xml:space="preserve"> ((_xlfn.ANCHORARRAY($F$1263) * INDEX(SF_TRANSPORTE_URBANO_PORCENTAJE_VEHICULOS_NUEVOS_VEHICULOS,1,0)) /
INDEX(SF_RENDIMIENTO_TRANSPORTE_URBANO_NUEVOS_VEHICULOS,1,0))
+(
(1- INDEX(SF_TRANSPORTE_URBANO_PORCENTAJE_VEHICULOS_NUEVOS_VEHICULOS,1,0))*_xlfn.ANCHORARRAY(
$F$1263) / INDEX(SF_TRANSPORTE_URBANO_EXISTENTES_RENDIMIENTO_MODO_TECNOLOGIA_VEHICULOS,1,0)
)</f>
        <v>260.25247390919054</v>
      </c>
      <c r="G1339" s="955">
        <v>270.41509694981028</v>
      </c>
      <c r="H1339" s="955">
        <v>238.98402228178367</v>
      </c>
      <c r="I1339" s="955">
        <v>220.2571242877361</v>
      </c>
      <c r="J1339" s="955">
        <v>218.74381020628454</v>
      </c>
      <c r="K1339" s="955">
        <v>222.50059941653848</v>
      </c>
      <c r="L1339" s="955">
        <v>227.83890826836534</v>
      </c>
      <c r="M1339" s="955">
        <v>233.30845216162658</v>
      </c>
    </row>
    <row r="1340" spans="4:15" ht="15" customHeight="1">
      <c r="E1340" s="3" t="s">
        <v>895</v>
      </c>
      <c r="F1340" s="955" cm="1">
        <f t="array" ref="F1340:M1340" xml:space="preserve"> ((_xlfn.ANCHORARRAY(F1273) * INDEX(SF_TRANSPORTE_URBANO_PORCENTAJE_VEHICULOS_NUEVOS_TAXIS,1,0)) /
INDEX(SF_RENDIMIENTO_TRANSPORTE_URBANO_NUEVOS_TAXI,1,0))
+(
(1- INDEX(SF_TRANSPORTE_URBANO_PORCENTAJE_VEHICULOS_NUEVOS_TAXIS,1,0))*_xlfn.ANCHORARRAY(
F1273) / INDEX(SF_TRANSPORTE_URBANO_EXISTENTES_RENDIMIENTO_MODO_TECNOLOGIA_TAXIS,1,0)
)</f>
        <v>785.83585369132129</v>
      </c>
      <c r="G1340" s="955">
        <v>853.10500424074655</v>
      </c>
      <c r="H1340" s="955">
        <v>953.18473463505029</v>
      </c>
      <c r="I1340" s="955">
        <v>732.90738229019325</v>
      </c>
      <c r="J1340" s="955">
        <v>715.51997652774401</v>
      </c>
      <c r="K1340" s="955">
        <v>744.41010416996846</v>
      </c>
      <c r="L1340" s="955">
        <v>775.57726128829859</v>
      </c>
      <c r="M1340" s="955">
        <v>807.26552716219749</v>
      </c>
    </row>
    <row r="1341" spans="4:15" ht="15" customHeight="1">
      <c r="E1341" s="3" t="s">
        <v>2335</v>
      </c>
      <c r="F1341" s="955" cm="1">
        <f t="array" ref="F1341:M1341">(_xlfn.ANCHORARRAY(F1283)/INDEX(SF_RENDIMIENTO_MODO_TECNOLOGIA_TRANSPORTE_URBANO_MOTOS,1,0))</f>
        <v>248.12012994952286</v>
      </c>
      <c r="G1341" s="955">
        <v>259.13459102651217</v>
      </c>
      <c r="H1341" s="955">
        <v>280.10076821938662</v>
      </c>
      <c r="I1341" s="955">
        <v>290.93875870550056</v>
      </c>
      <c r="J1341" s="955">
        <v>299.10666916171357</v>
      </c>
      <c r="K1341" s="955">
        <v>310.71438598918809</v>
      </c>
      <c r="L1341" s="955">
        <v>322.89152347165117</v>
      </c>
      <c r="M1341" s="955">
        <v>338.20445397354433</v>
      </c>
    </row>
    <row r="1342" spans="4:15" ht="15" customHeight="1">
      <c r="E1342" s="3" t="s">
        <v>2336</v>
      </c>
      <c r="F1342" s="955" cm="1">
        <f t="array" ref="F1342:M1342">_xlfn.ANCHORARRAY(F1284)/INDEX(SF_RENDIMIENTO_MODO_TECNOLOGIA_TRANSPORTE_URBANO_MOTOS,2,0)</f>
        <v>215.97081321625143</v>
      </c>
      <c r="G1342" s="955">
        <v>225.55811319235602</v>
      </c>
      <c r="H1342" s="955">
        <v>243.80766972492071</v>
      </c>
      <c r="I1342" s="955">
        <v>253.24136468305332</v>
      </c>
      <c r="J1342" s="955">
        <v>260.35094609373823</v>
      </c>
      <c r="K1342" s="955">
        <v>270.45463273667059</v>
      </c>
      <c r="L1342" s="955">
        <v>281.05395930186575</v>
      </c>
      <c r="M1342" s="955">
        <v>294.3827692371604</v>
      </c>
    </row>
    <row r="1343" spans="4:15" ht="15" customHeight="1">
      <c r="E1343" s="3" t="s">
        <v>899</v>
      </c>
      <c r="F1343" s="955" cm="1">
        <f t="array" ref="F1343:M1343" xml:space="preserve"> ((_xlfn.ANCHORARRAY(F1289) * INDEX(SF_TRANSPORTE_URBANO_PORCENTAJE_VEHICULOS_NUEVOS_BUSES,1,0)) /
INDEX(SF_RENDIMIENTO_TRANSPORTE_URBANO_NUEVOS_BUSES,1,0))
+(
(1- INDEX(SF_TRANSPORTE_URBANO_PORCENTAJE_VEHICULOS_NUEVOS_BUSES,1,0))*_xlfn.ANCHORARRAY(
F1289) / INDEX(SF_TRANSPORTE_URBANO_EXISTENTES_RENDIMIENTO_MODO_TECNOLOGIA_BUSES,1,0)
)</f>
        <v>1547.4440135679877</v>
      </c>
      <c r="G1343" s="955">
        <v>2168.7489579385083</v>
      </c>
      <c r="H1343" s="955">
        <v>2257.0158051947901</v>
      </c>
      <c r="I1343" s="955">
        <v>2225.0202289647723</v>
      </c>
      <c r="J1343" s="955">
        <v>2132.4052713411006</v>
      </c>
      <c r="K1343" s="955">
        <v>2022.7419432028323</v>
      </c>
      <c r="L1343" s="955">
        <v>1899.0579532385025</v>
      </c>
      <c r="M1343" s="955">
        <v>1766.686577852269</v>
      </c>
    </row>
    <row r="1344" spans="4:15" ht="15" customHeight="1">
      <c r="E1344" s="958" t="s">
        <v>900</v>
      </c>
      <c r="F1344" s="1044" cm="1">
        <f t="array" ref="F1344:M1344" xml:space="preserve"> ((_xlfn.ANCHORARRAY(F1299) * INDEX(SF_TRANSPORTE_URBANO_PORCENTAJE_VEHICULOS_NUEVOS_BUSESBRT,1,0)) /
INDEX(SF_RENDIMIENTO_TRANSPORTE_URBANO_NUEVOS_BUSES_BRT,1,0))
+(
(1- INDEX(SF_TRANSPORTE_URBANO_PORCENTAJE_VEHICULOS_NUEVOS_BUSESBRT,1,0))*_xlfn.ANCHORARRAY(
F1299) / INDEX(SF_TRANSPORTE_URBANO_EXISTENTES_RENDIMIENTO_MODO_TECNOLOGIA_BUSESBRT,1,0)
)</f>
        <v>27.119950535229659</v>
      </c>
      <c r="G1344" s="1044">
        <v>18.074322243050389</v>
      </c>
      <c r="H1344" s="1044">
        <v>22.688296872618288</v>
      </c>
      <c r="I1344" s="1044">
        <v>26.260665251155945</v>
      </c>
      <c r="J1344" s="1044">
        <v>24.813577012370818</v>
      </c>
      <c r="K1344" s="1044">
        <v>23.341122725811861</v>
      </c>
      <c r="L1344" s="1044">
        <v>21.778397468966975</v>
      </c>
      <c r="M1344" s="1044">
        <v>20.154540424355861</v>
      </c>
    </row>
    <row r="1345" spans="4:13" ht="15" customHeight="1">
      <c r="E1345" s="551" t="s">
        <v>1683</v>
      </c>
      <c r="F1345" s="555">
        <f t="shared" ref="F1345:M1345" si="92">SUM(F1339:F1344)</f>
        <v>3084.7432348695033</v>
      </c>
      <c r="G1345" s="555">
        <f t="shared" si="92"/>
        <v>3795.0360855909839</v>
      </c>
      <c r="H1345" s="555">
        <f t="shared" si="92"/>
        <v>3995.7812969285496</v>
      </c>
      <c r="I1345" s="555">
        <f t="shared" si="92"/>
        <v>3748.625524182411</v>
      </c>
      <c r="J1345" s="555">
        <f t="shared" si="92"/>
        <v>3650.9402503429519</v>
      </c>
      <c r="K1345" s="555">
        <f t="shared" si="92"/>
        <v>3594.1627882410103</v>
      </c>
      <c r="L1345" s="555">
        <f t="shared" si="92"/>
        <v>3528.1980030376503</v>
      </c>
      <c r="M1345" s="555">
        <f t="shared" si="92"/>
        <v>3460.0023208111534</v>
      </c>
    </row>
    <row r="1347" spans="4:13" ht="15" customHeight="1">
      <c r="D1347" s="3" t="s">
        <v>2334</v>
      </c>
      <c r="E1347" s="2" t="s">
        <v>495</v>
      </c>
      <c r="M1347" s="554" t="s">
        <v>11</v>
      </c>
    </row>
    <row r="1348" spans="4:13" ht="15" customHeight="1">
      <c r="E1348" s="550" t="s">
        <v>859</v>
      </c>
      <c r="F1348" s="551">
        <v>2018</v>
      </c>
      <c r="G1348" s="551">
        <v>2020</v>
      </c>
      <c r="H1348" s="551">
        <v>2025</v>
      </c>
      <c r="I1348" s="551">
        <v>2030</v>
      </c>
      <c r="J1348" s="551">
        <v>2035</v>
      </c>
      <c r="K1348" s="551">
        <v>2040</v>
      </c>
      <c r="L1348" s="551">
        <v>2045</v>
      </c>
      <c r="M1348" s="551">
        <v>2050</v>
      </c>
    </row>
    <row r="1349" spans="4:13" ht="15" customHeight="1">
      <c r="E1349" s="3" t="s">
        <v>2243</v>
      </c>
      <c r="F1349" s="955" cm="1">
        <f t="array" ref="F1349:M1349" xml:space="preserve"> ((_xlfn.ANCHORARRAY(F1264) * INDEX(SF_TRANSPORTE_URBANO_PORCENTAJE_VEHICULOS_NUEVOS_VEHICULOS,2,0)) /
INDEX(SF_RENDIMIENTO_TRANSPORTE_URBANO_NUEVOS_VEHICULOS,2,0))
+(
(1- INDEX(SF_TRANSPORTE_URBANO_PORCENTAJE_VEHICULOS_NUEVOS_VEHICULOS,2,0))*_xlfn.ANCHORARRAY(
F1264) / INDEX(SF_TRANSPORTE_URBANO_EXISTENTES_RENDIMIENTO_MODO_TECNOLOGIA_VEHICULOS,2,0)
)</f>
        <v>5.2852019108498967</v>
      </c>
      <c r="G1349" s="955">
        <v>6.57007797492329</v>
      </c>
      <c r="H1349" s="955">
        <v>7.2120426137047549</v>
      </c>
      <c r="I1349" s="955">
        <v>7.5628558532478873</v>
      </c>
      <c r="J1349" s="955">
        <v>7.7766725620781649</v>
      </c>
      <c r="K1349" s="955">
        <v>7.9830567965273183</v>
      </c>
      <c r="L1349" s="955">
        <v>8.1816782611178152</v>
      </c>
      <c r="M1349" s="955">
        <v>8.3786081919799642</v>
      </c>
    </row>
    <row r="1350" spans="4:13" ht="15" customHeight="1">
      <c r="E1350" s="3" t="s">
        <v>895</v>
      </c>
      <c r="F1350" s="955" cm="1">
        <f t="array" ref="F1350:M1350" xml:space="preserve"> ((_xlfn.ANCHORARRAY(F1274) * INDEX(SF_TRANSPORTE_URBANO_PORCENTAJE_VEHICULOS_NUEVOS_TAXIS,2,0)) /
INDEX(SF_RENDIMIENTO_TRANSPORTE_URBANO_NUEVOS_TAXI,2,0))
+(
(1- INDEX(SF_TRANSPORTE_URBANO_PORCENTAJE_VEHICULOS_NUEVOS_TAXIS,2,0))*_xlfn.ANCHORARRAY(
F1274) / INDEX(SF_TRANSPORTE_URBANO_EXISTENTES_RENDIMIENTO_MODO_TECNOLOGIA_TAXIS,2,0)
)</f>
        <v>0.63514013850482898</v>
      </c>
      <c r="G1350" s="955">
        <v>0.69008974827117353</v>
      </c>
      <c r="H1350" s="955">
        <v>0.77104578019167336</v>
      </c>
      <c r="I1350" s="955">
        <v>0.82273664485889086</v>
      </c>
      <c r="J1350" s="955">
        <v>0.86058317247112359</v>
      </c>
      <c r="K1350" s="955">
        <v>0.89839534784663644</v>
      </c>
      <c r="L1350" s="955">
        <v>0.93609355905786107</v>
      </c>
      <c r="M1350" s="955">
        <v>0.97434014397320101</v>
      </c>
    </row>
    <row r="1351" spans="4:13" ht="15" customHeight="1">
      <c r="E1351" s="3" t="s">
        <v>2335</v>
      </c>
      <c r="F1351" s="955" cm="1">
        <f t="array" ref="F1351:M1351">_xlfn.ANCHORARRAY(F1293)/INDEX(SF_RENDIMIENTO_MODO_TECNOLOGIA_TRANSPORTE_URBANO_MOTOS,1,0)</f>
        <v>0</v>
      </c>
      <c r="G1351" s="955">
        <v>0</v>
      </c>
      <c r="H1351" s="955">
        <v>0</v>
      </c>
      <c r="I1351" s="955">
        <v>0</v>
      </c>
      <c r="J1351" s="955">
        <v>0</v>
      </c>
      <c r="K1351" s="955">
        <v>0</v>
      </c>
      <c r="L1351" s="955">
        <v>0</v>
      </c>
      <c r="M1351" s="955">
        <v>0</v>
      </c>
    </row>
    <row r="1352" spans="4:13" ht="15" customHeight="1">
      <c r="E1352" s="3" t="s">
        <v>2336</v>
      </c>
      <c r="F1352" s="955" cm="1">
        <f t="array" ref="F1352:M1352">_xlfn.ANCHORARRAY(F1294)/INDEX(SF_RENDIMIENTO_MODO_TECNOLOGIA_TRANSPORTE_URBANO_MOTOS,2,0)</f>
        <v>0.9087394319812786</v>
      </c>
      <c r="G1352" s="955">
        <v>4.7127167851563732</v>
      </c>
      <c r="H1352" s="955">
        <v>25.248165678043868</v>
      </c>
      <c r="I1352" s="955">
        <v>117.11359155097703</v>
      </c>
      <c r="J1352" s="955">
        <v>203.39097886523223</v>
      </c>
      <c r="K1352" s="955">
        <v>255.97634433052937</v>
      </c>
      <c r="L1352" s="955">
        <v>281.47872770044347</v>
      </c>
      <c r="M1352" s="955">
        <v>296.60778957334639</v>
      </c>
    </row>
    <row r="1353" spans="4:13" ht="15" customHeight="1">
      <c r="E1353" s="3" t="s">
        <v>899</v>
      </c>
      <c r="F1353" s="955" cm="1">
        <f t="array" ref="F1353:M1353" xml:space="preserve"> ((_xlfn.ANCHORARRAY(F1290) * INDEX(SF_TRANSPORTE_URBANO_PORCENTAJE_VEHICULOS_NUEVOS_BUSES,2,0)) /
INDEX(SF_RENDIMIENTO_TRANSPORTE_URBANO_NUEVOS_BUSES,2,0))
+(
(1- INDEX(SF_TRANSPORTE_URBANO_PORCENTAJE_VEHICULOS_NUEVOS_BUSES,2,0))*_xlfn.ANCHORARRAY(
F1290) / INDEX(SF_TRANSPORTE_URBANO_EXISTENTES_RENDIMIENTO_MODO_TECNOLOGIA_BUSES,2,0)
)</f>
        <v>8818.7337665234882</v>
      </c>
      <c r="G1353" s="955">
        <v>8538.6732800377977</v>
      </c>
      <c r="H1353" s="955">
        <v>8798.1264532422592</v>
      </c>
      <c r="I1353" s="955">
        <v>7329.8446888207882</v>
      </c>
      <c r="J1353" s="955">
        <v>5691.5694898274114</v>
      </c>
      <c r="K1353" s="955">
        <v>4578.4752189358906</v>
      </c>
      <c r="L1353" s="955">
        <v>3933.9348199839451</v>
      </c>
      <c r="M1353" s="955">
        <v>3527.4308776712778</v>
      </c>
    </row>
    <row r="1354" spans="4:13" ht="15" customHeight="1">
      <c r="E1354" s="958" t="s">
        <v>900</v>
      </c>
      <c r="F1354" s="1044" cm="1">
        <f t="array" ref="F1354:M1354" xml:space="preserve"> ((_xlfn.ANCHORARRAY(F1300) * INDEX(SF_TRANSPORTE_URBANO_PORCENTAJE_VEHICULOS_NUEVOS_BUSESBRT,2,0)) /
INDEX(SF_RENDIMIENTO_TRANSPORTE_URBANO_NUEVOS_BUSES_BRT,2,0))
+(_xlfn.ANCHORARRAY(F1300)*
(1- INDEX(SF_TRANSPORTE_URBANO_PORCENTAJE_VEHICULOS_NUEVOS_BUSESBRT,2,0))
 / INDEX(SF_TRANSPORTE_URBANO_EXISTENTES_RENDIMIENTO_MODO_TECNOLOGIA_BUSESBRT,2,0)
)</f>
        <v>139.03005028905164</v>
      </c>
      <c r="G1354" s="1044">
        <v>154.70318821230259</v>
      </c>
      <c r="H1354" s="1044">
        <v>161.97792261228452</v>
      </c>
      <c r="I1354" s="1044">
        <v>134.27867872194054</v>
      </c>
      <c r="J1354" s="1044">
        <v>93.105439258094592</v>
      </c>
      <c r="K1354" s="1044">
        <v>58.878735287985833</v>
      </c>
      <c r="L1354" s="1044">
        <v>49.17440939825552</v>
      </c>
      <c r="M1354" s="1044">
        <v>50.238630181072793</v>
      </c>
    </row>
    <row r="1355" spans="4:13" ht="15" customHeight="1">
      <c r="E1355" s="551" t="s">
        <v>2337</v>
      </c>
      <c r="F1355" s="555">
        <f>SUM(F1349:F1354)</f>
        <v>8964.5928982938749</v>
      </c>
      <c r="G1355" s="555">
        <f t="shared" ref="G1355:M1355" si="93">SUM(G1349:G1354)</f>
        <v>8705.3493527584506</v>
      </c>
      <c r="H1355" s="555">
        <f t="shared" si="93"/>
        <v>8993.3356299264833</v>
      </c>
      <c r="I1355" s="555">
        <f t="shared" si="93"/>
        <v>7589.6225515918122</v>
      </c>
      <c r="J1355" s="555">
        <f t="shared" si="93"/>
        <v>5996.7031636852871</v>
      </c>
      <c r="K1355" s="555">
        <f t="shared" si="93"/>
        <v>4902.2117506987797</v>
      </c>
      <c r="L1355" s="555">
        <f t="shared" si="93"/>
        <v>4273.7057289028198</v>
      </c>
      <c r="M1355" s="555">
        <f t="shared" si="93"/>
        <v>3883.6302457616503</v>
      </c>
    </row>
    <row r="1357" spans="4:13" ht="15" customHeight="1">
      <c r="D1357" s="3" t="s">
        <v>2338</v>
      </c>
      <c r="E1357" s="2" t="s">
        <v>601</v>
      </c>
      <c r="M1357" s="554" t="s">
        <v>11</v>
      </c>
    </row>
    <row r="1358" spans="4:13" ht="15" customHeight="1">
      <c r="E1358" s="550" t="s">
        <v>859</v>
      </c>
      <c r="F1358" s="551">
        <v>2018</v>
      </c>
      <c r="G1358" s="551">
        <v>2020</v>
      </c>
      <c r="H1358" s="551">
        <v>2025</v>
      </c>
      <c r="I1358" s="551">
        <v>2030</v>
      </c>
      <c r="J1358" s="551">
        <v>2035</v>
      </c>
      <c r="K1358" s="551">
        <v>2040</v>
      </c>
      <c r="L1358" s="551">
        <v>2045</v>
      </c>
      <c r="M1358" s="551">
        <v>2050</v>
      </c>
    </row>
    <row r="1359" spans="4:13" ht="15" customHeight="1">
      <c r="E1359" s="3" t="s">
        <v>894</v>
      </c>
      <c r="F1359" s="955" cm="1">
        <f t="array" ref="F1359:M1359">INDEX(SF_RENDIMIENTO_TRANSPORTE_URBANO_ELECTRICOS_VEHICULOS,2,0)*_xlfn.ANCHORARRAY($F$1268)</f>
        <v>1.3034752899851424E-5</v>
      </c>
      <c r="G1359" s="955">
        <v>1.8720507737038895E-4</v>
      </c>
      <c r="H1359" s="955">
        <v>1.9983903832700859E-3</v>
      </c>
      <c r="I1359" s="955">
        <v>3.0361046369799427E-3</v>
      </c>
      <c r="J1359" s="955">
        <v>3.3619226807772794E-3</v>
      </c>
      <c r="K1359" s="955">
        <v>3.5146257067377334E-3</v>
      </c>
      <c r="L1359" s="955">
        <v>3.6081942876432533E-3</v>
      </c>
      <c r="M1359" s="955">
        <v>3.6954900835514779E-3</v>
      </c>
    </row>
    <row r="1360" spans="4:13" ht="15" customHeight="1">
      <c r="E1360" s="3" t="s">
        <v>2339</v>
      </c>
      <c r="F1360" s="955" cm="1">
        <f t="array" ref="F1360:M1360">INDEX(SF_RENDIMIENTO_TRANSPORTE_URBANO_ELECTRICOS_TAXIS,2,0)*_xlfn.ANCHORARRAY($F$1278)</f>
        <v>0</v>
      </c>
      <c r="G1360" s="955">
        <v>7.6004503177528967E-5</v>
      </c>
      <c r="H1360" s="955">
        <v>8.4920768055766102E-5</v>
      </c>
      <c r="I1360" s="955">
        <v>2.9818353399601392E-2</v>
      </c>
      <c r="J1360" s="955">
        <v>3.6535734707779079E-2</v>
      </c>
      <c r="K1360" s="955">
        <v>3.8407610389542997E-2</v>
      </c>
      <c r="L1360" s="955">
        <v>4.0026537214051132E-2</v>
      </c>
      <c r="M1360" s="955">
        <v>4.1661927544014515E-2</v>
      </c>
    </row>
    <row r="1361" spans="4:13" ht="15" customHeight="1">
      <c r="E1361" s="3" t="s">
        <v>2340</v>
      </c>
      <c r="F1361" s="955" cm="1">
        <f t="array" ref="F1361:M1361">INDEX(SF_RENDIMIENTO_TRANSPORTE_URBANO_ELECTRICOS_MOTOS,1,0)*_xlfn.ANCHORARRAY($F$1285)</f>
        <v>0</v>
      </c>
      <c r="G1361" s="955">
        <v>0</v>
      </c>
      <c r="H1361" s="955">
        <v>0</v>
      </c>
      <c r="I1361" s="955">
        <v>0</v>
      </c>
      <c r="J1361" s="955">
        <v>0</v>
      </c>
      <c r="K1361" s="955">
        <v>0</v>
      </c>
      <c r="L1361" s="955">
        <v>0</v>
      </c>
      <c r="M1361" s="955">
        <v>0</v>
      </c>
    </row>
    <row r="1362" spans="4:13" ht="15" customHeight="1">
      <c r="E1362" s="3" t="s">
        <v>2341</v>
      </c>
      <c r="F1362" s="955" cm="1">
        <f t="array" ref="F1362:M1362">INDEX(SF_RENDIMIENTO_TRANSPORTE_URBANO_ELECTRICOS_BUSES,2,0)*_xlfn.ANCHORARRAY($F$1294)</f>
        <v>1.3563125513358174E-3</v>
      </c>
      <c r="G1362" s="552">
        <v>7.0338280717747656E-3</v>
      </c>
      <c r="H1362" s="552">
        <v>3.7683413751151702E-2</v>
      </c>
      <c r="I1362" s="552">
        <v>0.17479447745135254</v>
      </c>
      <c r="J1362" s="552">
        <v>0.30356527708052145</v>
      </c>
      <c r="K1362" s="552">
        <v>0.38205003155151801</v>
      </c>
      <c r="L1362" s="552">
        <v>0.42011287050875268</v>
      </c>
      <c r="M1362" s="552">
        <v>0.44269331082640923</v>
      </c>
    </row>
    <row r="1363" spans="4:13" ht="15" customHeight="1">
      <c r="E1363" s="3" t="s">
        <v>2342</v>
      </c>
      <c r="F1363" s="955" cm="1">
        <f t="array" ref="F1363:M1363">INDEX(SF_RENDIMIENTO_TRANSPORTE_URBANO_ELECTRICOS_BUSES_BRT,2,0)*_xlfn.ANCHORARRAY($F$1304)</f>
        <v>0</v>
      </c>
      <c r="G1363" s="552">
        <v>1.5858811710388617E-4</v>
      </c>
      <c r="H1363" s="552">
        <v>8.4129930484601594E-4</v>
      </c>
      <c r="I1363" s="552">
        <v>3.784103362606068E-3</v>
      </c>
      <c r="J1363" s="552">
        <v>6.4748038635437507E-3</v>
      </c>
      <c r="K1363" s="552">
        <v>8.0746563087458912E-3</v>
      </c>
      <c r="L1363" s="552">
        <v>8.8314436501692826E-3</v>
      </c>
      <c r="M1363" s="552">
        <v>9.3044758725544102E-3</v>
      </c>
    </row>
    <row r="1364" spans="4:13" ht="15" customHeight="1">
      <c r="E1364" s="3" t="s">
        <v>2343</v>
      </c>
      <c r="F1364" s="955" cm="1">
        <f t="array" ref="F1364:M1364">INDEX(SF_RENDIMIENTO_TRANSPORTE_URBANO_ELECTRICOS_FERREO,1,0)*_xlfn.ANCHORARRAY($F$1310)</f>
        <v>0</v>
      </c>
      <c r="G1364" s="552">
        <v>0</v>
      </c>
      <c r="H1364" s="552">
        <v>0</v>
      </c>
      <c r="I1364" s="552">
        <v>0</v>
      </c>
      <c r="J1364" s="552">
        <v>0</v>
      </c>
      <c r="K1364" s="552">
        <v>0</v>
      </c>
      <c r="L1364" s="552">
        <v>0</v>
      </c>
      <c r="M1364" s="552">
        <v>0</v>
      </c>
    </row>
    <row r="1365" spans="4:13" ht="15" customHeight="1">
      <c r="E1365" s="3" t="s">
        <v>2250</v>
      </c>
      <c r="F1365" s="955" cm="1">
        <f t="array" ref="F1365:M1365">INDEX(SF_RENDIMIENTO_TRANSPORTE_URBANO_ELECTRICOS_VEHICULOS,1,0)*_xlfn.ANCHORARRAY($F$1265)</f>
        <v>0</v>
      </c>
      <c r="G1365" s="552">
        <v>0</v>
      </c>
      <c r="H1365" s="552">
        <v>0</v>
      </c>
      <c r="I1365" s="552">
        <v>0</v>
      </c>
      <c r="J1365" s="552">
        <v>0</v>
      </c>
      <c r="K1365" s="552">
        <v>0</v>
      </c>
      <c r="L1365" s="552">
        <v>0</v>
      </c>
      <c r="M1365" s="552">
        <v>0</v>
      </c>
    </row>
    <row r="1366" spans="4:13" ht="15" customHeight="1">
      <c r="E1366" s="3" t="s">
        <v>2344</v>
      </c>
      <c r="F1366" s="955" cm="1">
        <f t="array" ref="F1366:M1366">INDEX(SF_RENDIMIENTO_TRANSPORTE_URBANO_ELECTRICOS_TAXIS,1,0)*_xlfn.ANCHORARRAY($F$1275)</f>
        <v>0</v>
      </c>
      <c r="G1366" s="552">
        <v>0</v>
      </c>
      <c r="H1366" s="552">
        <v>0</v>
      </c>
      <c r="I1366" s="552">
        <v>0</v>
      </c>
      <c r="J1366" s="552">
        <v>0</v>
      </c>
      <c r="K1366" s="552">
        <v>0</v>
      </c>
      <c r="L1366" s="552">
        <v>0</v>
      </c>
      <c r="M1366" s="552">
        <v>0</v>
      </c>
    </row>
    <row r="1367" spans="4:13" ht="15" customHeight="1">
      <c r="E1367" s="3" t="s">
        <v>2345</v>
      </c>
      <c r="F1367" s="955" cm="1">
        <f t="array" ref="F1367:M1367">INDEX(SF_RENDIMIENTO_TRANSPORTE_URBANO_ELECTRICOS_BUSES,1,0)*_xlfn.ANCHORARRAY($F$1291)</f>
        <v>0</v>
      </c>
      <c r="G1367" s="552">
        <v>0</v>
      </c>
      <c r="H1367" s="552">
        <v>0</v>
      </c>
      <c r="I1367" s="552">
        <v>0</v>
      </c>
      <c r="J1367" s="552">
        <v>0</v>
      </c>
      <c r="K1367" s="552">
        <v>0</v>
      </c>
      <c r="L1367" s="552">
        <v>0</v>
      </c>
      <c r="M1367" s="552">
        <v>0</v>
      </c>
    </row>
    <row r="1368" spans="4:13" ht="15" customHeight="1">
      <c r="E1368" s="958" t="s">
        <v>2346</v>
      </c>
      <c r="F1368" s="1044" cm="1">
        <f t="array" ref="F1368:M1368">INDEX(SF_RENDIMIENTO_TRANSPORTE_URBANO_ELECTRICOS_BUSES_BRT,1,0)*_xlfn.ANCHORARRAY($F$1301)</f>
        <v>0</v>
      </c>
      <c r="G1368" s="1079">
        <v>0</v>
      </c>
      <c r="H1368" s="1079">
        <v>0</v>
      </c>
      <c r="I1368" s="1079">
        <v>0</v>
      </c>
      <c r="J1368" s="1079">
        <v>0</v>
      </c>
      <c r="K1368" s="1079">
        <v>0</v>
      </c>
      <c r="L1368" s="1079">
        <v>0</v>
      </c>
      <c r="M1368" s="1079">
        <v>0</v>
      </c>
    </row>
    <row r="1369" spans="4:13" ht="15" customHeight="1">
      <c r="E1369" s="551" t="s">
        <v>2347</v>
      </c>
      <c r="F1369" s="555">
        <f t="shared" ref="F1369:M1369" si="94">SUM(F1359:F1368)</f>
        <v>1.3693473042356689E-3</v>
      </c>
      <c r="G1369" s="555">
        <f t="shared" si="94"/>
        <v>7.4556257694265698E-3</v>
      </c>
      <c r="H1369" s="555">
        <f t="shared" si="94"/>
        <v>4.0608024207323568E-2</v>
      </c>
      <c r="I1369" s="555">
        <f t="shared" si="94"/>
        <v>0.21143303885053996</v>
      </c>
      <c r="J1369" s="555">
        <f t="shared" si="94"/>
        <v>0.3499377383326216</v>
      </c>
      <c r="K1369" s="555">
        <f t="shared" si="94"/>
        <v>0.43204692395654459</v>
      </c>
      <c r="L1369" s="555">
        <f t="shared" si="94"/>
        <v>0.47257904566061637</v>
      </c>
      <c r="M1369" s="555">
        <f t="shared" si="94"/>
        <v>0.49735520432652963</v>
      </c>
    </row>
    <row r="1371" spans="4:13" ht="15" customHeight="1">
      <c r="D1371" s="3" t="s">
        <v>2348</v>
      </c>
      <c r="E1371" s="3" t="s">
        <v>590</v>
      </c>
      <c r="M1371" s="554" t="s">
        <v>11</v>
      </c>
    </row>
    <row r="1372" spans="4:13" ht="15" customHeight="1">
      <c r="E1372" s="550" t="s">
        <v>859</v>
      </c>
      <c r="F1372" s="551">
        <v>2018</v>
      </c>
      <c r="G1372" s="551">
        <v>2020</v>
      </c>
      <c r="H1372" s="551">
        <v>2025</v>
      </c>
      <c r="I1372" s="551">
        <v>2030</v>
      </c>
      <c r="J1372" s="551">
        <v>2035</v>
      </c>
      <c r="K1372" s="551">
        <v>2040</v>
      </c>
      <c r="L1372" s="551">
        <v>2045</v>
      </c>
      <c r="M1372" s="551">
        <v>2050</v>
      </c>
    </row>
    <row r="1373" spans="4:13" ht="15" customHeight="1">
      <c r="E1373" s="3" t="s">
        <v>2243</v>
      </c>
      <c r="F1373" s="955" cm="1">
        <f t="array" ref="F1373:M1373">_xlfn.ANCHORARRAY($F$1266)/INDEX(SF_RENDIMIENTO_TRANSPORTE_URBANO_GAS_NATURAL,1,0)</f>
        <v>3.8016258105096247E-4</v>
      </c>
      <c r="G1373" s="955">
        <v>8.0925253896776049E-6</v>
      </c>
      <c r="H1373" s="955">
        <v>8.8832489029209718E-6</v>
      </c>
      <c r="I1373" s="955">
        <v>9.3153541319416376E-6</v>
      </c>
      <c r="J1373" s="955">
        <v>9.5787173905742748E-6</v>
      </c>
      <c r="K1373" s="955">
        <v>9.8329258891162516E-6</v>
      </c>
      <c r="L1373" s="955">
        <v>1.0077572794566763E-5</v>
      </c>
      <c r="M1373" s="955">
        <v>1.0320136196640847E-5</v>
      </c>
    </row>
    <row r="1374" spans="4:13" ht="15" customHeight="1">
      <c r="E1374" s="3" t="s">
        <v>895</v>
      </c>
      <c r="F1374" s="955" cm="1">
        <f t="array" ref="F1374:M1374">_xlfn.ANCHORARRAY($F$1276)/INDEX(SF_RENDIMIENTO_TRANSPORTE_URBANO_GAS_NATURAL,2,0)</f>
        <v>6.1814317530484074E-2</v>
      </c>
      <c r="G1374" s="955">
        <v>6.7162228047160058E-2</v>
      </c>
      <c r="H1374" s="955">
        <v>7.5041185083196502E-2</v>
      </c>
      <c r="I1374" s="955">
        <v>8.0071941806408017E-2</v>
      </c>
      <c r="J1374" s="955">
        <v>8.3755313606458409E-2</v>
      </c>
      <c r="K1374" s="955">
        <v>8.7435342112738262E-2</v>
      </c>
      <c r="L1374" s="955">
        <v>9.110427918169374E-2</v>
      </c>
      <c r="M1374" s="955">
        <v>9.4826586120094675E-2</v>
      </c>
    </row>
    <row r="1375" spans="4:13" ht="15" customHeight="1">
      <c r="E1375" s="3" t="s">
        <v>899</v>
      </c>
      <c r="F1375" s="955" cm="1">
        <f t="array" ref="F1375:M1375">_xlfn.ANCHORARRAY($F$1292)/INDEX(SF_RENDIMIENTO_TRANSPORTE_URBANO_GAS_NATURAL,3,0)</f>
        <v>1.2634597836976236</v>
      </c>
      <c r="G1375" s="955">
        <v>2.1929598945514623</v>
      </c>
      <c r="H1375" s="955">
        <v>3.2640966667500577</v>
      </c>
      <c r="I1375" s="955">
        <v>4.4882789401134993</v>
      </c>
      <c r="J1375" s="955">
        <v>5.8288879539208143</v>
      </c>
      <c r="K1375" s="955">
        <v>7.2692062091162812</v>
      </c>
      <c r="L1375" s="955">
        <v>8.7181104650498913</v>
      </c>
      <c r="M1375" s="955">
        <v>10.102774425406562</v>
      </c>
    </row>
    <row r="1376" spans="4:13" ht="15" customHeight="1">
      <c r="E1376" s="958" t="s">
        <v>900</v>
      </c>
      <c r="F1376" s="1044" cm="1">
        <f t="array" ref="F1376:M1376">_xlfn.ANCHORARRAY($F$1303)/INDEX(SF_RENDIMIENTO_TRANSPORTE_URBANO_GAS_NATURAL,4,0)</f>
        <v>0</v>
      </c>
      <c r="G1376" s="1079">
        <v>0</v>
      </c>
      <c r="H1376" s="1079">
        <v>0</v>
      </c>
      <c r="I1376" s="1079">
        <v>0</v>
      </c>
      <c r="J1376" s="1079">
        <v>0</v>
      </c>
      <c r="K1376" s="1079">
        <v>0</v>
      </c>
      <c r="L1376" s="1079">
        <v>0</v>
      </c>
      <c r="M1376" s="1079">
        <v>0</v>
      </c>
    </row>
    <row r="1377" spans="4:16" ht="15" customHeight="1">
      <c r="E1377" s="551" t="s">
        <v>2349</v>
      </c>
      <c r="F1377" s="555">
        <f t="shared" ref="F1377:M1377" si="95">SUM(F1373:F1376)</f>
        <v>1.3256542638091586</v>
      </c>
      <c r="G1377" s="555">
        <f t="shared" si="95"/>
        <v>2.2601302151240121</v>
      </c>
      <c r="H1377" s="555">
        <f t="shared" si="95"/>
        <v>3.3391467350821573</v>
      </c>
      <c r="I1377" s="555">
        <f t="shared" si="95"/>
        <v>4.5683601972740391</v>
      </c>
      <c r="J1377" s="555">
        <f t="shared" si="95"/>
        <v>5.9126528462446633</v>
      </c>
      <c r="K1377" s="555">
        <f t="shared" si="95"/>
        <v>7.356651384154909</v>
      </c>
      <c r="L1377" s="555">
        <f t="shared" si="95"/>
        <v>8.8092248218043796</v>
      </c>
      <c r="M1377" s="555">
        <f t="shared" si="95"/>
        <v>10.197611331662854</v>
      </c>
    </row>
    <row r="1379" spans="4:16" ht="15" customHeight="1">
      <c r="D1379" s="2">
        <v>4</v>
      </c>
      <c r="E1379" s="2" t="s">
        <v>2350</v>
      </c>
    </row>
    <row r="1380" spans="4:16" ht="15" customHeight="1">
      <c r="D1380" s="2"/>
      <c r="E1380" s="2"/>
    </row>
    <row r="1381" spans="4:16" ht="15" customHeight="1">
      <c r="D1381" s="2" t="s">
        <v>2351</v>
      </c>
      <c r="E1381" s="2" t="s">
        <v>2352</v>
      </c>
    </row>
    <row r="1382" spans="4:16" ht="15" customHeight="1">
      <c r="E1382" s="2" t="s">
        <v>2329</v>
      </c>
    </row>
    <row r="1383" spans="4:16" ht="15" customHeight="1">
      <c r="E1383" s="517"/>
      <c r="F1383" s="517"/>
      <c r="G1383" s="517"/>
      <c r="H1383" s="517"/>
      <c r="I1383" s="517"/>
      <c r="J1383" s="517"/>
      <c r="K1383" s="517"/>
      <c r="L1383" s="517"/>
      <c r="M1383" s="517"/>
      <c r="N1383" s="517"/>
    </row>
    <row r="1384" spans="4:16" ht="15" customHeight="1">
      <c r="E1384" s="609" t="s">
        <v>494</v>
      </c>
      <c r="F1384" s="415"/>
      <c r="G1384" s="415"/>
      <c r="H1384" s="415"/>
      <c r="I1384" s="415"/>
      <c r="J1384" s="415"/>
      <c r="K1384" s="415"/>
      <c r="L1384" s="415"/>
      <c r="M1384" s="554" t="s">
        <v>11</v>
      </c>
      <c r="N1384" s="517"/>
    </row>
    <row r="1385" spans="4:16" ht="15" customHeight="1">
      <c r="E1385" s="1315" t="s">
        <v>859</v>
      </c>
      <c r="F1385" s="1086">
        <v>2018</v>
      </c>
      <c r="G1385" s="1086">
        <v>2020</v>
      </c>
      <c r="H1385" s="1086">
        <v>2025</v>
      </c>
      <c r="I1385" s="1086">
        <v>2030</v>
      </c>
      <c r="J1385" s="1086">
        <v>2035</v>
      </c>
      <c r="K1385" s="1086">
        <v>2040</v>
      </c>
      <c r="L1385" s="1086">
        <v>2045</v>
      </c>
      <c r="M1385" s="1086">
        <v>2050</v>
      </c>
      <c r="N1385" s="517"/>
    </row>
    <row r="1386" spans="4:16" ht="15" customHeight="1">
      <c r="E1386" s="1316" t="s">
        <v>899</v>
      </c>
      <c r="F1386" s="1323" cm="1">
        <f t="array" ref="F1386:M1386">((_xlfn.ANCHORARRAY($F$1318)*INDEX(SF_PORCENTAJE_VEHICULOS_NUEVOS_TRANSPORTE_INTERURBANO_HIDROCARBUROS_LIQUIDOS,1,0))/INDEX(SF_TRANSPORTE_INTERURBANO_NUEVOS_RENDIMIENTO_MODO_TECNOLOGIA,1,0))+
((1-INDEX(SF_PORCENTAJE_VEHICULOS_NUEVOS_TRANSPORTE_INTERURBANO_HIDROCARBUROS_LIQUIDOS,1,0))*
(_xlfn.ANCHORARRAY($F$1318)/INDEX(SF_TRANSPORTE_INTERURBANO_EXISTENTES_RENDIMIENTO_MODO_TECNOLOGIA,1,0))
)</f>
        <v>1694.2474050448263</v>
      </c>
      <c r="G1386" s="1323">
        <v>1998.0257728038177</v>
      </c>
      <c r="H1386" s="1323">
        <v>2430.1957009369221</v>
      </c>
      <c r="I1386" s="1323">
        <v>2823.7887106991225</v>
      </c>
      <c r="J1386" s="1323">
        <v>3217.4589343154257</v>
      </c>
      <c r="K1386" s="1323">
        <v>3659.9005094547238</v>
      </c>
      <c r="L1386" s="1323">
        <v>3960.5408722498664</v>
      </c>
      <c r="M1386" s="1323">
        <v>4348.9017538848111</v>
      </c>
      <c r="N1386" s="517"/>
    </row>
    <row r="1387" spans="4:16" ht="15" customHeight="1">
      <c r="E1387" s="415"/>
      <c r="F1387" s="1317"/>
      <c r="G1387" s="1317"/>
      <c r="H1387" s="1317"/>
      <c r="I1387" s="1317"/>
      <c r="J1387" s="1317"/>
      <c r="K1387" s="1317"/>
      <c r="L1387" s="1317"/>
      <c r="M1387" s="1317"/>
      <c r="N1387" s="517"/>
    </row>
    <row r="1388" spans="4:16" ht="15" customHeight="1">
      <c r="E1388" s="609" t="s">
        <v>495</v>
      </c>
      <c r="F1388" s="415"/>
      <c r="G1388" s="415"/>
      <c r="H1388" s="415"/>
      <c r="I1388" s="415"/>
      <c r="J1388" s="415"/>
      <c r="K1388" s="415"/>
      <c r="L1388" s="415"/>
      <c r="M1388" s="554" t="s">
        <v>11</v>
      </c>
      <c r="N1388" s="517"/>
    </row>
    <row r="1389" spans="4:16" ht="15" customHeight="1">
      <c r="E1389" s="1315" t="s">
        <v>859</v>
      </c>
      <c r="F1389" s="1318">
        <v>2018</v>
      </c>
      <c r="G1389" s="1318">
        <v>2020</v>
      </c>
      <c r="H1389" s="1318">
        <v>2025</v>
      </c>
      <c r="I1389" s="1318">
        <v>2030</v>
      </c>
      <c r="J1389" s="1318">
        <v>2035</v>
      </c>
      <c r="K1389" s="1318">
        <v>2040</v>
      </c>
      <c r="L1389" s="1318">
        <v>2045</v>
      </c>
      <c r="M1389" s="1318">
        <v>2050</v>
      </c>
      <c r="N1389" s="517"/>
    </row>
    <row r="1390" spans="4:16" ht="15" customHeight="1">
      <c r="E1390" s="415" t="s">
        <v>899</v>
      </c>
      <c r="F1390" s="1319" cm="1">
        <f t="array" ref="F1390:M1390">((_xlfn.ANCHORARRAY(F1319)*INDEX(SF_PORCENTAJE_VEHICULOS_NUEVOS_TRANSPORTE_INTERURBANO_HIDROCARBUROS_LIQUIDOS,2,0))/INDEX(SF_TRANSPORTE_INTERURBANO_NUEVOS_RENDIMIENTO_MODO_TECNOLOGIA,2,0))+
((1-INDEX(SF_PORCENTAJE_VEHICULOS_NUEVOS_TRANSPORTE_INTERURBANO_HIDROCARBUROS_LIQUIDOS,2,0))*
(_xlfn.ANCHORARRAY(F1319)/INDEX(SF_TRANSPORTE_INTERURBANO_EXISTENTES_RENDIMIENTO_MODO_TECNOLOGIA,2,0))
)</f>
        <v>884.14981396478458</v>
      </c>
      <c r="G1390" s="1319">
        <v>1042.6777754306793</v>
      </c>
      <c r="H1390" s="1319">
        <v>1268.2073884153597</v>
      </c>
      <c r="I1390" s="1319">
        <v>1473.6054815881103</v>
      </c>
      <c r="J1390" s="1319">
        <v>1679.0438691207864</v>
      </c>
      <c r="K1390" s="1319">
        <v>1909.9337823559474</v>
      </c>
      <c r="L1390" s="1319">
        <v>2066.8241633263688</v>
      </c>
      <c r="M1390" s="1319">
        <v>2269.4918494189155</v>
      </c>
      <c r="N1390" s="517"/>
      <c r="P1390" s="552"/>
    </row>
    <row r="1391" spans="4:16" ht="15" customHeight="1">
      <c r="E1391" s="1320" t="s">
        <v>2345</v>
      </c>
      <c r="F1391" s="1321" cm="1">
        <f t="array" ref="F1391:M1391">((_xlfn.ANCHORARRAY(F1320)*INDEX(SF_PORCENTAJE_VEHICULOS_NUEVOS_TRANSPORTE_INTERURBANO_HIDROCARBUROS_LIQUIDOS,2,0))/INDEX(SF_TRANSPORTE_INTERURBANO_NUEVOS_RENDIMIENTO_MODO_TECNOLOGIA,2,0))+
((1-INDEX(SF_PORCENTAJE_VEHICULOS_NUEVOS_TRANSPORTE_INTERURBANO_HIDROCARBUROS_LIQUIDOS,2,0))*
(_xlfn.ANCHORARRAY(F1320)/INDEX(SF_TRANSPORTE_INTERURBANO_EXISTENTES_RENDIMIENTO_MODO_TECNOLOGIA,2,0))
)</f>
        <v>0</v>
      </c>
      <c r="G1391" s="1322">
        <v>0</v>
      </c>
      <c r="H1391" s="1322">
        <v>0</v>
      </c>
      <c r="I1391" s="1322">
        <v>0</v>
      </c>
      <c r="J1391" s="1322">
        <v>0</v>
      </c>
      <c r="K1391" s="1322">
        <v>0</v>
      </c>
      <c r="L1391" s="1322">
        <v>0</v>
      </c>
      <c r="M1391" s="1322">
        <v>0</v>
      </c>
      <c r="N1391" s="517"/>
    </row>
    <row r="1392" spans="4:16" ht="15" customHeight="1">
      <c r="E1392" s="415"/>
      <c r="F1392" s="415"/>
      <c r="G1392" s="415"/>
      <c r="H1392" s="415"/>
      <c r="I1392" s="415"/>
      <c r="J1392" s="415"/>
      <c r="K1392" s="415"/>
      <c r="L1392" s="415"/>
      <c r="M1392" s="415"/>
      <c r="N1392" s="517"/>
    </row>
    <row r="1393" spans="4:14" ht="15" customHeight="1">
      <c r="E1393" s="609" t="s">
        <v>601</v>
      </c>
      <c r="F1393" s="415"/>
      <c r="G1393" s="415"/>
      <c r="H1393" s="415"/>
      <c r="I1393" s="415"/>
      <c r="J1393" s="415"/>
      <c r="K1393" s="415"/>
      <c r="L1393" s="415"/>
      <c r="M1393" s="554" t="s">
        <v>11</v>
      </c>
      <c r="N1393" s="517"/>
    </row>
    <row r="1394" spans="4:14" ht="15" customHeight="1">
      <c r="E1394" s="1315" t="s">
        <v>859</v>
      </c>
      <c r="F1394" s="1086">
        <v>2018</v>
      </c>
      <c r="G1394" s="1086">
        <v>2020</v>
      </c>
      <c r="H1394" s="1086">
        <v>2025</v>
      </c>
      <c r="I1394" s="1086">
        <v>2030</v>
      </c>
      <c r="J1394" s="1086">
        <v>2035</v>
      </c>
      <c r="K1394" s="1086">
        <v>2040</v>
      </c>
      <c r="L1394" s="1086">
        <v>2045</v>
      </c>
      <c r="M1394" s="1086">
        <v>2050</v>
      </c>
      <c r="N1394" s="517"/>
    </row>
    <row r="1395" spans="4:14" ht="15" customHeight="1">
      <c r="E1395" s="415" t="s">
        <v>2341</v>
      </c>
      <c r="F1395" s="1319" cm="1">
        <f t="array" ref="F1395:M1395">_xlfn.ANCHORARRAY(F1322)*INDEX(SF_TRANSPORTE_INTERURBANO_EXISTENTES_RENDIMIENTO_MODO_TECNOLOGIA_ELECTRICOS,2,0)</f>
        <v>0</v>
      </c>
      <c r="G1395" s="1319">
        <v>0</v>
      </c>
      <c r="H1395" s="1319">
        <v>0</v>
      </c>
      <c r="I1395" s="1319">
        <v>0</v>
      </c>
      <c r="J1395" s="1319">
        <v>0</v>
      </c>
      <c r="K1395" s="1319">
        <v>0</v>
      </c>
      <c r="L1395" s="1319">
        <v>0</v>
      </c>
      <c r="M1395" s="1319">
        <v>0</v>
      </c>
      <c r="N1395" s="517"/>
    </row>
    <row r="1396" spans="4:14" ht="15" customHeight="1">
      <c r="E1396" s="1320" t="s">
        <v>2345</v>
      </c>
      <c r="F1396" s="1322" cm="1">
        <f t="array" ref="F1396:M1396">_xlfn.ANCHORARRAY(F1320)*INDEX(SF_TRANSPORTE_INTERURBANO_EXISTENTES_RENDIMIENTO_MODO_TECNOLOGIA_ELECTRICOS,1,0)</f>
        <v>0</v>
      </c>
      <c r="G1396" s="1322">
        <v>0</v>
      </c>
      <c r="H1396" s="1322">
        <v>0</v>
      </c>
      <c r="I1396" s="1322">
        <v>0</v>
      </c>
      <c r="J1396" s="1322">
        <v>0</v>
      </c>
      <c r="K1396" s="1322">
        <v>0</v>
      </c>
      <c r="L1396" s="1322">
        <v>0</v>
      </c>
      <c r="M1396" s="1322">
        <v>0</v>
      </c>
      <c r="N1396" s="517"/>
    </row>
    <row r="1397" spans="4:14" ht="15" customHeight="1">
      <c r="E1397" s="1086" t="s">
        <v>338</v>
      </c>
      <c r="F1397" s="1846">
        <f>SUM(F1395:F1396)</f>
        <v>0</v>
      </c>
      <c r="G1397" s="1846">
        <f t="shared" ref="G1397:M1397" si="96">SUM(G1395:G1396)</f>
        <v>0</v>
      </c>
      <c r="H1397" s="1846">
        <f t="shared" si="96"/>
        <v>0</v>
      </c>
      <c r="I1397" s="1846">
        <f t="shared" si="96"/>
        <v>0</v>
      </c>
      <c r="J1397" s="1846">
        <f t="shared" si="96"/>
        <v>0</v>
      </c>
      <c r="K1397" s="1846">
        <f t="shared" si="96"/>
        <v>0</v>
      </c>
      <c r="L1397" s="1846">
        <f t="shared" si="96"/>
        <v>0</v>
      </c>
      <c r="M1397" s="1846">
        <f t="shared" si="96"/>
        <v>0</v>
      </c>
      <c r="N1397" s="517"/>
    </row>
    <row r="1398" spans="4:14" ht="15" customHeight="1">
      <c r="E1398" s="609"/>
      <c r="F1398" s="415"/>
      <c r="G1398" s="415"/>
      <c r="H1398" s="415"/>
      <c r="I1398" s="415"/>
      <c r="J1398" s="415"/>
      <c r="K1398" s="415"/>
      <c r="L1398" s="415"/>
      <c r="M1398" s="415"/>
      <c r="N1398" s="517"/>
    </row>
    <row r="1399" spans="4:14" ht="15" customHeight="1">
      <c r="E1399" s="609" t="s">
        <v>590</v>
      </c>
      <c r="F1399" s="415"/>
      <c r="G1399" s="415"/>
      <c r="H1399" s="415"/>
      <c r="I1399" s="415"/>
      <c r="J1399" s="415"/>
      <c r="K1399" s="415"/>
      <c r="L1399" s="415"/>
      <c r="M1399" s="554" t="s">
        <v>11</v>
      </c>
      <c r="N1399" s="517"/>
    </row>
    <row r="1400" spans="4:14" ht="15" customHeight="1">
      <c r="E1400" s="1315" t="s">
        <v>859</v>
      </c>
      <c r="F1400" s="1086">
        <v>2018</v>
      </c>
      <c r="G1400" s="1086">
        <v>2020</v>
      </c>
      <c r="H1400" s="1086">
        <v>2025</v>
      </c>
      <c r="I1400" s="1086">
        <v>2030</v>
      </c>
      <c r="J1400" s="1086">
        <v>2035</v>
      </c>
      <c r="K1400" s="1086">
        <v>2040</v>
      </c>
      <c r="L1400" s="1086">
        <v>2045</v>
      </c>
      <c r="M1400" s="1086">
        <v>2050</v>
      </c>
      <c r="N1400" s="517"/>
    </row>
    <row r="1401" spans="4:14" ht="15" customHeight="1">
      <c r="E1401" s="1316" t="s">
        <v>899</v>
      </c>
      <c r="F1401" s="1323" cm="1">
        <f t="array" ref="F1401:M1401">_xlfn.ANCHORARRAY(F1321)/INDEX(SF_TRANSPORTE_INTERURBANO_EXISTENTES_RENDIMIENTO_MODO_TECNOLOGIA_GAS_NATURAL,1,0)</f>
        <v>567.05289597913509</v>
      </c>
      <c r="G1401" s="1323">
        <v>668.95091107899668</v>
      </c>
      <c r="H1401" s="1323">
        <v>813.8942480057666</v>
      </c>
      <c r="I1401" s="1323">
        <v>945.97898217556269</v>
      </c>
      <c r="J1401" s="1323">
        <v>1078.1407150657769</v>
      </c>
      <c r="K1401" s="1323">
        <v>1226.695641764398</v>
      </c>
      <c r="L1401" s="1323">
        <v>1327.7185309090087</v>
      </c>
      <c r="M1401" s="1323">
        <v>1458.1731190513422</v>
      </c>
      <c r="N1401" s="517"/>
    </row>
    <row r="1402" spans="4:14" ht="15" customHeight="1">
      <c r="E1402" s="415"/>
      <c r="F1402" s="415"/>
      <c r="G1402" s="415"/>
      <c r="H1402" s="415"/>
      <c r="I1402" s="415"/>
      <c r="J1402" s="415"/>
      <c r="K1402" s="415"/>
      <c r="L1402" s="415"/>
      <c r="M1402" s="415"/>
      <c r="N1402" s="517"/>
    </row>
    <row r="1403" spans="4:14" ht="15" customHeight="1">
      <c r="D1403" s="2" t="s">
        <v>2353</v>
      </c>
      <c r="E1403" s="609" t="s">
        <v>2354</v>
      </c>
      <c r="F1403" s="415"/>
      <c r="G1403" s="415"/>
      <c r="H1403" s="415"/>
      <c r="I1403" s="415"/>
      <c r="J1403" s="415"/>
      <c r="K1403" s="415"/>
      <c r="L1403" s="415"/>
      <c r="M1403" s="415"/>
      <c r="N1403" s="517"/>
    </row>
    <row r="1404" spans="4:14" ht="15" customHeight="1">
      <c r="D1404" s="2"/>
      <c r="E1404" s="609" t="s">
        <v>2329</v>
      </c>
      <c r="F1404" s="415"/>
      <c r="G1404" s="415"/>
      <c r="H1404" s="415"/>
      <c r="I1404" s="415"/>
      <c r="J1404" s="415"/>
      <c r="K1404" s="415"/>
      <c r="L1404" s="415"/>
      <c r="M1404" s="415"/>
      <c r="N1404" s="517"/>
    </row>
    <row r="1405" spans="4:14" ht="15" customHeight="1">
      <c r="E1405" s="517"/>
      <c r="F1405" s="517"/>
      <c r="G1405" s="517"/>
      <c r="H1405" s="517"/>
      <c r="I1405" s="517"/>
      <c r="J1405" s="517"/>
      <c r="K1405" s="517"/>
      <c r="L1405" s="517"/>
      <c r="M1405" s="517"/>
      <c r="N1405" s="517"/>
    </row>
    <row r="1406" spans="4:14" ht="15" customHeight="1">
      <c r="E1406" s="609" t="s">
        <v>2244</v>
      </c>
      <c r="F1406" s="415"/>
      <c r="G1406" s="415"/>
      <c r="H1406" s="415"/>
      <c r="I1406" s="415"/>
      <c r="J1406" s="415"/>
      <c r="K1406" s="415"/>
      <c r="L1406" s="415"/>
      <c r="M1406" s="554" t="s">
        <v>11</v>
      </c>
      <c r="N1406" s="517"/>
    </row>
    <row r="1407" spans="4:14" ht="15" customHeight="1">
      <c r="E1407" s="1315" t="s">
        <v>520</v>
      </c>
      <c r="F1407" s="1086">
        <v>2018</v>
      </c>
      <c r="G1407" s="1086">
        <v>2020</v>
      </c>
      <c r="H1407" s="1086">
        <v>2025</v>
      </c>
      <c r="I1407" s="1086">
        <v>2030</v>
      </c>
      <c r="J1407" s="1086">
        <v>2035</v>
      </c>
      <c r="K1407" s="1086">
        <v>2040</v>
      </c>
      <c r="L1407" s="1086">
        <v>2045</v>
      </c>
      <c r="M1407" s="1086">
        <v>2050</v>
      </c>
      <c r="N1407" s="517"/>
    </row>
    <row r="1408" spans="4:14" ht="15" customHeight="1">
      <c r="E1408" s="415" t="s">
        <v>495</v>
      </c>
      <c r="F1408" s="1324" cm="1">
        <f t="array" ref="F1408:M1408" xml:space="preserve"> INDEX(SF_RENDIMIENTO_MODO_TECNOLOGIA_TRANSPORTE_URBANO_FERREO_DIESEL,1,0)*(1-INDEX(SF_PORCENTAJE_DEMANDA_ELECTRICA_MODO_FERREO,1,0))</f>
        <v>137996.33477359783</v>
      </c>
      <c r="G1408" s="1324">
        <v>137996.33477359783</v>
      </c>
      <c r="H1408" s="1324">
        <v>137996.33477359783</v>
      </c>
      <c r="I1408" s="1324">
        <v>137996.33477359783</v>
      </c>
      <c r="J1408" s="1324">
        <v>137996.33477359783</v>
      </c>
      <c r="K1408" s="1324">
        <v>137996.33477359783</v>
      </c>
      <c r="L1408" s="1324">
        <v>137996.33477359783</v>
      </c>
      <c r="M1408" s="1324">
        <v>137996.33477359783</v>
      </c>
      <c r="N1408" s="517"/>
    </row>
    <row r="1409" spans="4:14" ht="15" customHeight="1">
      <c r="E1409" s="1320" t="s">
        <v>601</v>
      </c>
      <c r="F1409" s="1320" cm="1">
        <f t="array" ref="F1409:M1409">INDEX(SF_RENDIMIENTO_TRANSPORTE_URBANO_ELECTRICOS_FERREO,1,0)*INDEX(SF_PORCENTAJE_DEMANDA_ELECTRICA_MODO_FERREO,1,0)</f>
        <v>0</v>
      </c>
      <c r="G1409" s="1320">
        <v>0</v>
      </c>
      <c r="H1409" s="1320">
        <v>0</v>
      </c>
      <c r="I1409" s="1320">
        <v>0</v>
      </c>
      <c r="J1409" s="1320">
        <v>0</v>
      </c>
      <c r="K1409" s="1320">
        <v>0</v>
      </c>
      <c r="L1409" s="1320">
        <v>0</v>
      </c>
      <c r="M1409" s="1320">
        <v>0</v>
      </c>
      <c r="N1409" s="517"/>
    </row>
    <row r="1410" spans="4:14" ht="15" customHeight="1">
      <c r="E1410" s="415"/>
      <c r="F1410" s="415"/>
      <c r="G1410" s="415"/>
      <c r="H1410" s="415"/>
      <c r="I1410" s="415"/>
      <c r="J1410" s="415"/>
      <c r="K1410" s="415"/>
      <c r="L1410" s="415"/>
      <c r="M1410" s="415"/>
      <c r="N1410" s="517"/>
    </row>
    <row r="1411" spans="4:14" ht="15" customHeight="1">
      <c r="E1411" s="609" t="s">
        <v>2266</v>
      </c>
      <c r="F1411" s="415"/>
      <c r="G1411" s="415"/>
      <c r="H1411" s="415"/>
      <c r="I1411" s="415"/>
      <c r="J1411" s="415"/>
      <c r="K1411" s="415"/>
      <c r="L1411" s="415"/>
      <c r="M1411" s="554" t="s">
        <v>11</v>
      </c>
      <c r="N1411" s="517"/>
    </row>
    <row r="1412" spans="4:14" ht="15" customHeight="1">
      <c r="E1412" s="1315" t="s">
        <v>520</v>
      </c>
      <c r="F1412" s="1086">
        <v>2018</v>
      </c>
      <c r="G1412" s="1086">
        <v>2020</v>
      </c>
      <c r="H1412" s="1086">
        <v>2025</v>
      </c>
      <c r="I1412" s="1086">
        <v>2030</v>
      </c>
      <c r="J1412" s="1086">
        <v>2035</v>
      </c>
      <c r="K1412" s="1086">
        <v>2040</v>
      </c>
      <c r="L1412" s="1086">
        <v>2045</v>
      </c>
      <c r="M1412" s="1086">
        <v>2050</v>
      </c>
      <c r="N1412" s="517"/>
    </row>
    <row r="1413" spans="4:14" ht="15" customHeight="1">
      <c r="E1413" s="1316" t="s">
        <v>2266</v>
      </c>
      <c r="F1413" s="1323" cm="1">
        <f t="array" ref="F1413:M1413">SF_DEMANDA_ELECTRICIDAD_OTROS_MODOS_FLUVIAL</f>
        <v>0</v>
      </c>
      <c r="G1413" s="1323">
        <v>0</v>
      </c>
      <c r="H1413" s="1323">
        <v>0</v>
      </c>
      <c r="I1413" s="1323">
        <v>0</v>
      </c>
      <c r="J1413" s="1323">
        <v>0</v>
      </c>
      <c r="K1413" s="1323">
        <v>0</v>
      </c>
      <c r="L1413" s="1323">
        <v>0</v>
      </c>
      <c r="M1413" s="1323">
        <v>0</v>
      </c>
      <c r="N1413" s="517"/>
    </row>
    <row r="1414" spans="4:14" ht="15" customHeight="1">
      <c r="E1414" s="415"/>
      <c r="F1414" s="415"/>
      <c r="G1414" s="415"/>
      <c r="H1414" s="415"/>
      <c r="I1414" s="415"/>
      <c r="J1414" s="415"/>
      <c r="K1414" s="415"/>
      <c r="L1414" s="415"/>
      <c r="M1414" s="415"/>
      <c r="N1414" s="517"/>
    </row>
    <row r="1415" spans="4:14" ht="15" customHeight="1">
      <c r="E1415" s="609" t="s">
        <v>2267</v>
      </c>
      <c r="F1415" s="415"/>
      <c r="G1415" s="415"/>
      <c r="H1415" s="415"/>
      <c r="I1415" s="415"/>
      <c r="J1415" s="415"/>
      <c r="K1415" s="415"/>
      <c r="L1415" s="415"/>
      <c r="M1415" s="554" t="s">
        <v>11</v>
      </c>
      <c r="N1415" s="517"/>
    </row>
    <row r="1416" spans="4:14" ht="15" customHeight="1">
      <c r="E1416" s="1315" t="s">
        <v>520</v>
      </c>
      <c r="F1416" s="1086">
        <v>2018</v>
      </c>
      <c r="G1416" s="1086">
        <v>2020</v>
      </c>
      <c r="H1416" s="1086">
        <v>2025</v>
      </c>
      <c r="I1416" s="1086">
        <v>2030</v>
      </c>
      <c r="J1416" s="1086">
        <v>2035</v>
      </c>
      <c r="K1416" s="1086">
        <v>2040</v>
      </c>
      <c r="L1416" s="1086">
        <v>2045</v>
      </c>
      <c r="M1416" s="1086">
        <v>2050</v>
      </c>
      <c r="N1416" s="517"/>
    </row>
    <row r="1417" spans="4:14" ht="15" customHeight="1">
      <c r="E1417" s="1316" t="s">
        <v>2267</v>
      </c>
      <c r="F1417" s="1323" cm="1">
        <f t="array" ref="F1417:M1417">SF_DEMANDA_ELECTRICIDAD_OTROS_MODOS_AEREO</f>
        <v>0.20164852771498706</v>
      </c>
      <c r="G1417" s="1323">
        <v>0.25705638442460194</v>
      </c>
      <c r="H1417" s="1323">
        <v>0.32875112028897485</v>
      </c>
      <c r="I1417" s="1323">
        <v>0.39358579235233926</v>
      </c>
      <c r="J1417" s="1323">
        <v>0.45493745718876083</v>
      </c>
      <c r="K1417" s="1323">
        <v>0.51856811163758498</v>
      </c>
      <c r="L1417" s="1323">
        <v>0.58431016316430429</v>
      </c>
      <c r="M1417" s="1323">
        <v>0.65248600734263473</v>
      </c>
      <c r="N1417" s="517"/>
    </row>
    <row r="1418" spans="4:14" ht="15" customHeight="1">
      <c r="E1418" s="415"/>
      <c r="F1418" s="415"/>
      <c r="G1418" s="415"/>
      <c r="H1418" s="415"/>
      <c r="I1418" s="415"/>
      <c r="J1418" s="415"/>
      <c r="K1418" s="415"/>
      <c r="L1418" s="415"/>
      <c r="M1418" s="415"/>
      <c r="N1418" s="517"/>
    </row>
    <row r="1419" spans="4:14" ht="15" customHeight="1">
      <c r="E1419" s="415"/>
      <c r="F1419" s="415"/>
      <c r="G1419" s="415"/>
      <c r="H1419" s="415"/>
      <c r="I1419" s="415"/>
      <c r="J1419" s="415"/>
      <c r="K1419" s="415"/>
      <c r="L1419" s="415"/>
      <c r="M1419" s="415"/>
      <c r="N1419" s="517"/>
    </row>
    <row r="1420" spans="4:14" ht="15" customHeight="1">
      <c r="D1420" s="2">
        <v>5</v>
      </c>
      <c r="E1420" s="609" t="s">
        <v>2355</v>
      </c>
      <c r="F1420" s="415"/>
      <c r="G1420" s="415"/>
      <c r="H1420" s="415"/>
      <c r="I1420" s="415"/>
      <c r="J1420" s="415"/>
      <c r="K1420" s="415"/>
      <c r="L1420" s="415"/>
      <c r="M1420" s="415"/>
      <c r="N1420" s="517"/>
    </row>
    <row r="1421" spans="4:14" ht="15" customHeight="1">
      <c r="D1421" s="2"/>
      <c r="E1421" s="609" t="s">
        <v>2356</v>
      </c>
      <c r="F1421" s="415"/>
      <c r="G1421" s="415"/>
      <c r="H1421" s="415"/>
      <c r="I1421" s="415"/>
      <c r="J1421" s="415"/>
      <c r="K1421" s="415"/>
      <c r="L1421" s="415"/>
      <c r="M1421" s="415"/>
      <c r="N1421" s="517"/>
    </row>
    <row r="1422" spans="4:14" ht="15" customHeight="1">
      <c r="E1422" s="415"/>
      <c r="F1422" s="415"/>
      <c r="G1422" s="415"/>
      <c r="H1422" s="415"/>
      <c r="I1422" s="415"/>
      <c r="J1422" s="415"/>
      <c r="K1422" s="415"/>
      <c r="L1422" s="415"/>
      <c r="M1422" s="415"/>
    </row>
    <row r="1423" spans="4:14" ht="15" customHeight="1">
      <c r="E1423" s="2" t="s">
        <v>2243</v>
      </c>
      <c r="M1423" s="554" t="s">
        <v>11</v>
      </c>
    </row>
    <row r="1424" spans="4:14" ht="15" customHeight="1">
      <c r="E1424" s="550" t="s">
        <v>859</v>
      </c>
      <c r="F1424" s="551">
        <v>2018</v>
      </c>
      <c r="G1424" s="551">
        <v>2020</v>
      </c>
      <c r="H1424" s="551">
        <v>2025</v>
      </c>
      <c r="I1424" s="551">
        <v>2030</v>
      </c>
      <c r="J1424" s="551">
        <v>2035</v>
      </c>
      <c r="K1424" s="551">
        <v>2040</v>
      </c>
      <c r="L1424" s="551">
        <v>2045</v>
      </c>
      <c r="M1424" s="551">
        <v>2050</v>
      </c>
    </row>
    <row r="1425" spans="5:13" ht="15" customHeight="1">
      <c r="E1425" s="3" t="s">
        <v>889</v>
      </c>
      <c r="F1425" s="980" cm="1">
        <f t="array" ref="F1425:M1425">_xlfn.ANCHORARRAY($F$1339)</f>
        <v>260.25247390919054</v>
      </c>
      <c r="G1425" s="980">
        <v>270.41509694981028</v>
      </c>
      <c r="H1425" s="980">
        <v>238.98402228178367</v>
      </c>
      <c r="I1425" s="980">
        <v>220.2571242877361</v>
      </c>
      <c r="J1425" s="980">
        <v>218.74381020628454</v>
      </c>
      <c r="K1425" s="980">
        <v>222.50059941653848</v>
      </c>
      <c r="L1425" s="980">
        <v>227.83890826836534</v>
      </c>
      <c r="M1425" s="980">
        <v>233.30845216162658</v>
      </c>
    </row>
    <row r="1426" spans="5:13" ht="15" customHeight="1">
      <c r="E1426" s="3" t="s">
        <v>890</v>
      </c>
      <c r="F1426" s="980" cm="1">
        <f t="array" ref="F1426:M1426">_xlfn.ANCHORARRAY($F$1349)</f>
        <v>5.2852019108498967</v>
      </c>
      <c r="G1426" s="980">
        <v>6.57007797492329</v>
      </c>
      <c r="H1426" s="980">
        <v>7.2120426137047549</v>
      </c>
      <c r="I1426" s="980">
        <v>7.5628558532478873</v>
      </c>
      <c r="J1426" s="980">
        <v>7.7766725620781649</v>
      </c>
      <c r="K1426" s="980">
        <v>7.9830567965273183</v>
      </c>
      <c r="L1426" s="980">
        <v>8.1816782611178152</v>
      </c>
      <c r="M1426" s="980">
        <v>8.3786081919799642</v>
      </c>
    </row>
    <row r="1427" spans="5:13" ht="15" customHeight="1">
      <c r="E1427" s="3" t="s">
        <v>2250</v>
      </c>
      <c r="F1427" s="980" cm="1">
        <f t="array" ref="F1427:M1427">_xlfn.ANCHORARRAY($F$1365)</f>
        <v>0</v>
      </c>
      <c r="G1427" s="980">
        <v>0</v>
      </c>
      <c r="H1427" s="980">
        <v>0</v>
      </c>
      <c r="I1427" s="980">
        <v>0</v>
      </c>
      <c r="J1427" s="980">
        <v>0</v>
      </c>
      <c r="K1427" s="980">
        <v>0</v>
      </c>
      <c r="L1427" s="980">
        <v>0</v>
      </c>
      <c r="M1427" s="980">
        <v>0</v>
      </c>
    </row>
    <row r="1428" spans="5:13" ht="15" customHeight="1">
      <c r="E1428" s="3" t="s">
        <v>893</v>
      </c>
      <c r="F1428" s="980" cm="1">
        <f t="array" ref="F1428:M1428">_xlfn.ANCHORARRAY($F$1373)</f>
        <v>3.8016258105096247E-4</v>
      </c>
      <c r="G1428" s="980">
        <v>8.0925253896776049E-6</v>
      </c>
      <c r="H1428" s="980">
        <v>8.8832489029209718E-6</v>
      </c>
      <c r="I1428" s="980">
        <v>9.3153541319416376E-6</v>
      </c>
      <c r="J1428" s="980">
        <v>9.5787173905742748E-6</v>
      </c>
      <c r="K1428" s="980">
        <v>9.8329258891162516E-6</v>
      </c>
      <c r="L1428" s="980">
        <v>1.0077572794566763E-5</v>
      </c>
      <c r="M1428" s="980">
        <v>1.0320136196640847E-5</v>
      </c>
    </row>
    <row r="1429" spans="5:13" ht="15" customHeight="1">
      <c r="E1429" s="3" t="s">
        <v>498</v>
      </c>
      <c r="F1429" s="980"/>
      <c r="G1429" s="980"/>
      <c r="H1429" s="980"/>
      <c r="I1429" s="980"/>
      <c r="J1429" s="980"/>
      <c r="K1429" s="980"/>
      <c r="L1429" s="980"/>
      <c r="M1429" s="980"/>
    </row>
    <row r="1430" spans="5:13" ht="15" customHeight="1">
      <c r="E1430" s="3" t="s">
        <v>894</v>
      </c>
      <c r="F1430" s="980" cm="1">
        <f t="array" ref="F1430:M1430">_xlfn.ANCHORARRAY($F$1359)</f>
        <v>1.3034752899851424E-5</v>
      </c>
      <c r="G1430" s="980">
        <v>1.8720507737038895E-4</v>
      </c>
      <c r="H1430" s="980">
        <v>1.9983903832700859E-3</v>
      </c>
      <c r="I1430" s="980">
        <v>3.0361046369799427E-3</v>
      </c>
      <c r="J1430" s="980">
        <v>3.3619226807772794E-3</v>
      </c>
      <c r="K1430" s="980">
        <v>3.5146257067377334E-3</v>
      </c>
      <c r="L1430" s="980">
        <v>3.6081942876432533E-3</v>
      </c>
      <c r="M1430" s="980">
        <v>3.6954900835514779E-3</v>
      </c>
    </row>
    <row r="1431" spans="5:13" ht="15" customHeight="1">
      <c r="E1431" s="958" t="s">
        <v>603</v>
      </c>
      <c r="F1431" s="981"/>
      <c r="G1431" s="981"/>
      <c r="H1431" s="981"/>
      <c r="I1431" s="981"/>
      <c r="J1431" s="981"/>
      <c r="K1431" s="981"/>
      <c r="L1431" s="981"/>
      <c r="M1431" s="981"/>
    </row>
    <row r="1432" spans="5:13" ht="15" customHeight="1">
      <c r="E1432" s="551" t="s">
        <v>338</v>
      </c>
      <c r="F1432" s="561">
        <f>SUM(F1425:F1431)</f>
        <v>265.53806901737437</v>
      </c>
      <c r="G1432" s="561">
        <f t="shared" ref="G1432:M1432" si="97">SUM(G1425:G1431)</f>
        <v>276.98537022233631</v>
      </c>
      <c r="H1432" s="561">
        <f t="shared" si="97"/>
        <v>246.19807216912062</v>
      </c>
      <c r="I1432" s="561">
        <f t="shared" si="97"/>
        <v>227.82302556097511</v>
      </c>
      <c r="J1432" s="561">
        <f t="shared" si="97"/>
        <v>226.52385426976088</v>
      </c>
      <c r="K1432" s="561">
        <f t="shared" si="97"/>
        <v>230.48718067169841</v>
      </c>
      <c r="L1432" s="561">
        <f t="shared" si="97"/>
        <v>236.02420480134359</v>
      </c>
      <c r="M1432" s="561">
        <f t="shared" si="97"/>
        <v>241.69076616382628</v>
      </c>
    </row>
    <row r="1434" spans="5:13" ht="15" customHeight="1">
      <c r="E1434" s="2" t="s">
        <v>895</v>
      </c>
      <c r="M1434" s="554" t="s">
        <v>11</v>
      </c>
    </row>
    <row r="1435" spans="5:13" ht="15" customHeight="1">
      <c r="E1435" s="550" t="s">
        <v>859</v>
      </c>
      <c r="F1435" s="551">
        <v>2018</v>
      </c>
      <c r="G1435" s="551">
        <v>2020</v>
      </c>
      <c r="H1435" s="551">
        <v>2025</v>
      </c>
      <c r="I1435" s="551">
        <v>2030</v>
      </c>
      <c r="J1435" s="551">
        <v>2035</v>
      </c>
      <c r="K1435" s="551">
        <v>2040</v>
      </c>
      <c r="L1435" s="551">
        <v>2045</v>
      </c>
      <c r="M1435" s="551">
        <v>2050</v>
      </c>
    </row>
    <row r="1436" spans="5:13" ht="15" customHeight="1">
      <c r="E1436" s="3" t="s">
        <v>889</v>
      </c>
      <c r="F1436" s="980" cm="1">
        <f t="array" ref="F1436:M1436">_xlfn.ANCHORARRAY($F$1340)</f>
        <v>785.83585369132129</v>
      </c>
      <c r="G1436" s="980">
        <v>853.10500424074655</v>
      </c>
      <c r="H1436" s="980">
        <v>953.18473463505029</v>
      </c>
      <c r="I1436" s="980">
        <v>732.90738229019325</v>
      </c>
      <c r="J1436" s="980">
        <v>715.51997652774401</v>
      </c>
      <c r="K1436" s="980">
        <v>744.41010416996846</v>
      </c>
      <c r="L1436" s="980">
        <v>775.57726128829859</v>
      </c>
      <c r="M1436" s="980">
        <v>807.26552716219749</v>
      </c>
    </row>
    <row r="1437" spans="5:13" ht="15" customHeight="1">
      <c r="E1437" s="3" t="s">
        <v>890</v>
      </c>
      <c r="F1437" s="980" cm="1">
        <f t="array" ref="F1437:M1437">_xlfn.ANCHORARRAY($F$1350)</f>
        <v>0.63514013850482898</v>
      </c>
      <c r="G1437" s="980">
        <v>0.69008974827117353</v>
      </c>
      <c r="H1437" s="980">
        <v>0.77104578019167336</v>
      </c>
      <c r="I1437" s="980">
        <v>0.82273664485889086</v>
      </c>
      <c r="J1437" s="980">
        <v>0.86058317247112359</v>
      </c>
      <c r="K1437" s="980">
        <v>0.89839534784663644</v>
      </c>
      <c r="L1437" s="980">
        <v>0.93609355905786107</v>
      </c>
      <c r="M1437" s="980">
        <v>0.97434014397320101</v>
      </c>
    </row>
    <row r="1438" spans="5:13" ht="15" customHeight="1">
      <c r="E1438" s="3" t="s">
        <v>2250</v>
      </c>
      <c r="F1438" s="980" cm="1">
        <f t="array" ref="F1438:M1438">_xlfn.ANCHORARRAY($F$1366)</f>
        <v>0</v>
      </c>
      <c r="G1438" s="980">
        <v>0</v>
      </c>
      <c r="H1438" s="980">
        <v>0</v>
      </c>
      <c r="I1438" s="980">
        <v>0</v>
      </c>
      <c r="J1438" s="980">
        <v>0</v>
      </c>
      <c r="K1438" s="980">
        <v>0</v>
      </c>
      <c r="L1438" s="980">
        <v>0</v>
      </c>
      <c r="M1438" s="980">
        <v>0</v>
      </c>
    </row>
    <row r="1439" spans="5:13" ht="15" customHeight="1">
      <c r="E1439" s="3" t="s">
        <v>893</v>
      </c>
      <c r="F1439" s="980" cm="1">
        <f t="array" ref="F1439:M1439">_xlfn.ANCHORARRAY($F$1374)</f>
        <v>6.1814317530484074E-2</v>
      </c>
      <c r="G1439" s="980">
        <v>6.7162228047160058E-2</v>
      </c>
      <c r="H1439" s="980">
        <v>7.5041185083196502E-2</v>
      </c>
      <c r="I1439" s="980">
        <v>8.0071941806408017E-2</v>
      </c>
      <c r="J1439" s="980">
        <v>8.3755313606458409E-2</v>
      </c>
      <c r="K1439" s="980">
        <v>8.7435342112738262E-2</v>
      </c>
      <c r="L1439" s="980">
        <v>9.110427918169374E-2</v>
      </c>
      <c r="M1439" s="980">
        <v>9.4826586120094675E-2</v>
      </c>
    </row>
    <row r="1440" spans="5:13" ht="15" customHeight="1">
      <c r="E1440" s="3" t="s">
        <v>498</v>
      </c>
      <c r="F1440" s="980"/>
      <c r="G1440" s="980"/>
      <c r="H1440" s="980"/>
      <c r="I1440" s="980"/>
      <c r="J1440" s="980"/>
      <c r="K1440" s="980"/>
      <c r="L1440" s="980"/>
      <c r="M1440" s="980"/>
    </row>
    <row r="1441" spans="5:13" ht="15" customHeight="1">
      <c r="E1441" s="3" t="s">
        <v>894</v>
      </c>
      <c r="F1441" s="980" cm="1">
        <f t="array" ref="F1441:M1441">_xlfn.ANCHORARRAY($F$1360)</f>
        <v>0</v>
      </c>
      <c r="G1441" s="980">
        <v>7.6004503177528967E-5</v>
      </c>
      <c r="H1441" s="980">
        <v>8.4920768055766102E-5</v>
      </c>
      <c r="I1441" s="980">
        <v>2.9818353399601392E-2</v>
      </c>
      <c r="J1441" s="980">
        <v>3.6535734707779079E-2</v>
      </c>
      <c r="K1441" s="980">
        <v>3.8407610389542997E-2</v>
      </c>
      <c r="L1441" s="980">
        <v>4.0026537214051132E-2</v>
      </c>
      <c r="M1441" s="980">
        <v>4.1661927544014515E-2</v>
      </c>
    </row>
    <row r="1442" spans="5:13" ht="15" customHeight="1">
      <c r="E1442" s="958" t="s">
        <v>603</v>
      </c>
      <c r="F1442" s="981"/>
      <c r="G1442" s="981"/>
      <c r="H1442" s="981"/>
      <c r="I1442" s="981"/>
      <c r="J1442" s="981"/>
      <c r="K1442" s="981"/>
      <c r="L1442" s="981"/>
      <c r="M1442" s="981"/>
    </row>
    <row r="1443" spans="5:13" ht="15" customHeight="1">
      <c r="E1443" s="551" t="s">
        <v>338</v>
      </c>
      <c r="F1443" s="561">
        <f t="shared" ref="F1443:M1443" si="98">SUM(F1436:F1442)</f>
        <v>786.5328081473566</v>
      </c>
      <c r="G1443" s="561">
        <f t="shared" si="98"/>
        <v>853.86233222156807</v>
      </c>
      <c r="H1443" s="561">
        <f t="shared" si="98"/>
        <v>954.03090652109324</v>
      </c>
      <c r="I1443" s="561">
        <f t="shared" si="98"/>
        <v>733.84000923025815</v>
      </c>
      <c r="J1443" s="561">
        <f t="shared" si="98"/>
        <v>716.50085074852939</v>
      </c>
      <c r="K1443" s="561">
        <f t="shared" si="98"/>
        <v>745.43434247031735</v>
      </c>
      <c r="L1443" s="561">
        <f t="shared" si="98"/>
        <v>776.64448566375222</v>
      </c>
      <c r="M1443" s="561">
        <f t="shared" si="98"/>
        <v>808.37635581983488</v>
      </c>
    </row>
    <row r="1445" spans="5:13" ht="15" customHeight="1">
      <c r="E1445" s="2" t="s">
        <v>896</v>
      </c>
      <c r="M1445" s="554" t="s">
        <v>11</v>
      </c>
    </row>
    <row r="1446" spans="5:13" ht="15" customHeight="1">
      <c r="E1446" s="550" t="s">
        <v>859</v>
      </c>
      <c r="F1446" s="551">
        <v>2018</v>
      </c>
      <c r="G1446" s="551">
        <v>2020</v>
      </c>
      <c r="H1446" s="551">
        <v>2025</v>
      </c>
      <c r="I1446" s="551">
        <v>2030</v>
      </c>
      <c r="J1446" s="551">
        <v>2035</v>
      </c>
      <c r="K1446" s="551">
        <v>2040</v>
      </c>
      <c r="L1446" s="551">
        <v>2045</v>
      </c>
      <c r="M1446" s="551">
        <v>2050</v>
      </c>
    </row>
    <row r="1447" spans="5:13" ht="15" customHeight="1">
      <c r="E1447" s="3" t="s">
        <v>2357</v>
      </c>
      <c r="F1447" s="552" cm="1">
        <f t="array" ref="F1447:M1447">_xlfn.ANCHORARRAY($F$1341)</f>
        <v>248.12012994952286</v>
      </c>
      <c r="G1447" s="3">
        <v>259.13459102651217</v>
      </c>
      <c r="H1447" s="3">
        <v>280.10076821938662</v>
      </c>
      <c r="I1447" s="3">
        <v>290.93875870550056</v>
      </c>
      <c r="J1447" s="3">
        <v>299.10666916171357</v>
      </c>
      <c r="K1447" s="3">
        <v>310.71438598918809</v>
      </c>
      <c r="L1447" s="3">
        <v>322.89152347165117</v>
      </c>
      <c r="M1447" s="3">
        <v>338.20445397354433</v>
      </c>
    </row>
    <row r="1448" spans="5:13" ht="15" customHeight="1">
      <c r="E1448" s="3" t="s">
        <v>2358</v>
      </c>
      <c r="F1448" s="552" cm="1">
        <f t="array" ref="F1448:M1448">_xlfn.ANCHORARRAY($F$1342)</f>
        <v>215.97081321625143</v>
      </c>
      <c r="G1448" s="3">
        <v>225.55811319235602</v>
      </c>
      <c r="H1448" s="3">
        <v>243.80766972492071</v>
      </c>
      <c r="I1448" s="3">
        <v>253.24136468305332</v>
      </c>
      <c r="J1448" s="3">
        <v>260.35094609373823</v>
      </c>
      <c r="K1448" s="3">
        <v>270.45463273667059</v>
      </c>
      <c r="L1448" s="3">
        <v>281.05395930186575</v>
      </c>
      <c r="M1448" s="3">
        <v>294.3827692371604</v>
      </c>
    </row>
    <row r="1449" spans="5:13" ht="15" customHeight="1">
      <c r="E1449" s="3" t="s">
        <v>2359</v>
      </c>
      <c r="F1449" s="552" cm="1">
        <f t="array" ref="F1449:M1449">_xlfn.ANCHORARRAY($F$1351)</f>
        <v>0</v>
      </c>
      <c r="G1449" s="3">
        <v>0</v>
      </c>
      <c r="H1449" s="3">
        <v>0</v>
      </c>
      <c r="I1449" s="3">
        <v>0</v>
      </c>
      <c r="J1449" s="3">
        <v>0</v>
      </c>
      <c r="K1449" s="3">
        <v>0</v>
      </c>
      <c r="L1449" s="3">
        <v>0</v>
      </c>
      <c r="M1449" s="3">
        <v>0</v>
      </c>
    </row>
    <row r="1450" spans="5:13" ht="15" customHeight="1">
      <c r="E1450" s="3" t="s">
        <v>2360</v>
      </c>
      <c r="F1450" s="552" cm="1">
        <f t="array" ref="F1450:M1450">_xlfn.ANCHORARRAY($F$1352)</f>
        <v>0.9087394319812786</v>
      </c>
      <c r="G1450" s="3">
        <v>4.7127167851563732</v>
      </c>
      <c r="H1450" s="3">
        <v>25.248165678043868</v>
      </c>
      <c r="I1450" s="3">
        <v>117.11359155097703</v>
      </c>
      <c r="J1450" s="3">
        <v>203.39097886523223</v>
      </c>
      <c r="K1450" s="3">
        <v>255.97634433052937</v>
      </c>
      <c r="L1450" s="3">
        <v>281.47872770044347</v>
      </c>
      <c r="M1450" s="3">
        <v>296.60778957334639</v>
      </c>
    </row>
    <row r="1451" spans="5:13" ht="15" customHeight="1">
      <c r="E1451" s="958" t="s">
        <v>894</v>
      </c>
      <c r="F1451" s="1077" cm="1">
        <f t="array" ref="F1451:M1451">_xlfn.ANCHORARRAY($F$1361)</f>
        <v>0</v>
      </c>
      <c r="G1451" s="958">
        <v>0</v>
      </c>
      <c r="H1451" s="958">
        <v>0</v>
      </c>
      <c r="I1451" s="958">
        <v>0</v>
      </c>
      <c r="J1451" s="958">
        <v>0</v>
      </c>
      <c r="K1451" s="958">
        <v>0</v>
      </c>
      <c r="L1451" s="958">
        <v>0</v>
      </c>
      <c r="M1451" s="958">
        <v>0</v>
      </c>
    </row>
    <row r="1452" spans="5:13" ht="15" customHeight="1">
      <c r="E1452" s="551" t="s">
        <v>338</v>
      </c>
      <c r="F1452" s="549">
        <f>SUM(F1447:F1451)</f>
        <v>464.99968259775562</v>
      </c>
      <c r="G1452" s="549">
        <f t="shared" ref="G1452:M1452" si="99">SUM(G1447:G1451)</f>
        <v>489.40542100402456</v>
      </c>
      <c r="H1452" s="549">
        <f t="shared" si="99"/>
        <v>549.15660362235121</v>
      </c>
      <c r="I1452" s="549">
        <f t="shared" si="99"/>
        <v>661.2937149395309</v>
      </c>
      <c r="J1452" s="549">
        <f t="shared" si="99"/>
        <v>762.84859412068408</v>
      </c>
      <c r="K1452" s="549">
        <f t="shared" si="99"/>
        <v>837.14536305638808</v>
      </c>
      <c r="L1452" s="549">
        <f t="shared" si="99"/>
        <v>885.42421047396033</v>
      </c>
      <c r="M1452" s="549">
        <f t="shared" si="99"/>
        <v>929.19501278405107</v>
      </c>
    </row>
    <row r="1454" spans="5:13" ht="15" customHeight="1">
      <c r="E1454" s="3" t="s">
        <v>899</v>
      </c>
      <c r="M1454" s="554" t="s">
        <v>11</v>
      </c>
    </row>
    <row r="1455" spans="5:13" ht="15" customHeight="1">
      <c r="E1455" s="550" t="s">
        <v>859</v>
      </c>
      <c r="F1455" s="551">
        <v>2018</v>
      </c>
      <c r="G1455" s="551">
        <v>2020</v>
      </c>
      <c r="H1455" s="551">
        <v>2025</v>
      </c>
      <c r="I1455" s="551">
        <v>2030</v>
      </c>
      <c r="J1455" s="551">
        <v>2035</v>
      </c>
      <c r="K1455" s="551">
        <v>2040</v>
      </c>
      <c r="L1455" s="551">
        <v>2045</v>
      </c>
      <c r="M1455" s="551">
        <v>2050</v>
      </c>
    </row>
    <row r="1456" spans="5:13" ht="15" customHeight="1">
      <c r="E1456" s="3" t="s">
        <v>889</v>
      </c>
      <c r="F1456" s="1046" cm="1">
        <f t="array" ref="F1456:M1456">_xlfn.ANCHORARRAY($F$1343)</f>
        <v>1547.4440135679877</v>
      </c>
      <c r="G1456" s="3">
        <v>2168.7489579385083</v>
      </c>
      <c r="H1456" s="3">
        <v>2257.0158051947901</v>
      </c>
      <c r="I1456" s="3">
        <v>2225.0202289647723</v>
      </c>
      <c r="J1456" s="3">
        <v>2132.4052713411006</v>
      </c>
      <c r="K1456" s="3">
        <v>2022.7419432028323</v>
      </c>
      <c r="L1456" s="3">
        <v>1899.0579532385025</v>
      </c>
      <c r="M1456" s="3">
        <v>1766.686577852269</v>
      </c>
    </row>
    <row r="1457" spans="5:13" ht="15" customHeight="1">
      <c r="E1457" s="3" t="s">
        <v>890</v>
      </c>
      <c r="F1457" s="1046" cm="1">
        <f t="array" ref="F1457:M1457">_xlfn.ANCHORARRAY($F$1353)</f>
        <v>8818.7337665234882</v>
      </c>
      <c r="G1457" s="3">
        <v>8538.6732800377977</v>
      </c>
      <c r="H1457" s="3">
        <v>8798.1264532422592</v>
      </c>
      <c r="I1457" s="3">
        <v>7329.8446888207882</v>
      </c>
      <c r="J1457" s="3">
        <v>5691.5694898274114</v>
      </c>
      <c r="K1457" s="3">
        <v>4578.4752189358906</v>
      </c>
      <c r="L1457" s="3">
        <v>3933.9348199839451</v>
      </c>
      <c r="M1457" s="3">
        <v>3527.4308776712778</v>
      </c>
    </row>
    <row r="1458" spans="5:13" ht="15" customHeight="1">
      <c r="E1458" s="3" t="s">
        <v>2250</v>
      </c>
      <c r="F1458" s="1046" cm="1">
        <f t="array" ref="F1458:M1458">_xlfn.ANCHORARRAY($F$1367)</f>
        <v>0</v>
      </c>
      <c r="G1458" s="3">
        <v>0</v>
      </c>
      <c r="H1458" s="3">
        <v>0</v>
      </c>
      <c r="I1458" s="3">
        <v>0</v>
      </c>
      <c r="J1458" s="3">
        <v>0</v>
      </c>
      <c r="K1458" s="3">
        <v>0</v>
      </c>
      <c r="L1458" s="3">
        <v>0</v>
      </c>
      <c r="M1458" s="3">
        <v>0</v>
      </c>
    </row>
    <row r="1459" spans="5:13" ht="15" customHeight="1">
      <c r="E1459" s="3" t="s">
        <v>893</v>
      </c>
      <c r="F1459" s="1046" cm="1">
        <f t="array" ref="F1459:M1459">_xlfn.ANCHORARRAY($F$1375)</f>
        <v>1.2634597836976236</v>
      </c>
      <c r="G1459" s="3">
        <v>2.1929598945514623</v>
      </c>
      <c r="H1459" s="3">
        <v>3.2640966667500577</v>
      </c>
      <c r="I1459" s="3">
        <v>4.4882789401134993</v>
      </c>
      <c r="J1459" s="3">
        <v>5.8288879539208143</v>
      </c>
      <c r="K1459" s="3">
        <v>7.2692062091162812</v>
      </c>
      <c r="L1459" s="3">
        <v>8.7181104650498913</v>
      </c>
      <c r="M1459" s="3">
        <v>10.102774425406562</v>
      </c>
    </row>
    <row r="1460" spans="5:13" ht="15" customHeight="1">
      <c r="E1460" s="3" t="s">
        <v>498</v>
      </c>
    </row>
    <row r="1461" spans="5:13" ht="15" customHeight="1">
      <c r="E1461" s="3" t="s">
        <v>894</v>
      </c>
      <c r="F1461" s="1046" cm="1">
        <f t="array" ref="F1461:M1461">_xlfn.ANCHORARRAY($F$1362)</f>
        <v>1.3563125513358174E-3</v>
      </c>
      <c r="G1461" s="3">
        <v>7.0338280717747656E-3</v>
      </c>
      <c r="H1461" s="3">
        <v>3.7683413751151702E-2</v>
      </c>
      <c r="I1461" s="3">
        <v>0.17479447745135254</v>
      </c>
      <c r="J1461" s="3">
        <v>0.30356527708052145</v>
      </c>
      <c r="K1461" s="3">
        <v>0.38205003155151801</v>
      </c>
      <c r="L1461" s="3">
        <v>0.42011287050875268</v>
      </c>
      <c r="M1461" s="3">
        <v>0.44269331082640923</v>
      </c>
    </row>
    <row r="1462" spans="5:13" ht="15" customHeight="1">
      <c r="E1462" s="958" t="s">
        <v>603</v>
      </c>
      <c r="F1462" s="958"/>
      <c r="G1462" s="958"/>
      <c r="H1462" s="958"/>
      <c r="I1462" s="958"/>
      <c r="J1462" s="958"/>
      <c r="K1462" s="958"/>
      <c r="L1462" s="958"/>
      <c r="M1462" s="958"/>
    </row>
    <row r="1463" spans="5:13" ht="15" customHeight="1">
      <c r="E1463" s="551" t="s">
        <v>338</v>
      </c>
      <c r="F1463" s="549">
        <f>SUM(F1456:F1462)</f>
        <v>10367.442596187724</v>
      </c>
      <c r="G1463" s="549">
        <f t="shared" ref="G1463:M1463" si="100">SUM(G1456:G1462)</f>
        <v>10709.622231698928</v>
      </c>
      <c r="H1463" s="549">
        <f t="shared" si="100"/>
        <v>11058.444038517549</v>
      </c>
      <c r="I1463" s="549">
        <f t="shared" si="100"/>
        <v>9559.5279912031237</v>
      </c>
      <c r="J1463" s="549">
        <f t="shared" si="100"/>
        <v>7830.1072143995134</v>
      </c>
      <c r="K1463" s="549">
        <f t="shared" si="100"/>
        <v>6608.8684183793903</v>
      </c>
      <c r="L1463" s="549">
        <f t="shared" si="100"/>
        <v>5842.1309965580067</v>
      </c>
      <c r="M1463" s="549">
        <f t="shared" si="100"/>
        <v>5304.6629232597797</v>
      </c>
    </row>
    <row r="1465" spans="5:13" ht="15" customHeight="1">
      <c r="E1465" s="2" t="s">
        <v>900</v>
      </c>
      <c r="M1465" s="554" t="s">
        <v>11</v>
      </c>
    </row>
    <row r="1466" spans="5:13" ht="15" customHeight="1">
      <c r="E1466" s="550" t="s">
        <v>859</v>
      </c>
      <c r="F1466" s="551">
        <v>2018</v>
      </c>
      <c r="G1466" s="551">
        <v>2020</v>
      </c>
      <c r="H1466" s="551">
        <v>2025</v>
      </c>
      <c r="I1466" s="551">
        <v>2030</v>
      </c>
      <c r="J1466" s="551">
        <v>2035</v>
      </c>
      <c r="K1466" s="551">
        <v>2040</v>
      </c>
      <c r="L1466" s="551">
        <v>2045</v>
      </c>
      <c r="M1466" s="551">
        <v>2050</v>
      </c>
    </row>
    <row r="1467" spans="5:13" ht="15" customHeight="1">
      <c r="E1467" s="3" t="s">
        <v>889</v>
      </c>
      <c r="F1467" s="1046" cm="1">
        <f t="array" ref="F1467:M1467">_xlfn.ANCHORARRAY($F$1344)</f>
        <v>27.119950535229659</v>
      </c>
      <c r="G1467" s="3">
        <v>18.074322243050389</v>
      </c>
      <c r="H1467" s="3">
        <v>22.688296872618288</v>
      </c>
      <c r="I1467" s="3">
        <v>26.260665251155945</v>
      </c>
      <c r="J1467" s="3">
        <v>24.813577012370818</v>
      </c>
      <c r="K1467" s="3">
        <v>23.341122725811861</v>
      </c>
      <c r="L1467" s="3">
        <v>21.778397468966975</v>
      </c>
      <c r="M1467" s="3">
        <v>20.154540424355861</v>
      </c>
    </row>
    <row r="1468" spans="5:13" ht="15" customHeight="1">
      <c r="E1468" s="3" t="s">
        <v>890</v>
      </c>
      <c r="F1468" s="552" cm="1">
        <f t="array" ref="F1468:M1468">_xlfn.ANCHORARRAY($F$1354)</f>
        <v>139.03005028905164</v>
      </c>
      <c r="G1468" s="3">
        <v>154.70318821230259</v>
      </c>
      <c r="H1468" s="3">
        <v>161.97792261228452</v>
      </c>
      <c r="I1468" s="3">
        <v>134.27867872194054</v>
      </c>
      <c r="J1468" s="3">
        <v>93.105439258094592</v>
      </c>
      <c r="K1468" s="3">
        <v>58.878735287985833</v>
      </c>
      <c r="L1468" s="3">
        <v>49.17440939825552</v>
      </c>
      <c r="M1468" s="3">
        <v>50.238630181072793</v>
      </c>
    </row>
    <row r="1469" spans="5:13" ht="15" customHeight="1">
      <c r="E1469" s="3" t="s">
        <v>2250</v>
      </c>
      <c r="F1469" s="1046" cm="1">
        <f t="array" ref="F1469:M1469">_xlfn.ANCHORARRAY($F$1368)</f>
        <v>0</v>
      </c>
      <c r="G1469" s="3">
        <v>0</v>
      </c>
      <c r="H1469" s="3">
        <v>0</v>
      </c>
      <c r="I1469" s="3">
        <v>0</v>
      </c>
      <c r="J1469" s="3">
        <v>0</v>
      </c>
      <c r="K1469" s="3">
        <v>0</v>
      </c>
      <c r="L1469" s="3">
        <v>0</v>
      </c>
      <c r="M1469" s="3">
        <v>0</v>
      </c>
    </row>
    <row r="1470" spans="5:13" ht="15" customHeight="1">
      <c r="E1470" s="3" t="s">
        <v>893</v>
      </c>
      <c r="F1470" s="1046" cm="1">
        <f t="array" ref="F1470:M1470">_xlfn.ANCHORARRAY($F$1376)</f>
        <v>0</v>
      </c>
      <c r="G1470" s="3">
        <v>0</v>
      </c>
      <c r="H1470" s="3">
        <v>0</v>
      </c>
      <c r="I1470" s="3">
        <v>0</v>
      </c>
      <c r="J1470" s="3">
        <v>0</v>
      </c>
      <c r="K1470" s="3">
        <v>0</v>
      </c>
      <c r="L1470" s="3">
        <v>0</v>
      </c>
      <c r="M1470" s="3">
        <v>0</v>
      </c>
    </row>
    <row r="1471" spans="5:13" ht="15" customHeight="1">
      <c r="E1471" s="3" t="s">
        <v>498</v>
      </c>
    </row>
    <row r="1472" spans="5:13" ht="15" customHeight="1">
      <c r="E1472" s="3" t="s">
        <v>894</v>
      </c>
      <c r="F1472" s="1046" cm="1">
        <f t="array" ref="F1472:M1472">_xlfn.ANCHORARRAY($F$1363)</f>
        <v>0</v>
      </c>
      <c r="G1472" s="3">
        <v>1.5858811710388617E-4</v>
      </c>
      <c r="H1472" s="3">
        <v>8.4129930484601594E-4</v>
      </c>
      <c r="I1472" s="3">
        <v>3.784103362606068E-3</v>
      </c>
      <c r="J1472" s="3">
        <v>6.4748038635437507E-3</v>
      </c>
      <c r="K1472" s="3">
        <v>8.0746563087458912E-3</v>
      </c>
      <c r="L1472" s="3">
        <v>8.8314436501692826E-3</v>
      </c>
      <c r="M1472" s="3">
        <v>9.3044758725544102E-3</v>
      </c>
    </row>
    <row r="1473" spans="4:13" ht="15" customHeight="1">
      <c r="E1473" s="958" t="s">
        <v>603</v>
      </c>
      <c r="F1473" s="958"/>
      <c r="G1473" s="958"/>
      <c r="H1473" s="958"/>
      <c r="I1473" s="958"/>
      <c r="J1473" s="958"/>
      <c r="K1473" s="958"/>
      <c r="L1473" s="958"/>
      <c r="M1473" s="958"/>
    </row>
    <row r="1474" spans="4:13" ht="15" customHeight="1">
      <c r="E1474" s="551" t="s">
        <v>338</v>
      </c>
      <c r="F1474" s="549">
        <f>SUM(F1467:F1473)</f>
        <v>166.15000082428131</v>
      </c>
      <c r="G1474" s="549">
        <f t="shared" ref="G1474:M1474" si="101">SUM(G1467:G1473)</f>
        <v>172.77766904347007</v>
      </c>
      <c r="H1474" s="549">
        <f t="shared" si="101"/>
        <v>184.66706078420765</v>
      </c>
      <c r="I1474" s="549">
        <f t="shared" si="101"/>
        <v>160.54312807645911</v>
      </c>
      <c r="J1474" s="549">
        <f t="shared" si="101"/>
        <v>117.92549107432895</v>
      </c>
      <c r="K1474" s="549">
        <f t="shared" si="101"/>
        <v>82.227932670106441</v>
      </c>
      <c r="L1474" s="549">
        <f t="shared" si="101"/>
        <v>70.961638310872658</v>
      </c>
      <c r="M1474" s="549">
        <f t="shared" si="101"/>
        <v>70.402475081301205</v>
      </c>
    </row>
    <row r="1476" spans="4:13" ht="15" customHeight="1">
      <c r="E1476" s="2" t="s">
        <v>2244</v>
      </c>
      <c r="M1476" s="554" t="s">
        <v>11</v>
      </c>
    </row>
    <row r="1477" spans="4:13" ht="15" customHeight="1">
      <c r="E1477" s="550" t="s">
        <v>859</v>
      </c>
      <c r="F1477" s="551">
        <v>2018</v>
      </c>
      <c r="G1477" s="551">
        <v>2020</v>
      </c>
      <c r="H1477" s="551">
        <v>2025</v>
      </c>
      <c r="I1477" s="551">
        <v>2030</v>
      </c>
      <c r="J1477" s="551">
        <v>2035</v>
      </c>
      <c r="K1477" s="551">
        <v>2040</v>
      </c>
      <c r="L1477" s="551">
        <v>2045</v>
      </c>
      <c r="M1477" s="551">
        <v>2050</v>
      </c>
    </row>
    <row r="1478" spans="4:13" ht="15" customHeight="1">
      <c r="E1478" s="415" t="s">
        <v>495</v>
      </c>
      <c r="F1478" s="980">
        <v>0</v>
      </c>
      <c r="G1478" s="980">
        <v>0</v>
      </c>
      <c r="H1478" s="980">
        <v>0</v>
      </c>
      <c r="I1478" s="980">
        <v>0</v>
      </c>
      <c r="J1478" s="980">
        <v>0</v>
      </c>
      <c r="K1478" s="980">
        <v>0</v>
      </c>
      <c r="L1478" s="980">
        <v>0</v>
      </c>
      <c r="M1478" s="980">
        <v>0</v>
      </c>
    </row>
    <row r="1479" spans="4:13" ht="15" customHeight="1">
      <c r="E1479" s="958" t="s">
        <v>601</v>
      </c>
      <c r="F1479" s="1044" cm="1">
        <f t="array" ref="F1479:M1479">_xlfn.ANCHORARRAY($F$1364)</f>
        <v>0</v>
      </c>
      <c r="G1479" s="981">
        <v>0</v>
      </c>
      <c r="H1479" s="981">
        <v>0</v>
      </c>
      <c r="I1479" s="981">
        <v>0</v>
      </c>
      <c r="J1479" s="981">
        <v>0</v>
      </c>
      <c r="K1479" s="981">
        <v>0</v>
      </c>
      <c r="L1479" s="981">
        <v>0</v>
      </c>
      <c r="M1479" s="981">
        <v>0</v>
      </c>
    </row>
    <row r="1480" spans="4:13" ht="15" customHeight="1">
      <c r="E1480" s="551" t="s">
        <v>338</v>
      </c>
      <c r="F1480" s="561">
        <f>SUM(F1478:F1479)</f>
        <v>0</v>
      </c>
      <c r="G1480" s="561">
        <f t="shared" ref="G1480:M1480" si="102">SUM(G1478:G1479)</f>
        <v>0</v>
      </c>
      <c r="H1480" s="561">
        <f t="shared" si="102"/>
        <v>0</v>
      </c>
      <c r="I1480" s="561">
        <f t="shared" si="102"/>
        <v>0</v>
      </c>
      <c r="J1480" s="561">
        <f t="shared" si="102"/>
        <v>0</v>
      </c>
      <c r="K1480" s="561">
        <f t="shared" si="102"/>
        <v>0</v>
      </c>
      <c r="L1480" s="561">
        <f t="shared" si="102"/>
        <v>0</v>
      </c>
      <c r="M1480" s="561">
        <f t="shared" si="102"/>
        <v>0</v>
      </c>
    </row>
    <row r="1482" spans="4:13" ht="15" customHeight="1">
      <c r="M1482" s="554" t="s">
        <v>11</v>
      </c>
    </row>
    <row r="1483" spans="4:13" ht="15" customHeight="1">
      <c r="E1483" s="550"/>
      <c r="F1483" s="551">
        <v>2018</v>
      </c>
      <c r="G1483" s="551">
        <v>2020</v>
      </c>
      <c r="H1483" s="551">
        <v>2025</v>
      </c>
      <c r="I1483" s="551">
        <v>2030</v>
      </c>
      <c r="J1483" s="551">
        <v>2035</v>
      </c>
      <c r="K1483" s="551">
        <v>2040</v>
      </c>
      <c r="L1483" s="551">
        <v>2045</v>
      </c>
      <c r="M1483" s="551">
        <v>2050</v>
      </c>
    </row>
    <row r="1484" spans="4:13" ht="15" customHeight="1">
      <c r="E1484" s="551" t="s">
        <v>338</v>
      </c>
      <c r="F1484" s="555">
        <f>F1432+F1443+F1452+F1463+F1474+F1480</f>
        <v>12050.663156774493</v>
      </c>
      <c r="G1484" s="555">
        <f t="shared" ref="G1484:M1484" si="103">G1432+G1443+G1452+G1463+G1474+G1480</f>
        <v>12502.653024190326</v>
      </c>
      <c r="H1484" s="555">
        <f t="shared" si="103"/>
        <v>12992.496681614322</v>
      </c>
      <c r="I1484" s="555">
        <f t="shared" si="103"/>
        <v>11343.027869010346</v>
      </c>
      <c r="J1484" s="555">
        <f t="shared" si="103"/>
        <v>9653.9060046128179</v>
      </c>
      <c r="K1484" s="555">
        <f t="shared" si="103"/>
        <v>8504.1632372478998</v>
      </c>
      <c r="L1484" s="555">
        <f t="shared" si="103"/>
        <v>7811.1855358079347</v>
      </c>
      <c r="M1484" s="555">
        <f t="shared" si="103"/>
        <v>7354.3275331087934</v>
      </c>
    </row>
    <row r="1487" spans="4:13" ht="15" customHeight="1">
      <c r="D1487" s="2">
        <v>6</v>
      </c>
      <c r="E1487" s="2" t="s">
        <v>2361</v>
      </c>
    </row>
    <row r="1488" spans="4:13" ht="15" customHeight="1">
      <c r="D1488" s="2"/>
      <c r="E1488" s="2" t="s">
        <v>2356</v>
      </c>
    </row>
    <row r="1490" spans="5:13" ht="15" customHeight="1">
      <c r="E1490" s="2" t="s">
        <v>899</v>
      </c>
      <c r="M1490" s="554" t="s">
        <v>11</v>
      </c>
    </row>
    <row r="1491" spans="5:13" ht="15" customHeight="1">
      <c r="E1491" s="550" t="s">
        <v>859</v>
      </c>
      <c r="F1491" s="551">
        <v>2018</v>
      </c>
      <c r="G1491" s="551">
        <v>2020</v>
      </c>
      <c r="H1491" s="551">
        <v>2025</v>
      </c>
      <c r="I1491" s="551">
        <v>2030</v>
      </c>
      <c r="J1491" s="551">
        <v>2035</v>
      </c>
      <c r="K1491" s="551">
        <v>2040</v>
      </c>
      <c r="L1491" s="551">
        <v>2045</v>
      </c>
      <c r="M1491" s="551">
        <v>2050</v>
      </c>
    </row>
    <row r="1492" spans="5:13" ht="15" customHeight="1">
      <c r="E1492" s="3" t="s">
        <v>889</v>
      </c>
      <c r="F1492" s="980" cm="1">
        <f t="array" ref="F1492:M1492">_xlfn.ANCHORARRAY($F$1386)</f>
        <v>1694.2474050448263</v>
      </c>
      <c r="G1492" s="980">
        <v>1998.0257728038177</v>
      </c>
      <c r="H1492" s="980">
        <v>2430.1957009369221</v>
      </c>
      <c r="I1492" s="980">
        <v>2823.7887106991225</v>
      </c>
      <c r="J1492" s="980">
        <v>3217.4589343154257</v>
      </c>
      <c r="K1492" s="980">
        <v>3659.9005094547238</v>
      </c>
      <c r="L1492" s="980">
        <v>3960.5408722498664</v>
      </c>
      <c r="M1492" s="980">
        <v>4348.9017538848111</v>
      </c>
    </row>
    <row r="1493" spans="5:13" ht="15" customHeight="1">
      <c r="E1493" s="3" t="s">
        <v>890</v>
      </c>
      <c r="F1493" s="980" cm="1">
        <f t="array" ref="F1493:M1493">_xlfn.ANCHORARRAY($F$1390)</f>
        <v>884.14981396478458</v>
      </c>
      <c r="G1493" s="980">
        <v>1042.6777754306793</v>
      </c>
      <c r="H1493" s="980">
        <v>1268.2073884153597</v>
      </c>
      <c r="I1493" s="980">
        <v>1473.6054815881103</v>
      </c>
      <c r="J1493" s="980">
        <v>1679.0438691207864</v>
      </c>
      <c r="K1493" s="980">
        <v>1909.9337823559474</v>
      </c>
      <c r="L1493" s="980">
        <v>2066.8241633263688</v>
      </c>
      <c r="M1493" s="980">
        <v>2269.4918494189155</v>
      </c>
    </row>
    <row r="1494" spans="5:13" ht="15" customHeight="1">
      <c r="E1494" s="3" t="s">
        <v>2250</v>
      </c>
      <c r="F1494" s="980" cm="1">
        <f t="array" ref="F1494:M1494">_xlfn.ANCHORARRAY($F$1396)</f>
        <v>0</v>
      </c>
      <c r="G1494" s="980">
        <v>0</v>
      </c>
      <c r="H1494" s="980">
        <v>0</v>
      </c>
      <c r="I1494" s="980">
        <v>0</v>
      </c>
      <c r="J1494" s="980">
        <v>0</v>
      </c>
      <c r="K1494" s="980">
        <v>0</v>
      </c>
      <c r="L1494" s="980">
        <v>0</v>
      </c>
      <c r="M1494" s="980">
        <v>0</v>
      </c>
    </row>
    <row r="1495" spans="5:13" ht="15" customHeight="1">
      <c r="E1495" s="3" t="s">
        <v>893</v>
      </c>
      <c r="F1495" s="980" cm="1">
        <f t="array" ref="F1495:M1495">_xlfn.ANCHORARRAY($F$1401)</f>
        <v>567.05289597913509</v>
      </c>
      <c r="G1495" s="980">
        <v>668.95091107899668</v>
      </c>
      <c r="H1495" s="980">
        <v>813.8942480057666</v>
      </c>
      <c r="I1495" s="980">
        <v>945.97898217556269</v>
      </c>
      <c r="J1495" s="980">
        <v>1078.1407150657769</v>
      </c>
      <c r="K1495" s="980">
        <v>1226.695641764398</v>
      </c>
      <c r="L1495" s="980">
        <v>1327.7185309090087</v>
      </c>
      <c r="M1495" s="980">
        <v>1458.1731190513422</v>
      </c>
    </row>
    <row r="1496" spans="5:13" ht="15" customHeight="1">
      <c r="E1496" s="3" t="s">
        <v>498</v>
      </c>
      <c r="F1496" s="980"/>
      <c r="G1496" s="980"/>
      <c r="H1496" s="980"/>
      <c r="I1496" s="980"/>
      <c r="J1496" s="980"/>
      <c r="K1496" s="980"/>
      <c r="L1496" s="980"/>
      <c r="M1496" s="980"/>
    </row>
    <row r="1497" spans="5:13" ht="15" customHeight="1">
      <c r="E1497" s="3" t="s">
        <v>894</v>
      </c>
      <c r="F1497" s="980" cm="1">
        <f t="array" ref="F1497:M1497">_xlfn.ANCHORARRAY($F$1395)</f>
        <v>0</v>
      </c>
      <c r="G1497" s="980">
        <v>0</v>
      </c>
      <c r="H1497" s="980">
        <v>0</v>
      </c>
      <c r="I1497" s="980">
        <v>0</v>
      </c>
      <c r="J1497" s="980">
        <v>0</v>
      </c>
      <c r="K1497" s="980">
        <v>0</v>
      </c>
      <c r="L1497" s="980">
        <v>0</v>
      </c>
      <c r="M1497" s="980">
        <v>0</v>
      </c>
    </row>
    <row r="1498" spans="5:13" ht="15" customHeight="1">
      <c r="E1498" s="958" t="s">
        <v>603</v>
      </c>
      <c r="F1498" s="981"/>
      <c r="G1498" s="981"/>
      <c r="H1498" s="981"/>
      <c r="I1498" s="981"/>
      <c r="J1498" s="981"/>
      <c r="K1498" s="981"/>
      <c r="L1498" s="981"/>
      <c r="M1498" s="981"/>
    </row>
    <row r="1499" spans="5:13" ht="15" customHeight="1">
      <c r="E1499" s="1853" t="s">
        <v>338</v>
      </c>
      <c r="F1499" s="561">
        <f>SUM(F1492:F1498)</f>
        <v>3145.450114988746</v>
      </c>
      <c r="G1499" s="561">
        <f t="shared" ref="G1499:M1499" si="104">SUM(G1492:G1498)</f>
        <v>3709.654459313494</v>
      </c>
      <c r="H1499" s="561">
        <f t="shared" si="104"/>
        <v>4512.297337358048</v>
      </c>
      <c r="I1499" s="561">
        <f t="shared" si="104"/>
        <v>5243.3731744627958</v>
      </c>
      <c r="J1499" s="561">
        <f t="shared" si="104"/>
        <v>5974.6435185019891</v>
      </c>
      <c r="K1499" s="561">
        <f t="shared" si="104"/>
        <v>6796.5299335750688</v>
      </c>
      <c r="L1499" s="561">
        <f t="shared" si="104"/>
        <v>7355.0835664852439</v>
      </c>
      <c r="M1499" s="561">
        <f t="shared" si="104"/>
        <v>8076.5667223550681</v>
      </c>
    </row>
    <row r="1501" spans="5:13" ht="15" customHeight="1">
      <c r="E1501" s="2" t="s">
        <v>2244</v>
      </c>
      <c r="M1501" s="554" t="s">
        <v>11</v>
      </c>
    </row>
    <row r="1502" spans="5:13" ht="15" customHeight="1">
      <c r="E1502" s="550" t="s">
        <v>859</v>
      </c>
      <c r="F1502" s="551">
        <v>2018</v>
      </c>
      <c r="G1502" s="551">
        <v>2020</v>
      </c>
      <c r="H1502" s="551">
        <v>2025</v>
      </c>
      <c r="I1502" s="551">
        <v>2030</v>
      </c>
      <c r="J1502" s="551">
        <v>2035</v>
      </c>
      <c r="K1502" s="551">
        <v>2040</v>
      </c>
      <c r="L1502" s="551">
        <v>2045</v>
      </c>
      <c r="M1502" s="551">
        <v>2050</v>
      </c>
    </row>
    <row r="1503" spans="5:13" ht="15" customHeight="1">
      <c r="E1503" s="3" t="s">
        <v>495</v>
      </c>
      <c r="F1503" s="639" cm="1">
        <f t="array" ref="F1503:M1503">_xlfn.ANCHORARRAY($F$1408)</f>
        <v>137996.33477359783</v>
      </c>
      <c r="G1503" s="639">
        <v>137996.33477359783</v>
      </c>
      <c r="H1503" s="639">
        <v>137996.33477359783</v>
      </c>
      <c r="I1503" s="639">
        <v>137996.33477359783</v>
      </c>
      <c r="J1503" s="639">
        <v>137996.33477359783</v>
      </c>
      <c r="K1503" s="639">
        <v>137996.33477359783</v>
      </c>
      <c r="L1503" s="639">
        <v>137996.33477359783</v>
      </c>
      <c r="M1503" s="639">
        <v>137996.33477359783</v>
      </c>
    </row>
    <row r="1504" spans="5:13" ht="15" customHeight="1">
      <c r="E1504" s="958" t="s">
        <v>601</v>
      </c>
      <c r="F1504" s="1139" cm="1">
        <f t="array" ref="F1504:M1504">_xlfn.ANCHORARRAY($F$1409)</f>
        <v>0</v>
      </c>
      <c r="G1504" s="1139">
        <v>0</v>
      </c>
      <c r="H1504" s="1139">
        <v>0</v>
      </c>
      <c r="I1504" s="1139">
        <v>0</v>
      </c>
      <c r="J1504" s="1139">
        <v>0</v>
      </c>
      <c r="K1504" s="1139">
        <v>0</v>
      </c>
      <c r="L1504" s="1139">
        <v>0</v>
      </c>
      <c r="M1504" s="1139">
        <v>0</v>
      </c>
    </row>
    <row r="1505" spans="4:13" ht="15" customHeight="1">
      <c r="E1505" s="551" t="s">
        <v>338</v>
      </c>
      <c r="F1505" s="1132">
        <f>SUM(F1503:F1504)</f>
        <v>137996.33477359783</v>
      </c>
      <c r="G1505" s="1132">
        <f t="shared" ref="G1505:M1505" si="105">SUM(G1503:G1504)</f>
        <v>137996.33477359783</v>
      </c>
      <c r="H1505" s="1132">
        <f t="shared" si="105"/>
        <v>137996.33477359783</v>
      </c>
      <c r="I1505" s="1132">
        <f t="shared" si="105"/>
        <v>137996.33477359783</v>
      </c>
      <c r="J1505" s="1132">
        <f t="shared" si="105"/>
        <v>137996.33477359783</v>
      </c>
      <c r="K1505" s="1132">
        <f t="shared" si="105"/>
        <v>137996.33477359783</v>
      </c>
      <c r="L1505" s="1132">
        <f t="shared" si="105"/>
        <v>137996.33477359783</v>
      </c>
      <c r="M1505" s="1132">
        <f t="shared" si="105"/>
        <v>137996.33477359783</v>
      </c>
    </row>
    <row r="1507" spans="4:13" ht="15" customHeight="1">
      <c r="E1507" s="2" t="s">
        <v>2266</v>
      </c>
      <c r="M1507" s="554" t="s">
        <v>11</v>
      </c>
    </row>
    <row r="1508" spans="4:13" ht="15" customHeight="1">
      <c r="E1508" s="550" t="s">
        <v>520</v>
      </c>
      <c r="F1508" s="551">
        <v>2018</v>
      </c>
      <c r="G1508" s="551">
        <v>2020</v>
      </c>
      <c r="H1508" s="551">
        <v>2025</v>
      </c>
      <c r="I1508" s="551">
        <v>2030</v>
      </c>
      <c r="J1508" s="551">
        <v>2035</v>
      </c>
      <c r="K1508" s="551">
        <v>2040</v>
      </c>
      <c r="L1508" s="551">
        <v>2045</v>
      </c>
      <c r="M1508" s="551">
        <v>2050</v>
      </c>
    </row>
    <row r="1509" spans="4:13" ht="15" customHeight="1">
      <c r="E1509" s="1047" t="s">
        <v>2266</v>
      </c>
      <c r="F1509" s="561" cm="1">
        <f t="array" ref="F1509:M1509">_xlfn.ANCHORARRAY($F$1413)</f>
        <v>0</v>
      </c>
      <c r="G1509" s="561">
        <v>0</v>
      </c>
      <c r="H1509" s="561">
        <v>0</v>
      </c>
      <c r="I1509" s="561">
        <v>0</v>
      </c>
      <c r="J1509" s="561">
        <v>0</v>
      </c>
      <c r="K1509" s="561">
        <v>0</v>
      </c>
      <c r="L1509" s="561">
        <v>0</v>
      </c>
      <c r="M1509" s="561">
        <v>0</v>
      </c>
    </row>
    <row r="1511" spans="4:13" ht="15" customHeight="1">
      <c r="E1511" s="2" t="s">
        <v>2267</v>
      </c>
      <c r="M1511" s="554" t="s">
        <v>11</v>
      </c>
    </row>
    <row r="1512" spans="4:13" ht="15" customHeight="1">
      <c r="E1512" s="550" t="s">
        <v>520</v>
      </c>
      <c r="F1512" s="551">
        <v>2018</v>
      </c>
      <c r="G1512" s="551">
        <v>2020</v>
      </c>
      <c r="H1512" s="551">
        <v>2025</v>
      </c>
      <c r="I1512" s="551">
        <v>2030</v>
      </c>
      <c r="J1512" s="551">
        <v>2035</v>
      </c>
      <c r="K1512" s="551">
        <v>2040</v>
      </c>
      <c r="L1512" s="551">
        <v>2045</v>
      </c>
      <c r="M1512" s="551">
        <v>2050</v>
      </c>
    </row>
    <row r="1513" spans="4:13" ht="15" customHeight="1">
      <c r="E1513" s="1047" t="s">
        <v>2267</v>
      </c>
      <c r="F1513" s="561" cm="1">
        <f t="array" ref="F1513:M1513">_xlfn.ANCHORARRAY($F$1417)</f>
        <v>0.20164852771498706</v>
      </c>
      <c r="G1513" s="561">
        <v>0.25705638442460194</v>
      </c>
      <c r="H1513" s="561">
        <v>0.32875112028897485</v>
      </c>
      <c r="I1513" s="561">
        <v>0.39358579235233926</v>
      </c>
      <c r="J1513" s="561">
        <v>0.45493745718876083</v>
      </c>
      <c r="K1513" s="561">
        <v>0.51856811163758498</v>
      </c>
      <c r="L1513" s="561">
        <v>0.58431016316430429</v>
      </c>
      <c r="M1513" s="561">
        <v>0.65248600734263473</v>
      </c>
    </row>
    <row r="1515" spans="4:13" ht="15" customHeight="1">
      <c r="E1515" s="550"/>
      <c r="F1515" s="551">
        <v>2018</v>
      </c>
      <c r="G1515" s="551">
        <v>2020</v>
      </c>
      <c r="H1515" s="551">
        <v>2025</v>
      </c>
      <c r="I1515" s="551">
        <v>2030</v>
      </c>
      <c r="J1515" s="551">
        <v>2035</v>
      </c>
      <c r="K1515" s="551">
        <v>2040</v>
      </c>
      <c r="L1515" s="551">
        <v>2045</v>
      </c>
      <c r="M1515" s="551">
        <v>2050</v>
      </c>
    </row>
    <row r="1516" spans="4:13" ht="15" customHeight="1">
      <c r="E1516" s="551" t="s">
        <v>338</v>
      </c>
      <c r="F1516" s="561">
        <f>F1499+F1505+F1509+F1513</f>
        <v>141141.98653711431</v>
      </c>
      <c r="G1516" s="561">
        <f t="shared" ref="G1516:M1516" si="106">G1499+G1505+G1509+G1513</f>
        <v>141706.24628929576</v>
      </c>
      <c r="H1516" s="561">
        <f t="shared" si="106"/>
        <v>142508.96086207617</v>
      </c>
      <c r="I1516" s="561">
        <f t="shared" si="106"/>
        <v>143240.10153385298</v>
      </c>
      <c r="J1516" s="561">
        <f t="shared" si="106"/>
        <v>143971.43322955701</v>
      </c>
      <c r="K1516" s="561">
        <f t="shared" si="106"/>
        <v>144793.38327528455</v>
      </c>
      <c r="L1516" s="561">
        <f t="shared" si="106"/>
        <v>145352.00265024623</v>
      </c>
      <c r="M1516" s="561">
        <f t="shared" si="106"/>
        <v>146073.55398196023</v>
      </c>
    </row>
    <row r="1519" spans="4:13" ht="15" customHeight="1">
      <c r="D1519" s="2" t="s">
        <v>2362</v>
      </c>
      <c r="E1519" s="2" t="s">
        <v>2328</v>
      </c>
    </row>
    <row r="1520" spans="4:13" ht="15" customHeight="1">
      <c r="M1520" s="554" t="s">
        <v>11</v>
      </c>
    </row>
    <row r="1521" spans="4:13" ht="15" customHeight="1">
      <c r="E1521" s="550" t="s">
        <v>1503</v>
      </c>
      <c r="F1521" s="551">
        <v>2018</v>
      </c>
      <c r="G1521" s="551">
        <v>2020</v>
      </c>
      <c r="H1521" s="551">
        <v>2025</v>
      </c>
      <c r="I1521" s="551">
        <v>2030</v>
      </c>
      <c r="J1521" s="551">
        <v>2035</v>
      </c>
      <c r="K1521" s="551">
        <v>2040</v>
      </c>
      <c r="L1521" s="551">
        <v>2045</v>
      </c>
      <c r="M1521" s="551">
        <v>2050</v>
      </c>
    </row>
    <row r="1522" spans="4:13" ht="15" customHeight="1">
      <c r="E1522" s="3" t="s">
        <v>902</v>
      </c>
      <c r="F1522" s="552">
        <f>F1432+F1443+F1452+F1463+F1474</f>
        <v>12050.663156774493</v>
      </c>
      <c r="G1522" s="552">
        <f t="shared" ref="G1522:M1522" si="107">G1432+G1443+G1452+G1463+G1474</f>
        <v>12502.653024190326</v>
      </c>
      <c r="H1522" s="552">
        <f t="shared" si="107"/>
        <v>12992.496681614322</v>
      </c>
      <c r="I1522" s="552">
        <f t="shared" si="107"/>
        <v>11343.027869010346</v>
      </c>
      <c r="J1522" s="552">
        <f t="shared" si="107"/>
        <v>9653.9060046128179</v>
      </c>
      <c r="K1522" s="552">
        <f t="shared" si="107"/>
        <v>8504.1632372478998</v>
      </c>
      <c r="L1522" s="552">
        <f t="shared" si="107"/>
        <v>7811.1855358079347</v>
      </c>
      <c r="M1522" s="552">
        <f t="shared" si="107"/>
        <v>7354.3275331087934</v>
      </c>
    </row>
    <row r="1523" spans="4:13" ht="15" customHeight="1">
      <c r="E1523" s="958" t="s">
        <v>2244</v>
      </c>
      <c r="F1523" s="958">
        <f>F1480</f>
        <v>0</v>
      </c>
      <c r="G1523" s="958">
        <f t="shared" ref="G1523:M1523" si="108">G1480</f>
        <v>0</v>
      </c>
      <c r="H1523" s="958">
        <f t="shared" si="108"/>
        <v>0</v>
      </c>
      <c r="I1523" s="958">
        <f t="shared" si="108"/>
        <v>0</v>
      </c>
      <c r="J1523" s="958">
        <f t="shared" si="108"/>
        <v>0</v>
      </c>
      <c r="K1523" s="958">
        <f t="shared" si="108"/>
        <v>0</v>
      </c>
      <c r="L1523" s="958">
        <f t="shared" si="108"/>
        <v>0</v>
      </c>
      <c r="M1523" s="958">
        <f t="shared" si="108"/>
        <v>0</v>
      </c>
    </row>
    <row r="1524" spans="4:13" ht="15" customHeight="1">
      <c r="E1524" s="551" t="s">
        <v>338</v>
      </c>
      <c r="F1524" s="549">
        <f>SUM(F1522:F1523)</f>
        <v>12050.663156774493</v>
      </c>
      <c r="G1524" s="549">
        <f t="shared" ref="G1524:M1524" si="109">SUM(G1522:G1523)</f>
        <v>12502.653024190326</v>
      </c>
      <c r="H1524" s="549">
        <f t="shared" si="109"/>
        <v>12992.496681614322</v>
      </c>
      <c r="I1524" s="549">
        <f t="shared" si="109"/>
        <v>11343.027869010346</v>
      </c>
      <c r="J1524" s="549">
        <f t="shared" si="109"/>
        <v>9653.9060046128179</v>
      </c>
      <c r="K1524" s="549">
        <f t="shared" si="109"/>
        <v>8504.1632372478998</v>
      </c>
      <c r="L1524" s="549">
        <f t="shared" si="109"/>
        <v>7811.1855358079347</v>
      </c>
      <c r="M1524" s="549">
        <f t="shared" si="109"/>
        <v>7354.3275331087934</v>
      </c>
    </row>
    <row r="1527" spans="4:13" ht="15" customHeight="1">
      <c r="D1527" s="2" t="s">
        <v>2363</v>
      </c>
      <c r="E1527" s="2" t="s">
        <v>2350</v>
      </c>
    </row>
    <row r="1528" spans="4:13" ht="15" customHeight="1">
      <c r="M1528" s="554" t="s">
        <v>11</v>
      </c>
    </row>
    <row r="1529" spans="4:13" ht="15" customHeight="1">
      <c r="E1529" s="550" t="s">
        <v>1503</v>
      </c>
      <c r="F1529" s="551">
        <v>2018</v>
      </c>
      <c r="G1529" s="551">
        <v>2020</v>
      </c>
      <c r="H1529" s="551">
        <v>2025</v>
      </c>
      <c r="I1529" s="551">
        <v>2030</v>
      </c>
      <c r="J1529" s="551">
        <v>2035</v>
      </c>
      <c r="K1529" s="551">
        <v>2040</v>
      </c>
      <c r="L1529" s="551">
        <v>2045</v>
      </c>
      <c r="M1529" s="551">
        <v>2050</v>
      </c>
    </row>
    <row r="1530" spans="4:13" ht="15" customHeight="1">
      <c r="E1530" s="3" t="s">
        <v>902</v>
      </c>
      <c r="F1530" s="980">
        <f>F1499</f>
        <v>3145.450114988746</v>
      </c>
      <c r="G1530" s="980">
        <f t="shared" ref="G1530:M1530" si="110">G1499</f>
        <v>3709.654459313494</v>
      </c>
      <c r="H1530" s="980">
        <f t="shared" si="110"/>
        <v>4512.297337358048</v>
      </c>
      <c r="I1530" s="980">
        <f t="shared" si="110"/>
        <v>5243.3731744627958</v>
      </c>
      <c r="J1530" s="980">
        <f t="shared" si="110"/>
        <v>5974.6435185019891</v>
      </c>
      <c r="K1530" s="980">
        <f t="shared" si="110"/>
        <v>6796.5299335750688</v>
      </c>
      <c r="L1530" s="980">
        <f t="shared" si="110"/>
        <v>7355.0835664852439</v>
      </c>
      <c r="M1530" s="980">
        <f t="shared" si="110"/>
        <v>8076.5667223550681</v>
      </c>
    </row>
    <row r="1531" spans="4:13" ht="15" customHeight="1">
      <c r="E1531" s="3" t="s">
        <v>2244</v>
      </c>
      <c r="F1531" s="980">
        <f>F1505</f>
        <v>137996.33477359783</v>
      </c>
      <c r="G1531" s="980">
        <f t="shared" ref="G1531:M1531" si="111">G1505</f>
        <v>137996.33477359783</v>
      </c>
      <c r="H1531" s="980">
        <f t="shared" si="111"/>
        <v>137996.33477359783</v>
      </c>
      <c r="I1531" s="980">
        <f t="shared" si="111"/>
        <v>137996.33477359783</v>
      </c>
      <c r="J1531" s="980">
        <f t="shared" si="111"/>
        <v>137996.33477359783</v>
      </c>
      <c r="K1531" s="980">
        <f t="shared" si="111"/>
        <v>137996.33477359783</v>
      </c>
      <c r="L1531" s="980">
        <f t="shared" si="111"/>
        <v>137996.33477359783</v>
      </c>
      <c r="M1531" s="980">
        <f t="shared" si="111"/>
        <v>137996.33477359783</v>
      </c>
    </row>
    <row r="1532" spans="4:13" ht="15" customHeight="1">
      <c r="E1532" s="3" t="s">
        <v>2266</v>
      </c>
      <c r="F1532" s="980">
        <f>F1509</f>
        <v>0</v>
      </c>
      <c r="G1532" s="980">
        <f t="shared" ref="G1532:M1532" si="112">G1509</f>
        <v>0</v>
      </c>
      <c r="H1532" s="980">
        <f t="shared" si="112"/>
        <v>0</v>
      </c>
      <c r="I1532" s="980">
        <f t="shared" si="112"/>
        <v>0</v>
      </c>
      <c r="J1532" s="980">
        <f t="shared" si="112"/>
        <v>0</v>
      </c>
      <c r="K1532" s="980">
        <f t="shared" si="112"/>
        <v>0</v>
      </c>
      <c r="L1532" s="980">
        <f t="shared" si="112"/>
        <v>0</v>
      </c>
      <c r="M1532" s="980">
        <f t="shared" si="112"/>
        <v>0</v>
      </c>
    </row>
    <row r="1533" spans="4:13" ht="15" customHeight="1">
      <c r="E1533" s="958" t="s">
        <v>2267</v>
      </c>
      <c r="F1533" s="981">
        <f>F1513</f>
        <v>0.20164852771498706</v>
      </c>
      <c r="G1533" s="981">
        <f t="shared" ref="G1533:M1533" si="113">G1513</f>
        <v>0.25705638442460194</v>
      </c>
      <c r="H1533" s="981">
        <f t="shared" si="113"/>
        <v>0.32875112028897485</v>
      </c>
      <c r="I1533" s="981">
        <f t="shared" si="113"/>
        <v>0.39358579235233926</v>
      </c>
      <c r="J1533" s="981">
        <f t="shared" si="113"/>
        <v>0.45493745718876083</v>
      </c>
      <c r="K1533" s="981">
        <f t="shared" si="113"/>
        <v>0.51856811163758498</v>
      </c>
      <c r="L1533" s="981">
        <f t="shared" si="113"/>
        <v>0.58431016316430429</v>
      </c>
      <c r="M1533" s="981">
        <f t="shared" si="113"/>
        <v>0.65248600734263473</v>
      </c>
    </row>
    <row r="1534" spans="4:13" ht="15" customHeight="1">
      <c r="E1534" s="551" t="s">
        <v>338</v>
      </c>
      <c r="F1534" s="561">
        <f>SUM(F1530:F1533)</f>
        <v>141141.98653711431</v>
      </c>
      <c r="G1534" s="561">
        <f t="shared" ref="G1534:M1534" si="114">SUM(G1530:G1533)</f>
        <v>141706.24628929576</v>
      </c>
      <c r="H1534" s="561">
        <f t="shared" si="114"/>
        <v>142508.96086207617</v>
      </c>
      <c r="I1534" s="561">
        <f t="shared" si="114"/>
        <v>143240.10153385298</v>
      </c>
      <c r="J1534" s="561">
        <f t="shared" si="114"/>
        <v>143971.43322955701</v>
      </c>
      <c r="K1534" s="561">
        <f t="shared" si="114"/>
        <v>144793.38327528455</v>
      </c>
      <c r="L1534" s="561">
        <f t="shared" si="114"/>
        <v>145352.00265024623</v>
      </c>
      <c r="M1534" s="561">
        <f t="shared" si="114"/>
        <v>146073.55398196023</v>
      </c>
    </row>
    <row r="1536" spans="4:13" ht="15" customHeight="1">
      <c r="D1536" s="2" t="s">
        <v>2364</v>
      </c>
      <c r="E1536" s="2" t="s">
        <v>2365</v>
      </c>
    </row>
    <row r="1537" spans="4:14" ht="15" customHeight="1">
      <c r="M1537" s="554" t="s">
        <v>11</v>
      </c>
    </row>
    <row r="1538" spans="4:14" ht="15" customHeight="1">
      <c r="E1538" s="550" t="s">
        <v>1503</v>
      </c>
      <c r="F1538" s="551">
        <v>2018</v>
      </c>
      <c r="G1538" s="551">
        <v>2020</v>
      </c>
      <c r="H1538" s="551">
        <v>2025</v>
      </c>
      <c r="I1538" s="551">
        <v>2030</v>
      </c>
      <c r="J1538" s="551">
        <v>2035</v>
      </c>
      <c r="K1538" s="551">
        <v>2040</v>
      </c>
      <c r="L1538" s="551">
        <v>2045</v>
      </c>
      <c r="M1538" s="551">
        <v>2050</v>
      </c>
    </row>
    <row r="1539" spans="4:14" ht="15" customHeight="1">
      <c r="E1539" s="3" t="s">
        <v>902</v>
      </c>
      <c r="F1539" s="552">
        <f>F1522+F1530</f>
        <v>15196.113271763239</v>
      </c>
      <c r="G1539" s="552">
        <f t="shared" ref="G1539:M1539" si="115">G1522+G1530</f>
        <v>16212.307483503821</v>
      </c>
      <c r="H1539" s="552">
        <f t="shared" si="115"/>
        <v>17504.79401897237</v>
      </c>
      <c r="I1539" s="552">
        <f t="shared" si="115"/>
        <v>16586.401043473143</v>
      </c>
      <c r="J1539" s="552">
        <f t="shared" si="115"/>
        <v>15628.549523114807</v>
      </c>
      <c r="K1539" s="552">
        <f t="shared" si="115"/>
        <v>15300.693170822968</v>
      </c>
      <c r="L1539" s="552">
        <f t="shared" si="115"/>
        <v>15166.269102293179</v>
      </c>
      <c r="M1539" s="552">
        <f t="shared" si="115"/>
        <v>15430.894255463862</v>
      </c>
    </row>
    <row r="1540" spans="4:14" ht="15" customHeight="1">
      <c r="E1540" s="3" t="s">
        <v>2244</v>
      </c>
      <c r="F1540" s="552">
        <f>F1523+F1531</f>
        <v>137996.33477359783</v>
      </c>
      <c r="G1540" s="552">
        <f t="shared" ref="G1540:M1540" si="116">G1523+G1531</f>
        <v>137996.33477359783</v>
      </c>
      <c r="H1540" s="552">
        <f t="shared" si="116"/>
        <v>137996.33477359783</v>
      </c>
      <c r="I1540" s="552">
        <f t="shared" si="116"/>
        <v>137996.33477359783</v>
      </c>
      <c r="J1540" s="552">
        <f t="shared" si="116"/>
        <v>137996.33477359783</v>
      </c>
      <c r="K1540" s="552">
        <f t="shared" si="116"/>
        <v>137996.33477359783</v>
      </c>
      <c r="L1540" s="552">
        <f t="shared" si="116"/>
        <v>137996.33477359783</v>
      </c>
      <c r="M1540" s="552">
        <f t="shared" si="116"/>
        <v>137996.33477359783</v>
      </c>
    </row>
    <row r="1541" spans="4:14" ht="15" customHeight="1">
      <c r="E1541" s="3" t="s">
        <v>2266</v>
      </c>
      <c r="F1541" s="552">
        <f>F1532</f>
        <v>0</v>
      </c>
      <c r="G1541" s="552">
        <f t="shared" ref="G1541:M1541" si="117">G1532</f>
        <v>0</v>
      </c>
      <c r="H1541" s="552">
        <f t="shared" si="117"/>
        <v>0</v>
      </c>
      <c r="I1541" s="552">
        <f t="shared" si="117"/>
        <v>0</v>
      </c>
      <c r="J1541" s="552">
        <f t="shared" si="117"/>
        <v>0</v>
      </c>
      <c r="K1541" s="552">
        <f t="shared" si="117"/>
        <v>0</v>
      </c>
      <c r="L1541" s="552">
        <f t="shared" si="117"/>
        <v>0</v>
      </c>
      <c r="M1541" s="552">
        <f t="shared" si="117"/>
        <v>0</v>
      </c>
    </row>
    <row r="1542" spans="4:14" ht="15" customHeight="1">
      <c r="E1542" s="958" t="s">
        <v>2267</v>
      </c>
      <c r="F1542" s="1079">
        <f>F1533</f>
        <v>0.20164852771498706</v>
      </c>
      <c r="G1542" s="1079">
        <f t="shared" ref="G1542:M1542" si="118">G1533</f>
        <v>0.25705638442460194</v>
      </c>
      <c r="H1542" s="1079">
        <f t="shared" si="118"/>
        <v>0.32875112028897485</v>
      </c>
      <c r="I1542" s="1079">
        <f t="shared" si="118"/>
        <v>0.39358579235233926</v>
      </c>
      <c r="J1542" s="1079">
        <f t="shared" si="118"/>
        <v>0.45493745718876083</v>
      </c>
      <c r="K1542" s="1079">
        <f t="shared" si="118"/>
        <v>0.51856811163758498</v>
      </c>
      <c r="L1542" s="1079">
        <f t="shared" si="118"/>
        <v>0.58431016316430429</v>
      </c>
      <c r="M1542" s="1079">
        <f t="shared" si="118"/>
        <v>0.65248600734263473</v>
      </c>
    </row>
    <row r="1543" spans="4:14" ht="15" customHeight="1">
      <c r="E1543" s="551" t="s">
        <v>338</v>
      </c>
      <c r="F1543" s="549">
        <f>SUM(F1539:F1542)</f>
        <v>153192.64969388879</v>
      </c>
      <c r="G1543" s="549">
        <f t="shared" ref="G1543:M1543" si="119">SUM(G1539:G1542)</f>
        <v>154208.89931348609</v>
      </c>
      <c r="H1543" s="549">
        <f t="shared" si="119"/>
        <v>155501.45754369049</v>
      </c>
      <c r="I1543" s="549">
        <f t="shared" si="119"/>
        <v>154583.12940286333</v>
      </c>
      <c r="J1543" s="549">
        <f t="shared" si="119"/>
        <v>153625.33923416983</v>
      </c>
      <c r="K1543" s="549">
        <f t="shared" si="119"/>
        <v>153297.54651253246</v>
      </c>
      <c r="L1543" s="549">
        <f t="shared" si="119"/>
        <v>153163.18818605418</v>
      </c>
      <c r="M1543" s="549">
        <f t="shared" si="119"/>
        <v>153427.88151506902</v>
      </c>
    </row>
    <row r="1545" spans="4:14" ht="15" customHeight="1">
      <c r="D1545" s="2" t="s">
        <v>2366</v>
      </c>
      <c r="E1545" s="125" t="s">
        <v>2328</v>
      </c>
      <c r="F1545" s="517"/>
      <c r="G1545" s="517"/>
      <c r="H1545" s="517"/>
      <c r="I1545" s="517"/>
      <c r="J1545" s="517"/>
      <c r="K1545" s="517"/>
      <c r="L1545" s="517"/>
      <c r="M1545" s="517"/>
    </row>
    <row r="1546" spans="4:14" ht="15" customHeight="1">
      <c r="E1546" s="517"/>
      <c r="F1546" s="517"/>
      <c r="G1546" s="517"/>
      <c r="H1546" s="517"/>
      <c r="I1546" s="517"/>
      <c r="J1546" s="517"/>
      <c r="K1546" s="517"/>
      <c r="L1546" s="517"/>
      <c r="M1546" s="1056" t="s">
        <v>11</v>
      </c>
    </row>
    <row r="1547" spans="4:14" ht="15" customHeight="1">
      <c r="E1547" s="1847" t="s">
        <v>520</v>
      </c>
      <c r="F1547" s="1848">
        <v>2018</v>
      </c>
      <c r="G1547" s="1848">
        <v>2020</v>
      </c>
      <c r="H1547" s="1848">
        <v>2025</v>
      </c>
      <c r="I1547" s="1848">
        <v>2030</v>
      </c>
      <c r="J1547" s="1848">
        <v>2035</v>
      </c>
      <c r="K1547" s="1848">
        <v>2040</v>
      </c>
      <c r="L1547" s="1848">
        <v>2045</v>
      </c>
      <c r="M1547" s="1848">
        <v>2050</v>
      </c>
    </row>
    <row r="1548" spans="4:14" ht="15" customHeight="1">
      <c r="E1548" s="517" t="s">
        <v>494</v>
      </c>
      <c r="F1548" s="1849">
        <f>F1345</f>
        <v>3084.7432348695033</v>
      </c>
      <c r="G1548" s="1849">
        <f t="shared" ref="G1548:M1548" si="120">G1345</f>
        <v>3795.0360855909839</v>
      </c>
      <c r="H1548" s="1849">
        <f t="shared" si="120"/>
        <v>3995.7812969285496</v>
      </c>
      <c r="I1548" s="1849">
        <f t="shared" si="120"/>
        <v>3748.625524182411</v>
      </c>
      <c r="J1548" s="1849">
        <f t="shared" si="120"/>
        <v>3650.9402503429519</v>
      </c>
      <c r="K1548" s="1849">
        <f t="shared" si="120"/>
        <v>3594.1627882410103</v>
      </c>
      <c r="L1548" s="1849">
        <f t="shared" si="120"/>
        <v>3528.1980030376503</v>
      </c>
      <c r="M1548" s="1849">
        <f t="shared" si="120"/>
        <v>3460.0023208111534</v>
      </c>
      <c r="N1548" s="552"/>
    </row>
    <row r="1549" spans="4:14" ht="15" customHeight="1">
      <c r="E1549" s="517" t="s">
        <v>495</v>
      </c>
      <c r="F1549" s="1849">
        <f>F1355</f>
        <v>8964.5928982938749</v>
      </c>
      <c r="G1549" s="1849">
        <f t="shared" ref="G1549:M1549" si="121">G1355</f>
        <v>8705.3493527584506</v>
      </c>
      <c r="H1549" s="1849">
        <f t="shared" si="121"/>
        <v>8993.3356299264833</v>
      </c>
      <c r="I1549" s="1849">
        <f t="shared" si="121"/>
        <v>7589.6225515918122</v>
      </c>
      <c r="J1549" s="1849">
        <f t="shared" si="121"/>
        <v>5996.7031636852871</v>
      </c>
      <c r="K1549" s="1849">
        <f t="shared" si="121"/>
        <v>4902.2117506987797</v>
      </c>
      <c r="L1549" s="1849">
        <f t="shared" si="121"/>
        <v>4273.7057289028198</v>
      </c>
      <c r="M1549" s="1849">
        <f t="shared" si="121"/>
        <v>3883.6302457616503</v>
      </c>
    </row>
    <row r="1550" spans="4:14" ht="15" customHeight="1">
      <c r="E1550" s="517" t="s">
        <v>601</v>
      </c>
      <c r="F1550" s="1850">
        <f>F1369</f>
        <v>1.3693473042356689E-3</v>
      </c>
      <c r="G1550" s="1850">
        <f t="shared" ref="G1550:M1550" si="122">G1369</f>
        <v>7.4556257694265698E-3</v>
      </c>
      <c r="H1550" s="1850">
        <f t="shared" si="122"/>
        <v>4.0608024207323568E-2</v>
      </c>
      <c r="I1550" s="1850">
        <f t="shared" si="122"/>
        <v>0.21143303885053996</v>
      </c>
      <c r="J1550" s="1850">
        <f t="shared" si="122"/>
        <v>0.3499377383326216</v>
      </c>
      <c r="K1550" s="1850">
        <f t="shared" si="122"/>
        <v>0.43204692395654459</v>
      </c>
      <c r="L1550" s="1850">
        <f t="shared" si="122"/>
        <v>0.47257904566061637</v>
      </c>
      <c r="M1550" s="1850">
        <f t="shared" si="122"/>
        <v>0.49735520432652963</v>
      </c>
    </row>
    <row r="1551" spans="4:14" ht="15" customHeight="1">
      <c r="E1551" s="1489" t="s">
        <v>590</v>
      </c>
      <c r="F1551" s="1851">
        <f t="shared" ref="F1551:M1551" si="123">F1377</f>
        <v>1.3256542638091586</v>
      </c>
      <c r="G1551" s="1851">
        <f t="shared" si="123"/>
        <v>2.2601302151240121</v>
      </c>
      <c r="H1551" s="1851">
        <f t="shared" si="123"/>
        <v>3.3391467350821573</v>
      </c>
      <c r="I1551" s="1851">
        <f t="shared" si="123"/>
        <v>4.5683601972740391</v>
      </c>
      <c r="J1551" s="1851">
        <f t="shared" si="123"/>
        <v>5.9126528462446633</v>
      </c>
      <c r="K1551" s="1851">
        <f t="shared" si="123"/>
        <v>7.356651384154909</v>
      </c>
      <c r="L1551" s="1851">
        <f t="shared" si="123"/>
        <v>8.8092248218043796</v>
      </c>
      <c r="M1551" s="1851">
        <f t="shared" si="123"/>
        <v>10.197611331662854</v>
      </c>
    </row>
    <row r="1552" spans="4:14" ht="15" customHeight="1">
      <c r="E1552" s="517" t="s">
        <v>498</v>
      </c>
      <c r="F1552" s="1850"/>
      <c r="G1552" s="1850"/>
      <c r="H1552" s="1850"/>
      <c r="I1552" s="1850"/>
      <c r="J1552" s="1850"/>
      <c r="K1552" s="1850"/>
      <c r="L1552" s="1850"/>
      <c r="M1552" s="1850"/>
    </row>
    <row r="1553" spans="4:13" ht="15" customHeight="1">
      <c r="E1553" s="517"/>
      <c r="F1553" s="1850"/>
      <c r="G1553" s="1850"/>
      <c r="H1553" s="1850"/>
      <c r="I1553" s="1850"/>
      <c r="J1553" s="1850"/>
      <c r="K1553" s="1850"/>
      <c r="L1553" s="1850"/>
      <c r="M1553" s="1850"/>
    </row>
    <row r="1554" spans="4:13" ht="15" customHeight="1">
      <c r="E1554" s="517"/>
      <c r="F1554" s="517"/>
      <c r="G1554" s="517"/>
      <c r="H1554" s="517"/>
      <c r="I1554" s="517"/>
      <c r="J1554" s="517"/>
      <c r="K1554" s="517"/>
      <c r="L1554" s="517"/>
      <c r="M1554" s="1056" t="s">
        <v>11</v>
      </c>
    </row>
    <row r="1555" spans="4:13" ht="15" customHeight="1">
      <c r="E1555" s="1848" t="s">
        <v>338</v>
      </c>
      <c r="F1555" s="1852">
        <f>SUM(F1548:F1553)</f>
        <v>12050.663156774493</v>
      </c>
      <c r="G1555" s="1852">
        <f t="shared" ref="G1555:M1555" si="124">SUM(G1548:G1553)</f>
        <v>12502.653024190327</v>
      </c>
      <c r="H1555" s="1852">
        <f t="shared" si="124"/>
        <v>12992.496681614322</v>
      </c>
      <c r="I1555" s="1852">
        <f t="shared" si="124"/>
        <v>11343.027869010348</v>
      </c>
      <c r="J1555" s="1852">
        <f t="shared" si="124"/>
        <v>9653.9060046128161</v>
      </c>
      <c r="K1555" s="1852">
        <f t="shared" si="124"/>
        <v>8504.1632372479016</v>
      </c>
      <c r="L1555" s="1852">
        <f t="shared" si="124"/>
        <v>7811.1855358079356</v>
      </c>
      <c r="M1555" s="1852">
        <f t="shared" si="124"/>
        <v>7354.3275331087934</v>
      </c>
    </row>
    <row r="1557" spans="4:13" ht="15" customHeight="1">
      <c r="D1557" s="2" t="s">
        <v>2367</v>
      </c>
      <c r="E1557" s="2" t="s">
        <v>2350</v>
      </c>
    </row>
    <row r="1558" spans="4:13" ht="15" customHeight="1">
      <c r="M1558" s="554" t="s">
        <v>11</v>
      </c>
    </row>
    <row r="1559" spans="4:13" ht="15" customHeight="1">
      <c r="E1559" s="550" t="s">
        <v>520</v>
      </c>
      <c r="F1559" s="551">
        <v>2018</v>
      </c>
      <c r="G1559" s="551">
        <v>2020</v>
      </c>
      <c r="H1559" s="551">
        <v>2025</v>
      </c>
      <c r="I1559" s="551">
        <v>2030</v>
      </c>
      <c r="J1559" s="551">
        <v>2035</v>
      </c>
      <c r="K1559" s="551">
        <v>2040</v>
      </c>
      <c r="L1559" s="551">
        <v>2045</v>
      </c>
      <c r="M1559" s="551">
        <v>2050</v>
      </c>
    </row>
    <row r="1560" spans="4:13" ht="15" customHeight="1">
      <c r="E1560" s="3" t="s">
        <v>494</v>
      </c>
      <c r="F1560" s="954">
        <f t="shared" ref="F1560:M1560" si="125">F1386</f>
        <v>1694.2474050448263</v>
      </c>
      <c r="G1560" s="954">
        <f t="shared" si="125"/>
        <v>1998.0257728038177</v>
      </c>
      <c r="H1560" s="954">
        <f t="shared" si="125"/>
        <v>2430.1957009369221</v>
      </c>
      <c r="I1560" s="954">
        <f t="shared" si="125"/>
        <v>2823.7887106991225</v>
      </c>
      <c r="J1560" s="954">
        <f t="shared" si="125"/>
        <v>3217.4589343154257</v>
      </c>
      <c r="K1560" s="954">
        <f t="shared" si="125"/>
        <v>3659.9005094547238</v>
      </c>
      <c r="L1560" s="954">
        <f t="shared" si="125"/>
        <v>3960.5408722498664</v>
      </c>
      <c r="M1560" s="954">
        <f t="shared" si="125"/>
        <v>4348.9017538848111</v>
      </c>
    </row>
    <row r="1561" spans="4:13" ht="15" customHeight="1">
      <c r="E1561" s="3" t="s">
        <v>495</v>
      </c>
      <c r="F1561" s="954">
        <f t="shared" ref="F1561:M1561" si="126">F1390</f>
        <v>884.14981396478458</v>
      </c>
      <c r="G1561" s="954">
        <f t="shared" si="126"/>
        <v>1042.6777754306793</v>
      </c>
      <c r="H1561" s="954">
        <f t="shared" si="126"/>
        <v>1268.2073884153597</v>
      </c>
      <c r="I1561" s="954">
        <f t="shared" si="126"/>
        <v>1473.6054815881103</v>
      </c>
      <c r="J1561" s="954">
        <f t="shared" si="126"/>
        <v>1679.0438691207864</v>
      </c>
      <c r="K1561" s="954">
        <f t="shared" si="126"/>
        <v>1909.9337823559474</v>
      </c>
      <c r="L1561" s="954">
        <f t="shared" si="126"/>
        <v>2066.8241633263688</v>
      </c>
      <c r="M1561" s="954">
        <f t="shared" si="126"/>
        <v>2269.4918494189155</v>
      </c>
    </row>
    <row r="1562" spans="4:13" ht="15" customHeight="1">
      <c r="E1562" s="3" t="s">
        <v>601</v>
      </c>
      <c r="F1562" s="1626" cm="1">
        <f t="array" ref="F1562:M1562">F1397:M1397</f>
        <v>0</v>
      </c>
      <c r="G1562" s="3">
        <v>0</v>
      </c>
      <c r="H1562" s="3">
        <v>0</v>
      </c>
      <c r="I1562" s="3">
        <v>0</v>
      </c>
      <c r="J1562" s="3">
        <v>0</v>
      </c>
      <c r="K1562" s="3">
        <v>0</v>
      </c>
      <c r="L1562" s="3">
        <v>0</v>
      </c>
      <c r="M1562" s="3">
        <v>0</v>
      </c>
    </row>
    <row r="1563" spans="4:13" ht="15" customHeight="1">
      <c r="E1563" s="3" t="s">
        <v>590</v>
      </c>
      <c r="F1563" s="1046">
        <f t="shared" ref="F1563:M1563" si="127">F1401</f>
        <v>567.05289597913509</v>
      </c>
      <c r="G1563" s="1046">
        <f t="shared" si="127"/>
        <v>668.95091107899668</v>
      </c>
      <c r="H1563" s="1046">
        <f t="shared" si="127"/>
        <v>813.8942480057666</v>
      </c>
      <c r="I1563" s="1046">
        <f t="shared" si="127"/>
        <v>945.97898217556269</v>
      </c>
      <c r="J1563" s="1046">
        <f t="shared" si="127"/>
        <v>1078.1407150657769</v>
      </c>
      <c r="K1563" s="1046">
        <f t="shared" si="127"/>
        <v>1226.695641764398</v>
      </c>
      <c r="L1563" s="1046">
        <f t="shared" si="127"/>
        <v>1327.7185309090087</v>
      </c>
      <c r="M1563" s="1046">
        <f t="shared" si="127"/>
        <v>1458.1731190513422</v>
      </c>
    </row>
    <row r="1564" spans="4:13" ht="15" customHeight="1">
      <c r="E1564" s="3" t="s">
        <v>498</v>
      </c>
      <c r="F1564" s="1046"/>
      <c r="G1564" s="1046"/>
      <c r="H1564" s="1046"/>
      <c r="I1564" s="1046"/>
      <c r="J1564" s="1046"/>
      <c r="K1564" s="1046"/>
      <c r="L1564" s="1046"/>
      <c r="M1564" s="1046"/>
    </row>
    <row r="1565" spans="4:13" ht="15" customHeight="1">
      <c r="E1565" s="958" t="s">
        <v>602</v>
      </c>
      <c r="F1565" s="1077">
        <f t="shared" ref="F1565:M1565" si="128">F1533</f>
        <v>0.20164852771498706</v>
      </c>
      <c r="G1565" s="1077">
        <f t="shared" si="128"/>
        <v>0.25705638442460194</v>
      </c>
      <c r="H1565" s="1077">
        <f t="shared" si="128"/>
        <v>0.32875112028897485</v>
      </c>
      <c r="I1565" s="1077">
        <f t="shared" si="128"/>
        <v>0.39358579235233926</v>
      </c>
      <c r="J1565" s="1077">
        <f t="shared" si="128"/>
        <v>0.45493745718876083</v>
      </c>
      <c r="K1565" s="1077">
        <f t="shared" si="128"/>
        <v>0.51856811163758498</v>
      </c>
      <c r="L1565" s="1077">
        <f t="shared" si="128"/>
        <v>0.58431016316430429</v>
      </c>
      <c r="M1565" s="1077">
        <f t="shared" si="128"/>
        <v>0.65248600734263473</v>
      </c>
    </row>
    <row r="1566" spans="4:13" ht="15" customHeight="1">
      <c r="E1566" s="551" t="s">
        <v>338</v>
      </c>
      <c r="F1566" s="549">
        <f t="shared" ref="F1566:M1566" si="129">SUM(F1560:F1565)</f>
        <v>3145.651763516461</v>
      </c>
      <c r="G1566" s="549">
        <f t="shared" si="129"/>
        <v>3709.9115156979187</v>
      </c>
      <c r="H1566" s="549">
        <f t="shared" si="129"/>
        <v>4512.6260884783369</v>
      </c>
      <c r="I1566" s="549">
        <f t="shared" si="129"/>
        <v>5243.7667602551483</v>
      </c>
      <c r="J1566" s="549">
        <f t="shared" si="129"/>
        <v>5975.098455959178</v>
      </c>
      <c r="K1566" s="549">
        <f t="shared" si="129"/>
        <v>6797.048501686706</v>
      </c>
      <c r="L1566" s="549">
        <f t="shared" si="129"/>
        <v>7355.6678766484083</v>
      </c>
      <c r="M1566" s="549">
        <f t="shared" si="129"/>
        <v>8077.2192083624104</v>
      </c>
    </row>
    <row r="1568" spans="4:13" ht="15" customHeight="1">
      <c r="D1568" s="2" t="s">
        <v>2368</v>
      </c>
      <c r="E1568" s="2" t="s">
        <v>2365</v>
      </c>
    </row>
    <row r="1569" spans="5:13" ht="15" customHeight="1">
      <c r="M1569" s="554" t="s">
        <v>9</v>
      </c>
    </row>
    <row r="1570" spans="5:13" ht="15" customHeight="1">
      <c r="E1570" s="550" t="s">
        <v>520</v>
      </c>
      <c r="F1570" s="551">
        <v>2018</v>
      </c>
      <c r="G1570" s="551">
        <v>2020</v>
      </c>
      <c r="H1570" s="551">
        <v>2025</v>
      </c>
      <c r="I1570" s="551">
        <v>2030</v>
      </c>
      <c r="J1570" s="551">
        <v>2035</v>
      </c>
      <c r="K1570" s="551">
        <v>2040</v>
      </c>
      <c r="L1570" s="551">
        <v>2045</v>
      </c>
      <c r="M1570" s="551">
        <v>2050</v>
      </c>
    </row>
    <row r="1571" spans="5:13" ht="15" customHeight="1">
      <c r="E1571" s="3" t="s">
        <v>494</v>
      </c>
      <c r="F1571" s="552">
        <f t="shared" ref="F1571:M1574" si="130">(F1548+F1560)*UNIDAD_TJ_A_TWH</f>
        <v>1.3274973999762025</v>
      </c>
      <c r="G1571" s="552">
        <f t="shared" si="130"/>
        <v>1.6091838495541115</v>
      </c>
      <c r="H1571" s="552">
        <f t="shared" si="130"/>
        <v>1.7849936105181865</v>
      </c>
      <c r="I1571" s="552">
        <f t="shared" si="130"/>
        <v>1.8256706208004259</v>
      </c>
      <c r="J1571" s="552">
        <f t="shared" si="130"/>
        <v>1.9078886624051048</v>
      </c>
      <c r="K1571" s="552">
        <f t="shared" si="130"/>
        <v>2.0150175826932593</v>
      </c>
      <c r="L1571" s="552">
        <f t="shared" si="130"/>
        <v>2.0802052431354214</v>
      </c>
      <c r="M1571" s="552">
        <f t="shared" si="130"/>
        <v>2.1691400207488791</v>
      </c>
    </row>
    <row r="1572" spans="5:13" ht="15" customHeight="1">
      <c r="E1572" s="3" t="s">
        <v>495</v>
      </c>
      <c r="F1572" s="552">
        <f t="shared" si="130"/>
        <v>2.7357618645162942</v>
      </c>
      <c r="G1572" s="552">
        <f t="shared" si="130"/>
        <v>2.7077853133858691</v>
      </c>
      <c r="H1572" s="552">
        <f t="shared" si="130"/>
        <v>2.8504286162060675</v>
      </c>
      <c r="I1572" s="552">
        <f t="shared" si="130"/>
        <v>2.5175633425499786</v>
      </c>
      <c r="J1572" s="552">
        <f t="shared" si="130"/>
        <v>2.1321519535572429</v>
      </c>
      <c r="K1572" s="552">
        <f t="shared" si="130"/>
        <v>1.8922626480707574</v>
      </c>
      <c r="L1572" s="552">
        <f t="shared" si="130"/>
        <v>1.7612583033969968</v>
      </c>
      <c r="M1572" s="552">
        <f t="shared" si="130"/>
        <v>1.7092005819946017</v>
      </c>
    </row>
    <row r="1573" spans="5:13" ht="15" customHeight="1">
      <c r="E1573" s="3" t="s">
        <v>601</v>
      </c>
      <c r="F1573" s="552">
        <f t="shared" si="130"/>
        <v>3.8037425117657468E-7</v>
      </c>
      <c r="G1573" s="552">
        <f t="shared" si="130"/>
        <v>2.0710071581740471E-6</v>
      </c>
      <c r="H1573" s="552">
        <f t="shared" si="130"/>
        <v>1.1280006724256547E-5</v>
      </c>
      <c r="I1573" s="552">
        <f t="shared" si="130"/>
        <v>5.8731399680705542E-5</v>
      </c>
      <c r="J1573" s="552">
        <f t="shared" si="130"/>
        <v>9.7204927314617116E-5</v>
      </c>
      <c r="K1573" s="552">
        <f t="shared" si="130"/>
        <v>1.200130344323735E-4</v>
      </c>
      <c r="L1573" s="552">
        <f t="shared" si="130"/>
        <v>1.31271957127949E-4</v>
      </c>
      <c r="M1573" s="552">
        <f t="shared" si="130"/>
        <v>1.3815422342403601E-4</v>
      </c>
    </row>
    <row r="1574" spans="5:13" ht="15" customHeight="1">
      <c r="E1574" s="3" t="s">
        <v>590</v>
      </c>
      <c r="F1574" s="552">
        <f t="shared" si="130"/>
        <v>0.15788293062304007</v>
      </c>
      <c r="G1574" s="552">
        <f t="shared" si="130"/>
        <v>0.18644751147058908</v>
      </c>
      <c r="H1574" s="552">
        <f t="shared" si="130"/>
        <v>0.22700927631690243</v>
      </c>
      <c r="I1574" s="552">
        <f t="shared" si="130"/>
        <v>0.26404092843689908</v>
      </c>
      <c r="J1574" s="552">
        <f t="shared" si="130"/>
        <v>0.30112593553111711</v>
      </c>
      <c r="K1574" s="552">
        <f t="shared" si="130"/>
        <v>0.34279230365237584</v>
      </c>
      <c r="L1574" s="552">
        <f t="shared" si="130"/>
        <v>0.37125770992522589</v>
      </c>
      <c r="M1574" s="552">
        <f t="shared" si="130"/>
        <v>0.4078807584397236</v>
      </c>
    </row>
    <row r="1575" spans="5:13" ht="15" customHeight="1">
      <c r="E1575" s="3" t="s">
        <v>498</v>
      </c>
      <c r="F1575" s="552"/>
      <c r="G1575" s="552"/>
      <c r="H1575" s="552"/>
      <c r="I1575" s="552"/>
      <c r="J1575" s="552"/>
      <c r="K1575" s="552"/>
      <c r="L1575" s="552"/>
      <c r="M1575" s="552"/>
    </row>
    <row r="1576" spans="5:13" ht="15" customHeight="1">
      <c r="E1576" s="958" t="s">
        <v>602</v>
      </c>
      <c r="F1576" s="1077">
        <f t="shared" ref="F1576:M1576" si="131">F1565*UNIDAD_TJ_A_TWH</f>
        <v>5.6013479920829742E-5</v>
      </c>
      <c r="G1576" s="1077">
        <f t="shared" si="131"/>
        <v>7.140455122905609E-5</v>
      </c>
      <c r="H1576" s="1077">
        <f t="shared" si="131"/>
        <v>9.1319755635826342E-5</v>
      </c>
      <c r="I1576" s="1077">
        <f t="shared" si="131"/>
        <v>1.0932938676453869E-4</v>
      </c>
      <c r="J1576" s="1077">
        <f t="shared" si="131"/>
        <v>1.263715158857669E-4</v>
      </c>
      <c r="K1576" s="1077">
        <f t="shared" si="131"/>
        <v>1.4404669767710695E-4</v>
      </c>
      <c r="L1576" s="1077">
        <f t="shared" si="131"/>
        <v>1.623083786567512E-4</v>
      </c>
      <c r="M1576" s="1077">
        <f t="shared" si="131"/>
        <v>1.8124611315073187E-4</v>
      </c>
    </row>
    <row r="1577" spans="5:13" ht="15" customHeight="1">
      <c r="E1577" s="551" t="s">
        <v>338</v>
      </c>
      <c r="F1577" s="549">
        <f t="shared" ref="F1577:M1577" si="132">SUM(F1571:F1576)</f>
        <v>4.2211985889697088</v>
      </c>
      <c r="G1577" s="549">
        <f t="shared" si="132"/>
        <v>4.5034901499689566</v>
      </c>
      <c r="H1577" s="549">
        <f t="shared" si="132"/>
        <v>4.8625341028035161</v>
      </c>
      <c r="I1577" s="549">
        <f t="shared" si="132"/>
        <v>4.6074429525737486</v>
      </c>
      <c r="J1577" s="549">
        <f t="shared" si="132"/>
        <v>4.3413901279366645</v>
      </c>
      <c r="K1577" s="549">
        <f t="shared" si="132"/>
        <v>4.2503365941485027</v>
      </c>
      <c r="L1577" s="549">
        <f t="shared" si="132"/>
        <v>4.2130148367934286</v>
      </c>
      <c r="M1577" s="549">
        <f t="shared" si="132"/>
        <v>4.2865407615197793</v>
      </c>
    </row>
    <row r="1579" spans="5:13" ht="15" customHeight="1">
      <c r="M1579" s="554" t="s">
        <v>9</v>
      </c>
    </row>
    <row r="1580" spans="5:13" ht="15" customHeight="1">
      <c r="E1580" s="550"/>
      <c r="F1580" s="551">
        <v>2018</v>
      </c>
      <c r="G1580" s="551">
        <v>2020</v>
      </c>
      <c r="H1580" s="551">
        <v>2025</v>
      </c>
      <c r="I1580" s="551">
        <v>2030</v>
      </c>
      <c r="J1580" s="551">
        <v>2035</v>
      </c>
      <c r="K1580" s="551">
        <v>2040</v>
      </c>
      <c r="L1580" s="551">
        <v>2045</v>
      </c>
      <c r="M1580" s="551">
        <v>2050</v>
      </c>
    </row>
    <row r="1581" spans="5:13" ht="15" customHeight="1">
      <c r="E1581" s="2" t="s">
        <v>2369</v>
      </c>
      <c r="F1581" s="552">
        <f t="shared" ref="F1581:M1581" si="133">F1571+F1572</f>
        <v>4.0632592644924967</v>
      </c>
      <c r="G1581" s="552">
        <f t="shared" si="133"/>
        <v>4.3169691629399809</v>
      </c>
      <c r="H1581" s="552">
        <f t="shared" si="133"/>
        <v>4.6354222267242537</v>
      </c>
      <c r="I1581" s="552">
        <f t="shared" si="133"/>
        <v>4.3432339633504045</v>
      </c>
      <c r="J1581" s="552">
        <f t="shared" si="133"/>
        <v>4.0400406159623472</v>
      </c>
      <c r="K1581" s="552">
        <f t="shared" si="133"/>
        <v>3.9072802307640169</v>
      </c>
      <c r="L1581" s="552">
        <f t="shared" si="133"/>
        <v>3.8414635465324185</v>
      </c>
      <c r="M1581" s="552">
        <f t="shared" si="133"/>
        <v>3.8783406027434806</v>
      </c>
    </row>
    <row r="1582" spans="5:13" ht="15" customHeight="1">
      <c r="E1582" s="1080" t="s">
        <v>2370</v>
      </c>
      <c r="F1582" s="1079">
        <f t="shared" ref="F1582:M1582" si="134">F1574</f>
        <v>0.15788293062304007</v>
      </c>
      <c r="G1582" s="1079">
        <f t="shared" si="134"/>
        <v>0.18644751147058908</v>
      </c>
      <c r="H1582" s="1079">
        <f t="shared" si="134"/>
        <v>0.22700927631690243</v>
      </c>
      <c r="I1582" s="1079">
        <f t="shared" si="134"/>
        <v>0.26404092843689908</v>
      </c>
      <c r="J1582" s="1079">
        <f t="shared" si="134"/>
        <v>0.30112593553111711</v>
      </c>
      <c r="K1582" s="1079">
        <f t="shared" si="134"/>
        <v>0.34279230365237584</v>
      </c>
      <c r="L1582" s="1079">
        <f t="shared" si="134"/>
        <v>0.37125770992522589</v>
      </c>
      <c r="M1582" s="1079">
        <f t="shared" si="134"/>
        <v>0.4078807584397236</v>
      </c>
    </row>
    <row r="1583" spans="5:13" ht="15" customHeight="1">
      <c r="E1583" s="2"/>
    </row>
    <row r="1584" spans="5:13" ht="15" customHeight="1">
      <c r="E1584" s="2" t="s">
        <v>2371</v>
      </c>
    </row>
    <row r="1585" spans="5:13" ht="15" customHeight="1">
      <c r="E1585" s="2"/>
    </row>
    <row r="1586" spans="5:13" ht="15" customHeight="1">
      <c r="E1586" s="2" t="s">
        <v>694</v>
      </c>
      <c r="M1586" s="554" t="s">
        <v>29</v>
      </c>
    </row>
    <row r="1587" spans="5:13" ht="15" customHeight="1">
      <c r="E1587" s="550" t="s">
        <v>520</v>
      </c>
      <c r="F1587" s="551">
        <v>2018</v>
      </c>
      <c r="G1587" s="551">
        <v>2020</v>
      </c>
      <c r="H1587" s="551">
        <v>2025</v>
      </c>
      <c r="I1587" s="551">
        <v>2030</v>
      </c>
      <c r="J1587" s="551">
        <v>2035</v>
      </c>
      <c r="K1587" s="551">
        <v>2040</v>
      </c>
      <c r="L1587" s="551">
        <v>2045</v>
      </c>
      <c r="M1587" s="551">
        <v>2050</v>
      </c>
    </row>
    <row r="1588" spans="5:13" ht="15" customHeight="1">
      <c r="E1588" s="3" t="s">
        <v>494</v>
      </c>
      <c r="F1588" s="552" cm="1">
        <f t="array" ref="F1588:M1588">F1571:M1571*UNIDAD_TWH_A_TJ*FE_TRANSPORTE_TERRESTRE_CO2_GASOLINA_MOTORES*UNIDAD_KG_A_MT</f>
        <v>0.33129731342422897</v>
      </c>
      <c r="G1588" s="552">
        <v>0.40159648235280371</v>
      </c>
      <c r="H1588" s="552">
        <v>0.44547250160692659</v>
      </c>
      <c r="I1588" s="552">
        <v>0.45562407269465693</v>
      </c>
      <c r="J1588" s="552">
        <v>0.476142844557502</v>
      </c>
      <c r="K1588" s="552">
        <v>0.50287850783046972</v>
      </c>
      <c r="L1588" s="552">
        <v>0.51914708716876923</v>
      </c>
      <c r="M1588" s="552">
        <v>0.54134212340300059</v>
      </c>
    </row>
    <row r="1589" spans="5:13" ht="15" customHeight="1">
      <c r="E1589" s="3" t="s">
        <v>495</v>
      </c>
      <c r="F1589" s="552" cm="1">
        <f t="array" ref="F1589:M1589">F1572:M1572*UNIDAD_TWH_A_TJ*FE_TRANSPORTE_TERRESTRE_CO2_DIESEL*UNIDAD_KG_A_MT</f>
        <v>0.73110565725618204</v>
      </c>
      <c r="G1589" s="552">
        <v>0.72362919701771489</v>
      </c>
      <c r="H1589" s="552">
        <v>0.7617492274977774</v>
      </c>
      <c r="I1589" s="552">
        <v>0.67279423187825849</v>
      </c>
      <c r="J1589" s="552">
        <v>0.56979679978510644</v>
      </c>
      <c r="K1589" s="552">
        <v>0.50568872421346478</v>
      </c>
      <c r="L1589" s="552">
        <v>0.47067909170180622</v>
      </c>
      <c r="M1589" s="552">
        <v>0.45676717374037706</v>
      </c>
    </row>
    <row r="1590" spans="5:13" ht="15" customHeight="1">
      <c r="E1590" s="3" t="s">
        <v>590</v>
      </c>
      <c r="F1590" s="552" cm="1">
        <f t="array" ref="F1590:M1590">F1574:M1574*UNIDAD_TWH_A_TJ*FE_TRANSPORTE_TERRESTRE_CO2_GAS_NATURAL*UNIDAD_KG_A_MT</f>
        <v>3.1567238823583414E-2</v>
      </c>
      <c r="G1590" s="552">
        <v>3.7278463855648716E-2</v>
      </c>
      <c r="H1590" s="552">
        <v>4.5388415406185427E-2</v>
      </c>
      <c r="I1590" s="552">
        <v>5.2792553408252646E-2</v>
      </c>
      <c r="J1590" s="552">
        <v>6.0207359246336231E-2</v>
      </c>
      <c r="K1590" s="552">
        <v>6.8538166054929739E-2</v>
      </c>
      <c r="L1590" s="552">
        <v>7.4229562043586772E-2</v>
      </c>
      <c r="M1590" s="552">
        <v>8.1552003515522054E-2</v>
      </c>
    </row>
    <row r="1591" spans="5:13" ht="15" customHeight="1">
      <c r="E1591" s="3" t="s">
        <v>498</v>
      </c>
      <c r="F1591" s="552"/>
      <c r="G1591" s="552"/>
      <c r="H1591" s="552"/>
      <c r="I1591" s="552"/>
      <c r="J1591" s="552"/>
      <c r="K1591" s="552"/>
      <c r="L1591" s="552"/>
      <c r="M1591" s="552"/>
    </row>
    <row r="1592" spans="5:13" ht="15" customHeight="1">
      <c r="E1592" s="958" t="s">
        <v>602</v>
      </c>
      <c r="F1592" s="1491" cm="1">
        <f t="array" ref="F1592:M1592">F1576:M1576*FE_AVIACION_CO2_QUEROSENO*UNIDAD_KG_A_MT</f>
        <v>4.1416164844798998E-9</v>
      </c>
      <c r="G1592" s="1081">
        <v>5.2796267408334137E-9</v>
      </c>
      <c r="H1592" s="1081">
        <v>6.7521497652812151E-9</v>
      </c>
      <c r="I1592" s="1081">
        <v>8.0837753894613676E-9</v>
      </c>
      <c r="J1592" s="1081">
        <v>9.3438642644763702E-9</v>
      </c>
      <c r="K1592" s="1081">
        <v>1.0650760825387427E-8</v>
      </c>
      <c r="L1592" s="1081">
        <v>1.2001022924555489E-8</v>
      </c>
      <c r="M1592" s="1081">
        <v>1.3401272176518268E-8</v>
      </c>
    </row>
    <row r="1593" spans="5:13" ht="15" customHeight="1">
      <c r="E1593" s="551" t="s">
        <v>338</v>
      </c>
      <c r="F1593" s="549">
        <f>SUM(F1588:F1592)</f>
        <v>1.0939702136456109</v>
      </c>
      <c r="G1593" s="549">
        <f t="shared" ref="G1593:M1593" si="135">SUM(G1588:G1592)</f>
        <v>1.1625041485057941</v>
      </c>
      <c r="H1593" s="549">
        <f t="shared" si="135"/>
        <v>1.2526101512630392</v>
      </c>
      <c r="I1593" s="549">
        <f t="shared" si="135"/>
        <v>1.1812108660649436</v>
      </c>
      <c r="J1593" s="549">
        <f t="shared" si="135"/>
        <v>1.1061470129328088</v>
      </c>
      <c r="K1593" s="549">
        <f t="shared" si="135"/>
        <v>1.077105408749625</v>
      </c>
      <c r="L1593" s="549">
        <f t="shared" si="135"/>
        <v>1.0640557529151851</v>
      </c>
      <c r="M1593" s="549">
        <f t="shared" si="135"/>
        <v>1.0796613140601719</v>
      </c>
    </row>
    <row r="1595" spans="5:13" ht="15" customHeight="1">
      <c r="E1595" s="2" t="s">
        <v>695</v>
      </c>
      <c r="M1595" s="554" t="s">
        <v>1705</v>
      </c>
    </row>
    <row r="1596" spans="5:13" ht="15" customHeight="1">
      <c r="E1596" s="550" t="s">
        <v>520</v>
      </c>
      <c r="F1596" s="551">
        <v>2018</v>
      </c>
      <c r="G1596" s="551">
        <v>2020</v>
      </c>
      <c r="H1596" s="551">
        <v>2025</v>
      </c>
      <c r="I1596" s="551">
        <v>2030</v>
      </c>
      <c r="J1596" s="551">
        <v>2035</v>
      </c>
      <c r="K1596" s="551">
        <v>2040</v>
      </c>
      <c r="L1596" s="551">
        <v>2045</v>
      </c>
      <c r="M1596" s="551">
        <v>2050</v>
      </c>
    </row>
    <row r="1597" spans="5:13" ht="15" customHeight="1">
      <c r="E1597" s="3" t="s">
        <v>494</v>
      </c>
      <c r="F1597" s="552" cm="1">
        <f t="array" ref="F1597:M1597">F1571:M1571*UNIDAD_TWH_A_TJ*FE_TRANSPORTE_TERRESTRE_CH4_GASOLINA_MOTORES*UNIDAD_KG_A_MT</f>
        <v>1.5770669111717287E-4</v>
      </c>
      <c r="G1597" s="552">
        <v>1.9117104132702846E-4</v>
      </c>
      <c r="H1597" s="552">
        <v>2.1205724092956057E-4</v>
      </c>
      <c r="I1597" s="552">
        <v>2.1688966975109058E-4</v>
      </c>
      <c r="J1597" s="552">
        <v>2.2665717309372645E-4</v>
      </c>
      <c r="K1597" s="552">
        <v>2.3938408882395921E-4</v>
      </c>
      <c r="L1597" s="552">
        <v>2.4712838288448805E-4</v>
      </c>
      <c r="M1597" s="552">
        <v>2.5769383446496683E-4</v>
      </c>
    </row>
    <row r="1598" spans="5:13" ht="15" customHeight="1">
      <c r="E1598" s="3" t="s">
        <v>495</v>
      </c>
      <c r="F1598" s="552" cm="1">
        <f t="array" ref="F1598:M1598">F1572:M1572*UNIDAD_TWH_A_TJ*FE_TRANSPORTE_TERRESTRE_CH4_DIESEL*UNIDAD_KG_A_MT</f>
        <v>3.8410096577808772E-5</v>
      </c>
      <c r="G1598" s="552">
        <v>3.8017305799937603E-5</v>
      </c>
      <c r="H1598" s="552">
        <v>4.0020017771533194E-5</v>
      </c>
      <c r="I1598" s="552">
        <v>3.5346589329401702E-5</v>
      </c>
      <c r="J1598" s="552">
        <v>2.9935413427943692E-5</v>
      </c>
      <c r="K1598" s="552">
        <v>2.6567367578913438E-5</v>
      </c>
      <c r="L1598" s="552">
        <v>2.4728066579693836E-5</v>
      </c>
      <c r="M1598" s="552">
        <v>2.3997176171204209E-5</v>
      </c>
    </row>
    <row r="1599" spans="5:13" ht="15" customHeight="1">
      <c r="E1599" s="3" t="s">
        <v>590</v>
      </c>
      <c r="F1599" s="1085" cm="1">
        <f t="array" ref="F1599:M1599">F1574:M1574*UNIDAD_TWH_A_TJ*FE_TRANSPORTE_TERRESTRE_CH4_GAS_NATURAL*UNIDAD_KG_A_MT</f>
        <v>5.2290826622350873E-5</v>
      </c>
      <c r="G1599" s="1085">
        <v>6.1751415799059109E-5</v>
      </c>
      <c r="H1599" s="1085">
        <v>7.5185472316158101E-5</v>
      </c>
      <c r="I1599" s="1085">
        <v>8.7450355498300988E-5</v>
      </c>
      <c r="J1599" s="1085">
        <v>9.9732909847905987E-5</v>
      </c>
      <c r="K1599" s="1085">
        <v>1.1353281096966688E-4</v>
      </c>
      <c r="L1599" s="1085">
        <v>1.2296055352723482E-4</v>
      </c>
      <c r="M1599" s="1085">
        <v>1.3509010719523647E-4</v>
      </c>
    </row>
    <row r="1600" spans="5:13" ht="15" customHeight="1">
      <c r="E1600" s="3" t="s">
        <v>498</v>
      </c>
      <c r="F1600" s="1085"/>
      <c r="G1600" s="1085"/>
      <c r="H1600" s="1085"/>
      <c r="I1600" s="1085"/>
      <c r="J1600" s="1085"/>
      <c r="K1600" s="1085"/>
      <c r="L1600" s="1085"/>
      <c r="M1600" s="1085"/>
    </row>
    <row r="1601" spans="5:13" ht="15" customHeight="1">
      <c r="E1601" s="958" t="s">
        <v>602</v>
      </c>
      <c r="F1601" s="1491" cm="1">
        <f t="array" ref="F1601:M1601">F1576:M1576*FE_AVIACION_CH4_QUEROSENO*UNIDAD_KG_A_MT</f>
        <v>2.8006739960414873E-14</v>
      </c>
      <c r="G1601" s="1081">
        <v>3.570227561452805E-14</v>
      </c>
      <c r="H1601" s="1081">
        <v>4.5659877817913177E-14</v>
      </c>
      <c r="I1601" s="1081">
        <v>5.4664693382269346E-14</v>
      </c>
      <c r="J1601" s="1081">
        <v>6.3185757942883454E-14</v>
      </c>
      <c r="K1601" s="1081">
        <v>7.2023348838553483E-14</v>
      </c>
      <c r="L1601" s="1081">
        <v>8.1154189328375604E-14</v>
      </c>
      <c r="M1601" s="1081">
        <v>9.0623056575365939E-14</v>
      </c>
    </row>
    <row r="1602" spans="5:13" ht="15" customHeight="1">
      <c r="E1602" s="551" t="s">
        <v>338</v>
      </c>
      <c r="F1602" s="549">
        <f t="shared" ref="F1602:M1602" si="136">SUM(F1597:F1601)</f>
        <v>2.4840761434533927E-4</v>
      </c>
      <c r="G1602" s="549">
        <f t="shared" si="136"/>
        <v>2.9093976296172747E-4</v>
      </c>
      <c r="H1602" s="549">
        <f t="shared" si="136"/>
        <v>3.2726273106291174E-4</v>
      </c>
      <c r="I1602" s="549">
        <f t="shared" si="136"/>
        <v>3.3968661463345797E-4</v>
      </c>
      <c r="J1602" s="549">
        <f t="shared" si="136"/>
        <v>3.5632549643276192E-4</v>
      </c>
      <c r="K1602" s="549">
        <f t="shared" si="136"/>
        <v>3.7948426744456283E-4</v>
      </c>
      <c r="L1602" s="549">
        <f t="shared" si="136"/>
        <v>3.9481700307257095E-4</v>
      </c>
      <c r="M1602" s="549">
        <f t="shared" si="136"/>
        <v>4.167811179220305E-4</v>
      </c>
    </row>
    <row r="1603" spans="5:13" ht="15" customHeight="1">
      <c r="F1603" s="415"/>
      <c r="G1603" s="415"/>
      <c r="H1603" s="415"/>
      <c r="I1603" s="415"/>
      <c r="J1603" s="415"/>
      <c r="K1603" s="415"/>
      <c r="L1603" s="415"/>
      <c r="M1603" s="415"/>
    </row>
    <row r="1604" spans="5:13" ht="15" customHeight="1">
      <c r="E1604" s="2" t="s">
        <v>1616</v>
      </c>
      <c r="F1604" s="415"/>
      <c r="G1604" s="415"/>
      <c r="H1604" s="415"/>
      <c r="I1604" s="415"/>
      <c r="J1604" s="415"/>
      <c r="K1604" s="415"/>
      <c r="L1604" s="415"/>
      <c r="M1604" s="648" t="s">
        <v>2372</v>
      </c>
    </row>
    <row r="1605" spans="5:13" ht="15" customHeight="1">
      <c r="E1605" s="550" t="s">
        <v>520</v>
      </c>
      <c r="F1605" s="1086">
        <v>2018</v>
      </c>
      <c r="G1605" s="1086">
        <v>2020</v>
      </c>
      <c r="H1605" s="1086">
        <v>2025</v>
      </c>
      <c r="I1605" s="1086">
        <v>2030</v>
      </c>
      <c r="J1605" s="1086">
        <v>2035</v>
      </c>
      <c r="K1605" s="1086">
        <v>2040</v>
      </c>
      <c r="L1605" s="1086">
        <v>2045</v>
      </c>
      <c r="M1605" s="1086">
        <v>2050</v>
      </c>
    </row>
    <row r="1606" spans="5:13" ht="15" customHeight="1">
      <c r="E1606" s="3" t="s">
        <v>494</v>
      </c>
      <c r="F1606" s="1085" cm="1">
        <f t="array" ref="F1606:M1606">F1571:M1571*UNIDAD_TWH_A_TJ*FE_TRANSPORTE_TERRESTRE_N2O_GASOLINA_MOTORES*UNIDAD_KG_A_MT</f>
        <v>1.5292770047725856E-5</v>
      </c>
      <c r="G1606" s="1085">
        <v>1.8537797946863369E-5</v>
      </c>
      <c r="H1606" s="1085">
        <v>2.056312639316951E-5</v>
      </c>
      <c r="I1606" s="1085">
        <v>2.1031725551620909E-5</v>
      </c>
      <c r="J1606" s="1085">
        <v>2.1978877390906814E-5</v>
      </c>
      <c r="K1606" s="1085">
        <v>2.321300255262635E-5</v>
      </c>
      <c r="L1606" s="1085">
        <v>2.3963964400920058E-5</v>
      </c>
      <c r="M1606" s="1085">
        <v>2.4988493039027091E-5</v>
      </c>
    </row>
    <row r="1607" spans="5:13" ht="15" customHeight="1">
      <c r="E1607" s="3" t="s">
        <v>495</v>
      </c>
      <c r="F1607" s="1085" cm="1">
        <f t="array" ref="F1607:M1607">F1572:M1572*UNIDAD_TWH_A_TJ*FE_TRANSPORTE_TERRESTRE_N2O_DIESEL*UNIDAD_KG_A_MT</f>
        <v>3.8410096577808772E-5</v>
      </c>
      <c r="G1607" s="1085">
        <v>3.8017305799937603E-5</v>
      </c>
      <c r="H1607" s="1085">
        <v>4.0020017771533194E-5</v>
      </c>
      <c r="I1607" s="1085">
        <v>3.5346589329401702E-5</v>
      </c>
      <c r="J1607" s="1085">
        <v>2.9935413427943692E-5</v>
      </c>
      <c r="K1607" s="1085">
        <v>2.6567367578913438E-5</v>
      </c>
      <c r="L1607" s="1085">
        <v>2.4728066579693836E-5</v>
      </c>
      <c r="M1607" s="1085">
        <v>2.3997176171204209E-5</v>
      </c>
    </row>
    <row r="1608" spans="5:13" ht="15" customHeight="1">
      <c r="E1608" s="3" t="s">
        <v>590</v>
      </c>
      <c r="F1608" s="1085" cm="1">
        <f t="array" ref="F1608:M1608">F1574:M1574*UNIDAD_TWH_A_TJ*FE_TRANSPORTE_TERRESTRE_N2O_GAS_NATURAL*UNIDAD_KG_A_MT</f>
        <v>1.705135650728833E-6</v>
      </c>
      <c r="G1608" s="1085">
        <v>2.0136331238823623E-6</v>
      </c>
      <c r="H1608" s="1085">
        <v>2.4517001842225465E-6</v>
      </c>
      <c r="I1608" s="1085">
        <v>2.8516420271185105E-6</v>
      </c>
      <c r="J1608" s="1085">
        <v>3.2521601037360646E-6</v>
      </c>
      <c r="K1608" s="1085">
        <v>3.702156879445659E-6</v>
      </c>
      <c r="L1608" s="1085">
        <v>4.00958326719244E-6</v>
      </c>
      <c r="M1608" s="1085">
        <v>4.4051121911490145E-6</v>
      </c>
    </row>
    <row r="1609" spans="5:13" ht="15" customHeight="1">
      <c r="E1609" s="3" t="s">
        <v>498</v>
      </c>
      <c r="F1609" s="1085"/>
      <c r="G1609" s="1085"/>
      <c r="H1609" s="1085"/>
      <c r="I1609" s="1085"/>
      <c r="J1609" s="1085"/>
      <c r="K1609" s="1085"/>
      <c r="L1609" s="1085"/>
      <c r="M1609" s="1085"/>
    </row>
    <row r="1610" spans="5:13" ht="15" customHeight="1">
      <c r="E1610" s="958" t="s">
        <v>602</v>
      </c>
      <c r="F1610" s="1491" cm="1">
        <f t="array" ref="F1610:M1610">F1576:M1576*FE_AVIACION_N2O_QUEROSENO*UNIDAD_KG_A_MT</f>
        <v>1.1202695984165949E-13</v>
      </c>
      <c r="G1610" s="1081">
        <v>1.428091024581122E-13</v>
      </c>
      <c r="H1610" s="1081">
        <v>1.8263951127165271E-13</v>
      </c>
      <c r="I1610" s="1081">
        <v>2.1865877352907738E-13</v>
      </c>
      <c r="J1610" s="1081">
        <v>2.5274303177153382E-13</v>
      </c>
      <c r="K1610" s="1081">
        <v>2.8809339535421393E-13</v>
      </c>
      <c r="L1610" s="1081">
        <v>3.2461675731350242E-13</v>
      </c>
      <c r="M1610" s="1081">
        <v>3.6249222630146376E-13</v>
      </c>
    </row>
    <row r="1611" spans="5:13" ht="15" customHeight="1">
      <c r="E1611" s="551" t="s">
        <v>338</v>
      </c>
      <c r="F1611" s="549">
        <f t="shared" ref="F1611:M1611" si="137">SUM(F1606:F1610)</f>
        <v>5.5408002388290421E-5</v>
      </c>
      <c r="G1611" s="549">
        <f t="shared" si="137"/>
        <v>5.8568737013492444E-5</v>
      </c>
      <c r="H1611" s="549">
        <f t="shared" si="137"/>
        <v>6.3034844531564764E-5</v>
      </c>
      <c r="I1611" s="549">
        <f t="shared" si="137"/>
        <v>5.9229957126799893E-5</v>
      </c>
      <c r="J1611" s="549">
        <f t="shared" si="137"/>
        <v>5.51664511753296E-5</v>
      </c>
      <c r="K1611" s="549">
        <f t="shared" si="137"/>
        <v>5.3482527299078838E-5</v>
      </c>
      <c r="L1611" s="549">
        <f t="shared" si="137"/>
        <v>5.2701614572423092E-5</v>
      </c>
      <c r="M1611" s="549">
        <f t="shared" si="137"/>
        <v>5.3390781763872545E-5</v>
      </c>
    </row>
    <row r="1613" spans="5:13" ht="15" customHeight="1">
      <c r="E1613" s="2" t="s">
        <v>2373</v>
      </c>
      <c r="F1613" s="415"/>
      <c r="G1613" s="415"/>
      <c r="H1613" s="415"/>
      <c r="I1613" s="415"/>
      <c r="J1613" s="415"/>
      <c r="K1613" s="415"/>
      <c r="L1613" s="415"/>
      <c r="M1613" s="648" t="s">
        <v>29</v>
      </c>
    </row>
    <row r="1614" spans="5:13" ht="15" customHeight="1">
      <c r="E1614" s="550" t="s">
        <v>520</v>
      </c>
      <c r="F1614" s="1086">
        <v>2018</v>
      </c>
      <c r="G1614" s="1086">
        <v>2020</v>
      </c>
      <c r="H1614" s="1086">
        <v>2025</v>
      </c>
      <c r="I1614" s="1086">
        <v>2030</v>
      </c>
      <c r="J1614" s="1086">
        <v>2035</v>
      </c>
      <c r="K1614" s="1086">
        <v>2040</v>
      </c>
      <c r="L1614" s="1086">
        <v>2045</v>
      </c>
      <c r="M1614" s="1086">
        <v>2050</v>
      </c>
    </row>
    <row r="1615" spans="5:13" ht="15" customHeight="1">
      <c r="E1615" s="3" t="s">
        <v>494</v>
      </c>
      <c r="F1615" s="1085" cm="1">
        <f t="array" ref="F1615:M1615">F1588:M1588*PCG_CO2+F1597:M1597*PCG_CH4+F1606:M1606*PCG_N2O</f>
        <v>0.33976568483815717</v>
      </c>
      <c r="G1615" s="1085">
        <v>0.4118617879658793</v>
      </c>
      <c r="H1615" s="1085">
        <v>0.4568593328471442</v>
      </c>
      <c r="I1615" s="1085">
        <v>0.467270390718867</v>
      </c>
      <c r="J1615" s="1085">
        <v>0.48831364791271664</v>
      </c>
      <c r="K1615" s="1085">
        <v>0.51573270799398652</v>
      </c>
      <c r="L1615" s="1085">
        <v>0.53241713245577871</v>
      </c>
      <c r="M1615" s="1085">
        <v>0.55517950142336192</v>
      </c>
    </row>
    <row r="1616" spans="5:13" ht="15" customHeight="1">
      <c r="E1616" s="3" t="s">
        <v>495</v>
      </c>
      <c r="F1616" s="1085" cm="1">
        <f t="array" ref="F1616:M1616">F1589:M1589*PCG_CO2+F1598:M1598*PCG_CH4+F1607:M1607*PCG_N2O</f>
        <v>0.74235981555348007</v>
      </c>
      <c r="G1616" s="1085">
        <v>0.73476826761709657</v>
      </c>
      <c r="H1616" s="1085">
        <v>0.77347509270483661</v>
      </c>
      <c r="I1616" s="1085">
        <v>0.68315078255177319</v>
      </c>
      <c r="J1616" s="1085">
        <v>0.57856787591949399</v>
      </c>
      <c r="K1616" s="1085">
        <v>0.51347296291408639</v>
      </c>
      <c r="L1616" s="1085">
        <v>0.47792441520965651</v>
      </c>
      <c r="M1616" s="1085">
        <v>0.46379834635853989</v>
      </c>
    </row>
    <row r="1617" spans="5:13" ht="15" customHeight="1">
      <c r="E1617" s="3" t="s">
        <v>590</v>
      </c>
      <c r="F1617" s="1085" cm="1">
        <f t="array" ref="F1617:M1617">F1590:M1590*PCG_CO2+F1599:M1599*PCG_CH4+F1608:M1608*PCG_N2O</f>
        <v>3.3483242916452383E-2</v>
      </c>
      <c r="G1617" s="1085">
        <v>3.9541116275851197E-2</v>
      </c>
      <c r="H1617" s="1085">
        <v>4.8143309179856826E-2</v>
      </c>
      <c r="I1617" s="1085">
        <v>5.5996848499391481E-2</v>
      </c>
      <c r="J1617" s="1085">
        <v>6.3861703149567656E-2</v>
      </c>
      <c r="K1617" s="1085">
        <v>7.2698156335133518E-2</v>
      </c>
      <c r="L1617" s="1085">
        <v>7.8734997108155347E-2</v>
      </c>
      <c r="M1617" s="1085">
        <v>8.6501881247643159E-2</v>
      </c>
    </row>
    <row r="1618" spans="5:13" ht="15" customHeight="1">
      <c r="E1618" s="3" t="s">
        <v>498</v>
      </c>
      <c r="F1618" s="1085" cm="1">
        <f t="array" ref="F1618:M1618">F1591:M1591*PCG_CO2+F1600:M1600*PCG_CH4+F1609:M1609*PCG_N2O</f>
        <v>0</v>
      </c>
      <c r="G1618" s="1085">
        <v>0</v>
      </c>
      <c r="H1618" s="1085">
        <v>0</v>
      </c>
      <c r="I1618" s="1085">
        <v>0</v>
      </c>
      <c r="J1618" s="1085">
        <v>0</v>
      </c>
      <c r="K1618" s="1085">
        <v>0</v>
      </c>
      <c r="L1618" s="1085">
        <v>0</v>
      </c>
      <c r="M1618" s="1085">
        <v>0</v>
      </c>
    </row>
    <row r="1619" spans="5:13" ht="15" customHeight="1">
      <c r="E1619" s="958" t="s">
        <v>602</v>
      </c>
      <c r="F1619" s="1081" cm="1">
        <f t="array" ref="F1619:M1619">F1592:M1592*PCG_CO2+F1601:M1601*PCG_CH4+F1610:M1610*PCG_N2O</f>
        <v>4.1720878175568315E-9</v>
      </c>
      <c r="G1619" s="1081">
        <v>5.3184708167020202E-9</v>
      </c>
      <c r="H1619" s="1081">
        <v>6.8018277123471049E-9</v>
      </c>
      <c r="I1619" s="1081">
        <v>8.1432505758612759E-9</v>
      </c>
      <c r="J1619" s="1081">
        <v>9.4126103691182271E-9</v>
      </c>
      <c r="K1619" s="1081">
        <v>1.0729122228923774E-8</v>
      </c>
      <c r="L1619" s="1081">
        <v>1.2089318682544763E-8</v>
      </c>
      <c r="M1619" s="1081">
        <v>1.3499870062072265E-8</v>
      </c>
    </row>
    <row r="1620" spans="5:13" ht="15" customHeight="1">
      <c r="E1620" s="551" t="s">
        <v>338</v>
      </c>
      <c r="F1620" s="549">
        <f t="shared" ref="F1620:M1620" si="138">SUM(F1615:F1619)</f>
        <v>1.1156087474801775</v>
      </c>
      <c r="G1620" s="549">
        <f t="shared" si="138"/>
        <v>1.1861711771772978</v>
      </c>
      <c r="H1620" s="549">
        <f t="shared" si="138"/>
        <v>1.2784777415336654</v>
      </c>
      <c r="I1620" s="549">
        <f t="shared" si="138"/>
        <v>1.2064180299132823</v>
      </c>
      <c r="J1620" s="549">
        <f t="shared" si="138"/>
        <v>1.1307432363943888</v>
      </c>
      <c r="K1620" s="549">
        <f t="shared" si="138"/>
        <v>1.1019038379723285</v>
      </c>
      <c r="L1620" s="549">
        <f t="shared" si="138"/>
        <v>1.0890765568629093</v>
      </c>
      <c r="M1620" s="549">
        <f t="shared" si="138"/>
        <v>1.1054797425294152</v>
      </c>
    </row>
  </sheetData>
  <sheetProtection algorithmName="SHA-512" hashValue="TOIsiRe/j6H2FyRnAcOt7snpDniZES5FHXmEBLN9g35RL8973yUyXE4ziM8b+VHKER1g0CFqnfG6eY3X4csmTw==" saltValue="1w3BQkgUnJlGIwnJoQ+Qew==" spinCount="100000" sheet="1" objects="1" scenarios="1"/>
  <mergeCells count="4">
    <mergeCell ref="M9:M10"/>
    <mergeCell ref="M7:M8"/>
    <mergeCell ref="E7:H8"/>
    <mergeCell ref="E9:H10"/>
  </mergeCells>
  <conditionalFormatting sqref="F368:M368">
    <cfRule type="cellIs" dxfId="88" priority="44" operator="equal">
      <formula>TRUE</formula>
    </cfRule>
  </conditionalFormatting>
  <conditionalFormatting sqref="F373:M373">
    <cfRule type="cellIs" dxfId="87" priority="8" operator="equal">
      <formula>TRUE</formula>
    </cfRule>
  </conditionalFormatting>
  <conditionalFormatting sqref="F378:M378">
    <cfRule type="cellIs" dxfId="86" priority="7" operator="equal">
      <formula>TRUE</formula>
    </cfRule>
  </conditionalFormatting>
  <conditionalFormatting sqref="F383:M383">
    <cfRule type="cellIs" dxfId="85" priority="6" operator="equal">
      <formula>TRUE</formula>
    </cfRule>
  </conditionalFormatting>
  <conditionalFormatting sqref="F390:M390">
    <cfRule type="cellIs" dxfId="84" priority="5" operator="equal">
      <formula>TRUE</formula>
    </cfRule>
  </conditionalFormatting>
  <conditionalFormatting sqref="F395:M395">
    <cfRule type="cellIs" dxfId="83" priority="4" operator="equal">
      <formula>TRUE</formula>
    </cfRule>
  </conditionalFormatting>
  <conditionalFormatting sqref="F400:M400">
    <cfRule type="cellIs" dxfId="82" priority="3" operator="equal">
      <formula>TRUE</formula>
    </cfRule>
  </conditionalFormatting>
  <conditionalFormatting sqref="F405:M405">
    <cfRule type="cellIs" dxfId="81" priority="2" operator="equal">
      <formula>TRUE</formula>
    </cfRule>
  </conditionalFormatting>
  <conditionalFormatting sqref="F433:M433">
    <cfRule type="cellIs" dxfId="80" priority="1" operator="equal">
      <formula>TRUE</formula>
    </cfRule>
  </conditionalFormatting>
  <conditionalFormatting sqref="F440:M441">
    <cfRule type="cellIs" dxfId="79" priority="27" operator="equal">
      <formula>TRUE</formula>
    </cfRule>
  </conditionalFormatting>
  <conditionalFormatting sqref="F445:M446">
    <cfRule type="cellIs" dxfId="78" priority="26" operator="equal">
      <formula>TRUE</formula>
    </cfRule>
  </conditionalFormatting>
  <conditionalFormatting sqref="F450:M450">
    <cfRule type="cellIs" dxfId="77" priority="24" operator="equal">
      <formula>TRUE</formula>
    </cfRule>
  </conditionalFormatting>
  <conditionalFormatting sqref="F454:M454">
    <cfRule type="cellIs" dxfId="76" priority="25" operator="equal">
      <formula>TRUE</formula>
    </cfRule>
  </conditionalFormatting>
  <conditionalFormatting sqref="F470:M470">
    <cfRule type="cellIs" dxfId="75" priority="23" operator="equal">
      <formula>TRUE</formula>
    </cfRule>
  </conditionalFormatting>
  <conditionalFormatting sqref="F479:M479">
    <cfRule type="cellIs" dxfId="74" priority="17" operator="equal">
      <formula>TRUE</formula>
    </cfRule>
  </conditionalFormatting>
  <conditionalFormatting sqref="F501:M501">
    <cfRule type="cellIs" dxfId="73" priority="16" operator="equal">
      <formula>TRUE</formula>
    </cfRule>
  </conditionalFormatting>
  <conditionalFormatting sqref="F514:M514">
    <cfRule type="cellIs" dxfId="72" priority="15" operator="equal">
      <formula>TRUE</formula>
    </cfRule>
  </conditionalFormatting>
  <conditionalFormatting sqref="G548:L548">
    <cfRule type="cellIs" dxfId="71" priority="11" operator="equal">
      <formula>TRUE</formula>
    </cfRule>
  </conditionalFormatting>
  <conditionalFormatting sqref="G555:L555">
    <cfRule type="cellIs" dxfId="70" priority="10" operator="equal">
      <formula>TRUE</formula>
    </cfRule>
  </conditionalFormatting>
  <conditionalFormatting sqref="G563:L563">
    <cfRule type="cellIs" dxfId="69" priority="9" operator="equal">
      <formula>TRUE</formula>
    </cfRule>
  </conditionalFormatting>
  <conditionalFormatting sqref="G531:M531">
    <cfRule type="cellIs" dxfId="68" priority="14" operator="equal">
      <formula>TRUE</formula>
    </cfRule>
  </conditionalFormatting>
  <conditionalFormatting sqref="G540:M540">
    <cfRule type="cellIs" dxfId="67" priority="13" operator="equal">
      <formula>TRUE</formula>
    </cfRule>
  </conditionalFormatting>
  <conditionalFormatting sqref="G528:N530 N531:N533">
    <cfRule type="cellIs" dxfId="66" priority="48" operator="equal">
      <formula>TRUE</formula>
    </cfRule>
  </conditionalFormatting>
  <conditionalFormatting sqref="H392:M392 H397:M397 H402:M402">
    <cfRule type="cellIs" dxfId="65" priority="40" operator="equal">
      <formula>TRUE</formula>
    </cfRule>
  </conditionalFormatting>
  <conditionalFormatting sqref="H413:M413 H417:M417 H426:N426">
    <cfRule type="cellIs" dxfId="64" priority="35" operator="equal">
      <formula>TRUE</formula>
    </cfRule>
  </conditionalFormatting>
  <conditionalFormatting sqref="H442:M442 H447:M447 H451:M451 H456:M456">
    <cfRule type="cellIs" dxfId="63" priority="28" operator="equal">
      <formula>TRUE</formula>
    </cfRule>
  </conditionalFormatting>
  <conditionalFormatting sqref="H481:M481 H486:M486 H491:M491">
    <cfRule type="cellIs" dxfId="62" priority="22" operator="equal">
      <formula>TRUE</formula>
    </cfRule>
  </conditionalFormatting>
  <conditionalFormatting sqref="M364:M366">
    <cfRule type="cellIs" dxfId="61" priority="45" operator="equal">
      <formula>TRUE</formula>
    </cfRule>
  </conditionalFormatting>
  <conditionalFormatting sqref="M371">
    <cfRule type="cellIs" dxfId="60" priority="43" operator="equal">
      <formula>TRUE</formula>
    </cfRule>
  </conditionalFormatting>
  <conditionalFormatting sqref="M376">
    <cfRule type="cellIs" dxfId="59" priority="42" operator="equal">
      <formula>TRUE</formula>
    </cfRule>
  </conditionalFormatting>
  <conditionalFormatting sqref="M381">
    <cfRule type="cellIs" dxfId="58" priority="41" operator="equal">
      <formula>TRUE</formula>
    </cfRule>
  </conditionalFormatting>
  <conditionalFormatting sqref="M388">
    <cfRule type="cellIs" dxfId="57" priority="39" operator="equal">
      <formula>TRUE</formula>
    </cfRule>
  </conditionalFormatting>
  <conditionalFormatting sqref="M393">
    <cfRule type="cellIs" dxfId="56" priority="38" operator="equal">
      <formula>TRUE</formula>
    </cfRule>
  </conditionalFormatting>
  <conditionalFormatting sqref="M398">
    <cfRule type="cellIs" dxfId="55" priority="37" operator="equal">
      <formula>TRUE</formula>
    </cfRule>
  </conditionalFormatting>
  <conditionalFormatting sqref="M403">
    <cfRule type="cellIs" dxfId="54" priority="36" operator="equal">
      <formula>TRUE</formula>
    </cfRule>
  </conditionalFormatting>
  <conditionalFormatting sqref="M410">
    <cfRule type="cellIs" dxfId="53" priority="34" operator="equal">
      <formula>TRUE</formula>
    </cfRule>
  </conditionalFormatting>
  <conditionalFormatting sqref="M414">
    <cfRule type="cellIs" dxfId="52" priority="33" operator="equal">
      <formula>TRUE</formula>
    </cfRule>
  </conditionalFormatting>
  <conditionalFormatting sqref="M418">
    <cfRule type="cellIs" dxfId="51" priority="30" operator="equal">
      <formula>TRUE</formula>
    </cfRule>
  </conditionalFormatting>
  <conditionalFormatting sqref="M423">
    <cfRule type="cellIs" dxfId="50" priority="32" operator="equal">
      <formula>TRUE</formula>
    </cfRule>
  </conditionalFormatting>
  <conditionalFormatting sqref="M427">
    <cfRule type="cellIs" dxfId="49" priority="31" operator="equal">
      <formula>TRUE</formula>
    </cfRule>
  </conditionalFormatting>
  <conditionalFormatting sqref="M477">
    <cfRule type="cellIs" dxfId="48" priority="18" operator="equal">
      <formula>TRUE</formula>
    </cfRule>
  </conditionalFormatting>
  <conditionalFormatting sqref="M482">
    <cfRule type="cellIs" dxfId="47" priority="19" operator="equal">
      <formula>TRUE</formula>
    </cfRule>
  </conditionalFormatting>
  <conditionalFormatting sqref="M487">
    <cfRule type="cellIs" dxfId="46" priority="20" operator="equal">
      <formula>TRUE</formula>
    </cfRule>
  </conditionalFormatting>
  <conditionalFormatting sqref="M492">
    <cfRule type="cellIs" dxfId="45" priority="21" operator="equal">
      <formula>TRUE</formula>
    </cfRule>
  </conditionalFormatting>
  <conditionalFormatting sqref="M431:N431">
    <cfRule type="cellIs" dxfId="44" priority="29" operator="equal">
      <formula>TRUE</formula>
    </cfRule>
  </conditionalFormatting>
  <conditionalFormatting sqref="N353 H354:N354 G355:N358 F359:M359 H360:N361 N362 H363:N363 N364:N369 H370:N370 N371:N374 H375:N375 N376:N379 H380:N380 N381:N384 H385:N385 N386 H387:N387 N388:N402 F412:M412 F416:M416 F425:M425 N428 F429:N429 N469:N471 G515:N515 N516 G517:N517 N518 G545:G547 I545:N547 N548:N551 G552:G554 I552:N554 H569:N569">
    <cfRule type="cellIs" dxfId="43" priority="53" operator="equal">
      <formula>TRUE</formula>
    </cfRule>
  </conditionalFormatting>
  <conditionalFormatting sqref="N404">
    <cfRule type="cellIs" dxfId="42" priority="47" operator="equal">
      <formula>TRUE</formula>
    </cfRule>
  </conditionalFormatting>
  <conditionalFormatting sqref="N457">
    <cfRule type="cellIs" dxfId="41" priority="46" operator="equal">
      <formula>TRUE</formula>
    </cfRule>
  </conditionalFormatting>
  <conditionalFormatting sqref="N497">
    <cfRule type="cellIs" dxfId="40" priority="52" operator="equal">
      <formula>TRUE</formula>
    </cfRule>
  </conditionalFormatting>
  <conditionalFormatting sqref="N503">
    <cfRule type="cellIs" dxfId="39" priority="50" operator="equal">
      <formula>TRUE</formula>
    </cfRule>
  </conditionalFormatting>
  <conditionalFormatting sqref="N505">
    <cfRule type="cellIs" dxfId="38" priority="49" operator="equal">
      <formula>TRUE</formula>
    </cfRule>
  </conditionalFormatting>
  <conditionalFormatting sqref="N540:N544">
    <cfRule type="cellIs" dxfId="37" priority="12" operator="equal">
      <formula>TRUE</formula>
    </cfRule>
  </conditionalFormatting>
  <dataValidations count="1">
    <dataValidation type="whole" allowBlank="1" showErrorMessage="1" errorTitle="ERROR" error="El valor de trayectoria introducido no es valido. Las trayectorias estan comprendidas entre los valores 1 y 4." promptTitle="Introduzca una trayectoria" prompt="La trayectoria debe ser del 1 al 4" sqref="M7 M9" xr:uid="{0E2C599F-CAD9-4041-A218-653633504547}">
      <formula1>1</formula1>
      <formula2>4</formula2>
    </dataValidation>
  </dataValidations>
  <pageMargins left="0.7" right="0.7" top="0.75" bottom="0.75" header="0.3" footer="0.3"/>
  <pageSetup paperSize="9" orientation="portrait" r:id="rId1"/>
  <customProperties>
    <customPr name="_pios_id" r:id="rId2"/>
  </customProperties>
  <ignoredErrors>
    <ignoredError sqref="F1165:M1165 F1432:M1432 F1443:M1443 F1463:M1463 F1474:M1474 F1499:M1499 F1555:M1555 F1566:M1566 F1577:M1577 F1593:M1593 F1602:M1602 F1611:M1611 F1618:M1618" emptyCellReference="1"/>
  </ignoredErrors>
  <drawing r:id="rId3"/>
  <legacyDrawing r:id="rId4"/>
  <mc:AlternateContent xmlns:mc="http://schemas.openxmlformats.org/markup-compatibility/2006">
    <mc:Choice Requires="x14">
      <controls>
        <mc:AlternateContent xmlns:mc="http://schemas.openxmlformats.org/markup-compatibility/2006">
          <mc:Choice Requires="x14">
            <control shapeId="40961" r:id="rId5" name="Spinner 1">
              <controlPr defaultSize="0" autoPict="0">
                <anchor moveWithCells="1" sizeWithCells="1">
                  <from>
                    <xdr:col>13</xdr:col>
                    <xdr:colOff>19050</xdr:colOff>
                    <xdr:row>6</xdr:row>
                    <xdr:rowOff>38100</xdr:rowOff>
                  </from>
                  <to>
                    <xdr:col>13</xdr:col>
                    <xdr:colOff>209550</xdr:colOff>
                    <xdr:row>7</xdr:row>
                    <xdr:rowOff>142875</xdr:rowOff>
                  </to>
                </anchor>
              </controlPr>
            </control>
          </mc:Choice>
        </mc:AlternateContent>
        <mc:AlternateContent xmlns:mc="http://schemas.openxmlformats.org/markup-compatibility/2006">
          <mc:Choice Requires="x14">
            <control shapeId="40962" r:id="rId6" name="Spinner 2">
              <controlPr defaultSize="0" autoPict="0">
                <anchor moveWithCells="1" sizeWithCells="1">
                  <from>
                    <xdr:col>13</xdr:col>
                    <xdr:colOff>19050</xdr:colOff>
                    <xdr:row>8</xdr:row>
                    <xdr:rowOff>38100</xdr:rowOff>
                  </from>
                  <to>
                    <xdr:col>13</xdr:col>
                    <xdr:colOff>209550</xdr:colOff>
                    <xdr:row>9</xdr:row>
                    <xdr:rowOff>142875</xdr:rowOff>
                  </to>
                </anchor>
              </controlPr>
            </control>
          </mc:Choice>
        </mc:AlternateContent>
      </controls>
    </mc:Choice>
  </mc:AlternateConten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3C5B-806F-41AF-A335-32A704C0E2E9}">
  <sheetPr codeName="Hoja17"/>
  <dimension ref="A4:XFB708"/>
  <sheetViews>
    <sheetView showGridLines="0" zoomScale="80" zoomScaleNormal="80" workbookViewId="0">
      <selection activeCell="I296" sqref="I296"/>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7109375" style="3" customWidth="1"/>
    <col min="6" max="6" width="14.5703125" style="3" bestFit="1" customWidth="1"/>
    <col min="7" max="7" width="17.7109375" style="3" customWidth="1"/>
    <col min="8" max="8" width="18.42578125" style="3" customWidth="1"/>
    <col min="9" max="9" width="16.85546875" style="3" customWidth="1"/>
    <col min="10" max="10" width="15.7109375" style="3" bestFit="1" customWidth="1"/>
    <col min="11" max="11" width="17.5703125" style="3" customWidth="1"/>
    <col min="12" max="12" width="15.7109375" style="3" bestFit="1" customWidth="1"/>
    <col min="13" max="13" width="16.7109375" style="3" bestFit="1" customWidth="1"/>
    <col min="14" max="14" width="14.28515625" style="3" bestFit="1" customWidth="1"/>
    <col min="15" max="15" width="13.5703125" style="3" bestFit="1" customWidth="1"/>
    <col min="16" max="16" width="11.85546875" style="3" bestFit="1" customWidth="1"/>
    <col min="17" max="17" width="13.5703125" style="3" bestFit="1" customWidth="1"/>
    <col min="18" max="19" width="11.5703125" style="3"/>
    <col min="20" max="20" width="14.85546875" style="3" bestFit="1" customWidth="1"/>
    <col min="21"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4" spans="1:24" ht="15" customHeight="1">
      <c r="D4" s="8" t="s">
        <v>1622</v>
      </c>
      <c r="E4" s="5"/>
      <c r="F4" s="5"/>
      <c r="G4" s="5"/>
      <c r="H4" s="5"/>
      <c r="I4" s="5"/>
      <c r="J4" s="5"/>
      <c r="K4" s="5"/>
      <c r="L4" s="5"/>
      <c r="M4" s="5"/>
      <c r="N4" s="5"/>
    </row>
    <row r="5" spans="1:24" ht="15" customHeight="1">
      <c r="A5" s="1559"/>
      <c r="D5" s="6"/>
      <c r="E5" s="6"/>
      <c r="F5" s="6"/>
      <c r="G5" s="6"/>
      <c r="H5" s="6"/>
      <c r="I5" s="6"/>
      <c r="J5" s="6"/>
      <c r="K5" s="6"/>
      <c r="L5" s="6"/>
      <c r="M5" s="6"/>
      <c r="N5" s="6"/>
    </row>
    <row r="6" spans="1:24" ht="15" customHeight="1">
      <c r="D6" s="6"/>
      <c r="E6" s="126" t="s">
        <v>1623</v>
      </c>
      <c r="F6" s="127"/>
      <c r="G6" s="127"/>
      <c r="H6" s="127"/>
      <c r="I6" s="127"/>
      <c r="J6" s="127"/>
      <c r="K6" s="127"/>
      <c r="L6" s="127"/>
      <c r="M6" s="179" t="s">
        <v>879</v>
      </c>
      <c r="N6" s="6"/>
    </row>
    <row r="7" spans="1:24" ht="15" customHeight="1">
      <c r="D7" s="6"/>
      <c r="E7" s="3913" t="s">
        <v>151</v>
      </c>
      <c r="F7" s="3913"/>
      <c r="G7" s="3913"/>
      <c r="H7" s="3913"/>
      <c r="I7" s="1569"/>
      <c r="J7" s="1569"/>
      <c r="K7" s="1569"/>
      <c r="L7" s="1569"/>
      <c r="M7" s="3930">
        <f>TRAYECTORIA_TRANSPORTE_GESTION_DEMANDA_TRANSPORTE_CARGA</f>
        <v>1</v>
      </c>
      <c r="N7" s="6"/>
    </row>
    <row r="8" spans="1:24" ht="15" customHeight="1">
      <c r="D8" s="6"/>
      <c r="E8" s="3932"/>
      <c r="F8" s="3932"/>
      <c r="G8" s="3932"/>
      <c r="H8" s="3932"/>
      <c r="I8" s="1581"/>
      <c r="J8" s="1581"/>
      <c r="K8" s="1581"/>
      <c r="L8" s="1581"/>
      <c r="M8" s="3931"/>
      <c r="N8" s="6"/>
    </row>
    <row r="9" spans="1:24" ht="15" customHeight="1">
      <c r="D9" s="6"/>
      <c r="E9" s="3912" t="s">
        <v>152</v>
      </c>
      <c r="F9" s="3912"/>
      <c r="G9" s="3912"/>
      <c r="H9" s="3912"/>
      <c r="I9" s="219"/>
      <c r="J9" s="219"/>
      <c r="K9" s="219"/>
      <c r="L9" s="219"/>
      <c r="M9" s="3914">
        <f>TRAYECTORIA_TRANSPORTE_CARGA_EFICIENCIA</f>
        <v>1</v>
      </c>
      <c r="N9" s="6"/>
    </row>
    <row r="10" spans="1:24" ht="15" customHeight="1">
      <c r="D10" s="6"/>
      <c r="E10" s="3924"/>
      <c r="F10" s="3924"/>
      <c r="G10" s="3924"/>
      <c r="H10" s="3924"/>
      <c r="I10" s="1570"/>
      <c r="J10" s="1570"/>
      <c r="K10" s="1570"/>
      <c r="L10" s="1570"/>
      <c r="M10" s="3915"/>
      <c r="N10" s="6"/>
    </row>
    <row r="11" spans="1:24" ht="15" customHeight="1">
      <c r="D11" s="6"/>
      <c r="E11" s="6"/>
      <c r="F11" s="6"/>
      <c r="G11" s="6"/>
      <c r="H11" s="6"/>
      <c r="I11" s="6"/>
      <c r="J11" s="6"/>
      <c r="K11" s="6"/>
      <c r="L11" s="6"/>
      <c r="M11" s="6"/>
      <c r="N11" s="6"/>
    </row>
    <row r="13" spans="1:24" ht="15" customHeight="1">
      <c r="D13" s="335" t="s">
        <v>1190</v>
      </c>
      <c r="E13" s="336"/>
      <c r="F13" s="336"/>
      <c r="G13" s="336"/>
      <c r="H13" s="336"/>
      <c r="I13" s="336"/>
      <c r="J13" s="336"/>
      <c r="K13" s="336"/>
      <c r="L13" s="336"/>
      <c r="M13" s="336"/>
      <c r="N13" s="336"/>
    </row>
    <row r="14" spans="1:24" ht="15" customHeight="1">
      <c r="D14" s="11"/>
      <c r="E14" s="12"/>
      <c r="F14" s="12"/>
      <c r="G14" s="12"/>
      <c r="H14" s="12"/>
      <c r="I14" s="12"/>
      <c r="J14" s="12"/>
      <c r="K14" s="12"/>
      <c r="L14" s="12"/>
      <c r="M14" s="12"/>
      <c r="N14" s="12"/>
    </row>
    <row r="15" spans="1:24" ht="15" customHeight="1">
      <c r="D15" s="244"/>
      <c r="E15" s="245" t="s">
        <v>1332</v>
      </c>
      <c r="F15" s="246"/>
      <c r="G15" s="246"/>
      <c r="H15" s="246"/>
      <c r="I15" s="246"/>
      <c r="J15" s="246"/>
      <c r="K15" s="246"/>
      <c r="L15" s="246"/>
      <c r="M15" s="246"/>
      <c r="N15" s="247"/>
    </row>
    <row r="16" spans="1:24" s="248" customFormat="1" ht="15" customHeight="1">
      <c r="A16" s="663"/>
      <c r="B16" s="667"/>
      <c r="D16" s="244"/>
      <c r="E16" s="249"/>
      <c r="F16" s="250"/>
      <c r="G16" s="250"/>
      <c r="H16" s="250"/>
      <c r="I16" s="250"/>
      <c r="J16" s="250"/>
      <c r="K16" s="250"/>
      <c r="L16" s="250"/>
      <c r="M16" s="250"/>
      <c r="N16" s="247"/>
      <c r="O16" s="3"/>
      <c r="P16" s="3"/>
      <c r="Q16" s="3"/>
      <c r="R16" s="3"/>
      <c r="S16" s="3"/>
      <c r="T16" s="3"/>
      <c r="U16" s="3"/>
      <c r="V16" s="3"/>
      <c r="W16" s="3"/>
      <c r="X16" s="3"/>
    </row>
    <row r="17" spans="1:34" s="248" customFormat="1" ht="15" customHeight="1">
      <c r="A17" s="663"/>
      <c r="B17" s="667"/>
      <c r="D17" s="244"/>
      <c r="E17" s="251"/>
      <c r="F17" s="251"/>
      <c r="G17" s="251"/>
      <c r="H17" s="251"/>
      <c r="I17" s="251"/>
      <c r="J17" s="251"/>
      <c r="K17" s="251"/>
      <c r="L17" s="251"/>
      <c r="M17" s="252" t="s">
        <v>9</v>
      </c>
      <c r="N17" s="251"/>
      <c r="O17" s="3"/>
      <c r="P17" s="3"/>
      <c r="Q17" s="3"/>
      <c r="R17" s="3"/>
      <c r="S17" s="3"/>
      <c r="T17" s="3"/>
      <c r="U17" s="3"/>
      <c r="V17" s="3"/>
      <c r="W17" s="3"/>
      <c r="X17" s="3"/>
    </row>
    <row r="18" spans="1:34" s="248" customFormat="1" ht="15" customHeight="1">
      <c r="A18" s="663"/>
      <c r="B18" s="667"/>
      <c r="D18" s="253"/>
      <c r="E18" s="254" t="s">
        <v>879</v>
      </c>
      <c r="F18" s="842">
        <v>2018</v>
      </c>
      <c r="G18" s="842">
        <v>2020</v>
      </c>
      <c r="H18" s="842">
        <v>2025</v>
      </c>
      <c r="I18" s="842">
        <v>2030</v>
      </c>
      <c r="J18" s="842">
        <v>2035</v>
      </c>
      <c r="K18" s="842">
        <v>2040</v>
      </c>
      <c r="L18" s="842">
        <v>2045</v>
      </c>
      <c r="M18" s="842">
        <v>2050</v>
      </c>
      <c r="N18" s="251"/>
      <c r="O18" s="3"/>
      <c r="P18" s="3"/>
      <c r="Q18" s="3"/>
      <c r="R18" s="3"/>
      <c r="S18" s="3"/>
      <c r="T18" s="3"/>
      <c r="U18" s="3"/>
      <c r="V18" s="3"/>
      <c r="W18" s="3"/>
      <c r="X18" s="3"/>
    </row>
    <row r="19" spans="1:34" s="248" customFormat="1" ht="15" customHeight="1">
      <c r="A19" s="663"/>
      <c r="B19" s="667"/>
      <c r="D19" s="253"/>
      <c r="E19" s="255">
        <v>1</v>
      </c>
      <c r="F19" s="1271">
        <v>1</v>
      </c>
      <c r="G19" s="1271">
        <v>1</v>
      </c>
      <c r="H19" s="1271">
        <v>1</v>
      </c>
      <c r="I19" s="1271">
        <v>1</v>
      </c>
      <c r="J19" s="1271">
        <v>1</v>
      </c>
      <c r="K19" s="1271">
        <v>1</v>
      </c>
      <c r="L19" s="1271">
        <v>1</v>
      </c>
      <c r="M19" s="1271">
        <v>1</v>
      </c>
      <c r="N19" s="251"/>
      <c r="O19" s="3"/>
      <c r="P19" s="3"/>
      <c r="Q19" s="3"/>
      <c r="R19" s="3"/>
      <c r="S19" s="3"/>
      <c r="T19" s="3"/>
      <c r="U19" s="3"/>
      <c r="V19" s="3"/>
      <c r="W19" s="3"/>
      <c r="X19" s="3"/>
      <c r="Y19" s="600"/>
      <c r="Z19" s="600"/>
      <c r="AA19" s="600"/>
      <c r="AB19" s="600"/>
      <c r="AC19" s="600"/>
      <c r="AD19" s="600"/>
      <c r="AE19" s="600"/>
      <c r="AF19" s="600"/>
      <c r="AG19" s="600"/>
      <c r="AH19" s="600"/>
    </row>
    <row r="20" spans="1:34" s="248" customFormat="1" ht="15" customHeight="1">
      <c r="A20" s="663"/>
      <c r="B20" s="667"/>
      <c r="D20" s="253"/>
      <c r="E20" s="255">
        <v>2</v>
      </c>
      <c r="F20" s="1272">
        <v>1</v>
      </c>
      <c r="G20" s="1272">
        <v>1</v>
      </c>
      <c r="H20" s="1272">
        <v>1</v>
      </c>
      <c r="I20" s="1272">
        <v>1</v>
      </c>
      <c r="J20" s="1272">
        <v>1</v>
      </c>
      <c r="K20" s="1272">
        <v>1</v>
      </c>
      <c r="L20" s="1272">
        <v>1</v>
      </c>
      <c r="M20" s="1272">
        <v>1</v>
      </c>
      <c r="N20" s="251"/>
      <c r="O20" s="3"/>
      <c r="P20" s="3"/>
      <c r="Q20" s="3"/>
      <c r="R20" s="3"/>
      <c r="S20" s="3"/>
      <c r="T20" s="3"/>
      <c r="U20" s="3"/>
      <c r="V20" s="3"/>
      <c r="W20" s="3"/>
      <c r="X20" s="3"/>
      <c r="Y20" s="600"/>
      <c r="Z20" s="600"/>
      <c r="AA20" s="600"/>
      <c r="AB20" s="601"/>
      <c r="AC20" s="601"/>
      <c r="AD20" s="601"/>
      <c r="AE20" s="602"/>
      <c r="AF20" s="602"/>
      <c r="AG20" s="602"/>
      <c r="AH20" s="602"/>
    </row>
    <row r="21" spans="1:34" s="248" customFormat="1" ht="15" customHeight="1">
      <c r="A21" s="663"/>
      <c r="B21" s="667"/>
      <c r="D21" s="253"/>
      <c r="E21" s="255">
        <v>3</v>
      </c>
      <c r="F21" s="1272">
        <v>1</v>
      </c>
      <c r="G21" s="1272">
        <v>1</v>
      </c>
      <c r="H21" s="1272">
        <v>1</v>
      </c>
      <c r="I21" s="1272">
        <v>1</v>
      </c>
      <c r="J21" s="1272">
        <v>1</v>
      </c>
      <c r="K21" s="1272">
        <v>1</v>
      </c>
      <c r="L21" s="1272">
        <v>1</v>
      </c>
      <c r="M21" s="1272">
        <v>1</v>
      </c>
      <c r="N21" s="251"/>
      <c r="O21" s="3"/>
      <c r="P21" s="3"/>
      <c r="Q21" s="3"/>
      <c r="R21" s="3"/>
      <c r="S21" s="3"/>
      <c r="T21" s="3"/>
      <c r="U21" s="3"/>
      <c r="V21" s="3"/>
      <c r="W21" s="3"/>
      <c r="X21" s="3"/>
      <c r="Y21" s="600"/>
      <c r="Z21" s="600"/>
      <c r="AA21" s="600"/>
      <c r="AB21" s="602"/>
      <c r="AC21" s="602"/>
      <c r="AD21" s="602"/>
      <c r="AE21" s="602"/>
      <c r="AF21" s="602"/>
      <c r="AG21" s="602"/>
      <c r="AH21" s="602"/>
    </row>
    <row r="22" spans="1:34" s="248" customFormat="1" ht="15" customHeight="1">
      <c r="A22" s="663"/>
      <c r="B22" s="667"/>
      <c r="D22" s="253"/>
      <c r="E22" s="257">
        <v>4</v>
      </c>
      <c r="F22" s="1273">
        <v>1</v>
      </c>
      <c r="G22" s="1273">
        <v>1</v>
      </c>
      <c r="H22" s="1273">
        <v>1</v>
      </c>
      <c r="I22" s="1273">
        <v>1</v>
      </c>
      <c r="J22" s="1273">
        <v>1</v>
      </c>
      <c r="K22" s="1273">
        <v>1</v>
      </c>
      <c r="L22" s="1273">
        <v>1</v>
      </c>
      <c r="M22" s="1273">
        <v>1</v>
      </c>
      <c r="N22" s="251"/>
      <c r="O22" s="3"/>
      <c r="P22" s="3"/>
      <c r="Q22" s="3"/>
      <c r="R22" s="3"/>
      <c r="S22" s="3"/>
      <c r="T22" s="3"/>
      <c r="U22" s="3"/>
      <c r="V22" s="3"/>
      <c r="W22" s="3"/>
      <c r="X22" s="3"/>
      <c r="Y22" s="600"/>
      <c r="Z22" s="600"/>
      <c r="AA22" s="600"/>
    </row>
    <row r="23" spans="1:34" s="248" customFormat="1" ht="15" customHeight="1">
      <c r="A23" s="663"/>
      <c r="B23" s="667"/>
      <c r="D23" s="11"/>
      <c r="E23" s="12"/>
      <c r="F23" s="752"/>
      <c r="G23" s="752"/>
      <c r="H23" s="752"/>
      <c r="I23" s="752"/>
      <c r="J23" s="752"/>
      <c r="K23" s="752"/>
      <c r="L23" s="752"/>
      <c r="M23" s="752"/>
      <c r="N23" s="12"/>
      <c r="O23" s="3"/>
      <c r="P23" s="3"/>
      <c r="Q23" s="3"/>
      <c r="R23" s="3"/>
      <c r="S23" s="3"/>
      <c r="T23" s="3"/>
      <c r="U23" s="3"/>
      <c r="V23" s="3"/>
      <c r="W23" s="3"/>
      <c r="X23" s="3"/>
    </row>
    <row r="24" spans="1:34" customFormat="1" ht="15" customHeight="1">
      <c r="A24" s="663"/>
      <c r="B24" s="667"/>
      <c r="D24" s="11"/>
      <c r="E24" s="940" t="s">
        <v>1334</v>
      </c>
      <c r="F24" s="843"/>
      <c r="G24" s="843"/>
      <c r="H24" s="843"/>
      <c r="I24" s="843"/>
      <c r="J24" s="843"/>
      <c r="K24" s="843"/>
      <c r="L24" s="843"/>
      <c r="M24" s="843"/>
      <c r="N24" s="249"/>
      <c r="O24" s="3"/>
      <c r="P24" s="3"/>
      <c r="Q24" s="3"/>
      <c r="R24" s="3"/>
      <c r="S24" s="3"/>
      <c r="T24" s="3"/>
      <c r="U24" s="3"/>
      <c r="V24" s="3"/>
      <c r="W24" s="3"/>
      <c r="X24" s="3"/>
    </row>
    <row r="25" spans="1:34" customFormat="1" ht="15" customHeight="1">
      <c r="A25" s="663"/>
      <c r="B25" s="667"/>
      <c r="D25" s="12"/>
      <c r="E25" s="96"/>
      <c r="F25" s="752"/>
      <c r="G25" s="752"/>
      <c r="H25" s="752"/>
      <c r="I25" s="752"/>
      <c r="J25" s="752"/>
      <c r="K25" s="752"/>
      <c r="L25" s="752"/>
      <c r="M25" s="752"/>
      <c r="N25" s="12"/>
      <c r="O25" s="3"/>
      <c r="P25" s="3"/>
      <c r="Q25" s="3"/>
      <c r="R25" s="3"/>
      <c r="S25" s="3"/>
      <c r="T25" s="3"/>
      <c r="U25" s="3"/>
      <c r="V25" s="3"/>
      <c r="W25" s="3"/>
      <c r="X25" s="3"/>
    </row>
    <row r="26" spans="1:34" customFormat="1" ht="15" customHeight="1">
      <c r="A26" s="663"/>
      <c r="B26" s="667"/>
      <c r="D26" s="12"/>
      <c r="E26" s="19"/>
      <c r="F26" s="727"/>
      <c r="G26" s="727"/>
      <c r="H26" s="727"/>
      <c r="I26" s="727"/>
      <c r="J26" s="727"/>
      <c r="K26" s="727"/>
      <c r="L26" s="727"/>
      <c r="M26" s="730" t="s">
        <v>2264</v>
      </c>
      <c r="N26" s="12"/>
      <c r="O26" s="3"/>
      <c r="P26" s="3"/>
      <c r="Q26" s="3"/>
      <c r="R26" s="3"/>
      <c r="S26" s="3"/>
      <c r="T26" s="3"/>
      <c r="U26" s="3"/>
      <c r="V26" s="3"/>
      <c r="W26" s="3"/>
      <c r="X26" s="3"/>
    </row>
    <row r="27" spans="1:34" customFormat="1" ht="15" customHeight="1">
      <c r="A27" s="663"/>
      <c r="B27" s="667"/>
      <c r="D27" s="12"/>
      <c r="E27" s="254" t="s">
        <v>879</v>
      </c>
      <c r="F27" s="815">
        <v>2018</v>
      </c>
      <c r="G27" s="815">
        <v>2020</v>
      </c>
      <c r="H27" s="815">
        <v>2025</v>
      </c>
      <c r="I27" s="815">
        <v>2030</v>
      </c>
      <c r="J27" s="815">
        <v>2035</v>
      </c>
      <c r="K27" s="815">
        <v>2040</v>
      </c>
      <c r="L27" s="815">
        <v>2045</v>
      </c>
      <c r="M27" s="815">
        <v>2050</v>
      </c>
      <c r="N27" s="12"/>
      <c r="O27" s="3"/>
      <c r="P27" s="3"/>
      <c r="Q27" s="3"/>
      <c r="R27" s="3"/>
      <c r="S27" s="3"/>
      <c r="T27" s="3"/>
      <c r="U27" s="3"/>
      <c r="V27" s="3"/>
      <c r="W27" s="3"/>
      <c r="X27" s="3"/>
    </row>
    <row r="28" spans="1:34" customFormat="1" ht="15" customHeight="1">
      <c r="A28" s="663"/>
      <c r="B28" s="667"/>
      <c r="D28" s="12"/>
      <c r="E28" s="259">
        <v>1</v>
      </c>
      <c r="F28" s="1271">
        <v>1</v>
      </c>
      <c r="G28" s="1271">
        <v>1</v>
      </c>
      <c r="H28" s="1271">
        <v>1</v>
      </c>
      <c r="I28" s="1271">
        <v>1</v>
      </c>
      <c r="J28" s="1271">
        <v>1</v>
      </c>
      <c r="K28" s="1271">
        <v>1</v>
      </c>
      <c r="L28" s="1271">
        <v>1</v>
      </c>
      <c r="M28" s="1271">
        <v>1</v>
      </c>
      <c r="N28" s="12"/>
      <c r="O28" s="3"/>
      <c r="P28" s="3"/>
      <c r="Q28" s="3"/>
      <c r="R28" s="3"/>
      <c r="S28" s="3"/>
      <c r="T28" s="3"/>
      <c r="U28" s="3"/>
      <c r="V28" s="3"/>
      <c r="W28" s="3"/>
      <c r="X28" s="3"/>
    </row>
    <row r="29" spans="1:34" customFormat="1" ht="15" customHeight="1">
      <c r="A29" s="663"/>
      <c r="B29" s="667"/>
      <c r="D29" s="12"/>
      <c r="E29" s="259">
        <v>2</v>
      </c>
      <c r="F29" s="1272">
        <v>1</v>
      </c>
      <c r="G29" s="1272">
        <v>1</v>
      </c>
      <c r="H29" s="1272">
        <v>1</v>
      </c>
      <c r="I29" s="1272">
        <v>1</v>
      </c>
      <c r="J29" s="1272">
        <v>1</v>
      </c>
      <c r="K29" s="1272">
        <v>1</v>
      </c>
      <c r="L29" s="1272">
        <v>1</v>
      </c>
      <c r="M29" s="1272">
        <v>1</v>
      </c>
      <c r="N29" s="12"/>
      <c r="O29" s="3"/>
      <c r="P29" s="3"/>
      <c r="Q29" s="3"/>
      <c r="R29" s="3"/>
      <c r="S29" s="3"/>
      <c r="T29" s="3"/>
      <c r="U29" s="3"/>
      <c r="V29" s="3"/>
      <c r="W29" s="3"/>
      <c r="X29" s="3"/>
    </row>
    <row r="30" spans="1:34" customFormat="1" ht="15" customHeight="1">
      <c r="A30" s="663"/>
      <c r="B30" s="667"/>
      <c r="D30" s="11"/>
      <c r="E30" s="259">
        <v>3</v>
      </c>
      <c r="F30" s="1272">
        <v>1</v>
      </c>
      <c r="G30" s="1272">
        <v>1</v>
      </c>
      <c r="H30" s="1272">
        <v>1</v>
      </c>
      <c r="I30" s="1272">
        <v>1</v>
      </c>
      <c r="J30" s="1272">
        <v>1</v>
      </c>
      <c r="K30" s="1272">
        <v>1</v>
      </c>
      <c r="L30" s="1272">
        <v>1</v>
      </c>
      <c r="M30" s="1272">
        <v>1</v>
      </c>
      <c r="N30" s="12"/>
      <c r="O30" s="3"/>
      <c r="P30" s="3"/>
      <c r="Q30" s="3"/>
      <c r="R30" s="3"/>
      <c r="S30" s="3"/>
      <c r="T30" s="3"/>
      <c r="U30" s="3"/>
      <c r="V30" s="3"/>
      <c r="W30" s="3"/>
      <c r="X30" s="3"/>
    </row>
    <row r="31" spans="1:34" customFormat="1" ht="15" customHeight="1">
      <c r="A31" s="663"/>
      <c r="B31" s="667"/>
      <c r="D31" s="11"/>
      <c r="E31" s="257">
        <v>4</v>
      </c>
      <c r="F31" s="1273">
        <v>1</v>
      </c>
      <c r="G31" s="1273">
        <v>1</v>
      </c>
      <c r="H31" s="1273">
        <v>1</v>
      </c>
      <c r="I31" s="1273">
        <v>1</v>
      </c>
      <c r="J31" s="1273">
        <v>1</v>
      </c>
      <c r="K31" s="1273">
        <v>1</v>
      </c>
      <c r="L31" s="1273">
        <v>1</v>
      </c>
      <c r="M31" s="1273">
        <v>1</v>
      </c>
      <c r="N31" s="12"/>
      <c r="O31" s="3"/>
      <c r="P31" s="3"/>
      <c r="Q31" s="3"/>
      <c r="R31" s="3"/>
      <c r="S31" s="3"/>
      <c r="T31" s="3"/>
      <c r="U31" s="3"/>
      <c r="V31" s="3"/>
      <c r="W31" s="3"/>
      <c r="X31" s="3"/>
    </row>
    <row r="32" spans="1:34" customFormat="1" ht="15" customHeight="1">
      <c r="A32" s="663"/>
      <c r="B32" s="667"/>
      <c r="D32" s="11"/>
      <c r="E32" s="12"/>
      <c r="F32" s="752"/>
      <c r="G32" s="752"/>
      <c r="H32" s="752"/>
      <c r="I32" s="752"/>
      <c r="J32" s="752"/>
      <c r="K32" s="752"/>
      <c r="L32" s="752"/>
      <c r="M32" s="752"/>
      <c r="N32" s="12"/>
      <c r="O32" s="3"/>
      <c r="P32" s="3"/>
      <c r="Q32" s="3"/>
      <c r="R32" s="3"/>
      <c r="S32" s="3"/>
      <c r="T32" s="3"/>
      <c r="U32" s="3"/>
      <c r="V32" s="3"/>
      <c r="W32" s="3"/>
      <c r="X32" s="3"/>
    </row>
    <row r="33" spans="1:34" customFormat="1" ht="15" customHeight="1">
      <c r="A33" s="663"/>
      <c r="B33" s="667"/>
      <c r="D33" s="244"/>
      <c r="E33" s="940" t="s">
        <v>1337</v>
      </c>
      <c r="F33" s="843"/>
      <c r="G33" s="843"/>
      <c r="H33" s="843"/>
      <c r="I33" s="843"/>
      <c r="J33" s="843"/>
      <c r="K33" s="843"/>
      <c r="L33" s="843"/>
      <c r="M33" s="843"/>
      <c r="N33" s="252"/>
      <c r="O33" s="3"/>
      <c r="P33" s="3"/>
      <c r="Q33" s="3"/>
      <c r="R33" s="3"/>
      <c r="S33" s="3"/>
      <c r="T33" s="3"/>
      <c r="U33" s="3"/>
      <c r="V33" s="3"/>
      <c r="W33" s="3"/>
      <c r="X33" s="3"/>
    </row>
    <row r="34" spans="1:34" s="248" customFormat="1" ht="15" customHeight="1">
      <c r="A34" s="663"/>
      <c r="B34" s="667"/>
      <c r="D34" s="244"/>
      <c r="E34" s="260"/>
      <c r="F34" s="844"/>
      <c r="G34" s="844"/>
      <c r="H34" s="844"/>
      <c r="I34" s="844"/>
      <c r="J34" s="844"/>
      <c r="K34" s="844"/>
      <c r="L34" s="844"/>
      <c r="M34" s="844"/>
      <c r="N34" s="252"/>
      <c r="O34" s="599"/>
      <c r="P34" s="3"/>
      <c r="Q34" s="3"/>
      <c r="R34" s="3"/>
      <c r="S34" s="3"/>
      <c r="T34" s="3"/>
      <c r="U34" s="3"/>
      <c r="V34" s="3"/>
      <c r="W34" s="3"/>
      <c r="X34" s="3"/>
    </row>
    <row r="35" spans="1:34" s="248" customFormat="1" ht="15" customHeight="1">
      <c r="A35" s="663"/>
      <c r="B35" s="667"/>
      <c r="D35" s="244"/>
      <c r="E35" s="251"/>
      <c r="F35" s="844"/>
      <c r="G35" s="844"/>
      <c r="H35" s="844"/>
      <c r="I35" s="844"/>
      <c r="J35" s="844"/>
      <c r="K35" s="844"/>
      <c r="L35" s="844"/>
      <c r="M35" s="845" t="s">
        <v>2264</v>
      </c>
      <c r="N35" s="251"/>
      <c r="O35" s="599"/>
      <c r="P35" s="3"/>
      <c r="Q35" s="3"/>
      <c r="R35" s="3"/>
      <c r="S35" s="3"/>
      <c r="T35" s="3"/>
      <c r="U35" s="3"/>
      <c r="V35" s="3"/>
      <c r="W35" s="3"/>
      <c r="X35" s="3"/>
    </row>
    <row r="36" spans="1:34" s="248" customFormat="1" ht="15" customHeight="1">
      <c r="A36" s="663"/>
      <c r="B36" s="667"/>
      <c r="D36" s="253"/>
      <c r="E36" s="254" t="s">
        <v>879</v>
      </c>
      <c r="F36" s="815">
        <v>2018</v>
      </c>
      <c r="G36" s="842">
        <v>2020</v>
      </c>
      <c r="H36" s="842">
        <v>2025</v>
      </c>
      <c r="I36" s="842">
        <v>2030</v>
      </c>
      <c r="J36" s="842">
        <v>2035</v>
      </c>
      <c r="K36" s="842">
        <v>2040</v>
      </c>
      <c r="L36" s="842">
        <v>2045</v>
      </c>
      <c r="M36" s="842">
        <v>2050</v>
      </c>
      <c r="N36" s="251"/>
      <c r="P36" s="3"/>
      <c r="Q36" s="3"/>
      <c r="R36" s="3"/>
      <c r="S36" s="3"/>
      <c r="T36" s="3"/>
      <c r="U36" s="3"/>
      <c r="V36" s="3"/>
      <c r="W36" s="3"/>
      <c r="X36" s="3"/>
    </row>
    <row r="37" spans="1:34" s="248" customFormat="1" ht="15" customHeight="1">
      <c r="A37" s="663"/>
      <c r="B37" s="667"/>
      <c r="D37" s="253"/>
      <c r="E37" s="255">
        <v>1</v>
      </c>
      <c r="F37" s="3802">
        <v>558087494.18285584</v>
      </c>
      <c r="G37" s="3802">
        <v>728618709.77747715</v>
      </c>
      <c r="H37" s="3802">
        <v>975435376.05538905</v>
      </c>
      <c r="I37" s="3802">
        <v>1243297631.428992</v>
      </c>
      <c r="J37" s="3802">
        <v>1547963922.0432017</v>
      </c>
      <c r="K37" s="3802">
        <v>1907430754.8598647</v>
      </c>
      <c r="L37" s="3802">
        <v>2346575323.4029999</v>
      </c>
      <c r="M37" s="3802">
        <v>2884539727.3743229</v>
      </c>
      <c r="N37" s="251"/>
      <c r="P37" s="3"/>
      <c r="Q37" s="3"/>
      <c r="R37" s="3"/>
      <c r="S37" s="3"/>
      <c r="T37" s="3"/>
      <c r="U37" s="3"/>
      <c r="V37" s="3"/>
      <c r="W37" s="3"/>
      <c r="X37" s="3"/>
      <c r="Y37" s="600"/>
      <c r="Z37" s="600"/>
      <c r="AA37" s="600"/>
      <c r="AB37" s="600"/>
      <c r="AC37" s="600"/>
      <c r="AD37" s="600"/>
      <c r="AE37" s="600"/>
      <c r="AF37" s="600"/>
      <c r="AG37" s="600"/>
      <c r="AH37" s="600"/>
    </row>
    <row r="38" spans="1:34" s="248" customFormat="1" ht="15" customHeight="1">
      <c r="A38" s="663"/>
      <c r="B38" s="667"/>
      <c r="D38" s="253"/>
      <c r="E38" s="255">
        <v>2</v>
      </c>
      <c r="F38" s="3803">
        <v>558087494.18285584</v>
      </c>
      <c r="G38" s="3802">
        <v>728618709.77747715</v>
      </c>
      <c r="H38" s="3803">
        <v>898780663.98395979</v>
      </c>
      <c r="I38" s="3802">
        <v>1141410386.3788741</v>
      </c>
      <c r="J38" s="3803">
        <v>1421084329.2945573</v>
      </c>
      <c r="K38" s="3802">
        <v>1754485300.2263563</v>
      </c>
      <c r="L38" s="3802">
        <v>2189824528.1617455</v>
      </c>
      <c r="M38" s="3802">
        <v>2724015999.2109685</v>
      </c>
      <c r="N38" s="251"/>
      <c r="W38" s="600"/>
      <c r="X38" s="600"/>
      <c r="Y38" s="600"/>
      <c r="Z38" s="600"/>
      <c r="AA38" s="600"/>
      <c r="AB38" s="601"/>
      <c r="AC38" s="601"/>
      <c r="AD38" s="601"/>
      <c r="AE38" s="602"/>
      <c r="AF38" s="602"/>
      <c r="AG38" s="602"/>
      <c r="AH38" s="602"/>
    </row>
    <row r="39" spans="1:34" s="248" customFormat="1" ht="15" customHeight="1">
      <c r="A39" s="663"/>
      <c r="B39" s="667"/>
      <c r="D39" s="253"/>
      <c r="E39" s="255">
        <v>3</v>
      </c>
      <c r="F39" s="3803">
        <v>558087494.18285584</v>
      </c>
      <c r="G39" s="3803">
        <v>728618709.77747715</v>
      </c>
      <c r="H39" s="3803">
        <v>874368335.29878914</v>
      </c>
      <c r="I39" s="3803">
        <v>1085176136.3888972</v>
      </c>
      <c r="J39" s="3803">
        <v>1331759692.0759373</v>
      </c>
      <c r="K39" s="3803">
        <v>1630453562.2815166</v>
      </c>
      <c r="L39" s="3803">
        <v>2062706833.7876563</v>
      </c>
      <c r="M39" s="3803">
        <v>2593838629.5519919</v>
      </c>
      <c r="N39" s="251"/>
      <c r="W39" s="600"/>
      <c r="X39" s="600"/>
      <c r="Y39" s="600"/>
      <c r="Z39" s="600"/>
      <c r="AA39" s="600"/>
      <c r="AB39" s="602"/>
      <c r="AC39" s="602"/>
      <c r="AD39" s="602"/>
      <c r="AE39" s="602"/>
      <c r="AF39" s="602"/>
      <c r="AG39" s="602"/>
      <c r="AH39" s="602"/>
    </row>
    <row r="40" spans="1:34" s="248" customFormat="1" ht="15" customHeight="1">
      <c r="A40" s="663"/>
      <c r="B40" s="667"/>
      <c r="D40" s="253"/>
      <c r="E40" s="257">
        <v>4</v>
      </c>
      <c r="F40" s="1717">
        <v>558087494.18285584</v>
      </c>
      <c r="G40" s="1717">
        <v>728618709.77747715</v>
      </c>
      <c r="H40" s="1717">
        <v>874368335.29878914</v>
      </c>
      <c r="I40" s="1717">
        <v>1036109833.2868743</v>
      </c>
      <c r="J40" s="1717">
        <v>1230852685.3947873</v>
      </c>
      <c r="K40" s="1717">
        <v>1475076112.7863493</v>
      </c>
      <c r="L40" s="1717">
        <v>1903463534.7351503</v>
      </c>
      <c r="M40" s="1717">
        <v>2430762403.9443374</v>
      </c>
      <c r="N40" s="251"/>
      <c r="W40" s="600"/>
      <c r="X40" s="600"/>
      <c r="Y40" s="600"/>
      <c r="Z40" s="600"/>
      <c r="AA40" s="600"/>
    </row>
    <row r="41" spans="1:34" s="248" customFormat="1" ht="15" customHeight="1">
      <c r="A41" s="663"/>
      <c r="B41" s="667"/>
      <c r="D41" s="253"/>
      <c r="E41" s="261"/>
      <c r="F41" s="846"/>
      <c r="G41" s="847"/>
      <c r="H41" s="847"/>
      <c r="I41" s="847"/>
      <c r="J41" s="847"/>
      <c r="K41" s="847"/>
      <c r="L41" s="847"/>
      <c r="M41" s="847"/>
      <c r="N41" s="262"/>
    </row>
    <row r="42" spans="1:34" s="248" customFormat="1" ht="15" customHeight="1">
      <c r="A42" s="663"/>
      <c r="B42" s="667"/>
      <c r="D42" s="244"/>
      <c r="E42" s="940" t="s">
        <v>1340</v>
      </c>
      <c r="F42" s="843"/>
      <c r="G42" s="843"/>
      <c r="H42" s="843"/>
      <c r="I42" s="843"/>
      <c r="J42" s="843"/>
      <c r="K42" s="843"/>
      <c r="L42" s="843"/>
      <c r="M42" s="843"/>
      <c r="N42" s="252"/>
    </row>
    <row r="43" spans="1:34" s="248" customFormat="1" ht="15" customHeight="1">
      <c r="A43" s="663"/>
      <c r="B43" s="667"/>
      <c r="D43" s="244"/>
      <c r="E43" s="260"/>
      <c r="F43" s="844"/>
      <c r="G43" s="844"/>
      <c r="H43" s="844"/>
      <c r="I43" s="844"/>
      <c r="J43" s="844"/>
      <c r="K43" s="844"/>
      <c r="L43" s="844"/>
      <c r="M43" s="844"/>
      <c r="N43" s="252"/>
      <c r="O43" s="599"/>
    </row>
    <row r="44" spans="1:34" s="248" customFormat="1" ht="15" customHeight="1">
      <c r="A44" s="663"/>
      <c r="B44" s="667"/>
      <c r="D44" s="244"/>
      <c r="E44" s="251"/>
      <c r="F44" s="844"/>
      <c r="G44" s="844"/>
      <c r="H44" s="844"/>
      <c r="I44" s="844"/>
      <c r="J44" s="844"/>
      <c r="K44" s="844"/>
      <c r="L44" s="844"/>
      <c r="M44" s="845" t="s">
        <v>9</v>
      </c>
      <c r="N44" s="251"/>
    </row>
    <row r="45" spans="1:34" s="248" customFormat="1" ht="15" customHeight="1">
      <c r="A45" s="663"/>
      <c r="B45" s="667"/>
      <c r="D45" s="253"/>
      <c r="E45" s="254" t="s">
        <v>879</v>
      </c>
      <c r="F45" s="815">
        <v>2018</v>
      </c>
      <c r="G45" s="842">
        <v>2020</v>
      </c>
      <c r="H45" s="842">
        <v>2025</v>
      </c>
      <c r="I45" s="842">
        <v>2030</v>
      </c>
      <c r="J45" s="842">
        <v>2035</v>
      </c>
      <c r="K45" s="842">
        <v>2040</v>
      </c>
      <c r="L45" s="842">
        <v>2045</v>
      </c>
      <c r="M45" s="842">
        <v>2050</v>
      </c>
      <c r="N45" s="251"/>
    </row>
    <row r="46" spans="1:34" s="248" customFormat="1" ht="15" customHeight="1">
      <c r="A46" s="663"/>
      <c r="B46" s="667"/>
      <c r="D46" s="253"/>
      <c r="E46" s="255">
        <v>1</v>
      </c>
      <c r="F46" s="807">
        <v>0</v>
      </c>
      <c r="G46" s="807">
        <v>0</v>
      </c>
      <c r="H46" s="807">
        <v>0</v>
      </c>
      <c r="I46" s="807">
        <v>0</v>
      </c>
      <c r="J46" s="807">
        <v>0</v>
      </c>
      <c r="K46" s="807">
        <v>0</v>
      </c>
      <c r="L46" s="807">
        <v>0</v>
      </c>
      <c r="M46" s="807">
        <v>0</v>
      </c>
      <c r="N46" s="251"/>
      <c r="O46" s="599"/>
      <c r="Y46" s="600"/>
      <c r="Z46" s="600"/>
      <c r="AA46" s="600"/>
      <c r="AB46" s="600"/>
      <c r="AC46" s="600"/>
      <c r="AD46" s="600"/>
      <c r="AE46" s="600"/>
      <c r="AF46" s="600"/>
      <c r="AG46" s="600"/>
      <c r="AH46" s="600"/>
    </row>
    <row r="47" spans="1:34" s="248" customFormat="1" ht="15" customHeight="1">
      <c r="A47" s="663"/>
      <c r="B47" s="667"/>
      <c r="D47" s="253"/>
      <c r="E47" s="255">
        <v>2</v>
      </c>
      <c r="F47" s="3804">
        <v>0</v>
      </c>
      <c r="G47" s="807">
        <v>0</v>
      </c>
      <c r="H47" s="3804">
        <v>0</v>
      </c>
      <c r="I47" s="807">
        <v>0</v>
      </c>
      <c r="J47" s="3804">
        <v>0</v>
      </c>
      <c r="K47" s="807">
        <v>0</v>
      </c>
      <c r="L47" s="807">
        <v>0</v>
      </c>
      <c r="M47" s="807">
        <v>0</v>
      </c>
      <c r="N47" s="251"/>
      <c r="Y47" s="600"/>
      <c r="Z47" s="600"/>
      <c r="AA47" s="600"/>
      <c r="AB47" s="601"/>
      <c r="AC47" s="601"/>
      <c r="AD47" s="601"/>
      <c r="AE47" s="602"/>
      <c r="AF47" s="602"/>
      <c r="AG47" s="602"/>
      <c r="AH47" s="602"/>
    </row>
    <row r="48" spans="1:34" s="248" customFormat="1" ht="15" customHeight="1">
      <c r="A48" s="663"/>
      <c r="B48" s="667"/>
      <c r="D48" s="253"/>
      <c r="E48" s="255">
        <v>3</v>
      </c>
      <c r="F48" s="3804">
        <v>0</v>
      </c>
      <c r="G48" s="3804">
        <v>0</v>
      </c>
      <c r="H48" s="3804">
        <v>0</v>
      </c>
      <c r="I48" s="3804">
        <v>0</v>
      </c>
      <c r="J48" s="3804">
        <v>0</v>
      </c>
      <c r="K48" s="3804">
        <v>0</v>
      </c>
      <c r="L48" s="3804">
        <v>0</v>
      </c>
      <c r="M48" s="3804">
        <v>0</v>
      </c>
      <c r="N48" s="251"/>
      <c r="Y48" s="600"/>
      <c r="Z48" s="600"/>
      <c r="AA48" s="600"/>
      <c r="AB48" s="602"/>
      <c r="AC48" s="602"/>
      <c r="AD48" s="602"/>
      <c r="AE48" s="602"/>
      <c r="AF48" s="602"/>
      <c r="AG48" s="602"/>
      <c r="AH48" s="602"/>
    </row>
    <row r="49" spans="1:34" s="248" customFormat="1" ht="15" customHeight="1">
      <c r="A49" s="663"/>
      <c r="B49" s="667"/>
      <c r="D49" s="253"/>
      <c r="E49" s="257">
        <v>4</v>
      </c>
      <c r="F49" s="3805">
        <v>0</v>
      </c>
      <c r="G49" s="3805">
        <v>0</v>
      </c>
      <c r="H49" s="3805">
        <v>0</v>
      </c>
      <c r="I49" s="3805">
        <v>0</v>
      </c>
      <c r="J49" s="3805">
        <v>0</v>
      </c>
      <c r="K49" s="3805">
        <v>0</v>
      </c>
      <c r="L49" s="3805">
        <v>0</v>
      </c>
      <c r="M49" s="3805">
        <v>0</v>
      </c>
      <c r="N49" s="251"/>
      <c r="O49" s="599"/>
      <c r="Y49" s="600"/>
      <c r="Z49" s="600"/>
      <c r="AA49" s="600"/>
    </row>
    <row r="50" spans="1:34" s="248" customFormat="1" ht="15" customHeight="1">
      <c r="A50" s="663"/>
      <c r="B50" s="667"/>
      <c r="D50" s="253"/>
      <c r="E50" s="261"/>
      <c r="F50" s="3806"/>
      <c r="G50" s="3806"/>
      <c r="H50" s="3804"/>
      <c r="I50" s="3804"/>
      <c r="J50" s="3804"/>
      <c r="K50" s="3804"/>
      <c r="L50" s="3804"/>
      <c r="M50" s="3804"/>
      <c r="N50" s="262"/>
    </row>
    <row r="51" spans="1:34" s="248" customFormat="1" ht="15" customHeight="1">
      <c r="A51" s="663"/>
      <c r="B51" s="667"/>
      <c r="D51" s="244"/>
      <c r="E51" s="940" t="s">
        <v>1342</v>
      </c>
      <c r="F51" s="3807"/>
      <c r="G51" s="3807"/>
      <c r="H51" s="3807"/>
      <c r="I51" s="3807"/>
      <c r="J51" s="3807"/>
      <c r="K51" s="3807"/>
      <c r="L51" s="3807"/>
      <c r="M51" s="3807"/>
      <c r="N51" s="251"/>
    </row>
    <row r="52" spans="1:34" s="248" customFormat="1" ht="15" customHeight="1">
      <c r="A52" s="663"/>
      <c r="B52" s="667"/>
      <c r="D52" s="244"/>
      <c r="E52" s="260"/>
      <c r="F52" s="3786"/>
      <c r="G52" s="3786"/>
      <c r="H52" s="3786"/>
      <c r="I52" s="3786"/>
      <c r="J52" s="3786"/>
      <c r="K52" s="3786"/>
      <c r="L52" s="3786"/>
      <c r="M52" s="3786"/>
      <c r="N52" s="252"/>
      <c r="O52" s="599"/>
    </row>
    <row r="53" spans="1:34" s="248" customFormat="1" ht="15" customHeight="1">
      <c r="A53" s="663"/>
      <c r="B53" s="667"/>
      <c r="D53" s="244"/>
      <c r="E53" s="251"/>
      <c r="F53" s="3786"/>
      <c r="G53" s="3786"/>
      <c r="H53" s="3786"/>
      <c r="I53" s="3786"/>
      <c r="J53" s="3786"/>
      <c r="K53" s="3786"/>
      <c r="L53" s="3786"/>
      <c r="M53" s="3808" t="s">
        <v>9</v>
      </c>
      <c r="N53" s="251"/>
    </row>
    <row r="54" spans="1:34" s="248" customFormat="1" ht="15" customHeight="1">
      <c r="A54" s="663"/>
      <c r="B54" s="667"/>
      <c r="D54" s="253"/>
      <c r="E54" s="254" t="s">
        <v>879</v>
      </c>
      <c r="F54" s="814">
        <v>2018</v>
      </c>
      <c r="G54" s="3809">
        <v>2020</v>
      </c>
      <c r="H54" s="3809">
        <v>2025</v>
      </c>
      <c r="I54" s="3809">
        <v>2030</v>
      </c>
      <c r="J54" s="3809">
        <v>2035</v>
      </c>
      <c r="K54" s="3809">
        <v>2040</v>
      </c>
      <c r="L54" s="3809">
        <v>2045</v>
      </c>
      <c r="M54" s="3809">
        <v>2050</v>
      </c>
      <c r="N54" s="251"/>
    </row>
    <row r="55" spans="1:34" s="248" customFormat="1" ht="15" customHeight="1">
      <c r="A55" s="663"/>
      <c r="B55" s="667"/>
      <c r="D55" s="253"/>
      <c r="E55" s="255">
        <v>1</v>
      </c>
      <c r="F55" s="807">
        <v>0</v>
      </c>
      <c r="G55" s="807">
        <v>0</v>
      </c>
      <c r="H55" s="807">
        <v>0</v>
      </c>
      <c r="I55" s="807">
        <v>0</v>
      </c>
      <c r="J55" s="807">
        <v>0</v>
      </c>
      <c r="K55" s="807">
        <v>0</v>
      </c>
      <c r="L55" s="807">
        <v>0</v>
      </c>
      <c r="M55" s="807">
        <v>0</v>
      </c>
      <c r="N55" s="251"/>
      <c r="O55" s="599"/>
      <c r="Y55" s="600"/>
      <c r="Z55" s="600"/>
      <c r="AA55" s="600"/>
      <c r="AB55" s="600"/>
      <c r="AC55" s="600"/>
      <c r="AD55" s="600"/>
      <c r="AE55" s="600"/>
      <c r="AF55" s="600"/>
      <c r="AG55" s="600"/>
      <c r="AH55" s="600"/>
    </row>
    <row r="56" spans="1:34" s="248" customFormat="1" ht="15" customHeight="1">
      <c r="A56" s="663"/>
      <c r="B56" s="667"/>
      <c r="D56" s="253"/>
      <c r="E56" s="255">
        <v>2</v>
      </c>
      <c r="F56" s="3804">
        <v>0</v>
      </c>
      <c r="G56" s="807">
        <v>0</v>
      </c>
      <c r="H56" s="3804">
        <v>0</v>
      </c>
      <c r="I56" s="807">
        <v>0</v>
      </c>
      <c r="J56" s="3804">
        <v>0</v>
      </c>
      <c r="K56" s="807">
        <v>0</v>
      </c>
      <c r="L56" s="807">
        <v>0</v>
      </c>
      <c r="M56" s="807">
        <v>0</v>
      </c>
      <c r="N56" s="251"/>
      <c r="Y56" s="600"/>
      <c r="Z56" s="600"/>
      <c r="AA56" s="600"/>
      <c r="AB56" s="601"/>
      <c r="AC56" s="601"/>
      <c r="AD56" s="601"/>
      <c r="AE56" s="602"/>
      <c r="AF56" s="602"/>
      <c r="AG56" s="602"/>
      <c r="AH56" s="602"/>
    </row>
    <row r="57" spans="1:34" s="248" customFormat="1" ht="15" customHeight="1">
      <c r="A57" s="663"/>
      <c r="B57" s="667"/>
      <c r="D57" s="253"/>
      <c r="E57" s="255">
        <v>3</v>
      </c>
      <c r="F57" s="3804">
        <v>0</v>
      </c>
      <c r="G57" s="3804">
        <v>0</v>
      </c>
      <c r="H57" s="3804">
        <v>0</v>
      </c>
      <c r="I57" s="3804">
        <v>0</v>
      </c>
      <c r="J57" s="3804">
        <v>0</v>
      </c>
      <c r="K57" s="3804">
        <v>0</v>
      </c>
      <c r="L57" s="3804">
        <v>0</v>
      </c>
      <c r="M57" s="3804">
        <v>0</v>
      </c>
      <c r="N57" s="251"/>
      <c r="Y57" s="600"/>
      <c r="Z57" s="600"/>
      <c r="AA57" s="600"/>
      <c r="AB57" s="602"/>
      <c r="AC57" s="602"/>
      <c r="AD57" s="602"/>
      <c r="AE57" s="602"/>
      <c r="AF57" s="602"/>
      <c r="AG57" s="602"/>
      <c r="AH57" s="602"/>
    </row>
    <row r="58" spans="1:34" s="248" customFormat="1" ht="15" customHeight="1">
      <c r="A58" s="663"/>
      <c r="B58" s="667"/>
      <c r="D58" s="253"/>
      <c r="E58" s="257">
        <v>4</v>
      </c>
      <c r="F58" s="3805">
        <v>0</v>
      </c>
      <c r="G58" s="3805">
        <v>0</v>
      </c>
      <c r="H58" s="3805">
        <v>0</v>
      </c>
      <c r="I58" s="3805">
        <v>0</v>
      </c>
      <c r="J58" s="3805">
        <v>0</v>
      </c>
      <c r="K58" s="3805">
        <v>0</v>
      </c>
      <c r="L58" s="3805">
        <v>0</v>
      </c>
      <c r="M58" s="3805">
        <v>0</v>
      </c>
      <c r="N58" s="251"/>
      <c r="O58" s="599"/>
      <c r="Y58" s="600"/>
      <c r="Z58" s="600"/>
      <c r="AA58" s="600"/>
    </row>
    <row r="59" spans="1:34" s="248" customFormat="1" ht="15" customHeight="1">
      <c r="A59" s="663"/>
      <c r="B59" s="667"/>
      <c r="D59" s="11"/>
      <c r="E59" s="12"/>
      <c r="F59" s="752"/>
      <c r="G59" s="752"/>
      <c r="H59" s="752"/>
      <c r="I59" s="752"/>
      <c r="J59" s="752"/>
      <c r="K59" s="752"/>
      <c r="L59" s="752"/>
      <c r="M59" s="752"/>
      <c r="N59" s="12"/>
    </row>
    <row r="60" spans="1:34" customFormat="1" ht="15" customHeight="1">
      <c r="A60" s="663"/>
      <c r="B60" s="667"/>
      <c r="D60" s="244"/>
      <c r="E60" s="940" t="s">
        <v>1344</v>
      </c>
      <c r="F60" s="843"/>
      <c r="G60" s="843"/>
      <c r="H60" s="843"/>
      <c r="I60" s="843"/>
      <c r="J60" s="843"/>
      <c r="K60" s="843"/>
      <c r="L60" s="843"/>
      <c r="M60" s="843"/>
      <c r="N60" s="251"/>
      <c r="O60" s="248"/>
      <c r="P60" s="248"/>
      <c r="Q60" s="248"/>
      <c r="R60" s="248"/>
      <c r="S60" s="248"/>
      <c r="T60" s="248"/>
      <c r="U60" s="248"/>
      <c r="V60" s="248"/>
      <c r="W60" s="248"/>
      <c r="X60" s="248"/>
    </row>
    <row r="61" spans="1:34" s="248" customFormat="1" ht="15" customHeight="1">
      <c r="A61" s="663"/>
      <c r="B61" s="667"/>
      <c r="D61" s="244"/>
      <c r="E61" s="251"/>
      <c r="F61" s="844"/>
      <c r="G61" s="844"/>
      <c r="H61" s="844"/>
      <c r="I61" s="844"/>
      <c r="J61" s="844"/>
      <c r="K61" s="844"/>
      <c r="L61" s="844"/>
      <c r="M61" s="844"/>
      <c r="N61" s="251"/>
      <c r="O61" s="599"/>
    </row>
    <row r="62" spans="1:34" s="248" customFormat="1" ht="15" customHeight="1">
      <c r="A62" s="663"/>
      <c r="B62" s="667"/>
      <c r="D62" s="244"/>
      <c r="E62" s="263" t="s">
        <v>1726</v>
      </c>
      <c r="F62" s="844"/>
      <c r="G62" s="844"/>
      <c r="H62" s="844"/>
      <c r="I62" s="844"/>
      <c r="J62" s="844"/>
      <c r="K62" s="844"/>
      <c r="L62" s="844"/>
      <c r="M62" s="844"/>
      <c r="N62" s="251"/>
    </row>
    <row r="63" spans="1:34" s="248" customFormat="1" ht="15" customHeight="1">
      <c r="A63" s="663"/>
      <c r="B63" s="667"/>
      <c r="D63" s="244"/>
      <c r="E63" s="264"/>
      <c r="F63" s="844"/>
      <c r="G63" s="844"/>
      <c r="H63" s="844"/>
      <c r="I63" s="844"/>
      <c r="J63" s="844"/>
      <c r="K63" s="844"/>
      <c r="L63" s="844"/>
      <c r="M63" s="845" t="s">
        <v>2374</v>
      </c>
      <c r="N63" s="251"/>
    </row>
    <row r="64" spans="1:34" s="248" customFormat="1" ht="15" customHeight="1">
      <c r="A64" s="663"/>
      <c r="B64" s="667"/>
      <c r="D64" s="253"/>
      <c r="E64" s="265" t="s">
        <v>2241</v>
      </c>
      <c r="F64" s="815">
        <v>2018</v>
      </c>
      <c r="G64" s="842">
        <v>2020</v>
      </c>
      <c r="H64" s="842">
        <v>2025</v>
      </c>
      <c r="I64" s="842">
        <v>2030</v>
      </c>
      <c r="J64" s="842">
        <v>2035</v>
      </c>
      <c r="K64" s="842">
        <v>2040</v>
      </c>
      <c r="L64" s="842">
        <v>2045</v>
      </c>
      <c r="M64" s="842">
        <v>2050</v>
      </c>
      <c r="N64" s="251"/>
      <c r="O64" s="599"/>
    </row>
    <row r="65" spans="1:34" s="248" customFormat="1" ht="15" customHeight="1">
      <c r="A65" s="663"/>
      <c r="B65" s="667"/>
      <c r="D65" s="253"/>
      <c r="E65" s="261" t="s">
        <v>2375</v>
      </c>
      <c r="F65" s="807">
        <v>0</v>
      </c>
      <c r="G65" s="807">
        <v>0</v>
      </c>
      <c r="H65" s="807">
        <v>0</v>
      </c>
      <c r="I65" s="807">
        <v>0</v>
      </c>
      <c r="J65" s="807">
        <v>0</v>
      </c>
      <c r="K65" s="807">
        <v>0</v>
      </c>
      <c r="L65" s="807">
        <v>0</v>
      </c>
      <c r="M65" s="807">
        <v>0</v>
      </c>
      <c r="N65" s="251"/>
      <c r="Y65" s="600"/>
      <c r="Z65" s="600"/>
      <c r="AA65" s="600"/>
      <c r="AB65" s="600"/>
      <c r="AC65" s="600"/>
      <c r="AD65" s="600"/>
      <c r="AE65" s="600"/>
      <c r="AF65" s="600"/>
      <c r="AG65" s="600"/>
      <c r="AH65" s="600"/>
    </row>
    <row r="66" spans="1:34" s="248" customFormat="1" ht="15" customHeight="1">
      <c r="A66" s="663"/>
      <c r="B66" s="667"/>
      <c r="D66" s="253"/>
      <c r="E66" s="261" t="s">
        <v>2376</v>
      </c>
      <c r="F66" s="807">
        <v>0</v>
      </c>
      <c r="G66" s="807">
        <v>0</v>
      </c>
      <c r="H66" s="3804">
        <v>0</v>
      </c>
      <c r="I66" s="807">
        <v>0</v>
      </c>
      <c r="J66" s="3804">
        <v>0</v>
      </c>
      <c r="K66" s="807">
        <v>0</v>
      </c>
      <c r="L66" s="807">
        <v>0</v>
      </c>
      <c r="M66" s="807">
        <v>0</v>
      </c>
      <c r="N66" s="251"/>
      <c r="Y66" s="600"/>
      <c r="Z66" s="600"/>
      <c r="AA66" s="600"/>
      <c r="AB66" s="601"/>
      <c r="AC66" s="601"/>
      <c r="AD66" s="601"/>
      <c r="AE66" s="602"/>
      <c r="AF66" s="602"/>
      <c r="AG66" s="602"/>
      <c r="AH66" s="602"/>
    </row>
    <row r="67" spans="1:34" s="248" customFormat="1" ht="15" customHeight="1">
      <c r="A67" s="663"/>
      <c r="B67" s="667"/>
      <c r="D67" s="253"/>
      <c r="E67" s="261" t="s">
        <v>2377</v>
      </c>
      <c r="F67" s="807">
        <v>0</v>
      </c>
      <c r="G67" s="3804">
        <v>0</v>
      </c>
      <c r="H67" s="3804">
        <v>0</v>
      </c>
      <c r="I67" s="3804">
        <v>0</v>
      </c>
      <c r="J67" s="3804">
        <v>0</v>
      </c>
      <c r="K67" s="3804">
        <v>0</v>
      </c>
      <c r="L67" s="3804">
        <v>0</v>
      </c>
      <c r="M67" s="3804">
        <v>0</v>
      </c>
      <c r="N67" s="251"/>
      <c r="O67" s="599"/>
      <c r="Y67" s="600"/>
      <c r="Z67" s="600"/>
      <c r="AA67" s="600"/>
      <c r="AB67" s="602"/>
      <c r="AC67" s="602"/>
      <c r="AD67" s="602"/>
      <c r="AE67" s="602"/>
      <c r="AF67" s="602"/>
      <c r="AG67" s="602"/>
      <c r="AH67" s="602"/>
    </row>
    <row r="68" spans="1:34" s="248" customFormat="1" ht="15" customHeight="1">
      <c r="A68" s="663"/>
      <c r="B68" s="667"/>
      <c r="D68" s="253"/>
      <c r="E68" s="266" t="s">
        <v>2378</v>
      </c>
      <c r="F68" s="3810">
        <v>0</v>
      </c>
      <c r="G68" s="3805">
        <v>0</v>
      </c>
      <c r="H68" s="3805">
        <v>0</v>
      </c>
      <c r="I68" s="3805">
        <v>0</v>
      </c>
      <c r="J68" s="3805">
        <v>0</v>
      </c>
      <c r="K68" s="3805">
        <v>0</v>
      </c>
      <c r="L68" s="3805">
        <v>0</v>
      </c>
      <c r="M68" s="3805">
        <v>0</v>
      </c>
      <c r="N68" s="251"/>
      <c r="Y68" s="600"/>
      <c r="Z68" s="600"/>
      <c r="AA68" s="600"/>
    </row>
    <row r="69" spans="1:34" s="248" customFormat="1" ht="15" customHeight="1">
      <c r="A69" s="663"/>
      <c r="B69" s="667"/>
      <c r="D69" s="253"/>
      <c r="E69" s="261"/>
      <c r="F69" s="3804"/>
      <c r="G69" s="3804"/>
      <c r="H69" s="3804"/>
      <c r="I69" s="3804"/>
      <c r="J69" s="3804"/>
      <c r="K69" s="3804"/>
      <c r="L69" s="3804"/>
      <c r="M69" s="3804"/>
      <c r="N69" s="251"/>
    </row>
    <row r="70" spans="1:34" s="248" customFormat="1" ht="15" customHeight="1">
      <c r="A70" s="663"/>
      <c r="B70" s="667"/>
      <c r="D70" s="253"/>
      <c r="E70" s="263" t="s">
        <v>1729</v>
      </c>
      <c r="F70" s="3804"/>
      <c r="G70" s="3804"/>
      <c r="H70" s="3804"/>
      <c r="I70" s="3804"/>
      <c r="J70" s="3804"/>
      <c r="K70" s="3804"/>
      <c r="L70" s="3804"/>
      <c r="M70" s="3804"/>
      <c r="N70" s="251"/>
      <c r="O70" s="599"/>
    </row>
    <row r="71" spans="1:34" s="248" customFormat="1" ht="15" customHeight="1">
      <c r="A71" s="663"/>
      <c r="B71" s="667"/>
      <c r="D71" s="244"/>
      <c r="E71" s="264"/>
      <c r="F71" s="3786"/>
      <c r="G71" s="3786"/>
      <c r="H71" s="3786"/>
      <c r="I71" s="3786"/>
      <c r="J71" s="3786"/>
      <c r="K71" s="3786"/>
      <c r="L71" s="3786"/>
      <c r="M71" s="3808" t="s">
        <v>2374</v>
      </c>
      <c r="N71" s="251"/>
    </row>
    <row r="72" spans="1:34" s="248" customFormat="1" ht="15" customHeight="1">
      <c r="A72" s="663"/>
      <c r="B72" s="667"/>
      <c r="D72" s="253"/>
      <c r="E72" s="265" t="s">
        <v>2241</v>
      </c>
      <c r="F72" s="3809">
        <v>2018</v>
      </c>
      <c r="G72" s="3809">
        <v>2020</v>
      </c>
      <c r="H72" s="3809">
        <v>2025</v>
      </c>
      <c r="I72" s="3809">
        <v>2030</v>
      </c>
      <c r="J72" s="3809">
        <v>2035</v>
      </c>
      <c r="K72" s="3809">
        <v>2040</v>
      </c>
      <c r="L72" s="3809">
        <v>2045</v>
      </c>
      <c r="M72" s="3809">
        <v>2050</v>
      </c>
      <c r="N72" s="251"/>
    </row>
    <row r="73" spans="1:34" s="248" customFormat="1" ht="15" customHeight="1">
      <c r="A73" s="663"/>
      <c r="B73" s="667"/>
      <c r="D73" s="253"/>
      <c r="E73" s="261" t="s">
        <v>2375</v>
      </c>
      <c r="F73" s="807">
        <v>0</v>
      </c>
      <c r="G73" s="807">
        <v>0</v>
      </c>
      <c r="H73" s="807">
        <v>756180.54985557892</v>
      </c>
      <c r="I73" s="807">
        <v>1025170.5115877137</v>
      </c>
      <c r="J73" s="807">
        <v>1292926.3350834239</v>
      </c>
      <c r="K73" s="807">
        <v>1572348.1612682154</v>
      </c>
      <c r="L73" s="807">
        <v>1611468.7766662065</v>
      </c>
      <c r="M73" s="807">
        <v>1650256.2264591826</v>
      </c>
      <c r="N73" s="251"/>
      <c r="O73" s="599"/>
      <c r="Y73" s="600"/>
      <c r="Z73" s="600"/>
      <c r="AA73" s="600"/>
      <c r="AB73" s="600"/>
      <c r="AC73" s="600"/>
      <c r="AD73" s="600"/>
      <c r="AE73" s="600"/>
      <c r="AF73" s="600"/>
      <c r="AG73" s="600"/>
      <c r="AH73" s="600"/>
    </row>
    <row r="74" spans="1:34" s="248" customFormat="1" ht="15" customHeight="1">
      <c r="A74" s="663"/>
      <c r="B74" s="667"/>
      <c r="D74" s="253"/>
      <c r="E74" s="261" t="s">
        <v>2376</v>
      </c>
      <c r="F74" s="3804">
        <v>0</v>
      </c>
      <c r="G74" s="807">
        <v>0</v>
      </c>
      <c r="H74" s="3804">
        <v>0</v>
      </c>
      <c r="I74" s="807">
        <v>0</v>
      </c>
      <c r="J74" s="3804">
        <v>0</v>
      </c>
      <c r="K74" s="807">
        <v>0</v>
      </c>
      <c r="L74" s="807">
        <v>0</v>
      </c>
      <c r="M74" s="807">
        <v>0</v>
      </c>
      <c r="N74" s="251"/>
      <c r="Y74" s="600"/>
      <c r="Z74" s="600"/>
      <c r="AA74" s="600"/>
      <c r="AB74" s="601"/>
      <c r="AC74" s="601"/>
      <c r="AD74" s="601"/>
      <c r="AE74" s="602"/>
      <c r="AF74" s="602"/>
      <c r="AG74" s="602"/>
      <c r="AH74" s="602"/>
    </row>
    <row r="75" spans="1:34" s="248" customFormat="1" ht="15" customHeight="1">
      <c r="A75" s="663"/>
      <c r="B75" s="667"/>
      <c r="D75" s="253"/>
      <c r="E75" s="261" t="s">
        <v>2377</v>
      </c>
      <c r="F75" s="3804">
        <v>0</v>
      </c>
      <c r="G75" s="3804">
        <v>0</v>
      </c>
      <c r="H75" s="3804">
        <v>353355.39712877519</v>
      </c>
      <c r="I75" s="3804">
        <v>449592.85086497461</v>
      </c>
      <c r="J75" s="3804">
        <v>543587.88940638897</v>
      </c>
      <c r="K75" s="3804">
        <v>641455.46877608786</v>
      </c>
      <c r="L75" s="3804">
        <v>657415.1228190494</v>
      </c>
      <c r="M75" s="3804">
        <v>673238.85855548747</v>
      </c>
      <c r="N75" s="251"/>
      <c r="Y75" s="600"/>
      <c r="Z75" s="600"/>
      <c r="AA75" s="600"/>
      <c r="AB75" s="602"/>
      <c r="AC75" s="602"/>
      <c r="AD75" s="602"/>
      <c r="AE75" s="602"/>
      <c r="AF75" s="602"/>
      <c r="AG75" s="602"/>
      <c r="AH75" s="602"/>
    </row>
    <row r="76" spans="1:34" s="248" customFormat="1" ht="15" customHeight="1">
      <c r="A76" s="663"/>
      <c r="B76" s="667"/>
      <c r="D76" s="253"/>
      <c r="E76" s="266" t="s">
        <v>2378</v>
      </c>
      <c r="F76" s="3805">
        <v>0</v>
      </c>
      <c r="G76" s="3805">
        <v>0</v>
      </c>
      <c r="H76" s="3805">
        <v>0</v>
      </c>
      <c r="I76" s="3805">
        <v>0</v>
      </c>
      <c r="J76" s="3805">
        <v>0</v>
      </c>
      <c r="K76" s="3805">
        <v>0</v>
      </c>
      <c r="L76" s="3805">
        <v>0</v>
      </c>
      <c r="M76" s="3805">
        <v>0</v>
      </c>
      <c r="N76" s="251"/>
      <c r="O76" s="599"/>
      <c r="Y76" s="600"/>
      <c r="Z76" s="600"/>
      <c r="AA76" s="600"/>
    </row>
    <row r="77" spans="1:34" s="248" customFormat="1" ht="15" customHeight="1">
      <c r="A77" s="663"/>
      <c r="B77" s="667"/>
      <c r="D77" s="253"/>
      <c r="E77" s="261"/>
      <c r="F77" s="3804"/>
      <c r="G77" s="3804"/>
      <c r="H77" s="3804"/>
      <c r="I77" s="3804"/>
      <c r="J77" s="3804"/>
      <c r="K77" s="3804"/>
      <c r="L77" s="3804"/>
      <c r="M77" s="3804"/>
      <c r="N77" s="251"/>
    </row>
    <row r="78" spans="1:34" s="248" customFormat="1" ht="15" customHeight="1">
      <c r="A78" s="663"/>
      <c r="B78" s="667"/>
      <c r="D78" s="253"/>
      <c r="E78" s="263" t="s">
        <v>1730</v>
      </c>
      <c r="F78" s="3804"/>
      <c r="G78" s="3804"/>
      <c r="H78" s="3804"/>
      <c r="I78" s="3804"/>
      <c r="J78" s="3804"/>
      <c r="K78" s="3804"/>
      <c r="L78" s="3804"/>
      <c r="M78" s="3804"/>
      <c r="N78" s="251"/>
    </row>
    <row r="79" spans="1:34" s="248" customFormat="1" ht="15" customHeight="1">
      <c r="A79" s="663"/>
      <c r="B79" s="667"/>
      <c r="D79" s="244"/>
      <c r="E79" s="264"/>
      <c r="F79" s="3786"/>
      <c r="G79" s="3786"/>
      <c r="H79" s="3786"/>
      <c r="I79" s="3786"/>
      <c r="J79" s="3786"/>
      <c r="K79" s="3786"/>
      <c r="L79" s="3786"/>
      <c r="M79" s="3808"/>
      <c r="N79" s="251"/>
      <c r="O79" s="599"/>
    </row>
    <row r="80" spans="1:34" s="248" customFormat="1" ht="15" customHeight="1">
      <c r="A80" s="663"/>
      <c r="B80" s="667"/>
      <c r="D80" s="253"/>
      <c r="E80" s="265" t="s">
        <v>2241</v>
      </c>
      <c r="F80" s="3809"/>
      <c r="G80" s="3809"/>
      <c r="H80" s="3809"/>
      <c r="I80" s="3809"/>
      <c r="J80" s="3809"/>
      <c r="K80" s="3809"/>
      <c r="L80" s="3809"/>
      <c r="M80" s="3809"/>
      <c r="N80" s="251"/>
    </row>
    <row r="81" spans="1:34" s="248" customFormat="1" ht="15" customHeight="1">
      <c r="A81" s="663"/>
      <c r="B81" s="667"/>
      <c r="D81" s="253"/>
      <c r="E81" s="261" t="s">
        <v>2375</v>
      </c>
      <c r="F81" s="807">
        <v>0</v>
      </c>
      <c r="G81" s="807">
        <v>0</v>
      </c>
      <c r="H81" s="807">
        <v>756180.54985557892</v>
      </c>
      <c r="I81" s="807">
        <v>1393243.779603547</v>
      </c>
      <c r="J81" s="807">
        <v>2049885.1717334399</v>
      </c>
      <c r="K81" s="807">
        <v>2737919.6838003751</v>
      </c>
      <c r="L81" s="807">
        <v>2806040.1583739915</v>
      </c>
      <c r="M81" s="807">
        <v>2873580.4938343978</v>
      </c>
      <c r="N81" s="251"/>
      <c r="Y81" s="600"/>
      <c r="Z81" s="600"/>
      <c r="AA81" s="600"/>
      <c r="AB81" s="600"/>
      <c r="AC81" s="600"/>
      <c r="AD81" s="600"/>
      <c r="AE81" s="600"/>
      <c r="AF81" s="600"/>
      <c r="AG81" s="600"/>
      <c r="AH81" s="600"/>
    </row>
    <row r="82" spans="1:34" s="248" customFormat="1" ht="15" customHeight="1">
      <c r="A82" s="663"/>
      <c r="B82" s="667"/>
      <c r="D82" s="253"/>
      <c r="E82" s="261" t="s">
        <v>2376</v>
      </c>
      <c r="F82" s="3804">
        <v>0</v>
      </c>
      <c r="G82" s="807">
        <v>0</v>
      </c>
      <c r="H82" s="3804">
        <v>0</v>
      </c>
      <c r="I82" s="807">
        <v>0</v>
      </c>
      <c r="J82" s="3804">
        <v>0</v>
      </c>
      <c r="K82" s="807">
        <v>0</v>
      </c>
      <c r="L82" s="807">
        <v>0</v>
      </c>
      <c r="M82" s="807">
        <v>0</v>
      </c>
      <c r="N82" s="251"/>
      <c r="O82" s="599"/>
      <c r="Y82" s="600"/>
      <c r="Z82" s="600"/>
      <c r="AA82" s="600"/>
      <c r="AB82" s="601"/>
      <c r="AC82" s="601"/>
      <c r="AD82" s="601"/>
      <c r="AE82" s="602"/>
      <c r="AF82" s="602"/>
      <c r="AG82" s="602"/>
      <c r="AH82" s="602"/>
    </row>
    <row r="83" spans="1:34" s="248" customFormat="1" ht="15" customHeight="1">
      <c r="A83" s="663"/>
      <c r="B83" s="667"/>
      <c r="D83" s="253"/>
      <c r="E83" s="261" t="s">
        <v>2377</v>
      </c>
      <c r="F83" s="3804">
        <v>0</v>
      </c>
      <c r="G83" s="3804">
        <v>0</v>
      </c>
      <c r="H83" s="3804">
        <v>706710.79425755038</v>
      </c>
      <c r="I83" s="3804">
        <v>895480.26614589419</v>
      </c>
      <c r="J83" s="3804">
        <v>1079555.3878397944</v>
      </c>
      <c r="K83" s="3804">
        <v>1271176.9960501741</v>
      </c>
      <c r="L83" s="3804">
        <v>1302804.3592450675</v>
      </c>
      <c r="M83" s="3804">
        <v>1334162.3721373989</v>
      </c>
      <c r="N83" s="251"/>
      <c r="Y83" s="600"/>
      <c r="Z83" s="600"/>
      <c r="AA83" s="600"/>
      <c r="AB83" s="602"/>
      <c r="AC83" s="602"/>
      <c r="AD83" s="602"/>
      <c r="AE83" s="602"/>
      <c r="AF83" s="602"/>
      <c r="AG83" s="602"/>
      <c r="AH83" s="602"/>
    </row>
    <row r="84" spans="1:34" s="248" customFormat="1" ht="15" customHeight="1">
      <c r="A84" s="663"/>
      <c r="B84" s="667"/>
      <c r="D84" s="253"/>
      <c r="E84" s="266" t="s">
        <v>2378</v>
      </c>
      <c r="F84" s="3805">
        <v>0</v>
      </c>
      <c r="G84" s="3805">
        <v>0</v>
      </c>
      <c r="H84" s="3805">
        <v>0</v>
      </c>
      <c r="I84" s="3805">
        <v>0</v>
      </c>
      <c r="J84" s="3805">
        <v>0</v>
      </c>
      <c r="K84" s="3805">
        <v>0</v>
      </c>
      <c r="L84" s="3805">
        <v>0</v>
      </c>
      <c r="M84" s="3805">
        <v>0</v>
      </c>
      <c r="N84" s="251"/>
      <c r="Y84" s="600"/>
      <c r="Z84" s="600"/>
      <c r="AA84" s="600"/>
    </row>
    <row r="85" spans="1:34" s="248" customFormat="1" ht="15" customHeight="1">
      <c r="A85" s="663"/>
      <c r="B85" s="667"/>
      <c r="D85" s="253"/>
      <c r="E85" s="261"/>
      <c r="F85" s="3804"/>
      <c r="G85" s="3804"/>
      <c r="H85" s="3804"/>
      <c r="I85" s="3804"/>
      <c r="J85" s="3804"/>
      <c r="K85" s="3804"/>
      <c r="L85" s="3804"/>
      <c r="M85" s="3804"/>
      <c r="N85" s="251"/>
      <c r="O85" s="599"/>
    </row>
    <row r="86" spans="1:34" s="248" customFormat="1" ht="15" customHeight="1">
      <c r="A86" s="663"/>
      <c r="B86" s="667"/>
      <c r="D86" s="253"/>
      <c r="E86" s="263" t="s">
        <v>1731</v>
      </c>
      <c r="F86" s="3804"/>
      <c r="G86" s="3804"/>
      <c r="H86" s="3804"/>
      <c r="I86" s="3804"/>
      <c r="J86" s="3804"/>
      <c r="K86" s="3804"/>
      <c r="L86" s="3804"/>
      <c r="M86" s="3804"/>
      <c r="N86" s="251"/>
    </row>
    <row r="87" spans="1:34" s="248" customFormat="1" ht="15" customHeight="1">
      <c r="A87" s="663"/>
      <c r="B87" s="667"/>
      <c r="D87" s="244"/>
      <c r="E87" s="264"/>
      <c r="F87" s="3786"/>
      <c r="G87" s="3786"/>
      <c r="H87" s="3786"/>
      <c r="I87" s="3786"/>
      <c r="J87" s="3786"/>
      <c r="K87" s="3786"/>
      <c r="L87" s="3786"/>
      <c r="M87" s="3808"/>
      <c r="N87" s="251"/>
    </row>
    <row r="88" spans="1:34" s="248" customFormat="1" ht="15" customHeight="1">
      <c r="A88" s="663"/>
      <c r="B88" s="667"/>
      <c r="D88" s="253"/>
      <c r="E88" s="265" t="s">
        <v>2241</v>
      </c>
      <c r="F88" s="3809"/>
      <c r="G88" s="3809"/>
      <c r="H88" s="3809"/>
      <c r="I88" s="3809"/>
      <c r="J88" s="3809"/>
      <c r="K88" s="3809"/>
      <c r="L88" s="3809"/>
      <c r="M88" s="3809"/>
      <c r="N88" s="251"/>
      <c r="O88" s="599"/>
    </row>
    <row r="89" spans="1:34" s="248" customFormat="1" ht="15" customHeight="1">
      <c r="A89" s="663"/>
      <c r="B89" s="667"/>
      <c r="D89" s="253"/>
      <c r="E89" s="261" t="s">
        <v>2375</v>
      </c>
      <c r="F89" s="807">
        <v>0</v>
      </c>
      <c r="G89" s="807">
        <v>0</v>
      </c>
      <c r="H89" s="807">
        <v>756180.54985557892</v>
      </c>
      <c r="I89" s="807">
        <v>1887301.8574771478</v>
      </c>
      <c r="J89" s="807">
        <v>3065937.3014650061</v>
      </c>
      <c r="K89" s="807">
        <v>4302445.217400589</v>
      </c>
      <c r="L89" s="807">
        <v>4409491.6774448436</v>
      </c>
      <c r="M89" s="807">
        <v>4515626.4903111961</v>
      </c>
      <c r="N89" s="251"/>
      <c r="Y89" s="600"/>
      <c r="Z89" s="600"/>
      <c r="AA89" s="600"/>
      <c r="AB89" s="600"/>
      <c r="AC89" s="600"/>
      <c r="AD89" s="600"/>
      <c r="AE89" s="600"/>
      <c r="AF89" s="600"/>
      <c r="AG89" s="600"/>
      <c r="AH89" s="600"/>
    </row>
    <row r="90" spans="1:34" s="248" customFormat="1" ht="15" customHeight="1">
      <c r="A90" s="663"/>
      <c r="B90" s="667"/>
      <c r="D90" s="253"/>
      <c r="E90" s="261" t="s">
        <v>2376</v>
      </c>
      <c r="F90" s="3804">
        <v>0</v>
      </c>
      <c r="G90" s="807">
        <v>0</v>
      </c>
      <c r="H90" s="3804">
        <v>0</v>
      </c>
      <c r="I90" s="807">
        <v>0</v>
      </c>
      <c r="J90" s="3804">
        <v>0</v>
      </c>
      <c r="K90" s="807">
        <v>0</v>
      </c>
      <c r="L90" s="807">
        <v>0</v>
      </c>
      <c r="M90" s="807">
        <v>0</v>
      </c>
      <c r="N90" s="251"/>
      <c r="Y90" s="600"/>
      <c r="Z90" s="600"/>
      <c r="AA90" s="600"/>
      <c r="AB90" s="601"/>
      <c r="AC90" s="601"/>
      <c r="AD90" s="601"/>
      <c r="AE90" s="602"/>
      <c r="AF90" s="602"/>
      <c r="AG90" s="602"/>
      <c r="AH90" s="602"/>
    </row>
    <row r="91" spans="1:34" s="248" customFormat="1" ht="15" customHeight="1">
      <c r="A91" s="663"/>
      <c r="B91" s="667"/>
      <c r="D91" s="253"/>
      <c r="E91" s="261" t="s">
        <v>2377</v>
      </c>
      <c r="F91" s="3804">
        <v>0</v>
      </c>
      <c r="G91" s="3804">
        <v>0</v>
      </c>
      <c r="H91" s="3804">
        <v>706710.79425755038</v>
      </c>
      <c r="I91" s="3804">
        <v>1111630.6752155961</v>
      </c>
      <c r="J91" s="3804">
        <v>1524078.194597353</v>
      </c>
      <c r="K91" s="3804">
        <v>1955656.9170002679</v>
      </c>
      <c r="L91" s="3804">
        <v>2004314.3988385655</v>
      </c>
      <c r="M91" s="3804">
        <v>2052557.4955959984</v>
      </c>
      <c r="N91" s="251"/>
      <c r="O91" s="599"/>
      <c r="Y91" s="600"/>
      <c r="Z91" s="600"/>
      <c r="AA91" s="600"/>
      <c r="AB91" s="602"/>
      <c r="AC91" s="602"/>
      <c r="AD91" s="602"/>
      <c r="AE91" s="602"/>
      <c r="AF91" s="602"/>
      <c r="AG91" s="602"/>
      <c r="AH91" s="602"/>
    </row>
    <row r="92" spans="1:34" s="248" customFormat="1" ht="15" customHeight="1">
      <c r="A92" s="663"/>
      <c r="B92" s="667"/>
      <c r="D92" s="253"/>
      <c r="E92" s="266" t="s">
        <v>2378</v>
      </c>
      <c r="F92" s="3805">
        <v>0</v>
      </c>
      <c r="G92" s="3805">
        <v>0</v>
      </c>
      <c r="H92" s="3805">
        <v>0</v>
      </c>
      <c r="I92" s="3805">
        <v>0</v>
      </c>
      <c r="J92" s="3805">
        <v>0</v>
      </c>
      <c r="K92" s="3805">
        <v>0</v>
      </c>
      <c r="L92" s="3805">
        <v>0</v>
      </c>
      <c r="M92" s="3805">
        <v>0</v>
      </c>
      <c r="N92" s="251"/>
      <c r="Y92" s="600"/>
      <c r="Z92" s="600"/>
      <c r="AA92" s="600"/>
    </row>
    <row r="93" spans="1:34" s="248" customFormat="1" ht="15" customHeight="1">
      <c r="A93" s="663"/>
      <c r="B93" s="667"/>
      <c r="D93" s="253"/>
      <c r="E93" s="261"/>
      <c r="F93" s="3806"/>
      <c r="G93" s="3806"/>
      <c r="H93" s="3804"/>
      <c r="I93" s="3804"/>
      <c r="J93" s="3804"/>
      <c r="K93" s="3804"/>
      <c r="L93" s="3804"/>
      <c r="M93" s="3804"/>
      <c r="N93" s="262"/>
    </row>
    <row r="94" spans="1:34" s="248" customFormat="1" ht="15" customHeight="1">
      <c r="A94" s="663"/>
      <c r="B94" s="667"/>
      <c r="D94" s="11"/>
      <c r="E94" s="940" t="s">
        <v>1346</v>
      </c>
      <c r="F94" s="843"/>
      <c r="G94" s="843"/>
      <c r="H94" s="843"/>
      <c r="I94" s="843"/>
      <c r="J94" s="843"/>
      <c r="K94" s="843"/>
      <c r="L94" s="843"/>
      <c r="M94" s="843"/>
      <c r="N94" s="12"/>
      <c r="O94" s="599"/>
    </row>
    <row r="95" spans="1:34" customFormat="1" ht="15" customHeight="1">
      <c r="A95" s="663"/>
      <c r="B95" s="667"/>
      <c r="D95" s="11"/>
      <c r="E95" s="96"/>
      <c r="F95" s="752"/>
      <c r="G95" s="752"/>
      <c r="H95" s="752"/>
      <c r="I95" s="752"/>
      <c r="J95" s="752"/>
      <c r="K95" s="752"/>
      <c r="L95" s="752"/>
      <c r="M95" s="752"/>
      <c r="N95" s="12"/>
      <c r="O95" s="248"/>
      <c r="P95" s="248"/>
      <c r="Q95" s="248"/>
      <c r="R95" s="248"/>
      <c r="S95" s="248"/>
      <c r="T95" s="248"/>
      <c r="U95" s="248"/>
      <c r="V95" s="248"/>
      <c r="W95" s="248"/>
      <c r="X95" s="248"/>
    </row>
    <row r="96" spans="1:34" customFormat="1" ht="15" customHeight="1">
      <c r="A96" s="663"/>
      <c r="B96" s="667"/>
      <c r="D96" s="11"/>
      <c r="E96" s="263" t="s">
        <v>1726</v>
      </c>
      <c r="F96" s="752"/>
      <c r="G96" s="752"/>
      <c r="H96" s="752"/>
      <c r="I96" s="752"/>
      <c r="J96" s="752"/>
      <c r="K96" s="752"/>
      <c r="L96" s="752"/>
      <c r="M96" s="752"/>
      <c r="N96" s="12"/>
      <c r="O96" s="248"/>
      <c r="P96" s="248"/>
      <c r="Q96" s="248"/>
      <c r="R96" s="248"/>
      <c r="S96" s="248"/>
      <c r="T96" s="248"/>
      <c r="U96" s="248"/>
      <c r="V96" s="248"/>
      <c r="W96" s="248"/>
      <c r="X96" s="248"/>
    </row>
    <row r="97" spans="1:24" customFormat="1" ht="15" customHeight="1">
      <c r="A97" s="663"/>
      <c r="B97" s="667"/>
      <c r="D97" s="11"/>
      <c r="E97" s="96"/>
      <c r="F97" s="752"/>
      <c r="G97" s="752"/>
      <c r="H97" s="752"/>
      <c r="I97" s="752"/>
      <c r="J97" s="752"/>
      <c r="K97" s="752"/>
      <c r="L97" s="752"/>
      <c r="M97" s="752"/>
      <c r="N97" s="12"/>
      <c r="O97" s="599"/>
      <c r="P97" s="248"/>
      <c r="Q97" s="248"/>
      <c r="R97" s="248"/>
      <c r="S97" s="248"/>
      <c r="T97" s="248"/>
      <c r="U97" s="248"/>
      <c r="V97" s="248"/>
      <c r="W97" s="248"/>
      <c r="X97" s="248"/>
    </row>
    <row r="98" spans="1:24" customFormat="1" ht="15" customHeight="1">
      <c r="A98" s="663"/>
      <c r="B98" s="667"/>
      <c r="D98" s="11"/>
      <c r="E98" s="261" t="s">
        <v>2376</v>
      </c>
      <c r="F98" s="752"/>
      <c r="G98" s="752"/>
      <c r="H98" s="752"/>
      <c r="I98" s="752"/>
      <c r="J98" s="752"/>
      <c r="K98" s="752"/>
      <c r="L98" s="752"/>
      <c r="M98" s="771" t="s">
        <v>788</v>
      </c>
      <c r="N98" s="12"/>
      <c r="O98" s="248"/>
      <c r="P98" s="248"/>
      <c r="Q98" s="248"/>
      <c r="R98" s="248"/>
      <c r="S98" s="248"/>
      <c r="T98" s="248"/>
      <c r="U98" s="248"/>
      <c r="V98" s="248"/>
      <c r="W98" s="248"/>
      <c r="X98" s="248"/>
    </row>
    <row r="99" spans="1:24" customFormat="1" ht="15" customHeight="1">
      <c r="A99" s="663"/>
      <c r="B99" s="667"/>
      <c r="D99" s="11"/>
      <c r="E99" s="606" t="s">
        <v>859</v>
      </c>
      <c r="F99" s="848">
        <v>2018</v>
      </c>
      <c r="G99" s="848">
        <v>2020</v>
      </c>
      <c r="H99" s="848">
        <v>2025</v>
      </c>
      <c r="I99" s="848">
        <v>2030</v>
      </c>
      <c r="J99" s="848">
        <v>2035</v>
      </c>
      <c r="K99" s="848">
        <v>2040</v>
      </c>
      <c r="L99" s="848">
        <v>2045</v>
      </c>
      <c r="M99" s="848">
        <v>2050</v>
      </c>
      <c r="N99" s="269"/>
      <c r="O99" s="248"/>
      <c r="P99" s="248"/>
      <c r="Q99" s="248"/>
      <c r="R99" s="248"/>
      <c r="S99" s="248"/>
      <c r="T99" s="248"/>
      <c r="U99" s="248"/>
      <c r="V99" s="248"/>
      <c r="W99" s="248"/>
      <c r="X99" s="248"/>
    </row>
    <row r="100" spans="1:24" s="603" customFormat="1" ht="15" customHeight="1">
      <c r="A100" s="663"/>
      <c r="B100" s="667"/>
      <c r="C100" s="270"/>
      <c r="D100" s="11"/>
      <c r="E100" s="337" t="s">
        <v>889</v>
      </c>
      <c r="F100" s="1516">
        <v>0.76565000000000005</v>
      </c>
      <c r="G100" s="1516">
        <v>0.75409999999999999</v>
      </c>
      <c r="H100" s="1516">
        <v>0.69443999999999995</v>
      </c>
      <c r="I100" s="1516">
        <v>0.48963000000000001</v>
      </c>
      <c r="J100" s="1516">
        <v>0.41043000000000002</v>
      </c>
      <c r="K100" s="1516">
        <v>0.37343999999999999</v>
      </c>
      <c r="L100" s="1516">
        <v>0.37008000000000002</v>
      </c>
      <c r="M100" s="1516">
        <v>0.36990000000000001</v>
      </c>
      <c r="N100" s="269"/>
      <c r="O100" s="599"/>
      <c r="P100" s="248"/>
      <c r="Q100" s="248"/>
      <c r="R100" s="248"/>
      <c r="S100" s="248"/>
      <c r="T100" s="248"/>
      <c r="U100" s="248"/>
      <c r="V100" s="248"/>
      <c r="W100" s="248"/>
      <c r="X100" s="248"/>
    </row>
    <row r="101" spans="1:24" s="603" customFormat="1" ht="15" customHeight="1">
      <c r="A101" s="663"/>
      <c r="B101" s="667"/>
      <c r="C101" s="270"/>
      <c r="D101" s="11"/>
      <c r="E101" s="30" t="s">
        <v>890</v>
      </c>
      <c r="F101" s="805">
        <v>0.23394999999999999</v>
      </c>
      <c r="G101" s="805">
        <v>0.23394999999999999</v>
      </c>
      <c r="H101" s="805">
        <v>0.23394999999999999</v>
      </c>
      <c r="I101" s="805">
        <v>0.23394999999999999</v>
      </c>
      <c r="J101" s="805">
        <v>0.23394999999999999</v>
      </c>
      <c r="K101" s="805">
        <v>0.23394999999999999</v>
      </c>
      <c r="L101" s="805">
        <v>0.23394999999999999</v>
      </c>
      <c r="M101" s="805">
        <v>0.23394999999999999</v>
      </c>
      <c r="N101" s="269"/>
      <c r="O101" s="248"/>
      <c r="P101" s="248"/>
      <c r="Q101" s="248"/>
      <c r="R101" s="248"/>
      <c r="S101" s="248"/>
      <c r="T101" s="248"/>
      <c r="U101" s="248"/>
      <c r="V101" s="248"/>
      <c r="W101" s="248"/>
      <c r="X101" s="248"/>
    </row>
    <row r="102" spans="1:24" s="603" customFormat="1" ht="15" customHeight="1">
      <c r="A102" s="663"/>
      <c r="B102" s="667"/>
      <c r="C102" s="270"/>
      <c r="D102" s="272"/>
      <c r="E102" s="30" t="s">
        <v>2379</v>
      </c>
      <c r="F102" s="805">
        <v>0</v>
      </c>
      <c r="G102" s="805">
        <v>2.0000000000000001E-4</v>
      </c>
      <c r="H102" s="805">
        <v>2.0000000000000001E-4</v>
      </c>
      <c r="I102" s="805">
        <v>2.0000000000000001E-4</v>
      </c>
      <c r="J102" s="805">
        <v>2.0000000000000001E-4</v>
      </c>
      <c r="K102" s="805">
        <v>2.0000000000000001E-4</v>
      </c>
      <c r="L102" s="805">
        <v>2.0000000000000001E-4</v>
      </c>
      <c r="M102" s="805">
        <v>2.0000000000000001E-4</v>
      </c>
      <c r="N102" s="269"/>
      <c r="O102" s="248"/>
      <c r="P102" s="248"/>
      <c r="Q102" s="248"/>
      <c r="R102" s="248"/>
      <c r="S102" s="248"/>
      <c r="T102" s="248"/>
      <c r="U102" s="248"/>
      <c r="V102" s="248"/>
      <c r="W102" s="248"/>
      <c r="X102" s="248"/>
    </row>
    <row r="103" spans="1:24" s="603" customFormat="1" ht="15" customHeight="1">
      <c r="A103" s="663"/>
      <c r="B103" s="667"/>
      <c r="C103" s="270"/>
      <c r="D103" s="272"/>
      <c r="E103" s="30" t="s">
        <v>2270</v>
      </c>
      <c r="F103" s="805">
        <v>0</v>
      </c>
      <c r="G103" s="805">
        <v>0</v>
      </c>
      <c r="H103" s="805">
        <v>0</v>
      </c>
      <c r="I103" s="805">
        <v>0</v>
      </c>
      <c r="J103" s="805">
        <v>0</v>
      </c>
      <c r="K103" s="805">
        <v>0</v>
      </c>
      <c r="L103" s="805">
        <v>0</v>
      </c>
      <c r="M103" s="805">
        <v>0</v>
      </c>
      <c r="N103" s="269"/>
      <c r="O103" s="599"/>
      <c r="P103" s="248"/>
      <c r="Q103" s="248"/>
      <c r="R103" s="248"/>
      <c r="S103" s="248"/>
      <c r="T103" s="248"/>
      <c r="U103" s="248"/>
      <c r="V103" s="248"/>
      <c r="W103" s="248"/>
      <c r="X103" s="248"/>
    </row>
    <row r="104" spans="1:24" s="603" customFormat="1" ht="15" customHeight="1">
      <c r="A104" s="663"/>
      <c r="B104" s="667"/>
      <c r="C104" s="270"/>
      <c r="D104" s="272"/>
      <c r="E104" s="30" t="s">
        <v>498</v>
      </c>
      <c r="F104" s="805">
        <v>0</v>
      </c>
      <c r="G104" s="805">
        <v>0</v>
      </c>
      <c r="H104" s="805">
        <v>3.5E-4</v>
      </c>
      <c r="I104" s="805">
        <v>6.2199999999999998E-3</v>
      </c>
      <c r="J104" s="805">
        <v>5.4469999999999998E-2</v>
      </c>
      <c r="K104" s="805">
        <v>9.146E-2</v>
      </c>
      <c r="L104" s="805">
        <v>9.4820000000000002E-2</v>
      </c>
      <c r="M104" s="805">
        <v>9.5000000000000001E-2</v>
      </c>
      <c r="N104" s="269"/>
      <c r="O104" s="248"/>
      <c r="P104" s="248"/>
      <c r="Q104" s="248"/>
      <c r="R104" s="248"/>
      <c r="S104" s="248"/>
      <c r="T104" s="248"/>
      <c r="U104" s="248"/>
      <c r="V104" s="248"/>
      <c r="W104" s="248"/>
      <c r="X104" s="248"/>
    </row>
    <row r="105" spans="1:24" s="603" customFormat="1" ht="15" customHeight="1">
      <c r="A105" s="663"/>
      <c r="B105" s="667"/>
      <c r="C105" s="270"/>
      <c r="D105" s="272"/>
      <c r="E105" s="30" t="s">
        <v>908</v>
      </c>
      <c r="F105" s="810">
        <v>0</v>
      </c>
      <c r="G105" s="810">
        <v>0</v>
      </c>
      <c r="H105" s="810">
        <v>0</v>
      </c>
      <c r="I105" s="810">
        <v>0</v>
      </c>
      <c r="J105" s="810">
        <v>0</v>
      </c>
      <c r="K105" s="810">
        <v>0</v>
      </c>
      <c r="L105" s="810">
        <v>0</v>
      </c>
      <c r="M105" s="810">
        <v>0</v>
      </c>
      <c r="N105" s="269"/>
      <c r="O105" s="248"/>
      <c r="P105" s="248"/>
      <c r="Q105" s="248"/>
      <c r="R105" s="248"/>
      <c r="S105" s="248"/>
      <c r="T105" s="248"/>
      <c r="U105" s="248"/>
      <c r="V105" s="248"/>
      <c r="W105" s="248"/>
      <c r="X105" s="248"/>
    </row>
    <row r="106" spans="1:24" s="603" customFormat="1" ht="15" customHeight="1">
      <c r="A106" s="663"/>
      <c r="B106" s="667"/>
      <c r="C106" s="270"/>
      <c r="D106" s="272"/>
      <c r="E106" s="30" t="s">
        <v>909</v>
      </c>
      <c r="F106" s="1494">
        <v>0</v>
      </c>
      <c r="G106" s="1494">
        <v>0</v>
      </c>
      <c r="H106" s="1494">
        <v>0</v>
      </c>
      <c r="I106" s="1494">
        <v>0</v>
      </c>
      <c r="J106" s="1494">
        <v>0</v>
      </c>
      <c r="K106" s="1494">
        <v>0</v>
      </c>
      <c r="L106" s="1494">
        <v>0</v>
      </c>
      <c r="M106" s="1494">
        <v>0</v>
      </c>
      <c r="N106" s="269"/>
      <c r="O106" s="248"/>
      <c r="P106" s="248"/>
      <c r="Q106" s="248"/>
      <c r="R106" s="248"/>
      <c r="S106" s="248"/>
      <c r="T106" s="248"/>
      <c r="U106" s="248"/>
      <c r="V106" s="248"/>
      <c r="W106" s="248"/>
      <c r="X106" s="248"/>
    </row>
    <row r="107" spans="1:24" s="603" customFormat="1" ht="15" customHeight="1">
      <c r="A107" s="663"/>
      <c r="B107" s="667"/>
      <c r="C107" s="270"/>
      <c r="D107" s="272"/>
      <c r="E107" s="30" t="s">
        <v>894</v>
      </c>
      <c r="F107" s="805">
        <v>0</v>
      </c>
      <c r="G107" s="805">
        <v>8.4999999999999995E-4</v>
      </c>
      <c r="H107" s="805">
        <v>2.1139999999999999E-2</v>
      </c>
      <c r="I107" s="805">
        <v>0.27971000000000001</v>
      </c>
      <c r="J107" s="805">
        <v>0.32765</v>
      </c>
      <c r="K107" s="805">
        <v>0.32994000000000001</v>
      </c>
      <c r="L107" s="805">
        <v>0.33</v>
      </c>
      <c r="M107" s="805">
        <v>0.33</v>
      </c>
      <c r="N107" s="269"/>
      <c r="O107" s="248"/>
      <c r="P107" s="248"/>
      <c r="Q107" s="248"/>
      <c r="R107" s="248"/>
      <c r="S107" s="248"/>
      <c r="T107" s="248"/>
      <c r="U107" s="248"/>
      <c r="V107" s="248"/>
      <c r="W107" s="248"/>
      <c r="X107" s="248"/>
    </row>
    <row r="108" spans="1:24" s="603" customFormat="1" ht="15" customHeight="1">
      <c r="A108" s="663"/>
      <c r="B108" s="667"/>
      <c r="C108" s="270"/>
      <c r="D108" s="272"/>
      <c r="E108" s="32" t="s">
        <v>603</v>
      </c>
      <c r="F108" s="798">
        <v>0</v>
      </c>
      <c r="G108" s="798">
        <v>0</v>
      </c>
      <c r="H108" s="798">
        <v>0</v>
      </c>
      <c r="I108" s="798">
        <v>0</v>
      </c>
      <c r="J108" s="798">
        <v>0</v>
      </c>
      <c r="K108" s="798">
        <v>0</v>
      </c>
      <c r="L108" s="798">
        <v>0</v>
      </c>
      <c r="M108" s="798">
        <v>0</v>
      </c>
      <c r="N108" s="269"/>
      <c r="O108" s="599"/>
      <c r="P108" s="248"/>
      <c r="Q108" s="248"/>
      <c r="R108" s="248"/>
      <c r="S108" s="248"/>
      <c r="T108" s="248"/>
      <c r="U108" s="248"/>
      <c r="V108" s="248"/>
      <c r="W108" s="248"/>
      <c r="X108" s="248"/>
    </row>
    <row r="109" spans="1:24" s="603" customFormat="1" ht="15" customHeight="1">
      <c r="A109" s="663"/>
      <c r="B109" s="667"/>
      <c r="C109" s="270"/>
      <c r="D109" s="272"/>
      <c r="E109" s="12"/>
      <c r="F109" s="752"/>
      <c r="G109" s="816"/>
      <c r="H109" s="816"/>
      <c r="I109" s="816"/>
      <c r="J109" s="816"/>
      <c r="K109" s="816"/>
      <c r="L109" s="816"/>
      <c r="M109" s="816"/>
      <c r="N109" s="273"/>
      <c r="O109" s="248"/>
      <c r="P109" s="248"/>
      <c r="Q109" s="248"/>
      <c r="R109" s="248"/>
      <c r="S109" s="248"/>
      <c r="T109" s="248"/>
      <c r="U109" s="248"/>
      <c r="V109" s="248"/>
      <c r="W109" s="248"/>
      <c r="X109" s="248"/>
    </row>
    <row r="110" spans="1:24" s="603" customFormat="1" ht="15" customHeight="1">
      <c r="A110" s="663"/>
      <c r="B110" s="667"/>
      <c r="C110" s="270"/>
      <c r="D110" s="11"/>
      <c r="E110" s="263" t="s">
        <v>1729</v>
      </c>
      <c r="F110" s="752"/>
      <c r="G110" s="752"/>
      <c r="H110" s="752"/>
      <c r="I110" s="752"/>
      <c r="J110" s="752"/>
      <c r="K110" s="752"/>
      <c r="L110" s="752"/>
      <c r="M110" s="752"/>
      <c r="N110" s="267"/>
      <c r="O110" s="248"/>
      <c r="P110" s="248"/>
      <c r="Q110" s="248"/>
      <c r="R110" s="248"/>
      <c r="S110" s="248"/>
      <c r="T110" s="248"/>
      <c r="U110" s="248"/>
      <c r="V110" s="248"/>
      <c r="W110" s="248"/>
      <c r="X110" s="248"/>
    </row>
    <row r="111" spans="1:24" customFormat="1" ht="15" customHeight="1">
      <c r="A111" s="663"/>
      <c r="B111" s="667"/>
      <c r="D111" s="11"/>
      <c r="E111" s="19"/>
      <c r="F111" s="752"/>
      <c r="G111" s="752"/>
      <c r="H111" s="752"/>
      <c r="I111" s="752"/>
      <c r="J111" s="752"/>
      <c r="K111" s="752"/>
      <c r="L111" s="752"/>
      <c r="M111" s="752"/>
      <c r="N111" s="267"/>
      <c r="O111" s="599"/>
      <c r="P111" s="248"/>
      <c r="Q111" s="248"/>
      <c r="R111" s="248"/>
      <c r="S111" s="248"/>
      <c r="T111" s="248"/>
      <c r="U111" s="248"/>
      <c r="V111" s="248"/>
      <c r="W111" s="248"/>
      <c r="X111" s="248"/>
    </row>
    <row r="112" spans="1:24" customFormat="1" ht="15" customHeight="1">
      <c r="A112" s="663"/>
      <c r="B112" s="667"/>
      <c r="D112" s="11"/>
      <c r="E112" s="261" t="s">
        <v>2376</v>
      </c>
      <c r="F112" s="752"/>
      <c r="G112" s="752"/>
      <c r="H112" s="752"/>
      <c r="I112" s="752"/>
      <c r="J112" s="752"/>
      <c r="K112" s="752"/>
      <c r="L112" s="752"/>
      <c r="M112" s="771" t="s">
        <v>788</v>
      </c>
      <c r="N112" s="12"/>
      <c r="O112" s="248"/>
      <c r="P112" s="248"/>
      <c r="Q112" s="248"/>
      <c r="R112" s="248"/>
      <c r="S112" s="248"/>
      <c r="T112" s="248"/>
      <c r="U112" s="248"/>
      <c r="V112" s="248"/>
      <c r="W112" s="248"/>
      <c r="X112" s="248"/>
    </row>
    <row r="113" spans="1:24" customFormat="1" ht="15" customHeight="1">
      <c r="A113" s="663"/>
      <c r="B113" s="667"/>
      <c r="D113" s="11"/>
      <c r="E113" s="268" t="s">
        <v>859</v>
      </c>
      <c r="F113" s="848">
        <v>2018</v>
      </c>
      <c r="G113" s="848">
        <v>2020</v>
      </c>
      <c r="H113" s="848">
        <v>2025</v>
      </c>
      <c r="I113" s="848">
        <v>2030</v>
      </c>
      <c r="J113" s="848">
        <v>2035</v>
      </c>
      <c r="K113" s="848">
        <v>2040</v>
      </c>
      <c r="L113" s="848">
        <v>2045</v>
      </c>
      <c r="M113" s="848">
        <v>2050</v>
      </c>
      <c r="N113" s="269"/>
      <c r="O113" s="248"/>
      <c r="P113" s="248"/>
      <c r="Q113" s="248"/>
      <c r="R113" s="248"/>
      <c r="S113" s="248"/>
      <c r="T113" s="248"/>
      <c r="U113" s="248"/>
      <c r="V113" s="248"/>
      <c r="W113" s="248"/>
      <c r="X113" s="248"/>
    </row>
    <row r="114" spans="1:24" s="603" customFormat="1" ht="15" customHeight="1">
      <c r="A114" s="663"/>
      <c r="B114" s="667"/>
      <c r="C114" s="270"/>
      <c r="D114" s="11"/>
      <c r="E114" s="337" t="s">
        <v>889</v>
      </c>
      <c r="F114" s="1516">
        <v>0.76565000000000005</v>
      </c>
      <c r="G114" s="1516">
        <v>0.75810999999999995</v>
      </c>
      <c r="H114" s="1516">
        <v>0.71860000000000002</v>
      </c>
      <c r="I114" s="1516">
        <v>0.50002999999999997</v>
      </c>
      <c r="J114" s="1516">
        <v>0.2303</v>
      </c>
      <c r="K114" s="1516">
        <v>0.10197000000000001</v>
      </c>
      <c r="L114" s="1516">
        <v>0.10675999999999999</v>
      </c>
      <c r="M114" s="1516">
        <v>0.12509000000000001</v>
      </c>
      <c r="N114" s="269"/>
      <c r="O114" s="599"/>
      <c r="P114" s="248"/>
      <c r="Q114" s="248"/>
      <c r="R114" s="248"/>
      <c r="S114" s="248"/>
      <c r="T114" s="248"/>
      <c r="U114" s="248"/>
      <c r="V114" s="248"/>
      <c r="W114" s="248"/>
      <c r="X114" s="248"/>
    </row>
    <row r="115" spans="1:24" s="603" customFormat="1" ht="15" customHeight="1">
      <c r="A115" s="663"/>
      <c r="B115" s="667"/>
      <c r="C115" s="270"/>
      <c r="D115" s="11"/>
      <c r="E115" s="30" t="s">
        <v>890</v>
      </c>
      <c r="F115" s="805">
        <v>0.23394999999999999</v>
      </c>
      <c r="G115" s="805">
        <v>0.23011999999999999</v>
      </c>
      <c r="H115" s="805">
        <v>0.20954999999999999</v>
      </c>
      <c r="I115" s="805">
        <v>0.18751000000000001</v>
      </c>
      <c r="J115" s="805">
        <v>0.16471</v>
      </c>
      <c r="K115" s="805">
        <v>0.14199999999999999</v>
      </c>
      <c r="L115" s="805">
        <v>0.1202</v>
      </c>
      <c r="M115" s="805">
        <v>0.1</v>
      </c>
      <c r="N115" s="269"/>
      <c r="O115" s="248"/>
      <c r="P115" s="248"/>
      <c r="Q115" s="248"/>
      <c r="R115" s="248"/>
      <c r="S115" s="248"/>
      <c r="T115" s="248"/>
      <c r="U115" s="248"/>
      <c r="V115" s="248"/>
      <c r="W115" s="248"/>
      <c r="X115" s="248"/>
    </row>
    <row r="116" spans="1:24" s="603" customFormat="1" ht="15" customHeight="1">
      <c r="A116" s="663"/>
      <c r="B116" s="667"/>
      <c r="C116" s="270"/>
      <c r="D116" s="272"/>
      <c r="E116" s="30" t="s">
        <v>2379</v>
      </c>
      <c r="F116" s="805">
        <v>0</v>
      </c>
      <c r="G116" s="805">
        <v>2.0000000000000002E-5</v>
      </c>
      <c r="H116" s="805">
        <v>4.4000000000000002E-4</v>
      </c>
      <c r="I116" s="805">
        <v>9.8899999999999995E-3</v>
      </c>
      <c r="J116" s="805">
        <v>0.10410999999999999</v>
      </c>
      <c r="K116" s="805">
        <v>0.17460999999999999</v>
      </c>
      <c r="L116" s="805">
        <v>0.17977000000000001</v>
      </c>
      <c r="M116" s="805">
        <v>0.18</v>
      </c>
      <c r="N116" s="269"/>
      <c r="O116" s="248"/>
      <c r="P116" s="248"/>
      <c r="Q116" s="248"/>
      <c r="R116" s="248"/>
      <c r="S116" s="248"/>
      <c r="T116" s="248"/>
      <c r="U116" s="248"/>
      <c r="V116" s="248"/>
      <c r="W116" s="248"/>
      <c r="X116" s="248"/>
    </row>
    <row r="117" spans="1:24" s="603" customFormat="1" ht="15" customHeight="1">
      <c r="A117" s="663"/>
      <c r="B117" s="667"/>
      <c r="C117" s="270"/>
      <c r="D117" s="272"/>
      <c r="E117" s="30" t="s">
        <v>2270</v>
      </c>
      <c r="F117" s="805">
        <v>0</v>
      </c>
      <c r="G117" s="805">
        <v>0</v>
      </c>
      <c r="H117" s="805">
        <v>0</v>
      </c>
      <c r="I117" s="805">
        <v>0</v>
      </c>
      <c r="J117" s="805">
        <v>0</v>
      </c>
      <c r="K117" s="805">
        <v>0</v>
      </c>
      <c r="L117" s="805">
        <v>0</v>
      </c>
      <c r="M117" s="805">
        <v>0</v>
      </c>
      <c r="N117" s="269"/>
      <c r="O117" s="599"/>
      <c r="P117" s="248"/>
      <c r="Q117" s="248"/>
      <c r="R117" s="248"/>
      <c r="S117" s="248"/>
      <c r="T117" s="248"/>
      <c r="U117" s="248"/>
      <c r="V117" s="248"/>
      <c r="W117" s="248"/>
      <c r="X117" s="248"/>
    </row>
    <row r="118" spans="1:24" s="603" customFormat="1" ht="15" customHeight="1">
      <c r="A118" s="663"/>
      <c r="B118" s="667"/>
      <c r="C118" s="270"/>
      <c r="D118" s="272"/>
      <c r="E118" s="12" t="s">
        <v>498</v>
      </c>
      <c r="F118" s="805">
        <v>0</v>
      </c>
      <c r="G118" s="805">
        <v>0</v>
      </c>
      <c r="H118" s="805">
        <v>3.5E-4</v>
      </c>
      <c r="I118" s="805">
        <v>6.2199999999999998E-3</v>
      </c>
      <c r="J118" s="805">
        <v>5.4469999999999998E-2</v>
      </c>
      <c r="K118" s="805">
        <v>9.146E-2</v>
      </c>
      <c r="L118" s="805">
        <v>9.4820000000000002E-2</v>
      </c>
      <c r="M118" s="805">
        <v>9.5000000000000001E-2</v>
      </c>
      <c r="N118" s="269"/>
      <c r="O118" s="248"/>
      <c r="P118" s="248"/>
      <c r="Q118" s="248"/>
      <c r="R118" s="248"/>
      <c r="S118" s="248"/>
      <c r="T118" s="248"/>
      <c r="U118" s="248"/>
      <c r="V118" s="248"/>
      <c r="W118" s="248"/>
      <c r="X118" s="248"/>
    </row>
    <row r="119" spans="1:24" s="603" customFormat="1" ht="15" customHeight="1">
      <c r="A119" s="663"/>
      <c r="B119" s="667"/>
      <c r="C119" s="270"/>
      <c r="D119" s="272"/>
      <c r="E119" s="30" t="s">
        <v>908</v>
      </c>
      <c r="F119" s="810">
        <v>0</v>
      </c>
      <c r="G119" s="810">
        <v>0</v>
      </c>
      <c r="H119" s="810">
        <v>0</v>
      </c>
      <c r="I119" s="810">
        <v>0</v>
      </c>
      <c r="J119" s="810">
        <v>0</v>
      </c>
      <c r="K119" s="810">
        <v>0</v>
      </c>
      <c r="L119" s="810">
        <v>0</v>
      </c>
      <c r="M119" s="810">
        <v>0</v>
      </c>
      <c r="N119" s="269"/>
      <c r="O119" s="248"/>
      <c r="P119" s="248"/>
      <c r="Q119" s="248"/>
      <c r="R119" s="248"/>
      <c r="S119" s="248"/>
      <c r="T119" s="248"/>
      <c r="U119" s="248"/>
      <c r="V119" s="248"/>
      <c r="W119" s="248"/>
      <c r="X119" s="248"/>
    </row>
    <row r="120" spans="1:24" s="603" customFormat="1" ht="15" customHeight="1">
      <c r="A120" s="663"/>
      <c r="B120" s="667"/>
      <c r="C120" s="270"/>
      <c r="D120" s="272"/>
      <c r="E120" s="30" t="s">
        <v>909</v>
      </c>
      <c r="F120" s="1494">
        <v>0</v>
      </c>
      <c r="G120" s="1494">
        <v>0</v>
      </c>
      <c r="H120" s="1494">
        <v>0</v>
      </c>
      <c r="I120" s="1494">
        <v>0</v>
      </c>
      <c r="J120" s="1494">
        <v>0</v>
      </c>
      <c r="K120" s="1494">
        <v>0</v>
      </c>
      <c r="L120" s="1494">
        <v>0</v>
      </c>
      <c r="M120" s="1494">
        <v>0</v>
      </c>
      <c r="N120" s="269"/>
      <c r="O120" s="248"/>
      <c r="P120" s="248"/>
      <c r="Q120" s="248"/>
      <c r="R120" s="248"/>
      <c r="S120" s="248"/>
      <c r="T120" s="248"/>
      <c r="U120" s="248"/>
      <c r="V120" s="248"/>
      <c r="W120" s="248"/>
      <c r="X120" s="248"/>
    </row>
    <row r="121" spans="1:24" s="603" customFormat="1" ht="15" customHeight="1">
      <c r="A121" s="663"/>
      <c r="B121" s="667"/>
      <c r="C121" s="270"/>
      <c r="D121" s="272"/>
      <c r="E121" s="30" t="s">
        <v>894</v>
      </c>
      <c r="F121" s="805">
        <v>4.0999999999999999E-4</v>
      </c>
      <c r="G121" s="805">
        <v>1.174E-2</v>
      </c>
      <c r="H121" s="805">
        <v>7.1069999999999994E-2</v>
      </c>
      <c r="I121" s="805">
        <v>0.29635</v>
      </c>
      <c r="J121" s="805">
        <v>0.44640000000000002</v>
      </c>
      <c r="K121" s="805">
        <v>0.48995</v>
      </c>
      <c r="L121" s="805">
        <v>0.49843999999999999</v>
      </c>
      <c r="M121" s="805">
        <v>0.49991000000000002</v>
      </c>
      <c r="N121" s="269"/>
      <c r="O121" s="248"/>
      <c r="P121" s="248"/>
      <c r="Q121" s="248"/>
      <c r="R121" s="248"/>
      <c r="S121" s="248"/>
      <c r="T121" s="248"/>
      <c r="U121" s="248"/>
      <c r="V121" s="248"/>
      <c r="W121" s="248"/>
      <c r="X121" s="248"/>
    </row>
    <row r="122" spans="1:24" s="603" customFormat="1" ht="15" customHeight="1">
      <c r="A122" s="663"/>
      <c r="B122" s="667"/>
      <c r="C122" s="270"/>
      <c r="D122" s="272"/>
      <c r="E122" s="32" t="s">
        <v>603</v>
      </c>
      <c r="F122" s="798">
        <v>0</v>
      </c>
      <c r="G122" s="798">
        <v>0</v>
      </c>
      <c r="H122" s="798">
        <v>0</v>
      </c>
      <c r="I122" s="798">
        <v>0</v>
      </c>
      <c r="J122" s="798">
        <v>0</v>
      </c>
      <c r="K122" s="798">
        <v>0</v>
      </c>
      <c r="L122" s="798">
        <v>0</v>
      </c>
      <c r="M122" s="798">
        <v>0</v>
      </c>
      <c r="N122" s="269"/>
      <c r="O122" s="599"/>
      <c r="P122" s="248"/>
      <c r="Q122" s="248"/>
      <c r="R122" s="248"/>
      <c r="S122" s="248"/>
      <c r="T122" s="248"/>
      <c r="U122" s="248"/>
      <c r="V122" s="248"/>
      <c r="W122" s="248"/>
      <c r="X122" s="248"/>
    </row>
    <row r="123" spans="1:24" s="603" customFormat="1" ht="15" customHeight="1">
      <c r="A123" s="663"/>
      <c r="B123" s="667"/>
      <c r="C123" s="270"/>
      <c r="D123" s="272"/>
      <c r="E123" s="12"/>
      <c r="F123" s="752"/>
      <c r="G123" s="816"/>
      <c r="H123" s="816"/>
      <c r="I123" s="816"/>
      <c r="J123" s="816"/>
      <c r="K123" s="816"/>
      <c r="L123" s="816"/>
      <c r="M123" s="816"/>
      <c r="N123" s="273"/>
      <c r="O123" s="248"/>
      <c r="P123" s="248"/>
      <c r="Q123" s="248"/>
      <c r="R123" s="248"/>
      <c r="S123" s="248"/>
      <c r="T123" s="248"/>
      <c r="U123" s="248"/>
      <c r="V123" s="248"/>
      <c r="W123" s="248"/>
      <c r="X123" s="248"/>
    </row>
    <row r="124" spans="1:24" s="603" customFormat="1" ht="15" customHeight="1">
      <c r="A124" s="663"/>
      <c r="B124" s="667"/>
      <c r="C124" s="270"/>
      <c r="D124" s="11"/>
      <c r="E124" s="263" t="s">
        <v>1730</v>
      </c>
      <c r="F124" s="752"/>
      <c r="G124" s="752"/>
      <c r="H124" s="752"/>
      <c r="I124" s="752"/>
      <c r="J124" s="752"/>
      <c r="K124" s="752"/>
      <c r="L124" s="752"/>
      <c r="M124" s="752"/>
      <c r="N124" s="267"/>
      <c r="O124" s="248"/>
      <c r="P124" s="248"/>
      <c r="Q124" s="248"/>
      <c r="R124" s="248"/>
      <c r="S124" s="248"/>
      <c r="T124" s="248"/>
      <c r="U124" s="248"/>
      <c r="V124" s="248"/>
      <c r="W124" s="248"/>
      <c r="X124" s="248"/>
    </row>
    <row r="125" spans="1:24" customFormat="1" ht="15" customHeight="1">
      <c r="A125" s="663"/>
      <c r="B125" s="667"/>
      <c r="D125" s="11"/>
      <c r="E125" s="19"/>
      <c r="F125" s="752"/>
      <c r="G125" s="752"/>
      <c r="H125" s="752"/>
      <c r="I125" s="752"/>
      <c r="J125" s="752"/>
      <c r="K125" s="752"/>
      <c r="L125" s="752"/>
      <c r="M125" s="752"/>
      <c r="N125" s="267"/>
      <c r="O125" s="599"/>
      <c r="P125" s="248"/>
      <c r="Q125" s="248"/>
      <c r="R125" s="248"/>
      <c r="S125" s="248"/>
      <c r="T125" s="248"/>
      <c r="U125" s="248"/>
      <c r="V125" s="248"/>
      <c r="W125" s="248"/>
      <c r="X125" s="248"/>
    </row>
    <row r="126" spans="1:24" customFormat="1" ht="15" customHeight="1">
      <c r="A126" s="663"/>
      <c r="B126" s="667"/>
      <c r="D126" s="11"/>
      <c r="E126" s="261" t="s">
        <v>2376</v>
      </c>
      <c r="F126" s="752"/>
      <c r="G126" s="752"/>
      <c r="H126" s="752"/>
      <c r="I126" s="752"/>
      <c r="J126" s="752"/>
      <c r="K126" s="752"/>
      <c r="L126" s="752"/>
      <c r="M126" s="771" t="s">
        <v>788</v>
      </c>
      <c r="N126" s="12"/>
      <c r="O126" s="248"/>
      <c r="P126" s="248"/>
      <c r="Q126" s="248"/>
      <c r="R126" s="248"/>
      <c r="S126" s="248"/>
      <c r="T126" s="248"/>
      <c r="U126" s="248"/>
      <c r="V126" s="248"/>
      <c r="W126" s="248"/>
      <c r="X126" s="248"/>
    </row>
    <row r="127" spans="1:24" customFormat="1" ht="15" customHeight="1">
      <c r="A127" s="663"/>
      <c r="B127" s="667"/>
      <c r="D127" s="11"/>
      <c r="E127" s="268" t="s">
        <v>859</v>
      </c>
      <c r="F127" s="848">
        <v>2018</v>
      </c>
      <c r="G127" s="848">
        <v>2020</v>
      </c>
      <c r="H127" s="848">
        <v>2025</v>
      </c>
      <c r="I127" s="848">
        <v>2030</v>
      </c>
      <c r="J127" s="848">
        <v>2035</v>
      </c>
      <c r="K127" s="848">
        <v>2040</v>
      </c>
      <c r="L127" s="848">
        <v>2045</v>
      </c>
      <c r="M127" s="848">
        <v>2050</v>
      </c>
      <c r="N127" s="269"/>
      <c r="O127" s="248"/>
      <c r="P127" s="248"/>
      <c r="Q127" s="248"/>
      <c r="R127" s="248"/>
      <c r="S127" s="248"/>
      <c r="T127" s="248"/>
      <c r="U127" s="248"/>
      <c r="V127" s="248"/>
      <c r="W127" s="248"/>
      <c r="X127" s="248"/>
    </row>
    <row r="128" spans="1:24" s="603" customFormat="1" ht="15" customHeight="1">
      <c r="A128" s="663"/>
      <c r="B128" s="667"/>
      <c r="C128" s="270"/>
      <c r="D128" s="11"/>
      <c r="E128" s="337" t="s">
        <v>889</v>
      </c>
      <c r="F128" s="1516">
        <v>0.76565000000000005</v>
      </c>
      <c r="G128" s="1516">
        <v>0.75302000000000002</v>
      </c>
      <c r="H128" s="1516">
        <v>0.69406999999999996</v>
      </c>
      <c r="I128" s="1516">
        <v>0.48957000000000001</v>
      </c>
      <c r="J128" s="1516">
        <v>0.22971</v>
      </c>
      <c r="K128" s="1516">
        <v>5.9389999999999998E-2</v>
      </c>
      <c r="L128" s="1516">
        <v>9.9500000000000005E-3</v>
      </c>
      <c r="M128" s="1516">
        <v>5.0000000000000001E-4</v>
      </c>
      <c r="N128" s="269"/>
      <c r="O128" s="599"/>
      <c r="P128" s="248"/>
      <c r="Q128" s="248"/>
      <c r="R128" s="248"/>
      <c r="S128" s="248"/>
      <c r="T128" s="248"/>
      <c r="U128" s="248"/>
      <c r="V128" s="248"/>
      <c r="W128" s="248"/>
      <c r="X128" s="248"/>
    </row>
    <row r="129" spans="1:24" s="603" customFormat="1" ht="15" customHeight="1">
      <c r="A129" s="663"/>
      <c r="B129" s="667"/>
      <c r="C129" s="270"/>
      <c r="D129" s="11"/>
      <c r="E129" s="30" t="s">
        <v>890</v>
      </c>
      <c r="F129" s="805">
        <v>0.23394999999999999</v>
      </c>
      <c r="G129" s="805">
        <v>0.2339</v>
      </c>
      <c r="H129" s="805">
        <v>0.2291</v>
      </c>
      <c r="I129" s="805">
        <v>0.18006</v>
      </c>
      <c r="J129" s="805">
        <v>4.6920000000000003E-2</v>
      </c>
      <c r="K129" s="805">
        <v>4.4000000000000003E-3</v>
      </c>
      <c r="L129" s="805">
        <v>4.0999999999999999E-4</v>
      </c>
      <c r="M129" s="805">
        <v>0</v>
      </c>
      <c r="N129" s="269"/>
      <c r="O129" s="248"/>
      <c r="P129" s="248"/>
      <c r="Q129" s="248"/>
      <c r="R129" s="248"/>
      <c r="S129" s="248"/>
      <c r="T129" s="248"/>
      <c r="U129" s="248"/>
      <c r="V129" s="248"/>
      <c r="W129" s="248"/>
      <c r="X129" s="248"/>
    </row>
    <row r="130" spans="1:24" s="603" customFormat="1" ht="15" customHeight="1">
      <c r="A130" s="663"/>
      <c r="B130" s="667"/>
      <c r="C130" s="270"/>
      <c r="D130" s="272"/>
      <c r="E130" s="30" t="s">
        <v>2379</v>
      </c>
      <c r="F130" s="805">
        <v>0</v>
      </c>
      <c r="G130" s="805">
        <v>1.34E-3</v>
      </c>
      <c r="H130" s="805">
        <v>5.6699999999999997E-3</v>
      </c>
      <c r="I130" s="805">
        <v>2.1010000000000001E-2</v>
      </c>
      <c r="J130" s="805">
        <v>5.4239999999999997E-2</v>
      </c>
      <c r="K130" s="805">
        <v>8.4510000000000002E-2</v>
      </c>
      <c r="L130" s="805">
        <v>9.6729999999999997E-2</v>
      </c>
      <c r="M130" s="805">
        <v>9.9970000000000003E-2</v>
      </c>
      <c r="N130" s="269"/>
      <c r="O130" s="248"/>
      <c r="P130" s="248"/>
      <c r="Q130" s="248"/>
      <c r="R130" s="248"/>
      <c r="S130" s="248"/>
      <c r="T130" s="248"/>
      <c r="U130" s="248"/>
      <c r="V130" s="248"/>
      <c r="W130" s="248"/>
      <c r="X130" s="248"/>
    </row>
    <row r="131" spans="1:24" s="603" customFormat="1" ht="15" customHeight="1">
      <c r="A131" s="663"/>
      <c r="B131" s="667"/>
      <c r="C131" s="270"/>
      <c r="D131" s="272"/>
      <c r="E131" s="30" t="s">
        <v>2270</v>
      </c>
      <c r="F131" s="805">
        <v>0</v>
      </c>
      <c r="G131" s="805">
        <v>0</v>
      </c>
      <c r="H131" s="805">
        <v>0</v>
      </c>
      <c r="I131" s="805">
        <v>0</v>
      </c>
      <c r="J131" s="805">
        <v>0</v>
      </c>
      <c r="K131" s="805">
        <v>0</v>
      </c>
      <c r="L131" s="805">
        <v>0</v>
      </c>
      <c r="M131" s="805">
        <v>0</v>
      </c>
      <c r="N131" s="269"/>
      <c r="O131" s="599"/>
      <c r="P131" s="248"/>
      <c r="Q131" s="248"/>
      <c r="R131" s="248"/>
      <c r="S131" s="248"/>
      <c r="T131" s="248"/>
      <c r="U131" s="248"/>
      <c r="V131" s="248"/>
      <c r="W131" s="248"/>
      <c r="X131" s="248"/>
    </row>
    <row r="132" spans="1:24" s="603" customFormat="1" ht="15" customHeight="1">
      <c r="A132" s="663"/>
      <c r="B132" s="667"/>
      <c r="C132" s="270"/>
      <c r="D132" s="272"/>
      <c r="E132" s="12" t="s">
        <v>498</v>
      </c>
      <c r="F132" s="805">
        <v>0</v>
      </c>
      <c r="G132" s="805">
        <v>0</v>
      </c>
      <c r="H132" s="805">
        <v>1E-4</v>
      </c>
      <c r="I132" s="805">
        <v>1E-4</v>
      </c>
      <c r="J132" s="805">
        <v>1E-4</v>
      </c>
      <c r="K132" s="805">
        <v>1E-4</v>
      </c>
      <c r="L132" s="805">
        <v>1E-4</v>
      </c>
      <c r="M132" s="805">
        <v>1E-4</v>
      </c>
      <c r="N132" s="269"/>
      <c r="O132" s="248"/>
      <c r="P132" s="248"/>
      <c r="Q132" s="248"/>
      <c r="R132" s="248"/>
      <c r="S132" s="248"/>
      <c r="T132" s="248"/>
      <c r="U132" s="248"/>
      <c r="V132" s="248"/>
      <c r="W132" s="248"/>
      <c r="X132" s="248"/>
    </row>
    <row r="133" spans="1:24" s="603" customFormat="1" ht="15" customHeight="1">
      <c r="A133" s="663"/>
      <c r="B133" s="667"/>
      <c r="C133" s="270"/>
      <c r="D133" s="272"/>
      <c r="E133" s="30" t="s">
        <v>908</v>
      </c>
      <c r="F133" s="810">
        <v>0</v>
      </c>
      <c r="G133" s="810">
        <v>0</v>
      </c>
      <c r="H133" s="810">
        <v>0</v>
      </c>
      <c r="I133" s="810">
        <v>0</v>
      </c>
      <c r="J133" s="810">
        <v>0</v>
      </c>
      <c r="K133" s="810">
        <v>0</v>
      </c>
      <c r="L133" s="810">
        <v>0</v>
      </c>
      <c r="M133" s="810">
        <v>0</v>
      </c>
      <c r="N133" s="269"/>
      <c r="O133" s="248"/>
      <c r="P133" s="248"/>
      <c r="Q133" s="248"/>
      <c r="R133" s="248"/>
      <c r="S133" s="248"/>
      <c r="T133" s="248"/>
      <c r="U133" s="248"/>
      <c r="V133" s="248"/>
      <c r="W133" s="248"/>
      <c r="X133" s="248"/>
    </row>
    <row r="134" spans="1:24" s="603" customFormat="1" ht="15" customHeight="1">
      <c r="A134" s="663"/>
      <c r="B134" s="667"/>
      <c r="C134" s="270"/>
      <c r="D134" s="272"/>
      <c r="E134" s="30" t="s">
        <v>909</v>
      </c>
      <c r="F134" s="1494">
        <v>0</v>
      </c>
      <c r="G134" s="1494">
        <v>0</v>
      </c>
      <c r="H134" s="1494">
        <v>0</v>
      </c>
      <c r="I134" s="1494">
        <v>0</v>
      </c>
      <c r="J134" s="1494">
        <v>0</v>
      </c>
      <c r="K134" s="1494">
        <v>0</v>
      </c>
      <c r="L134" s="1494">
        <v>0</v>
      </c>
      <c r="M134" s="1494">
        <v>0</v>
      </c>
      <c r="N134" s="269"/>
      <c r="O134" s="248"/>
      <c r="P134" s="248"/>
      <c r="Q134" s="248"/>
      <c r="R134" s="248"/>
      <c r="S134" s="248"/>
      <c r="T134" s="248"/>
      <c r="U134" s="248"/>
      <c r="V134" s="248"/>
      <c r="W134" s="248"/>
      <c r="X134" s="248"/>
    </row>
    <row r="135" spans="1:24" s="603" customFormat="1" ht="15" customHeight="1">
      <c r="A135" s="663"/>
      <c r="B135" s="667"/>
      <c r="C135" s="270"/>
      <c r="D135" s="272"/>
      <c r="E135" s="30" t="s">
        <v>894</v>
      </c>
      <c r="F135" s="805">
        <v>4.0999999999999999E-4</v>
      </c>
      <c r="G135" s="805">
        <v>1.174E-2</v>
      </c>
      <c r="H135" s="805">
        <v>7.1069999999999994E-2</v>
      </c>
      <c r="I135" s="805">
        <v>0.30925999999999998</v>
      </c>
      <c r="J135" s="805">
        <v>0.66903000000000001</v>
      </c>
      <c r="K135" s="805">
        <v>0.85160000000000002</v>
      </c>
      <c r="L135" s="805">
        <v>0.89281999999999995</v>
      </c>
      <c r="M135" s="805">
        <v>0.89942999999999995</v>
      </c>
      <c r="N135" s="269"/>
      <c r="O135" s="248"/>
      <c r="P135" s="248"/>
      <c r="Q135" s="248"/>
      <c r="R135" s="248"/>
      <c r="S135" s="248"/>
      <c r="T135" s="248"/>
      <c r="U135" s="248"/>
      <c r="V135" s="248"/>
      <c r="W135" s="248"/>
      <c r="X135" s="248"/>
    </row>
    <row r="136" spans="1:24" s="603" customFormat="1" ht="15" customHeight="1">
      <c r="A136" s="663"/>
      <c r="B136" s="667"/>
      <c r="C136" s="270"/>
      <c r="D136" s="272"/>
      <c r="E136" s="32" t="s">
        <v>603</v>
      </c>
      <c r="F136" s="798">
        <v>0</v>
      </c>
      <c r="G136" s="798">
        <v>0</v>
      </c>
      <c r="H136" s="798">
        <v>0</v>
      </c>
      <c r="I136" s="798">
        <v>0</v>
      </c>
      <c r="J136" s="798">
        <v>0</v>
      </c>
      <c r="K136" s="798">
        <v>0</v>
      </c>
      <c r="L136" s="798">
        <v>0</v>
      </c>
      <c r="M136" s="798">
        <v>0</v>
      </c>
      <c r="N136" s="269"/>
      <c r="O136" s="599"/>
      <c r="P136" s="248"/>
      <c r="Q136" s="248"/>
      <c r="R136" s="248"/>
      <c r="S136" s="248"/>
      <c r="T136" s="248"/>
      <c r="U136" s="248"/>
      <c r="V136" s="248"/>
      <c r="W136" s="248"/>
      <c r="X136" s="248"/>
    </row>
    <row r="137" spans="1:24" s="603" customFormat="1" ht="15" customHeight="1">
      <c r="A137" s="663"/>
      <c r="B137" s="667"/>
      <c r="C137" s="270"/>
      <c r="D137" s="272"/>
      <c r="E137" s="190"/>
      <c r="F137" s="752"/>
      <c r="G137" s="849"/>
      <c r="H137" s="849"/>
      <c r="I137" s="849"/>
      <c r="J137" s="849"/>
      <c r="K137" s="849"/>
      <c r="L137" s="849"/>
      <c r="M137" s="849"/>
      <c r="N137" s="274"/>
      <c r="O137" s="248"/>
      <c r="P137" s="248"/>
      <c r="Q137" s="248"/>
      <c r="R137" s="248"/>
      <c r="S137" s="248"/>
      <c r="T137" s="248"/>
      <c r="U137" s="248"/>
      <c r="V137" s="248"/>
      <c r="W137" s="248"/>
      <c r="X137" s="248"/>
    </row>
    <row r="138" spans="1:24" s="603" customFormat="1" ht="15" customHeight="1">
      <c r="A138" s="663"/>
      <c r="B138" s="667"/>
      <c r="C138" s="270"/>
      <c r="D138" s="11"/>
      <c r="E138" s="263" t="s">
        <v>1731</v>
      </c>
      <c r="F138" s="752"/>
      <c r="G138" s="752"/>
      <c r="H138" s="752"/>
      <c r="I138" s="752"/>
      <c r="J138" s="752"/>
      <c r="K138" s="752"/>
      <c r="L138" s="752"/>
      <c r="M138" s="752"/>
      <c r="N138" s="267"/>
      <c r="O138" s="248"/>
      <c r="P138" s="248"/>
      <c r="Q138" s="248"/>
      <c r="R138" s="248"/>
      <c r="S138" s="248"/>
      <c r="T138" s="248"/>
      <c r="U138" s="248"/>
      <c r="V138" s="248"/>
      <c r="W138" s="248"/>
      <c r="X138" s="248"/>
    </row>
    <row r="139" spans="1:24" customFormat="1" ht="15" customHeight="1">
      <c r="A139" s="663"/>
      <c r="B139" s="667"/>
      <c r="D139" s="11"/>
      <c r="E139" s="19"/>
      <c r="F139" s="752"/>
      <c r="G139" s="752"/>
      <c r="H139" s="752"/>
      <c r="I139" s="752"/>
      <c r="J139" s="752"/>
      <c r="K139" s="752"/>
      <c r="L139" s="752"/>
      <c r="M139" s="752"/>
      <c r="N139" s="267"/>
      <c r="O139" s="599"/>
      <c r="P139" s="248"/>
      <c r="Q139" s="248"/>
      <c r="R139" s="248"/>
      <c r="S139" s="248"/>
      <c r="T139" s="248"/>
      <c r="U139" s="248"/>
      <c r="V139" s="248"/>
      <c r="W139" s="248"/>
      <c r="X139" s="248"/>
    </row>
    <row r="140" spans="1:24" customFormat="1" ht="15" customHeight="1">
      <c r="A140" s="663"/>
      <c r="B140" s="667"/>
      <c r="D140" s="11"/>
      <c r="E140" s="261" t="s">
        <v>2376</v>
      </c>
      <c r="F140" s="752"/>
      <c r="G140" s="752"/>
      <c r="H140" s="752"/>
      <c r="I140" s="752"/>
      <c r="J140" s="752"/>
      <c r="K140" s="752"/>
      <c r="L140" s="752"/>
      <c r="M140" s="771" t="s">
        <v>788</v>
      </c>
      <c r="N140" s="12"/>
      <c r="O140" s="599"/>
      <c r="P140" s="248"/>
      <c r="Q140" s="248"/>
      <c r="R140" s="248"/>
      <c r="S140" s="248"/>
      <c r="T140" s="248"/>
      <c r="U140" s="248"/>
      <c r="V140" s="248"/>
      <c r="W140" s="248"/>
      <c r="X140" s="248"/>
    </row>
    <row r="141" spans="1:24" customFormat="1" ht="15" customHeight="1">
      <c r="A141" s="663"/>
      <c r="B141" s="667"/>
      <c r="D141" s="11"/>
      <c r="E141" s="268" t="s">
        <v>859</v>
      </c>
      <c r="F141" s="848">
        <v>2018</v>
      </c>
      <c r="G141" s="848">
        <v>2020</v>
      </c>
      <c r="H141" s="848">
        <v>2025</v>
      </c>
      <c r="I141" s="848">
        <v>2030</v>
      </c>
      <c r="J141" s="848">
        <v>2035</v>
      </c>
      <c r="K141" s="848">
        <v>2040</v>
      </c>
      <c r="L141" s="848">
        <v>2045</v>
      </c>
      <c r="M141" s="848">
        <v>2050</v>
      </c>
      <c r="N141" s="269"/>
      <c r="O141" s="599"/>
      <c r="P141" s="248"/>
      <c r="Q141" s="248"/>
      <c r="R141" s="248"/>
      <c r="S141" s="248"/>
      <c r="T141" s="248"/>
      <c r="U141" s="248"/>
      <c r="V141" s="248"/>
      <c r="W141" s="248"/>
      <c r="X141" s="248"/>
    </row>
    <row r="142" spans="1:24" s="603" customFormat="1" ht="15" customHeight="1">
      <c r="A142" s="663"/>
      <c r="B142" s="667"/>
      <c r="C142" s="270"/>
      <c r="D142" s="11"/>
      <c r="E142" s="337" t="s">
        <v>889</v>
      </c>
      <c r="F142" s="1516">
        <v>0.76565000000000005</v>
      </c>
      <c r="G142" s="1516">
        <v>0.75695000000000001</v>
      </c>
      <c r="H142" s="1516">
        <v>0</v>
      </c>
      <c r="I142" s="1516">
        <v>0</v>
      </c>
      <c r="J142" s="1516">
        <v>0</v>
      </c>
      <c r="K142" s="1516">
        <v>0</v>
      </c>
      <c r="L142" s="1516">
        <v>0</v>
      </c>
      <c r="M142" s="1516">
        <v>0</v>
      </c>
      <c r="N142" s="269"/>
      <c r="O142" s="599"/>
      <c r="P142" s="248"/>
      <c r="Q142" s="248"/>
      <c r="R142" s="248"/>
      <c r="S142" s="248"/>
      <c r="T142" s="248"/>
      <c r="U142" s="248"/>
      <c r="V142" s="248"/>
      <c r="W142" s="248"/>
      <c r="X142" s="248"/>
    </row>
    <row r="143" spans="1:24" s="603" customFormat="1" ht="15" customHeight="1">
      <c r="A143" s="663"/>
      <c r="B143" s="667"/>
      <c r="C143" s="270"/>
      <c r="D143" s="11"/>
      <c r="E143" s="30" t="s">
        <v>890</v>
      </c>
      <c r="F143" s="805">
        <v>0.23394999999999999</v>
      </c>
      <c r="G143" s="805">
        <v>0.22892000000000001</v>
      </c>
      <c r="H143" s="805">
        <v>0</v>
      </c>
      <c r="I143" s="805">
        <v>0</v>
      </c>
      <c r="J143" s="805">
        <v>0</v>
      </c>
      <c r="K143" s="805">
        <v>0</v>
      </c>
      <c r="L143" s="805">
        <v>0</v>
      </c>
      <c r="M143" s="805">
        <v>0</v>
      </c>
      <c r="N143" s="269"/>
      <c r="O143" s="599"/>
      <c r="P143" s="248"/>
      <c r="Q143" s="248"/>
      <c r="R143" s="248"/>
      <c r="S143" s="248"/>
      <c r="T143" s="248"/>
      <c r="U143" s="248"/>
      <c r="V143" s="248"/>
      <c r="W143" s="248"/>
      <c r="X143" s="248"/>
    </row>
    <row r="144" spans="1:24" s="603" customFormat="1" ht="15" customHeight="1">
      <c r="A144" s="663"/>
      <c r="B144" s="667"/>
      <c r="C144" s="270"/>
      <c r="D144" s="272"/>
      <c r="E144" s="30" t="s">
        <v>2379</v>
      </c>
      <c r="F144" s="805">
        <v>0</v>
      </c>
      <c r="G144" s="805">
        <v>0</v>
      </c>
      <c r="H144" s="805">
        <v>0</v>
      </c>
      <c r="I144" s="805">
        <v>0</v>
      </c>
      <c r="J144" s="805">
        <v>0</v>
      </c>
      <c r="K144" s="805">
        <v>0</v>
      </c>
      <c r="L144" s="805">
        <v>0</v>
      </c>
      <c r="M144" s="805">
        <v>0</v>
      </c>
      <c r="N144" s="269"/>
      <c r="O144" s="599"/>
      <c r="P144" s="248"/>
      <c r="Q144" s="248"/>
      <c r="R144" s="248"/>
      <c r="S144" s="248"/>
      <c r="T144" s="248"/>
      <c r="U144" s="248"/>
      <c r="V144" s="248"/>
      <c r="W144" s="248"/>
      <c r="X144" s="248"/>
    </row>
    <row r="145" spans="1:25" s="603" customFormat="1" ht="15" customHeight="1">
      <c r="A145" s="663"/>
      <c r="B145" s="667"/>
      <c r="C145" s="270"/>
      <c r="D145" s="272"/>
      <c r="E145" s="30" t="s">
        <v>2270</v>
      </c>
      <c r="F145" s="805">
        <v>0</v>
      </c>
      <c r="G145" s="805">
        <v>0</v>
      </c>
      <c r="H145" s="805">
        <v>0</v>
      </c>
      <c r="I145" s="805">
        <v>0</v>
      </c>
      <c r="J145" s="805">
        <v>0</v>
      </c>
      <c r="K145" s="805">
        <v>0</v>
      </c>
      <c r="L145" s="805">
        <v>0</v>
      </c>
      <c r="M145" s="805">
        <v>0</v>
      </c>
      <c r="N145" s="269"/>
      <c r="O145" s="599"/>
      <c r="P145" s="248"/>
      <c r="Q145" s="248"/>
      <c r="R145" s="248"/>
      <c r="S145" s="248"/>
      <c r="T145" s="248"/>
      <c r="U145" s="248"/>
      <c r="V145" s="248"/>
      <c r="W145" s="248"/>
      <c r="X145" s="248"/>
    </row>
    <row r="146" spans="1:25" s="603" customFormat="1" ht="15" customHeight="1">
      <c r="A146" s="663"/>
      <c r="B146" s="667"/>
      <c r="C146" s="270"/>
      <c r="D146" s="272"/>
      <c r="E146" s="12" t="s">
        <v>498</v>
      </c>
      <c r="F146" s="805">
        <v>0</v>
      </c>
      <c r="G146" s="805">
        <v>0</v>
      </c>
      <c r="H146" s="805">
        <v>0</v>
      </c>
      <c r="I146" s="805">
        <v>0</v>
      </c>
      <c r="J146" s="805">
        <v>0</v>
      </c>
      <c r="K146" s="805">
        <v>0</v>
      </c>
      <c r="L146" s="805">
        <v>0</v>
      </c>
      <c r="M146" s="805">
        <v>0</v>
      </c>
      <c r="N146" s="269"/>
      <c r="O146" s="599"/>
      <c r="P146" s="248"/>
      <c r="Q146" s="248"/>
      <c r="R146" s="248"/>
      <c r="S146" s="248"/>
      <c r="T146" s="248"/>
      <c r="U146" s="248"/>
      <c r="V146" s="248"/>
      <c r="W146" s="248"/>
      <c r="X146" s="248"/>
    </row>
    <row r="147" spans="1:25" s="603" customFormat="1" ht="15" customHeight="1">
      <c r="A147" s="663"/>
      <c r="B147" s="667"/>
      <c r="C147" s="270"/>
      <c r="D147" s="272"/>
      <c r="E147" s="30" t="s">
        <v>908</v>
      </c>
      <c r="F147" s="810">
        <v>0</v>
      </c>
      <c r="G147" s="810">
        <v>0</v>
      </c>
      <c r="H147" s="810">
        <v>0</v>
      </c>
      <c r="I147" s="810">
        <v>0</v>
      </c>
      <c r="J147" s="810">
        <v>0</v>
      </c>
      <c r="K147" s="810">
        <v>0</v>
      </c>
      <c r="L147" s="810">
        <v>0</v>
      </c>
      <c r="M147" s="810">
        <v>0</v>
      </c>
      <c r="N147" s="269"/>
      <c r="O147" s="599"/>
      <c r="P147" s="248"/>
      <c r="Q147" s="248"/>
      <c r="R147" s="248"/>
      <c r="S147" s="248"/>
      <c r="T147" s="248"/>
      <c r="U147" s="248"/>
      <c r="V147" s="248"/>
      <c r="W147" s="248"/>
      <c r="X147" s="248"/>
    </row>
    <row r="148" spans="1:25" s="603" customFormat="1" ht="15" customHeight="1">
      <c r="A148" s="663"/>
      <c r="B148" s="667"/>
      <c r="C148" s="270"/>
      <c r="D148" s="272"/>
      <c r="E148" s="30" t="s">
        <v>909</v>
      </c>
      <c r="F148" s="1494">
        <v>0</v>
      </c>
      <c r="G148" s="1494">
        <v>0</v>
      </c>
      <c r="H148" s="1494">
        <v>0</v>
      </c>
      <c r="I148" s="1494">
        <v>0</v>
      </c>
      <c r="J148" s="1494">
        <v>0</v>
      </c>
      <c r="K148" s="1494">
        <v>0</v>
      </c>
      <c r="L148" s="1494">
        <v>0</v>
      </c>
      <c r="M148" s="1494">
        <v>0</v>
      </c>
      <c r="N148" s="269"/>
      <c r="O148" s="248"/>
      <c r="P148" s="248"/>
      <c r="Q148" s="248"/>
      <c r="R148" s="248"/>
      <c r="S148" s="248"/>
      <c r="T148" s="248"/>
      <c r="U148" s="248"/>
      <c r="V148" s="248"/>
      <c r="W148" s="248"/>
      <c r="X148" s="248"/>
    </row>
    <row r="149" spans="1:25" s="603" customFormat="1" ht="15" customHeight="1">
      <c r="A149" s="663"/>
      <c r="B149" s="667"/>
      <c r="C149" s="270"/>
      <c r="D149" s="272"/>
      <c r="E149" s="30" t="s">
        <v>894</v>
      </c>
      <c r="F149" s="805">
        <v>4.0999999999999999E-4</v>
      </c>
      <c r="G149" s="805">
        <v>1.413E-2</v>
      </c>
      <c r="H149" s="805">
        <v>1</v>
      </c>
      <c r="I149" s="805">
        <v>0.98301000000000005</v>
      </c>
      <c r="J149" s="805">
        <v>0.77798999999999996</v>
      </c>
      <c r="K149" s="805">
        <v>0.62878999999999996</v>
      </c>
      <c r="L149" s="805">
        <v>0.62029000000000001</v>
      </c>
      <c r="M149" s="805">
        <v>0.62</v>
      </c>
      <c r="N149" s="269"/>
      <c r="O149" s="248"/>
      <c r="P149" s="248"/>
      <c r="Q149" s="248"/>
      <c r="R149" s="248"/>
      <c r="S149" s="248"/>
      <c r="T149" s="248"/>
      <c r="U149" s="248"/>
      <c r="V149" s="248"/>
      <c r="W149" s="248"/>
      <c r="X149" s="248"/>
    </row>
    <row r="150" spans="1:25" s="603" customFormat="1" ht="15" customHeight="1">
      <c r="A150" s="663"/>
      <c r="B150" s="667"/>
      <c r="C150" s="270"/>
      <c r="D150" s="272"/>
      <c r="E150" s="32" t="s">
        <v>603</v>
      </c>
      <c r="F150" s="798">
        <v>0</v>
      </c>
      <c r="G150" s="798">
        <v>0</v>
      </c>
      <c r="H150" s="798">
        <v>0</v>
      </c>
      <c r="I150" s="798">
        <v>1.6990000000000002E-2</v>
      </c>
      <c r="J150" s="798">
        <v>0.22201000000000001</v>
      </c>
      <c r="K150" s="798">
        <v>0.37120999999999998</v>
      </c>
      <c r="L150" s="798">
        <v>0.37970999999999999</v>
      </c>
      <c r="M150" s="798">
        <v>0.38</v>
      </c>
      <c r="N150" s="269"/>
      <c r="O150" s="599"/>
      <c r="P150" s="248"/>
      <c r="Q150" s="248"/>
      <c r="R150" s="248"/>
      <c r="S150" s="248"/>
      <c r="T150" s="248"/>
      <c r="U150" s="248"/>
      <c r="V150" s="248"/>
      <c r="W150" s="248"/>
      <c r="X150" s="248"/>
    </row>
    <row r="151" spans="1:25" s="603" customFormat="1" ht="15" customHeight="1">
      <c r="A151" s="663"/>
      <c r="B151" s="667"/>
      <c r="C151" s="270"/>
      <c r="D151" s="272"/>
      <c r="E151" s="12"/>
      <c r="F151" s="752"/>
      <c r="G151" s="816"/>
      <c r="H151" s="816"/>
      <c r="I151" s="816"/>
      <c r="J151" s="816"/>
      <c r="K151" s="816"/>
      <c r="L151" s="816"/>
      <c r="M151" s="816"/>
      <c r="N151" s="273"/>
      <c r="O151" s="599"/>
      <c r="P151" s="248"/>
      <c r="Q151" s="248"/>
      <c r="R151" s="248"/>
      <c r="S151" s="248"/>
      <c r="T151" s="248"/>
      <c r="U151" s="248"/>
      <c r="V151" s="248"/>
      <c r="W151" s="248"/>
      <c r="X151" s="248"/>
    </row>
    <row r="152" spans="1:25" s="603" customFormat="1" ht="15" customHeight="1">
      <c r="A152" s="663"/>
      <c r="B152" s="667"/>
      <c r="C152" s="270"/>
      <c r="D152" s="244"/>
      <c r="E152" s="940" t="s">
        <v>1349</v>
      </c>
      <c r="F152" s="843"/>
      <c r="G152" s="843"/>
      <c r="H152" s="843"/>
      <c r="I152" s="843"/>
      <c r="J152" s="843"/>
      <c r="K152" s="843"/>
      <c r="L152" s="843"/>
      <c r="M152" s="843"/>
      <c r="N152" s="12"/>
      <c r="O152" s="599"/>
      <c r="P152" s="248"/>
      <c r="Q152" s="248"/>
      <c r="R152" s="248"/>
      <c r="S152" s="248"/>
      <c r="T152" s="248"/>
      <c r="U152" s="248"/>
      <c r="V152" s="248"/>
      <c r="W152" s="248"/>
      <c r="X152" s="248"/>
    </row>
    <row r="153" spans="1:25" customFormat="1" ht="15" customHeight="1">
      <c r="A153" s="663"/>
      <c r="B153" s="667"/>
      <c r="D153" s="11"/>
      <c r="E153" s="12"/>
      <c r="F153" s="752"/>
      <c r="G153" s="752"/>
      <c r="H153" s="752"/>
      <c r="I153" s="752"/>
      <c r="J153" s="752"/>
      <c r="K153" s="752"/>
      <c r="L153" s="752"/>
      <c r="M153" s="752"/>
      <c r="N153" s="12"/>
      <c r="O153" s="599"/>
      <c r="P153" s="248"/>
      <c r="Q153" s="248"/>
      <c r="R153" s="248"/>
      <c r="S153" s="248"/>
      <c r="T153" s="248"/>
      <c r="U153" s="248"/>
      <c r="V153" s="248"/>
      <c r="W153" s="248"/>
      <c r="X153" s="248"/>
    </row>
    <row r="154" spans="1:25" customFormat="1" ht="15" customHeight="1">
      <c r="A154" s="663"/>
      <c r="B154" s="667"/>
      <c r="D154" s="12"/>
      <c r="E154" s="263" t="s">
        <v>1726</v>
      </c>
      <c r="F154" s="752"/>
      <c r="G154" s="752"/>
      <c r="H154" s="752"/>
      <c r="I154" s="752"/>
      <c r="J154" s="752"/>
      <c r="K154" s="752"/>
      <c r="L154" s="752"/>
      <c r="M154" s="752"/>
      <c r="N154" s="267"/>
      <c r="O154" s="599"/>
      <c r="P154" s="248"/>
      <c r="Q154" s="248"/>
      <c r="R154" s="248"/>
      <c r="S154" s="248"/>
      <c r="T154" s="248"/>
      <c r="U154" s="248"/>
      <c r="V154" s="248"/>
      <c r="W154" s="248"/>
      <c r="X154" s="248"/>
    </row>
    <row r="155" spans="1:25" customFormat="1" ht="15" customHeight="1">
      <c r="A155" s="663"/>
      <c r="B155" s="667"/>
      <c r="D155" s="12"/>
      <c r="E155" s="19"/>
      <c r="F155" s="752"/>
      <c r="G155" s="752"/>
      <c r="H155" s="752"/>
      <c r="I155" s="752"/>
      <c r="J155" s="752"/>
      <c r="K155" s="752"/>
      <c r="L155" s="752"/>
      <c r="M155" s="752"/>
      <c r="N155" s="267"/>
      <c r="O155" s="599"/>
      <c r="P155" s="248"/>
      <c r="Q155" s="248"/>
      <c r="R155" s="248"/>
      <c r="S155" s="248"/>
      <c r="T155" s="248"/>
      <c r="U155" s="248"/>
      <c r="V155" s="248"/>
      <c r="W155" s="248"/>
      <c r="X155" s="248"/>
    </row>
    <row r="156" spans="1:25" customFormat="1" ht="15" customHeight="1">
      <c r="A156" s="663"/>
      <c r="B156" s="667"/>
      <c r="D156" s="12"/>
      <c r="E156" s="261" t="s">
        <v>2376</v>
      </c>
      <c r="F156" s="752"/>
      <c r="G156" s="752"/>
      <c r="H156" s="752"/>
      <c r="I156" s="752"/>
      <c r="J156" s="752"/>
      <c r="K156" s="752"/>
      <c r="L156" s="752"/>
      <c r="M156" s="771" t="s">
        <v>788</v>
      </c>
      <c r="N156" s="267"/>
      <c r="O156" s="599"/>
      <c r="P156" s="248"/>
      <c r="Q156" s="248"/>
      <c r="R156" s="248"/>
      <c r="S156" s="248"/>
      <c r="T156" s="248"/>
      <c r="U156" s="248"/>
      <c r="V156" s="248"/>
      <c r="W156" s="248"/>
      <c r="X156" s="248"/>
    </row>
    <row r="157" spans="1:25" customFormat="1" ht="15" customHeight="1">
      <c r="A157" s="663"/>
      <c r="B157" s="667"/>
      <c r="D157" s="12"/>
      <c r="E157" s="268" t="s">
        <v>859</v>
      </c>
      <c r="F157" s="848">
        <v>2018</v>
      </c>
      <c r="G157" s="848">
        <v>2020</v>
      </c>
      <c r="H157" s="848">
        <v>2025</v>
      </c>
      <c r="I157" s="848">
        <v>2030</v>
      </c>
      <c r="J157" s="848">
        <v>2035</v>
      </c>
      <c r="K157" s="848">
        <v>2040</v>
      </c>
      <c r="L157" s="848">
        <v>2045</v>
      </c>
      <c r="M157" s="848">
        <v>2050</v>
      </c>
      <c r="N157" s="267"/>
      <c r="O157" s="599"/>
      <c r="P157" s="248"/>
      <c r="Q157" s="248"/>
      <c r="R157" s="248"/>
      <c r="S157" s="248"/>
      <c r="T157" s="248"/>
      <c r="U157" s="248"/>
      <c r="V157" s="248"/>
      <c r="W157" s="248"/>
      <c r="X157" s="248"/>
    </row>
    <row r="158" spans="1:25" customFormat="1" ht="15" customHeight="1">
      <c r="A158" s="663"/>
      <c r="B158" s="667"/>
      <c r="D158" s="11"/>
      <c r="E158" s="337" t="s">
        <v>889</v>
      </c>
      <c r="F158" s="1516">
        <v>0.24727499999999999</v>
      </c>
      <c r="G158" s="1516">
        <v>0.15534999999999999</v>
      </c>
      <c r="H158" s="1516">
        <v>0.15534999999999999</v>
      </c>
      <c r="I158" s="1516">
        <v>0.15534999999999999</v>
      </c>
      <c r="J158" s="1516">
        <v>0.15534999999999999</v>
      </c>
      <c r="K158" s="1516">
        <v>0.15534999999999999</v>
      </c>
      <c r="L158" s="1516">
        <v>0.15534999999999999</v>
      </c>
      <c r="M158" s="1516">
        <v>0.15534999999999999</v>
      </c>
      <c r="N158" s="269"/>
      <c r="O158" s="599"/>
      <c r="P158" s="248"/>
      <c r="Q158" s="248"/>
      <c r="R158" s="248"/>
      <c r="S158" s="248"/>
      <c r="T158" s="248"/>
      <c r="U158" s="248"/>
      <c r="V158" s="248"/>
      <c r="W158" s="248"/>
      <c r="X158" s="248"/>
    </row>
    <row r="159" spans="1:25" s="603" customFormat="1" ht="15" customHeight="1">
      <c r="A159" s="663"/>
      <c r="B159" s="667"/>
      <c r="C159" s="270"/>
      <c r="D159" s="11"/>
      <c r="E159" s="30" t="s">
        <v>890</v>
      </c>
      <c r="F159" s="805">
        <v>0.74337500000000001</v>
      </c>
      <c r="G159" s="805">
        <v>0.82470500000000002</v>
      </c>
      <c r="H159" s="805">
        <v>0.81240500000000004</v>
      </c>
      <c r="I159" s="805">
        <v>0.77476999999999996</v>
      </c>
      <c r="J159" s="805">
        <v>0.69918499999999995</v>
      </c>
      <c r="K159" s="805">
        <v>0.60458500000000004</v>
      </c>
      <c r="L159" s="805">
        <v>0.54840500000000003</v>
      </c>
      <c r="M159" s="805">
        <v>0.52716499999999999</v>
      </c>
      <c r="N159" s="269"/>
      <c r="O159" s="599"/>
      <c r="P159" s="248"/>
      <c r="Q159" s="248"/>
      <c r="R159" s="248"/>
      <c r="S159" s="248"/>
      <c r="T159" s="248"/>
      <c r="U159" s="248"/>
      <c r="V159" s="248"/>
      <c r="W159" s="248"/>
      <c r="X159" s="248"/>
      <c r="Y159"/>
    </row>
    <row r="160" spans="1:25" s="603" customFormat="1" ht="15" customHeight="1">
      <c r="A160" s="663"/>
      <c r="B160" s="667"/>
      <c r="C160" s="270"/>
      <c r="D160" s="272"/>
      <c r="E160" s="30" t="s">
        <v>2379</v>
      </c>
      <c r="F160" s="805">
        <v>8.3149999999999995E-3</v>
      </c>
      <c r="G160" s="805">
        <v>9.9850000000000008E-3</v>
      </c>
      <c r="H160" s="805">
        <v>9.9850000000000008E-3</v>
      </c>
      <c r="I160" s="805">
        <v>9.9850000000000008E-3</v>
      </c>
      <c r="J160" s="805">
        <v>9.9850000000000008E-3</v>
      </c>
      <c r="K160" s="805">
        <v>9.9850000000000008E-3</v>
      </c>
      <c r="L160" s="805">
        <v>9.9850000000000008E-3</v>
      </c>
      <c r="M160" s="805">
        <v>9.9850000000000008E-3</v>
      </c>
      <c r="N160" s="269"/>
      <c r="O160" s="248"/>
      <c r="P160" s="248"/>
      <c r="Q160" s="248"/>
      <c r="R160" s="248"/>
      <c r="S160" s="248"/>
      <c r="T160" s="248"/>
      <c r="U160" s="248"/>
      <c r="V160" s="248"/>
      <c r="W160" s="248"/>
      <c r="X160" s="248"/>
      <c r="Y160"/>
    </row>
    <row r="161" spans="1:25" s="603" customFormat="1" ht="15" customHeight="1">
      <c r="A161" s="663"/>
      <c r="B161" s="667"/>
      <c r="C161" s="270"/>
      <c r="D161" s="272"/>
      <c r="E161" s="30" t="s">
        <v>2270</v>
      </c>
      <c r="F161" s="805">
        <v>0</v>
      </c>
      <c r="G161" s="805">
        <v>0</v>
      </c>
      <c r="H161" s="805">
        <v>1.2364999999999999E-2</v>
      </c>
      <c r="I161" s="805">
        <v>4.0169999999999997E-2</v>
      </c>
      <c r="J161" s="805">
        <v>0.10398</v>
      </c>
      <c r="K161" s="805">
        <v>0.18354999999999999</v>
      </c>
      <c r="L161" s="805">
        <v>0.23199500000000001</v>
      </c>
      <c r="M161" s="805">
        <v>0.25</v>
      </c>
      <c r="N161" s="269"/>
      <c r="O161" s="248"/>
      <c r="P161" s="248"/>
      <c r="Q161" s="248"/>
      <c r="R161" s="248"/>
      <c r="S161" s="248"/>
      <c r="T161" s="248"/>
      <c r="U161" s="248"/>
      <c r="V161" s="248"/>
      <c r="W161" s="248"/>
      <c r="X161" s="248"/>
      <c r="Y161"/>
    </row>
    <row r="162" spans="1:25" s="603" customFormat="1" ht="15" customHeight="1">
      <c r="A162" s="663"/>
      <c r="B162" s="667"/>
      <c r="C162" s="270"/>
      <c r="D162" s="272"/>
      <c r="E162" s="12" t="s">
        <v>498</v>
      </c>
      <c r="F162" s="805">
        <v>0</v>
      </c>
      <c r="G162" s="805">
        <v>0</v>
      </c>
      <c r="H162" s="805">
        <v>8.5000000000000006E-5</v>
      </c>
      <c r="I162" s="805">
        <v>8.0000000000000004E-4</v>
      </c>
      <c r="J162" s="805">
        <v>4.1949999999999999E-3</v>
      </c>
      <c r="K162" s="805">
        <v>6.9849999999999999E-3</v>
      </c>
      <c r="L162" s="805">
        <v>7.45E-3</v>
      </c>
      <c r="M162" s="805">
        <v>7.4999999999999997E-3</v>
      </c>
      <c r="N162" s="269"/>
      <c r="O162" s="599"/>
      <c r="P162" s="248"/>
      <c r="Q162" s="248"/>
      <c r="R162" s="248"/>
      <c r="S162" s="248"/>
      <c r="T162" s="248"/>
      <c r="U162" s="248"/>
      <c r="V162" s="248"/>
      <c r="W162" s="248"/>
      <c r="X162" s="248"/>
      <c r="Y162"/>
    </row>
    <row r="163" spans="1:25" s="603" customFormat="1" ht="15" customHeight="1">
      <c r="A163" s="663"/>
      <c r="B163" s="667"/>
      <c r="C163" s="270"/>
      <c r="D163" s="272"/>
      <c r="E163" s="30" t="s">
        <v>908</v>
      </c>
      <c r="F163" s="810">
        <v>0</v>
      </c>
      <c r="G163" s="810">
        <v>0</v>
      </c>
      <c r="H163" s="810">
        <v>0</v>
      </c>
      <c r="I163" s="810">
        <v>0</v>
      </c>
      <c r="J163" s="810">
        <v>0</v>
      </c>
      <c r="K163" s="810">
        <v>0</v>
      </c>
      <c r="L163" s="810">
        <v>0</v>
      </c>
      <c r="M163" s="810">
        <v>0</v>
      </c>
      <c r="N163" s="269"/>
      <c r="O163" s="248"/>
      <c r="P163" s="248"/>
      <c r="Q163" s="248"/>
      <c r="R163" s="248"/>
      <c r="S163" s="248"/>
      <c r="T163" s="248"/>
      <c r="U163" s="248"/>
      <c r="V163" s="248"/>
      <c r="W163" s="248"/>
      <c r="X163" s="248"/>
      <c r="Y163"/>
    </row>
    <row r="164" spans="1:25" s="603" customFormat="1" ht="15" customHeight="1">
      <c r="A164" s="663"/>
      <c r="B164" s="667"/>
      <c r="C164" s="270"/>
      <c r="D164" s="272"/>
      <c r="E164" s="30" t="s">
        <v>909</v>
      </c>
      <c r="F164" s="1494">
        <v>0</v>
      </c>
      <c r="G164" s="1494">
        <v>0</v>
      </c>
      <c r="H164" s="1494">
        <v>0</v>
      </c>
      <c r="I164" s="1494">
        <v>0</v>
      </c>
      <c r="J164" s="1494">
        <v>0</v>
      </c>
      <c r="K164" s="1494">
        <v>0</v>
      </c>
      <c r="L164" s="1494">
        <v>0</v>
      </c>
      <c r="M164" s="1494">
        <v>0</v>
      </c>
      <c r="N164" s="269"/>
      <c r="O164" s="248"/>
      <c r="P164" s="248"/>
      <c r="Q164" s="248"/>
      <c r="R164" s="248"/>
      <c r="S164" s="248"/>
      <c r="T164" s="248"/>
      <c r="U164" s="248"/>
      <c r="V164" s="248"/>
      <c r="W164" s="248"/>
      <c r="X164" s="248"/>
    </row>
    <row r="165" spans="1:25" s="603" customFormat="1" ht="15" customHeight="1">
      <c r="A165" s="663"/>
      <c r="B165" s="667"/>
      <c r="C165" s="270"/>
      <c r="D165" s="272"/>
      <c r="E165" s="30" t="s">
        <v>894</v>
      </c>
      <c r="F165" s="805">
        <v>1.0349999999999999E-3</v>
      </c>
      <c r="G165" s="805">
        <v>3.0400000000000002E-3</v>
      </c>
      <c r="H165" s="805">
        <v>9.8150000000000008E-3</v>
      </c>
      <c r="I165" s="805">
        <v>1.8925000000000001E-2</v>
      </c>
      <c r="J165" s="805">
        <v>2.7310000000000001E-2</v>
      </c>
      <c r="K165" s="805">
        <v>3.9550000000000002E-2</v>
      </c>
      <c r="L165" s="805">
        <v>4.6815000000000002E-2</v>
      </c>
      <c r="M165" s="805">
        <v>0.05</v>
      </c>
      <c r="N165" s="269"/>
      <c r="O165" s="248"/>
      <c r="P165" s="248"/>
      <c r="Q165" s="248"/>
      <c r="R165" s="248"/>
      <c r="S165" s="248"/>
      <c r="T165" s="248"/>
      <c r="U165" s="248"/>
      <c r="V165" s="248"/>
      <c r="W165" s="248"/>
      <c r="X165" s="248"/>
    </row>
    <row r="166" spans="1:25" s="603" customFormat="1" ht="15" customHeight="1">
      <c r="A166" s="663"/>
      <c r="B166" s="667"/>
      <c r="C166" s="270"/>
      <c r="D166" s="272"/>
      <c r="E166" s="32" t="s">
        <v>603</v>
      </c>
      <c r="F166" s="798">
        <v>0</v>
      </c>
      <c r="G166" s="798">
        <v>0</v>
      </c>
      <c r="H166" s="798">
        <v>0</v>
      </c>
      <c r="I166" s="798">
        <v>0</v>
      </c>
      <c r="J166" s="798">
        <v>0</v>
      </c>
      <c r="K166" s="798">
        <v>0</v>
      </c>
      <c r="L166" s="798">
        <v>0</v>
      </c>
      <c r="M166" s="798">
        <v>0</v>
      </c>
      <c r="N166" s="269"/>
      <c r="O166" s="248"/>
      <c r="P166" s="248"/>
      <c r="Q166" s="248"/>
      <c r="R166" s="248"/>
      <c r="S166" s="248"/>
      <c r="T166" s="248"/>
      <c r="U166" s="248"/>
      <c r="V166" s="248"/>
      <c r="W166" s="248"/>
      <c r="X166" s="248"/>
      <c r="Y166"/>
    </row>
    <row r="167" spans="1:25" s="603" customFormat="1" ht="15" customHeight="1">
      <c r="A167" s="663"/>
      <c r="B167" s="667"/>
      <c r="C167" s="270"/>
      <c r="D167" s="12"/>
      <c r="E167" s="19"/>
      <c r="F167" s="752"/>
      <c r="G167" s="752"/>
      <c r="H167" s="752"/>
      <c r="I167" s="752"/>
      <c r="J167" s="752"/>
      <c r="K167" s="752"/>
      <c r="L167" s="752"/>
      <c r="M167" s="752"/>
      <c r="N167" s="267"/>
      <c r="O167" s="599"/>
      <c r="P167" s="248"/>
      <c r="Q167" s="248"/>
      <c r="R167" s="248"/>
      <c r="S167" s="248"/>
      <c r="T167" s="248"/>
      <c r="U167" s="248"/>
      <c r="V167" s="248"/>
      <c r="W167" s="248"/>
      <c r="X167" s="248"/>
      <c r="Y167"/>
    </row>
    <row r="168" spans="1:25" customFormat="1" ht="15" customHeight="1">
      <c r="A168" s="663"/>
      <c r="B168" s="667"/>
      <c r="D168" s="12"/>
      <c r="E168" s="261" t="s">
        <v>2375</v>
      </c>
      <c r="F168" s="752"/>
      <c r="G168" s="752"/>
      <c r="H168" s="752"/>
      <c r="I168" s="752"/>
      <c r="J168" s="752"/>
      <c r="K168" s="752"/>
      <c r="L168" s="752"/>
      <c r="M168" s="771" t="s">
        <v>788</v>
      </c>
      <c r="N168" s="267"/>
      <c r="O168" s="248"/>
      <c r="P168" s="248"/>
      <c r="Q168" s="248"/>
      <c r="R168" s="248"/>
      <c r="S168" s="248"/>
      <c r="T168" s="248"/>
      <c r="U168" s="248"/>
      <c r="V168" s="248"/>
      <c r="W168" s="248"/>
      <c r="X168" s="248"/>
    </row>
    <row r="169" spans="1:25" customFormat="1" ht="15" customHeight="1">
      <c r="A169" s="663"/>
      <c r="B169" s="667"/>
      <c r="D169" s="12"/>
      <c r="E169" s="268" t="s">
        <v>859</v>
      </c>
      <c r="F169" s="815">
        <v>2018</v>
      </c>
      <c r="G169" s="815">
        <v>2020</v>
      </c>
      <c r="H169" s="815">
        <v>2025</v>
      </c>
      <c r="I169" s="815">
        <v>2030</v>
      </c>
      <c r="J169" s="815">
        <v>2035</v>
      </c>
      <c r="K169" s="815">
        <v>2040</v>
      </c>
      <c r="L169" s="815">
        <v>2045</v>
      </c>
      <c r="M169" s="815">
        <v>2050</v>
      </c>
      <c r="N169" s="267"/>
      <c r="O169" s="248"/>
      <c r="P169" s="248"/>
      <c r="Q169" s="248"/>
      <c r="R169" s="248"/>
      <c r="S169" s="248"/>
      <c r="T169" s="248"/>
      <c r="U169" s="248"/>
      <c r="V169" s="248"/>
      <c r="W169" s="248"/>
      <c r="X169" s="248"/>
    </row>
    <row r="170" spans="1:25" customFormat="1" ht="15" customHeight="1">
      <c r="A170" s="663"/>
      <c r="B170" s="667"/>
      <c r="D170" s="12"/>
      <c r="E170" s="337" t="s">
        <v>2380</v>
      </c>
      <c r="F170" s="1516">
        <v>1</v>
      </c>
      <c r="G170" s="1516">
        <v>1</v>
      </c>
      <c r="H170" s="1516">
        <v>1</v>
      </c>
      <c r="I170" s="1516">
        <v>1</v>
      </c>
      <c r="J170" s="1516">
        <v>0.95</v>
      </c>
      <c r="K170" s="1516">
        <v>0.9</v>
      </c>
      <c r="L170" s="1516">
        <v>0.85</v>
      </c>
      <c r="M170" s="1516">
        <v>0.8</v>
      </c>
      <c r="N170" s="267"/>
      <c r="O170" s="599"/>
      <c r="P170" s="248"/>
      <c r="Q170" s="248"/>
      <c r="R170" s="248"/>
      <c r="S170" s="248"/>
      <c r="T170" s="248"/>
      <c r="U170" s="248"/>
      <c r="V170" s="248"/>
      <c r="W170" s="248"/>
      <c r="X170" s="248"/>
    </row>
    <row r="171" spans="1:25" customFormat="1" ht="15" customHeight="1">
      <c r="A171" s="663"/>
      <c r="B171" s="667"/>
      <c r="D171" s="12"/>
      <c r="E171" s="32" t="s">
        <v>2381</v>
      </c>
      <c r="F171" s="1274">
        <v>0.01</v>
      </c>
      <c r="G171" s="1274">
        <v>0.01</v>
      </c>
      <c r="H171" s="1274">
        <v>0.01</v>
      </c>
      <c r="I171" s="1274">
        <v>0.01</v>
      </c>
      <c r="J171" s="1517">
        <v>0.05</v>
      </c>
      <c r="K171" s="1517">
        <v>0.1</v>
      </c>
      <c r="L171" s="1517">
        <v>0.15</v>
      </c>
      <c r="M171" s="1517">
        <v>0.2</v>
      </c>
      <c r="N171" s="267"/>
      <c r="O171" s="248"/>
      <c r="P171" s="248"/>
      <c r="Q171" s="248"/>
      <c r="R171" s="248"/>
      <c r="S171" s="248"/>
      <c r="T171" s="248"/>
      <c r="U171" s="248"/>
      <c r="V171" s="248"/>
      <c r="W171" s="248"/>
      <c r="X171" s="248"/>
    </row>
    <row r="172" spans="1:25" customFormat="1" ht="15" customHeight="1">
      <c r="A172" s="663"/>
      <c r="B172" s="667"/>
      <c r="D172" s="12"/>
      <c r="E172" s="19"/>
      <c r="F172" s="752"/>
      <c r="G172" s="752"/>
      <c r="H172" s="752"/>
      <c r="I172" s="752"/>
      <c r="J172" s="752"/>
      <c r="K172" s="752"/>
      <c r="L172" s="752"/>
      <c r="M172" s="752"/>
      <c r="N172" s="267"/>
      <c r="O172" s="248"/>
      <c r="P172" s="248"/>
      <c r="Q172" s="248"/>
      <c r="R172" s="248"/>
      <c r="S172" s="248"/>
      <c r="T172" s="248"/>
      <c r="U172" s="248"/>
      <c r="V172" s="248"/>
      <c r="W172" s="248"/>
      <c r="X172" s="248"/>
    </row>
    <row r="173" spans="1:25" customFormat="1" ht="15" customHeight="1">
      <c r="A173" s="663"/>
      <c r="B173" s="667"/>
      <c r="D173" s="12"/>
      <c r="E173" s="263" t="s">
        <v>1729</v>
      </c>
      <c r="F173" s="752"/>
      <c r="G173" s="752"/>
      <c r="H173" s="752"/>
      <c r="I173" s="752"/>
      <c r="J173" s="752"/>
      <c r="K173" s="752"/>
      <c r="L173" s="752"/>
      <c r="M173" s="752"/>
      <c r="N173" s="267"/>
      <c r="O173" s="599"/>
      <c r="P173" s="248"/>
      <c r="Q173" s="248"/>
      <c r="R173" s="248"/>
      <c r="S173" s="248"/>
      <c r="T173" s="248"/>
      <c r="U173" s="248"/>
      <c r="V173" s="248"/>
      <c r="W173" s="248"/>
      <c r="X173" s="248"/>
    </row>
    <row r="174" spans="1:25" customFormat="1" ht="15" customHeight="1">
      <c r="A174" s="663"/>
      <c r="B174" s="667"/>
      <c r="D174" s="12"/>
      <c r="E174" s="19"/>
      <c r="F174" s="752"/>
      <c r="G174" s="752"/>
      <c r="H174" s="752"/>
      <c r="I174" s="752"/>
      <c r="J174" s="752"/>
      <c r="K174" s="752"/>
      <c r="L174" s="752"/>
      <c r="M174" s="752"/>
      <c r="N174" s="267"/>
      <c r="O174" s="248"/>
      <c r="P174" s="248"/>
      <c r="Q174" s="248"/>
      <c r="R174" s="248"/>
      <c r="S174" s="248"/>
      <c r="T174" s="248"/>
      <c r="U174" s="248"/>
      <c r="V174" s="248"/>
      <c r="W174" s="248"/>
      <c r="X174" s="248"/>
    </row>
    <row r="175" spans="1:25" customFormat="1" ht="15" customHeight="1">
      <c r="A175" s="663"/>
      <c r="B175" s="667"/>
      <c r="D175" s="12"/>
      <c r="E175" s="261" t="s">
        <v>2376</v>
      </c>
      <c r="F175" s="752"/>
      <c r="G175" s="752"/>
      <c r="H175" s="752"/>
      <c r="I175" s="752"/>
      <c r="J175" s="752"/>
      <c r="K175" s="752"/>
      <c r="L175" s="752"/>
      <c r="M175" s="771" t="s">
        <v>788</v>
      </c>
      <c r="N175" s="267"/>
      <c r="O175" s="248"/>
      <c r="P175" s="248"/>
      <c r="Q175" s="248"/>
      <c r="R175" s="248"/>
      <c r="S175" s="248"/>
      <c r="T175" s="248"/>
      <c r="U175" s="248"/>
      <c r="V175" s="248"/>
      <c r="W175" s="248"/>
      <c r="X175" s="248"/>
    </row>
    <row r="176" spans="1:25" customFormat="1" ht="15" customHeight="1">
      <c r="A176" s="663"/>
      <c r="B176" s="667"/>
      <c r="D176" s="12"/>
      <c r="E176" s="268" t="s">
        <v>859</v>
      </c>
      <c r="F176" s="848">
        <v>2018</v>
      </c>
      <c r="G176" s="848">
        <v>2020</v>
      </c>
      <c r="H176" s="848">
        <v>2025</v>
      </c>
      <c r="I176" s="848">
        <v>2030</v>
      </c>
      <c r="J176" s="848">
        <v>2035</v>
      </c>
      <c r="K176" s="848">
        <v>2040</v>
      </c>
      <c r="L176" s="848">
        <v>2045</v>
      </c>
      <c r="M176" s="848">
        <v>2050</v>
      </c>
      <c r="N176" s="267"/>
      <c r="O176" s="599"/>
      <c r="P176" s="248"/>
      <c r="Q176" s="248"/>
      <c r="R176" s="248"/>
      <c r="S176" s="248"/>
      <c r="T176" s="248"/>
      <c r="U176" s="248"/>
      <c r="V176" s="248"/>
      <c r="W176" s="248"/>
      <c r="X176" s="248"/>
    </row>
    <row r="177" spans="1:24" customFormat="1" ht="15" customHeight="1">
      <c r="A177" s="663"/>
      <c r="B177" s="667"/>
      <c r="D177" s="11"/>
      <c r="E177" s="337" t="s">
        <v>889</v>
      </c>
      <c r="F177" s="1516">
        <v>0.24727499999999999</v>
      </c>
      <c r="G177" s="1516">
        <v>0.14599000000000001</v>
      </c>
      <c r="H177" s="1516">
        <v>0.14560000000000001</v>
      </c>
      <c r="I177" s="1516">
        <v>0.13375500000000001</v>
      </c>
      <c r="J177" s="1516">
        <v>6.1800000000000001E-2</v>
      </c>
      <c r="K177" s="1516">
        <v>4.7000000000000002E-3</v>
      </c>
      <c r="L177" s="1516">
        <v>1.1E-4</v>
      </c>
      <c r="M177" s="1516">
        <v>0</v>
      </c>
      <c r="N177" s="269"/>
      <c r="O177" s="248"/>
      <c r="P177" s="248"/>
      <c r="Q177" s="248"/>
      <c r="R177" s="248"/>
      <c r="S177" s="248"/>
      <c r="T177" s="248"/>
      <c r="U177" s="248"/>
      <c r="V177" s="248"/>
      <c r="W177" s="248"/>
      <c r="X177" s="248"/>
    </row>
    <row r="178" spans="1:24" s="603" customFormat="1" ht="15" customHeight="1">
      <c r="A178" s="663"/>
      <c r="B178" s="667"/>
      <c r="C178" s="270"/>
      <c r="D178" s="11"/>
      <c r="E178" s="30" t="s">
        <v>890</v>
      </c>
      <c r="F178" s="805">
        <v>0.74337500000000001</v>
      </c>
      <c r="G178" s="805">
        <v>0.83328999999999998</v>
      </c>
      <c r="H178" s="805">
        <v>0.81411500000000003</v>
      </c>
      <c r="I178" s="805">
        <v>0.740985</v>
      </c>
      <c r="J178" s="805">
        <v>0.57942499999999997</v>
      </c>
      <c r="K178" s="805">
        <v>0.38469999999999999</v>
      </c>
      <c r="L178" s="805">
        <v>0.26920500000000003</v>
      </c>
      <c r="M178" s="805">
        <v>0.23315</v>
      </c>
      <c r="N178" s="269"/>
      <c r="O178" s="248"/>
      <c r="P178" s="248"/>
      <c r="Q178" s="248"/>
      <c r="R178" s="248"/>
      <c r="S178" s="248"/>
      <c r="T178" s="248"/>
      <c r="U178" s="248"/>
      <c r="V178" s="248"/>
      <c r="W178" s="248"/>
      <c r="X178" s="248"/>
    </row>
    <row r="179" spans="1:24" s="603" customFormat="1" ht="15" customHeight="1">
      <c r="A179" s="663"/>
      <c r="B179" s="667"/>
      <c r="C179" s="270"/>
      <c r="D179" s="272"/>
      <c r="E179" s="30" t="s">
        <v>2379</v>
      </c>
      <c r="F179" s="805">
        <v>8.3149999999999995E-3</v>
      </c>
      <c r="G179" s="805">
        <v>1.0755000000000001E-2</v>
      </c>
      <c r="H179" s="805">
        <v>1.7579999999999998E-2</v>
      </c>
      <c r="I179" s="805">
        <v>5.4780000000000002E-2</v>
      </c>
      <c r="J179" s="805">
        <v>0.15809999999999999</v>
      </c>
      <c r="K179" s="805">
        <v>0.23643</v>
      </c>
      <c r="L179" s="805">
        <v>0.25609500000000002</v>
      </c>
      <c r="M179" s="805">
        <v>0.25935000000000002</v>
      </c>
      <c r="N179" s="269"/>
      <c r="O179" s="599"/>
      <c r="P179" s="248"/>
      <c r="Q179" s="248"/>
      <c r="R179" s="248"/>
      <c r="S179" s="248"/>
      <c r="T179" s="248"/>
      <c r="U179" s="248"/>
      <c r="V179" s="248"/>
      <c r="W179" s="248"/>
      <c r="X179" s="248"/>
    </row>
    <row r="180" spans="1:24" s="603" customFormat="1" ht="15" customHeight="1">
      <c r="A180" s="663"/>
      <c r="B180" s="667"/>
      <c r="C180" s="270"/>
      <c r="D180" s="272"/>
      <c r="E180" s="30" t="s">
        <v>2270</v>
      </c>
      <c r="F180" s="805">
        <v>0</v>
      </c>
      <c r="G180" s="805">
        <v>0</v>
      </c>
      <c r="H180" s="805">
        <v>1.2805E-2</v>
      </c>
      <c r="I180" s="805">
        <v>5.0075000000000001E-2</v>
      </c>
      <c r="J180" s="805">
        <v>0.15576000000000001</v>
      </c>
      <c r="K180" s="805">
        <v>0.306645</v>
      </c>
      <c r="L180" s="805">
        <v>0.39610000000000001</v>
      </c>
      <c r="M180" s="805">
        <v>0.42499999999999999</v>
      </c>
      <c r="N180" s="269"/>
      <c r="O180" s="248"/>
      <c r="P180" s="248"/>
      <c r="Q180" s="248"/>
      <c r="R180" s="248"/>
      <c r="S180" s="248"/>
      <c r="T180" s="248"/>
      <c r="U180" s="248"/>
      <c r="V180" s="248"/>
      <c r="W180" s="248"/>
      <c r="X180" s="248"/>
    </row>
    <row r="181" spans="1:24" s="603" customFormat="1" ht="15" customHeight="1">
      <c r="A181" s="663"/>
      <c r="B181" s="667"/>
      <c r="C181" s="270"/>
      <c r="D181" s="272"/>
      <c r="E181" s="12" t="s">
        <v>498</v>
      </c>
      <c r="F181" s="805">
        <v>0</v>
      </c>
      <c r="G181" s="805">
        <v>0</v>
      </c>
      <c r="H181" s="805">
        <v>8.5000000000000006E-5</v>
      </c>
      <c r="I181" s="805">
        <v>8.0000000000000004E-4</v>
      </c>
      <c r="J181" s="805">
        <v>4.1949999999999999E-3</v>
      </c>
      <c r="K181" s="805">
        <v>6.9849999999999999E-3</v>
      </c>
      <c r="L181" s="805">
        <v>7.45E-3</v>
      </c>
      <c r="M181" s="805">
        <v>7.4999999999999997E-3</v>
      </c>
      <c r="N181" s="269"/>
      <c r="O181" s="248"/>
      <c r="P181" s="248"/>
      <c r="Q181" s="248"/>
      <c r="R181" s="248"/>
      <c r="S181" s="248"/>
      <c r="T181" s="248"/>
      <c r="U181" s="248"/>
      <c r="V181" s="248"/>
      <c r="W181" s="248"/>
      <c r="X181" s="248"/>
    </row>
    <row r="182" spans="1:24" s="603" customFormat="1" ht="15" customHeight="1">
      <c r="A182" s="663"/>
      <c r="B182" s="667"/>
      <c r="C182" s="270"/>
      <c r="D182" s="272"/>
      <c r="E182" s="30" t="s">
        <v>908</v>
      </c>
      <c r="F182" s="810">
        <v>0</v>
      </c>
      <c r="G182" s="810">
        <v>0</v>
      </c>
      <c r="H182" s="810">
        <v>0</v>
      </c>
      <c r="I182" s="810">
        <v>0</v>
      </c>
      <c r="J182" s="810">
        <v>0</v>
      </c>
      <c r="K182" s="810">
        <v>0</v>
      </c>
      <c r="L182" s="810">
        <v>0</v>
      </c>
      <c r="M182" s="810">
        <v>0</v>
      </c>
      <c r="N182" s="269"/>
      <c r="O182" s="599"/>
      <c r="P182" s="248"/>
      <c r="Q182" s="248"/>
      <c r="R182" s="248"/>
      <c r="S182" s="248"/>
      <c r="T182" s="248"/>
      <c r="U182" s="248"/>
      <c r="V182" s="248"/>
      <c r="W182" s="248"/>
      <c r="X182" s="248"/>
    </row>
    <row r="183" spans="1:24" s="603" customFormat="1" ht="15" customHeight="1">
      <c r="A183" s="663"/>
      <c r="B183" s="667"/>
      <c r="C183" s="270"/>
      <c r="D183" s="272"/>
      <c r="E183" s="30" t="s">
        <v>909</v>
      </c>
      <c r="F183" s="1494">
        <v>0</v>
      </c>
      <c r="G183" s="1494">
        <v>0</v>
      </c>
      <c r="H183" s="1494">
        <v>0</v>
      </c>
      <c r="I183" s="1494">
        <v>0</v>
      </c>
      <c r="J183" s="1494">
        <v>0</v>
      </c>
      <c r="K183" s="1494">
        <v>0</v>
      </c>
      <c r="L183" s="1494">
        <v>0</v>
      </c>
      <c r="M183" s="1494">
        <v>0</v>
      </c>
      <c r="N183" s="269"/>
      <c r="O183" s="248"/>
      <c r="P183" s="248"/>
      <c r="Q183" s="248"/>
      <c r="R183" s="248"/>
      <c r="S183" s="248"/>
      <c r="T183" s="248"/>
      <c r="U183" s="248"/>
      <c r="V183" s="248"/>
      <c r="W183" s="248"/>
      <c r="X183" s="248"/>
    </row>
    <row r="184" spans="1:24" s="603" customFormat="1" ht="15" customHeight="1">
      <c r="A184" s="663"/>
      <c r="B184" s="667"/>
      <c r="C184" s="270"/>
      <c r="D184" s="272"/>
      <c r="E184" s="30" t="s">
        <v>894</v>
      </c>
      <c r="F184" s="805">
        <v>1.0349999999999999E-3</v>
      </c>
      <c r="G184" s="805">
        <v>3.0400000000000002E-3</v>
      </c>
      <c r="H184" s="805">
        <v>9.8150000000000008E-3</v>
      </c>
      <c r="I184" s="805">
        <v>1.9605000000000001E-2</v>
      </c>
      <c r="J184" s="805">
        <v>4.0719999999999999E-2</v>
      </c>
      <c r="K184" s="805">
        <v>6.0534999999999999E-2</v>
      </c>
      <c r="L184" s="805">
        <v>7.1044999999999997E-2</v>
      </c>
      <c r="M184" s="805">
        <v>7.4999999999999997E-2</v>
      </c>
      <c r="N184" s="269"/>
      <c r="O184" s="248"/>
      <c r="P184" s="248"/>
      <c r="Q184" s="248"/>
      <c r="R184" s="248"/>
      <c r="S184" s="248"/>
      <c r="T184" s="248"/>
      <c r="U184" s="248"/>
      <c r="V184" s="248"/>
      <c r="W184" s="248"/>
      <c r="X184" s="248"/>
    </row>
    <row r="185" spans="1:24" s="603" customFormat="1" ht="15" customHeight="1">
      <c r="A185" s="663"/>
      <c r="B185" s="667"/>
      <c r="C185" s="270"/>
      <c r="D185" s="272"/>
      <c r="E185" s="32" t="s">
        <v>603</v>
      </c>
      <c r="F185" s="798">
        <v>0</v>
      </c>
      <c r="G185" s="798">
        <v>0</v>
      </c>
      <c r="H185" s="798">
        <v>0</v>
      </c>
      <c r="I185" s="798">
        <v>0</v>
      </c>
      <c r="J185" s="798">
        <v>0</v>
      </c>
      <c r="K185" s="798">
        <v>0</v>
      </c>
      <c r="L185" s="798">
        <v>0</v>
      </c>
      <c r="M185" s="798">
        <v>0</v>
      </c>
      <c r="N185" s="269"/>
      <c r="O185" s="599"/>
      <c r="P185" s="248"/>
      <c r="Q185" s="248"/>
      <c r="R185" s="248"/>
      <c r="S185" s="248"/>
      <c r="T185" s="248"/>
      <c r="U185" s="248"/>
      <c r="V185" s="248"/>
      <c r="W185" s="248"/>
      <c r="X185" s="248"/>
    </row>
    <row r="186" spans="1:24" s="603" customFormat="1" ht="15" customHeight="1">
      <c r="A186" s="663"/>
      <c r="B186" s="667"/>
      <c r="C186" s="270"/>
      <c r="D186" s="11"/>
      <c r="E186" s="19"/>
      <c r="F186" s="752"/>
      <c r="G186" s="752"/>
      <c r="H186" s="752"/>
      <c r="I186" s="752"/>
      <c r="J186" s="752"/>
      <c r="K186" s="752"/>
      <c r="L186" s="752"/>
      <c r="M186" s="752"/>
      <c r="N186" s="271"/>
      <c r="O186" s="248"/>
      <c r="P186" s="248"/>
      <c r="Q186" s="248"/>
      <c r="R186" s="248"/>
      <c r="S186" s="248"/>
      <c r="T186" s="248"/>
      <c r="U186" s="248"/>
      <c r="V186" s="248"/>
      <c r="W186" s="248"/>
      <c r="X186" s="248"/>
    </row>
    <row r="187" spans="1:24" s="603" customFormat="1" ht="15" customHeight="1">
      <c r="A187" s="663"/>
      <c r="B187" s="667"/>
      <c r="C187" s="270"/>
      <c r="D187" s="11"/>
      <c r="E187" s="261" t="s">
        <v>2375</v>
      </c>
      <c r="F187" s="752"/>
      <c r="G187" s="752"/>
      <c r="H187" s="752"/>
      <c r="I187" s="752"/>
      <c r="J187" s="752"/>
      <c r="K187" s="752"/>
      <c r="L187" s="752"/>
      <c r="M187" s="771" t="s">
        <v>788</v>
      </c>
      <c r="N187" s="271"/>
      <c r="O187" s="248"/>
      <c r="P187" s="248"/>
      <c r="Q187" s="248"/>
      <c r="R187" s="248"/>
      <c r="S187" s="248"/>
      <c r="T187" s="248"/>
      <c r="U187" s="248"/>
      <c r="V187" s="248"/>
      <c r="W187" s="248"/>
      <c r="X187" s="248"/>
    </row>
    <row r="188" spans="1:24" s="603" customFormat="1" ht="15" customHeight="1">
      <c r="A188" s="663"/>
      <c r="B188" s="667"/>
      <c r="C188" s="270"/>
      <c r="D188" s="272"/>
      <c r="E188" s="268" t="s">
        <v>859</v>
      </c>
      <c r="F188" s="815">
        <v>2018</v>
      </c>
      <c r="G188" s="815">
        <v>2020</v>
      </c>
      <c r="H188" s="815">
        <v>2025</v>
      </c>
      <c r="I188" s="815">
        <v>2030</v>
      </c>
      <c r="J188" s="815">
        <v>2035</v>
      </c>
      <c r="K188" s="815">
        <v>2040</v>
      </c>
      <c r="L188" s="815">
        <v>2045</v>
      </c>
      <c r="M188" s="815">
        <v>2050</v>
      </c>
      <c r="N188" s="271"/>
      <c r="O188" s="599"/>
      <c r="P188" s="248"/>
      <c r="Q188" s="248"/>
      <c r="R188" s="248"/>
      <c r="S188" s="248"/>
      <c r="T188" s="248"/>
      <c r="U188" s="248"/>
      <c r="V188" s="248"/>
      <c r="W188" s="248"/>
      <c r="X188" s="248"/>
    </row>
    <row r="189" spans="1:24" s="603" customFormat="1" ht="15" customHeight="1">
      <c r="A189" s="663"/>
      <c r="B189" s="667"/>
      <c r="C189" s="270"/>
      <c r="D189" s="272"/>
      <c r="E189" s="337" t="s">
        <v>2380</v>
      </c>
      <c r="F189" s="1516">
        <v>1</v>
      </c>
      <c r="G189" s="1516">
        <v>1</v>
      </c>
      <c r="H189" s="1516">
        <v>1</v>
      </c>
      <c r="I189" s="1516">
        <v>1</v>
      </c>
      <c r="J189" s="1516">
        <v>0.95</v>
      </c>
      <c r="K189" s="1516">
        <v>0.9</v>
      </c>
      <c r="L189" s="1516">
        <v>0.85</v>
      </c>
      <c r="M189" s="1516">
        <v>0.8</v>
      </c>
      <c r="N189" s="271"/>
      <c r="O189" s="248"/>
      <c r="P189" s="248"/>
      <c r="Q189" s="248"/>
      <c r="R189" s="248"/>
      <c r="S189" s="248"/>
      <c r="T189" s="248"/>
      <c r="U189" s="248"/>
      <c r="V189" s="248"/>
      <c r="W189" s="248"/>
      <c r="X189" s="248"/>
    </row>
    <row r="190" spans="1:24" s="603" customFormat="1" ht="15" customHeight="1">
      <c r="A190" s="663"/>
      <c r="B190" s="667"/>
      <c r="C190" s="270"/>
      <c r="D190" s="272"/>
      <c r="E190" s="32" t="s">
        <v>2381</v>
      </c>
      <c r="F190" s="1274">
        <v>0.01</v>
      </c>
      <c r="G190" s="1274">
        <v>0.01</v>
      </c>
      <c r="H190" s="1274">
        <v>0.01</v>
      </c>
      <c r="I190" s="1274">
        <v>0.01</v>
      </c>
      <c r="J190" s="1517">
        <v>0.05</v>
      </c>
      <c r="K190" s="1517">
        <v>0.1</v>
      </c>
      <c r="L190" s="1517">
        <v>0.15</v>
      </c>
      <c r="M190" s="1517">
        <v>0.2</v>
      </c>
      <c r="N190" s="271"/>
      <c r="O190" s="248"/>
      <c r="P190" s="248"/>
      <c r="Q190" s="248"/>
      <c r="R190" s="248"/>
      <c r="S190" s="248"/>
      <c r="T190" s="248"/>
      <c r="U190" s="248"/>
      <c r="V190" s="248"/>
      <c r="W190" s="248"/>
      <c r="X190" s="248"/>
    </row>
    <row r="191" spans="1:24" s="603" customFormat="1" ht="15" customHeight="1">
      <c r="A191" s="663"/>
      <c r="B191" s="667"/>
      <c r="C191" s="270"/>
      <c r="D191" s="272"/>
      <c r="E191" s="277"/>
      <c r="F191" s="752"/>
      <c r="G191" s="799"/>
      <c r="H191" s="799"/>
      <c r="I191" s="799"/>
      <c r="J191" s="799"/>
      <c r="K191" s="799"/>
      <c r="L191" s="799"/>
      <c r="M191" s="799"/>
      <c r="N191" s="271"/>
      <c r="O191" s="599"/>
      <c r="P191" s="248"/>
      <c r="Q191" s="248"/>
      <c r="R191" s="248"/>
      <c r="S191" s="248"/>
      <c r="T191" s="248"/>
      <c r="U191" s="248"/>
      <c r="V191" s="248"/>
      <c r="W191" s="248"/>
      <c r="X191" s="248"/>
    </row>
    <row r="192" spans="1:24" customFormat="1" ht="15" customHeight="1">
      <c r="A192" s="663"/>
      <c r="B192" s="667"/>
      <c r="D192" s="272"/>
      <c r="E192" s="263" t="s">
        <v>1730</v>
      </c>
      <c r="F192" s="752"/>
      <c r="G192" s="752"/>
      <c r="H192" s="752"/>
      <c r="I192" s="752"/>
      <c r="J192" s="752"/>
      <c r="K192" s="752"/>
      <c r="L192" s="752"/>
      <c r="M192" s="752"/>
      <c r="N192" s="271"/>
      <c r="O192" s="248"/>
      <c r="P192" s="248"/>
      <c r="Q192" s="248"/>
      <c r="R192" s="248"/>
      <c r="S192" s="248"/>
      <c r="T192" s="248"/>
      <c r="U192" s="248"/>
      <c r="V192" s="248"/>
      <c r="W192" s="248"/>
      <c r="X192" s="248"/>
    </row>
    <row r="193" spans="1:24" customFormat="1" ht="15" customHeight="1">
      <c r="A193" s="663"/>
      <c r="B193" s="667"/>
      <c r="D193" s="11"/>
      <c r="E193" s="19"/>
      <c r="F193" s="752"/>
      <c r="G193" s="752"/>
      <c r="H193" s="752"/>
      <c r="I193" s="752"/>
      <c r="J193" s="752"/>
      <c r="K193" s="752"/>
      <c r="L193" s="752"/>
      <c r="M193" s="752"/>
      <c r="N193" s="12"/>
      <c r="O193" s="248"/>
      <c r="P193" s="248"/>
      <c r="Q193" s="248"/>
      <c r="R193" s="248"/>
      <c r="S193" s="248"/>
      <c r="T193" s="248"/>
      <c r="U193" s="248"/>
      <c r="V193" s="248"/>
      <c r="W193" s="248"/>
      <c r="X193" s="248"/>
    </row>
    <row r="194" spans="1:24" customFormat="1" ht="15" customHeight="1">
      <c r="A194" s="663"/>
      <c r="B194" s="667"/>
      <c r="D194" s="12"/>
      <c r="E194" s="261" t="s">
        <v>2376</v>
      </c>
      <c r="F194" s="752"/>
      <c r="G194" s="752"/>
      <c r="H194" s="752"/>
      <c r="I194" s="752"/>
      <c r="J194" s="752"/>
      <c r="K194" s="752"/>
      <c r="L194" s="752"/>
      <c r="M194" s="771" t="s">
        <v>788</v>
      </c>
      <c r="N194" s="12"/>
      <c r="O194" s="599"/>
      <c r="P194" s="248"/>
      <c r="Q194" s="248"/>
      <c r="R194" s="248"/>
      <c r="S194" s="248"/>
      <c r="T194" s="248"/>
      <c r="U194" s="248"/>
      <c r="V194" s="248"/>
      <c r="W194" s="248"/>
      <c r="X194" s="248"/>
    </row>
    <row r="195" spans="1:24" s="603" customFormat="1" ht="15" customHeight="1">
      <c r="A195" s="663"/>
      <c r="B195" s="667"/>
      <c r="C195" s="270"/>
      <c r="D195" s="12"/>
      <c r="E195" s="268" t="s">
        <v>859</v>
      </c>
      <c r="F195" s="848">
        <v>2018</v>
      </c>
      <c r="G195" s="848">
        <v>2020</v>
      </c>
      <c r="H195" s="848">
        <v>2025</v>
      </c>
      <c r="I195" s="848">
        <v>2030</v>
      </c>
      <c r="J195" s="848">
        <v>2035</v>
      </c>
      <c r="K195" s="848">
        <v>2040</v>
      </c>
      <c r="L195" s="848">
        <v>2045</v>
      </c>
      <c r="M195" s="848">
        <v>2050</v>
      </c>
      <c r="N195" s="12"/>
      <c r="O195" s="248"/>
      <c r="P195" s="248"/>
      <c r="Q195" s="248"/>
      <c r="R195" s="248"/>
      <c r="S195" s="248"/>
      <c r="T195" s="248"/>
      <c r="U195" s="248"/>
      <c r="V195" s="248"/>
      <c r="W195" s="248"/>
      <c r="X195" s="248"/>
    </row>
    <row r="196" spans="1:24" s="603" customFormat="1" ht="15" customHeight="1">
      <c r="A196" s="663"/>
      <c r="B196" s="667"/>
      <c r="C196" s="270"/>
      <c r="D196" s="11"/>
      <c r="E196" s="337" t="s">
        <v>889</v>
      </c>
      <c r="F196" s="1516">
        <v>0.24727499999999999</v>
      </c>
      <c r="G196" s="1516">
        <v>0.15287500000000001</v>
      </c>
      <c r="H196" s="1516">
        <v>0.14560000000000001</v>
      </c>
      <c r="I196" s="1516">
        <v>0.13375500000000001</v>
      </c>
      <c r="J196" s="1516">
        <v>6.1800000000000001E-2</v>
      </c>
      <c r="K196" s="1516">
        <v>4.7000000000000002E-3</v>
      </c>
      <c r="L196" s="1516">
        <v>1.1E-4</v>
      </c>
      <c r="M196" s="1516">
        <v>0</v>
      </c>
      <c r="N196" s="269"/>
      <c r="O196" s="248"/>
      <c r="P196" s="248"/>
      <c r="Q196" s="248"/>
      <c r="R196" s="248"/>
      <c r="S196" s="248"/>
      <c r="T196" s="248"/>
      <c r="U196" s="248"/>
      <c r="V196" s="248"/>
      <c r="W196" s="248"/>
      <c r="X196" s="248"/>
    </row>
    <row r="197" spans="1:24" s="603" customFormat="1" ht="15" customHeight="1">
      <c r="A197" s="663"/>
      <c r="B197" s="667"/>
      <c r="C197" s="270"/>
      <c r="D197" s="11"/>
      <c r="E197" s="30" t="s">
        <v>890</v>
      </c>
      <c r="F197" s="805">
        <v>0.74337500000000001</v>
      </c>
      <c r="G197" s="805">
        <v>0.83343500000000004</v>
      </c>
      <c r="H197" s="805">
        <v>0.814195</v>
      </c>
      <c r="I197" s="805">
        <v>0.73314500000000005</v>
      </c>
      <c r="J197" s="805">
        <v>0.56294500000000003</v>
      </c>
      <c r="K197" s="805">
        <v>0.36207499999999998</v>
      </c>
      <c r="L197" s="805">
        <v>0.24457000000000001</v>
      </c>
      <c r="M197" s="805">
        <v>0.20810999999999999</v>
      </c>
      <c r="N197" s="269"/>
      <c r="O197" s="599"/>
      <c r="P197" s="248"/>
      <c r="Q197" s="248"/>
      <c r="R197" s="248"/>
      <c r="S197" s="248"/>
      <c r="T197" s="248"/>
      <c r="U197" s="248"/>
      <c r="V197" s="248"/>
      <c r="W197" s="248"/>
      <c r="X197" s="248"/>
    </row>
    <row r="198" spans="1:24" s="603" customFormat="1" ht="15" customHeight="1">
      <c r="A198" s="663"/>
      <c r="B198" s="667"/>
      <c r="C198" s="270"/>
      <c r="D198" s="272"/>
      <c r="E198" s="30" t="s">
        <v>2379</v>
      </c>
      <c r="F198" s="805">
        <v>8.3149999999999995E-3</v>
      </c>
      <c r="G198" s="805">
        <v>1.065E-2</v>
      </c>
      <c r="H198" s="805">
        <v>1.7500000000000002E-2</v>
      </c>
      <c r="I198" s="805">
        <v>5.4725000000000003E-2</v>
      </c>
      <c r="J198" s="805">
        <v>0.15806500000000001</v>
      </c>
      <c r="K198" s="805">
        <v>0.23641999999999999</v>
      </c>
      <c r="L198" s="805">
        <v>0.25611</v>
      </c>
      <c r="M198" s="805">
        <v>0.25939000000000001</v>
      </c>
      <c r="N198" s="269"/>
      <c r="O198" s="248"/>
      <c r="P198" s="248"/>
      <c r="Q198" s="248"/>
      <c r="R198" s="248"/>
      <c r="S198" s="248"/>
      <c r="T198" s="248"/>
      <c r="U198" s="248"/>
      <c r="V198" s="248"/>
      <c r="W198" s="248"/>
      <c r="X198" s="248"/>
    </row>
    <row r="199" spans="1:24" s="603" customFormat="1" ht="15" customHeight="1">
      <c r="A199" s="663"/>
      <c r="B199" s="667"/>
      <c r="C199" s="270"/>
      <c r="D199" s="272"/>
      <c r="E199" s="30" t="s">
        <v>2270</v>
      </c>
      <c r="F199" s="805">
        <v>0</v>
      </c>
      <c r="G199" s="805">
        <v>0</v>
      </c>
      <c r="H199" s="805">
        <v>1.2805E-2</v>
      </c>
      <c r="I199" s="805">
        <v>5.0075000000000001E-2</v>
      </c>
      <c r="J199" s="805">
        <v>0.15576000000000001</v>
      </c>
      <c r="K199" s="805">
        <v>0.306645</v>
      </c>
      <c r="L199" s="805">
        <v>0.39610000000000001</v>
      </c>
      <c r="M199" s="805">
        <v>0.42499999999999999</v>
      </c>
      <c r="N199" s="269"/>
      <c r="O199" s="248"/>
      <c r="P199" s="248"/>
      <c r="Q199" s="248"/>
      <c r="R199" s="248"/>
      <c r="S199" s="248"/>
      <c r="T199" s="248"/>
      <c r="U199" s="248"/>
      <c r="V199" s="248"/>
      <c r="W199" s="248"/>
      <c r="X199" s="248"/>
    </row>
    <row r="200" spans="1:24" s="603" customFormat="1" ht="15" customHeight="1">
      <c r="A200" s="663"/>
      <c r="B200" s="667"/>
      <c r="C200" s="270"/>
      <c r="D200" s="272"/>
      <c r="E200" s="12" t="s">
        <v>498</v>
      </c>
      <c r="F200" s="805">
        <v>0</v>
      </c>
      <c r="G200" s="805">
        <v>0</v>
      </c>
      <c r="H200" s="805">
        <v>8.5000000000000006E-5</v>
      </c>
      <c r="I200" s="805">
        <v>8.0000000000000004E-4</v>
      </c>
      <c r="J200" s="805">
        <v>4.1949999999999999E-3</v>
      </c>
      <c r="K200" s="805">
        <v>6.9849999999999999E-3</v>
      </c>
      <c r="L200" s="805">
        <v>7.45E-3</v>
      </c>
      <c r="M200" s="805">
        <v>7.4999999999999997E-3</v>
      </c>
      <c r="N200" s="269"/>
      <c r="O200" s="248"/>
      <c r="P200" s="248"/>
      <c r="Q200" s="248"/>
      <c r="R200" s="248"/>
      <c r="S200" s="248"/>
      <c r="T200" s="248"/>
      <c r="U200" s="248"/>
      <c r="V200" s="248"/>
      <c r="W200" s="248"/>
      <c r="X200" s="248"/>
    </row>
    <row r="201" spans="1:24" s="603" customFormat="1" ht="15" customHeight="1">
      <c r="A201" s="663"/>
      <c r="B201" s="667"/>
      <c r="C201" s="270"/>
      <c r="D201" s="272"/>
      <c r="E201" s="30" t="s">
        <v>908</v>
      </c>
      <c r="F201" s="810">
        <v>0</v>
      </c>
      <c r="G201" s="810">
        <v>0</v>
      </c>
      <c r="H201" s="810">
        <v>0</v>
      </c>
      <c r="I201" s="810">
        <v>0</v>
      </c>
      <c r="J201" s="810">
        <v>0</v>
      </c>
      <c r="K201" s="810">
        <v>0</v>
      </c>
      <c r="L201" s="810">
        <v>0</v>
      </c>
      <c r="M201" s="810">
        <v>0</v>
      </c>
      <c r="N201" s="269"/>
      <c r="O201" s="248"/>
      <c r="P201" s="248"/>
      <c r="Q201" s="248"/>
      <c r="R201" s="248"/>
      <c r="S201" s="248"/>
      <c r="T201" s="248"/>
      <c r="U201" s="248"/>
      <c r="V201" s="248"/>
      <c r="W201" s="248"/>
      <c r="X201" s="248"/>
    </row>
    <row r="202" spans="1:24" s="603" customFormat="1" ht="15" customHeight="1">
      <c r="A202" s="663"/>
      <c r="B202" s="667"/>
      <c r="C202" s="270"/>
      <c r="D202" s="272"/>
      <c r="E202" s="30" t="s">
        <v>909</v>
      </c>
      <c r="F202" s="1494">
        <v>0</v>
      </c>
      <c r="G202" s="1494">
        <v>0</v>
      </c>
      <c r="H202" s="1494">
        <v>0</v>
      </c>
      <c r="I202" s="1494">
        <v>0</v>
      </c>
      <c r="J202" s="1494">
        <v>0</v>
      </c>
      <c r="K202" s="1494">
        <v>0</v>
      </c>
      <c r="L202" s="1494">
        <v>0</v>
      </c>
      <c r="M202" s="1494">
        <v>0</v>
      </c>
      <c r="N202" s="269"/>
      <c r="O202" s="599"/>
      <c r="P202" s="248"/>
      <c r="Q202" s="248"/>
      <c r="R202" s="248"/>
      <c r="S202" s="248"/>
      <c r="T202" s="248"/>
      <c r="U202" s="248"/>
      <c r="V202" s="248"/>
      <c r="W202" s="248"/>
      <c r="X202" s="248"/>
    </row>
    <row r="203" spans="1:24" s="603" customFormat="1" ht="15" customHeight="1">
      <c r="A203" s="663"/>
      <c r="B203" s="667"/>
      <c r="C203" s="270"/>
      <c r="D203" s="272"/>
      <c r="E203" s="30" t="s">
        <v>894</v>
      </c>
      <c r="F203" s="805">
        <v>1.0349999999999999E-3</v>
      </c>
      <c r="G203" s="805">
        <v>3.0400000000000002E-3</v>
      </c>
      <c r="H203" s="805">
        <v>9.8150000000000008E-3</v>
      </c>
      <c r="I203" s="805">
        <v>2.75E-2</v>
      </c>
      <c r="J203" s="805">
        <v>5.7235000000000001E-2</v>
      </c>
      <c r="K203" s="805">
        <v>8.3169999999999994E-2</v>
      </c>
      <c r="L203" s="805">
        <v>9.5665E-2</v>
      </c>
      <c r="M203" s="805">
        <v>0.1</v>
      </c>
      <c r="N203" s="269"/>
      <c r="O203" s="248"/>
      <c r="P203" s="248"/>
      <c r="Q203" s="248"/>
      <c r="R203" s="248"/>
      <c r="S203" s="248"/>
      <c r="T203" s="248"/>
      <c r="U203" s="248"/>
      <c r="V203" s="248"/>
      <c r="W203" s="248"/>
      <c r="X203" s="248"/>
    </row>
    <row r="204" spans="1:24" customFormat="1" ht="15" customHeight="1">
      <c r="A204" s="663"/>
      <c r="B204" s="667"/>
      <c r="D204" s="272"/>
      <c r="E204" s="32" t="s">
        <v>603</v>
      </c>
      <c r="F204" s="798">
        <v>0</v>
      </c>
      <c r="G204" s="798">
        <v>0</v>
      </c>
      <c r="H204" s="798">
        <v>0</v>
      </c>
      <c r="I204" s="798">
        <v>0</v>
      </c>
      <c r="J204" s="798">
        <v>0</v>
      </c>
      <c r="K204" s="798">
        <v>0</v>
      </c>
      <c r="L204" s="798">
        <v>0</v>
      </c>
      <c r="M204" s="798">
        <v>0</v>
      </c>
      <c r="N204" s="269"/>
      <c r="O204" s="248"/>
      <c r="P204" s="248"/>
      <c r="Q204" s="248"/>
      <c r="R204" s="248"/>
      <c r="S204" s="248"/>
      <c r="T204" s="248"/>
      <c r="U204" s="248"/>
      <c r="V204" s="248"/>
      <c r="W204" s="248"/>
      <c r="X204" s="248"/>
    </row>
    <row r="205" spans="1:24" customFormat="1" ht="15" customHeight="1">
      <c r="A205" s="663"/>
      <c r="B205" s="667"/>
      <c r="D205" s="12"/>
      <c r="E205" s="19"/>
      <c r="F205" s="752"/>
      <c r="G205" s="752"/>
      <c r="H205" s="752"/>
      <c r="I205" s="752"/>
      <c r="J205" s="752"/>
      <c r="K205" s="752"/>
      <c r="L205" s="752"/>
      <c r="M205" s="752"/>
      <c r="N205" s="267"/>
      <c r="O205" s="599"/>
      <c r="P205" s="248"/>
      <c r="Q205" s="248"/>
      <c r="R205" s="248"/>
      <c r="S205" s="248"/>
      <c r="T205" s="248"/>
      <c r="U205" s="248"/>
      <c r="V205" s="248"/>
      <c r="W205" s="248"/>
      <c r="X205" s="248"/>
    </row>
    <row r="206" spans="1:24" s="603" customFormat="1" ht="15" customHeight="1">
      <c r="A206" s="663"/>
      <c r="B206" s="667"/>
      <c r="C206" s="270"/>
      <c r="D206" s="12"/>
      <c r="E206" s="261" t="s">
        <v>2375</v>
      </c>
      <c r="F206" s="752"/>
      <c r="G206" s="752"/>
      <c r="H206" s="752"/>
      <c r="I206" s="752"/>
      <c r="J206" s="752"/>
      <c r="K206" s="752"/>
      <c r="L206" s="752"/>
      <c r="M206" s="771" t="s">
        <v>788</v>
      </c>
      <c r="N206" s="12"/>
      <c r="O206" s="248"/>
      <c r="P206" s="248"/>
      <c r="Q206" s="248"/>
      <c r="R206" s="248"/>
      <c r="S206" s="248"/>
      <c r="T206" s="248"/>
      <c r="U206" s="248"/>
      <c r="V206" s="248"/>
      <c r="W206" s="248"/>
      <c r="X206" s="248"/>
    </row>
    <row r="207" spans="1:24" s="603" customFormat="1" ht="15" customHeight="1">
      <c r="A207" s="663"/>
      <c r="B207" s="667"/>
      <c r="C207" s="270"/>
      <c r="D207" s="11"/>
      <c r="E207" s="268" t="s">
        <v>859</v>
      </c>
      <c r="F207" s="815">
        <v>2018</v>
      </c>
      <c r="G207" s="815">
        <v>2020</v>
      </c>
      <c r="H207" s="815">
        <v>2025</v>
      </c>
      <c r="I207" s="815">
        <v>2030</v>
      </c>
      <c r="J207" s="815">
        <v>2035</v>
      </c>
      <c r="K207" s="815">
        <v>2040</v>
      </c>
      <c r="L207" s="815">
        <v>2045</v>
      </c>
      <c r="M207" s="815">
        <v>2050</v>
      </c>
      <c r="N207" s="276"/>
      <c r="O207" s="248"/>
      <c r="P207" s="248"/>
      <c r="Q207" s="248"/>
      <c r="R207" s="248"/>
      <c r="S207" s="248"/>
      <c r="T207" s="248"/>
      <c r="U207" s="248"/>
      <c r="V207" s="248"/>
      <c r="W207" s="248"/>
      <c r="X207" s="248"/>
    </row>
    <row r="208" spans="1:24" s="603" customFormat="1" ht="15" customHeight="1">
      <c r="A208" s="663"/>
      <c r="B208" s="667"/>
      <c r="C208" s="270"/>
      <c r="D208" s="11"/>
      <c r="E208" s="337" t="s">
        <v>2380</v>
      </c>
      <c r="F208" s="1516">
        <v>1</v>
      </c>
      <c r="G208" s="1516">
        <v>1</v>
      </c>
      <c r="H208" s="1516">
        <v>1</v>
      </c>
      <c r="I208" s="1516">
        <v>1</v>
      </c>
      <c r="J208" s="1516">
        <v>0.95</v>
      </c>
      <c r="K208" s="1516">
        <v>0.9</v>
      </c>
      <c r="L208" s="1516">
        <v>0.85</v>
      </c>
      <c r="M208" s="1516">
        <v>0.8</v>
      </c>
      <c r="N208" s="271"/>
      <c r="O208" s="599"/>
      <c r="P208" s="248"/>
      <c r="Q208" s="248"/>
      <c r="R208" s="248"/>
      <c r="S208" s="248"/>
      <c r="T208" s="248"/>
      <c r="U208" s="248"/>
      <c r="V208" s="248"/>
      <c r="W208" s="248"/>
      <c r="X208" s="248"/>
    </row>
    <row r="209" spans="1:24" s="603" customFormat="1" ht="15" customHeight="1">
      <c r="A209" s="663"/>
      <c r="B209" s="667"/>
      <c r="C209" s="270"/>
      <c r="D209" s="11"/>
      <c r="E209" s="32" t="s">
        <v>2381</v>
      </c>
      <c r="F209" s="1274">
        <v>0.01</v>
      </c>
      <c r="G209" s="1274">
        <v>0.01</v>
      </c>
      <c r="H209" s="1274">
        <v>0.01</v>
      </c>
      <c r="I209" s="1274">
        <v>0.01</v>
      </c>
      <c r="J209" s="1517">
        <v>0.05</v>
      </c>
      <c r="K209" s="1517">
        <v>0.1</v>
      </c>
      <c r="L209" s="1517">
        <v>0.15</v>
      </c>
      <c r="M209" s="1517">
        <v>0.2</v>
      </c>
      <c r="N209" s="278"/>
      <c r="O209" s="248"/>
      <c r="P209" s="248"/>
      <c r="Q209" s="248"/>
      <c r="R209" s="248"/>
      <c r="S209" s="248"/>
      <c r="T209" s="248"/>
      <c r="U209" s="248"/>
      <c r="V209" s="248"/>
      <c r="W209" s="248"/>
      <c r="X209" s="248"/>
    </row>
    <row r="210" spans="1:24" s="603" customFormat="1" ht="15" customHeight="1">
      <c r="A210" s="663"/>
      <c r="B210" s="667"/>
      <c r="C210" s="270"/>
      <c r="D210" s="272"/>
      <c r="E210" s="277"/>
      <c r="F210" s="752"/>
      <c r="G210" s="799"/>
      <c r="H210" s="799"/>
      <c r="I210" s="799"/>
      <c r="J210" s="799"/>
      <c r="K210" s="799"/>
      <c r="L210" s="799"/>
      <c r="M210" s="799"/>
      <c r="N210" s="271"/>
      <c r="O210" s="248"/>
      <c r="P210" s="248"/>
      <c r="Q210" s="248"/>
      <c r="R210" s="248"/>
      <c r="S210" s="248"/>
      <c r="T210" s="248"/>
      <c r="U210" s="248"/>
      <c r="V210" s="248"/>
      <c r="W210" s="248"/>
      <c r="X210" s="248"/>
    </row>
    <row r="211" spans="1:24" s="603" customFormat="1" ht="15" customHeight="1">
      <c r="A211" s="663"/>
      <c r="B211" s="667"/>
      <c r="C211" s="270"/>
      <c r="D211" s="272"/>
      <c r="E211" s="263" t="s">
        <v>1731</v>
      </c>
      <c r="F211" s="752"/>
      <c r="G211" s="752"/>
      <c r="H211" s="752"/>
      <c r="I211" s="752"/>
      <c r="J211" s="752"/>
      <c r="K211" s="752"/>
      <c r="L211" s="752"/>
      <c r="M211" s="752"/>
      <c r="N211" s="271"/>
      <c r="O211" s="599"/>
      <c r="P211" s="248"/>
      <c r="Q211" s="248"/>
      <c r="R211" s="248"/>
      <c r="S211" s="248"/>
      <c r="T211" s="248"/>
      <c r="U211" s="248"/>
      <c r="V211" s="248"/>
      <c r="W211" s="248"/>
      <c r="X211" s="248"/>
    </row>
    <row r="212" spans="1:24" s="603" customFormat="1" ht="15" customHeight="1">
      <c r="A212" s="663"/>
      <c r="B212" s="667"/>
      <c r="C212" s="270"/>
      <c r="D212" s="272"/>
      <c r="E212" s="19"/>
      <c r="F212" s="752"/>
      <c r="G212" s="752"/>
      <c r="H212" s="752"/>
      <c r="I212" s="752"/>
      <c r="J212" s="752"/>
      <c r="K212" s="752"/>
      <c r="L212" s="752"/>
      <c r="M212" s="752"/>
      <c r="N212" s="271"/>
      <c r="O212" s="248"/>
      <c r="P212" s="248"/>
      <c r="Q212" s="248"/>
      <c r="R212" s="248"/>
      <c r="S212" s="248"/>
      <c r="T212" s="248"/>
      <c r="U212" s="248"/>
      <c r="V212" s="248"/>
      <c r="W212" s="248"/>
      <c r="X212" s="248"/>
    </row>
    <row r="213" spans="1:24" s="603" customFormat="1" ht="15" customHeight="1">
      <c r="A213" s="663"/>
      <c r="B213" s="667"/>
      <c r="C213" s="270"/>
      <c r="D213" s="272"/>
      <c r="E213" s="261" t="s">
        <v>2376</v>
      </c>
      <c r="F213" s="752"/>
      <c r="G213" s="752"/>
      <c r="H213" s="752"/>
      <c r="I213" s="752"/>
      <c r="J213" s="752"/>
      <c r="K213" s="752"/>
      <c r="L213" s="752"/>
      <c r="M213" s="771" t="s">
        <v>788</v>
      </c>
      <c r="N213" s="271"/>
      <c r="O213" s="248"/>
      <c r="P213" s="248"/>
      <c r="Q213" s="248"/>
      <c r="R213" s="248"/>
      <c r="S213" s="248"/>
      <c r="T213" s="248"/>
      <c r="U213" s="248"/>
      <c r="V213" s="248"/>
      <c r="W213" s="248"/>
      <c r="X213" s="248"/>
    </row>
    <row r="214" spans="1:24" s="603" customFormat="1" ht="15" customHeight="1">
      <c r="A214" s="663"/>
      <c r="B214" s="667"/>
      <c r="C214" s="270"/>
      <c r="D214" s="272"/>
      <c r="E214" s="268" t="s">
        <v>859</v>
      </c>
      <c r="F214" s="848">
        <v>2018</v>
      </c>
      <c r="G214" s="848">
        <v>2020</v>
      </c>
      <c r="H214" s="848">
        <v>2025</v>
      </c>
      <c r="I214" s="848">
        <v>2030</v>
      </c>
      <c r="J214" s="848">
        <v>2035</v>
      </c>
      <c r="K214" s="848">
        <v>2040</v>
      </c>
      <c r="L214" s="848">
        <v>2045</v>
      </c>
      <c r="M214" s="848">
        <v>2050</v>
      </c>
      <c r="N214" s="271"/>
      <c r="O214" s="599"/>
      <c r="P214" s="248"/>
      <c r="Q214" s="248"/>
      <c r="R214" s="248"/>
      <c r="S214" s="248"/>
      <c r="T214" s="248"/>
      <c r="U214" s="248"/>
      <c r="V214" s="248"/>
      <c r="W214" s="248"/>
      <c r="X214" s="248"/>
    </row>
    <row r="215" spans="1:24" s="603" customFormat="1" ht="15" customHeight="1">
      <c r="A215" s="663"/>
      <c r="B215" s="667"/>
      <c r="C215" s="270"/>
      <c r="D215" s="11"/>
      <c r="E215" s="337" t="s">
        <v>889</v>
      </c>
      <c r="F215" s="1516">
        <v>0.24727499999999999</v>
      </c>
      <c r="G215" s="1516">
        <v>0.15512500000000001</v>
      </c>
      <c r="H215" s="1516">
        <v>0.15414</v>
      </c>
      <c r="I215" s="1516">
        <v>0.13863</v>
      </c>
      <c r="J215" s="1516">
        <v>6.7119999999999999E-2</v>
      </c>
      <c r="K215" s="1516">
        <v>7.8899999999999994E-3</v>
      </c>
      <c r="L215" s="1516">
        <v>5.4000000000000001E-4</v>
      </c>
      <c r="M215" s="1516">
        <v>0</v>
      </c>
      <c r="N215" s="269"/>
      <c r="O215" s="248"/>
      <c r="P215" s="248"/>
      <c r="Q215" s="248"/>
      <c r="R215" s="248"/>
      <c r="S215" s="248"/>
      <c r="T215" s="248"/>
      <c r="U215" s="248"/>
      <c r="V215" s="248"/>
      <c r="W215" s="248"/>
      <c r="X215" s="248"/>
    </row>
    <row r="216" spans="1:24" s="603" customFormat="1" ht="15" customHeight="1">
      <c r="A216" s="663"/>
      <c r="B216" s="667"/>
      <c r="C216" s="270"/>
      <c r="D216" s="11"/>
      <c r="E216" s="30" t="s">
        <v>890</v>
      </c>
      <c r="F216" s="805">
        <v>0.74337500000000001</v>
      </c>
      <c r="G216" s="805">
        <v>0.84057499999999996</v>
      </c>
      <c r="H216" s="805">
        <v>0.81504500000000002</v>
      </c>
      <c r="I216" s="805">
        <v>0.71835000000000004</v>
      </c>
      <c r="J216" s="805">
        <v>0.50703500000000001</v>
      </c>
      <c r="K216" s="805">
        <v>0.29487000000000002</v>
      </c>
      <c r="L216" s="805">
        <v>0.17865500000000001</v>
      </c>
      <c r="M216" s="805">
        <v>0.14249999999999999</v>
      </c>
      <c r="N216" s="269"/>
      <c r="O216" s="248"/>
      <c r="P216" s="248"/>
      <c r="Q216" s="248"/>
      <c r="R216" s="248"/>
      <c r="S216" s="248"/>
      <c r="T216" s="248"/>
      <c r="U216" s="248"/>
      <c r="V216" s="248"/>
      <c r="W216" s="248"/>
      <c r="X216" s="248"/>
    </row>
    <row r="217" spans="1:24" s="603" customFormat="1" ht="15" customHeight="1">
      <c r="A217" s="663"/>
      <c r="B217" s="667"/>
      <c r="C217" s="270"/>
      <c r="D217" s="272"/>
      <c r="E217" s="30" t="s">
        <v>2379</v>
      </c>
      <c r="F217" s="805">
        <v>8.3149999999999995E-3</v>
      </c>
      <c r="G217" s="805">
        <v>8.3149999999999995E-3</v>
      </c>
      <c r="H217" s="805">
        <v>8.1099999999999992E-3</v>
      </c>
      <c r="I217" s="805">
        <v>4.5335E-2</v>
      </c>
      <c r="J217" s="805">
        <v>0.148675</v>
      </c>
      <c r="K217" s="805">
        <v>0.22703000000000001</v>
      </c>
      <c r="L217" s="805">
        <v>0.24671999999999999</v>
      </c>
      <c r="M217" s="805">
        <v>0.25</v>
      </c>
      <c r="N217" s="269"/>
      <c r="O217" s="599"/>
      <c r="P217" s="248"/>
      <c r="Q217" s="248"/>
      <c r="R217" s="248"/>
      <c r="S217" s="248"/>
      <c r="T217" s="248"/>
      <c r="U217" s="248"/>
      <c r="V217" s="248"/>
      <c r="W217" s="248"/>
      <c r="X217" s="248"/>
    </row>
    <row r="218" spans="1:24" s="603" customFormat="1" ht="15" customHeight="1">
      <c r="A218" s="663"/>
      <c r="B218" s="667"/>
      <c r="C218" s="270"/>
      <c r="D218" s="272"/>
      <c r="E218" s="30" t="s">
        <v>2270</v>
      </c>
      <c r="F218" s="805">
        <v>0</v>
      </c>
      <c r="G218" s="805">
        <v>0</v>
      </c>
      <c r="H218" s="805">
        <v>1.2805E-2</v>
      </c>
      <c r="I218" s="805">
        <v>5.0075000000000001E-2</v>
      </c>
      <c r="J218" s="805">
        <v>0.15576000000000001</v>
      </c>
      <c r="K218" s="805">
        <v>0.306645</v>
      </c>
      <c r="L218" s="805">
        <v>0.39610000000000001</v>
      </c>
      <c r="M218" s="805">
        <v>0.42499999999999999</v>
      </c>
      <c r="N218" s="269"/>
      <c r="O218" s="248"/>
      <c r="P218" s="248"/>
      <c r="Q218" s="248"/>
      <c r="R218" s="248"/>
      <c r="S218" s="248"/>
      <c r="T218" s="248"/>
      <c r="U218" s="248"/>
      <c r="V218" s="248"/>
      <c r="W218" s="248"/>
      <c r="X218" s="248"/>
    </row>
    <row r="219" spans="1:24" s="603" customFormat="1" ht="15" customHeight="1">
      <c r="A219" s="663"/>
      <c r="B219" s="667"/>
      <c r="C219" s="270"/>
      <c r="D219" s="272"/>
      <c r="E219" s="30" t="s">
        <v>498</v>
      </c>
      <c r="F219" s="805">
        <v>0</v>
      </c>
      <c r="G219" s="805">
        <v>0</v>
      </c>
      <c r="H219" s="805">
        <v>8.5000000000000006E-5</v>
      </c>
      <c r="I219" s="805">
        <v>8.0000000000000004E-4</v>
      </c>
      <c r="J219" s="805">
        <v>4.1949999999999999E-3</v>
      </c>
      <c r="K219" s="805">
        <v>6.9849999999999999E-3</v>
      </c>
      <c r="L219" s="805">
        <v>7.45E-3</v>
      </c>
      <c r="M219" s="805">
        <v>7.4999999999999997E-3</v>
      </c>
      <c r="N219" s="269"/>
      <c r="O219" s="248"/>
      <c r="P219" s="248"/>
      <c r="Q219" s="248"/>
      <c r="R219" s="248"/>
      <c r="S219" s="248"/>
      <c r="T219" s="248"/>
      <c r="U219" s="248"/>
      <c r="V219" s="248"/>
      <c r="W219" s="248"/>
      <c r="X219" s="248"/>
    </row>
    <row r="220" spans="1:24" s="603" customFormat="1" ht="15" customHeight="1">
      <c r="A220" s="663"/>
      <c r="B220" s="667"/>
      <c r="C220" s="270"/>
      <c r="D220" s="272"/>
      <c r="E220" s="30" t="s">
        <v>908</v>
      </c>
      <c r="F220" s="810">
        <v>0</v>
      </c>
      <c r="G220" s="810">
        <v>0</v>
      </c>
      <c r="H220" s="810">
        <v>0</v>
      </c>
      <c r="I220" s="810">
        <v>0</v>
      </c>
      <c r="J220" s="810">
        <v>0</v>
      </c>
      <c r="K220" s="810">
        <v>0</v>
      </c>
      <c r="L220" s="810">
        <v>0</v>
      </c>
      <c r="M220" s="810">
        <v>0</v>
      </c>
      <c r="N220" s="269"/>
      <c r="O220" s="248"/>
      <c r="P220" s="248"/>
      <c r="Q220" s="248"/>
      <c r="R220" s="248"/>
      <c r="S220" s="248"/>
      <c r="T220" s="248"/>
      <c r="U220" s="248"/>
      <c r="V220" s="248"/>
      <c r="W220" s="248"/>
      <c r="X220" s="248"/>
    </row>
    <row r="221" spans="1:24" s="603" customFormat="1" ht="15" customHeight="1">
      <c r="A221" s="663"/>
      <c r="B221" s="667"/>
      <c r="C221" s="270"/>
      <c r="D221" s="272"/>
      <c r="E221" s="30" t="s">
        <v>909</v>
      </c>
      <c r="F221" s="1494">
        <v>0</v>
      </c>
      <c r="G221" s="1494">
        <v>0</v>
      </c>
      <c r="H221" s="1494">
        <v>0</v>
      </c>
      <c r="I221" s="1494">
        <v>0</v>
      </c>
      <c r="J221" s="1494">
        <v>0</v>
      </c>
      <c r="K221" s="1494">
        <v>0</v>
      </c>
      <c r="L221" s="1494">
        <v>0</v>
      </c>
      <c r="M221" s="1494">
        <v>0</v>
      </c>
      <c r="N221" s="269"/>
      <c r="O221" s="248"/>
      <c r="P221" s="248"/>
      <c r="Q221" s="248"/>
      <c r="R221" s="248"/>
      <c r="S221" s="248"/>
      <c r="T221" s="248"/>
      <c r="U221" s="248"/>
      <c r="V221" s="248"/>
      <c r="W221" s="248"/>
      <c r="X221" s="248"/>
    </row>
    <row r="222" spans="1:24" s="603" customFormat="1" ht="15" customHeight="1">
      <c r="A222" s="663"/>
      <c r="B222" s="667"/>
      <c r="C222" s="270"/>
      <c r="D222" s="272"/>
      <c r="E222" s="30" t="s">
        <v>894</v>
      </c>
      <c r="F222" s="805">
        <v>1.0349999999999999E-3</v>
      </c>
      <c r="G222" s="805">
        <v>3.0400000000000002E-3</v>
      </c>
      <c r="H222" s="805">
        <v>9.8150000000000008E-3</v>
      </c>
      <c r="I222" s="805">
        <v>2.75E-2</v>
      </c>
      <c r="J222" s="805">
        <v>5.7235000000000001E-2</v>
      </c>
      <c r="K222" s="805">
        <v>8.3169999999999994E-2</v>
      </c>
      <c r="L222" s="805">
        <v>9.5665E-2</v>
      </c>
      <c r="M222" s="805">
        <v>0.1</v>
      </c>
      <c r="N222" s="269"/>
      <c r="O222" s="599"/>
      <c r="P222" s="248"/>
      <c r="Q222" s="248"/>
      <c r="R222" s="248"/>
      <c r="S222" s="248"/>
      <c r="T222" s="248"/>
      <c r="U222" s="248"/>
      <c r="V222" s="248"/>
      <c r="W222" s="248"/>
      <c r="X222" s="248"/>
    </row>
    <row r="223" spans="1:24" s="603" customFormat="1" ht="15" customHeight="1">
      <c r="A223" s="663"/>
      <c r="B223" s="667"/>
      <c r="C223" s="270"/>
      <c r="D223" s="272"/>
      <c r="E223" s="32" t="s">
        <v>603</v>
      </c>
      <c r="F223" s="798">
        <v>0</v>
      </c>
      <c r="G223" s="798">
        <v>0</v>
      </c>
      <c r="H223" s="798">
        <v>0</v>
      </c>
      <c r="I223" s="798">
        <v>1.9314999999999999E-2</v>
      </c>
      <c r="J223" s="798">
        <v>5.9979999999999999E-2</v>
      </c>
      <c r="K223" s="798">
        <v>7.3404999999999998E-2</v>
      </c>
      <c r="L223" s="798">
        <v>7.4870000000000006E-2</v>
      </c>
      <c r="M223" s="798">
        <v>7.4999999999999997E-2</v>
      </c>
      <c r="N223" s="269"/>
      <c r="O223" s="248"/>
      <c r="P223" s="248"/>
      <c r="Q223" s="248"/>
      <c r="R223" s="248"/>
      <c r="S223" s="248"/>
      <c r="T223" s="248"/>
      <c r="U223" s="248"/>
      <c r="V223" s="248"/>
      <c r="W223" s="248"/>
      <c r="X223" s="248"/>
    </row>
    <row r="224" spans="1:24" s="603" customFormat="1" ht="15" customHeight="1">
      <c r="A224" s="663"/>
      <c r="B224" s="667"/>
      <c r="C224" s="270"/>
      <c r="D224" s="12"/>
      <c r="E224" s="19"/>
      <c r="F224" s="752"/>
      <c r="G224" s="752"/>
      <c r="H224" s="752"/>
      <c r="I224" s="752"/>
      <c r="J224" s="752"/>
      <c r="K224" s="752"/>
      <c r="L224" s="752"/>
      <c r="M224" s="752"/>
      <c r="N224" s="271"/>
      <c r="O224" s="248"/>
      <c r="P224" s="248"/>
      <c r="Q224" s="248"/>
      <c r="R224" s="248"/>
      <c r="S224" s="248"/>
      <c r="T224" s="248"/>
      <c r="U224" s="248"/>
      <c r="V224" s="248"/>
      <c r="W224" s="248"/>
      <c r="X224" s="248"/>
    </row>
    <row r="225" spans="1:24" s="603" customFormat="1" ht="15" customHeight="1">
      <c r="A225" s="663"/>
      <c r="B225" s="667"/>
      <c r="C225" s="270"/>
      <c r="D225" s="272"/>
      <c r="E225" s="261" t="s">
        <v>2375</v>
      </c>
      <c r="F225" s="752"/>
      <c r="G225" s="752"/>
      <c r="H225" s="752"/>
      <c r="I225" s="752"/>
      <c r="J225" s="752"/>
      <c r="K225" s="752"/>
      <c r="L225" s="752"/>
      <c r="M225" s="771" t="s">
        <v>788</v>
      </c>
      <c r="N225" s="271"/>
      <c r="O225" s="599"/>
      <c r="P225" s="248"/>
      <c r="Q225" s="248"/>
      <c r="R225" s="248"/>
      <c r="S225" s="248"/>
      <c r="T225" s="248"/>
      <c r="U225" s="248"/>
      <c r="V225" s="248"/>
      <c r="W225" s="248"/>
      <c r="X225" s="248"/>
    </row>
    <row r="226" spans="1:24" s="603" customFormat="1" ht="15" customHeight="1">
      <c r="A226" s="663"/>
      <c r="B226" s="667"/>
      <c r="D226" s="272"/>
      <c r="E226" s="268" t="s">
        <v>859</v>
      </c>
      <c r="F226" s="815">
        <v>2018</v>
      </c>
      <c r="G226" s="815">
        <v>2020</v>
      </c>
      <c r="H226" s="815">
        <v>2025</v>
      </c>
      <c r="I226" s="815">
        <v>2030</v>
      </c>
      <c r="J226" s="815">
        <v>2035</v>
      </c>
      <c r="K226" s="815">
        <v>2040</v>
      </c>
      <c r="L226" s="815">
        <v>2045</v>
      </c>
      <c r="M226" s="815">
        <v>2050</v>
      </c>
      <c r="N226" s="271"/>
      <c r="O226" s="248"/>
      <c r="P226" s="248"/>
      <c r="Q226" s="248"/>
      <c r="R226" s="248"/>
      <c r="S226" s="248"/>
      <c r="T226" s="248"/>
      <c r="U226" s="248"/>
      <c r="V226" s="248"/>
      <c r="W226" s="248"/>
      <c r="X226" s="248"/>
    </row>
    <row r="227" spans="1:24" s="603" customFormat="1" ht="15" customHeight="1">
      <c r="A227" s="663"/>
      <c r="B227" s="667"/>
      <c r="D227" s="272"/>
      <c r="E227" s="337" t="s">
        <v>2380</v>
      </c>
      <c r="F227" s="1516">
        <v>1</v>
      </c>
      <c r="G227" s="1516">
        <v>1</v>
      </c>
      <c r="H227" s="1516">
        <v>1</v>
      </c>
      <c r="I227" s="1516">
        <v>1</v>
      </c>
      <c r="J227" s="1516">
        <v>0.95</v>
      </c>
      <c r="K227" s="1516">
        <v>0.9</v>
      </c>
      <c r="L227" s="1516">
        <v>0.85</v>
      </c>
      <c r="M227" s="1516">
        <v>0.8</v>
      </c>
      <c r="N227" s="271"/>
      <c r="O227" s="248"/>
      <c r="P227" s="248"/>
      <c r="Q227" s="248"/>
      <c r="R227" s="248"/>
      <c r="S227" s="248"/>
      <c r="T227" s="248"/>
      <c r="U227" s="248"/>
      <c r="V227" s="248"/>
      <c r="W227" s="248"/>
      <c r="X227" s="248"/>
    </row>
    <row r="228" spans="1:24" s="603" customFormat="1" ht="15" customHeight="1">
      <c r="A228" s="663"/>
      <c r="B228" s="667"/>
      <c r="D228" s="272"/>
      <c r="E228" s="32" t="s">
        <v>2381</v>
      </c>
      <c r="F228" s="1274">
        <v>0.01</v>
      </c>
      <c r="G228" s="1274">
        <v>0.01</v>
      </c>
      <c r="H228" s="1274">
        <v>0.01</v>
      </c>
      <c r="I228" s="1274">
        <v>0.01</v>
      </c>
      <c r="J228" s="1517">
        <v>0.05</v>
      </c>
      <c r="K228" s="1517">
        <v>0.1</v>
      </c>
      <c r="L228" s="1517">
        <v>0.15</v>
      </c>
      <c r="M228" s="1517">
        <v>0.2</v>
      </c>
      <c r="N228" s="271"/>
      <c r="O228" s="599"/>
      <c r="P228" s="248"/>
      <c r="Q228" s="248"/>
      <c r="R228" s="248"/>
      <c r="S228" s="248"/>
      <c r="T228" s="248"/>
      <c r="U228" s="248"/>
      <c r="V228" s="248"/>
      <c r="W228" s="248"/>
      <c r="X228" s="248"/>
    </row>
    <row r="229" spans="1:24" ht="15" customHeight="1">
      <c r="D229" s="272"/>
      <c r="E229" s="277"/>
      <c r="F229" s="752"/>
      <c r="G229" s="799"/>
      <c r="H229" s="799"/>
      <c r="I229" s="799"/>
      <c r="J229" s="799"/>
      <c r="K229" s="799"/>
      <c r="L229" s="799"/>
      <c r="M229" s="799"/>
      <c r="N229" s="271"/>
      <c r="O229" s="248"/>
      <c r="P229" s="248"/>
      <c r="Q229" s="248"/>
      <c r="R229" s="248"/>
      <c r="S229" s="248"/>
      <c r="T229" s="248"/>
      <c r="U229" s="248"/>
      <c r="V229" s="248"/>
      <c r="W229" s="248"/>
      <c r="X229" s="248"/>
    </row>
    <row r="230" spans="1:24" ht="15" customHeight="1">
      <c r="F230" s="696"/>
      <c r="G230" s="696"/>
      <c r="H230" s="696"/>
      <c r="I230" s="696"/>
      <c r="J230" s="696"/>
      <c r="K230" s="696"/>
      <c r="L230" s="696"/>
      <c r="M230" s="696"/>
      <c r="O230" s="248"/>
      <c r="P230" s="248"/>
      <c r="Q230" s="248"/>
      <c r="R230" s="248"/>
      <c r="S230" s="248"/>
      <c r="T230" s="248"/>
      <c r="U230" s="248"/>
      <c r="V230" s="248"/>
      <c r="W230" s="248"/>
      <c r="X230" s="248"/>
    </row>
    <row r="231" spans="1:24" ht="15" customHeight="1">
      <c r="D231" s="956" t="s">
        <v>996</v>
      </c>
      <c r="E231" s="336"/>
      <c r="F231" s="908"/>
      <c r="G231" s="908"/>
      <c r="H231" s="908"/>
      <c r="I231" s="908"/>
      <c r="J231" s="908"/>
      <c r="K231" s="908"/>
      <c r="L231" s="908"/>
      <c r="M231" s="908"/>
      <c r="N231" s="336"/>
      <c r="O231" s="599"/>
      <c r="P231" s="248"/>
      <c r="Q231" s="248"/>
      <c r="R231" s="248"/>
      <c r="S231" s="248"/>
      <c r="T231" s="248"/>
      <c r="U231" s="248"/>
      <c r="V231" s="248"/>
      <c r="W231" s="248"/>
      <c r="X231" s="248"/>
    </row>
    <row r="232" spans="1:24" customFormat="1" ht="15" customHeight="1">
      <c r="A232" s="663"/>
      <c r="B232" s="667"/>
      <c r="D232" s="12"/>
      <c r="E232" s="12"/>
      <c r="F232" s="752"/>
      <c r="G232" s="752"/>
      <c r="H232" s="752"/>
      <c r="I232" s="752"/>
      <c r="J232" s="752"/>
      <c r="K232" s="752"/>
      <c r="L232" s="752"/>
      <c r="M232" s="752"/>
      <c r="N232" s="12"/>
      <c r="O232" s="248"/>
      <c r="P232" s="248"/>
      <c r="Q232" s="248"/>
      <c r="R232" s="248"/>
      <c r="S232" s="248"/>
      <c r="T232" s="248"/>
      <c r="U232" s="248"/>
      <c r="V232" s="248"/>
      <c r="W232" s="248"/>
      <c r="X232" s="248"/>
    </row>
    <row r="233" spans="1:24" customFormat="1" ht="15" customHeight="1">
      <c r="A233" s="663"/>
      <c r="B233" s="667"/>
      <c r="D233" s="12"/>
      <c r="E233" s="940" t="s">
        <v>1351</v>
      </c>
      <c r="F233" s="843"/>
      <c r="G233" s="843"/>
      <c r="H233" s="843"/>
      <c r="I233" s="843"/>
      <c r="J233" s="843"/>
      <c r="K233" s="843"/>
      <c r="L233" s="843"/>
      <c r="M233" s="843"/>
      <c r="N233" s="12"/>
      <c r="O233" s="248"/>
      <c r="P233" s="248"/>
      <c r="Q233" s="248"/>
      <c r="R233" s="248"/>
      <c r="S233" s="248"/>
      <c r="T233" s="248"/>
      <c r="U233" s="248"/>
      <c r="V233" s="248"/>
      <c r="W233" s="248"/>
      <c r="X233" s="248"/>
    </row>
    <row r="234" spans="1:24" customFormat="1" ht="15" customHeight="1">
      <c r="A234" s="663"/>
      <c r="B234" s="667"/>
      <c r="D234" s="12"/>
      <c r="E234" s="96"/>
      <c r="F234" s="752"/>
      <c r="G234" s="752"/>
      <c r="H234" s="752"/>
      <c r="I234" s="752"/>
      <c r="J234" s="752"/>
      <c r="K234" s="752"/>
      <c r="L234" s="752"/>
      <c r="M234" s="752"/>
      <c r="N234" s="12"/>
      <c r="O234" s="599"/>
      <c r="P234" s="248"/>
      <c r="Q234" s="248"/>
      <c r="R234" s="248"/>
      <c r="S234" s="248"/>
      <c r="T234" s="248"/>
      <c r="U234" s="248"/>
      <c r="V234" s="248"/>
      <c r="W234" s="248"/>
      <c r="X234" s="248"/>
    </row>
    <row r="235" spans="1:24" customFormat="1" ht="15" customHeight="1">
      <c r="A235" s="663"/>
      <c r="B235" s="667"/>
      <c r="D235" s="12"/>
      <c r="E235" s="286" t="s">
        <v>2376</v>
      </c>
      <c r="F235" s="802"/>
      <c r="G235" s="802"/>
      <c r="H235" s="802"/>
      <c r="I235" s="802"/>
      <c r="J235" s="805"/>
      <c r="K235" s="805"/>
      <c r="L235" s="805"/>
      <c r="M235" s="771" t="s">
        <v>2264</v>
      </c>
      <c r="N235" s="12"/>
      <c r="O235" s="248"/>
      <c r="P235" s="248"/>
      <c r="Q235" s="248"/>
      <c r="R235" s="248"/>
      <c r="S235" s="248"/>
      <c r="T235" s="248"/>
      <c r="U235" s="248"/>
      <c r="V235" s="248"/>
      <c r="W235" s="248"/>
      <c r="X235" s="248"/>
    </row>
    <row r="236" spans="1:24" customFormat="1" ht="15" customHeight="1">
      <c r="A236" s="663"/>
      <c r="B236" s="667"/>
      <c r="D236" s="12"/>
      <c r="E236" s="29"/>
      <c r="F236" s="972">
        <v>2018</v>
      </c>
      <c r="G236" s="972">
        <v>2020</v>
      </c>
      <c r="H236" s="972">
        <v>2025</v>
      </c>
      <c r="I236" s="972">
        <v>2030</v>
      </c>
      <c r="J236" s="972">
        <v>2035</v>
      </c>
      <c r="K236" s="972">
        <v>2040</v>
      </c>
      <c r="L236" s="972">
        <v>2045</v>
      </c>
      <c r="M236" s="972">
        <v>2050</v>
      </c>
      <c r="N236" s="12"/>
      <c r="O236" s="248"/>
      <c r="P236" s="248"/>
      <c r="Q236" s="248"/>
      <c r="R236" s="248"/>
      <c r="S236" s="248"/>
      <c r="T236" s="248"/>
      <c r="U236" s="248"/>
      <c r="V236" s="248"/>
      <c r="W236" s="248"/>
      <c r="X236" s="248"/>
    </row>
    <row r="237" spans="1:24" customFormat="1" ht="15" customHeight="1">
      <c r="A237" s="663"/>
      <c r="B237" s="667"/>
      <c r="D237" s="12"/>
      <c r="E237" s="191" t="s">
        <v>2382</v>
      </c>
      <c r="F237" s="3811">
        <v>157845113.51912412</v>
      </c>
      <c r="G237" s="3811">
        <v>206076832.31708682</v>
      </c>
      <c r="H237" s="3811">
        <v>275884532.92519897</v>
      </c>
      <c r="I237" s="3811">
        <v>351644603.78799635</v>
      </c>
      <c r="J237" s="3811">
        <v>437814040.8900829</v>
      </c>
      <c r="K237" s="3811">
        <v>539482835.87962747</v>
      </c>
      <c r="L237" s="3811">
        <v>588252230.30224895</v>
      </c>
      <c r="M237" s="3811">
        <v>667324902.36755335</v>
      </c>
      <c r="N237" s="12"/>
      <c r="O237" s="599"/>
      <c r="P237" s="248"/>
      <c r="Q237" s="248"/>
      <c r="R237" s="248"/>
      <c r="S237" s="248"/>
      <c r="T237" s="248"/>
      <c r="U237" s="248"/>
      <c r="V237" s="248"/>
      <c r="W237" s="248"/>
      <c r="X237" s="248"/>
    </row>
    <row r="238" spans="1:24" s="603" customFormat="1" ht="15" customHeight="1">
      <c r="A238" s="663"/>
      <c r="B238" s="667"/>
      <c r="D238" s="12"/>
      <c r="E238" s="12"/>
      <c r="F238" s="2933"/>
      <c r="G238" s="2933"/>
      <c r="H238" s="850"/>
      <c r="I238" s="2933"/>
      <c r="J238" s="2933"/>
      <c r="K238" s="2933"/>
      <c r="L238" s="2933"/>
      <c r="M238" s="2933"/>
      <c r="N238" s="12"/>
      <c r="O238" s="248"/>
      <c r="P238" s="248"/>
      <c r="Q238" s="248"/>
      <c r="R238" s="248"/>
      <c r="S238" s="248"/>
      <c r="T238" s="248"/>
      <c r="U238" s="248"/>
      <c r="V238" s="248"/>
      <c r="W238" s="248"/>
      <c r="X238" s="248"/>
    </row>
    <row r="239" spans="1:24" s="603" customFormat="1" ht="15" customHeight="1">
      <c r="A239" s="663"/>
      <c r="B239" s="667"/>
      <c r="D239" s="272"/>
      <c r="E239" s="940" t="s">
        <v>2383</v>
      </c>
      <c r="F239" s="3807"/>
      <c r="G239" s="3807"/>
      <c r="H239" s="3807"/>
      <c r="I239" s="3807"/>
      <c r="J239" s="3807"/>
      <c r="K239" s="3807"/>
      <c r="L239" s="3807"/>
      <c r="M239" s="3807"/>
      <c r="N239" s="282"/>
      <c r="O239" s="248"/>
      <c r="P239" s="248"/>
      <c r="Q239" s="248"/>
      <c r="R239" s="248"/>
      <c r="S239" s="248"/>
      <c r="T239" s="248"/>
      <c r="U239" s="248"/>
      <c r="V239" s="248"/>
      <c r="W239" s="248"/>
      <c r="X239" s="248"/>
    </row>
    <row r="240" spans="1:24" s="603" customFormat="1" ht="15" customHeight="1">
      <c r="A240" s="663"/>
      <c r="B240" s="667"/>
      <c r="C240" s="270"/>
      <c r="D240" s="281"/>
      <c r="E240" s="26"/>
      <c r="F240" s="777"/>
      <c r="G240" s="779"/>
      <c r="H240" s="3812"/>
      <c r="I240" s="3812"/>
      <c r="J240" s="3812"/>
      <c r="K240" s="3812"/>
      <c r="L240" s="3813"/>
      <c r="M240" s="3813"/>
      <c r="N240" s="282"/>
      <c r="O240" s="599"/>
      <c r="P240" s="248"/>
      <c r="Q240" s="248"/>
      <c r="R240" s="248"/>
      <c r="S240" s="248"/>
      <c r="T240" s="248"/>
      <c r="U240" s="248"/>
      <c r="V240" s="248"/>
      <c r="W240" s="248"/>
      <c r="X240" s="248"/>
    </row>
    <row r="241" spans="1:24" s="603" customFormat="1" ht="15" customHeight="1">
      <c r="A241" s="663"/>
      <c r="B241" s="667"/>
      <c r="C241" s="270"/>
      <c r="D241" s="281"/>
      <c r="E241" s="26" t="s">
        <v>2384</v>
      </c>
      <c r="F241" s="777"/>
      <c r="G241" s="779"/>
      <c r="H241" s="3812"/>
      <c r="I241" s="3812"/>
      <c r="J241" s="3812"/>
      <c r="K241" s="3812"/>
      <c r="L241" s="3813"/>
      <c r="M241" s="3813"/>
      <c r="N241" s="282"/>
      <c r="O241" s="248"/>
      <c r="P241" s="248"/>
      <c r="Q241" s="248"/>
      <c r="R241" s="248"/>
      <c r="S241" s="248"/>
      <c r="T241" s="248"/>
      <c r="U241" s="248"/>
      <c r="V241" s="248"/>
      <c r="W241" s="248"/>
      <c r="X241" s="248"/>
    </row>
    <row r="242" spans="1:24" s="603" customFormat="1" ht="15" customHeight="1">
      <c r="A242" s="663"/>
      <c r="B242" s="667"/>
      <c r="C242" s="270"/>
      <c r="D242" s="281"/>
      <c r="E242" s="606" t="s">
        <v>859</v>
      </c>
      <c r="F242" s="3814">
        <v>2018</v>
      </c>
      <c r="G242" s="3814">
        <v>2020</v>
      </c>
      <c r="H242" s="3814">
        <v>2025</v>
      </c>
      <c r="I242" s="3814">
        <v>2030</v>
      </c>
      <c r="J242" s="3814">
        <v>2035</v>
      </c>
      <c r="K242" s="3814">
        <v>2040</v>
      </c>
      <c r="L242" s="3814">
        <v>2045</v>
      </c>
      <c r="M242" s="3814">
        <v>2050</v>
      </c>
      <c r="N242" s="284"/>
      <c r="O242" s="248"/>
      <c r="P242" s="248"/>
      <c r="Q242" s="248"/>
      <c r="R242" s="248"/>
      <c r="S242" s="248"/>
      <c r="T242" s="248"/>
      <c r="U242" s="248"/>
      <c r="V242" s="248"/>
      <c r="W242" s="248"/>
      <c r="X242" s="248"/>
    </row>
    <row r="243" spans="1:24" s="603" customFormat="1" ht="15" customHeight="1">
      <c r="A243" s="663"/>
      <c r="B243" s="667"/>
      <c r="C243" s="270"/>
      <c r="D243" s="281"/>
      <c r="E243" s="337" t="s">
        <v>904</v>
      </c>
      <c r="F243" s="3815">
        <f>6.6</f>
        <v>6.6</v>
      </c>
      <c r="G243" s="3815">
        <f t="shared" ref="G243:M243" si="0">6.6</f>
        <v>6.6</v>
      </c>
      <c r="H243" s="3815">
        <f t="shared" si="0"/>
        <v>6.6</v>
      </c>
      <c r="I243" s="3815">
        <f t="shared" si="0"/>
        <v>6.6</v>
      </c>
      <c r="J243" s="3815">
        <f t="shared" si="0"/>
        <v>6.6</v>
      </c>
      <c r="K243" s="3815">
        <f t="shared" si="0"/>
        <v>6.6</v>
      </c>
      <c r="L243" s="3815">
        <f t="shared" si="0"/>
        <v>6.6</v>
      </c>
      <c r="M243" s="3815">
        <f t="shared" si="0"/>
        <v>6.6</v>
      </c>
      <c r="N243" s="1268"/>
      <c r="O243" s="599"/>
      <c r="P243" s="248"/>
      <c r="Q243" s="248"/>
      <c r="R243" s="248"/>
      <c r="S243" s="248"/>
      <c r="T243" s="248"/>
      <c r="U243" s="248"/>
      <c r="V243" s="248"/>
      <c r="W243" s="248"/>
      <c r="X243" s="248"/>
    </row>
    <row r="244" spans="1:24" s="603" customFormat="1" ht="15" customHeight="1">
      <c r="A244" s="663"/>
      <c r="B244" s="667"/>
      <c r="C244" s="270"/>
      <c r="D244" s="281"/>
      <c r="E244" s="30" t="s">
        <v>905</v>
      </c>
      <c r="F244" s="3816">
        <v>9.5</v>
      </c>
      <c r="G244" s="3816">
        <v>9.5</v>
      </c>
      <c r="H244" s="3816">
        <v>9.5</v>
      </c>
      <c r="I244" s="3816">
        <v>9.5</v>
      </c>
      <c r="J244" s="3816">
        <v>9.5</v>
      </c>
      <c r="K244" s="3816">
        <v>9.5</v>
      </c>
      <c r="L244" s="3816">
        <v>9.5</v>
      </c>
      <c r="M244" s="3816">
        <v>9.5</v>
      </c>
      <c r="N244" s="1269"/>
      <c r="O244" s="599"/>
      <c r="P244" s="248"/>
      <c r="Q244" s="248"/>
      <c r="R244" s="248"/>
      <c r="S244" s="248"/>
      <c r="T244" s="248"/>
      <c r="U244" s="248"/>
      <c r="V244" s="248"/>
      <c r="W244" s="248"/>
      <c r="X244" s="248"/>
    </row>
    <row r="245" spans="1:24" s="603" customFormat="1" ht="15" customHeight="1">
      <c r="A245" s="663"/>
      <c r="B245" s="667"/>
      <c r="C245" s="270"/>
      <c r="D245" s="281"/>
      <c r="E245" s="30" t="s">
        <v>906</v>
      </c>
      <c r="F245" s="3817">
        <v>1.5</v>
      </c>
      <c r="G245" s="3817">
        <v>1.5</v>
      </c>
      <c r="H245" s="3817">
        <v>1.5</v>
      </c>
      <c r="I245" s="3817">
        <v>1.5</v>
      </c>
      <c r="J245" s="3817">
        <v>1.5</v>
      </c>
      <c r="K245" s="3817">
        <v>1.5</v>
      </c>
      <c r="L245" s="3817">
        <v>1.5</v>
      </c>
      <c r="M245" s="3817">
        <v>1.5</v>
      </c>
      <c r="N245" s="284"/>
      <c r="O245" s="248"/>
      <c r="P245" s="248"/>
      <c r="Q245" s="248"/>
      <c r="R245" s="248"/>
      <c r="S245" s="248"/>
      <c r="T245" s="248"/>
      <c r="U245" s="248"/>
      <c r="V245" s="248"/>
      <c r="W245" s="248"/>
      <c r="X245" s="248"/>
    </row>
    <row r="246" spans="1:24" s="603" customFormat="1" ht="15" customHeight="1">
      <c r="A246" s="663"/>
      <c r="B246" s="667"/>
      <c r="C246" s="270"/>
      <c r="D246" s="281"/>
      <c r="E246" s="30" t="s">
        <v>907</v>
      </c>
      <c r="F246" s="3818">
        <v>0.26</v>
      </c>
      <c r="G246" s="3818">
        <v>0.26</v>
      </c>
      <c r="H246" s="3818">
        <v>0.26</v>
      </c>
      <c r="I246" s="3818">
        <v>0.26</v>
      </c>
      <c r="J246" s="3818">
        <v>0.26</v>
      </c>
      <c r="K246" s="3818">
        <v>0.26</v>
      </c>
      <c r="L246" s="3818">
        <v>0.26</v>
      </c>
      <c r="M246" s="3818">
        <v>0.26</v>
      </c>
      <c r="N246" s="1268"/>
      <c r="O246" s="248"/>
      <c r="P246" s="248"/>
      <c r="Q246" s="248"/>
      <c r="R246" s="248"/>
      <c r="S246" s="248"/>
      <c r="T246" s="248"/>
      <c r="U246" s="248"/>
      <c r="V246" s="248"/>
      <c r="W246" s="248"/>
      <c r="X246" s="248"/>
    </row>
    <row r="247" spans="1:24" s="603" customFormat="1" ht="15" customHeight="1">
      <c r="A247" s="663"/>
      <c r="B247" s="667"/>
      <c r="C247" s="270"/>
      <c r="D247" s="281"/>
      <c r="E247" s="30" t="s">
        <v>498</v>
      </c>
      <c r="F247" s="3819">
        <v>0</v>
      </c>
      <c r="G247" s="3819">
        <v>0</v>
      </c>
      <c r="H247" s="3819">
        <v>0</v>
      </c>
      <c r="I247" s="3819">
        <v>0</v>
      </c>
      <c r="J247" s="3819">
        <v>0</v>
      </c>
      <c r="K247" s="3819">
        <v>0</v>
      </c>
      <c r="L247" s="3819">
        <v>0</v>
      </c>
      <c r="M247" s="3819">
        <v>0</v>
      </c>
      <c r="N247" s="1268"/>
      <c r="O247" s="248"/>
      <c r="P247" s="248"/>
      <c r="Q247" s="248"/>
      <c r="R247" s="248"/>
      <c r="S247" s="248"/>
      <c r="T247" s="248"/>
      <c r="U247" s="248"/>
      <c r="V247" s="248"/>
      <c r="W247" s="248"/>
      <c r="X247" s="248"/>
    </row>
    <row r="248" spans="1:24" s="603" customFormat="1" ht="15" customHeight="1">
      <c r="A248" s="663"/>
      <c r="B248" s="667"/>
      <c r="C248" s="270"/>
      <c r="D248" s="272"/>
      <c r="E248" s="30" t="s">
        <v>908</v>
      </c>
      <c r="F248" s="1270">
        <v>0</v>
      </c>
      <c r="G248" s="1270">
        <v>0</v>
      </c>
      <c r="H248" s="1270">
        <v>0</v>
      </c>
      <c r="I248" s="1270">
        <v>0</v>
      </c>
      <c r="J248" s="1270">
        <v>0</v>
      </c>
      <c r="K248" s="1270">
        <v>0</v>
      </c>
      <c r="L248" s="1270">
        <v>0</v>
      </c>
      <c r="M248" s="1270">
        <v>0</v>
      </c>
      <c r="N248" s="269"/>
      <c r="O248" s="248"/>
      <c r="P248" s="248"/>
      <c r="Q248" s="248"/>
      <c r="R248" s="248"/>
      <c r="S248" s="248"/>
      <c r="T248" s="248"/>
      <c r="U248" s="248"/>
      <c r="V248" s="248"/>
      <c r="W248" s="248"/>
      <c r="X248" s="248"/>
    </row>
    <row r="249" spans="1:24" s="603" customFormat="1" ht="15" customHeight="1">
      <c r="A249" s="663"/>
      <c r="B249" s="667"/>
      <c r="C249" s="270"/>
      <c r="D249" s="272"/>
      <c r="E249" s="30" t="s">
        <v>909</v>
      </c>
      <c r="F249" s="1270">
        <v>0</v>
      </c>
      <c r="G249" s="1270">
        <v>0</v>
      </c>
      <c r="H249" s="1270">
        <v>0</v>
      </c>
      <c r="I249" s="1270">
        <v>0</v>
      </c>
      <c r="J249" s="1270">
        <v>0</v>
      </c>
      <c r="K249" s="1270">
        <v>0</v>
      </c>
      <c r="L249" s="1270">
        <v>0</v>
      </c>
      <c r="M249" s="1270">
        <v>0</v>
      </c>
      <c r="N249" s="1269"/>
      <c r="O249" s="248"/>
      <c r="P249" s="248"/>
      <c r="Q249" s="248"/>
      <c r="R249" s="248"/>
      <c r="S249" s="248"/>
      <c r="T249" s="248"/>
      <c r="U249" s="248"/>
      <c r="V249" s="248"/>
      <c r="W249" s="248"/>
      <c r="X249" s="248"/>
    </row>
    <row r="250" spans="1:24" s="603" customFormat="1" ht="15" customHeight="1">
      <c r="A250" s="663"/>
      <c r="B250" s="667"/>
      <c r="C250" s="270"/>
      <c r="D250" s="281"/>
      <c r="E250" s="30" t="s">
        <v>894</v>
      </c>
      <c r="F250" s="3820">
        <v>0</v>
      </c>
      <c r="G250" s="3820">
        <v>0</v>
      </c>
      <c r="H250" s="3820">
        <v>0</v>
      </c>
      <c r="I250" s="3820">
        <v>0</v>
      </c>
      <c r="J250" s="3820">
        <v>0</v>
      </c>
      <c r="K250" s="3820">
        <v>0</v>
      </c>
      <c r="L250" s="3820">
        <v>0</v>
      </c>
      <c r="M250" s="3820">
        <v>0</v>
      </c>
      <c r="N250" s="284"/>
      <c r="O250" s="599"/>
      <c r="P250" s="248"/>
      <c r="Q250" s="248"/>
      <c r="R250" s="248"/>
      <c r="S250" s="248"/>
      <c r="T250" s="248"/>
      <c r="U250" s="248"/>
      <c r="V250" s="248"/>
      <c r="W250" s="248"/>
      <c r="X250" s="248"/>
    </row>
    <row r="251" spans="1:24" customFormat="1" ht="15" customHeight="1">
      <c r="A251" s="663"/>
      <c r="B251" s="667"/>
      <c r="D251" s="281"/>
      <c r="E251" s="32" t="s">
        <v>603</v>
      </c>
      <c r="F251" s="1517">
        <v>0</v>
      </c>
      <c r="G251" s="1517">
        <v>0</v>
      </c>
      <c r="H251" s="1517">
        <v>0</v>
      </c>
      <c r="I251" s="1517">
        <v>0</v>
      </c>
      <c r="J251" s="1517">
        <v>0</v>
      </c>
      <c r="K251" s="1517">
        <v>0</v>
      </c>
      <c r="L251" s="1517">
        <v>0</v>
      </c>
      <c r="M251" s="1517">
        <v>0</v>
      </c>
      <c r="N251" s="1268"/>
      <c r="O251" s="248"/>
      <c r="P251" s="248"/>
      <c r="Q251" s="248"/>
      <c r="R251" s="248"/>
      <c r="S251" s="248"/>
      <c r="T251" s="248"/>
      <c r="U251" s="248"/>
      <c r="V251" s="248"/>
      <c r="W251" s="248"/>
      <c r="X251" s="248"/>
    </row>
    <row r="252" spans="1:24" customFormat="1" ht="15" customHeight="1">
      <c r="A252" s="663"/>
      <c r="B252" s="667"/>
      <c r="D252" s="11"/>
      <c r="E252" s="12"/>
      <c r="F252" s="2933"/>
      <c r="G252" s="2933"/>
      <c r="H252" s="2933"/>
      <c r="I252" s="2933"/>
      <c r="J252" s="2933"/>
      <c r="K252" s="2933"/>
      <c r="L252" s="2933"/>
      <c r="M252" s="2933"/>
      <c r="N252" s="12"/>
      <c r="O252" s="248"/>
      <c r="P252" s="248"/>
      <c r="Q252" s="248"/>
      <c r="R252" s="248"/>
      <c r="S252" s="248"/>
      <c r="T252" s="248"/>
      <c r="U252" s="248"/>
      <c r="V252" s="248"/>
      <c r="W252" s="248"/>
      <c r="X252" s="248"/>
    </row>
    <row r="253" spans="1:24" customFormat="1" ht="15" customHeight="1">
      <c r="A253" s="663"/>
      <c r="B253" s="667"/>
      <c r="D253" s="11"/>
      <c r="E253" s="26" t="s">
        <v>2385</v>
      </c>
      <c r="F253" s="851"/>
      <c r="G253" s="773"/>
      <c r="H253" s="802"/>
      <c r="I253" s="802"/>
      <c r="J253" s="802"/>
      <c r="K253" s="802"/>
      <c r="L253" s="786"/>
      <c r="M253" s="786"/>
      <c r="N253" s="12"/>
      <c r="O253" s="599"/>
      <c r="P253" s="248"/>
      <c r="Q253" s="248"/>
      <c r="R253" s="248"/>
      <c r="S253" s="248"/>
      <c r="T253" s="248"/>
      <c r="U253" s="248"/>
      <c r="V253" s="248"/>
      <c r="W253" s="248"/>
      <c r="X253" s="248"/>
    </row>
    <row r="254" spans="1:24" s="270" customFormat="1" ht="15" customHeight="1">
      <c r="A254" s="663"/>
      <c r="B254" s="667"/>
      <c r="D254" s="11"/>
      <c r="E254" s="268" t="s">
        <v>859</v>
      </c>
      <c r="F254" s="815">
        <v>2018</v>
      </c>
      <c r="G254" s="815">
        <v>2020</v>
      </c>
      <c r="H254" s="815">
        <v>2025</v>
      </c>
      <c r="I254" s="815">
        <v>2030</v>
      </c>
      <c r="J254" s="815">
        <v>2035</v>
      </c>
      <c r="K254" s="815">
        <v>2040</v>
      </c>
      <c r="L254" s="815">
        <v>2045</v>
      </c>
      <c r="M254" s="815">
        <v>2050</v>
      </c>
      <c r="N254" s="12"/>
      <c r="O254" s="248"/>
      <c r="P254" s="248"/>
      <c r="Q254" s="248"/>
      <c r="R254" s="248"/>
      <c r="S254" s="248"/>
      <c r="T254" s="248"/>
      <c r="U254" s="248"/>
      <c r="V254" s="248"/>
      <c r="W254" s="248"/>
      <c r="X254" s="248"/>
    </row>
    <row r="255" spans="1:24" s="270" customFormat="1" ht="15" customHeight="1">
      <c r="A255" s="663"/>
      <c r="B255" s="667"/>
      <c r="D255" s="281"/>
      <c r="E255" s="607" t="s">
        <v>904</v>
      </c>
      <c r="F255" s="3815">
        <f>6.6</f>
        <v>6.6</v>
      </c>
      <c r="G255" s="3815">
        <f t="shared" ref="G255:M255" si="1">6.6</f>
        <v>6.6</v>
      </c>
      <c r="H255" s="3815">
        <f t="shared" si="1"/>
        <v>6.6</v>
      </c>
      <c r="I255" s="3815">
        <f t="shared" si="1"/>
        <v>6.6</v>
      </c>
      <c r="J255" s="3815">
        <f t="shared" si="1"/>
        <v>6.6</v>
      </c>
      <c r="K255" s="3815">
        <f t="shared" si="1"/>
        <v>6.6</v>
      </c>
      <c r="L255" s="3815">
        <f t="shared" si="1"/>
        <v>6.6</v>
      </c>
      <c r="M255" s="3815">
        <f t="shared" si="1"/>
        <v>6.6</v>
      </c>
      <c r="N255" s="269"/>
      <c r="O255" s="248"/>
      <c r="P255" s="248"/>
      <c r="Q255" s="248"/>
      <c r="R255" s="248"/>
      <c r="S255" s="248"/>
      <c r="T255" s="248"/>
      <c r="U255" s="248"/>
      <c r="V255" s="248"/>
      <c r="W255" s="248"/>
      <c r="X255" s="248"/>
    </row>
    <row r="256" spans="1:24" s="270" customFormat="1" ht="15" customHeight="1">
      <c r="A256" s="663"/>
      <c r="B256" s="667"/>
      <c r="D256" s="281"/>
      <c r="E256" s="30" t="s">
        <v>905</v>
      </c>
      <c r="F256" s="3816">
        <v>9.5</v>
      </c>
      <c r="G256" s="3816">
        <v>9.5</v>
      </c>
      <c r="H256" s="3816">
        <v>9.5</v>
      </c>
      <c r="I256" s="3816">
        <v>9.5</v>
      </c>
      <c r="J256" s="3816">
        <v>9.5</v>
      </c>
      <c r="K256" s="3816">
        <v>9.5</v>
      </c>
      <c r="L256" s="3816">
        <v>9.5</v>
      </c>
      <c r="M256" s="3816">
        <v>9.5</v>
      </c>
      <c r="N256" s="269"/>
      <c r="O256" s="248"/>
      <c r="P256" s="248"/>
      <c r="Q256" s="248"/>
      <c r="R256" s="248"/>
      <c r="S256" s="248"/>
      <c r="T256" s="248"/>
      <c r="U256" s="248"/>
      <c r="V256" s="248"/>
      <c r="W256" s="248"/>
      <c r="X256" s="248"/>
    </row>
    <row r="257" spans="1:24" s="270" customFormat="1" ht="15" customHeight="1">
      <c r="A257" s="663"/>
      <c r="B257" s="667"/>
      <c r="D257" s="281"/>
      <c r="E257" s="30" t="s">
        <v>906</v>
      </c>
      <c r="F257" s="3817">
        <v>1.5</v>
      </c>
      <c r="G257" s="3817">
        <v>1.5</v>
      </c>
      <c r="H257" s="3817">
        <v>1.5</v>
      </c>
      <c r="I257" s="3817">
        <v>1.5</v>
      </c>
      <c r="J257" s="3817">
        <v>1.5</v>
      </c>
      <c r="K257" s="3817">
        <v>1.5</v>
      </c>
      <c r="L257" s="3817">
        <v>1.5</v>
      </c>
      <c r="M257" s="3817">
        <v>1.5</v>
      </c>
      <c r="N257" s="269"/>
      <c r="O257" s="599"/>
      <c r="P257" s="248"/>
      <c r="Q257" s="248"/>
      <c r="R257" s="248"/>
      <c r="S257" s="248"/>
      <c r="T257" s="248"/>
      <c r="U257" s="248"/>
      <c r="V257" s="248"/>
      <c r="W257" s="248"/>
      <c r="X257" s="248"/>
    </row>
    <row r="258" spans="1:24" s="270" customFormat="1" ht="15" customHeight="1">
      <c r="A258" s="663"/>
      <c r="B258" s="667"/>
      <c r="D258" s="281"/>
      <c r="E258" s="30" t="s">
        <v>907</v>
      </c>
      <c r="F258" s="3818">
        <v>0.26</v>
      </c>
      <c r="G258" s="3818">
        <v>0.26</v>
      </c>
      <c r="H258" s="3818">
        <v>0.26</v>
      </c>
      <c r="I258" s="3818">
        <v>0.26</v>
      </c>
      <c r="J258" s="3818">
        <v>0.26</v>
      </c>
      <c r="K258" s="3818">
        <v>0.26</v>
      </c>
      <c r="L258" s="3818">
        <v>0.26</v>
      </c>
      <c r="M258" s="3818">
        <v>0.26</v>
      </c>
      <c r="N258" s="269"/>
      <c r="O258" s="248"/>
      <c r="P258" s="248"/>
      <c r="Q258" s="248"/>
      <c r="R258" s="248"/>
      <c r="S258" s="248"/>
      <c r="T258" s="248"/>
      <c r="U258" s="248"/>
      <c r="V258" s="248"/>
      <c r="W258" s="248"/>
      <c r="X258" s="248"/>
    </row>
    <row r="259" spans="1:24" s="603" customFormat="1" ht="15" customHeight="1">
      <c r="A259" s="663"/>
      <c r="B259" s="667"/>
      <c r="C259" s="270"/>
      <c r="D259" s="281"/>
      <c r="E259" s="30" t="s">
        <v>498</v>
      </c>
      <c r="F259" s="3819">
        <v>0</v>
      </c>
      <c r="G259" s="3819">
        <v>0</v>
      </c>
      <c r="H259" s="3819">
        <v>0</v>
      </c>
      <c r="I259" s="3819">
        <v>0</v>
      </c>
      <c r="J259" s="3819">
        <v>0</v>
      </c>
      <c r="K259" s="3819">
        <v>0</v>
      </c>
      <c r="L259" s="3819">
        <v>0</v>
      </c>
      <c r="M259" s="3819">
        <v>0</v>
      </c>
      <c r="N259" s="269"/>
      <c r="O259" s="248"/>
      <c r="P259" s="248"/>
      <c r="Q259" s="248"/>
      <c r="R259" s="248"/>
      <c r="S259" s="248"/>
      <c r="T259" s="248"/>
      <c r="U259" s="248"/>
      <c r="V259" s="248"/>
      <c r="W259" s="248"/>
      <c r="X259" s="248"/>
    </row>
    <row r="260" spans="1:24" s="603" customFormat="1" ht="15" customHeight="1">
      <c r="A260" s="663"/>
      <c r="B260" s="667"/>
      <c r="C260" s="270"/>
      <c r="D260" s="272"/>
      <c r="E260" s="30" t="s">
        <v>908</v>
      </c>
      <c r="F260" s="1270">
        <v>0</v>
      </c>
      <c r="G260" s="1270">
        <v>0</v>
      </c>
      <c r="H260" s="1270">
        <v>0</v>
      </c>
      <c r="I260" s="1270">
        <v>0</v>
      </c>
      <c r="J260" s="1270">
        <v>0</v>
      </c>
      <c r="K260" s="1270">
        <v>0</v>
      </c>
      <c r="L260" s="1270">
        <v>0</v>
      </c>
      <c r="M260" s="1270">
        <v>0</v>
      </c>
      <c r="N260" s="269"/>
      <c r="O260" s="248"/>
      <c r="P260" s="248"/>
      <c r="Q260" s="248"/>
      <c r="R260" s="248"/>
      <c r="S260" s="248"/>
      <c r="T260" s="248"/>
      <c r="U260" s="248"/>
      <c r="V260" s="248"/>
      <c r="W260" s="248"/>
      <c r="X260" s="248"/>
    </row>
    <row r="261" spans="1:24" s="270" customFormat="1" ht="15" customHeight="1">
      <c r="A261" s="663"/>
      <c r="B261" s="667"/>
      <c r="D261" s="272"/>
      <c r="E261" s="30" t="s">
        <v>909</v>
      </c>
      <c r="F261" s="1270">
        <v>0</v>
      </c>
      <c r="G261" s="1270">
        <v>0</v>
      </c>
      <c r="H261" s="1270">
        <v>0</v>
      </c>
      <c r="I261" s="1270">
        <v>0</v>
      </c>
      <c r="J261" s="1270">
        <v>0</v>
      </c>
      <c r="K261" s="1270">
        <v>0</v>
      </c>
      <c r="L261" s="1270">
        <v>0</v>
      </c>
      <c r="M261" s="1270">
        <v>0</v>
      </c>
      <c r="N261" s="269"/>
      <c r="O261" s="248"/>
      <c r="P261" s="248"/>
      <c r="Q261" s="248"/>
      <c r="R261" s="248"/>
      <c r="S261" s="248"/>
      <c r="T261" s="248"/>
      <c r="U261" s="248"/>
      <c r="V261" s="248"/>
      <c r="W261" s="248"/>
      <c r="X261" s="248"/>
    </row>
    <row r="262" spans="1:24" s="270" customFormat="1" ht="15" customHeight="1">
      <c r="A262" s="663"/>
      <c r="B262" s="667"/>
      <c r="D262" s="281"/>
      <c r="E262" s="30" t="s">
        <v>894</v>
      </c>
      <c r="F262" s="3820">
        <v>0</v>
      </c>
      <c r="G262" s="3820">
        <v>0</v>
      </c>
      <c r="H262" s="3820">
        <v>0</v>
      </c>
      <c r="I262" s="3820">
        <v>0</v>
      </c>
      <c r="J262" s="3820">
        <v>0</v>
      </c>
      <c r="K262" s="3820">
        <v>0</v>
      </c>
      <c r="L262" s="3820">
        <v>0</v>
      </c>
      <c r="M262" s="3820">
        <v>0</v>
      </c>
      <c r="N262" s="269"/>
      <c r="O262" s="248"/>
      <c r="P262" s="248"/>
      <c r="Q262" s="248"/>
      <c r="R262" s="248"/>
      <c r="S262" s="248"/>
      <c r="T262" s="248"/>
      <c r="U262" s="248"/>
      <c r="V262" s="248"/>
      <c r="W262" s="248"/>
      <c r="X262" s="248"/>
    </row>
    <row r="263" spans="1:24" customFormat="1" ht="15" customHeight="1">
      <c r="A263" s="663"/>
      <c r="B263" s="667"/>
      <c r="D263" s="281"/>
      <c r="E263" s="32" t="s">
        <v>603</v>
      </c>
      <c r="F263" s="1517">
        <v>0</v>
      </c>
      <c r="G263" s="1517">
        <v>0</v>
      </c>
      <c r="H263" s="1517">
        <v>0</v>
      </c>
      <c r="I263" s="1517">
        <v>0</v>
      </c>
      <c r="J263" s="1517">
        <v>0</v>
      </c>
      <c r="K263" s="1517">
        <v>0</v>
      </c>
      <c r="L263" s="1517">
        <v>0</v>
      </c>
      <c r="M263" s="1517">
        <v>0</v>
      </c>
      <c r="N263" s="269"/>
      <c r="O263" s="599"/>
      <c r="P263" s="248"/>
      <c r="Q263" s="248"/>
      <c r="R263" s="248"/>
      <c r="S263" s="248"/>
      <c r="T263" s="248"/>
      <c r="U263" s="248"/>
      <c r="V263" s="248"/>
      <c r="W263" s="248"/>
      <c r="X263" s="248"/>
    </row>
    <row r="264" spans="1:24" customFormat="1" ht="15" customHeight="1">
      <c r="A264" s="663"/>
      <c r="B264" s="667"/>
      <c r="D264" s="11"/>
      <c r="E264" s="12"/>
      <c r="F264" s="752"/>
      <c r="G264" s="752"/>
      <c r="H264" s="752"/>
      <c r="I264" s="752"/>
      <c r="J264" s="752"/>
      <c r="K264" s="752"/>
      <c r="L264" s="752"/>
      <c r="M264" s="752"/>
      <c r="N264" s="12"/>
      <c r="O264" s="248"/>
      <c r="P264" s="248"/>
      <c r="Q264" s="248"/>
      <c r="R264" s="248"/>
      <c r="S264" s="248"/>
      <c r="T264" s="248"/>
      <c r="U264" s="248"/>
      <c r="V264" s="248"/>
      <c r="W264" s="248"/>
      <c r="X264" s="248"/>
    </row>
    <row r="265" spans="1:24" s="603" customFormat="1" ht="15" customHeight="1">
      <c r="A265" s="663"/>
      <c r="B265" s="667"/>
      <c r="C265" s="270"/>
      <c r="D265" s="11"/>
      <c r="E265" s="940" t="s">
        <v>2386</v>
      </c>
      <c r="F265" s="843"/>
      <c r="G265" s="843"/>
      <c r="H265" s="843"/>
      <c r="I265" s="843"/>
      <c r="J265" s="843"/>
      <c r="K265" s="843"/>
      <c r="L265" s="843"/>
      <c r="M265" s="843"/>
      <c r="N265" s="12"/>
    </row>
    <row r="266" spans="1:24" s="603" customFormat="1" ht="15" customHeight="1">
      <c r="A266" s="663"/>
      <c r="B266" s="667"/>
      <c r="C266" s="270"/>
      <c r="D266" s="281"/>
      <c r="E266" s="26"/>
      <c r="F266" s="851"/>
      <c r="G266" s="773"/>
      <c r="H266" s="802"/>
      <c r="I266" s="802"/>
      <c r="J266" s="802"/>
      <c r="K266" s="802"/>
      <c r="L266" s="786"/>
      <c r="M266" s="786"/>
      <c r="N266" s="282"/>
    </row>
    <row r="267" spans="1:24" s="603" customFormat="1" ht="15" customHeight="1">
      <c r="A267" s="663"/>
      <c r="B267" s="667"/>
      <c r="C267" s="270"/>
      <c r="D267" s="281"/>
      <c r="E267" s="286" t="s">
        <v>2376</v>
      </c>
      <c r="F267" s="852"/>
      <c r="G267" s="853"/>
      <c r="H267" s="853"/>
      <c r="I267" s="853"/>
      <c r="J267" s="853"/>
      <c r="K267" s="853"/>
      <c r="L267" s="853"/>
      <c r="M267" s="854" t="s">
        <v>2272</v>
      </c>
      <c r="N267" s="282"/>
    </row>
    <row r="268" spans="1:24" s="603" customFormat="1" ht="15" customHeight="1">
      <c r="A268" s="663"/>
      <c r="B268" s="667"/>
      <c r="C268" s="270"/>
      <c r="D268" s="281"/>
      <c r="E268" s="258"/>
      <c r="F268" s="814">
        <v>2018</v>
      </c>
      <c r="G268" s="814">
        <v>2020</v>
      </c>
      <c r="H268" s="814">
        <v>2025</v>
      </c>
      <c r="I268" s="814">
        <v>2030</v>
      </c>
      <c r="J268" s="814">
        <v>2035</v>
      </c>
      <c r="K268" s="814">
        <v>2040</v>
      </c>
      <c r="L268" s="814">
        <v>2045</v>
      </c>
      <c r="M268" s="814">
        <v>2050</v>
      </c>
      <c r="N268" s="276"/>
      <c r="O268" s="610"/>
    </row>
    <row r="269" spans="1:24" s="603" customFormat="1" ht="15" customHeight="1">
      <c r="A269" s="663"/>
      <c r="B269" s="667"/>
      <c r="C269" s="270"/>
      <c r="D269" s="281"/>
      <c r="E269" s="286" t="s">
        <v>2384</v>
      </c>
      <c r="F269" s="3821">
        <v>24950</v>
      </c>
      <c r="G269" s="3821">
        <v>24950</v>
      </c>
      <c r="H269" s="3821">
        <v>24950</v>
      </c>
      <c r="I269" s="3821">
        <v>24950</v>
      </c>
      <c r="J269" s="3821">
        <v>24950</v>
      </c>
      <c r="K269" s="3821">
        <v>24950</v>
      </c>
      <c r="L269" s="3821">
        <v>24950</v>
      </c>
      <c r="M269" s="3821">
        <v>24950</v>
      </c>
      <c r="N269" s="285"/>
    </row>
    <row r="270" spans="1:24" s="603" customFormat="1" ht="15" customHeight="1">
      <c r="A270" s="663"/>
      <c r="B270" s="667"/>
      <c r="C270" s="270"/>
      <c r="D270" s="281"/>
      <c r="E270" s="288" t="s">
        <v>2385</v>
      </c>
      <c r="F270" s="3822">
        <v>59000</v>
      </c>
      <c r="G270" s="3822">
        <v>59000</v>
      </c>
      <c r="H270" s="3822">
        <v>59000</v>
      </c>
      <c r="I270" s="3822">
        <v>59000</v>
      </c>
      <c r="J270" s="3822">
        <v>59000</v>
      </c>
      <c r="K270" s="3822">
        <v>59000</v>
      </c>
      <c r="L270" s="3822">
        <v>59000</v>
      </c>
      <c r="M270" s="3822">
        <v>59000</v>
      </c>
      <c r="N270" s="285"/>
    </row>
    <row r="271" spans="1:24" s="603" customFormat="1" ht="15" customHeight="1">
      <c r="A271" s="663"/>
      <c r="B271" s="667"/>
      <c r="C271" s="270"/>
      <c r="D271" s="281"/>
      <c r="E271" s="289"/>
      <c r="F271" s="773"/>
      <c r="G271" s="773"/>
      <c r="H271" s="829"/>
      <c r="I271" s="829"/>
      <c r="J271" s="829"/>
      <c r="K271" s="829"/>
      <c r="L271" s="829"/>
      <c r="M271" s="829"/>
      <c r="N271" s="285"/>
    </row>
    <row r="272" spans="1:24" s="603" customFormat="1" ht="15" customHeight="1">
      <c r="A272" s="663"/>
      <c r="B272" s="667"/>
      <c r="C272" s="270"/>
      <c r="D272" s="281"/>
      <c r="E272" s="940" t="s">
        <v>924</v>
      </c>
      <c r="F272" s="843"/>
      <c r="G272" s="843"/>
      <c r="H272" s="843"/>
      <c r="I272" s="843"/>
      <c r="J272" s="843"/>
      <c r="K272" s="843"/>
      <c r="L272" s="843"/>
      <c r="M272" s="843"/>
      <c r="N272" s="285"/>
      <c r="P272" s="270"/>
    </row>
    <row r="273" spans="1:24" s="603" customFormat="1" ht="15" customHeight="1">
      <c r="A273" s="663"/>
      <c r="B273" s="667"/>
      <c r="C273" s="270"/>
      <c r="D273" s="281"/>
      <c r="E273" s="249"/>
      <c r="F273" s="855"/>
      <c r="G273" s="855"/>
      <c r="H273" s="855"/>
      <c r="I273" s="855"/>
      <c r="J273" s="855"/>
      <c r="K273" s="855"/>
      <c r="L273" s="855"/>
      <c r="M273" s="855"/>
      <c r="N273" s="285"/>
      <c r="P273" s="270"/>
    </row>
    <row r="274" spans="1:24" s="603" customFormat="1" ht="15" customHeight="1">
      <c r="A274" s="663"/>
      <c r="B274" s="667"/>
      <c r="C274" s="270"/>
      <c r="D274" s="281"/>
      <c r="E274" s="286" t="s">
        <v>2376</v>
      </c>
      <c r="F274" s="773"/>
      <c r="G274" s="773"/>
      <c r="H274" s="829"/>
      <c r="I274" s="829"/>
      <c r="J274" s="829"/>
      <c r="K274" s="829"/>
      <c r="L274" s="829"/>
      <c r="M274" s="829"/>
      <c r="N274" s="285"/>
      <c r="P274" s="270"/>
    </row>
    <row r="275" spans="1:24" s="603" customFormat="1" ht="15" customHeight="1">
      <c r="A275" s="663"/>
      <c r="B275" s="667"/>
      <c r="C275" s="270"/>
      <c r="D275" s="281"/>
      <c r="E275" s="608" t="s">
        <v>859</v>
      </c>
      <c r="F275" s="856" t="s">
        <v>2276</v>
      </c>
      <c r="G275" s="773"/>
      <c r="H275" s="829"/>
      <c r="I275" s="829"/>
      <c r="J275" s="829"/>
      <c r="K275" s="829"/>
      <c r="L275" s="829"/>
      <c r="M275" s="829"/>
      <c r="N275" s="285"/>
      <c r="P275" s="270"/>
    </row>
    <row r="276" spans="1:24" s="603" customFormat="1" ht="15" customHeight="1">
      <c r="A276" s="663"/>
      <c r="B276" s="667"/>
      <c r="C276" s="270"/>
      <c r="D276" s="272"/>
      <c r="E276" s="337" t="s">
        <v>889</v>
      </c>
      <c r="F276" s="3823">
        <v>12.5</v>
      </c>
      <c r="G276" s="857"/>
      <c r="H276" s="858"/>
      <c r="I276" s="858"/>
      <c r="J276" s="858"/>
      <c r="K276" s="858"/>
      <c r="L276" s="858"/>
      <c r="M276" s="858"/>
      <c r="N276" s="292"/>
      <c r="P276" s="270"/>
    </row>
    <row r="277" spans="1:24" s="603" customFormat="1" ht="15" customHeight="1">
      <c r="A277" s="663"/>
      <c r="B277" s="667"/>
      <c r="C277" s="270"/>
      <c r="D277" s="272"/>
      <c r="E277" s="30" t="s">
        <v>890</v>
      </c>
      <c r="F277" s="3824">
        <v>12.5</v>
      </c>
      <c r="G277" s="857"/>
      <c r="H277" s="858"/>
      <c r="I277" s="858"/>
      <c r="J277" s="858"/>
      <c r="K277" s="858"/>
      <c r="L277" s="858"/>
      <c r="M277" s="858"/>
      <c r="N277" s="292"/>
      <c r="P277" s="270"/>
    </row>
    <row r="278" spans="1:24" s="603" customFormat="1" ht="15" customHeight="1">
      <c r="A278" s="663"/>
      <c r="B278" s="667"/>
      <c r="C278" s="270"/>
      <c r="D278" s="272"/>
      <c r="E278" s="30" t="s">
        <v>2379</v>
      </c>
      <c r="F278" s="3824">
        <v>12.5</v>
      </c>
      <c r="G278" s="852"/>
      <c r="H278" s="852"/>
      <c r="I278" s="853"/>
      <c r="J278" s="853"/>
      <c r="K278" s="853"/>
      <c r="L278" s="853"/>
      <c r="M278" s="853"/>
      <c r="N278" s="287"/>
    </row>
    <row r="279" spans="1:24" s="603" customFormat="1" ht="15" customHeight="1">
      <c r="A279" s="663"/>
      <c r="B279" s="667"/>
      <c r="C279" s="270"/>
      <c r="D279" s="272"/>
      <c r="E279" s="30" t="s">
        <v>2270</v>
      </c>
      <c r="F279" s="3824">
        <v>12.5</v>
      </c>
      <c r="G279" s="860"/>
      <c r="H279" s="860"/>
      <c r="I279" s="860"/>
      <c r="J279" s="860"/>
      <c r="K279" s="860"/>
      <c r="L279" s="860"/>
      <c r="M279" s="860"/>
      <c r="N279" s="276"/>
    </row>
    <row r="280" spans="1:24" s="603" customFormat="1" ht="15" customHeight="1">
      <c r="A280" s="663"/>
      <c r="B280" s="667"/>
      <c r="C280" s="270"/>
      <c r="D280" s="272"/>
      <c r="E280" s="30" t="s">
        <v>498</v>
      </c>
      <c r="F280" s="2712">
        <v>12.5</v>
      </c>
      <c r="G280" s="860"/>
      <c r="H280" s="860"/>
      <c r="I280" s="860"/>
      <c r="J280" s="860"/>
      <c r="K280" s="860"/>
      <c r="L280" s="860"/>
      <c r="M280" s="860"/>
      <c r="N280" s="276"/>
      <c r="O280" s="248"/>
      <c r="P280" s="248"/>
      <c r="Q280" s="248"/>
      <c r="R280" s="248"/>
      <c r="S280" s="248"/>
      <c r="T280" s="248"/>
      <c r="U280" s="248"/>
      <c r="V280" s="248"/>
      <c r="W280" s="248"/>
      <c r="X280" s="248"/>
    </row>
    <row r="281" spans="1:24" s="603" customFormat="1" ht="15" customHeight="1">
      <c r="A281" s="663"/>
      <c r="B281" s="667"/>
      <c r="C281" s="270"/>
      <c r="D281" s="272"/>
      <c r="E281" s="30" t="s">
        <v>908</v>
      </c>
      <c r="F281" s="2712">
        <v>12.5</v>
      </c>
      <c r="G281" s="860"/>
      <c r="H281" s="860"/>
      <c r="I281" s="860"/>
      <c r="J281" s="860"/>
      <c r="K281" s="860"/>
      <c r="L281" s="860"/>
      <c r="M281" s="860"/>
      <c r="N281" s="269"/>
      <c r="O281" s="248"/>
      <c r="P281" s="248"/>
      <c r="Q281" s="248"/>
      <c r="R281" s="248"/>
      <c r="S281" s="248"/>
      <c r="T281" s="248"/>
      <c r="U281" s="248"/>
      <c r="V281" s="248"/>
      <c r="W281" s="248"/>
      <c r="X281" s="248"/>
    </row>
    <row r="282" spans="1:24" s="603" customFormat="1" ht="15" customHeight="1">
      <c r="A282" s="663"/>
      <c r="B282" s="667"/>
      <c r="C282" s="270"/>
      <c r="D282" s="272"/>
      <c r="E282" s="30" t="s">
        <v>909</v>
      </c>
      <c r="F282" s="2712">
        <v>12.5</v>
      </c>
      <c r="G282" s="860"/>
      <c r="H282" s="860"/>
      <c r="I282" s="860"/>
      <c r="J282" s="860"/>
      <c r="K282" s="860"/>
      <c r="L282" s="860"/>
      <c r="M282" s="860"/>
      <c r="N282" s="269"/>
    </row>
    <row r="283" spans="1:24" s="603" customFormat="1" ht="15" customHeight="1">
      <c r="A283" s="663"/>
      <c r="B283" s="667"/>
      <c r="C283" s="270"/>
      <c r="D283" s="272"/>
      <c r="E283" s="30" t="s">
        <v>894</v>
      </c>
      <c r="F283" s="3824">
        <v>12.5</v>
      </c>
      <c r="G283" s="860"/>
      <c r="H283" s="860"/>
      <c r="I283" s="860"/>
      <c r="J283" s="860"/>
      <c r="K283" s="860"/>
      <c r="L283" s="860"/>
      <c r="M283" s="860"/>
      <c r="N283" s="276"/>
    </row>
    <row r="284" spans="1:24" s="603" customFormat="1" ht="15" customHeight="1">
      <c r="A284" s="663"/>
      <c r="B284" s="667"/>
      <c r="C284" s="270"/>
      <c r="D284" s="272"/>
      <c r="E284" s="32" t="s">
        <v>603</v>
      </c>
      <c r="F284" s="2713">
        <v>12.5</v>
      </c>
      <c r="G284" s="860"/>
      <c r="H284" s="860"/>
      <c r="I284" s="860"/>
      <c r="J284" s="860"/>
      <c r="K284" s="860"/>
      <c r="L284" s="860"/>
      <c r="M284" s="860"/>
      <c r="N284" s="276"/>
    </row>
    <row r="285" spans="1:24" s="603" customFormat="1" ht="15" customHeight="1">
      <c r="A285" s="663"/>
      <c r="B285" s="667"/>
      <c r="C285" s="270"/>
      <c r="D285" s="272"/>
      <c r="E285" s="291"/>
      <c r="F285" s="859"/>
      <c r="G285" s="860"/>
      <c r="H285" s="860"/>
      <c r="I285" s="860"/>
      <c r="J285" s="860"/>
      <c r="K285" s="860"/>
      <c r="L285" s="860"/>
      <c r="M285" s="860"/>
      <c r="N285" s="276"/>
    </row>
    <row r="286" spans="1:24" s="603" customFormat="1" ht="15" customHeight="1">
      <c r="A286" s="663"/>
      <c r="B286" s="667"/>
      <c r="D286" s="272"/>
      <c r="E286" s="940" t="s">
        <v>1363</v>
      </c>
      <c r="F286" s="14"/>
      <c r="G286" s="14"/>
      <c r="H286" s="14"/>
      <c r="I286" s="14"/>
      <c r="J286" s="14"/>
      <c r="K286" s="14"/>
      <c r="L286" s="14"/>
      <c r="M286" s="14"/>
      <c r="N286" s="383"/>
    </row>
    <row r="287" spans="1:24" ht="15" customHeight="1">
      <c r="D287" s="272"/>
      <c r="E287" s="37"/>
      <c r="F287" s="37"/>
      <c r="G287" s="37"/>
      <c r="H287" s="37"/>
      <c r="I287" s="37"/>
      <c r="J287" s="37"/>
      <c r="K287" s="37"/>
      <c r="L287" s="37"/>
      <c r="M287" s="37"/>
      <c r="N287" s="383"/>
    </row>
    <row r="288" spans="1:24" ht="15" customHeight="1">
      <c r="D288" s="272"/>
      <c r="E288" s="12" t="s">
        <v>2376</v>
      </c>
      <c r="F288" s="341"/>
      <c r="G288" s="341"/>
      <c r="H288" s="341"/>
      <c r="I288" s="341"/>
      <c r="J288" s="341"/>
      <c r="K288" s="341"/>
      <c r="L288" s="341"/>
      <c r="M288" s="341" t="s">
        <v>2387</v>
      </c>
      <c r="N288" s="383"/>
    </row>
    <row r="289" spans="1:34" ht="15" customHeight="1">
      <c r="D289" s="272"/>
      <c r="E289" s="268" t="s">
        <v>859</v>
      </c>
      <c r="F289" s="815">
        <v>2018</v>
      </c>
      <c r="G289" s="815">
        <v>2020</v>
      </c>
      <c r="H289" s="815">
        <v>2025</v>
      </c>
      <c r="I289" s="815">
        <v>2030</v>
      </c>
      <c r="J289" s="815">
        <v>2035</v>
      </c>
      <c r="K289" s="815">
        <v>2040</v>
      </c>
      <c r="L289" s="815">
        <v>2045</v>
      </c>
      <c r="M289" s="815">
        <v>2050</v>
      </c>
      <c r="N289" s="383"/>
    </row>
    <row r="290" spans="1:34" s="248" customFormat="1" ht="15" customHeight="1">
      <c r="A290" s="663"/>
      <c r="B290" s="667"/>
      <c r="D290" s="272"/>
      <c r="E290" s="337" t="s">
        <v>889</v>
      </c>
      <c r="F290" s="2764" cm="1">
        <f t="array" ref="F290:M290">(INDEX(ST_TRANSPORTE_INTERURBANO_DISTANCIA_TRANSPORTE_CARRETERO,0)*INDEX(ST_TRANSPORTE_INTERURBANO_DISTRIBUCION_TECNOLOGIA_CARRETERO,VEHICULO_COMBUSTION_CONVENCIONAL_GASOLINA,0))/INDEX(SF_DISTANCIA_MODO_URBANO,0)</f>
        <v>5531.1056161950164</v>
      </c>
      <c r="G290" s="2764">
        <v>4536.7100827226877</v>
      </c>
      <c r="H290" s="2764">
        <v>6073.5024316715298</v>
      </c>
      <c r="I290" s="2764">
        <v>7741.3341499997559</v>
      </c>
      <c r="J290" s="2764">
        <v>9638.3244604974498</v>
      </c>
      <c r="K290" s="2764">
        <v>11876.527766231662</v>
      </c>
      <c r="L290" s="2764">
        <v>14610.840741108457</v>
      </c>
      <c r="M290" s="2764">
        <v>17960.450767438917</v>
      </c>
      <c r="N290" s="383"/>
      <c r="O290" s="3333"/>
      <c r="P290" s="599"/>
    </row>
    <row r="291" spans="1:34" s="248" customFormat="1" ht="15" customHeight="1">
      <c r="A291" s="663"/>
      <c r="B291" s="667"/>
      <c r="D291" s="272"/>
      <c r="E291" s="30" t="s">
        <v>890</v>
      </c>
      <c r="F291" s="2765" cm="1">
        <f t="array" ref="F291:M291">(INDEX(ST_TRANSPORTE_INTERURBANO_DISTANCIA_TRANSPORTE_CARRETERO,0)*INDEX(ST_TRANSPORTE_INTERURBANO_DISTRIBUCION_TECNOLOGIA_CARRETERO,VEHICULO_COMBUSTION_CONVENCIONAL_DIESEL,0))/INDEX(SF_DISTANCIA_MODO_URBANO,0)</f>
        <v>16627.98761475673</v>
      </c>
      <c r="G291" s="2765">
        <v>24083.987697275923</v>
      </c>
      <c r="H291" s="2765">
        <v>31761.465999369873</v>
      </c>
      <c r="I291" s="2765">
        <v>38608.004244578762</v>
      </c>
      <c r="J291" s="2765">
        <v>43379.284762876792</v>
      </c>
      <c r="K291" s="2765">
        <v>46220.602121320699</v>
      </c>
      <c r="L291" s="2765">
        <v>51578.101812858607</v>
      </c>
      <c r="M291" s="2765">
        <v>60947.0294741998</v>
      </c>
      <c r="N291" s="383"/>
    </row>
    <row r="292" spans="1:34" s="248" customFormat="1" ht="15" customHeight="1">
      <c r="A292" s="663"/>
      <c r="B292" s="667"/>
      <c r="D292" s="272"/>
      <c r="E292" s="30" t="s">
        <v>2379</v>
      </c>
      <c r="F292" s="2765" cm="1">
        <f t="array" ref="F292:M292">(INDEX(ST_TRANSPORTE_INTERURBANO_DISTANCIA_TRANSPORTE_CARRETERO,0)*INDEX(ST_TRANSPORTE_INTERURBANO_DISTRIBUCION_TECNOLOGIA_CARRETERO,3,0))/INDEX(SF_DISTANCIA_MODO_URBANO,0)</f>
        <v>185.99188433388562</v>
      </c>
      <c r="G292" s="2765">
        <v>291.59349968449339</v>
      </c>
      <c r="H292" s="2765">
        <v>390.36962845342924</v>
      </c>
      <c r="I292" s="2765">
        <v>497.56821041356659</v>
      </c>
      <c r="J292" s="2765">
        <v>619.49578202811097</v>
      </c>
      <c r="K292" s="2765">
        <v>763.35455259622245</v>
      </c>
      <c r="L292" s="2765">
        <v>939.10038493703223</v>
      </c>
      <c r="M292" s="2765">
        <v>1154.3939550233513</v>
      </c>
      <c r="N292" s="383"/>
    </row>
    <row r="293" spans="1:34" s="248" customFormat="1" ht="15" customHeight="1">
      <c r="A293" s="663"/>
      <c r="B293" s="667"/>
      <c r="D293" s="272"/>
      <c r="E293" s="30" t="s">
        <v>2270</v>
      </c>
      <c r="F293" s="2765" cm="1">
        <f t="array" ref="F293:M293">(INDEX(ST_TRANSPORTE_INTERURBANO_DISTANCIA_TRANSPORTE_CARRETERO,0)*INDEX(ST_TRANSPORTE_INTERURBANO_DISTRIBUCION_TECNOLOGIA_CARRETERO,4,0))/INDEX(SF_DISTANCIA_MODO_URBANO,0)</f>
        <v>0</v>
      </c>
      <c r="G293" s="2765">
        <v>0</v>
      </c>
      <c r="H293" s="2765">
        <v>483.41717133967472</v>
      </c>
      <c r="I293" s="2765">
        <v>2001.7341023848739</v>
      </c>
      <c r="J293" s="2765">
        <v>6451.1939324269388</v>
      </c>
      <c r="K293" s="2765">
        <v>14032.42144507127</v>
      </c>
      <c r="L293" s="2765">
        <v>21819.388463041243</v>
      </c>
      <c r="M293" s="2765">
        <v>28903.203681105439</v>
      </c>
      <c r="N293" s="383"/>
      <c r="W293" s="600"/>
      <c r="X293" s="600"/>
      <c r="Y293" s="600"/>
      <c r="Z293" s="600"/>
      <c r="AA293" s="600"/>
      <c r="AB293" s="600"/>
      <c r="AC293" s="600"/>
      <c r="AD293" s="600"/>
      <c r="AE293" s="600"/>
      <c r="AF293" s="600"/>
      <c r="AG293" s="600"/>
      <c r="AH293" s="600"/>
    </row>
    <row r="294" spans="1:34" s="248" customFormat="1" ht="15" customHeight="1">
      <c r="A294" s="663"/>
      <c r="B294" s="667"/>
      <c r="D294" s="272"/>
      <c r="E294" s="30" t="s">
        <v>498</v>
      </c>
      <c r="F294" s="2765" cm="1">
        <f t="array" ref="F294:M294">(INDEX(ST_TRANSPORTE_INTERURBANO_DISTANCIA_TRANSPORTE_CARRETERO,0)*INDEX(ST_TRANSPORTE_INTERURBANO_DISTRIBUCION_TECNOLOGIA_CARRETERO,5,0))/INDEX(SF_DISTANCIA_MODO_URBANO,0)</f>
        <v>0</v>
      </c>
      <c r="G294" s="2765">
        <v>0</v>
      </c>
      <c r="H294" s="2765">
        <v>3.3231265316516265</v>
      </c>
      <c r="I294" s="2765">
        <v>39.865254715158059</v>
      </c>
      <c r="J294" s="2765">
        <v>260.26888388662252</v>
      </c>
      <c r="K294" s="2765">
        <v>534.00416123030686</v>
      </c>
      <c r="L294" s="2765">
        <v>700.68080799007419</v>
      </c>
      <c r="M294" s="2765">
        <v>867.09611043316318</v>
      </c>
      <c r="N294" s="383"/>
      <c r="W294" s="600"/>
      <c r="X294" s="600"/>
      <c r="Y294" s="600"/>
      <c r="Z294" s="600"/>
      <c r="AA294" s="600"/>
      <c r="AB294" s="601"/>
      <c r="AC294" s="601"/>
      <c r="AD294" s="601"/>
      <c r="AE294" s="602"/>
      <c r="AF294" s="602"/>
      <c r="AG294" s="602"/>
      <c r="AH294" s="602"/>
    </row>
    <row r="295" spans="1:34" s="248" customFormat="1" ht="15" customHeight="1">
      <c r="A295" s="663"/>
      <c r="B295" s="667"/>
      <c r="D295" s="272"/>
      <c r="E295" s="30" t="s">
        <v>908</v>
      </c>
      <c r="F295" s="2765" cm="1">
        <f t="array" ref="F295:M295">(INDEX(ST_TRANSPORTE_INTERURBANO_DISTANCIA_TRANSPORTE_CARRETERO,0)*INDEX(ST_TRANSPORTE_INTERURBANO_DISTRIBUCION_TECNOLOGIA_CARRETERO,6,0))/INDEX(SF_DISTANCIA_MODO_URBANO,0)</f>
        <v>0</v>
      </c>
      <c r="G295" s="2766">
        <v>0</v>
      </c>
      <c r="H295" s="2766">
        <v>0</v>
      </c>
      <c r="I295" s="2766">
        <v>0</v>
      </c>
      <c r="J295" s="2766">
        <v>0</v>
      </c>
      <c r="K295" s="2766">
        <v>0</v>
      </c>
      <c r="L295" s="2766">
        <v>0</v>
      </c>
      <c r="M295" s="2766">
        <v>0</v>
      </c>
      <c r="N295" s="383"/>
      <c r="W295" s="600"/>
      <c r="X295" s="600"/>
      <c r="Y295" s="600"/>
      <c r="Z295" s="600"/>
      <c r="AA295" s="600"/>
      <c r="AB295" s="602"/>
      <c r="AC295" s="602"/>
      <c r="AD295" s="602"/>
      <c r="AE295" s="602"/>
      <c r="AF295" s="602"/>
      <c r="AG295" s="602"/>
      <c r="AH295" s="602"/>
    </row>
    <row r="296" spans="1:34" s="248" customFormat="1" ht="15" customHeight="1">
      <c r="A296" s="663"/>
      <c r="B296" s="667"/>
      <c r="D296" s="272"/>
      <c r="E296" s="30" t="s">
        <v>909</v>
      </c>
      <c r="F296" s="2765" cm="1">
        <f t="array" ref="F296:M296">(INDEX(ST_TRANSPORTE_INTERURBANO_DISTANCIA_TRANSPORTE_CARRETERO,0)*INDEX(ST_TRANSPORTE_INTERURBANO_DISTRIBUCION_TECNOLOGIA_CARRETERO,7,0))/INDEX(SF_DISTANCIA_MODO_URBANO,0)</f>
        <v>0</v>
      </c>
      <c r="G296" s="2766">
        <v>0</v>
      </c>
      <c r="H296" s="2766">
        <v>0</v>
      </c>
      <c r="I296" s="2766">
        <v>0</v>
      </c>
      <c r="J296" s="2766">
        <v>0</v>
      </c>
      <c r="K296" s="2766">
        <v>0</v>
      </c>
      <c r="L296" s="2766">
        <v>0</v>
      </c>
      <c r="M296" s="2766">
        <v>0</v>
      </c>
      <c r="N296" s="383"/>
      <c r="W296" s="600"/>
      <c r="X296" s="600"/>
      <c r="Y296" s="600"/>
      <c r="Z296" s="600"/>
      <c r="AA296" s="600"/>
    </row>
    <row r="297" spans="1:34" s="248" customFormat="1" ht="15" customHeight="1">
      <c r="A297" s="663"/>
      <c r="B297" s="667"/>
      <c r="D297" s="272"/>
      <c r="E297" s="30" t="s">
        <v>894</v>
      </c>
      <c r="F297" s="2765" cm="1">
        <f t="array" ref="F297:M297">(INDEX(ST_TRANSPORTE_INTERURBANO_DISTANCIA_TRANSPORTE_CARRETERO,0)*INDEX(ST_TRANSPORTE_INTERURBANO_DISTRIBUCION_TECNOLOGIA_CARRETERO,8,0))/INDEX(SF_DISTANCIA_MODO_URBANO,0)</f>
        <v>23.151124508186605</v>
      </c>
      <c r="G297" s="2766">
        <v>88.777590289520276</v>
      </c>
      <c r="H297" s="2766">
        <v>383.72337539012602</v>
      </c>
      <c r="I297" s="2766">
        <v>943.06243185545793</v>
      </c>
      <c r="J297" s="2766">
        <v>1694.3845575551038</v>
      </c>
      <c r="K297" s="2766">
        <v>3023.6026595073208</v>
      </c>
      <c r="L297" s="2766">
        <v>4403.0029565174927</v>
      </c>
      <c r="M297" s="2766">
        <v>5780.6407362210884</v>
      </c>
      <c r="N297" s="276"/>
    </row>
    <row r="298" spans="1:34" customFormat="1" ht="15" customHeight="1">
      <c r="A298" s="663"/>
      <c r="B298" s="667"/>
      <c r="D298" s="272"/>
      <c r="E298" s="32" t="s">
        <v>603</v>
      </c>
      <c r="F298" s="2767" cm="1">
        <f t="array" ref="F298:M298">(INDEX(ST_TRANSPORTE_INTERURBANO_DISTANCIA_TRANSPORTE_CARRETERO,0)*INDEX(ST_TRANSPORTE_INTERURBANO_DISTRIBUCION_TECNOLOGIA_CARRETERO,9,0))/INDEX(SF_DISTANCIA_MODO_URBANO,0)</f>
        <v>0</v>
      </c>
      <c r="G298" s="2768">
        <v>0</v>
      </c>
      <c r="H298" s="2768">
        <v>0</v>
      </c>
      <c r="I298" s="2768">
        <v>0</v>
      </c>
      <c r="J298" s="2768">
        <v>0</v>
      </c>
      <c r="K298" s="2768">
        <v>0</v>
      </c>
      <c r="L298" s="2768">
        <v>0</v>
      </c>
      <c r="M298" s="2768">
        <v>0</v>
      </c>
      <c r="N298" s="276"/>
    </row>
    <row r="299" spans="1:34" s="248" customFormat="1" ht="15" customHeight="1">
      <c r="A299" s="663"/>
      <c r="B299" s="667"/>
      <c r="D299" s="272"/>
      <c r="E299" s="12"/>
      <c r="F299" s="918"/>
      <c r="G299" s="919"/>
      <c r="H299" s="285"/>
      <c r="I299" s="285"/>
      <c r="J299" s="285"/>
      <c r="K299" s="285"/>
      <c r="L299" s="285"/>
      <c r="M299" s="285"/>
      <c r="N299" s="285"/>
    </row>
    <row r="300" spans="1:34" s="248" customFormat="1" ht="15" customHeight="1">
      <c r="A300" s="663"/>
      <c r="B300" s="667"/>
      <c r="D300" s="272"/>
      <c r="E300" s="940" t="s">
        <v>2388</v>
      </c>
      <c r="F300" s="14"/>
      <c r="G300" s="14"/>
      <c r="H300" s="14"/>
      <c r="I300" s="14"/>
      <c r="J300" s="14"/>
      <c r="K300" s="14"/>
      <c r="L300" s="14"/>
      <c r="M300" s="14"/>
      <c r="N300" s="285"/>
      <c r="W300" s="600"/>
      <c r="X300" s="600"/>
      <c r="Y300" s="600"/>
      <c r="Z300" s="600"/>
      <c r="AA300" s="600"/>
      <c r="AB300" s="600"/>
      <c r="AC300" s="600"/>
      <c r="AD300" s="600"/>
      <c r="AE300" s="600"/>
      <c r="AF300" s="600"/>
      <c r="AG300" s="600"/>
      <c r="AH300" s="600"/>
    </row>
    <row r="301" spans="1:34" s="248" customFormat="1" ht="15" customHeight="1">
      <c r="A301" s="663"/>
      <c r="B301" s="667"/>
      <c r="D301" s="272"/>
      <c r="E301" s="12"/>
      <c r="F301" s="918"/>
      <c r="G301" s="919"/>
      <c r="H301" s="285"/>
      <c r="I301" s="285"/>
      <c r="J301" s="285"/>
      <c r="K301" s="285"/>
      <c r="L301" s="285"/>
      <c r="M301" s="285"/>
      <c r="N301" s="285"/>
      <c r="W301" s="600"/>
      <c r="X301" s="600"/>
      <c r="Y301" s="600"/>
      <c r="Z301" s="600"/>
      <c r="AA301" s="600"/>
      <c r="AB301" s="601"/>
      <c r="AC301" s="601"/>
      <c r="AD301" s="601"/>
      <c r="AE301" s="602"/>
      <c r="AF301" s="602"/>
      <c r="AG301" s="602"/>
      <c r="AH301" s="602"/>
    </row>
    <row r="302" spans="1:34" s="248" customFormat="1" ht="15" customHeight="1">
      <c r="A302" s="663"/>
      <c r="B302" s="667"/>
      <c r="D302" s="272"/>
      <c r="E302" s="12" t="s">
        <v>2389</v>
      </c>
      <c r="F302" s="341"/>
      <c r="G302" s="341"/>
      <c r="H302" s="341"/>
      <c r="I302" s="341"/>
      <c r="J302" s="341"/>
      <c r="K302" s="341"/>
      <c r="L302" s="341"/>
      <c r="M302" s="341" t="s">
        <v>2387</v>
      </c>
      <c r="N302" s="1504"/>
      <c r="W302" s="600"/>
      <c r="X302" s="600"/>
      <c r="Y302" s="600"/>
      <c r="Z302" s="600"/>
      <c r="AA302" s="600"/>
      <c r="AB302" s="602"/>
      <c r="AC302" s="602"/>
      <c r="AD302" s="602"/>
      <c r="AE302" s="602"/>
      <c r="AF302" s="602"/>
      <c r="AG302" s="602"/>
      <c r="AH302" s="602"/>
    </row>
    <row r="303" spans="1:34" s="248" customFormat="1" ht="15" customHeight="1">
      <c r="A303" s="663"/>
      <c r="B303" s="667"/>
      <c r="D303" s="272"/>
      <c r="E303" s="268" t="s">
        <v>859</v>
      </c>
      <c r="F303" s="815">
        <v>2018</v>
      </c>
      <c r="G303" s="815">
        <v>2020</v>
      </c>
      <c r="H303" s="815">
        <v>2025</v>
      </c>
      <c r="I303" s="815">
        <v>2030</v>
      </c>
      <c r="J303" s="815">
        <v>2035</v>
      </c>
      <c r="K303" s="815">
        <v>2040</v>
      </c>
      <c r="L303" s="815">
        <v>2045</v>
      </c>
      <c r="M303" s="815">
        <v>2050</v>
      </c>
      <c r="N303" s="1504"/>
      <c r="W303" s="600"/>
      <c r="X303" s="600"/>
      <c r="Y303" s="600"/>
      <c r="Z303" s="600"/>
      <c r="AA303" s="600"/>
    </row>
    <row r="304" spans="1:34" s="248" customFormat="1" ht="15" customHeight="1">
      <c r="A304" s="663"/>
      <c r="B304" s="667"/>
      <c r="D304" s="272"/>
      <c r="E304" s="337" t="s">
        <v>889</v>
      </c>
      <c r="F304" s="2764" cm="1">
        <f t="array" ref="F304:M304">(INDEX(ST_TRANSPORTE_INTERURBANO_DISTANCIA_TRANSPORTE_CARRETERO,0)*INDEX(ST_TRANSPORTE_INTERURBANO_DISTRIBUCION_TECNOLOGIA_CARRETERO,VEHICULO_COMBUSTION_CONVENCIONAL_GASOLINA,0))/INDEX(SF_DISTANCIA_MODO_INTERURBANO,0)</f>
        <v>2339.0014427807741</v>
      </c>
      <c r="G304" s="2764">
        <v>1918.4901112530688</v>
      </c>
      <c r="H304" s="2764">
        <v>2568.3709435627911</v>
      </c>
      <c r="I304" s="2764">
        <v>3273.6658820761681</v>
      </c>
      <c r="J304" s="2764">
        <v>4075.8677167696842</v>
      </c>
      <c r="K304" s="2764">
        <v>5022.3621655505076</v>
      </c>
      <c r="L304" s="2764">
        <v>6178.652143909424</v>
      </c>
      <c r="M304" s="2764">
        <v>7595.1397736881527</v>
      </c>
      <c r="N304" s="1504"/>
    </row>
    <row r="305" spans="1:34" customFormat="1" ht="15" customHeight="1">
      <c r="A305" s="663"/>
      <c r="B305" s="667"/>
      <c r="D305" s="272"/>
      <c r="E305" s="30" t="s">
        <v>890</v>
      </c>
      <c r="F305" s="2765" cm="1">
        <f t="array" ref="F305:M305">(INDEX(ST_TRANSPORTE_INTERURBANO_DISTANCIA_TRANSPORTE_CARRETERO,0)*INDEX(ST_TRANSPORTE_INTERURBANO_DISTRIBUCION_TECNOLOGIA_CARRETERO,VEHICULO_COMBUSTION_CONVENCIONAL_DIESEL,0))/INDEX(SF_DISTANCIA_MODO_INTERURBANO,0)</f>
        <v>7031.6659489522108</v>
      </c>
      <c r="G305" s="2765">
        <v>10184.669373678547</v>
      </c>
      <c r="H305" s="2765">
        <v>13431.331808208108</v>
      </c>
      <c r="I305" s="2765">
        <v>16326.605184783732</v>
      </c>
      <c r="J305" s="2765">
        <v>18344.290759894509</v>
      </c>
      <c r="K305" s="2765">
        <v>19545.830897066971</v>
      </c>
      <c r="L305" s="2765">
        <v>21811.417631030887</v>
      </c>
      <c r="M305" s="2765">
        <v>25773.362464089576</v>
      </c>
      <c r="N305" s="1504"/>
      <c r="P305" s="2208"/>
      <c r="Q305" s="2208"/>
      <c r="R305" s="2208"/>
      <c r="S305" s="2208"/>
      <c r="T305" s="2208"/>
      <c r="U305" s="2208"/>
      <c r="V305" s="2208"/>
      <c r="W305" s="2208"/>
    </row>
    <row r="306" spans="1:34" s="248" customFormat="1" ht="15" customHeight="1">
      <c r="A306" s="663"/>
      <c r="B306" s="667"/>
      <c r="D306" s="272"/>
      <c r="E306" s="30" t="s">
        <v>2379</v>
      </c>
      <c r="F306" s="2765" cm="1">
        <f t="array" ref="F306:M306">(INDEX(ST_TRANSPORTE_INTERURBANO_DISTANCIA_TRANSPORTE_CARRETERO,0)*INDEX(ST_TRANSPORTE_INTERURBANO_DISTRIBUCION_TECNOLOGIA_CARRETERO,3,0))/INDEX(SF_DISTANCIA_MODO_INTERURBANO,0)</f>
        <v>78.652500239499091</v>
      </c>
      <c r="G306" s="2765">
        <v>123.30945452759508</v>
      </c>
      <c r="H306" s="2765">
        <v>165.0800377951366</v>
      </c>
      <c r="I306" s="2765">
        <v>210.41231948844893</v>
      </c>
      <c r="J306" s="2765">
        <v>261.97321629832828</v>
      </c>
      <c r="K306" s="2765">
        <v>322.80840825891102</v>
      </c>
      <c r="L306" s="2765">
        <v>397.12804413862636</v>
      </c>
      <c r="M306" s="2765">
        <v>488.17168098021381</v>
      </c>
      <c r="N306" s="1504"/>
    </row>
    <row r="307" spans="1:34" s="248" customFormat="1" ht="15" customHeight="1">
      <c r="A307" s="663"/>
      <c r="B307" s="667"/>
      <c r="D307" s="272"/>
      <c r="E307" s="30" t="s">
        <v>2270</v>
      </c>
      <c r="F307" s="2765" cm="1">
        <f t="array" ref="F307:M307">(INDEX(ST_TRANSPORTE_INTERURBANO_DISTANCIA_TRANSPORTE_CARRETERO,0)*INDEX(ST_TRANSPORTE_INTERURBANO_DISTRIBUCION_TECNOLOGIA_CARRETERO,4,0))/INDEX(SF_DISTANCIA_MODO_INTERURBANO,0)</f>
        <v>0</v>
      </c>
      <c r="G307" s="2765">
        <v>0</v>
      </c>
      <c r="H307" s="2765">
        <v>204.42810889703193</v>
      </c>
      <c r="I307" s="2765">
        <v>846.49603143224749</v>
      </c>
      <c r="J307" s="2765">
        <v>2728.0896375263069</v>
      </c>
      <c r="K307" s="2765">
        <v>5934.0494077038675</v>
      </c>
      <c r="L307" s="2765">
        <v>9227.0125788623554</v>
      </c>
      <c r="M307" s="2765">
        <v>12222.62596345052</v>
      </c>
      <c r="N307" s="1504"/>
      <c r="W307" s="600"/>
      <c r="X307" s="600"/>
      <c r="Y307" s="600"/>
      <c r="Z307" s="600"/>
      <c r="AA307" s="600"/>
      <c r="AB307" s="600"/>
      <c r="AC307" s="600"/>
      <c r="AD307" s="600"/>
      <c r="AE307" s="600"/>
      <c r="AF307" s="600"/>
      <c r="AG307" s="600"/>
      <c r="AH307" s="600"/>
    </row>
    <row r="308" spans="1:34" s="248" customFormat="1" ht="15" customHeight="1">
      <c r="A308" s="663"/>
      <c r="B308" s="667"/>
      <c r="D308" s="272"/>
      <c r="E308" s="30" t="s">
        <v>498</v>
      </c>
      <c r="F308" s="2765" cm="1">
        <f t="array" ref="F308:M308">(INDEX(ST_TRANSPORTE_INTERURBANO_DISTANCIA_TRANSPORTE_CARRETERO,0)*INDEX(ST_TRANSPORTE_INTERURBANO_DISTRIBUCION_TECNOLOGIA_CARRETERO,5,0))/INDEX(SF_DISTANCIA_MODO_INTERURBANO,0)</f>
        <v>0</v>
      </c>
      <c r="G308" s="2765">
        <v>0</v>
      </c>
      <c r="H308" s="2765">
        <v>1.40528825363912</v>
      </c>
      <c r="I308" s="2765">
        <v>16.858272968528706</v>
      </c>
      <c r="J308" s="2765">
        <v>110.06285852493612</v>
      </c>
      <c r="K308" s="2765">
        <v>225.82040377451111</v>
      </c>
      <c r="L308" s="2765">
        <v>296.3048501585144</v>
      </c>
      <c r="M308" s="2765">
        <v>366.67877890351559</v>
      </c>
      <c r="N308" s="1504"/>
      <c r="W308" s="600"/>
      <c r="X308" s="600"/>
      <c r="Y308" s="600"/>
      <c r="Z308" s="600"/>
      <c r="AA308" s="600"/>
      <c r="AB308" s="601"/>
      <c r="AC308" s="601"/>
      <c r="AD308" s="601"/>
      <c r="AE308" s="602"/>
      <c r="AF308" s="602"/>
      <c r="AG308" s="602"/>
      <c r="AH308" s="602"/>
    </row>
    <row r="309" spans="1:34" s="248" customFormat="1" ht="15" customHeight="1">
      <c r="A309" s="663"/>
      <c r="B309" s="667"/>
      <c r="D309" s="272"/>
      <c r="E309" s="30" t="s">
        <v>908</v>
      </c>
      <c r="F309" s="2765" cm="1">
        <f t="array" ref="F309:M309">(INDEX(ST_TRANSPORTE_INTERURBANO_DISTANCIA_TRANSPORTE_CARRETERO,0)*INDEX(ST_TRANSPORTE_INTERURBANO_DISTRIBUCION_TECNOLOGIA_CARRETERO,6,0))/INDEX(SF_DISTANCIA_MODO_INTERURBANO,0)</f>
        <v>0</v>
      </c>
      <c r="G309" s="2766">
        <v>0</v>
      </c>
      <c r="H309" s="2766">
        <v>0</v>
      </c>
      <c r="I309" s="2766">
        <v>0</v>
      </c>
      <c r="J309" s="2766">
        <v>0</v>
      </c>
      <c r="K309" s="2766">
        <v>0</v>
      </c>
      <c r="L309" s="2766">
        <v>0</v>
      </c>
      <c r="M309" s="2766">
        <v>0</v>
      </c>
      <c r="N309" s="1504"/>
      <c r="W309" s="600"/>
      <c r="X309" s="600"/>
      <c r="Y309" s="600"/>
      <c r="Z309" s="600"/>
      <c r="AA309" s="600"/>
      <c r="AB309" s="602"/>
      <c r="AC309" s="602"/>
      <c r="AD309" s="602"/>
      <c r="AE309" s="602"/>
      <c r="AF309" s="602"/>
      <c r="AG309" s="602"/>
      <c r="AH309" s="602"/>
    </row>
    <row r="310" spans="1:34" s="248" customFormat="1" ht="15" customHeight="1">
      <c r="A310" s="663"/>
      <c r="B310" s="667"/>
      <c r="D310" s="272"/>
      <c r="E310" s="30" t="s">
        <v>909</v>
      </c>
      <c r="F310" s="2765" cm="1">
        <f t="array" ref="F310:M310">(INDEX(ST_TRANSPORTE_INTERURBANO_DISTANCIA_TRANSPORTE_CARRETERO,0)*INDEX(ST_TRANSPORTE_INTERURBANO_DISTRIBUCION_TECNOLOGIA_CARRETERO,7,0))/INDEX(SF_DISTANCIA_MODO_INTERURBANO,0)</f>
        <v>0</v>
      </c>
      <c r="G310" s="2766">
        <v>0</v>
      </c>
      <c r="H310" s="2766">
        <v>0</v>
      </c>
      <c r="I310" s="2766">
        <v>0</v>
      </c>
      <c r="J310" s="2766">
        <v>0</v>
      </c>
      <c r="K310" s="2766">
        <v>0</v>
      </c>
      <c r="L310" s="2766">
        <v>0</v>
      </c>
      <c r="M310" s="2766">
        <v>0</v>
      </c>
      <c r="N310" s="1504"/>
      <c r="W310" s="600"/>
      <c r="X310" s="600"/>
      <c r="Y310" s="600"/>
      <c r="Z310" s="600"/>
      <c r="AA310" s="600"/>
    </row>
    <row r="311" spans="1:34" s="248" customFormat="1" ht="15" customHeight="1">
      <c r="A311" s="663"/>
      <c r="B311" s="667"/>
      <c r="D311" s="272"/>
      <c r="E311" s="30" t="s">
        <v>894</v>
      </c>
      <c r="F311" s="2765" cm="1">
        <f t="array" ref="F311:M311">(INDEX(ST_TRANSPORTE_INTERURBANO_DISTANCIA_TRANSPORTE_CARRETERO,0)*INDEX(ST_TRANSPORTE_INTERURBANO_DISTRIBUCION_TECNOLOGIA_CARRETERO,8,0))/INDEX(SF_DISTANCIA_MODO_INTERURBANO,0)</f>
        <v>9.7901789233772174</v>
      </c>
      <c r="G311" s="2766">
        <v>37.542387758025946</v>
      </c>
      <c r="H311" s="2766">
        <v>162.26946128785838</v>
      </c>
      <c r="I311" s="2766">
        <v>398.80351991175723</v>
      </c>
      <c r="J311" s="2766">
        <v>716.52363916948877</v>
      </c>
      <c r="K311" s="2766">
        <v>1278.6251924526721</v>
      </c>
      <c r="L311" s="2766">
        <v>1861.9478604256178</v>
      </c>
      <c r="M311" s="2766">
        <v>2444.5251926901042</v>
      </c>
      <c r="N311" s="276"/>
    </row>
    <row r="312" spans="1:34" customFormat="1" ht="15" customHeight="1">
      <c r="A312" s="663"/>
      <c r="B312" s="667"/>
      <c r="D312" s="272"/>
      <c r="E312" s="32" t="s">
        <v>603</v>
      </c>
      <c r="F312" s="2767" cm="1">
        <f t="array" ref="F312:M312">(INDEX(ST_TRANSPORTE_INTERURBANO_DISTANCIA_TRANSPORTE_CARRETERO,0)*INDEX(ST_TRANSPORTE_INTERURBANO_DISTRIBUCION_TECNOLOGIA_CARRETERO,9,0))/INDEX(SF_DISTANCIA_MODO_INTERURBANO,0)</f>
        <v>0</v>
      </c>
      <c r="G312" s="2768">
        <v>0</v>
      </c>
      <c r="H312" s="2768">
        <v>0</v>
      </c>
      <c r="I312" s="2768">
        <v>0</v>
      </c>
      <c r="J312" s="2768">
        <v>0</v>
      </c>
      <c r="K312" s="2768">
        <v>0</v>
      </c>
      <c r="L312" s="2768">
        <v>0</v>
      </c>
      <c r="M312" s="2768">
        <v>0</v>
      </c>
      <c r="N312" s="276"/>
    </row>
    <row r="313" spans="1:34" s="248" customFormat="1" ht="15" customHeight="1">
      <c r="A313" s="663"/>
      <c r="B313" s="667"/>
      <c r="D313" s="272"/>
      <c r="E313" s="19"/>
      <c r="F313" s="1505"/>
      <c r="G313" s="276"/>
      <c r="H313" s="276"/>
      <c r="I313" s="276"/>
      <c r="J313" s="276"/>
      <c r="K313" s="276"/>
      <c r="L313" s="276"/>
      <c r="M313" s="276"/>
      <c r="N313" s="276"/>
      <c r="O313" s="599"/>
    </row>
    <row r="314" spans="1:34" s="248" customFormat="1" ht="15" customHeight="1">
      <c r="A314" s="663"/>
      <c r="B314" s="667"/>
      <c r="D314" s="3"/>
      <c r="E314" s="3"/>
      <c r="F314" s="696"/>
      <c r="G314" s="696"/>
      <c r="H314" s="696"/>
      <c r="I314" s="696"/>
      <c r="J314" s="696"/>
      <c r="K314" s="696"/>
      <c r="L314" s="696"/>
      <c r="M314" s="696"/>
      <c r="N314" s="3"/>
    </row>
    <row r="315" spans="1:34" s="248" customFormat="1" ht="15" customHeight="1">
      <c r="A315" s="663"/>
      <c r="B315" s="667"/>
      <c r="D315" s="1018" t="s">
        <v>51</v>
      </c>
      <c r="E315" s="336"/>
      <c r="F315" s="908"/>
      <c r="G315" s="908"/>
      <c r="H315" s="908"/>
      <c r="I315" s="908"/>
      <c r="J315" s="908"/>
      <c r="K315" s="908"/>
      <c r="L315" s="908"/>
      <c r="M315" s="908"/>
      <c r="N315" s="336"/>
    </row>
    <row r="316" spans="1:34" s="248" customFormat="1" ht="15" customHeight="1">
      <c r="A316" s="663"/>
      <c r="B316" s="667"/>
      <c r="D316" s="40"/>
      <c r="E316" s="19"/>
      <c r="F316" s="754"/>
      <c r="G316" s="754"/>
      <c r="H316" s="754"/>
      <c r="I316" s="754"/>
      <c r="J316" s="754"/>
      <c r="K316" s="754"/>
      <c r="L316" s="754"/>
      <c r="M316" s="754"/>
      <c r="N316" s="40"/>
      <c r="W316" s="600"/>
      <c r="X316" s="600"/>
      <c r="Y316" s="600"/>
      <c r="Z316" s="600"/>
      <c r="AA316" s="600"/>
      <c r="AB316" s="600"/>
      <c r="AC316" s="600"/>
      <c r="AD316" s="600"/>
      <c r="AE316" s="600"/>
      <c r="AF316" s="600"/>
      <c r="AG316" s="600"/>
      <c r="AH316" s="600"/>
    </row>
    <row r="317" spans="1:34" s="248" customFormat="1" ht="15" customHeight="1">
      <c r="A317" s="663"/>
      <c r="B317" s="667"/>
      <c r="D317" s="251"/>
      <c r="E317" s="245" t="s">
        <v>2390</v>
      </c>
      <c r="F317" s="843"/>
      <c r="G317" s="843"/>
      <c r="H317" s="843"/>
      <c r="I317" s="843"/>
      <c r="J317" s="843"/>
      <c r="K317" s="843"/>
      <c r="L317" s="843"/>
      <c r="M317" s="843"/>
      <c r="N317" s="251"/>
      <c r="W317" s="600"/>
      <c r="X317" s="600"/>
      <c r="Y317" s="600"/>
      <c r="Z317" s="600"/>
      <c r="AA317" s="600"/>
      <c r="AB317" s="601"/>
      <c r="AC317" s="601"/>
      <c r="AD317" s="601"/>
      <c r="AE317" s="602"/>
      <c r="AF317" s="602"/>
      <c r="AG317" s="602"/>
      <c r="AH317" s="602"/>
    </row>
    <row r="318" spans="1:34" s="248" customFormat="1" ht="15" customHeight="1">
      <c r="A318" s="663"/>
      <c r="B318" s="667"/>
      <c r="D318" s="251"/>
      <c r="E318" s="251"/>
      <c r="F318" s="844"/>
      <c r="G318" s="844"/>
      <c r="H318" s="844"/>
      <c r="I318" s="844"/>
      <c r="J318" s="844"/>
      <c r="K318" s="844"/>
      <c r="L318" s="844"/>
      <c r="M318" s="844"/>
      <c r="N318" s="251"/>
      <c r="W318" s="600"/>
      <c r="X318" s="600"/>
      <c r="Y318" s="600"/>
      <c r="Z318" s="600"/>
      <c r="AA318" s="600"/>
      <c r="AB318" s="602"/>
      <c r="AC318" s="602"/>
      <c r="AD318" s="602"/>
      <c r="AE318" s="602"/>
      <c r="AF318" s="602"/>
      <c r="AG318" s="602"/>
      <c r="AH318" s="602"/>
    </row>
    <row r="319" spans="1:34" s="248" customFormat="1" ht="15" customHeight="1">
      <c r="A319" s="663"/>
      <c r="B319" s="667"/>
      <c r="D319" s="251"/>
      <c r="E319" s="264" t="s">
        <v>820</v>
      </c>
      <c r="F319" s="844"/>
      <c r="G319" s="844"/>
      <c r="H319" s="844"/>
      <c r="I319" s="844"/>
      <c r="J319" s="844"/>
      <c r="K319" s="844"/>
      <c r="L319" s="844"/>
      <c r="M319" s="845" t="s">
        <v>2391</v>
      </c>
      <c r="N319" s="251"/>
      <c r="W319" s="600"/>
      <c r="X319" s="600"/>
      <c r="Y319" s="600"/>
      <c r="Z319" s="600"/>
      <c r="AA319" s="600"/>
      <c r="AB319" s="602"/>
      <c r="AC319" s="602"/>
      <c r="AD319" s="602"/>
      <c r="AE319" s="602"/>
      <c r="AF319" s="602"/>
      <c r="AG319" s="602"/>
      <c r="AH319" s="602"/>
    </row>
    <row r="320" spans="1:34" s="248" customFormat="1" ht="15" customHeight="1">
      <c r="A320" s="663"/>
      <c r="B320" s="667"/>
      <c r="D320" s="251"/>
      <c r="E320" s="265" t="s">
        <v>2241</v>
      </c>
      <c r="F320" s="842">
        <v>2018</v>
      </c>
      <c r="G320" s="842">
        <v>2020</v>
      </c>
      <c r="H320" s="842">
        <v>2025</v>
      </c>
      <c r="I320" s="842">
        <v>2030</v>
      </c>
      <c r="J320" s="842">
        <v>2035</v>
      </c>
      <c r="K320" s="842">
        <v>2040</v>
      </c>
      <c r="L320" s="842">
        <v>2045</v>
      </c>
      <c r="M320" s="842">
        <v>2050</v>
      </c>
      <c r="N320" s="251"/>
      <c r="W320" s="600"/>
      <c r="X320" s="600"/>
      <c r="Y320" s="600"/>
      <c r="Z320" s="600"/>
      <c r="AA320" s="600"/>
    </row>
    <row r="321" spans="1:34" s="248" customFormat="1" ht="15" customHeight="1">
      <c r="A321" s="663"/>
      <c r="B321" s="667"/>
      <c r="D321" s="251"/>
      <c r="E321" s="261" t="s">
        <v>2375</v>
      </c>
      <c r="F321" s="2709" cm="1">
        <f t="array" ref="F321:M321">COSTOS_CAPITAL_TRANSPORTE_CAR_FERREO_DIESEL*INDEX(ST_TRANSPORTE_INTERURBANO_CARGA_SUSTITUIDA_MODO,1,0)*COSTOS_ALTO</f>
        <v>0</v>
      </c>
      <c r="G321" s="2709">
        <v>0</v>
      </c>
      <c r="H321" s="2709">
        <v>0</v>
      </c>
      <c r="I321" s="2709">
        <v>0</v>
      </c>
      <c r="J321" s="2709">
        <v>0</v>
      </c>
      <c r="K321" s="2709">
        <v>0</v>
      </c>
      <c r="L321" s="2709">
        <v>0</v>
      </c>
      <c r="M321" s="2710">
        <v>0</v>
      </c>
      <c r="N321" s="251"/>
    </row>
    <row r="322" spans="1:34" customFormat="1" ht="15" customHeight="1">
      <c r="A322" s="663"/>
      <c r="B322" s="667"/>
      <c r="D322" s="251"/>
      <c r="E322" s="261" t="s">
        <v>2376</v>
      </c>
      <c r="F322" s="822"/>
      <c r="G322" s="822"/>
      <c r="H322" s="822"/>
      <c r="I322" s="822"/>
      <c r="J322" s="822"/>
      <c r="K322" s="822"/>
      <c r="L322" s="822"/>
      <c r="M322" s="804"/>
      <c r="N322" s="251"/>
    </row>
    <row r="323" spans="1:34" s="248" customFormat="1" ht="15" customHeight="1">
      <c r="A323" s="663"/>
      <c r="B323" s="667"/>
      <c r="D323" s="251"/>
      <c r="E323" s="261" t="s">
        <v>2377</v>
      </c>
      <c r="F323" s="822"/>
      <c r="G323" s="822"/>
      <c r="H323" s="822"/>
      <c r="I323" s="822"/>
      <c r="J323" s="822"/>
      <c r="K323" s="822"/>
      <c r="L323" s="822"/>
      <c r="M323" s="862"/>
      <c r="N323" s="251"/>
    </row>
    <row r="324" spans="1:34" s="248" customFormat="1" ht="15" customHeight="1">
      <c r="A324" s="663"/>
      <c r="B324" s="667"/>
      <c r="D324" s="251"/>
      <c r="E324" s="266" t="s">
        <v>2378</v>
      </c>
      <c r="F324" s="838"/>
      <c r="G324" s="838"/>
      <c r="H324" s="838"/>
      <c r="I324" s="838"/>
      <c r="J324" s="838"/>
      <c r="K324" s="838"/>
      <c r="L324" s="838"/>
      <c r="M324" s="863"/>
      <c r="N324" s="251"/>
      <c r="W324" s="600"/>
      <c r="X324" s="600"/>
      <c r="Y324" s="600"/>
      <c r="Z324" s="600"/>
      <c r="AA324" s="600"/>
      <c r="AB324" s="600"/>
      <c r="AC324" s="600"/>
      <c r="AD324" s="600"/>
      <c r="AE324" s="600"/>
      <c r="AF324" s="600"/>
      <c r="AG324" s="600"/>
      <c r="AH324" s="600"/>
    </row>
    <row r="325" spans="1:34" s="248" customFormat="1" ht="15" customHeight="1">
      <c r="A325" s="663"/>
      <c r="B325" s="667"/>
      <c r="D325" s="251"/>
      <c r="E325" s="12"/>
      <c r="F325" s="752"/>
      <c r="G325" s="752"/>
      <c r="H325" s="752"/>
      <c r="I325" s="752"/>
      <c r="J325" s="752"/>
      <c r="K325" s="752"/>
      <c r="L325" s="752"/>
      <c r="M325" s="752"/>
      <c r="N325" s="12"/>
      <c r="W325" s="600"/>
      <c r="X325" s="600"/>
      <c r="Y325" s="600"/>
      <c r="Z325" s="600"/>
      <c r="AA325" s="600"/>
      <c r="AB325" s="601"/>
      <c r="AC325" s="601"/>
      <c r="AD325" s="601"/>
      <c r="AE325" s="602"/>
      <c r="AF325" s="602"/>
      <c r="AG325" s="602"/>
      <c r="AH325" s="602"/>
    </row>
    <row r="326" spans="1:34" s="248" customFormat="1" ht="15" customHeight="1">
      <c r="A326" s="663"/>
      <c r="B326" s="667"/>
      <c r="D326" s="251"/>
      <c r="E326" s="264" t="s">
        <v>821</v>
      </c>
      <c r="F326" s="844"/>
      <c r="G326" s="844"/>
      <c r="H326" s="844"/>
      <c r="I326" s="844"/>
      <c r="J326" s="844"/>
      <c r="K326" s="844"/>
      <c r="L326" s="844"/>
      <c r="M326" s="845" t="s">
        <v>2391</v>
      </c>
      <c r="N326" s="251"/>
      <c r="W326" s="600"/>
      <c r="X326" s="600"/>
      <c r="Y326" s="600"/>
      <c r="Z326" s="600"/>
      <c r="AA326" s="600"/>
      <c r="AB326" s="602"/>
      <c r="AC326" s="602"/>
      <c r="AD326" s="602"/>
      <c r="AE326" s="602"/>
      <c r="AF326" s="602"/>
      <c r="AG326" s="602"/>
      <c r="AH326" s="602"/>
    </row>
    <row r="327" spans="1:34" s="248" customFormat="1" ht="15" customHeight="1">
      <c r="A327" s="663"/>
      <c r="B327" s="667"/>
      <c r="D327" s="251"/>
      <c r="E327" s="265" t="s">
        <v>2241</v>
      </c>
      <c r="F327" s="842">
        <v>2018</v>
      </c>
      <c r="G327" s="842">
        <v>2020</v>
      </c>
      <c r="H327" s="842">
        <v>2025</v>
      </c>
      <c r="I327" s="842">
        <v>2030</v>
      </c>
      <c r="J327" s="842">
        <v>2035</v>
      </c>
      <c r="K327" s="842">
        <v>2040</v>
      </c>
      <c r="L327" s="842">
        <v>2045</v>
      </c>
      <c r="M327" s="842">
        <v>2050</v>
      </c>
      <c r="N327" s="251"/>
      <c r="W327" s="600"/>
      <c r="X327" s="600"/>
      <c r="Y327" s="600"/>
      <c r="Z327" s="600"/>
      <c r="AA327" s="600"/>
      <c r="AB327" s="602"/>
      <c r="AC327" s="602"/>
      <c r="AD327" s="602"/>
      <c r="AE327" s="602"/>
      <c r="AF327" s="602"/>
      <c r="AG327" s="602"/>
      <c r="AH327" s="602"/>
    </row>
    <row r="328" spans="1:34" s="248" customFormat="1" ht="15" customHeight="1">
      <c r="A328" s="663"/>
      <c r="B328" s="667"/>
      <c r="D328" s="251"/>
      <c r="E328" s="261" t="s">
        <v>2375</v>
      </c>
      <c r="F328" s="2709" cm="1">
        <f t="array" ref="F328:M328">COSTOS_CAPITAL_TRANSPORTE_CAR_FERREO_DIESEL*INDEX(ST_TRANSPORTE_INTERURBANO_CARGA_SUSTITUIDA_MODO,1,0)*COSTOS_MEDIO</f>
        <v>0</v>
      </c>
      <c r="G328" s="861">
        <v>0</v>
      </c>
      <c r="H328" s="861">
        <v>0</v>
      </c>
      <c r="I328" s="861">
        <v>0</v>
      </c>
      <c r="J328" s="861">
        <v>0</v>
      </c>
      <c r="K328" s="861">
        <v>0</v>
      </c>
      <c r="L328" s="861">
        <v>0</v>
      </c>
      <c r="M328" s="803">
        <v>0</v>
      </c>
      <c r="N328" s="251"/>
      <c r="W328" s="600"/>
      <c r="X328" s="600"/>
      <c r="Y328" s="600"/>
      <c r="Z328" s="600"/>
      <c r="AA328" s="600"/>
    </row>
    <row r="329" spans="1:34" s="248" customFormat="1" ht="15" customHeight="1">
      <c r="A329" s="663"/>
      <c r="B329" s="667"/>
      <c r="D329" s="251"/>
      <c r="E329" s="261" t="s">
        <v>2376</v>
      </c>
      <c r="F329" s="822"/>
      <c r="G329" s="822"/>
      <c r="H329" s="822"/>
      <c r="I329" s="822"/>
      <c r="J329" s="822"/>
      <c r="K329" s="822"/>
      <c r="L329" s="822"/>
      <c r="M329" s="804"/>
      <c r="N329" s="251"/>
    </row>
    <row r="330" spans="1:34" customFormat="1" ht="15" customHeight="1">
      <c r="A330" s="663"/>
      <c r="B330" s="667"/>
      <c r="D330" s="251"/>
      <c r="E330" s="261" t="s">
        <v>2377</v>
      </c>
      <c r="F330" s="822"/>
      <c r="G330" s="822"/>
      <c r="H330" s="822"/>
      <c r="I330" s="822"/>
      <c r="J330" s="822"/>
      <c r="K330" s="822"/>
      <c r="L330" s="822"/>
      <c r="M330" s="862"/>
      <c r="N330" s="251"/>
    </row>
    <row r="331" spans="1:34" s="248" customFormat="1" ht="15" customHeight="1">
      <c r="A331" s="663"/>
      <c r="B331" s="667"/>
      <c r="D331" s="251"/>
      <c r="E331" s="266" t="s">
        <v>2378</v>
      </c>
      <c r="F331" s="838"/>
      <c r="G331" s="838"/>
      <c r="H331" s="838"/>
      <c r="I331" s="838"/>
      <c r="J331" s="838"/>
      <c r="K331" s="838"/>
      <c r="L331" s="838"/>
      <c r="M331" s="863"/>
      <c r="N331" s="251"/>
    </row>
    <row r="332" spans="1:34" s="248" customFormat="1" ht="15" customHeight="1">
      <c r="A332" s="663"/>
      <c r="B332" s="667"/>
      <c r="D332" s="251"/>
      <c r="E332" s="12"/>
      <c r="F332" s="752"/>
      <c r="G332" s="752"/>
      <c r="H332" s="752"/>
      <c r="I332" s="752"/>
      <c r="J332" s="752"/>
      <c r="K332" s="752"/>
      <c r="L332" s="752"/>
      <c r="M332" s="752"/>
      <c r="N332" s="12"/>
      <c r="W332" s="600"/>
      <c r="X332" s="600"/>
      <c r="Y332" s="600"/>
      <c r="Z332" s="600"/>
      <c r="AA332" s="600"/>
      <c r="AB332" s="600"/>
      <c r="AC332" s="600"/>
      <c r="AD332" s="600"/>
      <c r="AE332" s="600"/>
      <c r="AF332" s="600"/>
      <c r="AG332" s="600"/>
      <c r="AH332" s="600"/>
    </row>
    <row r="333" spans="1:34" s="248" customFormat="1" ht="15" customHeight="1">
      <c r="A333" s="663"/>
      <c r="B333" s="667"/>
      <c r="D333" s="251"/>
      <c r="E333" s="264" t="s">
        <v>822</v>
      </c>
      <c r="F333" s="844"/>
      <c r="G333" s="844"/>
      <c r="H333" s="844"/>
      <c r="I333" s="844"/>
      <c r="J333" s="844"/>
      <c r="K333" s="844"/>
      <c r="L333" s="844"/>
      <c r="M333" s="845" t="s">
        <v>2391</v>
      </c>
      <c r="N333" s="251"/>
      <c r="W333" s="600"/>
      <c r="X333" s="600"/>
      <c r="Y333" s="600"/>
      <c r="Z333" s="600"/>
      <c r="AA333" s="600"/>
      <c r="AB333" s="601"/>
      <c r="AC333" s="601"/>
      <c r="AD333" s="601"/>
      <c r="AE333" s="602"/>
      <c r="AF333" s="602"/>
      <c r="AG333" s="602"/>
      <c r="AH333" s="602"/>
    </row>
    <row r="334" spans="1:34" s="248" customFormat="1" ht="15" customHeight="1">
      <c r="A334" s="663"/>
      <c r="B334" s="667"/>
      <c r="D334" s="251"/>
      <c r="E334" s="265" t="s">
        <v>2241</v>
      </c>
      <c r="F334" s="842">
        <v>2018</v>
      </c>
      <c r="G334" s="842">
        <v>2020</v>
      </c>
      <c r="H334" s="842">
        <v>2025</v>
      </c>
      <c r="I334" s="842">
        <v>2030</v>
      </c>
      <c r="J334" s="842">
        <v>2035</v>
      </c>
      <c r="K334" s="842">
        <v>2040</v>
      </c>
      <c r="L334" s="842">
        <v>2045</v>
      </c>
      <c r="M334" s="842">
        <v>2050</v>
      </c>
      <c r="N334" s="251"/>
      <c r="W334" s="600"/>
      <c r="X334" s="600"/>
      <c r="Y334" s="600"/>
      <c r="Z334" s="600"/>
      <c r="AA334" s="600"/>
      <c r="AB334" s="601"/>
      <c r="AC334" s="601"/>
      <c r="AD334" s="601"/>
      <c r="AE334" s="602"/>
      <c r="AF334" s="602"/>
      <c r="AG334" s="602"/>
      <c r="AH334" s="602"/>
    </row>
    <row r="335" spans="1:34" s="248" customFormat="1" ht="15" customHeight="1">
      <c r="A335" s="663"/>
      <c r="B335" s="667"/>
      <c r="D335" s="251"/>
      <c r="E335" s="261" t="s">
        <v>2375</v>
      </c>
      <c r="F335" s="2709" cm="1">
        <f t="array" ref="F335:M335">COSTOS_CAPITAL_TRANSPORTE_CAR_FERREO_DIESEL*INDEX(ST_TRANSPORTE_INTERURBANO_CARGA_SUSTITUIDA_MODO,1,0)*COSTOS_BAJO</f>
        <v>0</v>
      </c>
      <c r="G335" s="861">
        <v>0</v>
      </c>
      <c r="H335" s="861">
        <v>0</v>
      </c>
      <c r="I335" s="861">
        <v>0</v>
      </c>
      <c r="J335" s="861">
        <v>0</v>
      </c>
      <c r="K335" s="861">
        <v>0</v>
      </c>
      <c r="L335" s="861">
        <v>0</v>
      </c>
      <c r="M335" s="803">
        <v>0</v>
      </c>
      <c r="N335" s="251"/>
      <c r="W335" s="600"/>
      <c r="X335" s="600"/>
      <c r="Y335" s="600"/>
      <c r="Z335" s="600"/>
      <c r="AA335" s="600"/>
      <c r="AB335" s="602"/>
      <c r="AC335" s="602"/>
      <c r="AD335" s="602"/>
      <c r="AE335" s="602"/>
      <c r="AF335" s="602"/>
      <c r="AG335" s="602"/>
      <c r="AH335" s="602"/>
    </row>
    <row r="336" spans="1:34" s="248" customFormat="1" ht="15" customHeight="1">
      <c r="A336" s="663"/>
      <c r="B336" s="667"/>
      <c r="D336" s="251"/>
      <c r="E336" s="261" t="s">
        <v>2376</v>
      </c>
      <c r="F336" s="822"/>
      <c r="G336" s="822"/>
      <c r="H336" s="822"/>
      <c r="I336" s="822"/>
      <c r="J336" s="822"/>
      <c r="K336" s="822"/>
      <c r="L336" s="822"/>
      <c r="M336" s="804"/>
      <c r="N336" s="251"/>
      <c r="W336" s="600"/>
      <c r="X336" s="600"/>
      <c r="Y336" s="600"/>
      <c r="Z336" s="600"/>
      <c r="AA336" s="600"/>
    </row>
    <row r="337" spans="1:34" s="248" customFormat="1" ht="15" customHeight="1">
      <c r="A337" s="663"/>
      <c r="B337" s="667"/>
      <c r="D337" s="251"/>
      <c r="E337" s="261" t="s">
        <v>2377</v>
      </c>
      <c r="F337" s="822"/>
      <c r="G337" s="822"/>
      <c r="H337" s="822"/>
      <c r="I337" s="822"/>
      <c r="J337" s="822"/>
      <c r="K337" s="822"/>
      <c r="L337" s="822"/>
      <c r="M337" s="862"/>
      <c r="N337" s="251"/>
    </row>
    <row r="338" spans="1:34" customFormat="1" ht="15" customHeight="1">
      <c r="A338" s="663"/>
      <c r="B338" s="667"/>
      <c r="D338" s="251"/>
      <c r="E338" s="266" t="s">
        <v>2378</v>
      </c>
      <c r="F338" s="838"/>
      <c r="G338" s="838"/>
      <c r="H338" s="838"/>
      <c r="I338" s="838"/>
      <c r="J338" s="838"/>
      <c r="K338" s="838"/>
      <c r="L338" s="838"/>
      <c r="M338" s="863"/>
      <c r="N338" s="251"/>
    </row>
    <row r="339" spans="1:34" s="248" customFormat="1" ht="15" customHeight="1">
      <c r="A339" s="663"/>
      <c r="B339" s="667"/>
      <c r="D339" s="251"/>
      <c r="E339" s="12"/>
      <c r="F339" s="752"/>
      <c r="G339" s="752"/>
      <c r="H339" s="752"/>
      <c r="I339" s="752"/>
      <c r="J339" s="752"/>
      <c r="K339" s="752"/>
      <c r="L339" s="752"/>
      <c r="M339" s="752"/>
      <c r="N339" s="12"/>
      <c r="O339" s="599"/>
    </row>
    <row r="340" spans="1:34" s="248" customFormat="1" ht="15" customHeight="1">
      <c r="A340" s="663"/>
      <c r="B340" s="667"/>
      <c r="D340" s="251"/>
      <c r="E340" s="245" t="s">
        <v>2392</v>
      </c>
      <c r="F340" s="843"/>
      <c r="G340" s="843"/>
      <c r="H340" s="843"/>
      <c r="I340" s="843"/>
      <c r="J340" s="843"/>
      <c r="K340" s="843"/>
      <c r="L340" s="843"/>
      <c r="M340" s="843"/>
      <c r="N340" s="251"/>
    </row>
    <row r="341" spans="1:34" s="248" customFormat="1" ht="15" customHeight="1">
      <c r="A341" s="663"/>
      <c r="B341" s="667"/>
      <c r="D341" s="251"/>
      <c r="E341" s="251"/>
      <c r="F341" s="844"/>
      <c r="G341" s="844"/>
      <c r="H341" s="844"/>
      <c r="I341" s="844"/>
      <c r="J341" s="844"/>
      <c r="K341" s="844"/>
      <c r="L341" s="844"/>
      <c r="M341" s="844"/>
      <c r="N341" s="251"/>
    </row>
    <row r="342" spans="1:34" s="248" customFormat="1" ht="15" customHeight="1">
      <c r="A342" s="663"/>
      <c r="B342" s="667"/>
      <c r="D342" s="251"/>
      <c r="E342" s="264" t="s">
        <v>820</v>
      </c>
      <c r="F342" s="844"/>
      <c r="G342" s="844"/>
      <c r="H342" s="844"/>
      <c r="I342" s="844"/>
      <c r="J342" s="844"/>
      <c r="K342" s="844"/>
      <c r="L342" s="844"/>
      <c r="M342" s="845" t="s">
        <v>2393</v>
      </c>
      <c r="N342" s="251"/>
      <c r="W342" s="600"/>
      <c r="X342" s="600"/>
      <c r="Y342" s="600"/>
      <c r="Z342" s="600"/>
      <c r="AA342" s="600"/>
      <c r="AB342" s="600"/>
      <c r="AC342" s="600"/>
      <c r="AD342" s="600"/>
      <c r="AE342" s="600"/>
      <c r="AF342" s="600"/>
      <c r="AG342" s="600"/>
      <c r="AH342" s="600"/>
    </row>
    <row r="343" spans="1:34" s="248" customFormat="1" ht="15" customHeight="1">
      <c r="A343" s="663"/>
      <c r="B343" s="667"/>
      <c r="D343" s="272"/>
      <c r="E343" s="268" t="s">
        <v>859</v>
      </c>
      <c r="F343" s="815">
        <v>2018</v>
      </c>
      <c r="G343" s="815">
        <v>2020</v>
      </c>
      <c r="H343" s="815">
        <v>2025</v>
      </c>
      <c r="I343" s="815">
        <v>2030</v>
      </c>
      <c r="J343" s="815">
        <v>2035</v>
      </c>
      <c r="K343" s="815">
        <v>2040</v>
      </c>
      <c r="L343" s="815">
        <v>2045</v>
      </c>
      <c r="M343" s="815">
        <v>2050</v>
      </c>
      <c r="N343" s="383"/>
      <c r="W343" s="600"/>
      <c r="X343" s="600"/>
      <c r="Y343" s="600"/>
      <c r="Z343" s="600"/>
      <c r="AA343" s="600"/>
      <c r="AB343" s="601"/>
      <c r="AC343" s="601"/>
      <c r="AD343" s="601"/>
      <c r="AE343" s="602"/>
      <c r="AF343" s="602"/>
      <c r="AG343" s="602"/>
      <c r="AH343" s="602"/>
    </row>
    <row r="344" spans="1:34" s="248" customFormat="1" ht="15" customHeight="1">
      <c r="A344" s="663"/>
      <c r="B344" s="667"/>
      <c r="D344" s="272"/>
      <c r="E344" s="337" t="s">
        <v>889</v>
      </c>
      <c r="F344" s="2716">
        <v>0</v>
      </c>
      <c r="G344" s="662">
        <f>IF((((G290-F290)/(G$343-F$343))+(G290/$F$276)*COSTOS_CAPITAL_TRANSPORTE_CARGA_COMBUSTION_CONVENCIONAL_GASOLINA*COSTOS_2019_US_dolares_MMCOP)&gt;0,(((G290-F290)/(G$343-F$343))+(G290/$F$276)*COSTOS_CAPITAL_TRANSPORTE_CARGA_COMBUSTION_CONVENCIONAL_GASOLINA*COSTOS_2019_US_dolares_MMCOP),0)</f>
        <v>0</v>
      </c>
      <c r="H344" s="662">
        <f t="shared" ref="H344:M344" si="2">((H290-G290)/(H343-G343))+(H290/$F$276)*COSTOS_CAPITAL_TRANSPORTE_CARGA_COMBUSTION_CONVENCIONAL_GASOLINA*COSTOS_2019_US_dolares_MMCOP</f>
        <v>346.18196565610759</v>
      </c>
      <c r="I344" s="662">
        <f t="shared" si="2"/>
        <v>383.05107801023172</v>
      </c>
      <c r="J344" s="662">
        <f t="shared" si="2"/>
        <v>441.00887959081854</v>
      </c>
      <c r="K344" s="662">
        <f t="shared" si="2"/>
        <v>523.55868897775554</v>
      </c>
      <c r="L344" s="662">
        <f t="shared" si="2"/>
        <v>640.25910242683449</v>
      </c>
      <c r="M344" s="662">
        <f t="shared" si="2"/>
        <v>784.73014010623024</v>
      </c>
      <c r="N344" s="383"/>
      <c r="W344" s="600"/>
      <c r="X344" s="600"/>
      <c r="Y344" s="600"/>
      <c r="Z344" s="600"/>
      <c r="AA344" s="600"/>
      <c r="AB344" s="602"/>
      <c r="AC344" s="602"/>
      <c r="AD344" s="602"/>
      <c r="AE344" s="602"/>
      <c r="AF344" s="602"/>
      <c r="AG344" s="602"/>
      <c r="AH344" s="602"/>
    </row>
    <row r="345" spans="1:34" s="248" customFormat="1" ht="15" customHeight="1">
      <c r="A345" s="663"/>
      <c r="B345" s="667"/>
      <c r="D345" s="272"/>
      <c r="E345" s="30" t="s">
        <v>890</v>
      </c>
      <c r="F345" s="2718">
        <v>0</v>
      </c>
      <c r="G345" s="662">
        <f>IF((((G291-F291)/(G$343-F$343))+(G291/$F$277)*COSTOS_CAPITAL_TRANSPORTE_CARGA_COMBUSTION_CONVENCIONAL_DIESEL*COSTOS_2019_US_dolares_MMCOP)&gt;0,(((G291-F291)/(G$343-F$343))+(G291/$F$277)*COSTOS_CAPITAL_TRANSPORTE_CARGA_COMBUSTION_CONVENCIONAL_DIESEL*COSTOS_2019_US_dolares_MMCOP),0)</f>
        <v>3910.2787580541117</v>
      </c>
      <c r="H345" s="662">
        <f t="shared" ref="H345:M345" si="3">((H291-G291)/(H$343-G$343))+(H291/$F$277)*COSTOS_CAPITAL_TRANSPORTE_CARGA_COMBUSTION_CONVENCIONAL_DIESEL*COSTOS_2019_US_dolares_MMCOP</f>
        <v>1775.8810707855537</v>
      </c>
      <c r="I345" s="662">
        <f t="shared" si="3"/>
        <v>1661.5108157331056</v>
      </c>
      <c r="J345" s="662">
        <f t="shared" si="3"/>
        <v>1282.5705199194763</v>
      </c>
      <c r="K345" s="662">
        <f t="shared" si="3"/>
        <v>918.0822869963938</v>
      </c>
      <c r="L345" s="662">
        <f t="shared" si="3"/>
        <v>1461.8667800166108</v>
      </c>
      <c r="M345" s="662">
        <f t="shared" si="3"/>
        <v>2335.0607357201643</v>
      </c>
      <c r="N345" s="383"/>
      <c r="W345" s="600"/>
      <c r="X345" s="600"/>
      <c r="Y345" s="600"/>
      <c r="Z345" s="600"/>
      <c r="AA345" s="600"/>
      <c r="AB345" s="602"/>
      <c r="AC345" s="602"/>
      <c r="AD345" s="602"/>
      <c r="AE345" s="602"/>
      <c r="AF345" s="602"/>
      <c r="AG345" s="602"/>
      <c r="AH345" s="602"/>
    </row>
    <row r="346" spans="1:34" s="248" customFormat="1" ht="15" customHeight="1">
      <c r="A346" s="663"/>
      <c r="B346" s="667"/>
      <c r="D346" s="272"/>
      <c r="E346" s="30" t="s">
        <v>2379</v>
      </c>
      <c r="F346" s="2718">
        <v>0</v>
      </c>
      <c r="G346" s="662">
        <f>IF((((G292-F292)/(G$343-F$343))+(G292/$F$278)*COSTOS_CAPITAL_TRANSPORTE_CARGA_COMBUSTION_CONVENCIONAL_GN_COMPRIMIDO*COSTOS_2019_US_dolares_MMCOP)&gt;0,(((G292-F292)/(G$343-F$343))+(G292/$F$278)*COSTOS_CAPITAL_TRANSPORTE_CARGA_COMBUSTION_CONVENCIONAL_GN_COMPRIMIDO*COSTOS_2019_US_dolares_MMCOP),0)</f>
        <v>58.180160481802581</v>
      </c>
      <c r="H346" s="662">
        <f t="shared" ref="H346:M346" si="4">((H292-G292)/(H$343-G$343))+(H292/$F$278)*COSTOS_CAPITAL_TRANSPORTE_CARGA_COMBUSTION_CONVENCIONAL_GN_COMPRIMIDO*COSTOS_2019_US_dolares_MMCOP</f>
        <v>26.956812753034257</v>
      </c>
      <c r="I346" s="662">
        <f t="shared" si="4"/>
        <v>30.618916038140469</v>
      </c>
      <c r="J346" s="662">
        <f t="shared" si="4"/>
        <v>35.814048831643809</v>
      </c>
      <c r="K346" s="662">
        <f t="shared" si="4"/>
        <v>42.854212945198285</v>
      </c>
      <c r="L346" s="662">
        <f t="shared" si="4"/>
        <v>52.473806066647754</v>
      </c>
      <c r="M346" s="662">
        <f t="shared" si="4"/>
        <v>64.355115920869849</v>
      </c>
      <c r="N346" s="383"/>
      <c r="W346" s="600"/>
      <c r="X346" s="600"/>
      <c r="Y346" s="600"/>
      <c r="Z346" s="600"/>
      <c r="AA346" s="600"/>
    </row>
    <row r="347" spans="1:34" s="248" customFormat="1" ht="15" customHeight="1">
      <c r="A347" s="663"/>
      <c r="B347" s="667"/>
      <c r="D347" s="272"/>
      <c r="E347" s="30" t="s">
        <v>2270</v>
      </c>
      <c r="F347" s="2718">
        <v>0</v>
      </c>
      <c r="G347" s="662">
        <f>IF((((G293-F293)/(G$343-F$343))+(G293/$F$279)*COSTOS_CAPITAL_TRANSPORTE_CARGA_COMBUSTION_CONVENCIONAL_GN_LICUADO*COSTOS_2019_US_dolares_MMCOP)&gt;0,(((G293-F293)/(G$343-F$343))+(G293/$F$279)*COSTOS_CAPITAL_TRANSPORTE_CARGA_COMBUSTION_CONVENCIONAL_GN_LICUADO*COSTOS_2019_US_dolares_MMCOP),0)</f>
        <v>0</v>
      </c>
      <c r="H347" s="662">
        <f t="shared" ref="H347:M347" si="5">((H293-G293)/(H$343-G$343))+(H293/$F$279)*COSTOS_CAPITAL_TRANSPORTE_CARGA_COMBUSTION_CONVENCIONAL_GN_LICUADO*COSTOS_2019_US_dolares_MMCOP</f>
        <v>106.51625477963758</v>
      </c>
      <c r="I347" s="662">
        <f t="shared" si="5"/>
        <v>344.37913506495818</v>
      </c>
      <c r="J347" s="662">
        <f t="shared" si="5"/>
        <v>1021.1107885586105</v>
      </c>
      <c r="K347" s="662">
        <f t="shared" si="5"/>
        <v>1801.6683000508883</v>
      </c>
      <c r="L347" s="662">
        <f t="shared" si="5"/>
        <v>2001.2049666744631</v>
      </c>
      <c r="M347" s="662">
        <f t="shared" si="5"/>
        <v>2004.6610970102811</v>
      </c>
      <c r="N347" s="383"/>
    </row>
    <row r="348" spans="1:34" customFormat="1" ht="15" customHeight="1">
      <c r="A348" s="663"/>
      <c r="B348" s="667"/>
      <c r="D348" s="272"/>
      <c r="E348" s="30" t="s">
        <v>498</v>
      </c>
      <c r="F348" s="2718">
        <v>0</v>
      </c>
      <c r="G348" s="662">
        <f>IF((((G294-F294)/(G$343-F$343))+(G294/$F$280)*COSTOS_CAPITAL_TRANSPORTE_CARGA_COMBUSTION_CONVENCIONAL_GLP*COSTOS_2019_US_dolares_MMCOP)&gt;0,(((G294-F294)/(G$343-F$343))+(G294/$F$280)*COSTOS_CAPITAL_TRANSPORTE_CARGA_COMBUSTION_CONVENCIONAL_GLP*COSTOS_2019_US_dolares_MMCOP),0)</f>
        <v>0</v>
      </c>
      <c r="H348" s="662">
        <f t="shared" ref="H348:M348" si="6">((H294-G294)/(H$343-G$343))+(H294/$F$280)*COSTOS_CAPITAL_TRANSPORTE_CARGA_COMBUSTION_CONVENCIONAL_GLP*COSTOS_2019_US_dolares_MMCOP</f>
        <v>0.66462609229760305</v>
      </c>
      <c r="I348" s="662">
        <f t="shared" si="6"/>
        <v>7.3084350654080872</v>
      </c>
      <c r="J348" s="662">
        <f t="shared" si="6"/>
        <v>44.080787391631802</v>
      </c>
      <c r="K348" s="662">
        <f t="shared" si="6"/>
        <v>54.747181768410655</v>
      </c>
      <c r="L348" s="662">
        <f t="shared" si="6"/>
        <v>33.335495073054354</v>
      </c>
      <c r="M348" s="662">
        <f t="shared" si="6"/>
        <v>33.283265569334098</v>
      </c>
      <c r="N348" s="383"/>
    </row>
    <row r="349" spans="1:34" s="248" customFormat="1" ht="15" customHeight="1">
      <c r="A349" s="663"/>
      <c r="B349" s="667"/>
      <c r="D349" s="272"/>
      <c r="E349" s="30" t="s">
        <v>908</v>
      </c>
      <c r="F349" s="2718">
        <v>0</v>
      </c>
      <c r="G349" s="662">
        <f>IF((((G295-F295)/(G$343-F$343))+(G295/$F$281)*COSTOS_CAPITAL_TRANSPORTE_CARGA_HIBRIDO_GASOLINA*COSTOS_2019_US_dolares_MMCOP)&gt;0,(((G295-F295)/(G$343-F$343))+(G295/$F$281)*COSTOS_CAPITAL_TRANSPORTE_CARGA_HIBRIDO_GASOLINA*COSTOS_2019_US_dolares_MMCOP),0)</f>
        <v>0</v>
      </c>
      <c r="H349" s="662">
        <f t="shared" ref="H349:M349" si="7">((H295-G295)/(H$343-G$343))+(H295/$F$281)*COSTOS_CAPITAL_TRANSPORTE_CARGA_HIBRIDO_GASOLINA*COSTOS_2019_US_dolares_MMCOP</f>
        <v>0</v>
      </c>
      <c r="I349" s="662">
        <f t="shared" si="7"/>
        <v>0</v>
      </c>
      <c r="J349" s="662">
        <f t="shared" si="7"/>
        <v>0</v>
      </c>
      <c r="K349" s="662">
        <f t="shared" si="7"/>
        <v>0</v>
      </c>
      <c r="L349" s="662">
        <f t="shared" si="7"/>
        <v>0</v>
      </c>
      <c r="M349" s="662">
        <f t="shared" si="7"/>
        <v>0</v>
      </c>
      <c r="N349" s="383"/>
    </row>
    <row r="350" spans="1:34" s="248" customFormat="1" ht="15" customHeight="1">
      <c r="A350" s="663"/>
      <c r="B350" s="667"/>
      <c r="D350" s="272"/>
      <c r="E350" s="30" t="s">
        <v>909</v>
      </c>
      <c r="F350" s="2718">
        <v>0</v>
      </c>
      <c r="G350" s="662">
        <f>IF((((G296-F296)/(G$343-F$343))+(G296/$F$282)*COSTOS_CAPITAL_TRANSPORTE_CARGA_HIBRIDO_DIESEL*COSTOS_2019_US_dolares_MMCOP)&gt;0,(((G296-F296)/(G$343-F$343))+(G296/$F$282)*COSTOS_CAPITAL_TRANSPORTE_CARGA_HIBRIDO_DIESEL*COSTOS_2019_US_dolares_MMCOP),0)</f>
        <v>0</v>
      </c>
      <c r="H350" s="662">
        <f t="shared" ref="H350:M350" si="8">((H296-G296)/(H$343-G$343))+(H296/$F$282)*COSTOS_CAPITAL_TRANSPORTE_CARGA_HIBRIDO_DIESEL*COSTOS_2019_US_dolares_MMCOP</f>
        <v>0</v>
      </c>
      <c r="I350" s="662">
        <f t="shared" si="8"/>
        <v>0</v>
      </c>
      <c r="J350" s="662">
        <f t="shared" si="8"/>
        <v>0</v>
      </c>
      <c r="K350" s="662">
        <f t="shared" si="8"/>
        <v>0</v>
      </c>
      <c r="L350" s="662">
        <f t="shared" si="8"/>
        <v>0</v>
      </c>
      <c r="M350" s="662">
        <f t="shared" si="8"/>
        <v>0</v>
      </c>
      <c r="N350" s="383"/>
      <c r="W350" s="600"/>
      <c r="X350" s="600"/>
      <c r="Y350" s="600"/>
      <c r="Z350" s="600"/>
      <c r="AA350" s="600"/>
      <c r="AB350" s="600"/>
      <c r="AC350" s="600"/>
      <c r="AD350" s="600"/>
      <c r="AE350" s="600"/>
      <c r="AF350" s="600"/>
      <c r="AG350" s="600"/>
      <c r="AH350" s="600"/>
    </row>
    <row r="351" spans="1:34" s="248" customFormat="1" ht="15" customHeight="1">
      <c r="A351" s="663"/>
      <c r="B351" s="667"/>
      <c r="D351" s="272"/>
      <c r="E351" s="30" t="s">
        <v>894</v>
      </c>
      <c r="F351" s="2718">
        <v>0</v>
      </c>
      <c r="G351" s="662">
        <f>IF((((G297-F297)/(G$343-F$343))+(G297/$F$283)*COSTOS_CAPITAL_TRANSPORTE_CARGA_ELECTRICO*COSTOS_2019_US_dolares_MMCOP)&gt;0,(((G297-F297)/(G$343-F$343))+(G297/$F$283)*COSTOS_CAPITAL_TRANSPORTE_CARGA_ELECTRICO*COSTOS_2019_US_dolares_MMCOP),0)</f>
        <v>32.813253887845342</v>
      </c>
      <c r="H351" s="662">
        <f t="shared" ref="H351:M351" si="9">((H297-G297)/(H$343-G$343))+(H297/$F$283)*COSTOS_CAPITAL_TRANSPORTE_CARGA_ELECTRICO*COSTOS_2019_US_dolares_MMCOP</f>
        <v>58.989247776225042</v>
      </c>
      <c r="I351" s="662">
        <f t="shared" si="9"/>
        <v>111.86803434091161</v>
      </c>
      <c r="J351" s="662">
        <f t="shared" si="9"/>
        <v>150.26482588627618</v>
      </c>
      <c r="K351" s="662">
        <f t="shared" si="9"/>
        <v>265.84433551601222</v>
      </c>
      <c r="L351" s="662">
        <f t="shared" si="9"/>
        <v>275.88110077563681</v>
      </c>
      <c r="M351" s="662">
        <f t="shared" si="9"/>
        <v>275.5289231454945</v>
      </c>
      <c r="N351" s="276"/>
      <c r="W351" s="600"/>
      <c r="X351" s="600"/>
      <c r="Y351" s="600"/>
      <c r="Z351" s="600"/>
      <c r="AA351" s="600"/>
      <c r="AB351" s="601"/>
      <c r="AC351" s="601"/>
      <c r="AD351" s="601"/>
      <c r="AE351" s="602"/>
      <c r="AF351" s="602"/>
      <c r="AG351" s="602"/>
      <c r="AH351" s="602"/>
    </row>
    <row r="352" spans="1:34" s="248" customFormat="1" ht="15" customHeight="1">
      <c r="A352" s="663"/>
      <c r="B352" s="667"/>
      <c r="D352" s="272"/>
      <c r="E352" s="32" t="s">
        <v>603</v>
      </c>
      <c r="F352" s="2720">
        <v>0</v>
      </c>
      <c r="G352" s="2676">
        <f>IF((((G298-F298)/(G$343-F$343))+(G298/$F$284)*COSTOS_CAPITAL_TRANSPORTE_CARGA_COMBUSTION_CONVENCIONAL_H2*COSTOS_2019_US_dolares_MMCOP)&gt;0,(((G298-F298)/(G$343-F$343))+(G298/$F$284)*COSTOS_CAPITAL_TRANSPORTE_CARGA_COMBUSTION_CONVENCIONAL_H2*COSTOS_2019_US_dolares_MMCOP),0)</f>
        <v>0</v>
      </c>
      <c r="H352" s="2676">
        <f t="shared" ref="H352:M352" si="10">((H298-G298)/(H$343-G$343))+(H298/$F$284)*COSTOS_CAPITAL_TRANSPORTE_CARGA_COMBUSTION_CONVENCIONAL_H2*COSTOS_2019_US_dolares_MMCOP</f>
        <v>0</v>
      </c>
      <c r="I352" s="2676">
        <f t="shared" si="10"/>
        <v>0</v>
      </c>
      <c r="J352" s="2676">
        <f t="shared" si="10"/>
        <v>0</v>
      </c>
      <c r="K352" s="2676">
        <f t="shared" si="10"/>
        <v>0</v>
      </c>
      <c r="L352" s="2676">
        <f t="shared" si="10"/>
        <v>0</v>
      </c>
      <c r="M352" s="2676">
        <f t="shared" si="10"/>
        <v>0</v>
      </c>
      <c r="N352" s="276"/>
      <c r="W352" s="600"/>
      <c r="X352" s="600"/>
      <c r="Y352" s="600"/>
      <c r="Z352" s="600"/>
      <c r="AA352" s="600"/>
      <c r="AB352" s="602"/>
      <c r="AC352" s="602"/>
      <c r="AD352" s="602"/>
      <c r="AE352" s="602"/>
      <c r="AF352" s="602"/>
      <c r="AG352" s="602"/>
      <c r="AH352" s="602"/>
    </row>
    <row r="353" spans="1:34" s="248" customFormat="1" ht="15" customHeight="1">
      <c r="A353" s="663"/>
      <c r="B353" s="667"/>
      <c r="D353" s="272"/>
      <c r="E353" s="92" t="s">
        <v>338</v>
      </c>
      <c r="F353" s="2798">
        <f>SUM(F344:F352)</f>
        <v>0</v>
      </c>
      <c r="G353" s="2798">
        <f t="shared" ref="G353:M353" si="11">SUM(G344:G352)</f>
        <v>4001.2721724237595</v>
      </c>
      <c r="H353" s="2798">
        <f t="shared" si="11"/>
        <v>2315.1899778428556</v>
      </c>
      <c r="I353" s="2798">
        <f t="shared" si="11"/>
        <v>2538.7364142527554</v>
      </c>
      <c r="J353" s="2798">
        <f t="shared" si="11"/>
        <v>2974.849850178457</v>
      </c>
      <c r="K353" s="2798">
        <f t="shared" si="11"/>
        <v>3606.7550062546584</v>
      </c>
      <c r="L353" s="2798">
        <f t="shared" si="11"/>
        <v>4465.0212510332476</v>
      </c>
      <c r="M353" s="2798">
        <f t="shared" si="11"/>
        <v>5497.6192774723741</v>
      </c>
      <c r="N353" s="276"/>
      <c r="W353" s="600"/>
      <c r="X353" s="600"/>
      <c r="Y353" s="600"/>
      <c r="Z353" s="600"/>
      <c r="AA353" s="600"/>
      <c r="AB353" s="602"/>
      <c r="AC353" s="602"/>
      <c r="AD353" s="602"/>
      <c r="AE353" s="602"/>
      <c r="AF353" s="602"/>
      <c r="AG353" s="602"/>
      <c r="AH353" s="602"/>
    </row>
    <row r="354" spans="1:34" s="248" customFormat="1" ht="15" customHeight="1">
      <c r="A354" s="663"/>
      <c r="B354" s="667"/>
      <c r="D354" s="272"/>
      <c r="E354" s="30"/>
      <c r="F354" s="917"/>
      <c r="G354" s="276"/>
      <c r="H354" s="276"/>
      <c r="I354" s="276"/>
      <c r="J354" s="276"/>
      <c r="K354" s="276"/>
      <c r="L354" s="276"/>
      <c r="M354" s="276"/>
      <c r="N354" s="276"/>
      <c r="W354" s="600"/>
      <c r="X354" s="600"/>
      <c r="Y354" s="600"/>
      <c r="Z354" s="600"/>
      <c r="AA354" s="600"/>
      <c r="AB354" s="602"/>
      <c r="AC354" s="602"/>
      <c r="AD354" s="602"/>
      <c r="AE354" s="602"/>
      <c r="AF354" s="602"/>
      <c r="AG354" s="602"/>
      <c r="AH354" s="602"/>
    </row>
    <row r="355" spans="1:34" s="248" customFormat="1" ht="15" customHeight="1">
      <c r="A355" s="663"/>
      <c r="B355" s="667"/>
      <c r="D355" s="251"/>
      <c r="E355" s="264" t="s">
        <v>821</v>
      </c>
      <c r="F355" s="844"/>
      <c r="G355" s="844"/>
      <c r="H355" s="844"/>
      <c r="I355" s="844"/>
      <c r="J355" s="844"/>
      <c r="K355" s="844"/>
      <c r="L355" s="844"/>
      <c r="M355" s="845" t="s">
        <v>2393</v>
      </c>
      <c r="N355" s="251"/>
      <c r="W355" s="600"/>
      <c r="X355" s="600"/>
      <c r="Y355" s="600"/>
      <c r="Z355" s="600"/>
      <c r="AA355" s="600"/>
    </row>
    <row r="356" spans="1:34" s="248" customFormat="1" ht="15" customHeight="1">
      <c r="A356" s="663"/>
      <c r="B356" s="667"/>
      <c r="D356" s="272"/>
      <c r="E356" s="268" t="s">
        <v>859</v>
      </c>
      <c r="F356" s="815">
        <v>2018</v>
      </c>
      <c r="G356" s="815">
        <v>2020</v>
      </c>
      <c r="H356" s="815">
        <v>2025</v>
      </c>
      <c r="I356" s="815">
        <v>2030</v>
      </c>
      <c r="J356" s="815">
        <v>2035</v>
      </c>
      <c r="K356" s="815">
        <v>2040</v>
      </c>
      <c r="L356" s="815">
        <v>2045</v>
      </c>
      <c r="M356" s="815">
        <v>2050</v>
      </c>
      <c r="N356" s="383"/>
    </row>
    <row r="357" spans="1:34" customFormat="1" ht="15" customHeight="1">
      <c r="A357" s="663"/>
      <c r="B357" s="667"/>
      <c r="D357" s="272"/>
      <c r="E357" s="337" t="s">
        <v>889</v>
      </c>
      <c r="F357" s="2716">
        <v>0</v>
      </c>
      <c r="G357" s="2716" cm="1">
        <f t="array" ref="G357:M357">G344:M344*COSTOS_MEDIO</f>
        <v>0</v>
      </c>
      <c r="H357" s="2716">
        <v>276.94557252488607</v>
      </c>
      <c r="I357" s="2716">
        <v>306.44086240818541</v>
      </c>
      <c r="J357" s="2716">
        <v>352.80710367265488</v>
      </c>
      <c r="K357" s="2716">
        <v>418.84695118220446</v>
      </c>
      <c r="L357" s="2716">
        <v>512.20728194146761</v>
      </c>
      <c r="M357" s="2717">
        <v>627.78411208498426</v>
      </c>
      <c r="N357" s="383"/>
    </row>
    <row r="358" spans="1:34" s="248" customFormat="1" ht="15" customHeight="1">
      <c r="A358" s="663"/>
      <c r="B358" s="667"/>
      <c r="D358" s="272"/>
      <c r="E358" s="30" t="s">
        <v>890</v>
      </c>
      <c r="F358" s="2718">
        <v>0</v>
      </c>
      <c r="G358" s="2718" cm="1">
        <f t="array" ref="G358:M358">G345:M345*COSTOS_MEDIO</f>
        <v>3128.2230064432897</v>
      </c>
      <c r="H358" s="2718">
        <v>1420.7048566284429</v>
      </c>
      <c r="I358" s="2718">
        <v>1329.2086525864845</v>
      </c>
      <c r="J358" s="2718">
        <v>1026.0564159355811</v>
      </c>
      <c r="K358" s="2718">
        <v>734.46582959711509</v>
      </c>
      <c r="L358" s="2718">
        <v>1169.4934240132886</v>
      </c>
      <c r="M358" s="2719">
        <v>1868.0485885761316</v>
      </c>
      <c r="N358" s="383"/>
    </row>
    <row r="359" spans="1:34" s="248" customFormat="1" ht="15" customHeight="1">
      <c r="A359" s="663"/>
      <c r="B359" s="667"/>
      <c r="D359" s="272"/>
      <c r="E359" s="30" t="s">
        <v>2379</v>
      </c>
      <c r="F359" s="2718">
        <v>0</v>
      </c>
      <c r="G359" s="2718" cm="1">
        <f t="array" ref="G359:M359">G346:M346*COSTOS_MEDIO</f>
        <v>46.544128385442065</v>
      </c>
      <c r="H359" s="2718">
        <v>21.565450202427407</v>
      </c>
      <c r="I359" s="2718">
        <v>24.495132830512375</v>
      </c>
      <c r="J359" s="2718">
        <v>28.65123906531505</v>
      </c>
      <c r="K359" s="2718">
        <v>34.283370356158628</v>
      </c>
      <c r="L359" s="2718">
        <v>41.979044853318207</v>
      </c>
      <c r="M359" s="2718">
        <v>51.484092736695885</v>
      </c>
      <c r="N359" s="383"/>
      <c r="W359" s="600"/>
      <c r="X359" s="600"/>
      <c r="Y359" s="600"/>
      <c r="Z359" s="600"/>
      <c r="AA359" s="600"/>
      <c r="AB359" s="600"/>
      <c r="AC359" s="600"/>
      <c r="AD359" s="600"/>
      <c r="AE359" s="600"/>
      <c r="AF359" s="600"/>
      <c r="AG359" s="600"/>
      <c r="AH359" s="600"/>
    </row>
    <row r="360" spans="1:34" s="248" customFormat="1" ht="15" customHeight="1">
      <c r="A360" s="663"/>
      <c r="B360" s="667"/>
      <c r="D360" s="272"/>
      <c r="E360" s="30" t="s">
        <v>2270</v>
      </c>
      <c r="F360" s="2718">
        <v>0</v>
      </c>
      <c r="G360" s="2718" cm="1">
        <f t="array" ref="G360:M360">G347:M347*COSTOS_MEDIO</f>
        <v>0</v>
      </c>
      <c r="H360" s="2718">
        <v>85.213003823710068</v>
      </c>
      <c r="I360" s="2718">
        <v>275.50330805196654</v>
      </c>
      <c r="J360" s="2718">
        <v>816.88863084688842</v>
      </c>
      <c r="K360" s="2718">
        <v>1441.3346400407108</v>
      </c>
      <c r="L360" s="2718">
        <v>1600.9639733395707</v>
      </c>
      <c r="M360" s="2718">
        <v>1603.728877608225</v>
      </c>
      <c r="N360" s="383"/>
      <c r="W360" s="600"/>
      <c r="X360" s="600"/>
      <c r="Y360" s="600"/>
      <c r="Z360" s="600"/>
      <c r="AA360" s="600"/>
      <c r="AB360" s="601"/>
      <c r="AC360" s="601"/>
      <c r="AD360" s="601"/>
      <c r="AE360" s="602"/>
      <c r="AF360" s="602"/>
      <c r="AG360" s="602"/>
      <c r="AH360" s="602"/>
    </row>
    <row r="361" spans="1:34" s="248" customFormat="1" ht="15" customHeight="1">
      <c r="A361" s="663"/>
      <c r="B361" s="667"/>
      <c r="D361" s="272"/>
      <c r="E361" s="30" t="s">
        <v>498</v>
      </c>
      <c r="F361" s="2718">
        <v>0</v>
      </c>
      <c r="G361" s="2718" cm="1">
        <f t="array" ref="G361:M361">G348:M348*COSTOS_MEDIO</f>
        <v>0</v>
      </c>
      <c r="H361" s="2718">
        <v>0.53170087383808251</v>
      </c>
      <c r="I361" s="2718">
        <v>5.8467480523264701</v>
      </c>
      <c r="J361" s="2718">
        <v>35.264629913305441</v>
      </c>
      <c r="K361" s="2718">
        <v>43.797745414728524</v>
      </c>
      <c r="L361" s="2718">
        <v>26.668396058443484</v>
      </c>
      <c r="M361" s="2718">
        <v>26.626612455467281</v>
      </c>
      <c r="N361" s="383"/>
      <c r="W361" s="600"/>
      <c r="X361" s="600"/>
      <c r="Y361" s="600"/>
      <c r="Z361" s="600"/>
      <c r="AA361" s="600"/>
      <c r="AB361" s="601"/>
      <c r="AC361" s="601"/>
      <c r="AD361" s="601"/>
      <c r="AE361" s="602"/>
      <c r="AF361" s="602"/>
      <c r="AG361" s="602"/>
      <c r="AH361" s="602"/>
    </row>
    <row r="362" spans="1:34" s="248" customFormat="1" ht="15" customHeight="1">
      <c r="A362" s="663"/>
      <c r="B362" s="667"/>
      <c r="D362" s="272"/>
      <c r="E362" s="30" t="s">
        <v>908</v>
      </c>
      <c r="F362" s="2718">
        <v>0</v>
      </c>
      <c r="G362" s="2718" cm="1">
        <f t="array" ref="G362:M362">G349:M349*COSTOS_MEDIO</f>
        <v>0</v>
      </c>
      <c r="H362" s="2718">
        <v>0</v>
      </c>
      <c r="I362" s="2718">
        <v>0</v>
      </c>
      <c r="J362" s="2718">
        <v>0</v>
      </c>
      <c r="K362" s="2718">
        <v>0</v>
      </c>
      <c r="L362" s="2718">
        <v>0</v>
      </c>
      <c r="M362" s="2719">
        <v>0</v>
      </c>
      <c r="N362" s="383"/>
      <c r="W362" s="600"/>
      <c r="X362" s="600"/>
      <c r="Y362" s="600"/>
      <c r="Z362" s="600"/>
      <c r="AA362" s="600"/>
      <c r="AB362" s="602"/>
      <c r="AC362" s="602"/>
      <c r="AD362" s="602"/>
      <c r="AE362" s="602"/>
      <c r="AF362" s="602"/>
      <c r="AG362" s="602"/>
      <c r="AH362" s="602"/>
    </row>
    <row r="363" spans="1:34" s="248" customFormat="1" ht="15" customHeight="1">
      <c r="A363" s="663"/>
      <c r="B363" s="667"/>
      <c r="D363" s="272"/>
      <c r="E363" s="30" t="s">
        <v>909</v>
      </c>
      <c r="F363" s="2718">
        <v>0</v>
      </c>
      <c r="G363" s="2718" cm="1">
        <f t="array" ref="G363:M363">G350:M350*COSTOS_MEDIO</f>
        <v>0</v>
      </c>
      <c r="H363" s="2718">
        <v>0</v>
      </c>
      <c r="I363" s="2718">
        <v>0</v>
      </c>
      <c r="J363" s="2718">
        <v>0</v>
      </c>
      <c r="K363" s="2718">
        <v>0</v>
      </c>
      <c r="L363" s="2718">
        <v>0</v>
      </c>
      <c r="M363" s="2719">
        <v>0</v>
      </c>
      <c r="N363" s="383"/>
      <c r="W363" s="600"/>
      <c r="X363" s="600"/>
      <c r="Y363" s="600"/>
      <c r="Z363" s="600"/>
      <c r="AA363" s="600"/>
    </row>
    <row r="364" spans="1:34" s="248" customFormat="1" ht="15" customHeight="1">
      <c r="A364" s="663"/>
      <c r="B364" s="667"/>
      <c r="D364" s="272"/>
      <c r="E364" s="30" t="s">
        <v>894</v>
      </c>
      <c r="F364" s="2718">
        <v>0</v>
      </c>
      <c r="G364" s="2718" cm="1">
        <f t="array" ref="G364:M364">G351:M351*COSTOS_MEDIO</f>
        <v>26.250603110276273</v>
      </c>
      <c r="H364" s="2718">
        <v>47.191398220980034</v>
      </c>
      <c r="I364" s="2718">
        <v>89.494427472729285</v>
      </c>
      <c r="J364" s="2718">
        <v>120.21186070902095</v>
      </c>
      <c r="K364" s="2718">
        <v>212.67546841280978</v>
      </c>
      <c r="L364" s="2718">
        <v>220.70488062050947</v>
      </c>
      <c r="M364" s="2718">
        <v>220.42313851639562</v>
      </c>
      <c r="N364" s="276"/>
    </row>
    <row r="365" spans="1:34" s="248" customFormat="1" ht="15" customHeight="1">
      <c r="A365" s="663"/>
      <c r="B365" s="667"/>
      <c r="D365" s="272"/>
      <c r="E365" s="32" t="s">
        <v>603</v>
      </c>
      <c r="F365" s="2720">
        <v>0</v>
      </c>
      <c r="G365" s="2720" cm="1">
        <f t="array" ref="G365:M365">G352:M352*COSTOS_MEDIO</f>
        <v>0</v>
      </c>
      <c r="H365" s="2720">
        <v>0</v>
      </c>
      <c r="I365" s="2720">
        <v>0</v>
      </c>
      <c r="J365" s="2720">
        <v>0</v>
      </c>
      <c r="K365" s="2720">
        <v>0</v>
      </c>
      <c r="L365" s="2720">
        <v>0</v>
      </c>
      <c r="M365" s="2720">
        <v>0</v>
      </c>
      <c r="N365" s="276"/>
      <c r="W365" s="600"/>
      <c r="X365" s="600"/>
      <c r="Y365" s="600"/>
      <c r="Z365" s="600"/>
      <c r="AA365" s="600"/>
      <c r="AB365" s="602"/>
      <c r="AC365" s="602"/>
      <c r="AD365" s="602"/>
      <c r="AE365" s="602"/>
      <c r="AF365" s="602"/>
      <c r="AG365" s="602"/>
      <c r="AH365" s="602"/>
    </row>
    <row r="366" spans="1:34" s="248" customFormat="1" ht="15" customHeight="1">
      <c r="A366" s="663"/>
      <c r="B366" s="667"/>
      <c r="D366" s="272"/>
      <c r="E366" s="92" t="s">
        <v>338</v>
      </c>
      <c r="F366" s="2798">
        <f t="shared" ref="F366:M366" si="12">SUM(F357:F365)</f>
        <v>0</v>
      </c>
      <c r="G366" s="2798">
        <f t="shared" si="12"/>
        <v>3201.0177379390079</v>
      </c>
      <c r="H366" s="2798">
        <f t="shared" si="12"/>
        <v>1852.1519822742848</v>
      </c>
      <c r="I366" s="2798">
        <f t="shared" si="12"/>
        <v>2030.9891314022047</v>
      </c>
      <c r="J366" s="2798">
        <f t="shared" si="12"/>
        <v>2379.8798801427656</v>
      </c>
      <c r="K366" s="2798">
        <f t="shared" si="12"/>
        <v>2885.4040050037274</v>
      </c>
      <c r="L366" s="2798">
        <f t="shared" si="12"/>
        <v>3572.0170008265982</v>
      </c>
      <c r="M366" s="2798">
        <f t="shared" si="12"/>
        <v>4398.0954219779005</v>
      </c>
      <c r="N366" s="276"/>
      <c r="W366" s="600"/>
      <c r="X366" s="600"/>
      <c r="Y366" s="600"/>
      <c r="Z366" s="600"/>
      <c r="AA366" s="600"/>
      <c r="AB366" s="602"/>
      <c r="AC366" s="602"/>
      <c r="AD366" s="602"/>
      <c r="AE366" s="602"/>
      <c r="AF366" s="602"/>
      <c r="AG366" s="602"/>
      <c r="AH366" s="602"/>
    </row>
    <row r="367" spans="1:34" s="248" customFormat="1" ht="15" customHeight="1">
      <c r="A367" s="663"/>
      <c r="B367" s="667"/>
      <c r="D367" s="272"/>
      <c r="E367" s="30"/>
      <c r="F367" s="917"/>
      <c r="G367" s="276"/>
      <c r="H367" s="276"/>
      <c r="I367" s="276"/>
      <c r="J367" s="276"/>
      <c r="K367" s="276"/>
      <c r="L367" s="276"/>
      <c r="M367" s="276"/>
      <c r="N367" s="276"/>
      <c r="W367" s="600"/>
      <c r="X367" s="600"/>
      <c r="Y367" s="600"/>
      <c r="Z367" s="600"/>
      <c r="AA367" s="600"/>
      <c r="AB367" s="602"/>
      <c r="AC367" s="602"/>
      <c r="AD367" s="602"/>
      <c r="AE367" s="602"/>
      <c r="AF367" s="602"/>
      <c r="AG367" s="602"/>
      <c r="AH367" s="602"/>
    </row>
    <row r="368" spans="1:34" s="248" customFormat="1" ht="15" customHeight="1">
      <c r="A368" s="663"/>
      <c r="B368" s="667"/>
      <c r="D368" s="251"/>
      <c r="E368" s="264" t="s">
        <v>822</v>
      </c>
      <c r="F368" s="844"/>
      <c r="G368" s="844"/>
      <c r="H368" s="844"/>
      <c r="I368" s="844"/>
      <c r="J368" s="844"/>
      <c r="K368" s="844"/>
      <c r="L368" s="844"/>
      <c r="M368" s="845" t="s">
        <v>2393</v>
      </c>
      <c r="N368" s="251"/>
      <c r="W368" s="600"/>
      <c r="X368" s="600"/>
      <c r="Y368" s="600"/>
      <c r="Z368" s="600"/>
      <c r="AA368" s="600"/>
    </row>
    <row r="369" spans="1:34" s="248" customFormat="1" ht="15" customHeight="1">
      <c r="A369" s="663"/>
      <c r="B369" s="667"/>
      <c r="D369" s="272"/>
      <c r="E369" s="268" t="s">
        <v>859</v>
      </c>
      <c r="F369" s="815">
        <v>2018</v>
      </c>
      <c r="G369" s="815">
        <v>2020</v>
      </c>
      <c r="H369" s="815">
        <v>2025</v>
      </c>
      <c r="I369" s="815">
        <v>2030</v>
      </c>
      <c r="J369" s="815">
        <v>2035</v>
      </c>
      <c r="K369" s="815">
        <v>2040</v>
      </c>
      <c r="L369" s="815">
        <v>2045</v>
      </c>
      <c r="M369" s="815">
        <v>2050</v>
      </c>
      <c r="N369" s="383"/>
    </row>
    <row r="370" spans="1:34" customFormat="1" ht="15" customHeight="1">
      <c r="A370" s="663"/>
      <c r="B370" s="667"/>
      <c r="D370" s="272"/>
      <c r="E370" s="337" t="s">
        <v>889</v>
      </c>
      <c r="F370" s="2716">
        <v>0</v>
      </c>
      <c r="G370" s="2716" cm="1">
        <f t="array" ref="G370:M370">G344:M344*COSTOS_BAJO</f>
        <v>0</v>
      </c>
      <c r="H370" s="2716">
        <v>242.32737595927529</v>
      </c>
      <c r="I370" s="2716">
        <v>268.1357546071622</v>
      </c>
      <c r="J370" s="2716">
        <v>308.70621571357293</v>
      </c>
      <c r="K370" s="2716">
        <v>366.49108228442884</v>
      </c>
      <c r="L370" s="2716">
        <v>448.18137169878412</v>
      </c>
      <c r="M370" s="2717">
        <v>549.3110980743611</v>
      </c>
      <c r="N370" s="383"/>
    </row>
    <row r="371" spans="1:34" s="248" customFormat="1" ht="15" customHeight="1">
      <c r="A371" s="663"/>
      <c r="B371" s="667"/>
      <c r="D371" s="272"/>
      <c r="E371" s="30" t="s">
        <v>890</v>
      </c>
      <c r="F371" s="2718">
        <v>0</v>
      </c>
      <c r="G371" s="2718" cm="1">
        <f t="array" ref="G371:M371">G345:M345*COSTOS_BAJO</f>
        <v>2737.1951306378778</v>
      </c>
      <c r="H371" s="2718">
        <v>1243.1167495498876</v>
      </c>
      <c r="I371" s="2718">
        <v>1163.0575710131739</v>
      </c>
      <c r="J371" s="2718">
        <v>897.79936394363335</v>
      </c>
      <c r="K371" s="2718">
        <v>642.65760089747562</v>
      </c>
      <c r="L371" s="2718">
        <v>1023.3067460116275</v>
      </c>
      <c r="M371" s="2719">
        <v>1634.5425150041149</v>
      </c>
      <c r="N371" s="383"/>
    </row>
    <row r="372" spans="1:34" s="248" customFormat="1" ht="15" customHeight="1">
      <c r="A372" s="663"/>
      <c r="B372" s="667"/>
      <c r="D372" s="272"/>
      <c r="E372" s="30" t="s">
        <v>2379</v>
      </c>
      <c r="F372" s="2718">
        <v>0</v>
      </c>
      <c r="G372" s="2718" cm="1">
        <f t="array" ref="G372:M372">G346:M346*COSTOS_BAJO</f>
        <v>40.726112337261803</v>
      </c>
      <c r="H372" s="2718">
        <v>18.869768927123978</v>
      </c>
      <c r="I372" s="2718">
        <v>21.433241226698328</v>
      </c>
      <c r="J372" s="2718">
        <v>25.069834182150665</v>
      </c>
      <c r="K372" s="2718">
        <v>29.997949061638796</v>
      </c>
      <c r="L372" s="2718">
        <v>36.731664246653423</v>
      </c>
      <c r="M372" s="2718">
        <v>45.048581144608889</v>
      </c>
      <c r="N372" s="383"/>
      <c r="W372" s="600"/>
      <c r="X372" s="600"/>
      <c r="Y372" s="600"/>
      <c r="Z372" s="600"/>
      <c r="AA372" s="600"/>
      <c r="AB372" s="600"/>
      <c r="AC372" s="600"/>
      <c r="AD372" s="600"/>
      <c r="AE372" s="600"/>
      <c r="AF372" s="600"/>
      <c r="AG372" s="600"/>
      <c r="AH372" s="600"/>
    </row>
    <row r="373" spans="1:34" s="248" customFormat="1" ht="15" customHeight="1">
      <c r="A373" s="663"/>
      <c r="B373" s="667"/>
      <c r="D373" s="272"/>
      <c r="E373" s="30" t="s">
        <v>2270</v>
      </c>
      <c r="F373" s="2718">
        <v>0</v>
      </c>
      <c r="G373" s="2718" cm="1">
        <f t="array" ref="G373:M373">G347:M347*COSTOS_BAJO</f>
        <v>0</v>
      </c>
      <c r="H373" s="2718">
        <v>74.561378345746306</v>
      </c>
      <c r="I373" s="2718">
        <v>241.0653945454707</v>
      </c>
      <c r="J373" s="2718">
        <v>714.77755199102728</v>
      </c>
      <c r="K373" s="2718">
        <v>1261.1678100356216</v>
      </c>
      <c r="L373" s="2718">
        <v>1400.8434766721241</v>
      </c>
      <c r="M373" s="2718">
        <v>1403.2627679071966</v>
      </c>
      <c r="N373" s="383"/>
      <c r="W373" s="600"/>
      <c r="X373" s="600"/>
      <c r="Y373" s="600"/>
      <c r="Z373" s="600"/>
      <c r="AA373" s="600"/>
      <c r="AB373" s="601"/>
      <c r="AC373" s="601"/>
      <c r="AD373" s="601"/>
      <c r="AE373" s="602"/>
      <c r="AF373" s="602"/>
      <c r="AG373" s="602"/>
      <c r="AH373" s="602"/>
    </row>
    <row r="374" spans="1:34" s="248" customFormat="1" ht="15" customHeight="1">
      <c r="A374" s="663"/>
      <c r="B374" s="667"/>
      <c r="D374" s="272"/>
      <c r="E374" s="30" t="s">
        <v>498</v>
      </c>
      <c r="F374" s="2718">
        <v>0</v>
      </c>
      <c r="G374" s="2718" cm="1">
        <f t="array" ref="G374:M374">G348:M348*COSTOS_BAJO</f>
        <v>0</v>
      </c>
      <c r="H374" s="2718">
        <v>0.46523826460832213</v>
      </c>
      <c r="I374" s="2718">
        <v>5.1159045457856607</v>
      </c>
      <c r="J374" s="2718">
        <v>30.856551174142258</v>
      </c>
      <c r="K374" s="2718">
        <v>38.323027237887459</v>
      </c>
      <c r="L374" s="2718">
        <v>23.334846551138046</v>
      </c>
      <c r="M374" s="2718">
        <v>23.298285898533866</v>
      </c>
      <c r="N374" s="383"/>
      <c r="W374" s="600"/>
      <c r="X374" s="600"/>
      <c r="Y374" s="600"/>
      <c r="Z374" s="600"/>
      <c r="AA374" s="600"/>
      <c r="AB374" s="601"/>
      <c r="AC374" s="601"/>
      <c r="AD374" s="601"/>
      <c r="AE374" s="602"/>
      <c r="AF374" s="602"/>
      <c r="AG374" s="602"/>
      <c r="AH374" s="602"/>
    </row>
    <row r="375" spans="1:34" s="248" customFormat="1" ht="15" customHeight="1">
      <c r="A375" s="663"/>
      <c r="B375" s="667"/>
      <c r="D375" s="272"/>
      <c r="E375" s="30" t="s">
        <v>908</v>
      </c>
      <c r="F375" s="2718">
        <v>0</v>
      </c>
      <c r="G375" s="2718" cm="1">
        <f t="array" ref="G375:M375">G349:M349*COSTOS_BAJO</f>
        <v>0</v>
      </c>
      <c r="H375" s="2718">
        <v>0</v>
      </c>
      <c r="I375" s="2718">
        <v>0</v>
      </c>
      <c r="J375" s="2718">
        <v>0</v>
      </c>
      <c r="K375" s="2718">
        <v>0</v>
      </c>
      <c r="L375" s="2718">
        <v>0</v>
      </c>
      <c r="M375" s="2719">
        <v>0</v>
      </c>
      <c r="N375" s="383"/>
      <c r="W375" s="600"/>
      <c r="X375" s="600"/>
      <c r="Y375" s="600"/>
      <c r="Z375" s="600"/>
      <c r="AA375" s="600"/>
      <c r="AB375" s="602"/>
      <c r="AC375" s="602"/>
      <c r="AD375" s="602"/>
      <c r="AE375" s="602"/>
      <c r="AF375" s="602"/>
      <c r="AG375" s="602"/>
      <c r="AH375" s="602"/>
    </row>
    <row r="376" spans="1:34" s="248" customFormat="1" ht="15" customHeight="1">
      <c r="A376" s="663"/>
      <c r="B376" s="667"/>
      <c r="D376" s="272"/>
      <c r="E376" s="30" t="s">
        <v>909</v>
      </c>
      <c r="F376" s="2718">
        <v>0</v>
      </c>
      <c r="G376" s="2718" cm="1">
        <f t="array" ref="G376:M376">G350:M350*COSTOS_BAJO</f>
        <v>0</v>
      </c>
      <c r="H376" s="2718">
        <v>0</v>
      </c>
      <c r="I376" s="2718">
        <v>0</v>
      </c>
      <c r="J376" s="2718">
        <v>0</v>
      </c>
      <c r="K376" s="2718">
        <v>0</v>
      </c>
      <c r="L376" s="2718">
        <v>0</v>
      </c>
      <c r="M376" s="2719">
        <v>0</v>
      </c>
      <c r="N376" s="383"/>
      <c r="W376" s="600"/>
      <c r="X376" s="600"/>
      <c r="Y376" s="600"/>
      <c r="Z376" s="600"/>
      <c r="AA376" s="600"/>
    </row>
    <row r="377" spans="1:34" customFormat="1" ht="15" customHeight="1">
      <c r="A377" s="663"/>
      <c r="B377" s="667"/>
      <c r="D377" s="272"/>
      <c r="E377" s="30" t="s">
        <v>894</v>
      </c>
      <c r="F377" s="2718">
        <v>0</v>
      </c>
      <c r="G377" s="2718" cm="1">
        <f t="array" ref="G377:M377">G351:M351*COSTOS_BAJO</f>
        <v>22.969277721491739</v>
      </c>
      <c r="H377" s="2718">
        <v>41.29247344335753</v>
      </c>
      <c r="I377" s="2718">
        <v>78.307624038638124</v>
      </c>
      <c r="J377" s="2718">
        <v>105.18537812039332</v>
      </c>
      <c r="K377" s="2718">
        <v>186.09103486120856</v>
      </c>
      <c r="L377" s="2718">
        <v>193.11677054294574</v>
      </c>
      <c r="M377" s="2718">
        <v>192.87024620184613</v>
      </c>
      <c r="N377" s="276"/>
    </row>
    <row r="378" spans="1:34" s="248" customFormat="1" ht="15" customHeight="1">
      <c r="A378" s="663"/>
      <c r="B378" s="667"/>
      <c r="D378" s="272"/>
      <c r="E378" s="32" t="s">
        <v>603</v>
      </c>
      <c r="F378" s="2720">
        <v>0</v>
      </c>
      <c r="G378" s="2720" cm="1">
        <f t="array" ref="G378:M378">G352:M352*COSTOS_BAJO</f>
        <v>0</v>
      </c>
      <c r="H378" s="2720">
        <v>0</v>
      </c>
      <c r="I378" s="2720">
        <v>0</v>
      </c>
      <c r="J378" s="2720">
        <v>0</v>
      </c>
      <c r="K378" s="2720">
        <v>0</v>
      </c>
      <c r="L378" s="2720">
        <v>0</v>
      </c>
      <c r="M378" s="2720">
        <v>0</v>
      </c>
      <c r="N378" s="276"/>
      <c r="W378" s="600"/>
      <c r="X378" s="600"/>
      <c r="Y378" s="600"/>
      <c r="Z378" s="600"/>
      <c r="AA378" s="600"/>
      <c r="AB378" s="602"/>
      <c r="AC378" s="602"/>
      <c r="AD378" s="602"/>
      <c r="AE378" s="602"/>
      <c r="AF378" s="602"/>
      <c r="AG378" s="602"/>
      <c r="AH378" s="602"/>
    </row>
    <row r="379" spans="1:34" s="248" customFormat="1" ht="15" customHeight="1">
      <c r="A379" s="663"/>
      <c r="B379" s="667"/>
      <c r="D379" s="272"/>
      <c r="E379" s="92" t="s">
        <v>338</v>
      </c>
      <c r="F379" s="2798">
        <f t="shared" ref="F379:M379" si="13">SUM(F370:F378)</f>
        <v>0</v>
      </c>
      <c r="G379" s="2798">
        <f t="shared" si="13"/>
        <v>2800.8905206966315</v>
      </c>
      <c r="H379" s="2798">
        <f t="shared" si="13"/>
        <v>1620.632984489999</v>
      </c>
      <c r="I379" s="2798">
        <f t="shared" si="13"/>
        <v>1777.115489976929</v>
      </c>
      <c r="J379" s="2798">
        <f t="shared" si="13"/>
        <v>2082.3948951249195</v>
      </c>
      <c r="K379" s="2798">
        <f t="shared" si="13"/>
        <v>2524.7285043782608</v>
      </c>
      <c r="L379" s="2798">
        <f t="shared" si="13"/>
        <v>3125.5148757232732</v>
      </c>
      <c r="M379" s="2798">
        <f t="shared" si="13"/>
        <v>3848.333494230661</v>
      </c>
      <c r="N379" s="276"/>
      <c r="W379" s="600"/>
      <c r="X379" s="600"/>
      <c r="Y379" s="600"/>
      <c r="Z379" s="600"/>
      <c r="AA379" s="600"/>
      <c r="AB379" s="602"/>
      <c r="AC379" s="602"/>
      <c r="AD379" s="602"/>
      <c r="AE379" s="602"/>
      <c r="AF379" s="602"/>
      <c r="AG379" s="602"/>
      <c r="AH379" s="602"/>
    </row>
    <row r="380" spans="1:34" s="248" customFormat="1" ht="15" customHeight="1">
      <c r="A380" s="663"/>
      <c r="B380" s="667"/>
      <c r="D380" s="272"/>
      <c r="E380" s="30"/>
      <c r="F380" s="917"/>
      <c r="G380" s="276"/>
      <c r="H380" s="276"/>
      <c r="I380" s="276"/>
      <c r="J380" s="276"/>
      <c r="K380" s="276"/>
      <c r="L380" s="276"/>
      <c r="M380" s="276"/>
      <c r="N380" s="276"/>
      <c r="W380" s="600"/>
      <c r="X380" s="600"/>
      <c r="Y380" s="600"/>
      <c r="Z380" s="600"/>
      <c r="AA380" s="600"/>
      <c r="AB380" s="602"/>
      <c r="AC380" s="602"/>
      <c r="AD380" s="602"/>
      <c r="AE380" s="602"/>
      <c r="AF380" s="602"/>
      <c r="AG380" s="602"/>
      <c r="AH380" s="602"/>
    </row>
    <row r="381" spans="1:34" s="248" customFormat="1" ht="15" customHeight="1">
      <c r="A381" s="663"/>
      <c r="B381" s="667"/>
      <c r="D381" s="251"/>
      <c r="E381" s="245" t="s">
        <v>2394</v>
      </c>
      <c r="F381" s="843"/>
      <c r="G381" s="843"/>
      <c r="H381" s="843"/>
      <c r="I381" s="843"/>
      <c r="J381" s="843"/>
      <c r="K381" s="843"/>
      <c r="L381" s="843"/>
      <c r="M381" s="843"/>
      <c r="N381" s="251"/>
      <c r="W381" s="600"/>
      <c r="X381" s="600"/>
      <c r="Y381" s="600"/>
      <c r="Z381" s="600"/>
      <c r="AA381" s="600"/>
    </row>
    <row r="382" spans="1:34" s="248" customFormat="1" ht="15" customHeight="1">
      <c r="A382" s="663"/>
      <c r="B382" s="667"/>
      <c r="D382" s="251"/>
      <c r="E382" s="251"/>
      <c r="F382" s="844"/>
      <c r="G382" s="844"/>
      <c r="H382" s="844"/>
      <c r="I382" s="844"/>
      <c r="J382" s="844"/>
      <c r="K382" s="844"/>
      <c r="L382" s="844"/>
      <c r="M382" s="844"/>
      <c r="N382" s="251"/>
    </row>
    <row r="383" spans="1:34" customFormat="1" ht="15" customHeight="1">
      <c r="A383" s="663"/>
      <c r="B383" s="667"/>
      <c r="D383" s="251"/>
      <c r="E383" s="264" t="s">
        <v>820</v>
      </c>
      <c r="F383" s="844"/>
      <c r="G383" s="844"/>
      <c r="H383" s="844"/>
      <c r="I383" s="844"/>
      <c r="J383" s="844"/>
      <c r="K383" s="844"/>
      <c r="L383" s="844"/>
      <c r="M383" s="845" t="s">
        <v>2393</v>
      </c>
      <c r="N383" s="251"/>
    </row>
    <row r="384" spans="1:34" s="248" customFormat="1" ht="15" customHeight="1">
      <c r="A384" s="663"/>
      <c r="B384" s="667"/>
      <c r="D384" s="272"/>
      <c r="E384" s="268" t="s">
        <v>859</v>
      </c>
      <c r="F384" s="815">
        <v>2018</v>
      </c>
      <c r="G384" s="815">
        <v>2020</v>
      </c>
      <c r="H384" s="815">
        <v>2025</v>
      </c>
      <c r="I384" s="815">
        <v>2030</v>
      </c>
      <c r="J384" s="815">
        <v>2035</v>
      </c>
      <c r="K384" s="815">
        <v>2040</v>
      </c>
      <c r="L384" s="815">
        <v>2045</v>
      </c>
      <c r="M384" s="815">
        <v>2050</v>
      </c>
      <c r="N384" s="383"/>
    </row>
    <row r="385" spans="1:34" s="248" customFormat="1" ht="15" customHeight="1">
      <c r="A385" s="663"/>
      <c r="B385" s="667"/>
      <c r="D385" s="272"/>
      <c r="E385" s="337" t="s">
        <v>889</v>
      </c>
      <c r="F385" s="2716" cm="1">
        <f t="array" ref="F385:M385">COSTOS_OPERACION_MANTENIMIENTO_TRANSPORTE_CARGA_COMBUSTION_CONVENCIONAL_GASOLINA*(INDEX(SF_NUMERO_VEHICULOS_CARGA_URBANO,1,0))*COSTOS_2019_US_dolares_MMCOP</f>
        <v>155.34710248043061</v>
      </c>
      <c r="G385" s="2716">
        <v>127.41842500370642</v>
      </c>
      <c r="H385" s="2716">
        <v>170.58090554363326</v>
      </c>
      <c r="I385" s="2716">
        <v>217.42376895029588</v>
      </c>
      <c r="J385" s="2716">
        <v>270.70280005511052</v>
      </c>
      <c r="K385" s="2716">
        <v>333.56516834724255</v>
      </c>
      <c r="L385" s="2716">
        <v>410.36131497623512</v>
      </c>
      <c r="M385" s="2716">
        <v>504.43874689260463</v>
      </c>
      <c r="N385" s="383"/>
      <c r="W385" s="600"/>
      <c r="X385" s="600"/>
      <c r="Y385" s="600"/>
      <c r="Z385" s="600"/>
      <c r="AA385" s="600"/>
      <c r="AB385" s="600"/>
      <c r="AC385" s="600"/>
      <c r="AD385" s="600"/>
      <c r="AE385" s="600"/>
      <c r="AF385" s="600"/>
      <c r="AG385" s="600"/>
      <c r="AH385" s="600"/>
    </row>
    <row r="386" spans="1:34" s="248" customFormat="1" ht="15" customHeight="1">
      <c r="A386" s="663"/>
      <c r="B386" s="667"/>
      <c r="D386" s="272"/>
      <c r="E386" s="30" t="s">
        <v>890</v>
      </c>
      <c r="F386" s="2718" cm="1">
        <f t="array" ref="F386:M386">COSTOS_OPERACION_MANTENIMIENTO_TRANSPORTE_CARGA_COMBUSTION_CONVENCIONAL_DIESEL*(INDEX(SF_NUMERO_VEHICULOS_CARGA_URBANO,2,0))*COSTOS_2019_US_dolares_MMCOP</f>
        <v>653.8211029378067</v>
      </c>
      <c r="G386" s="2714">
        <v>946.99489584650405</v>
      </c>
      <c r="H386" s="2714">
        <v>1248.8773272960771</v>
      </c>
      <c r="I386" s="2714">
        <v>1518.0867644510397</v>
      </c>
      <c r="J386" s="2714">
        <v>1705.6959907251073</v>
      </c>
      <c r="K386" s="2714">
        <v>1817.4180639028309</v>
      </c>
      <c r="L386" s="2714">
        <v>2028.0777323164411</v>
      </c>
      <c r="M386" s="2714">
        <v>2396.4688304338333</v>
      </c>
      <c r="N386" s="383"/>
      <c r="W386" s="600"/>
      <c r="X386" s="600"/>
      <c r="Y386" s="600"/>
      <c r="Z386" s="600"/>
      <c r="AA386" s="600"/>
      <c r="AB386" s="601"/>
      <c r="AC386" s="601"/>
      <c r="AD386" s="601"/>
      <c r="AE386" s="602"/>
      <c r="AF386" s="602"/>
      <c r="AG386" s="602"/>
      <c r="AH386" s="602"/>
    </row>
    <row r="387" spans="1:34" s="248" customFormat="1" ht="15" customHeight="1">
      <c r="A387" s="663"/>
      <c r="B387" s="667"/>
      <c r="D387" s="272"/>
      <c r="E387" s="30" t="s">
        <v>2379</v>
      </c>
      <c r="F387" s="2718" cm="1">
        <f t="array" ref="F387:M387">COSTOS_OPERACION_MANTENIMIENTO_TRANSPORTE_CARGA_GN_COMPRIMIDO*(INDEX(SF_NUMERO_VEHICULOS_CARGA_URBANO,3,0))*COSTOS_2019_US_dolares_MMCOP</f>
        <v>19.24551953104303</v>
      </c>
      <c r="G387" s="2714">
        <v>30.172651959527936</v>
      </c>
      <c r="H387" s="2714">
        <v>40.393516822700015</v>
      </c>
      <c r="I387" s="2714">
        <v>51.485895450954317</v>
      </c>
      <c r="J387" s="2714">
        <v>64.102357020147878</v>
      </c>
      <c r="K387" s="2714">
        <v>78.988150497621731</v>
      </c>
      <c r="L387" s="2714">
        <v>97.173459286378645</v>
      </c>
      <c r="M387" s="2714">
        <v>119.45097221573901</v>
      </c>
      <c r="N387" s="383"/>
      <c r="W387" s="600"/>
      <c r="X387" s="600"/>
      <c r="Y387" s="600"/>
      <c r="Z387" s="600"/>
      <c r="AA387" s="600"/>
      <c r="AB387" s="601"/>
      <c r="AC387" s="601"/>
      <c r="AD387" s="601"/>
      <c r="AE387" s="602"/>
      <c r="AF387" s="602"/>
      <c r="AG387" s="602"/>
      <c r="AH387" s="602"/>
    </row>
    <row r="388" spans="1:34" s="248" customFormat="1" ht="15" customHeight="1">
      <c r="A388" s="663"/>
      <c r="B388" s="667"/>
      <c r="D388" s="272"/>
      <c r="E388" s="30" t="s">
        <v>2270</v>
      </c>
      <c r="F388" s="2718" cm="1">
        <f t="array" ref="F388:M388">COSTOS_OPERACION_MANTENIMIENTO_TRANSPORTE_CARGA_GN_LICUADO*(INDEX(SF_NUMERO_VEHICULOS_CARGA_URBANO,4,0))*COSTOS_2019_US_dolares_MMCOP</f>
        <v>0</v>
      </c>
      <c r="G388" s="2714">
        <v>0</v>
      </c>
      <c r="H388" s="2714">
        <v>28.869618362847842</v>
      </c>
      <c r="I388" s="2714">
        <v>119.543332396737</v>
      </c>
      <c r="J388" s="2714">
        <v>385.26456620842845</v>
      </c>
      <c r="K388" s="2714">
        <v>838.01460900361144</v>
      </c>
      <c r="L388" s="2714">
        <v>1303.0513916025382</v>
      </c>
      <c r="M388" s="2714">
        <v>1726.096028870397</v>
      </c>
      <c r="N388" s="383"/>
      <c r="W388" s="600"/>
      <c r="X388" s="600"/>
      <c r="Y388" s="600"/>
      <c r="Z388" s="600"/>
      <c r="AA388" s="600"/>
      <c r="AB388" s="602"/>
      <c r="AC388" s="602"/>
      <c r="AD388" s="602"/>
      <c r="AE388" s="602"/>
      <c r="AF388" s="602"/>
      <c r="AG388" s="602"/>
      <c r="AH388" s="602"/>
    </row>
    <row r="389" spans="1:34" s="248" customFormat="1" ht="15" customHeight="1">
      <c r="A389" s="663"/>
      <c r="B389" s="667"/>
      <c r="D389" s="272"/>
      <c r="E389" s="30" t="s">
        <v>498</v>
      </c>
      <c r="F389" s="2718" cm="1">
        <f t="array" ref="F389:M389">COSTOS_OPERACION_MANTENIMIENTO_TRANSPORTE_CARGA_GLP*(INDEX(SF_NUMERO_VEHICULOS_CARGA_URBANO,5,0))*COSTOS_2019_US_dolares_MMCOP</f>
        <v>0</v>
      </c>
      <c r="G389" s="2714">
        <v>0</v>
      </c>
      <c r="H389" s="2714">
        <v>9.824590971970817E-6</v>
      </c>
      <c r="I389" s="2714">
        <v>1.1785883499753473E-4</v>
      </c>
      <c r="J389" s="2714">
        <v>7.6946673638892738E-4</v>
      </c>
      <c r="K389" s="2714">
        <v>1.5787459223861159E-3</v>
      </c>
      <c r="L389" s="2714">
        <v>2.0715137611660947E-3</v>
      </c>
      <c r="M389" s="2714">
        <v>2.5635089537679166E-3</v>
      </c>
      <c r="N389" s="383"/>
      <c r="W389" s="600"/>
      <c r="X389" s="600"/>
      <c r="Y389" s="600"/>
      <c r="Z389" s="600"/>
      <c r="AA389" s="600"/>
    </row>
    <row r="390" spans="1:34" s="248" customFormat="1" ht="15" customHeight="1">
      <c r="A390" s="663"/>
      <c r="B390" s="667"/>
      <c r="D390" s="272"/>
      <c r="E390" s="30" t="s">
        <v>908</v>
      </c>
      <c r="F390" s="2718" cm="1">
        <f t="array" ref="F390:M390">COSTOS_OPERACION_MANTENIMIENTO_TRANSPORTE_CARGA_HIBRIDO_GASOLINA*(INDEX(SF_NUMERO_VEHICULOS_CARGA_URBANO,6,0))*COSTOS_2019_US_dolares_MMCOP</f>
        <v>0</v>
      </c>
      <c r="G390" s="2714">
        <v>0</v>
      </c>
      <c r="H390" s="2714">
        <v>0</v>
      </c>
      <c r="I390" s="2714">
        <v>0</v>
      </c>
      <c r="J390" s="2714">
        <v>0</v>
      </c>
      <c r="K390" s="2714">
        <v>0</v>
      </c>
      <c r="L390" s="2714">
        <v>0</v>
      </c>
      <c r="M390" s="2714">
        <v>0</v>
      </c>
      <c r="N390" s="383"/>
      <c r="O390" s="599"/>
    </row>
    <row r="391" spans="1:34" s="248" customFormat="1" ht="15" customHeight="1">
      <c r="A391" s="663"/>
      <c r="B391" s="667"/>
      <c r="D391" s="272"/>
      <c r="E391" s="30" t="s">
        <v>909</v>
      </c>
      <c r="F391" s="2718" cm="1">
        <f t="array" ref="F391:M391">COSTOS_OPERACION_MANTENIMIENTO_TRANSPORTE_CARGA_HIBRIDO_DIESEL*(INDEX(SF_NUMERO_VEHICULOS_CARGA_URBANO,7,0))*COSTOS_2019_US_dolares_MMCOP</f>
        <v>0</v>
      </c>
      <c r="G391" s="2714">
        <v>0</v>
      </c>
      <c r="H391" s="2714">
        <v>0</v>
      </c>
      <c r="I391" s="2714">
        <v>0</v>
      </c>
      <c r="J391" s="2714">
        <v>0</v>
      </c>
      <c r="K391" s="2714">
        <v>0</v>
      </c>
      <c r="L391" s="2714">
        <v>0</v>
      </c>
      <c r="M391" s="2714">
        <v>0</v>
      </c>
      <c r="N391" s="383"/>
    </row>
    <row r="392" spans="1:34" customFormat="1" ht="15" customHeight="1">
      <c r="A392" s="663"/>
      <c r="B392" s="667"/>
      <c r="D392" s="272"/>
      <c r="E392" s="30" t="s">
        <v>894</v>
      </c>
      <c r="F392" s="2718" cm="1">
        <f t="array" ref="F392:M392">COSTOS_OPERACION_MANTENIMIENTO_TRANSPORTE_CARGA_ELECTRICO*(INDEX(SF_NUMERO_VEHICULOS_CARGA_URBANO,8,0))*COSTOS_2019_US_dolares_MMCOP</f>
        <v>6.8444679029738115E-5</v>
      </c>
      <c r="G392" s="2714">
        <v>2.6246473125964638E-4</v>
      </c>
      <c r="H392" s="2714">
        <v>1.1344512987046301E-3</v>
      </c>
      <c r="I392" s="2714">
        <v>2.7880980654104311E-3</v>
      </c>
      <c r="J392" s="2714">
        <v>5.0093293374926353E-3</v>
      </c>
      <c r="K392" s="2714">
        <v>8.9390696106472281E-3</v>
      </c>
      <c r="L392" s="2714">
        <v>1.301717003073701E-2</v>
      </c>
      <c r="M392" s="2714">
        <v>1.7090059691786112E-2</v>
      </c>
      <c r="N392" s="276"/>
    </row>
    <row r="393" spans="1:34" s="248" customFormat="1" ht="15" customHeight="1">
      <c r="A393" s="663"/>
      <c r="B393" s="667"/>
      <c r="D393" s="272"/>
      <c r="E393" s="32" t="s">
        <v>603</v>
      </c>
      <c r="F393" s="2720" cm="1">
        <f t="array" ref="F393:M393">COSTOS_OPERACION_MANTENIMIENTO_TRANSPORTE_CARGA_H2*(INDEX(SF_NUMERO_VEHICULOS_CARGA_URBANO,9,0))*COSTOS_2019_US_dolares_MMCOP</f>
        <v>0</v>
      </c>
      <c r="G393" s="2715">
        <v>0</v>
      </c>
      <c r="H393" s="2715">
        <v>0</v>
      </c>
      <c r="I393" s="2715">
        <v>0</v>
      </c>
      <c r="J393" s="2715">
        <v>0</v>
      </c>
      <c r="K393" s="2715">
        <v>0</v>
      </c>
      <c r="L393" s="2715">
        <v>0</v>
      </c>
      <c r="M393" s="2715">
        <v>0</v>
      </c>
      <c r="N393" s="276"/>
      <c r="W393" s="600"/>
      <c r="X393" s="600"/>
      <c r="Y393" s="600"/>
      <c r="Z393" s="600"/>
      <c r="AA393" s="600"/>
      <c r="AB393" s="602"/>
      <c r="AC393" s="602"/>
      <c r="AD393" s="602"/>
      <c r="AE393" s="602"/>
      <c r="AF393" s="602"/>
      <c r="AG393" s="602"/>
      <c r="AH393" s="602"/>
    </row>
    <row r="394" spans="1:34" s="248" customFormat="1" ht="15" customHeight="1">
      <c r="A394" s="663"/>
      <c r="B394" s="667"/>
      <c r="D394" s="272"/>
      <c r="E394" s="92" t="s">
        <v>338</v>
      </c>
      <c r="F394" s="2798">
        <f t="shared" ref="F394:M394" si="14">SUM(F385:F393)</f>
        <v>828.41379339395939</v>
      </c>
      <c r="G394" s="2798">
        <f t="shared" si="14"/>
        <v>1104.5862352744698</v>
      </c>
      <c r="H394" s="2798">
        <f t="shared" si="14"/>
        <v>1488.7225123011478</v>
      </c>
      <c r="I394" s="2798">
        <f t="shared" si="14"/>
        <v>1906.5426672059273</v>
      </c>
      <c r="J394" s="2798">
        <f t="shared" si="14"/>
        <v>2425.7714928048681</v>
      </c>
      <c r="K394" s="2798">
        <f t="shared" si="14"/>
        <v>3067.9965095668394</v>
      </c>
      <c r="L394" s="2798">
        <f t="shared" si="14"/>
        <v>3838.678986865385</v>
      </c>
      <c r="M394" s="2798">
        <f t="shared" si="14"/>
        <v>4746.4742319812203</v>
      </c>
      <c r="N394" s="276"/>
      <c r="W394" s="600"/>
      <c r="X394" s="600"/>
      <c r="Y394" s="600"/>
      <c r="Z394" s="600"/>
      <c r="AA394" s="600"/>
      <c r="AB394" s="602"/>
      <c r="AC394" s="602"/>
      <c r="AD394" s="602"/>
      <c r="AE394" s="602"/>
      <c r="AF394" s="602"/>
      <c r="AG394" s="602"/>
      <c r="AH394" s="602"/>
    </row>
    <row r="395" spans="1:34" s="248" customFormat="1" ht="15" customHeight="1">
      <c r="A395" s="663"/>
      <c r="B395" s="667"/>
      <c r="D395" s="272"/>
      <c r="E395" s="30"/>
      <c r="F395" s="917"/>
      <c r="G395" s="276"/>
      <c r="H395" s="276"/>
      <c r="I395" s="276"/>
      <c r="J395" s="276"/>
      <c r="K395" s="276"/>
      <c r="L395" s="276"/>
      <c r="M395" s="276"/>
      <c r="N395" s="276"/>
      <c r="W395" s="600"/>
      <c r="X395" s="600"/>
      <c r="Y395" s="600"/>
      <c r="Z395" s="600"/>
      <c r="AA395" s="600"/>
      <c r="AB395" s="602"/>
      <c r="AC395" s="602"/>
      <c r="AD395" s="602"/>
      <c r="AE395" s="602"/>
      <c r="AF395" s="602"/>
      <c r="AG395" s="602"/>
      <c r="AH395" s="602"/>
    </row>
    <row r="396" spans="1:34" s="248" customFormat="1" ht="15" customHeight="1">
      <c r="A396" s="663"/>
      <c r="B396" s="667"/>
      <c r="D396" s="251"/>
      <c r="E396" s="264" t="s">
        <v>821</v>
      </c>
      <c r="F396" s="844"/>
      <c r="G396" s="844"/>
      <c r="H396" s="844"/>
      <c r="I396" s="844"/>
      <c r="J396" s="844"/>
      <c r="K396" s="844"/>
      <c r="L396" s="844"/>
      <c r="M396" s="845" t="s">
        <v>2393</v>
      </c>
      <c r="N396" s="251"/>
      <c r="W396" s="600"/>
      <c r="X396" s="600"/>
      <c r="Y396" s="600"/>
      <c r="Z396" s="600"/>
      <c r="AA396" s="600"/>
    </row>
    <row r="397" spans="1:34" s="248" customFormat="1" ht="15" customHeight="1">
      <c r="A397" s="663"/>
      <c r="B397" s="667"/>
      <c r="D397" s="272"/>
      <c r="E397" s="268" t="s">
        <v>859</v>
      </c>
      <c r="F397" s="815">
        <v>2018</v>
      </c>
      <c r="G397" s="815">
        <v>2020</v>
      </c>
      <c r="H397" s="815">
        <v>2025</v>
      </c>
      <c r="I397" s="815">
        <v>2030</v>
      </c>
      <c r="J397" s="815">
        <v>2035</v>
      </c>
      <c r="K397" s="815">
        <v>2040</v>
      </c>
      <c r="L397" s="815">
        <v>2045</v>
      </c>
      <c r="M397" s="815">
        <v>2050</v>
      </c>
      <c r="N397" s="383"/>
    </row>
    <row r="398" spans="1:34" customFormat="1" ht="15" customHeight="1">
      <c r="A398" s="663"/>
      <c r="B398" s="667"/>
      <c r="D398" s="272"/>
      <c r="E398" s="337" t="s">
        <v>889</v>
      </c>
      <c r="F398" s="2709">
        <f t="shared" ref="F398:M406" si="15">F385*COSTOS_MEDIO</f>
        <v>124.2776819843445</v>
      </c>
      <c r="G398" s="2709">
        <f t="shared" si="15"/>
        <v>101.93474000296514</v>
      </c>
      <c r="H398" s="2709">
        <f t="shared" si="15"/>
        <v>136.46472443490663</v>
      </c>
      <c r="I398" s="2709">
        <f t="shared" si="15"/>
        <v>173.93901516023672</v>
      </c>
      <c r="J398" s="2709">
        <f t="shared" si="15"/>
        <v>216.56224004408841</v>
      </c>
      <c r="K398" s="2709">
        <f t="shared" si="15"/>
        <v>266.85213467779403</v>
      </c>
      <c r="L398" s="2709">
        <f t="shared" si="15"/>
        <v>328.28905198098812</v>
      </c>
      <c r="M398" s="2709">
        <f t="shared" si="15"/>
        <v>403.55099751408375</v>
      </c>
      <c r="N398" s="383"/>
    </row>
    <row r="399" spans="1:34" s="248" customFormat="1" ht="15" customHeight="1">
      <c r="A399" s="663"/>
      <c r="B399" s="667"/>
      <c r="D399" s="272"/>
      <c r="E399" s="30" t="s">
        <v>890</v>
      </c>
      <c r="F399" s="2714">
        <f t="shared" si="15"/>
        <v>523.05688235024536</v>
      </c>
      <c r="G399" s="2714">
        <f t="shared" si="15"/>
        <v>757.59591667720326</v>
      </c>
      <c r="H399" s="2714">
        <f t="shared" si="15"/>
        <v>999.10186183686164</v>
      </c>
      <c r="I399" s="2714">
        <f t="shared" si="15"/>
        <v>1214.4694115608318</v>
      </c>
      <c r="J399" s="2714">
        <f t="shared" si="15"/>
        <v>1364.556792580086</v>
      </c>
      <c r="K399" s="2714">
        <f t="shared" si="15"/>
        <v>1453.9344511222648</v>
      </c>
      <c r="L399" s="2714">
        <f t="shared" si="15"/>
        <v>1622.462185853153</v>
      </c>
      <c r="M399" s="2714">
        <f t="shared" si="15"/>
        <v>1917.1750643470668</v>
      </c>
      <c r="N399" s="383"/>
    </row>
    <row r="400" spans="1:34" s="248" customFormat="1" ht="15" customHeight="1">
      <c r="A400" s="663"/>
      <c r="B400" s="667"/>
      <c r="D400" s="272"/>
      <c r="E400" s="30" t="s">
        <v>2379</v>
      </c>
      <c r="F400" s="2714">
        <f t="shared" si="15"/>
        <v>15.396415624834425</v>
      </c>
      <c r="G400" s="2714">
        <f t="shared" si="15"/>
        <v>24.138121567622349</v>
      </c>
      <c r="H400" s="2714">
        <f t="shared" si="15"/>
        <v>32.31481345816001</v>
      </c>
      <c r="I400" s="2714">
        <f t="shared" si="15"/>
        <v>41.188716360763458</v>
      </c>
      <c r="J400" s="2714">
        <f t="shared" si="15"/>
        <v>51.281885616118302</v>
      </c>
      <c r="K400" s="2714">
        <f t="shared" si="15"/>
        <v>63.190520398097391</v>
      </c>
      <c r="L400" s="2714">
        <f t="shared" si="15"/>
        <v>77.738767429102921</v>
      </c>
      <c r="M400" s="2714">
        <f t="shared" si="15"/>
        <v>95.560777772591223</v>
      </c>
      <c r="N400" s="383"/>
      <c r="W400" s="600"/>
      <c r="X400" s="600"/>
      <c r="Y400" s="600"/>
      <c r="Z400" s="600"/>
      <c r="AA400" s="600"/>
      <c r="AB400" s="600"/>
      <c r="AC400" s="600"/>
      <c r="AD400" s="600"/>
      <c r="AE400" s="600"/>
      <c r="AF400" s="600"/>
      <c r="AG400" s="600"/>
      <c r="AH400" s="600"/>
    </row>
    <row r="401" spans="1:34" s="248" customFormat="1" ht="15" customHeight="1">
      <c r="A401" s="663"/>
      <c r="B401" s="667"/>
      <c r="D401" s="272"/>
      <c r="E401" s="30" t="s">
        <v>2270</v>
      </c>
      <c r="F401" s="2714">
        <f t="shared" si="15"/>
        <v>0</v>
      </c>
      <c r="G401" s="2714">
        <f t="shared" si="15"/>
        <v>0</v>
      </c>
      <c r="H401" s="2714">
        <f t="shared" si="15"/>
        <v>23.095694690278275</v>
      </c>
      <c r="I401" s="2714">
        <f t="shared" si="15"/>
        <v>95.634665917389611</v>
      </c>
      <c r="J401" s="2714">
        <f t="shared" si="15"/>
        <v>308.2116529667428</v>
      </c>
      <c r="K401" s="2714">
        <f t="shared" si="15"/>
        <v>670.4116872028892</v>
      </c>
      <c r="L401" s="2714">
        <f t="shared" si="15"/>
        <v>1042.4411132820305</v>
      </c>
      <c r="M401" s="2714">
        <f t="shared" si="15"/>
        <v>1380.8768230963178</v>
      </c>
      <c r="N401" s="383"/>
      <c r="W401" s="600"/>
      <c r="X401" s="600"/>
      <c r="Y401" s="600"/>
      <c r="Z401" s="600"/>
      <c r="AA401" s="600"/>
      <c r="AB401" s="601"/>
      <c r="AC401" s="601"/>
      <c r="AD401" s="601"/>
      <c r="AE401" s="602"/>
      <c r="AF401" s="602"/>
      <c r="AG401" s="602"/>
      <c r="AH401" s="602"/>
    </row>
    <row r="402" spans="1:34" s="248" customFormat="1" ht="15" customHeight="1">
      <c r="A402" s="663"/>
      <c r="B402" s="667"/>
      <c r="D402" s="272"/>
      <c r="E402" s="30" t="s">
        <v>498</v>
      </c>
      <c r="F402" s="2714">
        <f t="shared" si="15"/>
        <v>0</v>
      </c>
      <c r="G402" s="2714">
        <f t="shared" si="15"/>
        <v>0</v>
      </c>
      <c r="H402" s="2714">
        <f t="shared" si="15"/>
        <v>7.8596727775766542E-6</v>
      </c>
      <c r="I402" s="2714">
        <f t="shared" si="15"/>
        <v>9.4287067998027795E-5</v>
      </c>
      <c r="J402" s="2714">
        <f t="shared" si="15"/>
        <v>6.1557338911114197E-4</v>
      </c>
      <c r="K402" s="2714">
        <f t="shared" si="15"/>
        <v>1.2629967379088928E-3</v>
      </c>
      <c r="L402" s="2714">
        <f t="shared" si="15"/>
        <v>1.6572110089328757E-3</v>
      </c>
      <c r="M402" s="2714">
        <f t="shared" si="15"/>
        <v>2.0508071630143333E-3</v>
      </c>
      <c r="N402" s="383"/>
      <c r="W402" s="600"/>
      <c r="X402" s="600"/>
      <c r="Y402" s="600"/>
      <c r="Z402" s="600"/>
      <c r="AA402" s="600"/>
      <c r="AB402" s="601"/>
      <c r="AC402" s="601"/>
      <c r="AD402" s="601"/>
      <c r="AE402" s="602"/>
      <c r="AF402" s="602"/>
      <c r="AG402" s="602"/>
      <c r="AH402" s="602"/>
    </row>
    <row r="403" spans="1:34" s="248" customFormat="1" ht="15" customHeight="1">
      <c r="A403" s="663"/>
      <c r="B403" s="667"/>
      <c r="D403" s="272"/>
      <c r="E403" s="30" t="s">
        <v>908</v>
      </c>
      <c r="F403" s="2714">
        <f t="shared" si="15"/>
        <v>0</v>
      </c>
      <c r="G403" s="2714">
        <f t="shared" si="15"/>
        <v>0</v>
      </c>
      <c r="H403" s="2714">
        <f t="shared" si="15"/>
        <v>0</v>
      </c>
      <c r="I403" s="2714">
        <f t="shared" si="15"/>
        <v>0</v>
      </c>
      <c r="J403" s="2714">
        <f t="shared" si="15"/>
        <v>0</v>
      </c>
      <c r="K403" s="2714">
        <f t="shared" si="15"/>
        <v>0</v>
      </c>
      <c r="L403" s="2714">
        <f t="shared" si="15"/>
        <v>0</v>
      </c>
      <c r="M403" s="2714">
        <f t="shared" si="15"/>
        <v>0</v>
      </c>
      <c r="N403" s="383"/>
      <c r="W403" s="600"/>
      <c r="X403" s="600"/>
      <c r="Y403" s="600"/>
      <c r="Z403" s="600"/>
      <c r="AA403" s="600"/>
      <c r="AB403" s="602"/>
      <c r="AC403" s="602"/>
      <c r="AD403" s="602"/>
      <c r="AE403" s="602"/>
      <c r="AF403" s="602"/>
      <c r="AG403" s="602"/>
      <c r="AH403" s="602"/>
    </row>
    <row r="404" spans="1:34" s="248" customFormat="1" ht="15" customHeight="1">
      <c r="A404" s="663"/>
      <c r="B404" s="667"/>
      <c r="D404" s="272"/>
      <c r="E404" s="30" t="s">
        <v>909</v>
      </c>
      <c r="F404" s="2714">
        <f t="shared" si="15"/>
        <v>0</v>
      </c>
      <c r="G404" s="2714">
        <f t="shared" si="15"/>
        <v>0</v>
      </c>
      <c r="H404" s="2714">
        <f t="shared" si="15"/>
        <v>0</v>
      </c>
      <c r="I404" s="2714">
        <f t="shared" si="15"/>
        <v>0</v>
      </c>
      <c r="J404" s="2714">
        <f t="shared" si="15"/>
        <v>0</v>
      </c>
      <c r="K404" s="2714">
        <f t="shared" si="15"/>
        <v>0</v>
      </c>
      <c r="L404" s="2714">
        <f t="shared" si="15"/>
        <v>0</v>
      </c>
      <c r="M404" s="2714">
        <f t="shared" si="15"/>
        <v>0</v>
      </c>
      <c r="N404" s="383"/>
      <c r="W404" s="600"/>
      <c r="X404" s="600"/>
      <c r="Y404" s="600"/>
      <c r="Z404" s="600"/>
      <c r="AA404" s="600"/>
    </row>
    <row r="405" spans="1:34" s="248" customFormat="1" ht="15" customHeight="1">
      <c r="A405" s="663"/>
      <c r="B405" s="667"/>
      <c r="D405" s="272"/>
      <c r="E405" s="30" t="s">
        <v>894</v>
      </c>
      <c r="F405" s="2714">
        <f t="shared" si="15"/>
        <v>5.4755743223790495E-5</v>
      </c>
      <c r="G405" s="2714">
        <f t="shared" si="15"/>
        <v>2.0997178500771713E-4</v>
      </c>
      <c r="H405" s="2714">
        <f t="shared" si="15"/>
        <v>9.075610389637041E-4</v>
      </c>
      <c r="I405" s="2714">
        <f t="shared" si="15"/>
        <v>2.2304784523283451E-3</v>
      </c>
      <c r="J405" s="2714">
        <f t="shared" si="15"/>
        <v>4.007463469994108E-3</v>
      </c>
      <c r="K405" s="2714">
        <f t="shared" si="15"/>
        <v>7.1512556885177832E-3</v>
      </c>
      <c r="L405" s="2714">
        <f t="shared" si="15"/>
        <v>1.0413736024589608E-2</v>
      </c>
      <c r="M405" s="2714">
        <f t="shared" si="15"/>
        <v>1.367204775342889E-2</v>
      </c>
      <c r="N405" s="276"/>
    </row>
    <row r="406" spans="1:34" s="248" customFormat="1" ht="15" customHeight="1">
      <c r="A406" s="663"/>
      <c r="B406" s="667"/>
      <c r="D406" s="272"/>
      <c r="E406" s="32" t="s">
        <v>603</v>
      </c>
      <c r="F406" s="2715">
        <f t="shared" si="15"/>
        <v>0</v>
      </c>
      <c r="G406" s="2715">
        <f t="shared" si="15"/>
        <v>0</v>
      </c>
      <c r="H406" s="2715">
        <f t="shared" si="15"/>
        <v>0</v>
      </c>
      <c r="I406" s="2715">
        <f t="shared" si="15"/>
        <v>0</v>
      </c>
      <c r="J406" s="2715">
        <f t="shared" si="15"/>
        <v>0</v>
      </c>
      <c r="K406" s="2715">
        <f t="shared" si="15"/>
        <v>0</v>
      </c>
      <c r="L406" s="2715">
        <f t="shared" si="15"/>
        <v>0</v>
      </c>
      <c r="M406" s="2715">
        <f t="shared" si="15"/>
        <v>0</v>
      </c>
      <c r="N406" s="276"/>
      <c r="W406" s="600"/>
      <c r="X406" s="600"/>
      <c r="Y406" s="600"/>
      <c r="Z406" s="600"/>
      <c r="AA406" s="600"/>
      <c r="AB406" s="602"/>
      <c r="AC406" s="602"/>
      <c r="AD406" s="602"/>
      <c r="AE406" s="602"/>
      <c r="AF406" s="602"/>
      <c r="AG406" s="602"/>
      <c r="AH406" s="602"/>
    </row>
    <row r="407" spans="1:34" s="248" customFormat="1" ht="15" customHeight="1">
      <c r="A407" s="663"/>
      <c r="B407" s="667"/>
      <c r="D407" s="272"/>
      <c r="E407" s="92" t="s">
        <v>338</v>
      </c>
      <c r="F407" s="2798">
        <f t="shared" ref="F407:M407" si="16">SUM(F398:F406)</f>
        <v>662.73103471516754</v>
      </c>
      <c r="G407" s="2798">
        <f t="shared" si="16"/>
        <v>883.66898821957568</v>
      </c>
      <c r="H407" s="2798">
        <f t="shared" si="16"/>
        <v>1190.9780098409183</v>
      </c>
      <c r="I407" s="2798">
        <f t="shared" si="16"/>
        <v>1525.2341337647417</v>
      </c>
      <c r="J407" s="2798">
        <f t="shared" si="16"/>
        <v>1940.6171942438948</v>
      </c>
      <c r="K407" s="2798">
        <f t="shared" si="16"/>
        <v>2454.3972076534715</v>
      </c>
      <c r="L407" s="2798">
        <f t="shared" si="16"/>
        <v>3070.9431894923077</v>
      </c>
      <c r="M407" s="2798">
        <f t="shared" si="16"/>
        <v>3797.1793855849764</v>
      </c>
      <c r="N407" s="276"/>
      <c r="W407" s="600"/>
      <c r="X407" s="600"/>
      <c r="Y407" s="600"/>
      <c r="Z407" s="600"/>
      <c r="AA407" s="600"/>
      <c r="AB407" s="602"/>
      <c r="AC407" s="602"/>
      <c r="AD407" s="602"/>
      <c r="AE407" s="602"/>
      <c r="AF407" s="602"/>
      <c r="AG407" s="602"/>
      <c r="AH407" s="602"/>
    </row>
    <row r="408" spans="1:34" s="248" customFormat="1" ht="15" customHeight="1">
      <c r="A408" s="663"/>
      <c r="B408" s="667"/>
      <c r="D408" s="272"/>
      <c r="E408" s="30"/>
      <c r="F408" s="917"/>
      <c r="G408" s="276"/>
      <c r="H408" s="276"/>
      <c r="I408" s="276"/>
      <c r="J408" s="276"/>
      <c r="K408" s="276"/>
      <c r="L408" s="276"/>
      <c r="M408" s="276"/>
      <c r="N408" s="276"/>
      <c r="W408" s="600"/>
      <c r="X408" s="600"/>
      <c r="Y408" s="600"/>
      <c r="Z408" s="600"/>
      <c r="AA408" s="600"/>
      <c r="AB408" s="602"/>
      <c r="AC408" s="602"/>
      <c r="AD408" s="602"/>
      <c r="AE408" s="602"/>
      <c r="AF408" s="602"/>
      <c r="AG408" s="602"/>
      <c r="AH408" s="602"/>
    </row>
    <row r="409" spans="1:34" s="248" customFormat="1" ht="15" customHeight="1">
      <c r="A409" s="663"/>
      <c r="B409" s="667"/>
      <c r="D409" s="251"/>
      <c r="E409" s="264" t="s">
        <v>822</v>
      </c>
      <c r="F409" s="844"/>
      <c r="G409" s="844"/>
      <c r="H409" s="844"/>
      <c r="I409" s="844"/>
      <c r="J409" s="844"/>
      <c r="K409" s="844"/>
      <c r="L409" s="844"/>
      <c r="M409" s="845" t="s">
        <v>2393</v>
      </c>
      <c r="N409" s="251"/>
      <c r="W409" s="600"/>
      <c r="X409" s="600"/>
      <c r="Y409" s="600"/>
      <c r="Z409" s="600"/>
      <c r="AA409" s="600"/>
    </row>
    <row r="410" spans="1:34" s="248" customFormat="1" ht="15" customHeight="1">
      <c r="A410" s="663"/>
      <c r="B410" s="667"/>
      <c r="D410" s="272"/>
      <c r="E410" s="268" t="s">
        <v>859</v>
      </c>
      <c r="F410" s="815">
        <v>2018</v>
      </c>
      <c r="G410" s="815">
        <v>2020</v>
      </c>
      <c r="H410" s="815">
        <v>2025</v>
      </c>
      <c r="I410" s="815">
        <v>2030</v>
      </c>
      <c r="J410" s="815">
        <v>2035</v>
      </c>
      <c r="K410" s="815">
        <v>2040</v>
      </c>
      <c r="L410" s="815">
        <v>2045</v>
      </c>
      <c r="M410" s="815">
        <v>2050</v>
      </c>
      <c r="N410" s="383"/>
    </row>
    <row r="411" spans="1:34" customFormat="1" ht="15" customHeight="1">
      <c r="A411" s="663"/>
      <c r="B411" s="667"/>
      <c r="D411" s="272"/>
      <c r="E411" s="337" t="s">
        <v>889</v>
      </c>
      <c r="F411" s="2709">
        <f t="shared" ref="F411:M419" si="17">F385*COSTOS_BAJO</f>
        <v>108.74297173630141</v>
      </c>
      <c r="G411" s="2709">
        <f t="shared" si="17"/>
        <v>89.192897502594491</v>
      </c>
      <c r="H411" s="2709">
        <f t="shared" si="17"/>
        <v>119.40663388054328</v>
      </c>
      <c r="I411" s="2709">
        <f t="shared" si="17"/>
        <v>152.1966382652071</v>
      </c>
      <c r="J411" s="2709">
        <f t="shared" si="17"/>
        <v>189.49196003857736</v>
      </c>
      <c r="K411" s="2709">
        <f t="shared" si="17"/>
        <v>233.49561784306977</v>
      </c>
      <c r="L411" s="2709">
        <f t="shared" si="17"/>
        <v>287.25292048336456</v>
      </c>
      <c r="M411" s="2709">
        <f t="shared" si="17"/>
        <v>353.10712282482319</v>
      </c>
      <c r="N411" s="383"/>
    </row>
    <row r="412" spans="1:34" s="248" customFormat="1" ht="15" customHeight="1">
      <c r="A412" s="663"/>
      <c r="B412" s="667"/>
      <c r="D412" s="272"/>
      <c r="E412" s="30" t="s">
        <v>890</v>
      </c>
      <c r="F412" s="2714">
        <f t="shared" si="17"/>
        <v>457.67477205646463</v>
      </c>
      <c r="G412" s="2714">
        <f t="shared" si="17"/>
        <v>662.89642709255281</v>
      </c>
      <c r="H412" s="2714">
        <f t="shared" si="17"/>
        <v>874.21412910725394</v>
      </c>
      <c r="I412" s="2714">
        <f t="shared" si="17"/>
        <v>1062.6607351157277</v>
      </c>
      <c r="J412" s="2714">
        <f t="shared" si="17"/>
        <v>1193.9871935075751</v>
      </c>
      <c r="K412" s="2714">
        <f t="shared" si="17"/>
        <v>1272.1926447319815</v>
      </c>
      <c r="L412" s="2714">
        <f t="shared" si="17"/>
        <v>1419.6544126215088</v>
      </c>
      <c r="M412" s="2714">
        <f t="shared" si="17"/>
        <v>1677.5281813036831</v>
      </c>
      <c r="N412" s="383"/>
    </row>
    <row r="413" spans="1:34" s="248" customFormat="1" ht="15" customHeight="1">
      <c r="A413" s="663"/>
      <c r="B413" s="667"/>
      <c r="D413" s="272"/>
      <c r="E413" s="30" t="s">
        <v>2379</v>
      </c>
      <c r="F413" s="2714">
        <f t="shared" si="17"/>
        <v>13.471863671730119</v>
      </c>
      <c r="G413" s="2714">
        <f t="shared" si="17"/>
        <v>21.120856371669554</v>
      </c>
      <c r="H413" s="2714">
        <f t="shared" si="17"/>
        <v>28.275461775890008</v>
      </c>
      <c r="I413" s="2714">
        <f t="shared" si="17"/>
        <v>36.040126815668017</v>
      </c>
      <c r="J413" s="2714">
        <f t="shared" si="17"/>
        <v>44.871649914103514</v>
      </c>
      <c r="K413" s="2714">
        <f t="shared" si="17"/>
        <v>55.291705348335206</v>
      </c>
      <c r="L413" s="2714">
        <f t="shared" si="17"/>
        <v>68.021421500465053</v>
      </c>
      <c r="M413" s="2714">
        <f t="shared" si="17"/>
        <v>83.615680551017306</v>
      </c>
      <c r="N413" s="383"/>
      <c r="W413" s="600"/>
      <c r="X413" s="600"/>
      <c r="Y413" s="600"/>
      <c r="Z413" s="600"/>
      <c r="AA413" s="600"/>
      <c r="AB413" s="600"/>
      <c r="AC413" s="600"/>
      <c r="AD413" s="600"/>
      <c r="AE413" s="600"/>
      <c r="AF413" s="600"/>
      <c r="AG413" s="600"/>
      <c r="AH413" s="600"/>
    </row>
    <row r="414" spans="1:34" s="248" customFormat="1" ht="15" customHeight="1">
      <c r="A414" s="663"/>
      <c r="B414" s="667"/>
      <c r="D414" s="272"/>
      <c r="E414" s="30" t="s">
        <v>2270</v>
      </c>
      <c r="F414" s="2714">
        <f t="shared" si="17"/>
        <v>0</v>
      </c>
      <c r="G414" s="2714">
        <f t="shared" si="17"/>
        <v>0</v>
      </c>
      <c r="H414" s="2714">
        <f t="shared" si="17"/>
        <v>20.208732853993489</v>
      </c>
      <c r="I414" s="2714">
        <f t="shared" si="17"/>
        <v>83.680332677715896</v>
      </c>
      <c r="J414" s="2714">
        <f t="shared" si="17"/>
        <v>269.6851963458999</v>
      </c>
      <c r="K414" s="2714">
        <f t="shared" si="17"/>
        <v>586.61022630252796</v>
      </c>
      <c r="L414" s="2714">
        <f t="shared" si="17"/>
        <v>912.1359741217766</v>
      </c>
      <c r="M414" s="2714">
        <f t="shared" si="17"/>
        <v>1208.2672202092779</v>
      </c>
      <c r="N414" s="383"/>
      <c r="W414" s="600"/>
      <c r="X414" s="600"/>
      <c r="Y414" s="600"/>
      <c r="Z414" s="600"/>
      <c r="AA414" s="600"/>
      <c r="AB414" s="601"/>
      <c r="AC414" s="601"/>
      <c r="AD414" s="601"/>
      <c r="AE414" s="602"/>
      <c r="AF414" s="602"/>
      <c r="AG414" s="602"/>
      <c r="AH414" s="602"/>
    </row>
    <row r="415" spans="1:34" s="248" customFormat="1" ht="15" customHeight="1">
      <c r="A415" s="663"/>
      <c r="B415" s="667"/>
      <c r="D415" s="272"/>
      <c r="E415" s="30" t="s">
        <v>498</v>
      </c>
      <c r="F415" s="2714">
        <f t="shared" si="17"/>
        <v>0</v>
      </c>
      <c r="G415" s="2714">
        <f t="shared" si="17"/>
        <v>0</v>
      </c>
      <c r="H415" s="2714">
        <f t="shared" si="17"/>
        <v>6.8772136803795712E-6</v>
      </c>
      <c r="I415" s="2714">
        <f t="shared" si="17"/>
        <v>8.2501184498274312E-5</v>
      </c>
      <c r="J415" s="2714">
        <f t="shared" si="17"/>
        <v>5.386267154722491E-4</v>
      </c>
      <c r="K415" s="2714">
        <f t="shared" si="17"/>
        <v>1.105122145670281E-3</v>
      </c>
      <c r="L415" s="2714">
        <f t="shared" si="17"/>
        <v>1.4500596328162663E-3</v>
      </c>
      <c r="M415" s="2714">
        <f t="shared" si="17"/>
        <v>1.7944562676375415E-3</v>
      </c>
      <c r="N415" s="383"/>
      <c r="W415" s="600"/>
      <c r="X415" s="600"/>
      <c r="Y415" s="600"/>
      <c r="Z415" s="600"/>
      <c r="AA415" s="600"/>
      <c r="AB415" s="601"/>
      <c r="AC415" s="601"/>
      <c r="AD415" s="601"/>
      <c r="AE415" s="602"/>
      <c r="AF415" s="602"/>
      <c r="AG415" s="602"/>
      <c r="AH415" s="602"/>
    </row>
    <row r="416" spans="1:34" s="248" customFormat="1" ht="15" customHeight="1">
      <c r="A416" s="663"/>
      <c r="B416" s="667"/>
      <c r="D416" s="272"/>
      <c r="E416" s="30" t="s">
        <v>908</v>
      </c>
      <c r="F416" s="2714">
        <f t="shared" si="17"/>
        <v>0</v>
      </c>
      <c r="G416" s="2714">
        <f t="shared" si="17"/>
        <v>0</v>
      </c>
      <c r="H416" s="2714">
        <f t="shared" si="17"/>
        <v>0</v>
      </c>
      <c r="I416" s="2714">
        <f t="shared" si="17"/>
        <v>0</v>
      </c>
      <c r="J416" s="2714">
        <f t="shared" si="17"/>
        <v>0</v>
      </c>
      <c r="K416" s="2714">
        <f t="shared" si="17"/>
        <v>0</v>
      </c>
      <c r="L416" s="2714">
        <f t="shared" si="17"/>
        <v>0</v>
      </c>
      <c r="M416" s="2714">
        <f t="shared" si="17"/>
        <v>0</v>
      </c>
      <c r="N416" s="383"/>
      <c r="W416" s="600"/>
      <c r="X416" s="600"/>
      <c r="Y416" s="600"/>
      <c r="Z416" s="600"/>
      <c r="AA416" s="600"/>
      <c r="AB416" s="602"/>
      <c r="AC416" s="602"/>
      <c r="AD416" s="602"/>
      <c r="AE416" s="602"/>
      <c r="AF416" s="602"/>
      <c r="AG416" s="602"/>
      <c r="AH416" s="602"/>
    </row>
    <row r="417" spans="1:34" s="248" customFormat="1" ht="15" customHeight="1">
      <c r="A417" s="663"/>
      <c r="B417" s="667"/>
      <c r="D417" s="272"/>
      <c r="E417" s="30" t="s">
        <v>909</v>
      </c>
      <c r="F417" s="2714">
        <f t="shared" si="17"/>
        <v>0</v>
      </c>
      <c r="G417" s="2714">
        <f t="shared" si="17"/>
        <v>0</v>
      </c>
      <c r="H417" s="2714">
        <f t="shared" si="17"/>
        <v>0</v>
      </c>
      <c r="I417" s="2714">
        <f t="shared" si="17"/>
        <v>0</v>
      </c>
      <c r="J417" s="2714">
        <f t="shared" si="17"/>
        <v>0</v>
      </c>
      <c r="K417" s="2714">
        <f t="shared" si="17"/>
        <v>0</v>
      </c>
      <c r="L417" s="2714">
        <f t="shared" si="17"/>
        <v>0</v>
      </c>
      <c r="M417" s="2714">
        <f t="shared" si="17"/>
        <v>0</v>
      </c>
      <c r="N417" s="383"/>
      <c r="W417" s="600"/>
      <c r="X417" s="600"/>
      <c r="Y417" s="600"/>
      <c r="Z417" s="600"/>
      <c r="AA417" s="600"/>
    </row>
    <row r="418" spans="1:34" customFormat="1" ht="15" customHeight="1">
      <c r="A418" s="663"/>
      <c r="B418" s="667"/>
      <c r="D418" s="272"/>
      <c r="E418" s="30" t="s">
        <v>894</v>
      </c>
      <c r="F418" s="2714">
        <f t="shared" si="17"/>
        <v>4.7911275320816678E-5</v>
      </c>
      <c r="G418" s="2714">
        <f t="shared" si="17"/>
        <v>1.8372531188175245E-4</v>
      </c>
      <c r="H418" s="2714">
        <f t="shared" si="17"/>
        <v>7.9411590909324108E-4</v>
      </c>
      <c r="I418" s="2714">
        <f t="shared" si="17"/>
        <v>1.9516686457873016E-3</v>
      </c>
      <c r="J418" s="2714">
        <f t="shared" si="17"/>
        <v>3.5065305362448444E-3</v>
      </c>
      <c r="K418" s="2714">
        <f t="shared" si="17"/>
        <v>6.257348727453059E-3</v>
      </c>
      <c r="L418" s="2714">
        <f t="shared" si="17"/>
        <v>9.1120190215159061E-3</v>
      </c>
      <c r="M418" s="2714">
        <f t="shared" si="17"/>
        <v>1.1963041784250278E-2</v>
      </c>
      <c r="N418" s="276"/>
    </row>
    <row r="419" spans="1:34" s="248" customFormat="1" ht="15" customHeight="1">
      <c r="A419" s="663"/>
      <c r="B419" s="667"/>
      <c r="D419" s="272"/>
      <c r="E419" s="32" t="s">
        <v>603</v>
      </c>
      <c r="F419" s="2715">
        <f t="shared" si="17"/>
        <v>0</v>
      </c>
      <c r="G419" s="2715">
        <f t="shared" si="17"/>
        <v>0</v>
      </c>
      <c r="H419" s="2715">
        <f t="shared" si="17"/>
        <v>0</v>
      </c>
      <c r="I419" s="2715">
        <f t="shared" si="17"/>
        <v>0</v>
      </c>
      <c r="J419" s="2715">
        <f t="shared" si="17"/>
        <v>0</v>
      </c>
      <c r="K419" s="2715">
        <f t="shared" si="17"/>
        <v>0</v>
      </c>
      <c r="L419" s="2715">
        <f t="shared" si="17"/>
        <v>0</v>
      </c>
      <c r="M419" s="2715">
        <f t="shared" si="17"/>
        <v>0</v>
      </c>
      <c r="N419" s="276"/>
      <c r="W419" s="600"/>
      <c r="X419" s="600"/>
      <c r="Y419" s="600"/>
      <c r="Z419" s="600"/>
      <c r="AA419" s="600"/>
      <c r="AB419" s="602"/>
      <c r="AC419" s="602"/>
      <c r="AD419" s="602"/>
      <c r="AE419" s="602"/>
      <c r="AF419" s="602"/>
      <c r="AG419" s="602"/>
      <c r="AH419" s="602"/>
    </row>
    <row r="420" spans="1:34" s="248" customFormat="1" ht="15" customHeight="1">
      <c r="A420" s="663"/>
      <c r="B420" s="667"/>
      <c r="D420" s="272"/>
      <c r="E420" s="92" t="s">
        <v>338</v>
      </c>
      <c r="F420" s="2798">
        <f t="shared" ref="F420:M420" si="18">SUM(F411:F419)</f>
        <v>579.88965537577155</v>
      </c>
      <c r="G420" s="2798">
        <f t="shared" si="18"/>
        <v>773.21036469212879</v>
      </c>
      <c r="H420" s="2798">
        <f t="shared" si="18"/>
        <v>1042.1057586108034</v>
      </c>
      <c r="I420" s="2798">
        <f t="shared" si="18"/>
        <v>1334.5798670441488</v>
      </c>
      <c r="J420" s="2798">
        <f t="shared" si="18"/>
        <v>1698.0400449634076</v>
      </c>
      <c r="K420" s="2798">
        <f t="shared" si="18"/>
        <v>2147.5975566967877</v>
      </c>
      <c r="L420" s="2798">
        <f t="shared" si="18"/>
        <v>2687.0752908057689</v>
      </c>
      <c r="M420" s="2798">
        <f t="shared" si="18"/>
        <v>3322.531962386854</v>
      </c>
      <c r="N420" s="276"/>
      <c r="W420" s="600"/>
      <c r="X420" s="600"/>
      <c r="Y420" s="600"/>
      <c r="Z420" s="600"/>
      <c r="AA420" s="600"/>
      <c r="AB420" s="602"/>
      <c r="AC420" s="602"/>
      <c r="AD420" s="602"/>
      <c r="AE420" s="602"/>
      <c r="AF420" s="602"/>
      <c r="AG420" s="602"/>
      <c r="AH420" s="602"/>
    </row>
    <row r="421" spans="1:34" s="248" customFormat="1" ht="15" customHeight="1">
      <c r="A421" s="663"/>
      <c r="B421" s="667"/>
      <c r="D421" s="251"/>
      <c r="E421" s="264"/>
      <c r="F421" s="844"/>
      <c r="G421" s="844"/>
      <c r="H421" s="844"/>
      <c r="I421" s="844"/>
      <c r="J421" s="844"/>
      <c r="K421" s="844"/>
      <c r="L421" s="844"/>
      <c r="M421" s="845"/>
      <c r="N421" s="251"/>
      <c r="W421" s="600"/>
      <c r="X421" s="600"/>
      <c r="Y421" s="600"/>
      <c r="Z421" s="600"/>
      <c r="AA421" s="600"/>
      <c r="AB421" s="602"/>
      <c r="AC421" s="602"/>
      <c r="AD421" s="602"/>
      <c r="AE421" s="602"/>
      <c r="AF421" s="602"/>
      <c r="AG421" s="602"/>
      <c r="AH421" s="602"/>
    </row>
    <row r="422" spans="1:34" s="248" customFormat="1" ht="15" customHeight="1">
      <c r="A422" s="663"/>
      <c r="B422" s="667"/>
      <c r="D422" s="251"/>
      <c r="E422" s="245" t="s">
        <v>2395</v>
      </c>
      <c r="F422" s="843"/>
      <c r="G422" s="843"/>
      <c r="H422" s="843"/>
      <c r="I422" s="843"/>
      <c r="J422" s="843"/>
      <c r="K422" s="843"/>
      <c r="L422" s="843"/>
      <c r="M422" s="843"/>
      <c r="N422" s="251"/>
      <c r="W422" s="600"/>
      <c r="X422" s="600"/>
      <c r="Y422" s="600"/>
      <c r="Z422" s="600"/>
      <c r="AA422" s="600"/>
    </row>
    <row r="423" spans="1:34" s="248" customFormat="1" ht="15" customHeight="1">
      <c r="A423" s="663"/>
      <c r="B423" s="667"/>
      <c r="D423" s="251"/>
      <c r="E423" s="251"/>
      <c r="F423" s="844"/>
      <c r="G423" s="844"/>
      <c r="H423" s="844"/>
      <c r="I423" s="844"/>
      <c r="J423" s="844"/>
      <c r="K423" s="844"/>
      <c r="L423" s="844"/>
      <c r="M423" s="844"/>
      <c r="N423" s="251"/>
    </row>
    <row r="424" spans="1:34" customFormat="1" ht="15" customHeight="1">
      <c r="A424" s="663"/>
      <c r="B424" s="667"/>
      <c r="D424" s="251"/>
      <c r="E424" s="264" t="s">
        <v>820</v>
      </c>
      <c r="F424" s="844"/>
      <c r="G424" s="844"/>
      <c r="H424" s="844"/>
      <c r="I424" s="844"/>
      <c r="J424" s="844"/>
      <c r="K424" s="844"/>
      <c r="L424" s="844"/>
      <c r="M424" s="845" t="s">
        <v>2393</v>
      </c>
      <c r="N424" s="251"/>
    </row>
    <row r="425" spans="1:34" s="248" customFormat="1" ht="15" customHeight="1">
      <c r="A425" s="663"/>
      <c r="B425" s="667"/>
      <c r="D425" s="272"/>
      <c r="E425" s="268" t="s">
        <v>859</v>
      </c>
      <c r="F425" s="815">
        <v>2018</v>
      </c>
      <c r="G425" s="815">
        <v>2020</v>
      </c>
      <c r="H425" s="815">
        <v>2025</v>
      </c>
      <c r="I425" s="815">
        <v>2030</v>
      </c>
      <c r="J425" s="815">
        <v>2035</v>
      </c>
      <c r="K425" s="815">
        <v>2040</v>
      </c>
      <c r="L425" s="815">
        <v>2045</v>
      </c>
      <c r="M425" s="815">
        <v>2050</v>
      </c>
      <c r="N425" s="383"/>
    </row>
    <row r="426" spans="1:34" s="248" customFormat="1" ht="15" customHeight="1">
      <c r="A426" s="663"/>
      <c r="B426" s="667"/>
      <c r="D426" s="272"/>
      <c r="E426" s="337" t="s">
        <v>889</v>
      </c>
      <c r="F426" s="2709">
        <v>0</v>
      </c>
      <c r="G426" s="2740">
        <f t="shared" ref="G426:M434" si="19">IF((((G304-F304)/(G$425-F$425))+(G304/$F$276)*COSTOS_CAPITAL_TRANSPORTE_CARGA_COMBUSTION_CONVENCIONAL_GASOLINA*COSTOS_2019_US_dolares_MMCOP)&gt;0,(((G304-F304)/(G$425-F$425))+(G304/$F$276)*COSTOS_CAPITAL_TRANSPORTE_CARGA_COMBUSTION_CONVENCIONAL_GASOLINA*COSTOS_2019_US_dolares_MMCOP),0)</f>
        <v>0</v>
      </c>
      <c r="H426" s="2740">
        <f t="shared" si="19"/>
        <v>146.39389903593027</v>
      </c>
      <c r="I426" s="2740">
        <f t="shared" si="19"/>
        <v>161.98515926025902</v>
      </c>
      <c r="J426" s="2740">
        <f t="shared" si="19"/>
        <v>186.49443297950711</v>
      </c>
      <c r="K426" s="2740">
        <f t="shared" si="19"/>
        <v>221.40320830499994</v>
      </c>
      <c r="L426" s="2740">
        <f t="shared" si="19"/>
        <v>270.75363738219534</v>
      </c>
      <c r="M426" s="2740">
        <f t="shared" si="19"/>
        <v>331.8477456889907</v>
      </c>
      <c r="N426" s="383"/>
      <c r="W426" s="600"/>
      <c r="X426" s="600"/>
      <c r="Y426" s="600"/>
      <c r="Z426" s="600"/>
      <c r="AA426" s="600"/>
      <c r="AB426" s="600"/>
      <c r="AC426" s="600"/>
      <c r="AD426" s="600"/>
      <c r="AE426" s="600"/>
      <c r="AF426" s="600"/>
      <c r="AG426" s="600"/>
      <c r="AH426" s="600"/>
    </row>
    <row r="427" spans="1:34" s="248" customFormat="1" ht="15" customHeight="1">
      <c r="A427" s="663"/>
      <c r="B427" s="667"/>
      <c r="D427" s="272"/>
      <c r="E427" s="30" t="s">
        <v>890</v>
      </c>
      <c r="F427" s="2769">
        <v>0</v>
      </c>
      <c r="G427" s="2714">
        <f t="shared" si="19"/>
        <v>1641.6049166143303</v>
      </c>
      <c r="H427" s="2714">
        <f t="shared" si="19"/>
        <v>735.18924926039517</v>
      </c>
      <c r="I427" s="2714">
        <f t="shared" si="19"/>
        <v>683.41882039184861</v>
      </c>
      <c r="J427" s="2714">
        <f t="shared" si="19"/>
        <v>520.79886053061693</v>
      </c>
      <c r="K427" s="2714">
        <f t="shared" si="19"/>
        <v>365.2503475493786</v>
      </c>
      <c r="L427" s="2714">
        <f t="shared" si="19"/>
        <v>592.54191964246786</v>
      </c>
      <c r="M427" s="2714">
        <f t="shared" si="19"/>
        <v>957.13937913620566</v>
      </c>
      <c r="N427" s="383"/>
      <c r="W427" s="600"/>
      <c r="X427" s="600"/>
      <c r="Y427" s="600"/>
      <c r="Z427" s="600"/>
      <c r="AA427" s="600"/>
      <c r="AB427" s="601"/>
      <c r="AC427" s="601"/>
      <c r="AD427" s="601"/>
      <c r="AE427" s="602"/>
      <c r="AF427" s="602"/>
      <c r="AG427" s="602"/>
      <c r="AH427" s="602"/>
    </row>
    <row r="428" spans="1:34" s="248" customFormat="1" ht="15" customHeight="1">
      <c r="A428" s="663"/>
      <c r="B428" s="667"/>
      <c r="D428" s="272"/>
      <c r="E428" s="30" t="s">
        <v>2379</v>
      </c>
      <c r="F428" s="2769">
        <v>0</v>
      </c>
      <c r="G428" s="2714">
        <f t="shared" si="19"/>
        <v>23.116705049114476</v>
      </c>
      <c r="H428" s="2714">
        <f t="shared" si="19"/>
        <v>9.4093536007323042</v>
      </c>
      <c r="I428" s="2714">
        <f t="shared" si="19"/>
        <v>10.411469682740176</v>
      </c>
      <c r="J428" s="2714">
        <f t="shared" si="19"/>
        <v>11.986784121663202</v>
      </c>
      <c r="K428" s="2714">
        <f t="shared" si="19"/>
        <v>14.2305184095618</v>
      </c>
      <c r="L428" s="2714">
        <f t="shared" si="19"/>
        <v>17.402478720703062</v>
      </c>
      <c r="M428" s="2714">
        <f t="shared" si="19"/>
        <v>21.329254848436257</v>
      </c>
      <c r="N428" s="383"/>
      <c r="W428" s="600"/>
      <c r="X428" s="600"/>
      <c r="Y428" s="600"/>
      <c r="Z428" s="600"/>
      <c r="AA428" s="600"/>
      <c r="AB428" s="601"/>
      <c r="AC428" s="601"/>
      <c r="AD428" s="601"/>
      <c r="AE428" s="602"/>
      <c r="AF428" s="602"/>
      <c r="AG428" s="602"/>
      <c r="AH428" s="602"/>
    </row>
    <row r="429" spans="1:34" s="248" customFormat="1" ht="15" customHeight="1">
      <c r="A429" s="663"/>
      <c r="B429" s="667"/>
      <c r="D429" s="272"/>
      <c r="E429" s="30" t="s">
        <v>2270</v>
      </c>
      <c r="F429" s="2769">
        <v>0</v>
      </c>
      <c r="G429" s="2714">
        <f t="shared" si="19"/>
        <v>0</v>
      </c>
      <c r="H429" s="2714">
        <f t="shared" si="19"/>
        <v>42.192382405588134</v>
      </c>
      <c r="I429" s="2714">
        <f t="shared" si="19"/>
        <v>133.82461966293712</v>
      </c>
      <c r="J429" s="2714">
        <f t="shared" si="19"/>
        <v>393.75741955754887</v>
      </c>
      <c r="K429" s="2714">
        <f t="shared" si="19"/>
        <v>679.12402786646624</v>
      </c>
      <c r="L429" s="2714">
        <f t="shared" si="19"/>
        <v>717.57423319279872</v>
      </c>
      <c r="M429" s="2714">
        <f t="shared" si="19"/>
        <v>677.25305949446749</v>
      </c>
      <c r="N429" s="383"/>
      <c r="W429" s="600"/>
      <c r="X429" s="600"/>
      <c r="Y429" s="600"/>
      <c r="Z429" s="600"/>
      <c r="AA429" s="600"/>
      <c r="AB429" s="602"/>
      <c r="AC429" s="602"/>
      <c r="AD429" s="602"/>
      <c r="AE429" s="602"/>
      <c r="AF429" s="602"/>
      <c r="AG429" s="602"/>
      <c r="AH429" s="602"/>
    </row>
    <row r="430" spans="1:34" s="248" customFormat="1" ht="15" customHeight="1">
      <c r="A430" s="663"/>
      <c r="B430" s="667"/>
      <c r="D430" s="272"/>
      <c r="E430" s="30" t="s">
        <v>498</v>
      </c>
      <c r="F430" s="2769">
        <v>0</v>
      </c>
      <c r="G430" s="2714">
        <f t="shared" si="19"/>
        <v>0</v>
      </c>
      <c r="H430" s="2714">
        <f t="shared" si="19"/>
        <v>0.29004063926202933</v>
      </c>
      <c r="I430" s="2714">
        <f t="shared" si="19"/>
        <v>3.198359654571524</v>
      </c>
      <c r="J430" s="2714">
        <f t="shared" si="19"/>
        <v>19.344469136007405</v>
      </c>
      <c r="K430" s="2714">
        <f t="shared" si="19"/>
        <v>24.595015101177403</v>
      </c>
      <c r="L430" s="2714">
        <f t="shared" si="19"/>
        <v>15.990951270637606</v>
      </c>
      <c r="M430" s="2714">
        <f t="shared" si="19"/>
        <v>16.418697226305273</v>
      </c>
      <c r="N430" s="383"/>
      <c r="W430" s="600"/>
      <c r="X430" s="600"/>
      <c r="Y430" s="600"/>
      <c r="Z430" s="600"/>
      <c r="AA430" s="600"/>
    </row>
    <row r="431" spans="1:34" s="248" customFormat="1" ht="15" customHeight="1">
      <c r="A431" s="663"/>
      <c r="B431" s="667"/>
      <c r="D431" s="272"/>
      <c r="E431" s="30" t="s">
        <v>908</v>
      </c>
      <c r="F431" s="2769">
        <v>0</v>
      </c>
      <c r="G431" s="2714">
        <f t="shared" si="19"/>
        <v>0</v>
      </c>
      <c r="H431" s="2714">
        <f t="shared" si="19"/>
        <v>0</v>
      </c>
      <c r="I431" s="2714">
        <f t="shared" si="19"/>
        <v>0</v>
      </c>
      <c r="J431" s="2714">
        <f t="shared" si="19"/>
        <v>0</v>
      </c>
      <c r="K431" s="2714">
        <f t="shared" si="19"/>
        <v>0</v>
      </c>
      <c r="L431" s="2714">
        <f t="shared" si="19"/>
        <v>0</v>
      </c>
      <c r="M431" s="2714">
        <f t="shared" si="19"/>
        <v>0</v>
      </c>
      <c r="N431" s="383"/>
      <c r="O431" s="599"/>
    </row>
    <row r="432" spans="1:34" s="248" customFormat="1" ht="15" customHeight="1">
      <c r="A432" s="663"/>
      <c r="B432" s="667"/>
      <c r="D432" s="272"/>
      <c r="E432" s="30" t="s">
        <v>909</v>
      </c>
      <c r="F432" s="2769">
        <v>0</v>
      </c>
      <c r="G432" s="2714">
        <f t="shared" si="19"/>
        <v>0</v>
      </c>
      <c r="H432" s="2714">
        <f t="shared" si="19"/>
        <v>0</v>
      </c>
      <c r="I432" s="2714">
        <f t="shared" si="19"/>
        <v>0</v>
      </c>
      <c r="J432" s="2714">
        <f t="shared" si="19"/>
        <v>0</v>
      </c>
      <c r="K432" s="2714">
        <f t="shared" si="19"/>
        <v>0</v>
      </c>
      <c r="L432" s="2714">
        <f t="shared" si="19"/>
        <v>0</v>
      </c>
      <c r="M432" s="2714">
        <f t="shared" si="19"/>
        <v>0</v>
      </c>
      <c r="N432" s="383"/>
    </row>
    <row r="433" spans="1:34" ht="15" customHeight="1">
      <c r="D433" s="272"/>
      <c r="E433" s="30" t="s">
        <v>894</v>
      </c>
      <c r="F433" s="2769">
        <v>0</v>
      </c>
      <c r="G433" s="2714">
        <f t="shared" si="19"/>
        <v>14.116085672347108</v>
      </c>
      <c r="H433" s="2714">
        <f t="shared" si="19"/>
        <v>25.982685676122077</v>
      </c>
      <c r="I433" s="2714">
        <f t="shared" si="19"/>
        <v>49.856073370916043</v>
      </c>
      <c r="J433" s="2714">
        <f t="shared" si="19"/>
        <v>68.124239774136299</v>
      </c>
      <c r="K433" s="2714">
        <f t="shared" si="19"/>
        <v>120.59363411081389</v>
      </c>
      <c r="L433" s="2714">
        <f t="shared" si="19"/>
        <v>128.56661577465314</v>
      </c>
      <c r="M433" s="2714">
        <f t="shared" si="19"/>
        <v>132.14154296826416</v>
      </c>
      <c r="N433" s="276"/>
    </row>
    <row r="434" spans="1:34" s="248" customFormat="1" ht="15" customHeight="1">
      <c r="A434" s="663"/>
      <c r="B434" s="667"/>
      <c r="D434" s="272"/>
      <c r="E434" s="32" t="s">
        <v>603</v>
      </c>
      <c r="F434" s="2770">
        <v>0</v>
      </c>
      <c r="G434" s="2715">
        <f t="shared" si="19"/>
        <v>0</v>
      </c>
      <c r="H434" s="2715">
        <f t="shared" si="19"/>
        <v>0</v>
      </c>
      <c r="I434" s="2715">
        <f t="shared" si="19"/>
        <v>0</v>
      </c>
      <c r="J434" s="2715">
        <f t="shared" si="19"/>
        <v>0</v>
      </c>
      <c r="K434" s="2715">
        <f t="shared" si="19"/>
        <v>0</v>
      </c>
      <c r="L434" s="2715">
        <f t="shared" si="19"/>
        <v>0</v>
      </c>
      <c r="M434" s="2715">
        <f t="shared" si="19"/>
        <v>0</v>
      </c>
      <c r="N434" s="276"/>
      <c r="W434" s="600"/>
      <c r="X434" s="600"/>
      <c r="Y434" s="600"/>
      <c r="Z434" s="600"/>
      <c r="AA434" s="600"/>
      <c r="AB434" s="602"/>
      <c r="AC434" s="602"/>
      <c r="AD434" s="602"/>
      <c r="AE434" s="602"/>
      <c r="AF434" s="602"/>
      <c r="AG434" s="602"/>
      <c r="AH434" s="602"/>
    </row>
    <row r="435" spans="1:34" s="248" customFormat="1" ht="15" customHeight="1">
      <c r="A435" s="663"/>
      <c r="B435" s="667"/>
      <c r="D435" s="272"/>
      <c r="E435" s="92" t="s">
        <v>338</v>
      </c>
      <c r="F435" s="2798">
        <f t="shared" ref="F435:M435" si="20">SUM(F426:F434)</f>
        <v>0</v>
      </c>
      <c r="G435" s="2798">
        <f t="shared" si="20"/>
        <v>1678.8377073357917</v>
      </c>
      <c r="H435" s="2798">
        <f t="shared" si="20"/>
        <v>959.45761061802989</v>
      </c>
      <c r="I435" s="2798">
        <f t="shared" si="20"/>
        <v>1042.6945020232724</v>
      </c>
      <c r="J435" s="2798">
        <f t="shared" si="20"/>
        <v>1200.5062060994796</v>
      </c>
      <c r="K435" s="2798">
        <f t="shared" si="20"/>
        <v>1425.1967513423976</v>
      </c>
      <c r="L435" s="2798">
        <f t="shared" si="20"/>
        <v>1742.8298359834557</v>
      </c>
      <c r="M435" s="2798">
        <f t="shared" si="20"/>
        <v>2136.1296793626693</v>
      </c>
      <c r="N435" s="276"/>
      <c r="W435" s="600"/>
      <c r="X435" s="600"/>
      <c r="Y435" s="600"/>
      <c r="Z435" s="600"/>
      <c r="AA435" s="600"/>
      <c r="AB435" s="602"/>
      <c r="AC435" s="602"/>
      <c r="AD435" s="602"/>
      <c r="AE435" s="602"/>
      <c r="AF435" s="602"/>
      <c r="AG435" s="602"/>
      <c r="AH435" s="602"/>
    </row>
    <row r="436" spans="1:34" s="248" customFormat="1" ht="15" customHeight="1">
      <c r="A436" s="663"/>
      <c r="B436" s="667"/>
      <c r="D436" s="272"/>
      <c r="E436" s="30"/>
      <c r="F436" s="917"/>
      <c r="G436" s="276"/>
      <c r="H436" s="276"/>
      <c r="I436" s="276"/>
      <c r="J436" s="276"/>
      <c r="K436" s="276"/>
      <c r="L436" s="276"/>
      <c r="M436" s="276"/>
      <c r="N436" s="276"/>
      <c r="W436" s="600"/>
      <c r="X436" s="600"/>
      <c r="Y436" s="600"/>
      <c r="Z436" s="600"/>
      <c r="AA436" s="600"/>
      <c r="AB436" s="602"/>
      <c r="AC436" s="602"/>
      <c r="AD436" s="602"/>
      <c r="AE436" s="602"/>
      <c r="AF436" s="602"/>
      <c r="AG436" s="602"/>
      <c r="AH436" s="602"/>
    </row>
    <row r="437" spans="1:34" s="248" customFormat="1" ht="15" customHeight="1">
      <c r="A437" s="663"/>
      <c r="B437" s="667"/>
      <c r="D437" s="251"/>
      <c r="E437" s="264" t="s">
        <v>821</v>
      </c>
      <c r="F437" s="844"/>
      <c r="G437" s="844"/>
      <c r="H437" s="844"/>
      <c r="I437" s="844"/>
      <c r="J437" s="844"/>
      <c r="K437" s="844"/>
      <c r="L437" s="844"/>
      <c r="M437" s="845" t="s">
        <v>2393</v>
      </c>
      <c r="N437" s="251"/>
      <c r="W437" s="600"/>
      <c r="X437" s="600"/>
      <c r="Y437" s="600"/>
      <c r="Z437" s="600"/>
      <c r="AA437" s="600"/>
    </row>
    <row r="438" spans="1:34" s="248" customFormat="1" ht="15" customHeight="1">
      <c r="A438" s="663"/>
      <c r="B438" s="667"/>
      <c r="D438" s="272"/>
      <c r="E438" s="268" t="s">
        <v>859</v>
      </c>
      <c r="F438" s="815">
        <v>2018</v>
      </c>
      <c r="G438" s="815">
        <v>2020</v>
      </c>
      <c r="H438" s="815">
        <v>2025</v>
      </c>
      <c r="I438" s="815">
        <v>2030</v>
      </c>
      <c r="J438" s="815">
        <v>2035</v>
      </c>
      <c r="K438" s="815">
        <v>2040</v>
      </c>
      <c r="L438" s="815">
        <v>2045</v>
      </c>
      <c r="M438" s="815">
        <v>2050</v>
      </c>
      <c r="N438" s="383"/>
    </row>
    <row r="439" spans="1:34" customFormat="1" ht="15" customHeight="1">
      <c r="A439" s="663"/>
      <c r="B439" s="667"/>
      <c r="D439" s="272"/>
      <c r="E439" s="337" t="s">
        <v>889</v>
      </c>
      <c r="F439" s="2709">
        <f t="shared" ref="F439:M447" si="21">F426*COSTOS_MEDIO</f>
        <v>0</v>
      </c>
      <c r="G439" s="2709">
        <f t="shared" si="21"/>
        <v>0</v>
      </c>
      <c r="H439" s="2709">
        <f t="shared" si="21"/>
        <v>117.11511922874422</v>
      </c>
      <c r="I439" s="2709">
        <f t="shared" si="21"/>
        <v>129.58812740820721</v>
      </c>
      <c r="J439" s="2709">
        <f t="shared" si="21"/>
        <v>149.19554638360569</v>
      </c>
      <c r="K439" s="2709">
        <f t="shared" si="21"/>
        <v>177.12256664399996</v>
      </c>
      <c r="L439" s="2709">
        <f t="shared" si="21"/>
        <v>216.60290990575629</v>
      </c>
      <c r="M439" s="2709">
        <f t="shared" si="21"/>
        <v>265.47819655119258</v>
      </c>
      <c r="N439" s="383"/>
    </row>
    <row r="440" spans="1:34" s="248" customFormat="1" ht="15" customHeight="1">
      <c r="A440" s="663"/>
      <c r="B440" s="667"/>
      <c r="D440" s="272"/>
      <c r="E440" s="30" t="s">
        <v>890</v>
      </c>
      <c r="F440" s="2714">
        <f t="shared" si="21"/>
        <v>0</v>
      </c>
      <c r="G440" s="2714">
        <f t="shared" si="21"/>
        <v>1313.2839332914643</v>
      </c>
      <c r="H440" s="2714">
        <f t="shared" si="21"/>
        <v>588.15139940831614</v>
      </c>
      <c r="I440" s="2714">
        <f t="shared" si="21"/>
        <v>546.73505631347894</v>
      </c>
      <c r="J440" s="2714">
        <f t="shared" si="21"/>
        <v>416.63908842449359</v>
      </c>
      <c r="K440" s="2714">
        <f t="shared" si="21"/>
        <v>292.2002780395029</v>
      </c>
      <c r="L440" s="2714">
        <f t="shared" si="21"/>
        <v>474.03353571397429</v>
      </c>
      <c r="M440" s="2714">
        <f t="shared" si="21"/>
        <v>765.71150330896455</v>
      </c>
      <c r="N440" s="383"/>
    </row>
    <row r="441" spans="1:34" s="248" customFormat="1" ht="15" customHeight="1">
      <c r="A441" s="663"/>
      <c r="B441" s="667"/>
      <c r="D441" s="272"/>
      <c r="E441" s="30" t="s">
        <v>2379</v>
      </c>
      <c r="F441" s="2714">
        <f t="shared" si="21"/>
        <v>0</v>
      </c>
      <c r="G441" s="2714">
        <f t="shared" si="21"/>
        <v>18.493364039291581</v>
      </c>
      <c r="H441" s="2714">
        <f t="shared" si="21"/>
        <v>7.5274828805858434</v>
      </c>
      <c r="I441" s="2714">
        <f t="shared" si="21"/>
        <v>8.3291757461921403</v>
      </c>
      <c r="J441" s="2714">
        <f t="shared" si="21"/>
        <v>9.5894272973305625</v>
      </c>
      <c r="K441" s="2714">
        <f t="shared" si="21"/>
        <v>11.384414727649441</v>
      </c>
      <c r="L441" s="2714">
        <f t="shared" si="21"/>
        <v>13.92198297656245</v>
      </c>
      <c r="M441" s="2714">
        <f t="shared" si="21"/>
        <v>17.063403878749007</v>
      </c>
      <c r="N441" s="383"/>
      <c r="W441" s="600"/>
      <c r="X441" s="600"/>
      <c r="Y441" s="600"/>
      <c r="Z441" s="600"/>
      <c r="AA441" s="600"/>
      <c r="AB441" s="600"/>
      <c r="AC441" s="600"/>
      <c r="AD441" s="600"/>
      <c r="AE441" s="600"/>
      <c r="AF441" s="600"/>
      <c r="AG441" s="600"/>
      <c r="AH441" s="600"/>
    </row>
    <row r="442" spans="1:34" s="248" customFormat="1" ht="15" customHeight="1">
      <c r="A442" s="663"/>
      <c r="B442" s="667"/>
      <c r="D442" s="272"/>
      <c r="E442" s="30" t="s">
        <v>2270</v>
      </c>
      <c r="F442" s="2714">
        <f t="shared" si="21"/>
        <v>0</v>
      </c>
      <c r="G442" s="2714">
        <f t="shared" si="21"/>
        <v>0</v>
      </c>
      <c r="H442" s="2714">
        <f t="shared" si="21"/>
        <v>33.753905924470509</v>
      </c>
      <c r="I442" s="2714">
        <f t="shared" si="21"/>
        <v>107.0596957303497</v>
      </c>
      <c r="J442" s="2714">
        <f t="shared" si="21"/>
        <v>315.00593564603912</v>
      </c>
      <c r="K442" s="2714">
        <f t="shared" si="21"/>
        <v>543.29922229317299</v>
      </c>
      <c r="L442" s="2714">
        <f t="shared" si="21"/>
        <v>574.05938655423904</v>
      </c>
      <c r="M442" s="2714">
        <f t="shared" si="21"/>
        <v>541.80244759557399</v>
      </c>
      <c r="N442" s="383"/>
      <c r="W442" s="600"/>
      <c r="X442" s="600"/>
      <c r="Y442" s="600"/>
      <c r="Z442" s="600"/>
      <c r="AA442" s="600"/>
      <c r="AB442" s="601"/>
      <c r="AC442" s="601"/>
      <c r="AD442" s="601"/>
      <c r="AE442" s="602"/>
      <c r="AF442" s="602"/>
      <c r="AG442" s="602"/>
      <c r="AH442" s="602"/>
    </row>
    <row r="443" spans="1:34" s="248" customFormat="1" ht="15" customHeight="1">
      <c r="A443" s="663"/>
      <c r="B443" s="667"/>
      <c r="D443" s="272"/>
      <c r="E443" s="30" t="s">
        <v>498</v>
      </c>
      <c r="F443" s="2714">
        <f t="shared" si="21"/>
        <v>0</v>
      </c>
      <c r="G443" s="2714">
        <f t="shared" si="21"/>
        <v>0</v>
      </c>
      <c r="H443" s="2714">
        <f t="shared" si="21"/>
        <v>0.23203251140962347</v>
      </c>
      <c r="I443" s="2714">
        <f t="shared" si="21"/>
        <v>2.5586877236572194</v>
      </c>
      <c r="J443" s="2714">
        <f t="shared" si="21"/>
        <v>15.475575308805924</v>
      </c>
      <c r="K443" s="2714">
        <f t="shared" si="21"/>
        <v>19.676012080941923</v>
      </c>
      <c r="L443" s="2714">
        <f t="shared" si="21"/>
        <v>12.792761016510084</v>
      </c>
      <c r="M443" s="2714">
        <f t="shared" si="21"/>
        <v>13.13495778104422</v>
      </c>
      <c r="N443" s="383"/>
      <c r="W443" s="600"/>
      <c r="X443" s="600"/>
      <c r="Y443" s="600"/>
      <c r="Z443" s="600"/>
      <c r="AA443" s="600"/>
      <c r="AB443" s="601"/>
      <c r="AC443" s="601"/>
      <c r="AD443" s="601"/>
      <c r="AE443" s="602"/>
      <c r="AF443" s="602"/>
      <c r="AG443" s="602"/>
      <c r="AH443" s="602"/>
    </row>
    <row r="444" spans="1:34" s="248" customFormat="1" ht="15" customHeight="1">
      <c r="A444" s="663"/>
      <c r="B444" s="667"/>
      <c r="D444" s="272"/>
      <c r="E444" s="30" t="s">
        <v>908</v>
      </c>
      <c r="F444" s="2714">
        <f t="shared" si="21"/>
        <v>0</v>
      </c>
      <c r="G444" s="2714">
        <f t="shared" si="21"/>
        <v>0</v>
      </c>
      <c r="H444" s="2714">
        <f t="shared" si="21"/>
        <v>0</v>
      </c>
      <c r="I444" s="2714">
        <f t="shared" si="21"/>
        <v>0</v>
      </c>
      <c r="J444" s="2714">
        <f t="shared" si="21"/>
        <v>0</v>
      </c>
      <c r="K444" s="2714">
        <f t="shared" si="21"/>
        <v>0</v>
      </c>
      <c r="L444" s="2714">
        <f t="shared" si="21"/>
        <v>0</v>
      </c>
      <c r="M444" s="2714">
        <f t="shared" si="21"/>
        <v>0</v>
      </c>
      <c r="N444" s="383"/>
      <c r="W444" s="600"/>
      <c r="X444" s="600"/>
      <c r="Y444" s="600"/>
      <c r="Z444" s="600"/>
      <c r="AA444" s="600"/>
      <c r="AB444" s="602"/>
      <c r="AC444" s="602"/>
      <c r="AD444" s="602"/>
      <c r="AE444" s="602"/>
      <c r="AF444" s="602"/>
      <c r="AG444" s="602"/>
      <c r="AH444" s="602"/>
    </row>
    <row r="445" spans="1:34" s="248" customFormat="1" ht="15" customHeight="1">
      <c r="A445" s="663"/>
      <c r="B445" s="667"/>
      <c r="D445" s="272"/>
      <c r="E445" s="30" t="s">
        <v>909</v>
      </c>
      <c r="F445" s="2714">
        <f t="shared" si="21"/>
        <v>0</v>
      </c>
      <c r="G445" s="2714">
        <f t="shared" si="21"/>
        <v>0</v>
      </c>
      <c r="H445" s="2714">
        <f t="shared" si="21"/>
        <v>0</v>
      </c>
      <c r="I445" s="2714">
        <f t="shared" si="21"/>
        <v>0</v>
      </c>
      <c r="J445" s="2714">
        <f t="shared" si="21"/>
        <v>0</v>
      </c>
      <c r="K445" s="2714">
        <f t="shared" si="21"/>
        <v>0</v>
      </c>
      <c r="L445" s="2714">
        <f t="shared" si="21"/>
        <v>0</v>
      </c>
      <c r="M445" s="2714">
        <f t="shared" si="21"/>
        <v>0</v>
      </c>
      <c r="N445" s="383"/>
      <c r="W445" s="600"/>
      <c r="X445" s="600"/>
      <c r="Y445" s="600"/>
      <c r="Z445" s="600"/>
      <c r="AA445" s="600"/>
    </row>
    <row r="446" spans="1:34" s="248" customFormat="1" ht="15" customHeight="1">
      <c r="A446" s="663"/>
      <c r="B446" s="667"/>
      <c r="D446" s="272"/>
      <c r="E446" s="30" t="s">
        <v>894</v>
      </c>
      <c r="F446" s="2714">
        <f t="shared" si="21"/>
        <v>0</v>
      </c>
      <c r="G446" s="2714">
        <f t="shared" si="21"/>
        <v>11.292868537877688</v>
      </c>
      <c r="H446" s="2714">
        <f t="shared" si="21"/>
        <v>20.786148540897663</v>
      </c>
      <c r="I446" s="2714">
        <f t="shared" si="21"/>
        <v>39.884858696732834</v>
      </c>
      <c r="J446" s="2714">
        <f t="shared" si="21"/>
        <v>54.499391819309039</v>
      </c>
      <c r="K446" s="2714">
        <f t="shared" si="21"/>
        <v>96.474907288651124</v>
      </c>
      <c r="L446" s="2714">
        <f t="shared" si="21"/>
        <v>102.85329261972252</v>
      </c>
      <c r="M446" s="2714">
        <f t="shared" si="21"/>
        <v>105.71323437461133</v>
      </c>
      <c r="N446" s="276"/>
    </row>
    <row r="447" spans="1:34" s="248" customFormat="1" ht="15" customHeight="1">
      <c r="A447" s="663"/>
      <c r="B447" s="667"/>
      <c r="D447" s="272"/>
      <c r="E447" s="32" t="s">
        <v>603</v>
      </c>
      <c r="F447" s="2715">
        <f t="shared" si="21"/>
        <v>0</v>
      </c>
      <c r="G447" s="2715">
        <f t="shared" si="21"/>
        <v>0</v>
      </c>
      <c r="H447" s="2715">
        <f t="shared" si="21"/>
        <v>0</v>
      </c>
      <c r="I447" s="2715">
        <f t="shared" si="21"/>
        <v>0</v>
      </c>
      <c r="J447" s="2715">
        <f t="shared" si="21"/>
        <v>0</v>
      </c>
      <c r="K447" s="2715">
        <f t="shared" si="21"/>
        <v>0</v>
      </c>
      <c r="L447" s="2715">
        <f t="shared" si="21"/>
        <v>0</v>
      </c>
      <c r="M447" s="2715">
        <f t="shared" si="21"/>
        <v>0</v>
      </c>
      <c r="N447" s="276"/>
      <c r="W447" s="600"/>
      <c r="X447" s="600"/>
      <c r="Y447" s="600"/>
      <c r="Z447" s="600"/>
      <c r="AA447" s="600"/>
      <c r="AB447" s="602"/>
      <c r="AC447" s="602"/>
      <c r="AD447" s="602"/>
      <c r="AE447" s="602"/>
      <c r="AF447" s="602"/>
      <c r="AG447" s="602"/>
      <c r="AH447" s="602"/>
    </row>
    <row r="448" spans="1:34" s="248" customFormat="1" ht="15" customHeight="1">
      <c r="A448" s="663"/>
      <c r="B448" s="667"/>
      <c r="D448" s="272"/>
      <c r="E448" s="92" t="s">
        <v>338</v>
      </c>
      <c r="F448" s="2798">
        <f t="shared" ref="F448:M448" si="22">SUM(F439:F447)</f>
        <v>0</v>
      </c>
      <c r="G448" s="2798">
        <f t="shared" si="22"/>
        <v>1343.0701658686337</v>
      </c>
      <c r="H448" s="2798">
        <f t="shared" si="22"/>
        <v>767.56608849442398</v>
      </c>
      <c r="I448" s="2798">
        <f t="shared" si="22"/>
        <v>834.15560161861822</v>
      </c>
      <c r="J448" s="2798">
        <f t="shared" si="22"/>
        <v>960.40496487958387</v>
      </c>
      <c r="K448" s="2798">
        <f t="shared" si="22"/>
        <v>1140.1574010739184</v>
      </c>
      <c r="L448" s="2798">
        <f t="shared" si="22"/>
        <v>1394.2638687867645</v>
      </c>
      <c r="M448" s="2798">
        <f t="shared" si="22"/>
        <v>1708.9037434901359</v>
      </c>
      <c r="N448" s="276"/>
      <c r="W448" s="600"/>
      <c r="X448" s="600"/>
      <c r="Y448" s="600"/>
      <c r="Z448" s="600"/>
      <c r="AA448" s="600"/>
      <c r="AB448" s="602"/>
      <c r="AC448" s="602"/>
      <c r="AD448" s="602"/>
      <c r="AE448" s="602"/>
      <c r="AF448" s="602"/>
      <c r="AG448" s="602"/>
      <c r="AH448" s="602"/>
    </row>
    <row r="449" spans="1:34" s="248" customFormat="1" ht="15" customHeight="1">
      <c r="A449" s="663"/>
      <c r="B449" s="667"/>
      <c r="D449" s="272"/>
      <c r="E449" s="30"/>
      <c r="F449" s="917"/>
      <c r="G449" s="276"/>
      <c r="H449" s="276"/>
      <c r="I449" s="276"/>
      <c r="J449" s="276"/>
      <c r="K449" s="276"/>
      <c r="L449" s="276"/>
      <c r="M449" s="276"/>
      <c r="N449" s="276"/>
      <c r="W449" s="600"/>
      <c r="X449" s="600"/>
      <c r="Y449" s="600"/>
      <c r="Z449" s="600"/>
      <c r="AA449" s="600"/>
      <c r="AB449" s="602"/>
      <c r="AC449" s="602"/>
      <c r="AD449" s="602"/>
      <c r="AE449" s="602"/>
      <c r="AF449" s="602"/>
      <c r="AG449" s="602"/>
      <c r="AH449" s="602"/>
    </row>
    <row r="450" spans="1:34" s="248" customFormat="1" ht="15" customHeight="1">
      <c r="A450" s="663"/>
      <c r="B450" s="667"/>
      <c r="D450" s="251"/>
      <c r="E450" s="264" t="s">
        <v>822</v>
      </c>
      <c r="F450" s="844"/>
      <c r="G450" s="844"/>
      <c r="H450" s="844"/>
      <c r="I450" s="844"/>
      <c r="J450" s="844"/>
      <c r="K450" s="844"/>
      <c r="L450" s="844"/>
      <c r="M450" s="845" t="s">
        <v>2393</v>
      </c>
      <c r="N450" s="251"/>
      <c r="W450" s="600"/>
      <c r="X450" s="600"/>
      <c r="Y450" s="600"/>
      <c r="Z450" s="600"/>
      <c r="AA450" s="600"/>
    </row>
    <row r="451" spans="1:34" s="248" customFormat="1" ht="15" customHeight="1">
      <c r="A451" s="663"/>
      <c r="B451" s="667"/>
      <c r="D451" s="272"/>
      <c r="E451" s="268" t="s">
        <v>859</v>
      </c>
      <c r="F451" s="815">
        <v>2018</v>
      </c>
      <c r="G451" s="815">
        <v>2020</v>
      </c>
      <c r="H451" s="815">
        <v>2025</v>
      </c>
      <c r="I451" s="815">
        <v>2030</v>
      </c>
      <c r="J451" s="815">
        <v>2035</v>
      </c>
      <c r="K451" s="815">
        <v>2040</v>
      </c>
      <c r="L451" s="815">
        <v>2045</v>
      </c>
      <c r="M451" s="815">
        <v>2050</v>
      </c>
      <c r="N451" s="383"/>
    </row>
    <row r="452" spans="1:34" customFormat="1" ht="15" customHeight="1">
      <c r="A452" s="663"/>
      <c r="B452" s="667"/>
      <c r="D452" s="272"/>
      <c r="E452" s="337" t="s">
        <v>889</v>
      </c>
      <c r="F452" s="2709">
        <f t="shared" ref="F452:M460" si="23">F426*COSTOS_BAJO</f>
        <v>0</v>
      </c>
      <c r="G452" s="2709">
        <f t="shared" si="23"/>
        <v>0</v>
      </c>
      <c r="H452" s="2709">
        <f t="shared" si="23"/>
        <v>102.47572932515119</v>
      </c>
      <c r="I452" s="2709">
        <f t="shared" si="23"/>
        <v>113.38961148218131</v>
      </c>
      <c r="J452" s="2709">
        <f t="shared" si="23"/>
        <v>130.54610308565498</v>
      </c>
      <c r="K452" s="2709">
        <f t="shared" si="23"/>
        <v>154.98224581349996</v>
      </c>
      <c r="L452" s="2709">
        <f t="shared" si="23"/>
        <v>189.52754616753671</v>
      </c>
      <c r="M452" s="2709">
        <f t="shared" si="23"/>
        <v>232.29342198229347</v>
      </c>
      <c r="N452" s="383"/>
    </row>
    <row r="453" spans="1:34" s="248" customFormat="1" ht="15" customHeight="1">
      <c r="A453" s="663"/>
      <c r="B453" s="667"/>
      <c r="D453" s="272"/>
      <c r="E453" s="30" t="s">
        <v>890</v>
      </c>
      <c r="F453" s="2714">
        <f t="shared" si="23"/>
        <v>0</v>
      </c>
      <c r="G453" s="2714">
        <f t="shared" si="23"/>
        <v>1149.123441630031</v>
      </c>
      <c r="H453" s="2714">
        <f t="shared" si="23"/>
        <v>514.63247448227662</v>
      </c>
      <c r="I453" s="2714">
        <f t="shared" si="23"/>
        <v>478.39317427429398</v>
      </c>
      <c r="J453" s="2714">
        <f t="shared" si="23"/>
        <v>364.55920237143181</v>
      </c>
      <c r="K453" s="2714">
        <f t="shared" si="23"/>
        <v>255.675243284565</v>
      </c>
      <c r="L453" s="2714">
        <f t="shared" si="23"/>
        <v>414.7793437497275</v>
      </c>
      <c r="M453" s="2714">
        <f t="shared" si="23"/>
        <v>669.99756539534394</v>
      </c>
      <c r="N453" s="383"/>
    </row>
    <row r="454" spans="1:34" s="248" customFormat="1" ht="15" customHeight="1">
      <c r="A454" s="663"/>
      <c r="B454" s="667"/>
      <c r="D454" s="272"/>
      <c r="E454" s="30" t="s">
        <v>2379</v>
      </c>
      <c r="F454" s="2714">
        <f t="shared" si="23"/>
        <v>0</v>
      </c>
      <c r="G454" s="2714">
        <f t="shared" si="23"/>
        <v>16.18169353438013</v>
      </c>
      <c r="H454" s="2714">
        <f t="shared" si="23"/>
        <v>6.5865475205126129</v>
      </c>
      <c r="I454" s="2714">
        <f t="shared" si="23"/>
        <v>7.2880287779181225</v>
      </c>
      <c r="J454" s="2714">
        <f t="shared" si="23"/>
        <v>8.3907488851642409</v>
      </c>
      <c r="K454" s="2714">
        <f t="shared" si="23"/>
        <v>9.9613628866932586</v>
      </c>
      <c r="L454" s="2714">
        <f t="shared" si="23"/>
        <v>12.181735104492143</v>
      </c>
      <c r="M454" s="2714">
        <f t="shared" si="23"/>
        <v>14.930478393905378</v>
      </c>
      <c r="N454" s="383"/>
      <c r="W454" s="600"/>
      <c r="X454" s="600"/>
      <c r="Y454" s="600"/>
      <c r="Z454" s="600"/>
      <c r="AA454" s="600"/>
      <c r="AB454" s="600"/>
      <c r="AC454" s="600"/>
      <c r="AD454" s="600"/>
      <c r="AE454" s="600"/>
      <c r="AF454" s="600"/>
      <c r="AG454" s="600"/>
      <c r="AH454" s="600"/>
    </row>
    <row r="455" spans="1:34" s="248" customFormat="1" ht="15" customHeight="1">
      <c r="A455" s="663"/>
      <c r="B455" s="667"/>
      <c r="D455" s="272"/>
      <c r="E455" s="30" t="s">
        <v>2270</v>
      </c>
      <c r="F455" s="2714">
        <f t="shared" si="23"/>
        <v>0</v>
      </c>
      <c r="G455" s="2714">
        <f t="shared" si="23"/>
        <v>0</v>
      </c>
      <c r="H455" s="2714">
        <f t="shared" si="23"/>
        <v>29.534667683911692</v>
      </c>
      <c r="I455" s="2714">
        <f t="shared" si="23"/>
        <v>93.677233764055984</v>
      </c>
      <c r="J455" s="2714">
        <f t="shared" si="23"/>
        <v>275.63019369028422</v>
      </c>
      <c r="K455" s="2714">
        <f t="shared" si="23"/>
        <v>475.38681950652631</v>
      </c>
      <c r="L455" s="2714">
        <f t="shared" si="23"/>
        <v>502.30196323495909</v>
      </c>
      <c r="M455" s="2714">
        <f t="shared" si="23"/>
        <v>474.07714164612719</v>
      </c>
      <c r="N455" s="383"/>
      <c r="W455" s="600"/>
      <c r="X455" s="600"/>
      <c r="Y455" s="600"/>
      <c r="Z455" s="600"/>
      <c r="AA455" s="600"/>
      <c r="AB455" s="601"/>
      <c r="AC455" s="601"/>
      <c r="AD455" s="601"/>
      <c r="AE455" s="602"/>
      <c r="AF455" s="602"/>
      <c r="AG455" s="602"/>
      <c r="AH455" s="602"/>
    </row>
    <row r="456" spans="1:34" s="248" customFormat="1" ht="15" customHeight="1">
      <c r="A456" s="663"/>
      <c r="B456" s="667"/>
      <c r="D456" s="272"/>
      <c r="E456" s="30" t="s">
        <v>498</v>
      </c>
      <c r="F456" s="2714">
        <f t="shared" si="23"/>
        <v>0</v>
      </c>
      <c r="G456" s="2714">
        <f t="shared" si="23"/>
        <v>0</v>
      </c>
      <c r="H456" s="2714">
        <f t="shared" si="23"/>
        <v>0.20302844748342053</v>
      </c>
      <c r="I456" s="2714">
        <f t="shared" si="23"/>
        <v>2.2388517582000667</v>
      </c>
      <c r="J456" s="2714">
        <f t="shared" si="23"/>
        <v>13.541128395205183</v>
      </c>
      <c r="K456" s="2714">
        <f t="shared" si="23"/>
        <v>17.21651057082418</v>
      </c>
      <c r="L456" s="2714">
        <f t="shared" si="23"/>
        <v>11.193665889446324</v>
      </c>
      <c r="M456" s="2714">
        <f t="shared" si="23"/>
        <v>11.49308805841369</v>
      </c>
      <c r="N456" s="383"/>
      <c r="W456" s="600"/>
      <c r="X456" s="600"/>
      <c r="Y456" s="600"/>
      <c r="Z456" s="600"/>
      <c r="AA456" s="600"/>
      <c r="AB456" s="601"/>
      <c r="AC456" s="601"/>
      <c r="AD456" s="601"/>
      <c r="AE456" s="602"/>
      <c r="AF456" s="602"/>
      <c r="AG456" s="602"/>
      <c r="AH456" s="602"/>
    </row>
    <row r="457" spans="1:34" s="248" customFormat="1" ht="15" customHeight="1">
      <c r="A457" s="663"/>
      <c r="B457" s="667"/>
      <c r="D457" s="272"/>
      <c r="E457" s="30" t="s">
        <v>908</v>
      </c>
      <c r="F457" s="2714">
        <f t="shared" si="23"/>
        <v>0</v>
      </c>
      <c r="G457" s="2714">
        <f t="shared" si="23"/>
        <v>0</v>
      </c>
      <c r="H457" s="2714">
        <f t="shared" si="23"/>
        <v>0</v>
      </c>
      <c r="I457" s="2714">
        <f t="shared" si="23"/>
        <v>0</v>
      </c>
      <c r="J457" s="2714">
        <f t="shared" si="23"/>
        <v>0</v>
      </c>
      <c r="K457" s="2714">
        <f t="shared" si="23"/>
        <v>0</v>
      </c>
      <c r="L457" s="2714">
        <f t="shared" si="23"/>
        <v>0</v>
      </c>
      <c r="M457" s="2714">
        <f t="shared" si="23"/>
        <v>0</v>
      </c>
      <c r="N457" s="383"/>
      <c r="W457" s="600"/>
      <c r="X457" s="600"/>
      <c r="Y457" s="600"/>
      <c r="Z457" s="600"/>
      <c r="AA457" s="600"/>
      <c r="AB457" s="602"/>
      <c r="AC457" s="602"/>
      <c r="AD457" s="602"/>
      <c r="AE457" s="602"/>
      <c r="AF457" s="602"/>
      <c r="AG457" s="602"/>
      <c r="AH457" s="602"/>
    </row>
    <row r="458" spans="1:34" s="248" customFormat="1" ht="15" customHeight="1">
      <c r="A458" s="663"/>
      <c r="B458" s="667"/>
      <c r="D458" s="272"/>
      <c r="E458" s="30" t="s">
        <v>909</v>
      </c>
      <c r="F458" s="2714">
        <f t="shared" si="23"/>
        <v>0</v>
      </c>
      <c r="G458" s="2714">
        <f t="shared" si="23"/>
        <v>0</v>
      </c>
      <c r="H458" s="2714">
        <f t="shared" si="23"/>
        <v>0</v>
      </c>
      <c r="I458" s="2714">
        <f t="shared" si="23"/>
        <v>0</v>
      </c>
      <c r="J458" s="2714">
        <f t="shared" si="23"/>
        <v>0</v>
      </c>
      <c r="K458" s="2714">
        <f t="shared" si="23"/>
        <v>0</v>
      </c>
      <c r="L458" s="2714">
        <f t="shared" si="23"/>
        <v>0</v>
      </c>
      <c r="M458" s="2714">
        <f t="shared" si="23"/>
        <v>0</v>
      </c>
      <c r="N458" s="383"/>
      <c r="W458" s="600"/>
      <c r="X458" s="600"/>
      <c r="Y458" s="600"/>
      <c r="Z458" s="600"/>
      <c r="AA458" s="600"/>
    </row>
    <row r="459" spans="1:34" customFormat="1" ht="15" customHeight="1">
      <c r="A459" s="663"/>
      <c r="B459" s="667"/>
      <c r="D459" s="272"/>
      <c r="E459" s="30" t="s">
        <v>894</v>
      </c>
      <c r="F459" s="2714">
        <f t="shared" si="23"/>
        <v>0</v>
      </c>
      <c r="G459" s="2714">
        <f t="shared" si="23"/>
        <v>9.881259970642974</v>
      </c>
      <c r="H459" s="2714">
        <f t="shared" si="23"/>
        <v>18.187879973285455</v>
      </c>
      <c r="I459" s="2714">
        <f t="shared" si="23"/>
        <v>34.899251359641227</v>
      </c>
      <c r="J459" s="2714">
        <f t="shared" si="23"/>
        <v>47.686967841895409</v>
      </c>
      <c r="K459" s="2714">
        <f t="shared" si="23"/>
        <v>84.415543877569718</v>
      </c>
      <c r="L459" s="2714">
        <f t="shared" si="23"/>
        <v>89.996631042257192</v>
      </c>
      <c r="M459" s="2714">
        <f t="shared" si="23"/>
        <v>92.49908007778491</v>
      </c>
      <c r="N459" s="276"/>
    </row>
    <row r="460" spans="1:34" s="248" customFormat="1" ht="15" customHeight="1">
      <c r="A460" s="663"/>
      <c r="B460" s="667"/>
      <c r="D460" s="272"/>
      <c r="E460" s="32" t="s">
        <v>603</v>
      </c>
      <c r="F460" s="2715">
        <f t="shared" si="23"/>
        <v>0</v>
      </c>
      <c r="G460" s="2715">
        <f t="shared" si="23"/>
        <v>0</v>
      </c>
      <c r="H460" s="2715">
        <f t="shared" si="23"/>
        <v>0</v>
      </c>
      <c r="I460" s="2715">
        <f t="shared" si="23"/>
        <v>0</v>
      </c>
      <c r="J460" s="2715">
        <f t="shared" si="23"/>
        <v>0</v>
      </c>
      <c r="K460" s="2715">
        <f t="shared" si="23"/>
        <v>0</v>
      </c>
      <c r="L460" s="2715">
        <f t="shared" si="23"/>
        <v>0</v>
      </c>
      <c r="M460" s="2715">
        <f t="shared" si="23"/>
        <v>0</v>
      </c>
      <c r="N460" s="276"/>
      <c r="W460" s="600"/>
      <c r="X460" s="600"/>
      <c r="Y460" s="600"/>
      <c r="Z460" s="600"/>
      <c r="AA460" s="600"/>
      <c r="AB460" s="602"/>
      <c r="AC460" s="602"/>
      <c r="AD460" s="602"/>
      <c r="AE460" s="602"/>
      <c r="AF460" s="602"/>
      <c r="AG460" s="602"/>
      <c r="AH460" s="602"/>
    </row>
    <row r="461" spans="1:34" s="248" customFormat="1" ht="15" customHeight="1">
      <c r="A461" s="663"/>
      <c r="B461" s="667"/>
      <c r="D461" s="272"/>
      <c r="E461" s="92" t="s">
        <v>338</v>
      </c>
      <c r="F461" s="2798">
        <f t="shared" ref="F461:M461" si="24">SUM(F452:F460)</f>
        <v>0</v>
      </c>
      <c r="G461" s="2798">
        <f t="shared" si="24"/>
        <v>1175.1863951350542</v>
      </c>
      <c r="H461" s="2798">
        <f t="shared" si="24"/>
        <v>671.62032743262102</v>
      </c>
      <c r="I461" s="2798">
        <f t="shared" si="24"/>
        <v>729.88615141629077</v>
      </c>
      <c r="J461" s="2798">
        <f t="shared" si="24"/>
        <v>840.3543442696357</v>
      </c>
      <c r="K461" s="2798">
        <f t="shared" si="24"/>
        <v>997.63772593967849</v>
      </c>
      <c r="L461" s="2798">
        <f t="shared" si="24"/>
        <v>1219.9808851884191</v>
      </c>
      <c r="M461" s="2798">
        <f t="shared" si="24"/>
        <v>1495.2907755538683</v>
      </c>
      <c r="N461" s="276"/>
      <c r="W461" s="600"/>
      <c r="X461" s="600"/>
      <c r="Y461" s="600"/>
      <c r="Z461" s="600"/>
      <c r="AA461" s="600"/>
      <c r="AB461" s="602"/>
      <c r="AC461" s="602"/>
      <c r="AD461" s="602"/>
      <c r="AE461" s="602"/>
      <c r="AF461" s="602"/>
      <c r="AG461" s="602"/>
      <c r="AH461" s="602"/>
    </row>
    <row r="462" spans="1:34" s="248" customFormat="1" ht="15" customHeight="1">
      <c r="A462" s="663"/>
      <c r="B462" s="667"/>
      <c r="D462" s="251"/>
      <c r="E462" s="264"/>
      <c r="F462" s="844"/>
      <c r="G462" s="844"/>
      <c r="H462" s="844"/>
      <c r="I462" s="844"/>
      <c r="J462" s="844"/>
      <c r="K462" s="844"/>
      <c r="L462" s="844"/>
      <c r="M462" s="845"/>
      <c r="N462" s="251"/>
      <c r="W462" s="600"/>
      <c r="X462" s="600"/>
      <c r="Y462" s="600"/>
      <c r="Z462" s="600"/>
      <c r="AA462" s="600"/>
      <c r="AB462" s="602"/>
      <c r="AC462" s="602"/>
      <c r="AD462" s="602"/>
      <c r="AE462" s="602"/>
      <c r="AF462" s="602"/>
      <c r="AG462" s="602"/>
      <c r="AH462" s="602"/>
    </row>
    <row r="463" spans="1:34" s="248" customFormat="1" ht="15" customHeight="1">
      <c r="A463" s="663"/>
      <c r="B463" s="667"/>
      <c r="D463" s="251"/>
      <c r="E463" s="245" t="s">
        <v>2396</v>
      </c>
      <c r="F463" s="843"/>
      <c r="G463" s="843"/>
      <c r="H463" s="843"/>
      <c r="I463" s="843"/>
      <c r="J463" s="843"/>
      <c r="K463" s="843"/>
      <c r="L463" s="843"/>
      <c r="M463" s="843"/>
      <c r="N463" s="251"/>
      <c r="W463" s="600"/>
      <c r="X463" s="600"/>
      <c r="Y463" s="600"/>
      <c r="Z463" s="600"/>
      <c r="AA463" s="600"/>
    </row>
    <row r="464" spans="1:34" s="248" customFormat="1" ht="15" customHeight="1">
      <c r="A464" s="663"/>
      <c r="B464" s="667"/>
      <c r="D464" s="251"/>
      <c r="E464" s="251"/>
      <c r="F464" s="844"/>
      <c r="G464" s="844"/>
      <c r="H464" s="844"/>
      <c r="I464" s="844"/>
      <c r="J464" s="844"/>
      <c r="K464" s="844"/>
      <c r="L464" s="844"/>
      <c r="M464" s="844"/>
      <c r="N464" s="251"/>
    </row>
    <row r="465" spans="1:34" customFormat="1" ht="15" customHeight="1">
      <c r="A465" s="663"/>
      <c r="B465" s="667"/>
      <c r="D465" s="251"/>
      <c r="E465" s="264" t="s">
        <v>820</v>
      </c>
      <c r="F465" s="844"/>
      <c r="G465" s="844"/>
      <c r="H465" s="844"/>
      <c r="I465" s="844"/>
      <c r="J465" s="844"/>
      <c r="K465" s="844"/>
      <c r="L465" s="844"/>
      <c r="M465" s="845" t="s">
        <v>2393</v>
      </c>
      <c r="N465" s="251"/>
    </row>
    <row r="466" spans="1:34" s="248" customFormat="1" ht="15" customHeight="1">
      <c r="A466" s="663"/>
      <c r="B466" s="667"/>
      <c r="D466" s="272"/>
      <c r="E466" s="268" t="s">
        <v>859</v>
      </c>
      <c r="F466" s="815">
        <v>2018</v>
      </c>
      <c r="G466" s="815">
        <v>2020</v>
      </c>
      <c r="H466" s="815">
        <v>2025</v>
      </c>
      <c r="I466" s="815">
        <v>2030</v>
      </c>
      <c r="J466" s="815">
        <v>2035</v>
      </c>
      <c r="K466" s="815">
        <v>2040</v>
      </c>
      <c r="L466" s="815">
        <v>2045</v>
      </c>
      <c r="M466" s="815">
        <v>2050</v>
      </c>
      <c r="N466" s="383"/>
    </row>
    <row r="467" spans="1:34" s="248" customFormat="1" ht="15" customHeight="1">
      <c r="A467" s="663"/>
      <c r="B467" s="667"/>
      <c r="D467" s="272"/>
      <c r="E467" s="337" t="s">
        <v>889</v>
      </c>
      <c r="F467" s="2714" cm="1">
        <f t="array" ref="F467:M467">COSTOS_OPERACION_MANTENIMIENTO_TRANSPORTE_CARGA_COMBUSTION_CONVENCIONAL_GASOLINA*(INDEX(SF_NUMERO_VEHICULOS_CARGA_INTER_URBANO,1,0))*COSTOS_2019_US_dolares_MMCOP</f>
        <v>65.693393337063455</v>
      </c>
      <c r="G467" s="2714">
        <v>53.882876336313139</v>
      </c>
      <c r="H467" s="2714">
        <v>72.135484632434753</v>
      </c>
      <c r="I467" s="2714">
        <v>91.944458225591234</v>
      </c>
      <c r="J467" s="2714">
        <v>114.47516714194927</v>
      </c>
      <c r="K467" s="2714">
        <v>141.0584906824356</v>
      </c>
      <c r="L467" s="2714">
        <v>173.53414929927229</v>
      </c>
      <c r="M467" s="2714">
        <v>213.31774127068621</v>
      </c>
      <c r="N467" s="383"/>
      <c r="W467" s="600"/>
      <c r="X467" s="600"/>
      <c r="Y467" s="600"/>
      <c r="Z467" s="600"/>
      <c r="AA467" s="600"/>
      <c r="AB467" s="600"/>
      <c r="AC467" s="600"/>
      <c r="AD467" s="600"/>
      <c r="AE467" s="600"/>
      <c r="AF467" s="600"/>
      <c r="AG467" s="600"/>
      <c r="AH467" s="600"/>
    </row>
    <row r="468" spans="1:34" s="248" customFormat="1" ht="15" customHeight="1">
      <c r="A468" s="663"/>
      <c r="B468" s="667"/>
      <c r="D468" s="272"/>
      <c r="E468" s="30" t="s">
        <v>890</v>
      </c>
      <c r="F468" s="2714" cm="1">
        <f t="array" ref="F468:M468">COSTOS_OPERACION_MANTENIMIENTO_TRANSPORTE_CARGA_COMBUSTION_CONVENCIONAL_GASOLINA*(INDEX(SF_NUMERO_VEHICULOS_CARGA_INTER_URBANO,2,0))*COSTOS_2019_US_dolares_MMCOP</f>
        <v>197.49196753387744</v>
      </c>
      <c r="G468" s="2714">
        <v>286.04748972603244</v>
      </c>
      <c r="H468" s="2714">
        <v>377.23352682853658</v>
      </c>
      <c r="I468" s="2714">
        <v>458.55042098127655</v>
      </c>
      <c r="J468" s="2714">
        <v>515.21930954711172</v>
      </c>
      <c r="K468" s="2714">
        <v>548.96586797064924</v>
      </c>
      <c r="L468" s="2714">
        <v>612.59732955563209</v>
      </c>
      <c r="M468" s="2714">
        <v>723.87284890222918</v>
      </c>
      <c r="N468" s="383"/>
      <c r="W468" s="600"/>
      <c r="X468" s="600"/>
      <c r="Y468" s="600"/>
      <c r="Z468" s="600"/>
      <c r="AA468" s="600"/>
      <c r="AB468" s="601"/>
      <c r="AC468" s="601"/>
      <c r="AD468" s="601"/>
      <c r="AE468" s="602"/>
      <c r="AF468" s="602"/>
      <c r="AG468" s="602"/>
      <c r="AH468" s="602"/>
    </row>
    <row r="469" spans="1:34" s="248" customFormat="1" ht="15" customHeight="1">
      <c r="A469" s="663"/>
      <c r="B469" s="667"/>
      <c r="D469" s="272"/>
      <c r="E469" s="30" t="s">
        <v>2379</v>
      </c>
      <c r="F469" s="2714" cm="1">
        <f t="array" ref="F469:M469">COSTOS_OPERACION_MANTENIMIENTO_TRANSPORTE_CARGA_COMBUSTION_CONVENCIONAL_GASOLINA*(INDEX(SF_NUMERO_VEHICULOS_CARGA_INTER_URBANO,3,0))*COSTOS_2019_US_dolares_MMCOP</f>
        <v>2.2090408071890915</v>
      </c>
      <c r="G469" s="2714">
        <v>3.4632798211656701</v>
      </c>
      <c r="H469" s="2714">
        <v>4.6364519733174188</v>
      </c>
      <c r="I469" s="2714">
        <v>5.9096582901997321</v>
      </c>
      <c r="J469" s="2714">
        <v>7.3578020206782329</v>
      </c>
      <c r="K469" s="2714">
        <v>9.0664243930744757</v>
      </c>
      <c r="L469" s="2714">
        <v>11.15377200356121</v>
      </c>
      <c r="M469" s="2714">
        <v>13.710831326603167</v>
      </c>
      <c r="N469" s="383"/>
      <c r="W469" s="600"/>
      <c r="X469" s="600"/>
      <c r="Y469" s="600"/>
      <c r="Z469" s="600"/>
      <c r="AA469" s="600"/>
      <c r="AB469" s="601"/>
      <c r="AC469" s="601"/>
      <c r="AD469" s="601"/>
      <c r="AE469" s="602"/>
      <c r="AF469" s="602"/>
      <c r="AG469" s="602"/>
      <c r="AH469" s="602"/>
    </row>
    <row r="470" spans="1:34" s="248" customFormat="1" ht="15" customHeight="1">
      <c r="A470" s="663"/>
      <c r="B470" s="667"/>
      <c r="D470" s="272"/>
      <c r="E470" s="30" t="s">
        <v>2270</v>
      </c>
      <c r="F470" s="2714" cm="1">
        <f t="array" ref="F470:M470">COSTOS_OPERACION_MANTENIMIENTO_TRANSPORTE_CARGA_COMBUSTION_CONVENCIONAL_GASOLINA*(INDEX(SF_NUMERO_VEHICULOS_CARGA_INTER_URBANO,4,0))*COSTOS_2019_US_dolares_MMCOP</f>
        <v>0</v>
      </c>
      <c r="G470" s="2714">
        <v>0</v>
      </c>
      <c r="H470" s="2714">
        <v>5.7415852428712943</v>
      </c>
      <c r="I470" s="2714">
        <v>23.774759490968773</v>
      </c>
      <c r="J470" s="2714">
        <v>76.621357447183044</v>
      </c>
      <c r="K470" s="2714">
        <v>166.66421605897045</v>
      </c>
      <c r="L470" s="2714">
        <v>259.15065958599729</v>
      </c>
      <c r="M470" s="2714">
        <v>343.28571173267818</v>
      </c>
      <c r="N470" s="383"/>
      <c r="W470" s="600"/>
      <c r="X470" s="600"/>
      <c r="Y470" s="600"/>
      <c r="Z470" s="600"/>
      <c r="AA470" s="600"/>
      <c r="AB470" s="602"/>
      <c r="AC470" s="602"/>
      <c r="AD470" s="602"/>
      <c r="AE470" s="602"/>
      <c r="AF470" s="602"/>
      <c r="AG470" s="602"/>
      <c r="AH470" s="602"/>
    </row>
    <row r="471" spans="1:34" s="248" customFormat="1" ht="15" customHeight="1">
      <c r="A471" s="663"/>
      <c r="B471" s="667"/>
      <c r="D471" s="272"/>
      <c r="E471" s="30" t="s">
        <v>498</v>
      </c>
      <c r="F471" s="2714" cm="1">
        <f t="array" ref="F471:M471">COSTOS_OPERACION_MANTENIMIENTO_TRANSPORTE_CARGA_COMBUSTION_CONVENCIONAL_GASOLINA*(INDEX(SF_NUMERO_VEHICULOS_CARGA_INTER_URBANO,5,0))*COSTOS_2019_US_dolares_MMCOP</f>
        <v>0</v>
      </c>
      <c r="G471" s="2714">
        <v>0</v>
      </c>
      <c r="H471" s="2714">
        <v>3.9469045341209881E-2</v>
      </c>
      <c r="I471" s="2714">
        <v>0.47348288754729956</v>
      </c>
      <c r="J471" s="2714">
        <v>3.0912347998743299</v>
      </c>
      <c r="K471" s="2714">
        <v>6.3424110551452397</v>
      </c>
      <c r="L471" s="2714">
        <v>8.3220432074642989</v>
      </c>
      <c r="M471" s="2714">
        <v>10.298571351980344</v>
      </c>
      <c r="N471" s="383"/>
      <c r="W471" s="600"/>
      <c r="X471" s="600"/>
      <c r="Y471" s="600"/>
      <c r="Z471" s="600"/>
      <c r="AA471" s="600"/>
    </row>
    <row r="472" spans="1:34" ht="15" customHeight="1">
      <c r="D472" s="272"/>
      <c r="E472" s="30" t="s">
        <v>908</v>
      </c>
      <c r="F472" s="2714" cm="1">
        <f t="array" ref="F472:M472">COSTOS_OPERACION_MANTENIMIENTO_TRANSPORTE_CARGA_COMBUSTION_CONVENCIONAL_GASOLINA*(INDEX(SF_NUMERO_VEHICULOS_CARGA_INTER_URBANO,6,0))*COSTOS_2019_US_dolares_MMCOP</f>
        <v>0</v>
      </c>
      <c r="G472" s="2714">
        <v>0</v>
      </c>
      <c r="H472" s="2714">
        <v>0</v>
      </c>
      <c r="I472" s="2714">
        <v>0</v>
      </c>
      <c r="J472" s="2714">
        <v>0</v>
      </c>
      <c r="K472" s="2714">
        <v>0</v>
      </c>
      <c r="L472" s="2714">
        <v>0</v>
      </c>
      <c r="M472" s="2714">
        <v>0</v>
      </c>
      <c r="N472" s="383"/>
    </row>
    <row r="473" spans="1:34" s="604" customFormat="1" ht="15" customHeight="1">
      <c r="A473" s="663"/>
      <c r="B473" s="667"/>
      <c r="C473" s="295"/>
      <c r="D473" s="272"/>
      <c r="E473" s="30" t="s">
        <v>909</v>
      </c>
      <c r="F473" s="2714" cm="1">
        <f t="array" ref="F473:M473">COSTOS_OPERACION_MANTENIMIENTO_TRANSPORTE_CARGA_COMBUSTION_CONVENCIONAL_GASOLINA*(INDEX(SF_NUMERO_VEHICULOS_CARGA_INTER_URBANO,7,0))*COSTOS_2019_US_dolares_MMCOP</f>
        <v>0</v>
      </c>
      <c r="G473" s="2714">
        <v>0</v>
      </c>
      <c r="H473" s="2714">
        <v>0</v>
      </c>
      <c r="I473" s="2714">
        <v>0</v>
      </c>
      <c r="J473" s="2714">
        <v>0</v>
      </c>
      <c r="K473" s="2714">
        <v>0</v>
      </c>
      <c r="L473" s="2714">
        <v>0</v>
      </c>
      <c r="M473" s="2714">
        <v>0</v>
      </c>
      <c r="N473" s="383"/>
      <c r="O473" s="3"/>
      <c r="P473" s="295"/>
      <c r="Q473" s="295"/>
      <c r="R473" s="295"/>
      <c r="S473" s="295"/>
    </row>
    <row r="474" spans="1:34" s="604" customFormat="1" ht="15" customHeight="1">
      <c r="A474" s="663"/>
      <c r="B474" s="667"/>
      <c r="C474" s="295"/>
      <c r="D474" s="272"/>
      <c r="E474" s="30" t="s">
        <v>894</v>
      </c>
      <c r="F474" s="2714" cm="1">
        <f t="array" ref="F474:M474">COSTOS_OPERACION_MANTENIMIENTO_TRANSPORTE_CARGA_COMBUSTION_CONVENCIONAL_GASOLINA*(INDEX(SF_NUMERO_VEHICULOS_CARGA_INTER_URBANO,8,0))*COSTOS_2019_US_dolares_MMCOP</f>
        <v>0.27496779740718097</v>
      </c>
      <c r="G474" s="2714">
        <v>1.0544186936748761</v>
      </c>
      <c r="H474" s="2714">
        <v>4.5575138826349999</v>
      </c>
      <c r="I474" s="2714">
        <v>11.200829558540805</v>
      </c>
      <c r="J474" s="2714">
        <v>20.124343834223591</v>
      </c>
      <c r="K474" s="2714">
        <v>35.911575838367106</v>
      </c>
      <c r="L474" s="2714">
        <v>52.294825873482033</v>
      </c>
      <c r="M474" s="2714">
        <v>68.657142346535636</v>
      </c>
      <c r="N474" s="276"/>
      <c r="O474" s="3"/>
      <c r="P474" s="295"/>
      <c r="Q474" s="295"/>
      <c r="R474" s="295"/>
      <c r="S474" s="295"/>
    </row>
    <row r="475" spans="1:34" s="248" customFormat="1" ht="15" customHeight="1">
      <c r="A475" s="663"/>
      <c r="B475" s="667"/>
      <c r="D475" s="272"/>
      <c r="E475" s="32" t="s">
        <v>603</v>
      </c>
      <c r="F475" s="2715" cm="1">
        <f t="array" ref="F475:M475">COSTOS_OPERACION_MANTENIMIENTO_TRANSPORTE_CARGA_COMBUSTION_CONVENCIONAL_GASOLINA*(INDEX(SF_NUMERO_VEHICULOS_CARGA_INTER_URBANO,9,0))*COSTOS_2019_US_dolares_MMCOP</f>
        <v>0</v>
      </c>
      <c r="G475" s="2715">
        <v>0</v>
      </c>
      <c r="H475" s="2715">
        <v>0</v>
      </c>
      <c r="I475" s="2715">
        <v>0</v>
      </c>
      <c r="J475" s="2715">
        <v>0</v>
      </c>
      <c r="K475" s="2715">
        <v>0</v>
      </c>
      <c r="L475" s="2715">
        <v>0</v>
      </c>
      <c r="M475" s="2715">
        <v>0</v>
      </c>
      <c r="N475" s="276"/>
      <c r="W475" s="600"/>
      <c r="X475" s="600"/>
      <c r="Y475" s="600"/>
      <c r="Z475" s="600"/>
      <c r="AA475" s="600"/>
      <c r="AB475" s="602"/>
      <c r="AC475" s="602"/>
      <c r="AD475" s="602"/>
      <c r="AE475" s="602"/>
      <c r="AF475" s="602"/>
      <c r="AG475" s="602"/>
      <c r="AH475" s="602"/>
    </row>
    <row r="476" spans="1:34" s="248" customFormat="1" ht="15" customHeight="1">
      <c r="A476" s="663"/>
      <c r="B476" s="667"/>
      <c r="D476" s="272"/>
      <c r="E476" s="92" t="s">
        <v>338</v>
      </c>
      <c r="F476" s="2798">
        <f t="shared" ref="F476:M476" si="25">SUM(F467:F475)</f>
        <v>265.66936947553711</v>
      </c>
      <c r="G476" s="2798">
        <f t="shared" si="25"/>
        <v>344.44806457718613</v>
      </c>
      <c r="H476" s="2798">
        <f t="shared" si="25"/>
        <v>464.34403160513631</v>
      </c>
      <c r="I476" s="2798">
        <f t="shared" si="25"/>
        <v>591.85360943412456</v>
      </c>
      <c r="J476" s="2798">
        <f t="shared" si="25"/>
        <v>736.88921479102032</v>
      </c>
      <c r="K476" s="2798">
        <f t="shared" si="25"/>
        <v>908.00898599864217</v>
      </c>
      <c r="L476" s="2798">
        <f t="shared" si="25"/>
        <v>1117.0527795254093</v>
      </c>
      <c r="M476" s="2798">
        <f t="shared" si="25"/>
        <v>1373.1428469307127</v>
      </c>
      <c r="N476" s="276"/>
      <c r="W476" s="600"/>
      <c r="X476" s="600"/>
      <c r="Y476" s="600"/>
      <c r="Z476" s="600"/>
      <c r="AA476" s="600"/>
      <c r="AB476" s="602"/>
      <c r="AC476" s="602"/>
      <c r="AD476" s="602"/>
      <c r="AE476" s="602"/>
      <c r="AF476" s="602"/>
      <c r="AG476" s="602"/>
      <c r="AH476" s="602"/>
    </row>
    <row r="477" spans="1:34" s="248" customFormat="1" ht="15" customHeight="1">
      <c r="A477" s="663"/>
      <c r="B477" s="667"/>
      <c r="D477" s="272"/>
      <c r="E477" s="30"/>
      <c r="F477" s="917"/>
      <c r="G477" s="276"/>
      <c r="H477" s="276"/>
      <c r="I477" s="276"/>
      <c r="J477" s="276"/>
      <c r="K477" s="276"/>
      <c r="L477" s="276"/>
      <c r="M477" s="276"/>
      <c r="N477" s="276"/>
      <c r="W477" s="600"/>
      <c r="X477" s="600"/>
      <c r="Y477" s="600"/>
      <c r="Z477" s="600"/>
      <c r="AA477" s="600"/>
      <c r="AB477" s="602"/>
      <c r="AC477" s="602"/>
      <c r="AD477" s="602"/>
      <c r="AE477" s="602"/>
      <c r="AF477" s="602"/>
      <c r="AG477" s="602"/>
      <c r="AH477" s="602"/>
    </row>
    <row r="478" spans="1:34" s="248" customFormat="1" ht="15" customHeight="1">
      <c r="A478" s="663"/>
      <c r="B478" s="667"/>
      <c r="D478" s="251"/>
      <c r="E478" s="264" t="s">
        <v>821</v>
      </c>
      <c r="F478" s="844"/>
      <c r="G478" s="844"/>
      <c r="H478" s="844"/>
      <c r="I478" s="844"/>
      <c r="J478" s="844"/>
      <c r="K478" s="844"/>
      <c r="L478" s="844"/>
      <c r="M478" s="845" t="s">
        <v>2393</v>
      </c>
      <c r="N478" s="251"/>
      <c r="W478" s="600"/>
      <c r="X478" s="600"/>
      <c r="Y478" s="600"/>
      <c r="Z478" s="600"/>
      <c r="AA478" s="600"/>
    </row>
    <row r="479" spans="1:34" s="248" customFormat="1" ht="15" customHeight="1">
      <c r="A479" s="663"/>
      <c r="B479" s="667"/>
      <c r="D479" s="272"/>
      <c r="E479" s="268" t="s">
        <v>859</v>
      </c>
      <c r="F479" s="815">
        <v>2018</v>
      </c>
      <c r="G479" s="815">
        <v>2020</v>
      </c>
      <c r="H479" s="815">
        <v>2025</v>
      </c>
      <c r="I479" s="815">
        <v>2030</v>
      </c>
      <c r="J479" s="815">
        <v>2035</v>
      </c>
      <c r="K479" s="815">
        <v>2040</v>
      </c>
      <c r="L479" s="815">
        <v>2045</v>
      </c>
      <c r="M479" s="815">
        <v>2050</v>
      </c>
      <c r="N479" s="383"/>
    </row>
    <row r="480" spans="1:34" customFormat="1" ht="15" customHeight="1">
      <c r="A480" s="663"/>
      <c r="B480" s="667"/>
      <c r="D480" s="272"/>
      <c r="E480" s="337" t="s">
        <v>889</v>
      </c>
      <c r="F480" s="2714">
        <f t="shared" ref="F480:M488" si="26">F467*COSTOS_MEDIO</f>
        <v>52.554714669650764</v>
      </c>
      <c r="G480" s="2714">
        <f t="shared" si="26"/>
        <v>43.106301069050517</v>
      </c>
      <c r="H480" s="2714">
        <f t="shared" si="26"/>
        <v>57.708387705947807</v>
      </c>
      <c r="I480" s="2714">
        <f t="shared" si="26"/>
        <v>73.555566580472984</v>
      </c>
      <c r="J480" s="2714">
        <f t="shared" si="26"/>
        <v>91.58013371355942</v>
      </c>
      <c r="K480" s="2714">
        <f t="shared" si="26"/>
        <v>112.84679254594849</v>
      </c>
      <c r="L480" s="2714">
        <f t="shared" si="26"/>
        <v>138.82731943941783</v>
      </c>
      <c r="M480" s="2714">
        <f t="shared" si="26"/>
        <v>170.65419301654899</v>
      </c>
      <c r="N480" s="383"/>
    </row>
    <row r="481" spans="1:34" s="248" customFormat="1" ht="15" customHeight="1">
      <c r="A481" s="663"/>
      <c r="B481" s="667"/>
      <c r="D481" s="272"/>
      <c r="E481" s="30" t="s">
        <v>890</v>
      </c>
      <c r="F481" s="2714">
        <f t="shared" si="26"/>
        <v>157.99357402710197</v>
      </c>
      <c r="G481" s="2714">
        <f t="shared" si="26"/>
        <v>228.83799178082597</v>
      </c>
      <c r="H481" s="2714">
        <f t="shared" si="26"/>
        <v>301.78682146282927</v>
      </c>
      <c r="I481" s="2714">
        <f t="shared" si="26"/>
        <v>366.84033678502124</v>
      </c>
      <c r="J481" s="2714">
        <f t="shared" si="26"/>
        <v>412.17544763768939</v>
      </c>
      <c r="K481" s="2714">
        <f t="shared" si="26"/>
        <v>439.17269437651942</v>
      </c>
      <c r="L481" s="2714">
        <f t="shared" si="26"/>
        <v>490.07786364450567</v>
      </c>
      <c r="M481" s="2714">
        <f t="shared" si="26"/>
        <v>579.09827912178332</v>
      </c>
      <c r="N481" s="383"/>
    </row>
    <row r="482" spans="1:34" s="248" customFormat="1" ht="15" customHeight="1">
      <c r="A482" s="663"/>
      <c r="B482" s="667"/>
      <c r="D482" s="272"/>
      <c r="E482" s="30" t="s">
        <v>2379</v>
      </c>
      <c r="F482" s="2714">
        <f t="shared" si="26"/>
        <v>1.7672326457512733</v>
      </c>
      <c r="G482" s="2714">
        <f t="shared" si="26"/>
        <v>2.7706238569325361</v>
      </c>
      <c r="H482" s="2714">
        <f t="shared" si="26"/>
        <v>3.7091615786539354</v>
      </c>
      <c r="I482" s="2714">
        <f t="shared" si="26"/>
        <v>4.7277266321597855</v>
      </c>
      <c r="J482" s="2714">
        <f t="shared" si="26"/>
        <v>5.8862416165425868</v>
      </c>
      <c r="K482" s="2714">
        <f t="shared" si="26"/>
        <v>7.2531395144595807</v>
      </c>
      <c r="L482" s="2714">
        <f t="shared" si="26"/>
        <v>8.9230176028489687</v>
      </c>
      <c r="M482" s="2714">
        <f t="shared" si="26"/>
        <v>10.968665061282534</v>
      </c>
      <c r="N482" s="383"/>
      <c r="W482" s="600"/>
      <c r="X482" s="600"/>
      <c r="Y482" s="600"/>
      <c r="Z482" s="600"/>
      <c r="AA482" s="600"/>
      <c r="AB482" s="600"/>
      <c r="AC482" s="600"/>
      <c r="AD482" s="600"/>
      <c r="AE482" s="600"/>
      <c r="AF482" s="600"/>
      <c r="AG482" s="600"/>
      <c r="AH482" s="600"/>
    </row>
    <row r="483" spans="1:34" s="248" customFormat="1" ht="15" customHeight="1">
      <c r="A483" s="663"/>
      <c r="B483" s="667"/>
      <c r="D483" s="272"/>
      <c r="E483" s="30" t="s">
        <v>2270</v>
      </c>
      <c r="F483" s="2714">
        <f t="shared" si="26"/>
        <v>0</v>
      </c>
      <c r="G483" s="2714">
        <f t="shared" si="26"/>
        <v>0</v>
      </c>
      <c r="H483" s="2714">
        <f t="shared" si="26"/>
        <v>4.5932681942970355</v>
      </c>
      <c r="I483" s="2714">
        <f t="shared" si="26"/>
        <v>19.01980759277502</v>
      </c>
      <c r="J483" s="2714">
        <f t="shared" si="26"/>
        <v>61.29708595774644</v>
      </c>
      <c r="K483" s="2714">
        <f t="shared" si="26"/>
        <v>133.33137284717637</v>
      </c>
      <c r="L483" s="2714">
        <f t="shared" si="26"/>
        <v>207.32052766879784</v>
      </c>
      <c r="M483" s="2714">
        <f t="shared" si="26"/>
        <v>274.62856938614254</v>
      </c>
      <c r="N483" s="383"/>
      <c r="W483" s="600"/>
      <c r="X483" s="600"/>
      <c r="Y483" s="600"/>
      <c r="Z483" s="600"/>
      <c r="AA483" s="600"/>
      <c r="AB483" s="601"/>
      <c r="AC483" s="601"/>
      <c r="AD483" s="601"/>
      <c r="AE483" s="602"/>
      <c r="AF483" s="602"/>
      <c r="AG483" s="602"/>
      <c r="AH483" s="602"/>
    </row>
    <row r="484" spans="1:34" s="248" customFormat="1" ht="15" customHeight="1">
      <c r="A484" s="663"/>
      <c r="B484" s="667"/>
      <c r="D484" s="272"/>
      <c r="E484" s="30" t="s">
        <v>498</v>
      </c>
      <c r="F484" s="2714">
        <f t="shared" si="26"/>
        <v>0</v>
      </c>
      <c r="G484" s="2714">
        <f t="shared" si="26"/>
        <v>0</v>
      </c>
      <c r="H484" s="2714">
        <f t="shared" si="26"/>
        <v>3.1575236272967905E-2</v>
      </c>
      <c r="I484" s="2714">
        <f t="shared" si="26"/>
        <v>0.37878631003783969</v>
      </c>
      <c r="J484" s="2714">
        <f t="shared" si="26"/>
        <v>2.472987839899464</v>
      </c>
      <c r="K484" s="2714">
        <f t="shared" si="26"/>
        <v>5.0739288441161925</v>
      </c>
      <c r="L484" s="2714">
        <f t="shared" si="26"/>
        <v>6.6576345659714393</v>
      </c>
      <c r="M484" s="2714">
        <f t="shared" si="26"/>
        <v>8.2388570815842765</v>
      </c>
      <c r="N484" s="383"/>
      <c r="W484" s="600"/>
      <c r="X484" s="600"/>
      <c r="Y484" s="600"/>
      <c r="Z484" s="600"/>
      <c r="AA484" s="600"/>
      <c r="AB484" s="601"/>
      <c r="AC484" s="601"/>
      <c r="AD484" s="601"/>
      <c r="AE484" s="602"/>
      <c r="AF484" s="602"/>
      <c r="AG484" s="602"/>
      <c r="AH484" s="602"/>
    </row>
    <row r="485" spans="1:34" s="248" customFormat="1" ht="15" customHeight="1">
      <c r="A485" s="663"/>
      <c r="B485" s="667"/>
      <c r="D485" s="272"/>
      <c r="E485" s="30" t="s">
        <v>908</v>
      </c>
      <c r="F485" s="2714">
        <f t="shared" si="26"/>
        <v>0</v>
      </c>
      <c r="G485" s="2714">
        <f t="shared" si="26"/>
        <v>0</v>
      </c>
      <c r="H485" s="2714">
        <f t="shared" si="26"/>
        <v>0</v>
      </c>
      <c r="I485" s="2714">
        <f t="shared" si="26"/>
        <v>0</v>
      </c>
      <c r="J485" s="2714">
        <f t="shared" si="26"/>
        <v>0</v>
      </c>
      <c r="K485" s="2714">
        <f t="shared" si="26"/>
        <v>0</v>
      </c>
      <c r="L485" s="2714">
        <f t="shared" si="26"/>
        <v>0</v>
      </c>
      <c r="M485" s="2714">
        <f t="shared" si="26"/>
        <v>0</v>
      </c>
      <c r="N485" s="383"/>
      <c r="W485" s="600"/>
      <c r="X485" s="600"/>
      <c r="Y485" s="600"/>
      <c r="Z485" s="600"/>
      <c r="AA485" s="600"/>
      <c r="AB485" s="602"/>
      <c r="AC485" s="602"/>
      <c r="AD485" s="602"/>
      <c r="AE485" s="602"/>
      <c r="AF485" s="602"/>
      <c r="AG485" s="602"/>
      <c r="AH485" s="602"/>
    </row>
    <row r="486" spans="1:34" s="248" customFormat="1" ht="15" customHeight="1">
      <c r="A486" s="663"/>
      <c r="B486" s="667"/>
      <c r="D486" s="272"/>
      <c r="E486" s="30" t="s">
        <v>909</v>
      </c>
      <c r="F486" s="2714">
        <f t="shared" si="26"/>
        <v>0</v>
      </c>
      <c r="G486" s="2714">
        <f t="shared" si="26"/>
        <v>0</v>
      </c>
      <c r="H486" s="2714">
        <f t="shared" si="26"/>
        <v>0</v>
      </c>
      <c r="I486" s="2714">
        <f t="shared" si="26"/>
        <v>0</v>
      </c>
      <c r="J486" s="2714">
        <f t="shared" si="26"/>
        <v>0</v>
      </c>
      <c r="K486" s="2714">
        <f t="shared" si="26"/>
        <v>0</v>
      </c>
      <c r="L486" s="2714">
        <f t="shared" si="26"/>
        <v>0</v>
      </c>
      <c r="M486" s="2714">
        <f t="shared" si="26"/>
        <v>0</v>
      </c>
      <c r="N486" s="383"/>
      <c r="W486" s="600"/>
      <c r="X486" s="600"/>
      <c r="Y486" s="600"/>
      <c r="Z486" s="600"/>
      <c r="AA486" s="600"/>
    </row>
    <row r="487" spans="1:34" s="248" customFormat="1" ht="15" customHeight="1">
      <c r="A487" s="663"/>
      <c r="B487" s="667"/>
      <c r="D487" s="272"/>
      <c r="E487" s="30" t="s">
        <v>894</v>
      </c>
      <c r="F487" s="2714">
        <f t="shared" si="26"/>
        <v>0.21997423792574478</v>
      </c>
      <c r="G487" s="2714">
        <f t="shared" si="26"/>
        <v>0.84353495493990094</v>
      </c>
      <c r="H487" s="2714">
        <f t="shared" si="26"/>
        <v>3.6460111061080003</v>
      </c>
      <c r="I487" s="2714">
        <f t="shared" si="26"/>
        <v>8.9606636468326446</v>
      </c>
      <c r="J487" s="2714">
        <f t="shared" si="26"/>
        <v>16.099475067378872</v>
      </c>
      <c r="K487" s="2714">
        <f t="shared" si="26"/>
        <v>28.729260670693687</v>
      </c>
      <c r="L487" s="2714">
        <f t="shared" si="26"/>
        <v>41.835860698785631</v>
      </c>
      <c r="M487" s="2714">
        <f t="shared" si="26"/>
        <v>54.92571387722851</v>
      </c>
      <c r="N487" s="276"/>
    </row>
    <row r="488" spans="1:34" s="248" customFormat="1" ht="15" customHeight="1">
      <c r="A488" s="663"/>
      <c r="B488" s="667"/>
      <c r="D488" s="272"/>
      <c r="E488" s="32" t="s">
        <v>603</v>
      </c>
      <c r="F488" s="2715">
        <f t="shared" si="26"/>
        <v>0</v>
      </c>
      <c r="G488" s="2715">
        <f t="shared" si="26"/>
        <v>0</v>
      </c>
      <c r="H488" s="2715">
        <f t="shared" si="26"/>
        <v>0</v>
      </c>
      <c r="I488" s="2715">
        <f t="shared" si="26"/>
        <v>0</v>
      </c>
      <c r="J488" s="2715">
        <f t="shared" si="26"/>
        <v>0</v>
      </c>
      <c r="K488" s="2715">
        <f t="shared" si="26"/>
        <v>0</v>
      </c>
      <c r="L488" s="2715">
        <f t="shared" si="26"/>
        <v>0</v>
      </c>
      <c r="M488" s="2715">
        <f t="shared" si="26"/>
        <v>0</v>
      </c>
      <c r="N488" s="276"/>
      <c r="W488" s="600"/>
      <c r="X488" s="600"/>
      <c r="Y488" s="600"/>
      <c r="Z488" s="600"/>
      <c r="AA488" s="600"/>
      <c r="AB488" s="602"/>
      <c r="AC488" s="602"/>
      <c r="AD488" s="602"/>
      <c r="AE488" s="602"/>
      <c r="AF488" s="602"/>
      <c r="AG488" s="602"/>
      <c r="AH488" s="602"/>
    </row>
    <row r="489" spans="1:34" s="248" customFormat="1" ht="15" customHeight="1">
      <c r="A489" s="663"/>
      <c r="B489" s="667"/>
      <c r="D489" s="272"/>
      <c r="E489" s="92" t="s">
        <v>338</v>
      </c>
      <c r="F489" s="2798">
        <f t="shared" ref="F489:M489" si="27">SUM(F480:F488)</f>
        <v>212.53549558042977</v>
      </c>
      <c r="G489" s="2798">
        <f t="shared" si="27"/>
        <v>275.55845166174896</v>
      </c>
      <c r="H489" s="2798">
        <f t="shared" si="27"/>
        <v>371.475225284109</v>
      </c>
      <c r="I489" s="2798">
        <f t="shared" si="27"/>
        <v>473.48288754729953</v>
      </c>
      <c r="J489" s="2798">
        <f t="shared" si="27"/>
        <v>589.51137183281617</v>
      </c>
      <c r="K489" s="2798">
        <f t="shared" si="27"/>
        <v>726.40718879891358</v>
      </c>
      <c r="L489" s="2798">
        <f t="shared" si="27"/>
        <v>893.64222362032729</v>
      </c>
      <c r="M489" s="2798">
        <f t="shared" si="27"/>
        <v>1098.5142775445699</v>
      </c>
      <c r="N489" s="276"/>
      <c r="W489" s="600"/>
      <c r="X489" s="600"/>
      <c r="Y489" s="600"/>
      <c r="Z489" s="600"/>
      <c r="AA489" s="600"/>
      <c r="AB489" s="602"/>
      <c r="AC489" s="602"/>
      <c r="AD489" s="602"/>
      <c r="AE489" s="602"/>
      <c r="AF489" s="602"/>
      <c r="AG489" s="602"/>
      <c r="AH489" s="602"/>
    </row>
    <row r="490" spans="1:34" s="248" customFormat="1" ht="15" customHeight="1">
      <c r="A490" s="663"/>
      <c r="B490" s="667"/>
      <c r="D490" s="272"/>
      <c r="E490" s="30"/>
      <c r="F490" s="917"/>
      <c r="G490" s="276"/>
      <c r="H490" s="276"/>
      <c r="I490" s="276"/>
      <c r="J490" s="276"/>
      <c r="K490" s="276"/>
      <c r="L490" s="276"/>
      <c r="M490" s="276"/>
      <c r="N490" s="276"/>
      <c r="W490" s="600"/>
      <c r="X490" s="600"/>
      <c r="Y490" s="600"/>
      <c r="Z490" s="600"/>
      <c r="AA490" s="600"/>
      <c r="AB490" s="602"/>
      <c r="AC490" s="602"/>
      <c r="AD490" s="602"/>
      <c r="AE490" s="602"/>
      <c r="AF490" s="602"/>
      <c r="AG490" s="602"/>
      <c r="AH490" s="602"/>
    </row>
    <row r="491" spans="1:34" s="248" customFormat="1" ht="15" customHeight="1">
      <c r="A491" s="663"/>
      <c r="B491" s="667"/>
      <c r="D491" s="251"/>
      <c r="E491" s="264" t="s">
        <v>822</v>
      </c>
      <c r="F491" s="844"/>
      <c r="G491" s="844"/>
      <c r="H491" s="844"/>
      <c r="I491" s="844"/>
      <c r="J491" s="844"/>
      <c r="K491" s="844"/>
      <c r="L491" s="844"/>
      <c r="M491" s="845" t="s">
        <v>2393</v>
      </c>
      <c r="N491" s="251"/>
      <c r="W491" s="600"/>
      <c r="X491" s="600"/>
      <c r="Y491" s="600"/>
      <c r="Z491" s="600"/>
      <c r="AA491" s="600"/>
    </row>
    <row r="492" spans="1:34" s="248" customFormat="1" ht="15" customHeight="1">
      <c r="A492" s="663"/>
      <c r="B492" s="667"/>
      <c r="D492" s="272"/>
      <c r="E492" s="268" t="s">
        <v>859</v>
      </c>
      <c r="F492" s="815">
        <v>2018</v>
      </c>
      <c r="G492" s="815">
        <v>2020</v>
      </c>
      <c r="H492" s="815">
        <v>2025</v>
      </c>
      <c r="I492" s="815">
        <v>2030</v>
      </c>
      <c r="J492" s="815">
        <v>2035</v>
      </c>
      <c r="K492" s="815">
        <v>2040</v>
      </c>
      <c r="L492" s="815">
        <v>2045</v>
      </c>
      <c r="M492" s="815">
        <v>2050</v>
      </c>
      <c r="N492" s="383"/>
    </row>
    <row r="493" spans="1:34" customFormat="1" ht="15" customHeight="1">
      <c r="A493" s="663"/>
      <c r="B493" s="667"/>
      <c r="D493" s="272"/>
      <c r="E493" s="337" t="s">
        <v>889</v>
      </c>
      <c r="F493" s="2709">
        <f t="shared" ref="F493:M501" si="28">F467*COSTOS_BAJO</f>
        <v>45.985375335944418</v>
      </c>
      <c r="G493" s="2709">
        <f t="shared" si="28"/>
        <v>37.718013435419195</v>
      </c>
      <c r="H493" s="2709">
        <f t="shared" si="28"/>
        <v>50.494839242704323</v>
      </c>
      <c r="I493" s="2709">
        <f t="shared" si="28"/>
        <v>64.361120757913866</v>
      </c>
      <c r="J493" s="2709">
        <f t="shared" si="28"/>
        <v>80.132616999364487</v>
      </c>
      <c r="K493" s="2709">
        <f t="shared" si="28"/>
        <v>98.740943477704917</v>
      </c>
      <c r="L493" s="2709">
        <f t="shared" si="28"/>
        <v>121.47390450949059</v>
      </c>
      <c r="M493" s="2709">
        <f t="shared" si="28"/>
        <v>149.32241888948033</v>
      </c>
      <c r="N493" s="383"/>
    </row>
    <row r="494" spans="1:34" s="248" customFormat="1" ht="15" customHeight="1">
      <c r="A494" s="663"/>
      <c r="B494" s="667"/>
      <c r="D494" s="272"/>
      <c r="E494" s="30" t="s">
        <v>890</v>
      </c>
      <c r="F494" s="2714">
        <f t="shared" si="28"/>
        <v>138.24437727371421</v>
      </c>
      <c r="G494" s="2714">
        <f t="shared" si="28"/>
        <v>200.23324280822268</v>
      </c>
      <c r="H494" s="2714">
        <f t="shared" si="28"/>
        <v>264.06346877997561</v>
      </c>
      <c r="I494" s="2714">
        <f t="shared" si="28"/>
        <v>320.98529468689355</v>
      </c>
      <c r="J494" s="2714">
        <f t="shared" si="28"/>
        <v>360.65351668297819</v>
      </c>
      <c r="K494" s="2714">
        <f t="shared" si="28"/>
        <v>384.27610757945445</v>
      </c>
      <c r="L494" s="2714">
        <f t="shared" si="28"/>
        <v>428.81813068894246</v>
      </c>
      <c r="M494" s="2714">
        <f t="shared" si="28"/>
        <v>506.71099423156039</v>
      </c>
      <c r="N494" s="383"/>
    </row>
    <row r="495" spans="1:34" s="248" customFormat="1" ht="15" customHeight="1">
      <c r="A495" s="663"/>
      <c r="B495" s="667"/>
      <c r="D495" s="272"/>
      <c r="E495" s="30" t="s">
        <v>2379</v>
      </c>
      <c r="F495" s="2714">
        <f t="shared" si="28"/>
        <v>1.5463285650323639</v>
      </c>
      <c r="G495" s="2714">
        <f t="shared" si="28"/>
        <v>2.4242958748159689</v>
      </c>
      <c r="H495" s="2714">
        <f t="shared" si="28"/>
        <v>3.2455163813221928</v>
      </c>
      <c r="I495" s="2714">
        <f t="shared" si="28"/>
        <v>4.1367608031398122</v>
      </c>
      <c r="J495" s="2714">
        <f t="shared" si="28"/>
        <v>5.1504614144747629</v>
      </c>
      <c r="K495" s="2714">
        <f t="shared" si="28"/>
        <v>6.3464970751521328</v>
      </c>
      <c r="L495" s="2714">
        <f t="shared" si="28"/>
        <v>7.8076404024928463</v>
      </c>
      <c r="M495" s="2714">
        <f t="shared" si="28"/>
        <v>9.5975819286222155</v>
      </c>
      <c r="N495" s="383"/>
      <c r="W495" s="600"/>
      <c r="X495" s="600"/>
      <c r="Y495" s="600"/>
      <c r="Z495" s="600"/>
      <c r="AA495" s="600"/>
      <c r="AB495" s="600"/>
      <c r="AC495" s="600"/>
      <c r="AD495" s="600"/>
      <c r="AE495" s="600"/>
      <c r="AF495" s="600"/>
      <c r="AG495" s="600"/>
      <c r="AH495" s="600"/>
    </row>
    <row r="496" spans="1:34" s="248" customFormat="1" ht="15" customHeight="1">
      <c r="A496" s="663"/>
      <c r="B496" s="667"/>
      <c r="D496" s="272"/>
      <c r="E496" s="30" t="s">
        <v>2270</v>
      </c>
      <c r="F496" s="2714">
        <f t="shared" si="28"/>
        <v>0</v>
      </c>
      <c r="G496" s="2714">
        <f t="shared" si="28"/>
        <v>0</v>
      </c>
      <c r="H496" s="2714">
        <f t="shared" si="28"/>
        <v>4.0191096700099056</v>
      </c>
      <c r="I496" s="2714">
        <f t="shared" si="28"/>
        <v>16.642331643678141</v>
      </c>
      <c r="J496" s="2714">
        <f t="shared" si="28"/>
        <v>53.634950213028127</v>
      </c>
      <c r="K496" s="2714">
        <f t="shared" si="28"/>
        <v>116.66495124127931</v>
      </c>
      <c r="L496" s="2714">
        <f t="shared" si="28"/>
        <v>181.4054617101981</v>
      </c>
      <c r="M496" s="2714">
        <f t="shared" si="28"/>
        <v>240.2999982128747</v>
      </c>
      <c r="N496" s="383"/>
      <c r="W496" s="600"/>
      <c r="X496" s="600"/>
      <c r="Y496" s="600"/>
      <c r="Z496" s="600"/>
      <c r="AA496" s="600"/>
      <c r="AB496" s="601"/>
      <c r="AC496" s="601"/>
      <c r="AD496" s="601"/>
      <c r="AE496" s="602"/>
      <c r="AF496" s="602"/>
      <c r="AG496" s="602"/>
      <c r="AH496" s="602"/>
    </row>
    <row r="497" spans="1:34" s="248" customFormat="1" ht="15" customHeight="1">
      <c r="A497" s="663"/>
      <c r="B497" s="667"/>
      <c r="D497" s="272"/>
      <c r="E497" s="30" t="s">
        <v>498</v>
      </c>
      <c r="F497" s="2714">
        <f t="shared" si="28"/>
        <v>0</v>
      </c>
      <c r="G497" s="2714">
        <f t="shared" si="28"/>
        <v>0</v>
      </c>
      <c r="H497" s="2714">
        <f t="shared" si="28"/>
        <v>2.7628331738846913E-2</v>
      </c>
      <c r="I497" s="2714">
        <f t="shared" si="28"/>
        <v>0.33143802128310967</v>
      </c>
      <c r="J497" s="2714">
        <f t="shared" si="28"/>
        <v>2.1638643599120306</v>
      </c>
      <c r="K497" s="2714">
        <f t="shared" si="28"/>
        <v>4.4396877386016671</v>
      </c>
      <c r="L497" s="2714">
        <f t="shared" si="28"/>
        <v>5.8254302452250091</v>
      </c>
      <c r="M497" s="2714">
        <f t="shared" si="28"/>
        <v>7.2089999463862409</v>
      </c>
      <c r="N497" s="383"/>
      <c r="W497" s="600"/>
      <c r="X497" s="600"/>
      <c r="Y497" s="600"/>
      <c r="Z497" s="600"/>
      <c r="AA497" s="600"/>
      <c r="AB497" s="601"/>
      <c r="AC497" s="601"/>
      <c r="AD497" s="601"/>
      <c r="AE497" s="602"/>
      <c r="AF497" s="602"/>
      <c r="AG497" s="602"/>
      <c r="AH497" s="602"/>
    </row>
    <row r="498" spans="1:34" s="248" customFormat="1" ht="15" customHeight="1">
      <c r="A498" s="663"/>
      <c r="B498" s="667"/>
      <c r="D498" s="272"/>
      <c r="E498" s="30" t="s">
        <v>908</v>
      </c>
      <c r="F498" s="2714">
        <f t="shared" si="28"/>
        <v>0</v>
      </c>
      <c r="G498" s="2714">
        <f t="shared" si="28"/>
        <v>0</v>
      </c>
      <c r="H498" s="2714">
        <f t="shared" si="28"/>
        <v>0</v>
      </c>
      <c r="I498" s="2714">
        <f t="shared" si="28"/>
        <v>0</v>
      </c>
      <c r="J498" s="2714">
        <f t="shared" si="28"/>
        <v>0</v>
      </c>
      <c r="K498" s="2714">
        <f t="shared" si="28"/>
        <v>0</v>
      </c>
      <c r="L498" s="2714">
        <f t="shared" si="28"/>
        <v>0</v>
      </c>
      <c r="M498" s="2714">
        <f t="shared" si="28"/>
        <v>0</v>
      </c>
      <c r="N498" s="383"/>
      <c r="W498" s="600"/>
      <c r="X498" s="600"/>
      <c r="Y498" s="600"/>
      <c r="Z498" s="600"/>
      <c r="AA498" s="600"/>
      <c r="AB498" s="602"/>
      <c r="AC498" s="602"/>
      <c r="AD498" s="602"/>
      <c r="AE498" s="602"/>
      <c r="AF498" s="602"/>
      <c r="AG498" s="602"/>
      <c r="AH498" s="602"/>
    </row>
    <row r="499" spans="1:34" s="248" customFormat="1" ht="15" customHeight="1">
      <c r="A499" s="663"/>
      <c r="B499" s="667"/>
      <c r="D499" s="272"/>
      <c r="E499" s="30" t="s">
        <v>909</v>
      </c>
      <c r="F499" s="2714">
        <f t="shared" si="28"/>
        <v>0</v>
      </c>
      <c r="G499" s="2714">
        <f t="shared" si="28"/>
        <v>0</v>
      </c>
      <c r="H499" s="2714">
        <f t="shared" si="28"/>
        <v>0</v>
      </c>
      <c r="I499" s="2714">
        <f t="shared" si="28"/>
        <v>0</v>
      </c>
      <c r="J499" s="2714">
        <f t="shared" si="28"/>
        <v>0</v>
      </c>
      <c r="K499" s="2714">
        <f t="shared" si="28"/>
        <v>0</v>
      </c>
      <c r="L499" s="2714">
        <f t="shared" si="28"/>
        <v>0</v>
      </c>
      <c r="M499" s="2714">
        <f t="shared" si="28"/>
        <v>0</v>
      </c>
      <c r="N499" s="383"/>
      <c r="W499" s="600"/>
      <c r="X499" s="600"/>
      <c r="Y499" s="600"/>
      <c r="Z499" s="600"/>
      <c r="AA499" s="600"/>
    </row>
    <row r="500" spans="1:34" customFormat="1" ht="15" customHeight="1">
      <c r="A500" s="663"/>
      <c r="B500" s="667"/>
      <c r="D500" s="272"/>
      <c r="E500" s="30" t="s">
        <v>894</v>
      </c>
      <c r="F500" s="2714">
        <f t="shared" si="28"/>
        <v>0.19247745818502668</v>
      </c>
      <c r="G500" s="2714">
        <f t="shared" si="28"/>
        <v>0.73809308557241315</v>
      </c>
      <c r="H500" s="2714">
        <f t="shared" si="28"/>
        <v>3.1902597178444996</v>
      </c>
      <c r="I500" s="2714">
        <f t="shared" si="28"/>
        <v>7.8405806909785634</v>
      </c>
      <c r="J500" s="2714">
        <f t="shared" si="28"/>
        <v>14.087040683956513</v>
      </c>
      <c r="K500" s="2714">
        <f t="shared" si="28"/>
        <v>25.138103086856972</v>
      </c>
      <c r="L500" s="2714">
        <f t="shared" si="28"/>
        <v>36.606378111437422</v>
      </c>
      <c r="M500" s="2714">
        <f t="shared" si="28"/>
        <v>48.059999642574944</v>
      </c>
      <c r="N500" s="276"/>
    </row>
    <row r="501" spans="1:34" s="248" customFormat="1" ht="15" customHeight="1">
      <c r="A501" s="663"/>
      <c r="B501" s="667"/>
      <c r="D501" s="272"/>
      <c r="E501" s="32" t="s">
        <v>603</v>
      </c>
      <c r="F501" s="2715">
        <f t="shared" si="28"/>
        <v>0</v>
      </c>
      <c r="G501" s="2715">
        <f t="shared" si="28"/>
        <v>0</v>
      </c>
      <c r="H501" s="2715">
        <f t="shared" si="28"/>
        <v>0</v>
      </c>
      <c r="I501" s="2715">
        <f t="shared" si="28"/>
        <v>0</v>
      </c>
      <c r="J501" s="2715">
        <f t="shared" si="28"/>
        <v>0</v>
      </c>
      <c r="K501" s="2715">
        <f t="shared" si="28"/>
        <v>0</v>
      </c>
      <c r="L501" s="2715">
        <f t="shared" si="28"/>
        <v>0</v>
      </c>
      <c r="M501" s="2715">
        <f t="shared" si="28"/>
        <v>0</v>
      </c>
      <c r="N501" s="276"/>
      <c r="W501" s="600"/>
      <c r="X501" s="600"/>
      <c r="Y501" s="600"/>
      <c r="Z501" s="600"/>
      <c r="AA501" s="600"/>
      <c r="AB501" s="602"/>
      <c r="AC501" s="602"/>
      <c r="AD501" s="602"/>
      <c r="AE501" s="602"/>
      <c r="AF501" s="602"/>
      <c r="AG501" s="602"/>
      <c r="AH501" s="602"/>
    </row>
    <row r="502" spans="1:34" s="248" customFormat="1" ht="15" customHeight="1">
      <c r="A502" s="663"/>
      <c r="B502" s="667"/>
      <c r="D502" s="272"/>
      <c r="E502" s="92" t="s">
        <v>338</v>
      </c>
      <c r="F502" s="2798">
        <f t="shared" ref="F502:M502" si="29">SUM(F493:F501)</f>
        <v>185.96855863287601</v>
      </c>
      <c r="G502" s="2798">
        <f t="shared" si="29"/>
        <v>241.11364520403026</v>
      </c>
      <c r="H502" s="2798">
        <f t="shared" si="29"/>
        <v>325.04082212359543</v>
      </c>
      <c r="I502" s="2798">
        <f t="shared" si="29"/>
        <v>414.29752660388704</v>
      </c>
      <c r="J502" s="2798">
        <f t="shared" si="29"/>
        <v>515.82245035371409</v>
      </c>
      <c r="K502" s="2798">
        <f t="shared" si="29"/>
        <v>635.60629019904957</v>
      </c>
      <c r="L502" s="2798">
        <f t="shared" si="29"/>
        <v>781.9369456677864</v>
      </c>
      <c r="M502" s="2798">
        <f t="shared" si="29"/>
        <v>961.19999285149868</v>
      </c>
      <c r="N502" s="276"/>
      <c r="W502" s="600"/>
      <c r="X502" s="600"/>
      <c r="Y502" s="600"/>
      <c r="Z502" s="600"/>
      <c r="AA502" s="600"/>
      <c r="AB502" s="602"/>
      <c r="AC502" s="602"/>
      <c r="AD502" s="602"/>
      <c r="AE502" s="602"/>
      <c r="AF502" s="602"/>
      <c r="AG502" s="602"/>
      <c r="AH502" s="602"/>
    </row>
    <row r="503" spans="1:34" s="248" customFormat="1" ht="15" customHeight="1">
      <c r="A503" s="663"/>
      <c r="B503" s="667"/>
      <c r="D503" s="45"/>
      <c r="E503" s="45"/>
      <c r="F503" s="45"/>
      <c r="G503" s="45"/>
      <c r="H503" s="45"/>
      <c r="I503" s="45"/>
      <c r="J503" s="45"/>
      <c r="K503" s="45"/>
      <c r="L503" s="45"/>
      <c r="M503" s="45"/>
      <c r="N503" s="45"/>
      <c r="W503" s="600"/>
      <c r="X503" s="600"/>
      <c r="Y503" s="600"/>
      <c r="Z503" s="600"/>
      <c r="AA503" s="600"/>
      <c r="AB503" s="602"/>
      <c r="AC503" s="602"/>
      <c r="AD503" s="602"/>
      <c r="AE503" s="602"/>
      <c r="AF503" s="602"/>
      <c r="AG503" s="602"/>
      <c r="AH503" s="602"/>
    </row>
    <row r="504" spans="1:34" s="248" customFormat="1" ht="15" customHeight="1">
      <c r="A504" s="663"/>
      <c r="B504" s="667"/>
      <c r="D504" s="3"/>
      <c r="E504" s="3"/>
      <c r="F504" s="3"/>
      <c r="G504" s="3"/>
      <c r="H504" s="3"/>
      <c r="I504" s="3"/>
      <c r="J504" s="3"/>
      <c r="K504" s="3"/>
      <c r="L504" s="3"/>
      <c r="M504" s="3"/>
      <c r="N504" s="3"/>
      <c r="W504" s="600"/>
      <c r="X504" s="600"/>
      <c r="Y504" s="600"/>
      <c r="Z504" s="600"/>
      <c r="AA504" s="600"/>
    </row>
    <row r="505" spans="1:34" s="248" customFormat="1" ht="15" customHeight="1">
      <c r="A505" s="663"/>
      <c r="B505" s="667"/>
      <c r="D505" s="99" t="s">
        <v>52</v>
      </c>
      <c r="E505" s="49"/>
      <c r="F505" s="49"/>
      <c r="G505" s="49"/>
      <c r="H505" s="49"/>
      <c r="I505" s="49"/>
      <c r="J505" s="49"/>
      <c r="K505" s="49"/>
      <c r="L505" s="49"/>
      <c r="M505" s="49"/>
      <c r="N505" s="49"/>
    </row>
    <row r="506" spans="1:34" customFormat="1" ht="15" customHeight="1">
      <c r="A506" s="663"/>
      <c r="B506" s="667"/>
      <c r="D506" s="50"/>
      <c r="E506" s="50"/>
      <c r="F506" s="50"/>
      <c r="G506" s="50"/>
      <c r="H506" s="50"/>
      <c r="I506" s="50"/>
      <c r="J506" s="50"/>
      <c r="K506" s="50"/>
      <c r="L506" s="50"/>
      <c r="M506" s="50"/>
      <c r="N506" s="50"/>
    </row>
    <row r="507" spans="1:34" s="248" customFormat="1" ht="15" customHeight="1">
      <c r="A507" s="663"/>
      <c r="B507" s="667"/>
      <c r="D507" s="296"/>
      <c r="E507" s="297" t="s">
        <v>2397</v>
      </c>
      <c r="F507" s="298"/>
      <c r="G507" s="299"/>
      <c r="H507" s="298"/>
      <c r="I507" s="299"/>
      <c r="J507" s="298"/>
      <c r="K507" s="298"/>
      <c r="L507" s="298"/>
      <c r="M507" s="298"/>
      <c r="N507" s="81"/>
    </row>
    <row r="508" spans="1:34" s="248" customFormat="1" ht="15" customHeight="1">
      <c r="A508" s="663"/>
      <c r="B508" s="667"/>
      <c r="D508" s="296"/>
      <c r="E508" s="300"/>
      <c r="F508" s="81"/>
      <c r="G508" s="301"/>
      <c r="H508" s="81"/>
      <c r="I508" s="301"/>
      <c r="J508" s="81"/>
      <c r="K508" s="81"/>
      <c r="L508" s="81"/>
      <c r="M508" s="81"/>
      <c r="N508" s="81"/>
      <c r="W508" s="600"/>
      <c r="X508" s="600"/>
      <c r="Y508" s="600"/>
      <c r="Z508" s="600"/>
      <c r="AA508" s="600"/>
      <c r="AB508" s="600"/>
      <c r="AC508" s="600"/>
      <c r="AD508" s="600"/>
      <c r="AE508" s="600"/>
      <c r="AF508" s="600"/>
      <c r="AG508" s="600"/>
      <c r="AH508" s="600"/>
    </row>
    <row r="509" spans="1:34" s="248" customFormat="1" ht="15" customHeight="1">
      <c r="A509" s="663"/>
      <c r="B509" s="667"/>
      <c r="D509" s="296"/>
      <c r="E509" s="81"/>
      <c r="F509" s="81"/>
      <c r="G509" s="81"/>
      <c r="H509" s="81"/>
      <c r="I509" s="81"/>
      <c r="J509" s="81"/>
      <c r="K509" s="81"/>
      <c r="L509" s="81"/>
      <c r="M509" s="82" t="s">
        <v>9</v>
      </c>
      <c r="N509" s="302"/>
      <c r="W509" s="600"/>
      <c r="X509" s="600"/>
      <c r="Y509" s="600"/>
      <c r="Z509" s="600"/>
      <c r="AA509" s="600"/>
      <c r="AB509" s="601"/>
      <c r="AC509" s="601"/>
      <c r="AD509" s="601"/>
      <c r="AE509" s="602"/>
      <c r="AF509" s="602"/>
      <c r="AG509" s="602"/>
      <c r="AH509" s="602"/>
    </row>
    <row r="510" spans="1:34" s="248" customFormat="1" ht="15" customHeight="1">
      <c r="A510" s="663"/>
      <c r="B510" s="667"/>
      <c r="D510" s="303"/>
      <c r="E510" s="304" t="s">
        <v>699</v>
      </c>
      <c r="F510" s="304">
        <v>2018</v>
      </c>
      <c r="G510" s="304" t="s">
        <v>322</v>
      </c>
      <c r="H510" s="304" t="s">
        <v>323</v>
      </c>
      <c r="I510" s="304" t="s">
        <v>324</v>
      </c>
      <c r="J510" s="304" t="s">
        <v>325</v>
      </c>
      <c r="K510" s="304" t="s">
        <v>326</v>
      </c>
      <c r="L510" s="304" t="s">
        <v>327</v>
      </c>
      <c r="M510" s="304" t="s">
        <v>328</v>
      </c>
      <c r="N510" s="302"/>
      <c r="W510" s="600"/>
      <c r="X510" s="600"/>
      <c r="Y510" s="600"/>
      <c r="Z510" s="600"/>
      <c r="AA510" s="600"/>
      <c r="AB510" s="601"/>
      <c r="AC510" s="601"/>
      <c r="AD510" s="601"/>
      <c r="AE510" s="602"/>
      <c r="AF510" s="602"/>
      <c r="AG510" s="602"/>
      <c r="AH510" s="602"/>
    </row>
    <row r="511" spans="1:34" s="248" customFormat="1" ht="15" customHeight="1">
      <c r="A511" s="663"/>
      <c r="B511" s="667"/>
      <c r="D511" s="303"/>
      <c r="E511" s="305" t="s">
        <v>494</v>
      </c>
      <c r="F511" s="306" cm="1">
        <f t="array" ref="F511:M511">_xlfn.ANCHORARRAY(F648)</f>
        <v>1.2916444349833778</v>
      </c>
      <c r="G511" s="306">
        <v>1.3402367325351232</v>
      </c>
      <c r="H511" s="306">
        <v>1.7121075218596022</v>
      </c>
      <c r="I511" s="306">
        <v>1.822896273539631</v>
      </c>
      <c r="J511" s="306">
        <v>2.0965695905810011</v>
      </c>
      <c r="K511" s="306">
        <v>2.4838586723018006</v>
      </c>
      <c r="L511" s="306">
        <v>2.9052851936026904</v>
      </c>
      <c r="M511" s="306">
        <v>3.4677186441834653</v>
      </c>
      <c r="N511" s="302"/>
      <c r="W511" s="600"/>
      <c r="X511" s="600"/>
      <c r="Y511" s="600"/>
      <c r="Z511" s="600"/>
      <c r="AA511" s="600"/>
      <c r="AB511" s="602"/>
      <c r="AC511" s="602"/>
      <c r="AD511" s="602"/>
      <c r="AE511" s="602"/>
      <c r="AF511" s="602"/>
      <c r="AG511" s="602"/>
      <c r="AH511" s="602"/>
    </row>
    <row r="512" spans="1:34" s="248" customFormat="1" ht="15" customHeight="1">
      <c r="A512" s="663"/>
      <c r="B512" s="667"/>
      <c r="D512" s="303"/>
      <c r="E512" s="307" t="s">
        <v>495</v>
      </c>
      <c r="F512" s="308" cm="1">
        <f t="array" ref="F512:M512">_xlfn.ANCHORARRAY(F649)+_xlfn.ANCHORARRAY(F632)+_xlfn.ANCHORARRAY(F638)</f>
        <v>3.1421068749295871</v>
      </c>
      <c r="G512" s="308">
        <v>4.0776200965202847</v>
      </c>
      <c r="H512" s="308">
        <v>5.0632659798199935</v>
      </c>
      <c r="I512" s="308">
        <v>5.9572177315117498</v>
      </c>
      <c r="J512" s="308">
        <v>6.567221689662607</v>
      </c>
      <c r="K512" s="308">
        <v>6.9661115565780092</v>
      </c>
      <c r="L512" s="308">
        <v>7.6039774996113918</v>
      </c>
      <c r="M512" s="308">
        <v>8.7499916444325994</v>
      </c>
      <c r="N512" s="302"/>
      <c r="W512" s="600"/>
      <c r="X512" s="600"/>
      <c r="Y512" s="600"/>
      <c r="Z512" s="600"/>
      <c r="AA512" s="600"/>
    </row>
    <row r="513" spans="1:20" s="604" customFormat="1" ht="15" customHeight="1">
      <c r="A513" s="663"/>
      <c r="B513" s="667"/>
      <c r="C513" s="312"/>
      <c r="D513" s="303"/>
      <c r="E513" s="307" t="s">
        <v>496</v>
      </c>
      <c r="F513" s="308" cm="1">
        <f t="array" ref="F513:M513">_xlfn.ANCHORARRAY(F650)</f>
        <v>1.8278911920769077E-2</v>
      </c>
      <c r="G513" s="308">
        <v>2.8819575592122393E-2</v>
      </c>
      <c r="H513" s="308">
        <v>3.8582091261483001E-2</v>
      </c>
      <c r="I513" s="308">
        <v>4.9177038129335958E-2</v>
      </c>
      <c r="J513" s="308">
        <v>6.1227721257428154E-2</v>
      </c>
      <c r="K513" s="308">
        <v>7.5445969323531911E-2</v>
      </c>
      <c r="L513" s="308">
        <v>9.275634017577794E-2</v>
      </c>
      <c r="M513" s="308">
        <v>0.11397725683167556</v>
      </c>
      <c r="N513" s="302"/>
      <c r="O513" s="3"/>
      <c r="P513" s="295"/>
      <c r="Q513" s="295"/>
    </row>
    <row r="514" spans="1:20" s="604" customFormat="1" ht="15" customHeight="1">
      <c r="A514" s="663"/>
      <c r="B514" s="667"/>
      <c r="C514" s="312"/>
      <c r="D514" s="303"/>
      <c r="E514" s="307" t="s">
        <v>497</v>
      </c>
      <c r="F514" s="308" cm="1">
        <f t="array" ref="F514:M514">_xlfn.ANCHORARRAY(F651)</f>
        <v>0</v>
      </c>
      <c r="G514" s="308">
        <v>0</v>
      </c>
      <c r="H514" s="308">
        <v>4.8089267059046328E-2</v>
      </c>
      <c r="I514" s="308">
        <v>0.19912806482239714</v>
      </c>
      <c r="J514" s="308">
        <v>0.64175045128504959</v>
      </c>
      <c r="K514" s="308">
        <v>1.3959141345497725</v>
      </c>
      <c r="L514" s="308">
        <v>2.1705443270797384</v>
      </c>
      <c r="M514" s="308">
        <v>2.8752265394934611</v>
      </c>
      <c r="N514" s="302"/>
      <c r="O514" s="3"/>
      <c r="P514" s="295"/>
      <c r="Q514" s="295"/>
    </row>
    <row r="515" spans="1:20" s="604" customFormat="1" ht="15" customHeight="1">
      <c r="A515" s="663"/>
      <c r="B515" s="667"/>
      <c r="C515" s="295"/>
      <c r="D515" s="303"/>
      <c r="E515" s="307" t="s">
        <v>498</v>
      </c>
      <c r="F515" s="308" cm="1">
        <f t="array" ref="F515:M515">_xlfn.ANCHORARRAY(F652)</f>
        <v>0</v>
      </c>
      <c r="G515" s="308">
        <v>0</v>
      </c>
      <c r="H515" s="308">
        <v>0</v>
      </c>
      <c r="I515" s="308">
        <v>0</v>
      </c>
      <c r="J515" s="308">
        <v>0</v>
      </c>
      <c r="K515" s="308">
        <v>0</v>
      </c>
      <c r="L515" s="308">
        <v>0</v>
      </c>
      <c r="M515" s="308">
        <v>0</v>
      </c>
      <c r="N515" s="302"/>
      <c r="O515" s="3"/>
      <c r="P515" s="295"/>
      <c r="Q515" s="295"/>
      <c r="R515" s="295"/>
      <c r="S515" s="605"/>
      <c r="T515" s="295"/>
    </row>
    <row r="516" spans="1:20" s="295" customFormat="1" ht="15" customHeight="1">
      <c r="A516" s="663"/>
      <c r="B516" s="667"/>
      <c r="C516" s="612"/>
      <c r="D516" s="303"/>
      <c r="E516" s="307" t="s">
        <v>294</v>
      </c>
      <c r="F516" s="308" cm="1">
        <f t="array" ref="F516:M516">_xlfn.ANCHORARRAY(F653)+_xlfn.ANCHORARRAY(F633)</f>
        <v>0.01</v>
      </c>
      <c r="G516" s="308">
        <v>0.01</v>
      </c>
      <c r="H516" s="308">
        <v>0.01</v>
      </c>
      <c r="I516" s="308">
        <v>0.01</v>
      </c>
      <c r="J516" s="308">
        <v>0.05</v>
      </c>
      <c r="K516" s="308">
        <v>0.1</v>
      </c>
      <c r="L516" s="308">
        <v>0.15</v>
      </c>
      <c r="M516" s="308">
        <v>0.2</v>
      </c>
      <c r="N516" s="302"/>
      <c r="O516"/>
      <c r="P516" s="3"/>
    </row>
    <row r="517" spans="1:20" s="295" customFormat="1" ht="15" customHeight="1">
      <c r="A517" s="663"/>
      <c r="B517" s="667"/>
      <c r="C517" s="612"/>
      <c r="D517" s="303"/>
      <c r="E517" s="307" t="s">
        <v>501</v>
      </c>
      <c r="F517" s="308" cm="1">
        <f t="array" ref="F517:M517">_xlfn.ANCHORARRAY(F654)</f>
        <v>0</v>
      </c>
      <c r="G517" s="308">
        <v>0</v>
      </c>
      <c r="H517" s="308">
        <v>0</v>
      </c>
      <c r="I517" s="308">
        <v>0</v>
      </c>
      <c r="J517" s="308">
        <v>0</v>
      </c>
      <c r="K517" s="308">
        <v>0</v>
      </c>
      <c r="L517" s="308">
        <v>0</v>
      </c>
      <c r="M517" s="308">
        <v>0</v>
      </c>
      <c r="N517" s="302"/>
      <c r="O517"/>
      <c r="P517"/>
    </row>
    <row r="518" spans="1:20" s="295" customFormat="1" ht="15" customHeight="1">
      <c r="A518" s="663"/>
      <c r="B518" s="667"/>
      <c r="C518" s="612"/>
      <c r="D518" s="303"/>
      <c r="E518" s="307" t="s">
        <v>502</v>
      </c>
      <c r="F518" s="308" cm="1">
        <f t="array" ref="F518:M518">_xlfn.ANCHORARRAY(F643)</f>
        <v>0</v>
      </c>
      <c r="G518" s="308">
        <v>0</v>
      </c>
      <c r="H518" s="308">
        <v>0</v>
      </c>
      <c r="I518" s="308">
        <v>0</v>
      </c>
      <c r="J518" s="308">
        <v>0</v>
      </c>
      <c r="K518" s="308">
        <v>0</v>
      </c>
      <c r="L518" s="308">
        <v>0</v>
      </c>
      <c r="M518" s="308">
        <v>0</v>
      </c>
      <c r="N518" s="302"/>
      <c r="O518"/>
      <c r="P518"/>
    </row>
    <row r="519" spans="1:20" s="295" customFormat="1" ht="15" customHeight="1">
      <c r="A519" s="663"/>
      <c r="B519" s="667"/>
      <c r="C519" s="612"/>
      <c r="D519" s="303"/>
      <c r="E519" s="2089" t="s">
        <v>1714</v>
      </c>
      <c r="F519" s="2090">
        <f>SUM(F511:F518)</f>
        <v>4.4620302218337331</v>
      </c>
      <c r="G519" s="2090">
        <f t="shared" ref="G519:M519" si="30">SUM(G511:G518)</f>
        <v>5.4566764046475305</v>
      </c>
      <c r="H519" s="2090">
        <f t="shared" si="30"/>
        <v>6.8720448600001243</v>
      </c>
      <c r="I519" s="2090">
        <f t="shared" si="30"/>
        <v>8.0384191080031133</v>
      </c>
      <c r="J519" s="2090">
        <f t="shared" si="30"/>
        <v>9.4167694527860863</v>
      </c>
      <c r="K519" s="2090">
        <f t="shared" si="30"/>
        <v>11.021330332753115</v>
      </c>
      <c r="L519" s="2090">
        <f t="shared" si="30"/>
        <v>12.922563360469601</v>
      </c>
      <c r="M519" s="2090">
        <f t="shared" si="30"/>
        <v>15.406914084941201</v>
      </c>
      <c r="N519" s="309"/>
      <c r="O519"/>
      <c r="P519"/>
    </row>
    <row r="520" spans="1:20" s="295" customFormat="1" ht="15" customHeight="1">
      <c r="A520" s="663"/>
      <c r="B520" s="667"/>
      <c r="C520" s="612"/>
      <c r="D520" s="987"/>
      <c r="E520" s="1506"/>
      <c r="F520" s="1506"/>
      <c r="G520" s="1506"/>
      <c r="H520" s="309"/>
      <c r="I520" s="309"/>
      <c r="J520" s="309"/>
      <c r="K520" s="309"/>
      <c r="L520" s="309"/>
      <c r="M520" s="309"/>
      <c r="N520" s="309"/>
      <c r="O520"/>
      <c r="P520"/>
    </row>
    <row r="521" spans="1:20" s="295" customFormat="1" ht="15" customHeight="1">
      <c r="A521" s="663"/>
      <c r="B521" s="667"/>
      <c r="C521" s="612"/>
      <c r="O521"/>
      <c r="P521"/>
    </row>
    <row r="522" spans="1:20" s="295" customFormat="1" ht="15" customHeight="1">
      <c r="A522" s="663"/>
      <c r="B522" s="667"/>
      <c r="C522" s="612"/>
      <c r="D522" s="105" t="s">
        <v>1671</v>
      </c>
      <c r="E522" s="57"/>
      <c r="F522" s="57"/>
      <c r="G522" s="57"/>
      <c r="H522" s="57"/>
      <c r="I522" s="57"/>
      <c r="J522" s="57"/>
      <c r="K522" s="57"/>
      <c r="L522" s="57"/>
      <c r="M522" s="57"/>
      <c r="N522" s="57"/>
      <c r="O522"/>
      <c r="P522"/>
    </row>
    <row r="523" spans="1:20" s="295" customFormat="1" ht="15" customHeight="1">
      <c r="A523" s="663"/>
      <c r="B523" s="667"/>
      <c r="C523" s="612"/>
      <c r="D523" s="58"/>
      <c r="E523" s="58"/>
      <c r="F523" s="58"/>
      <c r="G523" s="58"/>
      <c r="H523" s="58"/>
      <c r="I523" s="58"/>
      <c r="J523" s="58"/>
      <c r="K523" s="58"/>
      <c r="L523" s="58"/>
      <c r="M523" s="58"/>
      <c r="N523" s="58"/>
      <c r="O523"/>
      <c r="P523"/>
    </row>
    <row r="524" spans="1:20" s="295" customFormat="1" ht="15" customHeight="1">
      <c r="A524" s="663"/>
      <c r="B524" s="667"/>
      <c r="C524" s="612"/>
      <c r="D524" s="314"/>
      <c r="E524" s="313" t="s">
        <v>2106</v>
      </c>
      <c r="F524" s="314"/>
      <c r="G524" s="315"/>
      <c r="H524" s="314"/>
      <c r="I524" s="315"/>
      <c r="J524" s="314"/>
      <c r="K524" s="314"/>
      <c r="L524" s="314"/>
      <c r="M524" s="314"/>
      <c r="N524" s="314"/>
      <c r="O524"/>
      <c r="P524"/>
    </row>
    <row r="525" spans="1:20" s="295" customFormat="1" ht="15" customHeight="1">
      <c r="A525" s="663"/>
      <c r="B525" s="667"/>
      <c r="C525" s="612"/>
      <c r="D525" s="314"/>
      <c r="E525" s="314"/>
      <c r="F525" s="314"/>
      <c r="G525" s="314"/>
      <c r="H525" s="314"/>
      <c r="I525" s="314"/>
      <c r="J525" s="314"/>
      <c r="K525" s="314"/>
      <c r="L525" s="314"/>
      <c r="M525" s="316" t="s">
        <v>29</v>
      </c>
      <c r="N525" s="230"/>
      <c r="O525"/>
      <c r="P525"/>
    </row>
    <row r="526" spans="1:20" s="295" customFormat="1" ht="15" customHeight="1">
      <c r="A526" s="663"/>
      <c r="B526" s="667"/>
      <c r="C526" s="612"/>
      <c r="D526" s="392"/>
      <c r="E526" s="1149" t="s">
        <v>1986</v>
      </c>
      <c r="F526" s="318">
        <v>2018</v>
      </c>
      <c r="G526" s="317" t="s">
        <v>322</v>
      </c>
      <c r="H526" s="317" t="s">
        <v>323</v>
      </c>
      <c r="I526" s="317" t="s">
        <v>324</v>
      </c>
      <c r="J526" s="317" t="s">
        <v>325</v>
      </c>
      <c r="K526" s="317" t="s">
        <v>326</v>
      </c>
      <c r="L526" s="317" t="s">
        <v>327</v>
      </c>
      <c r="M526" s="317" t="s">
        <v>328</v>
      </c>
      <c r="N526" s="230"/>
      <c r="O526" s="1045"/>
      <c r="P526"/>
    </row>
    <row r="527" spans="1:20" s="295" customFormat="1" ht="15" customHeight="1">
      <c r="A527" s="663"/>
      <c r="B527" s="667"/>
      <c r="C527" s="612"/>
      <c r="D527" s="58"/>
      <c r="E527" s="1706" t="s">
        <v>889</v>
      </c>
      <c r="F527" s="1701" cm="1">
        <f t="array" ref="F527:M527">_xlfn.ANCHORARRAY(F700)</f>
        <v>0.33058931492249188</v>
      </c>
      <c r="G527" s="1701">
        <v>0.34302624719507047</v>
      </c>
      <c r="H527" s="1701">
        <v>0.43820453787074537</v>
      </c>
      <c r="I527" s="1701">
        <v>0.46656031174088958</v>
      </c>
      <c r="J527" s="1701">
        <v>0.53660549750785091</v>
      </c>
      <c r="K527" s="1701">
        <v>0.63573001563012166</v>
      </c>
      <c r="L527" s="1701">
        <v>0.7435918243397478</v>
      </c>
      <c r="M527" s="1701">
        <v>0.88754358388058785</v>
      </c>
      <c r="N527" s="58"/>
      <c r="O527"/>
      <c r="P527"/>
    </row>
    <row r="528" spans="1:20" s="295" customFormat="1" ht="15" customHeight="1">
      <c r="A528" s="663"/>
      <c r="B528" s="667"/>
      <c r="C528" s="612"/>
      <c r="D528" s="58"/>
      <c r="E528" s="1267" t="s">
        <v>890</v>
      </c>
      <c r="F528" s="1701" cm="1">
        <f t="array" ref="F528:M528">_xlfn.ANCHORARRAY(F701)</f>
        <v>0.58126918325536825</v>
      </c>
      <c r="G528" s="1701">
        <v>0.83512440056636139</v>
      </c>
      <c r="H528" s="1701">
        <v>1.1025833141574355</v>
      </c>
      <c r="I528" s="1701">
        <v>1.3451606620279302</v>
      </c>
      <c r="J528" s="1701">
        <v>1.5242553496878393</v>
      </c>
      <c r="K528" s="1701">
        <v>1.6460633926792068</v>
      </c>
      <c r="L528" s="1701">
        <v>1.8327185402704496</v>
      </c>
      <c r="M528" s="1701">
        <v>2.1572617146836977</v>
      </c>
      <c r="N528" s="58"/>
      <c r="O528"/>
      <c r="P528"/>
    </row>
    <row r="529" spans="1:19" s="295" customFormat="1" ht="15" customHeight="1">
      <c r="A529" s="663"/>
      <c r="B529" s="667"/>
      <c r="C529" s="612"/>
      <c r="D529" s="58"/>
      <c r="E529" s="1267" t="s">
        <v>294</v>
      </c>
      <c r="F529" s="1701">
        <v>0</v>
      </c>
      <c r="G529" s="1702">
        <v>0</v>
      </c>
      <c r="H529" s="1702">
        <v>0</v>
      </c>
      <c r="I529" s="1702">
        <v>0</v>
      </c>
      <c r="J529" s="1702">
        <v>0</v>
      </c>
      <c r="K529" s="1702">
        <v>0</v>
      </c>
      <c r="L529" s="1702">
        <v>0</v>
      </c>
      <c r="M529" s="1702">
        <v>0</v>
      </c>
      <c r="N529" s="58"/>
      <c r="O529"/>
      <c r="P529"/>
    </row>
    <row r="530" spans="1:19" ht="15" customHeight="1">
      <c r="C530" s="612"/>
      <c r="D530" s="58"/>
      <c r="E530" s="1267" t="s">
        <v>496</v>
      </c>
      <c r="F530" s="1701" cm="1">
        <f t="array" ref="F530:M530">_xlfn.ANCHORARRAY(F703)</f>
        <v>3.8765257629581442E-3</v>
      </c>
      <c r="G530" s="1701">
        <v>6.111951725826883E-3</v>
      </c>
      <c r="H530" s="1701">
        <v>8.1823508648784082E-3</v>
      </c>
      <c r="I530" s="1701">
        <v>1.0429289012424152E-2</v>
      </c>
      <c r="J530" s="1701">
        <v>1.298495445956795E-2</v>
      </c>
      <c r="K530" s="1701">
        <v>1.6000309266861211E-2</v>
      </c>
      <c r="L530" s="1701">
        <v>1.9671430330628997E-2</v>
      </c>
      <c r="M530" s="1701">
        <v>2.4171885854828132E-2</v>
      </c>
      <c r="N530" s="58"/>
      <c r="O530"/>
      <c r="P530"/>
    </row>
    <row r="531" spans="1:19" customFormat="1" ht="15" customHeight="1">
      <c r="A531" s="663"/>
      <c r="B531" s="667"/>
      <c r="C531" s="612"/>
      <c r="D531" s="58"/>
      <c r="E531" s="1267" t="s">
        <v>497</v>
      </c>
      <c r="F531" s="1701" cm="1">
        <f t="array" ref="F531:M531">_xlfn.ANCHORARRAY(F704)</f>
        <v>0</v>
      </c>
      <c r="G531" s="1702">
        <v>0</v>
      </c>
      <c r="H531" s="1702">
        <v>1.0198598444164066E-2</v>
      </c>
      <c r="I531" s="1702">
        <v>4.223036232998837E-2</v>
      </c>
      <c r="J531" s="1702">
        <v>0.13610012283990688</v>
      </c>
      <c r="K531" s="1702">
        <v>0.29604043878077485</v>
      </c>
      <c r="L531" s="1702">
        <v>0.46032121824531619</v>
      </c>
      <c r="M531" s="1702">
        <v>0.60976768217932498</v>
      </c>
      <c r="N531" s="58"/>
      <c r="S531" s="614"/>
    </row>
    <row r="532" spans="1:19" customFormat="1" ht="15" customHeight="1">
      <c r="A532" s="663"/>
      <c r="B532" s="667"/>
      <c r="C532" s="612"/>
      <c r="D532" s="58"/>
      <c r="E532" s="1267" t="s">
        <v>2380</v>
      </c>
      <c r="F532" s="1701" cm="1">
        <f t="array" ref="F532:M532">_xlfn.ANCHORARRAY(F705)</f>
        <v>0.27135396000000001</v>
      </c>
      <c r="G532" s="1701">
        <v>0.27135396000000001</v>
      </c>
      <c r="H532" s="1701">
        <v>0.27135396000000001</v>
      </c>
      <c r="I532" s="1701">
        <v>0.27135396000000001</v>
      </c>
      <c r="J532" s="1701">
        <v>0.25778626199999999</v>
      </c>
      <c r="K532" s="1701">
        <v>0.244218564</v>
      </c>
      <c r="L532" s="1701">
        <v>0.23065086599999998</v>
      </c>
      <c r="M532" s="1701">
        <v>0.21708316799999999</v>
      </c>
      <c r="N532" s="58"/>
      <c r="S532" s="614"/>
    </row>
    <row r="533" spans="1:19" customFormat="1" ht="15" customHeight="1">
      <c r="A533" s="663"/>
      <c r="B533" s="667"/>
      <c r="C533" s="612"/>
      <c r="D533" s="58"/>
      <c r="E533" s="1267" t="s">
        <v>2381</v>
      </c>
      <c r="F533" s="1701" cm="1">
        <f t="array" ref="F533:M533">F706:M706</f>
        <v>0</v>
      </c>
      <c r="G533" s="1702">
        <v>0</v>
      </c>
      <c r="H533" s="1702">
        <v>0</v>
      </c>
      <c r="I533" s="1702">
        <v>0</v>
      </c>
      <c r="J533" s="1702">
        <v>0</v>
      </c>
      <c r="K533" s="1702">
        <v>0</v>
      </c>
      <c r="L533" s="1702">
        <v>0</v>
      </c>
      <c r="M533" s="1702">
        <v>0</v>
      </c>
      <c r="N533" s="58"/>
      <c r="R533" s="614"/>
    </row>
    <row r="534" spans="1:19" customFormat="1" ht="15" customHeight="1">
      <c r="A534" s="663"/>
      <c r="B534" s="667"/>
      <c r="C534" s="612"/>
      <c r="D534" s="58"/>
      <c r="E534" s="1267" t="s">
        <v>2266</v>
      </c>
      <c r="F534" s="1701" cm="1">
        <f t="array" ref="F534:M534">_xlfn.ANCHORARRAY(F707)</f>
        <v>0</v>
      </c>
      <c r="G534" s="1701">
        <v>0</v>
      </c>
      <c r="H534" s="1701">
        <v>0</v>
      </c>
      <c r="I534" s="1701">
        <v>0</v>
      </c>
      <c r="J534" s="1701">
        <v>0</v>
      </c>
      <c r="K534" s="1701">
        <v>0</v>
      </c>
      <c r="L534" s="1701">
        <v>0</v>
      </c>
      <c r="M534" s="1701">
        <v>0</v>
      </c>
      <c r="N534" s="58"/>
      <c r="R534" s="614"/>
    </row>
    <row r="535" spans="1:19" customFormat="1" ht="15" customHeight="1">
      <c r="A535" s="663"/>
      <c r="B535" s="667"/>
      <c r="C535" s="612"/>
      <c r="D535" s="58"/>
      <c r="E535" s="1295" t="s">
        <v>2267</v>
      </c>
      <c r="F535" s="1701" cm="1">
        <f t="array" ref="F535:M535">_xlfn.ANCHORARRAY(F708)</f>
        <v>0</v>
      </c>
      <c r="G535" s="1703">
        <v>0</v>
      </c>
      <c r="H535" s="1703">
        <v>0</v>
      </c>
      <c r="I535" s="1703">
        <v>0</v>
      </c>
      <c r="J535" s="1703">
        <v>0</v>
      </c>
      <c r="K535" s="1703">
        <v>0</v>
      </c>
      <c r="L535" s="1703">
        <v>0</v>
      </c>
      <c r="M535" s="1703">
        <v>0</v>
      </c>
      <c r="N535" s="58"/>
      <c r="R535" s="614"/>
    </row>
    <row r="536" spans="1:19" customFormat="1" ht="15" customHeight="1">
      <c r="A536" s="663"/>
      <c r="B536" s="667"/>
      <c r="C536" s="612"/>
      <c r="D536" s="392"/>
      <c r="E536" s="1145" t="s">
        <v>1990</v>
      </c>
      <c r="F536" s="2240">
        <f>SUM(F527:F535)</f>
        <v>1.1870889839408183</v>
      </c>
      <c r="G536" s="2240">
        <f t="shared" ref="G536:M536" si="31">SUM(G527:G535)</f>
        <v>1.4556165594872588</v>
      </c>
      <c r="H536" s="2240">
        <f t="shared" si="31"/>
        <v>1.8305227613372232</v>
      </c>
      <c r="I536" s="2240">
        <f t="shared" si="31"/>
        <v>2.1357345851112326</v>
      </c>
      <c r="J536" s="2240">
        <f t="shared" si="31"/>
        <v>2.4677321864951658</v>
      </c>
      <c r="K536" s="2240">
        <f t="shared" si="31"/>
        <v>2.8380527203569645</v>
      </c>
      <c r="L536" s="2240">
        <f t="shared" si="31"/>
        <v>3.2869538791861426</v>
      </c>
      <c r="M536" s="2240">
        <f t="shared" si="31"/>
        <v>3.8958280345984382</v>
      </c>
      <c r="N536" s="320"/>
      <c r="R536" s="614"/>
    </row>
    <row r="537" spans="1:19" customFormat="1" ht="15" customHeight="1">
      <c r="A537" s="663"/>
      <c r="B537" s="667"/>
      <c r="C537" s="612"/>
      <c r="D537" s="392"/>
      <c r="E537" s="319"/>
      <c r="F537" s="319"/>
      <c r="G537" s="319"/>
      <c r="H537" s="321"/>
      <c r="I537" s="321"/>
      <c r="J537" s="321"/>
      <c r="K537" s="321"/>
      <c r="L537" s="321"/>
      <c r="M537" s="321"/>
      <c r="N537" s="321"/>
      <c r="R537" s="614"/>
    </row>
    <row r="538" spans="1:19" customFormat="1" ht="15" customHeight="1">
      <c r="A538" s="663"/>
      <c r="B538" s="667"/>
      <c r="C538" s="612"/>
      <c r="D538" s="295"/>
      <c r="E538" s="295"/>
      <c r="F538" s="295"/>
      <c r="G538" s="295"/>
      <c r="H538" s="295"/>
      <c r="I538" s="295"/>
      <c r="J538" s="295"/>
      <c r="K538" s="295"/>
      <c r="L538" s="295"/>
      <c r="M538" s="295"/>
      <c r="N538" s="295"/>
      <c r="R538" s="614"/>
    </row>
    <row r="539" spans="1:19" customFormat="1" ht="15" customHeight="1">
      <c r="A539" s="663"/>
      <c r="B539" s="667"/>
      <c r="C539" s="612"/>
      <c r="D539" s="110" t="s">
        <v>797</v>
      </c>
      <c r="E539" s="65"/>
      <c r="F539" s="65"/>
      <c r="G539" s="65"/>
      <c r="H539" s="65"/>
      <c r="I539" s="65"/>
      <c r="J539" s="65"/>
      <c r="K539" s="65"/>
      <c r="L539" s="65"/>
      <c r="M539" s="65"/>
      <c r="N539" s="65"/>
      <c r="R539" s="614"/>
    </row>
    <row r="540" spans="1:19" customFormat="1" ht="15" customHeight="1">
      <c r="A540" s="663"/>
      <c r="B540" s="667"/>
      <c r="C540" s="612"/>
      <c r="D540" s="66"/>
      <c r="E540" s="66"/>
      <c r="F540" s="66"/>
      <c r="G540" s="66"/>
      <c r="H540" s="66"/>
      <c r="I540" s="66"/>
      <c r="J540" s="66"/>
      <c r="K540" s="66"/>
      <c r="L540" s="66"/>
      <c r="M540" s="66"/>
      <c r="N540" s="66"/>
      <c r="R540" s="614"/>
    </row>
    <row r="541" spans="1:19" customFormat="1" ht="15" customHeight="1">
      <c r="A541" s="663"/>
      <c r="B541" s="667"/>
      <c r="C541" s="612"/>
      <c r="D541" s="322"/>
      <c r="E541" s="323" t="s">
        <v>2296</v>
      </c>
      <c r="F541" s="324"/>
      <c r="G541" s="324"/>
      <c r="H541" s="324"/>
      <c r="I541" s="324"/>
      <c r="J541" s="324"/>
      <c r="K541" s="324"/>
      <c r="L541" s="324"/>
      <c r="M541" s="324"/>
      <c r="N541" s="324"/>
      <c r="R541" s="614"/>
    </row>
    <row r="542" spans="1:19" customFormat="1" ht="15" customHeight="1">
      <c r="A542" s="663"/>
      <c r="B542" s="667"/>
      <c r="C542" s="612"/>
      <c r="D542" s="322"/>
      <c r="E542" s="324"/>
      <c r="F542" s="324"/>
      <c r="G542" s="324"/>
      <c r="H542" s="324"/>
      <c r="I542" s="324"/>
      <c r="J542" s="324"/>
      <c r="K542" s="324"/>
      <c r="L542" s="324"/>
      <c r="M542" s="325" t="s">
        <v>803</v>
      </c>
      <c r="N542" s="323"/>
      <c r="R542" s="614"/>
    </row>
    <row r="543" spans="1:19" customFormat="1" ht="15" customHeight="1">
      <c r="A543" s="663"/>
      <c r="B543" s="667"/>
      <c r="C543" s="612"/>
      <c r="D543" s="326"/>
      <c r="E543" s="327" t="s">
        <v>699</v>
      </c>
      <c r="F543" s="328">
        <v>2018</v>
      </c>
      <c r="G543" s="328" t="s">
        <v>322</v>
      </c>
      <c r="H543" s="328" t="s">
        <v>323</v>
      </c>
      <c r="I543" s="328" t="s">
        <v>324</v>
      </c>
      <c r="J543" s="328" t="s">
        <v>325</v>
      </c>
      <c r="K543" s="328" t="s">
        <v>326</v>
      </c>
      <c r="L543" s="328" t="s">
        <v>327</v>
      </c>
      <c r="M543" s="328" t="s">
        <v>328</v>
      </c>
      <c r="N543" s="323"/>
      <c r="R543" s="614"/>
    </row>
    <row r="544" spans="1:19" customFormat="1" ht="15" customHeight="1">
      <c r="A544" s="663"/>
      <c r="B544" s="667"/>
      <c r="C544" s="612"/>
      <c r="D544" s="326"/>
      <c r="E544" s="329" t="s">
        <v>2107</v>
      </c>
      <c r="F544" s="330" cm="1">
        <f t="array" ref="F544:M544">F353:M353</f>
        <v>0</v>
      </c>
      <c r="G544" s="330">
        <v>4001.2721724237595</v>
      </c>
      <c r="H544" s="330">
        <v>2315.1899778428556</v>
      </c>
      <c r="I544" s="330">
        <v>2538.7364142527554</v>
      </c>
      <c r="J544" s="330">
        <v>2974.849850178457</v>
      </c>
      <c r="K544" s="330">
        <v>3606.7550062546584</v>
      </c>
      <c r="L544" s="330">
        <v>4465.0212510332476</v>
      </c>
      <c r="M544" s="330">
        <v>5497.6192774723741</v>
      </c>
      <c r="N544" s="323"/>
      <c r="R544" s="614"/>
    </row>
    <row r="545" spans="1:18" customFormat="1" ht="15" customHeight="1">
      <c r="A545" s="663"/>
      <c r="B545" s="667"/>
      <c r="C545" s="612"/>
      <c r="D545" s="326"/>
      <c r="E545" s="331" t="s">
        <v>2110</v>
      </c>
      <c r="F545" s="241" cm="1">
        <f t="array" ref="F545:M545">F394:M394</f>
        <v>828.41379339395939</v>
      </c>
      <c r="G545" s="241">
        <v>1104.5862352744698</v>
      </c>
      <c r="H545" s="241">
        <v>1488.7225123011478</v>
      </c>
      <c r="I545" s="241">
        <v>1906.5426672059273</v>
      </c>
      <c r="J545" s="241">
        <v>2425.7714928048681</v>
      </c>
      <c r="K545" s="241">
        <v>3067.9965095668394</v>
      </c>
      <c r="L545" s="241">
        <v>3838.678986865385</v>
      </c>
      <c r="M545" s="241">
        <v>4746.4742319812203</v>
      </c>
      <c r="N545" s="323"/>
      <c r="R545" s="614"/>
    </row>
    <row r="546" spans="1:18" customFormat="1" ht="15" customHeight="1">
      <c r="A546" s="663"/>
      <c r="B546" s="667"/>
      <c r="C546" s="612"/>
      <c r="D546" s="332"/>
      <c r="E546" s="331" t="s">
        <v>2108</v>
      </c>
      <c r="F546" s="241" cm="1">
        <f t="array" ref="F546:M546">F366:M366</f>
        <v>0</v>
      </c>
      <c r="G546" s="241">
        <v>3201.0177379390079</v>
      </c>
      <c r="H546" s="241">
        <v>1852.1519822742848</v>
      </c>
      <c r="I546" s="241">
        <v>2030.9891314022047</v>
      </c>
      <c r="J546" s="241">
        <v>2379.8798801427656</v>
      </c>
      <c r="K546" s="241">
        <v>2885.4040050037274</v>
      </c>
      <c r="L546" s="241">
        <v>3572.0170008265982</v>
      </c>
      <c r="M546" s="241">
        <v>4398.0954219779005</v>
      </c>
      <c r="N546" s="324"/>
      <c r="R546" s="614"/>
    </row>
    <row r="547" spans="1:18" customFormat="1" ht="15" customHeight="1">
      <c r="A547" s="663"/>
      <c r="B547" s="667"/>
      <c r="C547" s="612"/>
      <c r="D547" s="332"/>
      <c r="E547" s="331" t="s">
        <v>2297</v>
      </c>
      <c r="F547" s="241" cm="1">
        <f t="array" ref="F547:M547">F407:M407</f>
        <v>662.73103471516754</v>
      </c>
      <c r="G547" s="241">
        <v>883.66898821957568</v>
      </c>
      <c r="H547" s="241">
        <v>1190.9780098409183</v>
      </c>
      <c r="I547" s="241">
        <v>1525.2341337647417</v>
      </c>
      <c r="J547" s="241">
        <v>1940.6171942438948</v>
      </c>
      <c r="K547" s="241">
        <v>2454.3972076534715</v>
      </c>
      <c r="L547" s="241">
        <v>3070.9431894923077</v>
      </c>
      <c r="M547" s="241">
        <v>3797.1793855849764</v>
      </c>
      <c r="N547" s="324"/>
      <c r="R547" s="614"/>
    </row>
    <row r="548" spans="1:18" customFormat="1" ht="15" customHeight="1">
      <c r="A548" s="663"/>
      <c r="B548" s="667"/>
      <c r="C548" s="612"/>
      <c r="D548" s="332"/>
      <c r="E548" s="331" t="s">
        <v>2175</v>
      </c>
      <c r="F548" s="241" cm="1">
        <f t="array" ref="F548:M548">F379:M379</f>
        <v>0</v>
      </c>
      <c r="G548" s="241">
        <v>2800.8905206966315</v>
      </c>
      <c r="H548" s="241">
        <v>1620.632984489999</v>
      </c>
      <c r="I548" s="241">
        <v>1777.115489976929</v>
      </c>
      <c r="J548" s="241">
        <v>2082.3948951249195</v>
      </c>
      <c r="K548" s="241">
        <v>2524.7285043782608</v>
      </c>
      <c r="L548" s="241">
        <v>3125.5148757232732</v>
      </c>
      <c r="M548" s="241">
        <v>3848.333494230661</v>
      </c>
      <c r="N548" s="324"/>
      <c r="R548" s="614"/>
    </row>
    <row r="549" spans="1:18" customFormat="1" ht="15" customHeight="1">
      <c r="A549" s="663"/>
      <c r="B549" s="667"/>
      <c r="C549" s="612"/>
      <c r="D549" s="332"/>
      <c r="E549" s="333" t="s">
        <v>2298</v>
      </c>
      <c r="F549" s="334" cm="1">
        <f t="array" ref="F549:M549">F420:M420</f>
        <v>579.88965537577155</v>
      </c>
      <c r="G549" s="334">
        <v>773.21036469212879</v>
      </c>
      <c r="H549" s="334">
        <v>1042.1057586108034</v>
      </c>
      <c r="I549" s="334">
        <v>1334.5798670441488</v>
      </c>
      <c r="J549" s="334">
        <v>1698.0400449634076</v>
      </c>
      <c r="K549" s="334">
        <v>2147.5975566967877</v>
      </c>
      <c r="L549" s="334">
        <v>2687.0752908057689</v>
      </c>
      <c r="M549" s="334">
        <v>3322.531962386854</v>
      </c>
      <c r="N549" s="324"/>
      <c r="R549" s="614"/>
    </row>
    <row r="550" spans="1:18" customFormat="1" ht="15" customHeight="1">
      <c r="A550" s="663"/>
      <c r="B550" s="667"/>
      <c r="C550" s="612"/>
      <c r="D550" s="322"/>
      <c r="E550" s="324"/>
      <c r="F550" s="324"/>
      <c r="G550" s="324"/>
      <c r="H550" s="324"/>
      <c r="I550" s="324"/>
      <c r="J550" s="324"/>
      <c r="K550" s="324"/>
      <c r="L550" s="324"/>
      <c r="M550" s="324"/>
      <c r="N550" s="324"/>
      <c r="R550" s="614"/>
    </row>
    <row r="551" spans="1:18" customFormat="1" ht="15" customHeight="1">
      <c r="A551" s="663"/>
      <c r="B551" s="667"/>
      <c r="C551" s="612"/>
      <c r="D551" s="322"/>
      <c r="E551" s="323" t="s">
        <v>2299</v>
      </c>
      <c r="F551" s="324"/>
      <c r="G551" s="324"/>
      <c r="H551" s="324"/>
      <c r="I551" s="324"/>
      <c r="J551" s="324"/>
      <c r="K551" s="324"/>
      <c r="L551" s="324"/>
      <c r="M551" s="324"/>
      <c r="N551" s="324"/>
      <c r="R551" s="614"/>
    </row>
    <row r="552" spans="1:18" customFormat="1" ht="15" customHeight="1">
      <c r="A552" s="663"/>
      <c r="B552" s="667"/>
      <c r="D552" s="322"/>
      <c r="E552" s="324"/>
      <c r="F552" s="324"/>
      <c r="G552" s="324"/>
      <c r="H552" s="324"/>
      <c r="I552" s="324"/>
      <c r="J552" s="324"/>
      <c r="K552" s="324"/>
      <c r="L552" s="324"/>
      <c r="M552" s="325" t="s">
        <v>803</v>
      </c>
      <c r="N552" s="324"/>
      <c r="R552" s="614"/>
    </row>
    <row r="553" spans="1:18" customFormat="1" ht="15" customHeight="1">
      <c r="A553" s="663"/>
      <c r="B553" s="667"/>
      <c r="C553" s="621"/>
      <c r="D553" s="326"/>
      <c r="E553" s="327" t="s">
        <v>699</v>
      </c>
      <c r="F553" s="328">
        <v>2018</v>
      </c>
      <c r="G553" s="328" t="s">
        <v>322</v>
      </c>
      <c r="H553" s="328" t="s">
        <v>323</v>
      </c>
      <c r="I553" s="328" t="s">
        <v>324</v>
      </c>
      <c r="J553" s="328" t="s">
        <v>325</v>
      </c>
      <c r="K553" s="328" t="s">
        <v>326</v>
      </c>
      <c r="L553" s="328" t="s">
        <v>327</v>
      </c>
      <c r="M553" s="328" t="s">
        <v>328</v>
      </c>
      <c r="N553" s="324"/>
      <c r="O553" s="621"/>
      <c r="R553" s="614"/>
    </row>
    <row r="554" spans="1:18" customFormat="1" ht="15" customHeight="1">
      <c r="A554" s="663"/>
      <c r="B554" s="667"/>
      <c r="C554" s="621"/>
      <c r="D554" s="326"/>
      <c r="E554" s="329" t="s">
        <v>2107</v>
      </c>
      <c r="F554" s="330" cm="1">
        <f t="array" ref="F554:M554">F435:M435</f>
        <v>0</v>
      </c>
      <c r="G554" s="330">
        <v>1678.8377073357917</v>
      </c>
      <c r="H554" s="330">
        <v>959.45761061802989</v>
      </c>
      <c r="I554" s="330">
        <v>1042.6945020232724</v>
      </c>
      <c r="J554" s="330">
        <v>1200.5062060994796</v>
      </c>
      <c r="K554" s="330">
        <v>1425.1967513423976</v>
      </c>
      <c r="L554" s="330">
        <v>1742.8298359834557</v>
      </c>
      <c r="M554" s="330">
        <v>2136.1296793626693</v>
      </c>
      <c r="N554" s="324"/>
      <c r="O554" s="621"/>
      <c r="P554" s="622"/>
      <c r="R554" s="614"/>
    </row>
    <row r="555" spans="1:18" customFormat="1" ht="15" customHeight="1">
      <c r="A555" s="663"/>
      <c r="B555" s="667"/>
      <c r="C555" s="621"/>
      <c r="D555" s="326"/>
      <c r="E555" s="331" t="s">
        <v>2110</v>
      </c>
      <c r="F555" s="241" cm="1">
        <f t="array" ref="F555:M555">F476:M476</f>
        <v>265.66936947553711</v>
      </c>
      <c r="G555" s="241">
        <v>344.44806457718613</v>
      </c>
      <c r="H555" s="241">
        <v>464.34403160513631</v>
      </c>
      <c r="I555" s="241">
        <v>591.85360943412456</v>
      </c>
      <c r="J555" s="241">
        <v>736.88921479102032</v>
      </c>
      <c r="K555" s="241">
        <v>908.00898599864217</v>
      </c>
      <c r="L555" s="241">
        <v>1117.0527795254093</v>
      </c>
      <c r="M555" s="241">
        <v>1373.1428469307127</v>
      </c>
      <c r="N555" s="324"/>
      <c r="O555" s="621"/>
      <c r="P555" s="622"/>
      <c r="R555" s="614"/>
    </row>
    <row r="556" spans="1:18" customFormat="1" ht="15" customHeight="1">
      <c r="A556" s="663"/>
      <c r="B556" s="667"/>
      <c r="D556" s="326"/>
      <c r="E556" s="331" t="s">
        <v>2108</v>
      </c>
      <c r="F556" s="241" cm="1">
        <f t="array" ref="F556:M556">F448:M448</f>
        <v>0</v>
      </c>
      <c r="G556" s="241">
        <v>1343.0701658686337</v>
      </c>
      <c r="H556" s="241">
        <v>767.56608849442398</v>
      </c>
      <c r="I556" s="241">
        <v>834.15560161861822</v>
      </c>
      <c r="J556" s="241">
        <v>960.40496487958387</v>
      </c>
      <c r="K556" s="241">
        <v>1140.1574010739184</v>
      </c>
      <c r="L556" s="241">
        <v>1394.2638687867645</v>
      </c>
      <c r="M556" s="241">
        <v>1708.9037434901359</v>
      </c>
      <c r="N556" s="324"/>
      <c r="O556" s="620"/>
      <c r="P556" s="622"/>
      <c r="R556" s="614"/>
    </row>
    <row r="557" spans="1:18" customFormat="1" ht="15" customHeight="1">
      <c r="A557" s="663"/>
      <c r="B557" s="667"/>
      <c r="D557" s="326"/>
      <c r="E557" s="331" t="s">
        <v>2297</v>
      </c>
      <c r="F557" s="241" cm="1">
        <f t="array" ref="F557:M557">F489:M489</f>
        <v>212.53549558042977</v>
      </c>
      <c r="G557" s="241">
        <v>275.55845166174896</v>
      </c>
      <c r="H557" s="241">
        <v>371.475225284109</v>
      </c>
      <c r="I557" s="241">
        <v>473.48288754729953</v>
      </c>
      <c r="J557" s="241">
        <v>589.51137183281617</v>
      </c>
      <c r="K557" s="241">
        <v>726.40718879891358</v>
      </c>
      <c r="L557" s="241">
        <v>893.64222362032729</v>
      </c>
      <c r="M557" s="241">
        <v>1098.5142775445699</v>
      </c>
      <c r="N557" s="324"/>
      <c r="O557" s="620"/>
      <c r="R557" s="614"/>
    </row>
    <row r="558" spans="1:18" customFormat="1" ht="15" customHeight="1">
      <c r="A558" s="663"/>
      <c r="B558" s="667"/>
      <c r="C558" s="612"/>
      <c r="D558" s="332"/>
      <c r="E558" s="331" t="s">
        <v>2175</v>
      </c>
      <c r="F558" s="241" cm="1">
        <f t="array" ref="F558:M558">F461:M461</f>
        <v>0</v>
      </c>
      <c r="G558" s="241">
        <v>1175.1863951350542</v>
      </c>
      <c r="H558" s="241">
        <v>671.62032743262102</v>
      </c>
      <c r="I558" s="241">
        <v>729.88615141629077</v>
      </c>
      <c r="J558" s="241">
        <v>840.3543442696357</v>
      </c>
      <c r="K558" s="241">
        <v>997.63772593967849</v>
      </c>
      <c r="L558" s="241">
        <v>1219.9808851884191</v>
      </c>
      <c r="M558" s="241">
        <v>1495.2907755538683</v>
      </c>
      <c r="N558" s="324"/>
      <c r="R558" s="614"/>
    </row>
    <row r="559" spans="1:18" customFormat="1" ht="15" customHeight="1">
      <c r="A559" s="663"/>
      <c r="B559" s="667"/>
      <c r="C559" s="612"/>
      <c r="D559" s="332"/>
      <c r="E559" s="333" t="s">
        <v>2298</v>
      </c>
      <c r="F559" s="334" cm="1">
        <f t="array" ref="F559:M559">F502:M502</f>
        <v>185.96855863287601</v>
      </c>
      <c r="G559" s="334">
        <v>241.11364520403026</v>
      </c>
      <c r="H559" s="334">
        <v>325.04082212359543</v>
      </c>
      <c r="I559" s="334">
        <v>414.29752660388704</v>
      </c>
      <c r="J559" s="334">
        <v>515.82245035371409</v>
      </c>
      <c r="K559" s="334">
        <v>635.60629019904957</v>
      </c>
      <c r="L559" s="334">
        <v>781.9369456677864</v>
      </c>
      <c r="M559" s="334">
        <v>961.19999285149868</v>
      </c>
      <c r="N559" s="324"/>
      <c r="R559" s="614"/>
    </row>
    <row r="560" spans="1:18" customFormat="1" ht="15" customHeight="1">
      <c r="A560" s="663"/>
      <c r="B560" s="667"/>
      <c r="C560" s="612"/>
      <c r="D560" s="322"/>
      <c r="E560" s="324"/>
      <c r="F560" s="324"/>
      <c r="G560" s="324"/>
      <c r="H560" s="324"/>
      <c r="I560" s="324"/>
      <c r="J560" s="324"/>
      <c r="K560" s="324"/>
      <c r="L560" s="324"/>
      <c r="M560" s="324"/>
      <c r="N560" s="324"/>
      <c r="R560" s="614"/>
    </row>
    <row r="561" spans="1:16382" customFormat="1" ht="15" customHeight="1">
      <c r="A561" s="663"/>
      <c r="B561" s="667"/>
      <c r="C561" s="612"/>
      <c r="D561" s="324"/>
      <c r="E561" s="324"/>
      <c r="F561" s="324"/>
      <c r="G561" s="324"/>
      <c r="H561" s="324"/>
      <c r="I561" s="324"/>
      <c r="J561" s="324"/>
      <c r="K561" s="324"/>
      <c r="L561" s="324"/>
      <c r="M561" s="324"/>
      <c r="N561" s="324"/>
      <c r="R561" s="614"/>
    </row>
    <row r="562" spans="1:16382" customFormat="1" ht="15" customHeight="1">
      <c r="A562" s="663"/>
      <c r="B562" s="667"/>
      <c r="C562" s="612"/>
      <c r="D562" s="3"/>
      <c r="E562" s="3"/>
      <c r="F562" s="3"/>
      <c r="G562" s="3"/>
      <c r="H562" s="3"/>
      <c r="I562" s="3"/>
      <c r="J562" s="3"/>
      <c r="K562" s="3"/>
      <c r="L562" s="3"/>
      <c r="M562" s="3"/>
      <c r="N562" s="3"/>
      <c r="R562" s="614"/>
    </row>
    <row r="563" spans="1:16382" customFormat="1" ht="15" customHeight="1">
      <c r="A563" s="663"/>
      <c r="B563" s="667"/>
      <c r="C563" s="612"/>
      <c r="D563" s="613" t="s">
        <v>1893</v>
      </c>
      <c r="R563" s="614"/>
    </row>
    <row r="564" spans="1:16382" customFormat="1" ht="15" customHeight="1">
      <c r="A564" s="663"/>
      <c r="B564" s="667"/>
      <c r="C564" s="612"/>
      <c r="D564" s="613"/>
      <c r="R564" s="614"/>
    </row>
    <row r="565" spans="1:16382" customFormat="1" ht="15" customHeight="1">
      <c r="A565" s="663"/>
      <c r="B565" s="667"/>
      <c r="C565" s="612"/>
      <c r="D565" s="615">
        <v>1</v>
      </c>
      <c r="E565" s="616" t="s">
        <v>2398</v>
      </c>
      <c r="G565" s="186"/>
      <c r="R565" s="614"/>
    </row>
    <row r="566" spans="1:16382" customFormat="1" ht="15" customHeight="1">
      <c r="A566" s="663"/>
      <c r="B566" s="667"/>
      <c r="C566" s="612"/>
      <c r="D566" s="615"/>
      <c r="E566" s="616"/>
      <c r="G566" s="186"/>
      <c r="R566" s="614"/>
    </row>
    <row r="567" spans="1:16382" customFormat="1" ht="15" customHeight="1">
      <c r="A567" s="663"/>
      <c r="B567" s="667"/>
      <c r="C567" s="612"/>
      <c r="D567" s="615"/>
      <c r="E567" s="1700" t="s">
        <v>2399</v>
      </c>
      <c r="F567" s="623"/>
      <c r="G567" s="624"/>
      <c r="Q567" s="622"/>
      <c r="R567" s="622"/>
      <c r="S567" s="621"/>
      <c r="T567" s="3933"/>
      <c r="U567" s="3933"/>
      <c r="V567" s="3933"/>
      <c r="W567" s="621"/>
      <c r="X567" s="3933"/>
      <c r="Y567" s="3933"/>
      <c r="Z567" s="3933"/>
      <c r="AA567" s="621"/>
      <c r="AB567" s="3933"/>
      <c r="AC567" s="3933"/>
      <c r="AD567" s="3933"/>
      <c r="AE567" s="621"/>
      <c r="AF567" s="3933"/>
      <c r="AG567" s="3933"/>
      <c r="AH567" s="3933"/>
      <c r="AI567" s="621"/>
      <c r="AJ567" s="3933"/>
      <c r="AK567" s="3933"/>
      <c r="AL567" s="3933"/>
      <c r="AM567" s="621"/>
      <c r="AN567" s="3933"/>
      <c r="AO567" s="3933"/>
      <c r="AP567" s="3933"/>
      <c r="AQ567" s="621"/>
      <c r="AR567" s="3933"/>
      <c r="AS567" s="3933"/>
      <c r="AT567" s="3933"/>
      <c r="AU567" s="621"/>
      <c r="AV567" s="3933"/>
      <c r="AW567" s="3933"/>
      <c r="AX567" s="3933"/>
      <c r="AY567" s="621"/>
      <c r="AZ567" s="3933"/>
      <c r="BA567" s="3933"/>
      <c r="BB567" s="3933"/>
      <c r="BC567" s="621"/>
      <c r="BD567" s="3933"/>
      <c r="BE567" s="3933"/>
      <c r="BF567" s="3933"/>
      <c r="BG567" s="621"/>
      <c r="BH567" s="3933"/>
      <c r="BI567" s="3933"/>
      <c r="BJ567" s="3933"/>
      <c r="BK567" s="621"/>
      <c r="BL567" s="3933"/>
      <c r="BM567" s="3933"/>
      <c r="BN567" s="3933"/>
      <c r="BO567" s="621"/>
      <c r="BP567" s="3933"/>
      <c r="BQ567" s="3933"/>
      <c r="BR567" s="3933"/>
      <c r="BS567" s="621"/>
      <c r="BT567" s="3933"/>
      <c r="BU567" s="3933"/>
      <c r="BV567" s="3933"/>
      <c r="BW567" s="621"/>
      <c r="BX567" s="3933"/>
      <c r="BY567" s="3933"/>
      <c r="BZ567" s="3933"/>
      <c r="CA567" s="621"/>
      <c r="CB567" s="3933"/>
      <c r="CC567" s="3933"/>
      <c r="CD567" s="3933"/>
      <c r="CE567" s="621"/>
      <c r="CF567" s="3933"/>
      <c r="CG567" s="3933"/>
      <c r="CH567" s="3933"/>
      <c r="CI567" s="621"/>
      <c r="CJ567" s="3933"/>
      <c r="CK567" s="3933"/>
      <c r="CL567" s="3933"/>
      <c r="CM567" s="621"/>
      <c r="CN567" s="3933"/>
      <c r="CO567" s="3933"/>
      <c r="CP567" s="3933"/>
      <c r="CQ567" s="621"/>
      <c r="CR567" s="3933"/>
      <c r="CS567" s="3933"/>
      <c r="CT567" s="3933"/>
      <c r="CU567" s="621"/>
      <c r="CV567" s="3933"/>
      <c r="CW567" s="3933"/>
      <c r="CX567" s="3933"/>
      <c r="CY567" s="621"/>
      <c r="CZ567" s="3933"/>
      <c r="DA567" s="3933"/>
      <c r="DB567" s="3933"/>
      <c r="DC567" s="621"/>
      <c r="DD567" s="3933"/>
      <c r="DE567" s="3933"/>
      <c r="DF567" s="3933"/>
      <c r="DG567" s="621"/>
      <c r="DH567" s="3933"/>
      <c r="DI567" s="3933"/>
      <c r="DJ567" s="3933"/>
      <c r="DK567" s="621"/>
      <c r="DL567" s="3933"/>
      <c r="DM567" s="3933"/>
      <c r="DN567" s="3933"/>
      <c r="DO567" s="621"/>
      <c r="DP567" s="3933"/>
      <c r="DQ567" s="3933"/>
      <c r="DR567" s="3933"/>
      <c r="DS567" s="621"/>
      <c r="DT567" s="3933"/>
      <c r="DU567" s="3933"/>
      <c r="DV567" s="3933"/>
      <c r="DW567" s="621"/>
      <c r="DX567" s="3933"/>
      <c r="DY567" s="3933"/>
      <c r="DZ567" s="3933"/>
      <c r="EA567" s="621"/>
      <c r="EB567" s="3933"/>
      <c r="EC567" s="3933"/>
      <c r="ED567" s="3933"/>
      <c r="EE567" s="621"/>
      <c r="EF567" s="3933"/>
      <c r="EG567" s="3933"/>
      <c r="EH567" s="3933"/>
      <c r="EI567" s="621"/>
      <c r="EJ567" s="3933"/>
      <c r="EK567" s="3933"/>
      <c r="EL567" s="3933"/>
      <c r="EM567" s="621"/>
      <c r="EN567" s="3933"/>
      <c r="EO567" s="3933"/>
      <c r="EP567" s="3933"/>
      <c r="EQ567" s="621"/>
      <c r="ER567" s="3933"/>
      <c r="ES567" s="3933"/>
      <c r="ET567" s="3933"/>
      <c r="EU567" s="621"/>
      <c r="EV567" s="3933"/>
      <c r="EW567" s="3933"/>
      <c r="EX567" s="3933"/>
      <c r="EY567" s="621"/>
      <c r="EZ567" s="3933"/>
      <c r="FA567" s="3933"/>
      <c r="FB567" s="3933"/>
      <c r="FC567" s="621"/>
      <c r="FD567" s="3933"/>
      <c r="FE567" s="3933"/>
      <c r="FF567" s="3933"/>
      <c r="FG567" s="621"/>
      <c r="FH567" s="3933"/>
      <c r="FI567" s="3933"/>
      <c r="FJ567" s="3933"/>
      <c r="FK567" s="621"/>
      <c r="FL567" s="3933"/>
      <c r="FM567" s="3933"/>
      <c r="FN567" s="3933"/>
      <c r="FO567" s="621"/>
      <c r="FP567" s="3933"/>
      <c r="FQ567" s="3933"/>
      <c r="FR567" s="3933"/>
      <c r="FS567" s="621"/>
      <c r="FT567" s="3933"/>
      <c r="FU567" s="3933"/>
      <c r="FV567" s="3933"/>
      <c r="FW567" s="621"/>
      <c r="FX567" s="3933"/>
      <c r="FY567" s="3933"/>
      <c r="FZ567" s="3933"/>
      <c r="GA567" s="621"/>
      <c r="GB567" s="3933"/>
      <c r="GC567" s="3933"/>
      <c r="GD567" s="3933"/>
      <c r="GE567" s="621"/>
      <c r="GF567" s="3933"/>
      <c r="GG567" s="3933"/>
      <c r="GH567" s="3933"/>
      <c r="GI567" s="621"/>
      <c r="GJ567" s="3933"/>
      <c r="GK567" s="3933"/>
      <c r="GL567" s="3933"/>
      <c r="GM567" s="621"/>
      <c r="GN567" s="3933"/>
      <c r="GO567" s="3933"/>
      <c r="GP567" s="3933"/>
      <c r="GQ567" s="621"/>
      <c r="GR567" s="3933"/>
      <c r="GS567" s="3933"/>
      <c r="GT567" s="3933"/>
      <c r="GU567" s="621"/>
      <c r="GV567" s="3933"/>
      <c r="GW567" s="3933"/>
      <c r="GX567" s="3933"/>
      <c r="GY567" s="621"/>
      <c r="GZ567" s="3933"/>
      <c r="HA567" s="3933"/>
      <c r="HB567" s="3933"/>
      <c r="HC567" s="621"/>
      <c r="HD567" s="3933"/>
      <c r="HE567" s="3933"/>
      <c r="HF567" s="3933"/>
      <c r="HG567" s="621"/>
      <c r="HH567" s="3933"/>
      <c r="HI567" s="3933"/>
      <c r="HJ567" s="3933"/>
      <c r="HK567" s="621"/>
      <c r="HL567" s="3933"/>
      <c r="HM567" s="3933"/>
      <c r="HN567" s="3933"/>
      <c r="HO567" s="621"/>
      <c r="HP567" s="3933"/>
      <c r="HQ567" s="3933"/>
      <c r="HR567" s="3933"/>
      <c r="HS567" s="621"/>
      <c r="HT567" s="3933"/>
      <c r="HU567" s="3933"/>
      <c r="HV567" s="3933"/>
      <c r="HW567" s="621"/>
      <c r="HX567" s="3933"/>
      <c r="HY567" s="3933"/>
      <c r="HZ567" s="3933"/>
      <c r="IA567" s="621"/>
      <c r="IB567" s="3933"/>
      <c r="IC567" s="3933"/>
      <c r="ID567" s="3933"/>
      <c r="IE567" s="621"/>
      <c r="IF567" s="3933"/>
      <c r="IG567" s="3933"/>
      <c r="IH567" s="3933"/>
      <c r="II567" s="621"/>
      <c r="IJ567" s="3933"/>
      <c r="IK567" s="3933"/>
      <c r="IL567" s="3933"/>
      <c r="IM567" s="621"/>
      <c r="IN567" s="3933"/>
      <c r="IO567" s="3933"/>
      <c r="IP567" s="3933"/>
      <c r="IQ567" s="621"/>
      <c r="IR567" s="3933"/>
      <c r="IS567" s="3933"/>
      <c r="IT567" s="3933"/>
      <c r="IU567" s="621"/>
      <c r="IV567" s="3933"/>
      <c r="IW567" s="3933"/>
      <c r="IX567" s="3933"/>
      <c r="IY567" s="621"/>
      <c r="IZ567" s="3933"/>
      <c r="JA567" s="3933"/>
      <c r="JB567" s="3933"/>
      <c r="JC567" s="621"/>
      <c r="JD567" s="3933"/>
      <c r="JE567" s="3933"/>
      <c r="JF567" s="3933"/>
      <c r="JG567" s="621"/>
      <c r="JH567" s="3933"/>
      <c r="JI567" s="3933"/>
      <c r="JJ567" s="3933"/>
      <c r="JK567" s="621"/>
      <c r="JL567" s="3933"/>
      <c r="JM567" s="3933"/>
      <c r="JN567" s="3933"/>
      <c r="JO567" s="621"/>
      <c r="JP567" s="3933"/>
      <c r="JQ567" s="3933"/>
      <c r="JR567" s="3933"/>
      <c r="JS567" s="621"/>
      <c r="JT567" s="3933"/>
      <c r="JU567" s="3933"/>
      <c r="JV567" s="3933"/>
      <c r="JW567" s="621"/>
      <c r="JX567" s="3933"/>
      <c r="JY567" s="3933"/>
      <c r="JZ567" s="3933"/>
      <c r="KA567" s="621"/>
      <c r="KB567" s="3933"/>
      <c r="KC567" s="3933"/>
      <c r="KD567" s="3933"/>
      <c r="KE567" s="621"/>
      <c r="KF567" s="3933"/>
      <c r="KG567" s="3933"/>
      <c r="KH567" s="3933"/>
      <c r="KI567" s="621"/>
      <c r="KJ567" s="3933"/>
      <c r="KK567" s="3933"/>
      <c r="KL567" s="3933"/>
      <c r="KM567" s="621"/>
      <c r="KN567" s="3933"/>
      <c r="KO567" s="3933"/>
      <c r="KP567" s="3933"/>
      <c r="KQ567" s="621"/>
      <c r="KR567" s="3933"/>
      <c r="KS567" s="3933"/>
      <c r="KT567" s="3933"/>
      <c r="KU567" s="621"/>
      <c r="KV567" s="3933"/>
      <c r="KW567" s="3933"/>
      <c r="KX567" s="3933"/>
      <c r="KY567" s="621"/>
      <c r="KZ567" s="3933"/>
      <c r="LA567" s="3933"/>
      <c r="LB567" s="3933"/>
      <c r="LC567" s="621"/>
      <c r="LD567" s="3933"/>
      <c r="LE567" s="3933"/>
      <c r="LF567" s="3933"/>
      <c r="LG567" s="621"/>
      <c r="LH567" s="3933"/>
      <c r="LI567" s="3933"/>
      <c r="LJ567" s="3933"/>
      <c r="LK567" s="621"/>
      <c r="LL567" s="3933"/>
      <c r="LM567" s="3933"/>
      <c r="LN567" s="3933"/>
      <c r="LO567" s="621"/>
      <c r="LP567" s="3933"/>
      <c r="LQ567" s="3933"/>
      <c r="LR567" s="3933"/>
      <c r="LS567" s="621"/>
      <c r="LT567" s="3933"/>
      <c r="LU567" s="3933"/>
      <c r="LV567" s="3933"/>
      <c r="LW567" s="621"/>
      <c r="LX567" s="3933"/>
      <c r="LY567" s="3933"/>
      <c r="LZ567" s="3933"/>
      <c r="MA567" s="621"/>
      <c r="MB567" s="3933"/>
      <c r="MC567" s="3933"/>
      <c r="MD567" s="3933"/>
      <c r="ME567" s="621"/>
      <c r="MF567" s="3933"/>
      <c r="MG567" s="3933"/>
      <c r="MH567" s="3933"/>
      <c r="MI567" s="621"/>
      <c r="MJ567" s="3933"/>
      <c r="MK567" s="3933"/>
      <c r="ML567" s="3933"/>
      <c r="MM567" s="621"/>
      <c r="MN567" s="3933"/>
      <c r="MO567" s="3933"/>
      <c r="MP567" s="3933"/>
      <c r="MQ567" s="621"/>
      <c r="MR567" s="3933"/>
      <c r="MS567" s="3933"/>
      <c r="MT567" s="3933"/>
      <c r="MU567" s="621"/>
      <c r="MV567" s="3933"/>
      <c r="MW567" s="3933"/>
      <c r="MX567" s="3933"/>
      <c r="MY567" s="621"/>
      <c r="MZ567" s="3933"/>
      <c r="NA567" s="3933"/>
      <c r="NB567" s="3933"/>
      <c r="NC567" s="621"/>
      <c r="ND567" s="3933"/>
      <c r="NE567" s="3933"/>
      <c r="NF567" s="3933"/>
      <c r="NG567" s="621"/>
      <c r="NH567" s="3933"/>
      <c r="NI567" s="3933"/>
      <c r="NJ567" s="3933"/>
      <c r="NK567" s="621"/>
      <c r="NL567" s="3933"/>
      <c r="NM567" s="3933"/>
      <c r="NN567" s="3933"/>
      <c r="NO567" s="621"/>
      <c r="NP567" s="3933"/>
      <c r="NQ567" s="3933"/>
      <c r="NR567" s="3933"/>
      <c r="NS567" s="621"/>
      <c r="NT567" s="3933"/>
      <c r="NU567" s="3933"/>
      <c r="NV567" s="3933"/>
      <c r="NW567" s="621"/>
      <c r="NX567" s="3933"/>
      <c r="NY567" s="3933"/>
      <c r="NZ567" s="3933"/>
      <c r="OA567" s="621"/>
      <c r="OB567" s="3933"/>
      <c r="OC567" s="3933"/>
      <c r="OD567" s="3933"/>
      <c r="OE567" s="621"/>
      <c r="OF567" s="3933"/>
      <c r="OG567" s="3933"/>
      <c r="OH567" s="3933"/>
      <c r="OI567" s="621"/>
      <c r="OJ567" s="3933"/>
      <c r="OK567" s="3933"/>
      <c r="OL567" s="3933"/>
      <c r="OM567" s="621"/>
      <c r="ON567" s="3933"/>
      <c r="OO567" s="3933"/>
      <c r="OP567" s="3933"/>
      <c r="OQ567" s="621"/>
      <c r="OR567" s="3933"/>
      <c r="OS567" s="3933"/>
      <c r="OT567" s="3933"/>
      <c r="OU567" s="621"/>
      <c r="OV567" s="3933"/>
      <c r="OW567" s="3933"/>
      <c r="OX567" s="3933"/>
      <c r="OY567" s="621"/>
      <c r="OZ567" s="3933"/>
      <c r="PA567" s="3933"/>
      <c r="PB567" s="3933"/>
      <c r="PC567" s="621"/>
      <c r="PD567" s="3933"/>
      <c r="PE567" s="3933"/>
      <c r="PF567" s="3933"/>
      <c r="PG567" s="621"/>
      <c r="PH567" s="3933"/>
      <c r="PI567" s="3933"/>
      <c r="PJ567" s="3933"/>
      <c r="PK567" s="621"/>
      <c r="PL567" s="3933"/>
      <c r="PM567" s="3933"/>
      <c r="PN567" s="3933"/>
      <c r="PO567" s="621"/>
      <c r="PP567" s="3933"/>
      <c r="PQ567" s="3933"/>
      <c r="PR567" s="3933"/>
      <c r="PS567" s="621"/>
      <c r="PT567" s="3933"/>
      <c r="PU567" s="3933"/>
      <c r="PV567" s="3933"/>
      <c r="PW567" s="621"/>
      <c r="PX567" s="3933"/>
      <c r="PY567" s="3933"/>
      <c r="PZ567" s="3933"/>
      <c r="QA567" s="621"/>
      <c r="QB567" s="3933"/>
      <c r="QC567" s="3933"/>
      <c r="QD567" s="3933"/>
      <c r="QE567" s="621"/>
      <c r="QF567" s="3933"/>
      <c r="QG567" s="3933"/>
      <c r="QH567" s="3933"/>
      <c r="QI567" s="621"/>
      <c r="QJ567" s="3933"/>
      <c r="QK567" s="3933"/>
      <c r="QL567" s="3933"/>
      <c r="QM567" s="621"/>
      <c r="QN567" s="3933"/>
      <c r="QO567" s="3933"/>
      <c r="QP567" s="3933"/>
      <c r="QQ567" s="621"/>
      <c r="QR567" s="3933"/>
      <c r="QS567" s="3933"/>
      <c r="QT567" s="3933"/>
      <c r="QU567" s="621"/>
      <c r="QV567" s="3933"/>
      <c r="QW567" s="3933"/>
      <c r="QX567" s="3933"/>
      <c r="QY567" s="621"/>
      <c r="QZ567" s="3933"/>
      <c r="RA567" s="3933"/>
      <c r="RB567" s="3933"/>
      <c r="RC567" s="621"/>
      <c r="RD567" s="3933"/>
      <c r="RE567" s="3933"/>
      <c r="RF567" s="3933"/>
      <c r="RG567" s="621"/>
      <c r="RH567" s="3933"/>
      <c r="RI567" s="3933"/>
      <c r="RJ567" s="3933"/>
      <c r="RK567" s="621"/>
      <c r="RL567" s="3933"/>
      <c r="RM567" s="3933"/>
      <c r="RN567" s="3933"/>
      <c r="RO567" s="621"/>
      <c r="RP567" s="3933"/>
      <c r="RQ567" s="3933"/>
      <c r="RR567" s="3933"/>
      <c r="RS567" s="621"/>
      <c r="RT567" s="3933"/>
      <c r="RU567" s="3933"/>
      <c r="RV567" s="3933"/>
      <c r="RW567" s="621"/>
      <c r="RX567" s="3933"/>
      <c r="RY567" s="3933"/>
      <c r="RZ567" s="3933"/>
      <c r="SA567" s="621"/>
      <c r="SB567" s="3933"/>
      <c r="SC567" s="3933"/>
      <c r="SD567" s="3933"/>
      <c r="SE567" s="621"/>
      <c r="SF567" s="3933"/>
      <c r="SG567" s="3933"/>
      <c r="SH567" s="3933"/>
      <c r="SI567" s="621"/>
      <c r="SJ567" s="3933"/>
      <c r="SK567" s="3933"/>
      <c r="SL567" s="3933"/>
      <c r="SM567" s="621"/>
      <c r="SN567" s="3933"/>
      <c r="SO567" s="3933"/>
      <c r="SP567" s="3933"/>
      <c r="SQ567" s="621"/>
      <c r="SR567" s="3933"/>
      <c r="SS567" s="3933"/>
      <c r="ST567" s="3933"/>
      <c r="SU567" s="621"/>
      <c r="SV567" s="3933"/>
      <c r="SW567" s="3933"/>
      <c r="SX567" s="3933"/>
      <c r="SY567" s="621"/>
      <c r="SZ567" s="3933"/>
      <c r="TA567" s="3933"/>
      <c r="TB567" s="3933"/>
      <c r="TC567" s="621"/>
      <c r="TD567" s="3933"/>
      <c r="TE567" s="3933"/>
      <c r="TF567" s="3933"/>
      <c r="TG567" s="621"/>
      <c r="TH567" s="3933"/>
      <c r="TI567" s="3933"/>
      <c r="TJ567" s="3933"/>
      <c r="TK567" s="621"/>
      <c r="TL567" s="3933"/>
      <c r="TM567" s="3933"/>
      <c r="TN567" s="3933"/>
      <c r="TO567" s="621"/>
      <c r="TP567" s="3933"/>
      <c r="TQ567" s="3933"/>
      <c r="TR567" s="3933"/>
      <c r="TS567" s="621"/>
      <c r="TT567" s="3933"/>
      <c r="TU567" s="3933"/>
      <c r="TV567" s="3933"/>
      <c r="TW567" s="621"/>
      <c r="TX567" s="3933"/>
      <c r="TY567" s="3933"/>
      <c r="TZ567" s="3933"/>
      <c r="UA567" s="621"/>
      <c r="UB567" s="3933"/>
      <c r="UC567" s="3933"/>
      <c r="UD567" s="3933"/>
      <c r="UE567" s="621"/>
      <c r="UF567" s="3933"/>
      <c r="UG567" s="3933"/>
      <c r="UH567" s="3933"/>
      <c r="UI567" s="621"/>
      <c r="UJ567" s="3933"/>
      <c r="UK567" s="3933"/>
      <c r="UL567" s="3933"/>
      <c r="UM567" s="621"/>
      <c r="UN567" s="3933"/>
      <c r="UO567" s="3933"/>
      <c r="UP567" s="3933"/>
      <c r="UQ567" s="621"/>
      <c r="UR567" s="3933"/>
      <c r="US567" s="3933"/>
      <c r="UT567" s="3933"/>
      <c r="UU567" s="621"/>
      <c r="UV567" s="3933"/>
      <c r="UW567" s="3933"/>
      <c r="UX567" s="3933"/>
      <c r="UY567" s="621"/>
      <c r="UZ567" s="3933"/>
      <c r="VA567" s="3933"/>
      <c r="VB567" s="3933"/>
      <c r="VC567" s="621"/>
      <c r="VD567" s="3933"/>
      <c r="VE567" s="3933"/>
      <c r="VF567" s="3933"/>
      <c r="VG567" s="621"/>
      <c r="VH567" s="3933"/>
      <c r="VI567" s="3933"/>
      <c r="VJ567" s="3933"/>
      <c r="VK567" s="621"/>
      <c r="VL567" s="3933"/>
      <c r="VM567" s="3933"/>
      <c r="VN567" s="3933"/>
      <c r="VO567" s="621"/>
      <c r="VP567" s="3933"/>
      <c r="VQ567" s="3933"/>
      <c r="VR567" s="3933"/>
      <c r="VS567" s="621"/>
      <c r="VT567" s="3933"/>
      <c r="VU567" s="3933"/>
      <c r="VV567" s="3933"/>
      <c r="VW567" s="621"/>
      <c r="VX567" s="3933"/>
      <c r="VY567" s="3933"/>
      <c r="VZ567" s="3933"/>
      <c r="WA567" s="621"/>
      <c r="WB567" s="3933"/>
      <c r="WC567" s="3933"/>
      <c r="WD567" s="3933"/>
      <c r="WE567" s="621"/>
      <c r="WF567" s="3933"/>
      <c r="WG567" s="3933"/>
      <c r="WH567" s="3933"/>
      <c r="WI567" s="621"/>
      <c r="WJ567" s="3933"/>
      <c r="WK567" s="3933"/>
      <c r="WL567" s="3933"/>
      <c r="WM567" s="621"/>
      <c r="WN567" s="3933"/>
      <c r="WO567" s="3933"/>
      <c r="WP567" s="3933"/>
      <c r="WQ567" s="621"/>
      <c r="WR567" s="3933"/>
      <c r="WS567" s="3933"/>
      <c r="WT567" s="3933"/>
      <c r="WU567" s="621"/>
      <c r="WV567" s="3933"/>
      <c r="WW567" s="3933"/>
      <c r="WX567" s="3933"/>
      <c r="WY567" s="621"/>
      <c r="WZ567" s="3933"/>
      <c r="XA567" s="3933"/>
      <c r="XB567" s="3933"/>
      <c r="XC567" s="621"/>
      <c r="XD567" s="3933"/>
      <c r="XE567" s="3933"/>
      <c r="XF567" s="3933"/>
      <c r="XG567" s="621"/>
      <c r="XH567" s="3933"/>
      <c r="XI567" s="3933"/>
      <c r="XJ567" s="3933"/>
      <c r="XK567" s="621"/>
      <c r="XL567" s="3933"/>
      <c r="XM567" s="3933"/>
      <c r="XN567" s="3933"/>
      <c r="XO567" s="621"/>
      <c r="XP567" s="3933"/>
      <c r="XQ567" s="3933"/>
      <c r="XR567" s="3933"/>
      <c r="XS567" s="621"/>
      <c r="XT567" s="3933"/>
      <c r="XU567" s="3933"/>
      <c r="XV567" s="3933"/>
      <c r="XW567" s="621"/>
      <c r="XX567" s="3933"/>
      <c r="XY567" s="3933"/>
      <c r="XZ567" s="3933"/>
      <c r="YA567" s="621"/>
      <c r="YB567" s="3933"/>
      <c r="YC567" s="3933"/>
      <c r="YD567" s="3933"/>
      <c r="YE567" s="621"/>
      <c r="YF567" s="3933"/>
      <c r="YG567" s="3933"/>
      <c r="YH567" s="3933"/>
      <c r="YI567" s="621"/>
      <c r="YJ567" s="3933"/>
      <c r="YK567" s="3933"/>
      <c r="YL567" s="3933"/>
      <c r="YM567" s="621"/>
      <c r="YN567" s="3933"/>
      <c r="YO567" s="3933"/>
      <c r="YP567" s="3933"/>
      <c r="YQ567" s="621"/>
      <c r="YR567" s="3933"/>
      <c r="YS567" s="3933"/>
      <c r="YT567" s="3933"/>
      <c r="YU567" s="621"/>
      <c r="YV567" s="3933"/>
      <c r="YW567" s="3933"/>
      <c r="YX567" s="3933"/>
      <c r="YY567" s="621"/>
      <c r="YZ567" s="3933"/>
      <c r="ZA567" s="3933"/>
      <c r="ZB567" s="3933"/>
      <c r="ZC567" s="621"/>
      <c r="ZD567" s="3933"/>
      <c r="ZE567" s="3933"/>
      <c r="ZF567" s="3933"/>
      <c r="ZG567" s="621"/>
      <c r="ZH567" s="3933"/>
      <c r="ZI567" s="3933"/>
      <c r="ZJ567" s="3933"/>
      <c r="ZK567" s="621"/>
      <c r="ZL567" s="3933"/>
      <c r="ZM567" s="3933"/>
      <c r="ZN567" s="3933"/>
      <c r="ZO567" s="621"/>
      <c r="ZP567" s="3933"/>
      <c r="ZQ567" s="3933"/>
      <c r="ZR567" s="3933"/>
      <c r="ZS567" s="621"/>
      <c r="ZT567" s="3933"/>
      <c r="ZU567" s="3933"/>
      <c r="ZV567" s="3933"/>
      <c r="ZW567" s="621"/>
      <c r="ZX567" s="3933"/>
      <c r="ZY567" s="3933"/>
      <c r="ZZ567" s="3933"/>
      <c r="AAA567" s="621"/>
      <c r="AAB567" s="3933"/>
      <c r="AAC567" s="3933"/>
      <c r="AAD567" s="3933"/>
      <c r="AAE567" s="621"/>
      <c r="AAF567" s="3933"/>
      <c r="AAG567" s="3933"/>
      <c r="AAH567" s="3933"/>
      <c r="AAI567" s="621"/>
      <c r="AAJ567" s="3933"/>
      <c r="AAK567" s="3933"/>
      <c r="AAL567" s="3933"/>
      <c r="AAM567" s="621"/>
      <c r="AAN567" s="3933"/>
      <c r="AAO567" s="3933"/>
      <c r="AAP567" s="3933"/>
      <c r="AAQ567" s="621"/>
      <c r="AAR567" s="3933"/>
      <c r="AAS567" s="3933"/>
      <c r="AAT567" s="3933"/>
      <c r="AAU567" s="621"/>
      <c r="AAV567" s="3933"/>
      <c r="AAW567" s="3933"/>
      <c r="AAX567" s="3933"/>
      <c r="AAY567" s="621"/>
      <c r="AAZ567" s="3933"/>
      <c r="ABA567" s="3933"/>
      <c r="ABB567" s="3933"/>
      <c r="ABC567" s="621"/>
      <c r="ABD567" s="3933"/>
      <c r="ABE567" s="3933"/>
      <c r="ABF567" s="3933"/>
      <c r="ABG567" s="621"/>
      <c r="ABH567" s="3933"/>
      <c r="ABI567" s="3933"/>
      <c r="ABJ567" s="3933"/>
      <c r="ABK567" s="621"/>
      <c r="ABL567" s="3933"/>
      <c r="ABM567" s="3933"/>
      <c r="ABN567" s="3933"/>
      <c r="ABO567" s="621"/>
      <c r="ABP567" s="3933"/>
      <c r="ABQ567" s="3933"/>
      <c r="ABR567" s="3933"/>
      <c r="ABS567" s="621"/>
      <c r="ABT567" s="3933"/>
      <c r="ABU567" s="3933"/>
      <c r="ABV567" s="3933"/>
      <c r="ABW567" s="621"/>
      <c r="ABX567" s="3933"/>
      <c r="ABY567" s="3933"/>
      <c r="ABZ567" s="3933"/>
      <c r="ACA567" s="621"/>
      <c r="ACB567" s="3933"/>
      <c r="ACC567" s="3933"/>
      <c r="ACD567" s="3933"/>
      <c r="ACE567" s="621"/>
      <c r="ACF567" s="3933"/>
      <c r="ACG567" s="3933"/>
      <c r="ACH567" s="3933"/>
      <c r="ACI567" s="621"/>
      <c r="ACJ567" s="3933"/>
      <c r="ACK567" s="3933"/>
      <c r="ACL567" s="3933"/>
      <c r="ACM567" s="621"/>
      <c r="ACN567" s="3933"/>
      <c r="ACO567" s="3933"/>
      <c r="ACP567" s="3933"/>
      <c r="ACQ567" s="621"/>
      <c r="ACR567" s="3933"/>
      <c r="ACS567" s="3933"/>
      <c r="ACT567" s="3933"/>
      <c r="ACU567" s="621"/>
      <c r="ACV567" s="3933"/>
      <c r="ACW567" s="3933"/>
      <c r="ACX567" s="3933"/>
      <c r="ACY567" s="621"/>
      <c r="ACZ567" s="3933"/>
      <c r="ADA567" s="3933"/>
      <c r="ADB567" s="3933"/>
      <c r="ADC567" s="621"/>
      <c r="ADD567" s="3933"/>
      <c r="ADE567" s="3933"/>
      <c r="ADF567" s="3933"/>
      <c r="ADG567" s="621"/>
      <c r="ADH567" s="3933"/>
      <c r="ADI567" s="3933"/>
      <c r="ADJ567" s="3933"/>
      <c r="ADK567" s="621"/>
      <c r="ADL567" s="3933"/>
      <c r="ADM567" s="3933"/>
      <c r="ADN567" s="3933"/>
      <c r="ADO567" s="621"/>
      <c r="ADP567" s="3933"/>
      <c r="ADQ567" s="3933"/>
      <c r="ADR567" s="3933"/>
      <c r="ADS567" s="621"/>
      <c r="ADT567" s="3933"/>
      <c r="ADU567" s="3933"/>
      <c r="ADV567" s="3933"/>
      <c r="ADW567" s="621"/>
      <c r="ADX567" s="3933"/>
      <c r="ADY567" s="3933"/>
      <c r="ADZ567" s="3933"/>
      <c r="AEA567" s="621"/>
      <c r="AEB567" s="3933"/>
      <c r="AEC567" s="3933"/>
      <c r="AED567" s="3933"/>
      <c r="AEE567" s="621"/>
      <c r="AEF567" s="3933"/>
      <c r="AEG567" s="3933"/>
      <c r="AEH567" s="3933"/>
      <c r="AEI567" s="621"/>
      <c r="AEJ567" s="3933"/>
      <c r="AEK567" s="3933"/>
      <c r="AEL567" s="3933"/>
      <c r="AEM567" s="621"/>
      <c r="AEN567" s="3933"/>
      <c r="AEO567" s="3933"/>
      <c r="AEP567" s="3933"/>
      <c r="AEQ567" s="621"/>
      <c r="AER567" s="3933"/>
      <c r="AES567" s="3933"/>
      <c r="AET567" s="3933"/>
      <c r="AEU567" s="621"/>
      <c r="AEV567" s="3933"/>
      <c r="AEW567" s="3933"/>
      <c r="AEX567" s="3933"/>
      <c r="AEY567" s="621"/>
      <c r="AEZ567" s="3933"/>
      <c r="AFA567" s="3933"/>
      <c r="AFB567" s="3933"/>
      <c r="AFC567" s="621"/>
      <c r="AFD567" s="3933"/>
      <c r="AFE567" s="3933"/>
      <c r="AFF567" s="3933"/>
      <c r="AFG567" s="621"/>
      <c r="AFH567" s="3933"/>
      <c r="AFI567" s="3933"/>
      <c r="AFJ567" s="3933"/>
      <c r="AFK567" s="621"/>
      <c r="AFL567" s="3933"/>
      <c r="AFM567" s="3933"/>
      <c r="AFN567" s="3933"/>
      <c r="AFO567" s="621"/>
      <c r="AFP567" s="3933"/>
      <c r="AFQ567" s="3933"/>
      <c r="AFR567" s="3933"/>
      <c r="AFS567" s="621"/>
      <c r="AFT567" s="3933"/>
      <c r="AFU567" s="3933"/>
      <c r="AFV567" s="3933"/>
      <c r="AFW567" s="621"/>
      <c r="AFX567" s="3933"/>
      <c r="AFY567" s="3933"/>
      <c r="AFZ567" s="3933"/>
      <c r="AGA567" s="621"/>
      <c r="AGB567" s="3933"/>
      <c r="AGC567" s="3933"/>
      <c r="AGD567" s="3933"/>
      <c r="AGE567" s="621"/>
      <c r="AGF567" s="3933"/>
      <c r="AGG567" s="3933"/>
      <c r="AGH567" s="3933"/>
      <c r="AGI567" s="621"/>
      <c r="AGJ567" s="3933"/>
      <c r="AGK567" s="3933"/>
      <c r="AGL567" s="3933"/>
      <c r="AGM567" s="621"/>
      <c r="AGN567" s="3933"/>
      <c r="AGO567" s="3933"/>
      <c r="AGP567" s="3933"/>
      <c r="AGQ567" s="621"/>
      <c r="AGR567" s="3933"/>
      <c r="AGS567" s="3933"/>
      <c r="AGT567" s="3933"/>
      <c r="AGU567" s="621"/>
      <c r="AGV567" s="3933"/>
      <c r="AGW567" s="3933"/>
      <c r="AGX567" s="3933"/>
      <c r="AGY567" s="621"/>
      <c r="AGZ567" s="3933"/>
      <c r="AHA567" s="3933"/>
      <c r="AHB567" s="3933"/>
      <c r="AHC567" s="621"/>
      <c r="AHD567" s="3933"/>
      <c r="AHE567" s="3933"/>
      <c r="AHF567" s="3933"/>
      <c r="AHG567" s="621"/>
      <c r="AHH567" s="3933"/>
      <c r="AHI567" s="3933"/>
      <c r="AHJ567" s="3933"/>
      <c r="AHK567" s="621"/>
      <c r="AHL567" s="3933"/>
      <c r="AHM567" s="3933"/>
      <c r="AHN567" s="3933"/>
      <c r="AHO567" s="621"/>
      <c r="AHP567" s="3933"/>
      <c r="AHQ567" s="3933"/>
      <c r="AHR567" s="3933"/>
      <c r="AHS567" s="621"/>
      <c r="AHT567" s="3933"/>
      <c r="AHU567" s="3933"/>
      <c r="AHV567" s="3933"/>
      <c r="AHW567" s="621"/>
      <c r="AHX567" s="3933"/>
      <c r="AHY567" s="3933"/>
      <c r="AHZ567" s="3933"/>
      <c r="AIA567" s="621"/>
      <c r="AIB567" s="3933"/>
      <c r="AIC567" s="3933"/>
      <c r="AID567" s="3933"/>
      <c r="AIE567" s="621"/>
      <c r="AIF567" s="3933"/>
      <c r="AIG567" s="3933"/>
      <c r="AIH567" s="3933"/>
      <c r="AII567" s="621"/>
      <c r="AIJ567" s="3933"/>
      <c r="AIK567" s="3933"/>
      <c r="AIL567" s="3933"/>
      <c r="AIM567" s="621"/>
      <c r="AIN567" s="3933"/>
      <c r="AIO567" s="3933"/>
      <c r="AIP567" s="3933"/>
      <c r="AIQ567" s="621"/>
      <c r="AIR567" s="3933"/>
      <c r="AIS567" s="3933"/>
      <c r="AIT567" s="3933"/>
      <c r="AIU567" s="621"/>
      <c r="AIV567" s="3933"/>
      <c r="AIW567" s="3933"/>
      <c r="AIX567" s="3933"/>
      <c r="AIY567" s="621"/>
      <c r="AIZ567" s="3933"/>
      <c r="AJA567" s="3933"/>
      <c r="AJB567" s="3933"/>
      <c r="AJC567" s="621"/>
      <c r="AJD567" s="3933"/>
      <c r="AJE567" s="3933"/>
      <c r="AJF567" s="3933"/>
      <c r="AJG567" s="621"/>
      <c r="AJH567" s="3933"/>
      <c r="AJI567" s="3933"/>
      <c r="AJJ567" s="3933"/>
      <c r="AJK567" s="621"/>
      <c r="AJL567" s="3933"/>
      <c r="AJM567" s="3933"/>
      <c r="AJN567" s="3933"/>
      <c r="AJO567" s="621"/>
      <c r="AJP567" s="3933"/>
      <c r="AJQ567" s="3933"/>
      <c r="AJR567" s="3933"/>
      <c r="AJS567" s="621"/>
      <c r="AJT567" s="3933"/>
      <c r="AJU567" s="3933"/>
      <c r="AJV567" s="3933"/>
      <c r="AJW567" s="621"/>
      <c r="AJX567" s="3933"/>
      <c r="AJY567" s="3933"/>
      <c r="AJZ567" s="3933"/>
      <c r="AKA567" s="621"/>
      <c r="AKB567" s="3933"/>
      <c r="AKC567" s="3933"/>
      <c r="AKD567" s="3933"/>
      <c r="AKE567" s="621"/>
      <c r="AKF567" s="3933"/>
      <c r="AKG567" s="3933"/>
      <c r="AKH567" s="3933"/>
      <c r="AKI567" s="621"/>
      <c r="AKJ567" s="3933"/>
      <c r="AKK567" s="3933"/>
      <c r="AKL567" s="3933"/>
      <c r="AKM567" s="621"/>
      <c r="AKN567" s="3933"/>
      <c r="AKO567" s="3933"/>
      <c r="AKP567" s="3933"/>
      <c r="AKQ567" s="621"/>
      <c r="AKR567" s="3933"/>
      <c r="AKS567" s="3933"/>
      <c r="AKT567" s="3933"/>
      <c r="AKU567" s="621"/>
      <c r="AKV567" s="3933"/>
      <c r="AKW567" s="3933"/>
      <c r="AKX567" s="3933"/>
      <c r="AKY567" s="621"/>
      <c r="AKZ567" s="3933"/>
      <c r="ALA567" s="3933"/>
      <c r="ALB567" s="3933"/>
      <c r="ALC567" s="621"/>
      <c r="ALD567" s="3933"/>
      <c r="ALE567" s="3933"/>
      <c r="ALF567" s="3933"/>
      <c r="ALG567" s="621"/>
      <c r="ALH567" s="3933"/>
      <c r="ALI567" s="3933"/>
      <c r="ALJ567" s="3933"/>
      <c r="ALK567" s="621"/>
      <c r="ALL567" s="3933"/>
      <c r="ALM567" s="3933"/>
      <c r="ALN567" s="3933"/>
      <c r="ALO567" s="621"/>
      <c r="ALP567" s="3933"/>
      <c r="ALQ567" s="3933"/>
      <c r="ALR567" s="3933"/>
      <c r="ALS567" s="621"/>
      <c r="ALT567" s="3933"/>
      <c r="ALU567" s="3933"/>
      <c r="ALV567" s="3933"/>
      <c r="ALW567" s="621"/>
      <c r="ALX567" s="3933"/>
      <c r="ALY567" s="3933"/>
      <c r="ALZ567" s="3933"/>
      <c r="AMA567" s="621"/>
      <c r="AMB567" s="3933"/>
      <c r="AMC567" s="3933"/>
      <c r="AMD567" s="3933"/>
      <c r="AME567" s="621"/>
      <c r="AMF567" s="3933"/>
      <c r="AMG567" s="3933"/>
      <c r="AMH567" s="3933"/>
      <c r="AMI567" s="621"/>
      <c r="AMJ567" s="3933"/>
      <c r="AMK567" s="3933"/>
      <c r="AML567" s="3933"/>
      <c r="AMM567" s="621"/>
      <c r="AMN567" s="3933"/>
      <c r="AMO567" s="3933"/>
      <c r="AMP567" s="3933"/>
      <c r="AMQ567" s="621"/>
      <c r="AMR567" s="3933"/>
      <c r="AMS567" s="3933"/>
      <c r="AMT567" s="3933"/>
      <c r="AMU567" s="621"/>
      <c r="AMV567" s="3933"/>
      <c r="AMW567" s="3933"/>
      <c r="AMX567" s="3933"/>
      <c r="AMY567" s="621"/>
      <c r="AMZ567" s="3933"/>
      <c r="ANA567" s="3933"/>
      <c r="ANB567" s="3933"/>
      <c r="ANC567" s="621"/>
      <c r="AND567" s="3933"/>
      <c r="ANE567" s="3933"/>
      <c r="ANF567" s="3933"/>
      <c r="ANG567" s="621"/>
      <c r="ANH567" s="3933"/>
      <c r="ANI567" s="3933"/>
      <c r="ANJ567" s="3933"/>
      <c r="ANK567" s="621"/>
      <c r="ANL567" s="3933"/>
      <c r="ANM567" s="3933"/>
      <c r="ANN567" s="3933"/>
      <c r="ANO567" s="621"/>
      <c r="ANP567" s="3933"/>
      <c r="ANQ567" s="3933"/>
      <c r="ANR567" s="3933"/>
      <c r="ANS567" s="621"/>
      <c r="ANT567" s="3933"/>
      <c r="ANU567" s="3933"/>
      <c r="ANV567" s="3933"/>
      <c r="ANW567" s="621"/>
      <c r="ANX567" s="3933"/>
      <c r="ANY567" s="3933"/>
      <c r="ANZ567" s="3933"/>
      <c r="AOA567" s="621"/>
      <c r="AOB567" s="3933"/>
      <c r="AOC567" s="3933"/>
      <c r="AOD567" s="3933"/>
      <c r="AOE567" s="621"/>
      <c r="AOF567" s="3933"/>
      <c r="AOG567" s="3933"/>
      <c r="AOH567" s="3933"/>
      <c r="AOI567" s="621"/>
      <c r="AOJ567" s="3933"/>
      <c r="AOK567" s="3933"/>
      <c r="AOL567" s="3933"/>
      <c r="AOM567" s="621"/>
      <c r="AON567" s="3933"/>
      <c r="AOO567" s="3933"/>
      <c r="AOP567" s="3933"/>
      <c r="AOQ567" s="621"/>
      <c r="AOR567" s="3933"/>
      <c r="AOS567" s="3933"/>
      <c r="AOT567" s="3933"/>
      <c r="AOU567" s="621"/>
      <c r="AOV567" s="3933"/>
      <c r="AOW567" s="3933"/>
      <c r="AOX567" s="3933"/>
      <c r="AOY567" s="621"/>
      <c r="AOZ567" s="3933"/>
      <c r="APA567" s="3933"/>
      <c r="APB567" s="3933"/>
      <c r="APC567" s="621"/>
      <c r="APD567" s="3933"/>
      <c r="APE567" s="3933"/>
      <c r="APF567" s="3933"/>
      <c r="APG567" s="621"/>
      <c r="APH567" s="3933"/>
      <c r="API567" s="3933"/>
      <c r="APJ567" s="3933"/>
      <c r="APK567" s="621"/>
      <c r="APL567" s="3933"/>
      <c r="APM567" s="3933"/>
      <c r="APN567" s="3933"/>
      <c r="APO567" s="621"/>
      <c r="APP567" s="3933"/>
      <c r="APQ567" s="3933"/>
      <c r="APR567" s="3933"/>
      <c r="APS567" s="621"/>
      <c r="APT567" s="3933"/>
      <c r="APU567" s="3933"/>
      <c r="APV567" s="3933"/>
      <c r="APW567" s="621"/>
      <c r="APX567" s="3933"/>
      <c r="APY567" s="3933"/>
      <c r="APZ567" s="3933"/>
      <c r="AQA567" s="621"/>
      <c r="AQB567" s="3933"/>
      <c r="AQC567" s="3933"/>
      <c r="AQD567" s="3933"/>
      <c r="AQE567" s="621"/>
      <c r="AQF567" s="3933"/>
      <c r="AQG567" s="3933"/>
      <c r="AQH567" s="3933"/>
      <c r="AQI567" s="621"/>
      <c r="AQJ567" s="3933"/>
      <c r="AQK567" s="3933"/>
      <c r="AQL567" s="3933"/>
      <c r="AQM567" s="621"/>
      <c r="AQN567" s="3933"/>
      <c r="AQO567" s="3933"/>
      <c r="AQP567" s="3933"/>
      <c r="AQQ567" s="621"/>
      <c r="AQR567" s="3933"/>
      <c r="AQS567" s="3933"/>
      <c r="AQT567" s="3933"/>
      <c r="AQU567" s="621"/>
      <c r="AQV567" s="3933"/>
      <c r="AQW567" s="3933"/>
      <c r="AQX567" s="3933"/>
      <c r="AQY567" s="621"/>
      <c r="AQZ567" s="3933"/>
      <c r="ARA567" s="3933"/>
      <c r="ARB567" s="3933"/>
      <c r="ARC567" s="621"/>
      <c r="ARD567" s="3933"/>
      <c r="ARE567" s="3933"/>
      <c r="ARF567" s="3933"/>
      <c r="ARG567" s="621"/>
      <c r="ARH567" s="3933"/>
      <c r="ARI567" s="3933"/>
      <c r="ARJ567" s="3933"/>
      <c r="ARK567" s="621"/>
      <c r="ARL567" s="3933"/>
      <c r="ARM567" s="3933"/>
      <c r="ARN567" s="3933"/>
      <c r="ARO567" s="621"/>
      <c r="ARP567" s="3933"/>
      <c r="ARQ567" s="3933"/>
      <c r="ARR567" s="3933"/>
      <c r="ARS567" s="621"/>
      <c r="ART567" s="3933"/>
      <c r="ARU567" s="3933"/>
      <c r="ARV567" s="3933"/>
      <c r="ARW567" s="621"/>
      <c r="ARX567" s="3933"/>
      <c r="ARY567" s="3933"/>
      <c r="ARZ567" s="3933"/>
      <c r="ASA567" s="621"/>
      <c r="ASB567" s="3933"/>
      <c r="ASC567" s="3933"/>
      <c r="ASD567" s="3933"/>
      <c r="ASE567" s="621"/>
      <c r="ASF567" s="3933"/>
      <c r="ASG567" s="3933"/>
      <c r="ASH567" s="3933"/>
      <c r="ASI567" s="621"/>
      <c r="ASJ567" s="3933"/>
      <c r="ASK567" s="3933"/>
      <c r="ASL567" s="3933"/>
      <c r="ASM567" s="621"/>
      <c r="ASN567" s="3933"/>
      <c r="ASO567" s="3933"/>
      <c r="ASP567" s="3933"/>
      <c r="ASQ567" s="621"/>
      <c r="ASR567" s="3933"/>
      <c r="ASS567" s="3933"/>
      <c r="AST567" s="3933"/>
      <c r="ASU567" s="621"/>
      <c r="ASV567" s="3933"/>
      <c r="ASW567" s="3933"/>
      <c r="ASX567" s="3933"/>
      <c r="ASY567" s="621"/>
      <c r="ASZ567" s="3933"/>
      <c r="ATA567" s="3933"/>
      <c r="ATB567" s="3933"/>
      <c r="ATC567" s="621"/>
      <c r="ATD567" s="3933"/>
      <c r="ATE567" s="3933"/>
      <c r="ATF567" s="3933"/>
      <c r="ATG567" s="621"/>
      <c r="ATH567" s="3933"/>
      <c r="ATI567" s="3933"/>
      <c r="ATJ567" s="3933"/>
      <c r="ATK567" s="621"/>
      <c r="ATL567" s="3933"/>
      <c r="ATM567" s="3933"/>
      <c r="ATN567" s="3933"/>
      <c r="ATO567" s="621"/>
      <c r="ATP567" s="3933"/>
      <c r="ATQ567" s="3933"/>
      <c r="ATR567" s="3933"/>
      <c r="ATS567" s="621"/>
      <c r="ATT567" s="3933"/>
      <c r="ATU567" s="3933"/>
      <c r="ATV567" s="3933"/>
      <c r="ATW567" s="621"/>
      <c r="ATX567" s="3933"/>
      <c r="ATY567" s="3933"/>
      <c r="ATZ567" s="3933"/>
      <c r="AUA567" s="621"/>
      <c r="AUB567" s="3933"/>
      <c r="AUC567" s="3933"/>
      <c r="AUD567" s="3933"/>
      <c r="AUE567" s="621"/>
      <c r="AUF567" s="3933"/>
      <c r="AUG567" s="3933"/>
      <c r="AUH567" s="3933"/>
      <c r="AUI567" s="621"/>
      <c r="AUJ567" s="3933"/>
      <c r="AUK567" s="3933"/>
      <c r="AUL567" s="3933"/>
      <c r="AUM567" s="621"/>
      <c r="AUN567" s="3933"/>
      <c r="AUO567" s="3933"/>
      <c r="AUP567" s="3933"/>
      <c r="AUQ567" s="621"/>
      <c r="AUR567" s="3933"/>
      <c r="AUS567" s="3933"/>
      <c r="AUT567" s="3933"/>
      <c r="AUU567" s="621"/>
      <c r="AUV567" s="3933"/>
      <c r="AUW567" s="3933"/>
      <c r="AUX567" s="3933"/>
      <c r="AUY567" s="621"/>
      <c r="AUZ567" s="3933"/>
      <c r="AVA567" s="3933"/>
      <c r="AVB567" s="3933"/>
      <c r="AVC567" s="621"/>
      <c r="AVD567" s="3933"/>
      <c r="AVE567" s="3933"/>
      <c r="AVF567" s="3933"/>
      <c r="AVG567" s="621"/>
      <c r="AVH567" s="3933"/>
      <c r="AVI567" s="3933"/>
      <c r="AVJ567" s="3933"/>
      <c r="AVK567" s="621"/>
      <c r="AVL567" s="3933"/>
      <c r="AVM567" s="3933"/>
      <c r="AVN567" s="3933"/>
      <c r="AVO567" s="621"/>
      <c r="AVP567" s="3933"/>
      <c r="AVQ567" s="3933"/>
      <c r="AVR567" s="3933"/>
      <c r="AVS567" s="621"/>
      <c r="AVT567" s="3933"/>
      <c r="AVU567" s="3933"/>
      <c r="AVV567" s="3933"/>
      <c r="AVW567" s="621"/>
      <c r="AVX567" s="3933"/>
      <c r="AVY567" s="3933"/>
      <c r="AVZ567" s="3933"/>
      <c r="AWA567" s="621"/>
      <c r="AWB567" s="3933"/>
      <c r="AWC567" s="3933"/>
      <c r="AWD567" s="3933"/>
      <c r="AWE567" s="621"/>
      <c r="AWF567" s="3933"/>
      <c r="AWG567" s="3933"/>
      <c r="AWH567" s="3933"/>
      <c r="AWI567" s="621"/>
      <c r="AWJ567" s="3933"/>
      <c r="AWK567" s="3933"/>
      <c r="AWL567" s="3933"/>
      <c r="AWM567" s="621"/>
      <c r="AWN567" s="3933"/>
      <c r="AWO567" s="3933"/>
      <c r="AWP567" s="3933"/>
      <c r="AWQ567" s="621"/>
      <c r="AWR567" s="3933"/>
      <c r="AWS567" s="3933"/>
      <c r="AWT567" s="3933"/>
      <c r="AWU567" s="621"/>
      <c r="AWV567" s="3933"/>
      <c r="AWW567" s="3933"/>
      <c r="AWX567" s="3933"/>
      <c r="AWY567" s="621"/>
      <c r="AWZ567" s="3933"/>
      <c r="AXA567" s="3933"/>
      <c r="AXB567" s="3933"/>
      <c r="AXC567" s="621"/>
      <c r="AXD567" s="3933"/>
      <c r="AXE567" s="3933"/>
      <c r="AXF567" s="3933"/>
      <c r="AXG567" s="621"/>
      <c r="AXH567" s="3933"/>
      <c r="AXI567" s="3933"/>
      <c r="AXJ567" s="3933"/>
      <c r="AXK567" s="621"/>
      <c r="AXL567" s="3933"/>
      <c r="AXM567" s="3933"/>
      <c r="AXN567" s="3933"/>
      <c r="AXO567" s="621"/>
      <c r="AXP567" s="3933"/>
      <c r="AXQ567" s="3933"/>
      <c r="AXR567" s="3933"/>
      <c r="AXS567" s="621"/>
      <c r="AXT567" s="3933"/>
      <c r="AXU567" s="3933"/>
      <c r="AXV567" s="3933"/>
      <c r="AXW567" s="621"/>
      <c r="AXX567" s="3933"/>
      <c r="AXY567" s="3933"/>
      <c r="AXZ567" s="3933"/>
      <c r="AYA567" s="621"/>
      <c r="AYB567" s="3933"/>
      <c r="AYC567" s="3933"/>
      <c r="AYD567" s="3933"/>
      <c r="AYE567" s="621"/>
      <c r="AYF567" s="3933"/>
      <c r="AYG567" s="3933"/>
      <c r="AYH567" s="3933"/>
      <c r="AYI567" s="621"/>
      <c r="AYJ567" s="3933"/>
      <c r="AYK567" s="3933"/>
      <c r="AYL567" s="3933"/>
      <c r="AYM567" s="621"/>
      <c r="AYN567" s="3933"/>
      <c r="AYO567" s="3933"/>
      <c r="AYP567" s="3933"/>
      <c r="AYQ567" s="621"/>
      <c r="AYR567" s="3933"/>
      <c r="AYS567" s="3933"/>
      <c r="AYT567" s="3933"/>
      <c r="AYU567" s="621"/>
      <c r="AYV567" s="3933"/>
      <c r="AYW567" s="3933"/>
      <c r="AYX567" s="3933"/>
      <c r="AYY567" s="621"/>
      <c r="AYZ567" s="3933"/>
      <c r="AZA567" s="3933"/>
      <c r="AZB567" s="3933"/>
      <c r="AZC567" s="621"/>
      <c r="AZD567" s="3933"/>
      <c r="AZE567" s="3933"/>
      <c r="AZF567" s="3933"/>
      <c r="AZG567" s="621"/>
      <c r="AZH567" s="3933"/>
      <c r="AZI567" s="3933"/>
      <c r="AZJ567" s="3933"/>
      <c r="AZK567" s="621"/>
      <c r="AZL567" s="3933"/>
      <c r="AZM567" s="3933"/>
      <c r="AZN567" s="3933"/>
      <c r="AZO567" s="621"/>
      <c r="AZP567" s="3933"/>
      <c r="AZQ567" s="3933"/>
      <c r="AZR567" s="3933"/>
      <c r="AZS567" s="621"/>
      <c r="AZT567" s="3933"/>
      <c r="AZU567" s="3933"/>
      <c r="AZV567" s="3933"/>
      <c r="AZW567" s="621"/>
      <c r="AZX567" s="3933"/>
      <c r="AZY567" s="3933"/>
      <c r="AZZ567" s="3933"/>
      <c r="BAA567" s="621"/>
      <c r="BAB567" s="3933"/>
      <c r="BAC567" s="3933"/>
      <c r="BAD567" s="3933"/>
      <c r="BAE567" s="621"/>
      <c r="BAF567" s="3933"/>
      <c r="BAG567" s="3933"/>
      <c r="BAH567" s="3933"/>
      <c r="BAI567" s="621"/>
      <c r="BAJ567" s="3933"/>
      <c r="BAK567" s="3933"/>
      <c r="BAL567" s="3933"/>
      <c r="BAM567" s="621"/>
      <c r="BAN567" s="3933"/>
      <c r="BAO567" s="3933"/>
      <c r="BAP567" s="3933"/>
      <c r="BAQ567" s="621"/>
      <c r="BAR567" s="3933"/>
      <c r="BAS567" s="3933"/>
      <c r="BAT567" s="3933"/>
      <c r="BAU567" s="621"/>
      <c r="BAV567" s="3933"/>
      <c r="BAW567" s="3933"/>
      <c r="BAX567" s="3933"/>
      <c r="BAY567" s="621"/>
      <c r="BAZ567" s="3933"/>
      <c r="BBA567" s="3933"/>
      <c r="BBB567" s="3933"/>
      <c r="BBC567" s="621"/>
      <c r="BBD567" s="3933"/>
      <c r="BBE567" s="3933"/>
      <c r="BBF567" s="3933"/>
      <c r="BBG567" s="621"/>
      <c r="BBH567" s="3933"/>
      <c r="BBI567" s="3933"/>
      <c r="BBJ567" s="3933"/>
      <c r="BBK567" s="621"/>
      <c r="BBL567" s="3933"/>
      <c r="BBM567" s="3933"/>
      <c r="BBN567" s="3933"/>
      <c r="BBO567" s="621"/>
      <c r="BBP567" s="3933"/>
      <c r="BBQ567" s="3933"/>
      <c r="BBR567" s="3933"/>
      <c r="BBS567" s="621"/>
      <c r="BBT567" s="3933"/>
      <c r="BBU567" s="3933"/>
      <c r="BBV567" s="3933"/>
      <c r="BBW567" s="621"/>
      <c r="BBX567" s="3933"/>
      <c r="BBY567" s="3933"/>
      <c r="BBZ567" s="3933"/>
      <c r="BCA567" s="621"/>
      <c r="BCB567" s="3933"/>
      <c r="BCC567" s="3933"/>
      <c r="BCD567" s="3933"/>
      <c r="BCE567" s="621"/>
      <c r="BCF567" s="3933"/>
      <c r="BCG567" s="3933"/>
      <c r="BCH567" s="3933"/>
      <c r="BCI567" s="621"/>
      <c r="BCJ567" s="3933"/>
      <c r="BCK567" s="3933"/>
      <c r="BCL567" s="3933"/>
      <c r="BCM567" s="621"/>
      <c r="BCN567" s="3933"/>
      <c r="BCO567" s="3933"/>
      <c r="BCP567" s="3933"/>
      <c r="BCQ567" s="621"/>
      <c r="BCR567" s="3933"/>
      <c r="BCS567" s="3933"/>
      <c r="BCT567" s="3933"/>
      <c r="BCU567" s="621"/>
      <c r="BCV567" s="3933"/>
      <c r="BCW567" s="3933"/>
      <c r="BCX567" s="3933"/>
      <c r="BCY567" s="621"/>
      <c r="BCZ567" s="3933"/>
      <c r="BDA567" s="3933"/>
      <c r="BDB567" s="3933"/>
      <c r="BDC567" s="621"/>
      <c r="BDD567" s="3933"/>
      <c r="BDE567" s="3933"/>
      <c r="BDF567" s="3933"/>
      <c r="BDG567" s="621"/>
      <c r="BDH567" s="3933"/>
      <c r="BDI567" s="3933"/>
      <c r="BDJ567" s="3933"/>
      <c r="BDK567" s="621"/>
      <c r="BDL567" s="3933"/>
      <c r="BDM567" s="3933"/>
      <c r="BDN567" s="3933"/>
      <c r="BDO567" s="621"/>
      <c r="BDP567" s="3933"/>
      <c r="BDQ567" s="3933"/>
      <c r="BDR567" s="3933"/>
      <c r="BDS567" s="621"/>
      <c r="BDT567" s="3933"/>
      <c r="BDU567" s="3933"/>
      <c r="BDV567" s="3933"/>
      <c r="BDW567" s="621"/>
      <c r="BDX567" s="3933"/>
      <c r="BDY567" s="3933"/>
      <c r="BDZ567" s="3933"/>
      <c r="BEA567" s="621"/>
      <c r="BEB567" s="3933"/>
      <c r="BEC567" s="3933"/>
      <c r="BED567" s="3933"/>
      <c r="BEE567" s="621"/>
      <c r="BEF567" s="3933"/>
      <c r="BEG567" s="3933"/>
      <c r="BEH567" s="3933"/>
      <c r="BEI567" s="621"/>
      <c r="BEJ567" s="3933"/>
      <c r="BEK567" s="3933"/>
      <c r="BEL567" s="3933"/>
      <c r="BEM567" s="621"/>
      <c r="BEN567" s="3933"/>
      <c r="BEO567" s="3933"/>
      <c r="BEP567" s="3933"/>
      <c r="BEQ567" s="621"/>
      <c r="BER567" s="3933"/>
      <c r="BES567" s="3933"/>
      <c r="BET567" s="3933"/>
      <c r="BEU567" s="621"/>
      <c r="BEV567" s="3933"/>
      <c r="BEW567" s="3933"/>
      <c r="BEX567" s="3933"/>
      <c r="BEY567" s="621"/>
      <c r="BEZ567" s="3933"/>
      <c r="BFA567" s="3933"/>
      <c r="BFB567" s="3933"/>
      <c r="BFC567" s="621"/>
      <c r="BFD567" s="3933"/>
      <c r="BFE567" s="3933"/>
      <c r="BFF567" s="3933"/>
      <c r="BFG567" s="621"/>
      <c r="BFH567" s="3933"/>
      <c r="BFI567" s="3933"/>
      <c r="BFJ567" s="3933"/>
      <c r="BFK567" s="621"/>
      <c r="BFL567" s="3933"/>
      <c r="BFM567" s="3933"/>
      <c r="BFN567" s="3933"/>
      <c r="BFO567" s="621"/>
      <c r="BFP567" s="3933"/>
      <c r="BFQ567" s="3933"/>
      <c r="BFR567" s="3933"/>
      <c r="BFS567" s="621"/>
      <c r="BFT567" s="3933"/>
      <c r="BFU567" s="3933"/>
      <c r="BFV567" s="3933"/>
      <c r="BFW567" s="621"/>
      <c r="BFX567" s="3933"/>
      <c r="BFY567" s="3933"/>
      <c r="BFZ567" s="3933"/>
      <c r="BGA567" s="621"/>
      <c r="BGB567" s="3933"/>
      <c r="BGC567" s="3933"/>
      <c r="BGD567" s="3933"/>
      <c r="BGE567" s="621"/>
      <c r="BGF567" s="3933"/>
      <c r="BGG567" s="3933"/>
      <c r="BGH567" s="3933"/>
      <c r="BGI567" s="621"/>
      <c r="BGJ567" s="3933"/>
      <c r="BGK567" s="3933"/>
      <c r="BGL567" s="3933"/>
      <c r="BGM567" s="621"/>
      <c r="BGN567" s="3933"/>
      <c r="BGO567" s="3933"/>
      <c r="BGP567" s="3933"/>
      <c r="BGQ567" s="621"/>
      <c r="BGR567" s="3933"/>
      <c r="BGS567" s="3933"/>
      <c r="BGT567" s="3933"/>
      <c r="BGU567" s="621"/>
      <c r="BGV567" s="3933"/>
      <c r="BGW567" s="3933"/>
      <c r="BGX567" s="3933"/>
      <c r="BGY567" s="621"/>
      <c r="BGZ567" s="3933"/>
      <c r="BHA567" s="3933"/>
      <c r="BHB567" s="3933"/>
      <c r="BHC567" s="621"/>
      <c r="BHD567" s="3933"/>
      <c r="BHE567" s="3933"/>
      <c r="BHF567" s="3933"/>
      <c r="BHG567" s="621"/>
      <c r="BHH567" s="3933"/>
      <c r="BHI567" s="3933"/>
      <c r="BHJ567" s="3933"/>
      <c r="BHK567" s="621"/>
      <c r="BHL567" s="3933"/>
      <c r="BHM567" s="3933"/>
      <c r="BHN567" s="3933"/>
      <c r="BHO567" s="621"/>
      <c r="BHP567" s="3933"/>
      <c r="BHQ567" s="3933"/>
      <c r="BHR567" s="3933"/>
      <c r="BHS567" s="621"/>
      <c r="BHT567" s="3933"/>
      <c r="BHU567" s="3933"/>
      <c r="BHV567" s="3933"/>
      <c r="BHW567" s="621"/>
      <c r="BHX567" s="3933"/>
      <c r="BHY567" s="3933"/>
      <c r="BHZ567" s="3933"/>
      <c r="BIA567" s="621"/>
      <c r="BIB567" s="3933"/>
      <c r="BIC567" s="3933"/>
      <c r="BID567" s="3933"/>
      <c r="BIE567" s="621"/>
      <c r="BIF567" s="3933"/>
      <c r="BIG567" s="3933"/>
      <c r="BIH567" s="3933"/>
      <c r="BII567" s="621"/>
      <c r="BIJ567" s="3933"/>
      <c r="BIK567" s="3933"/>
      <c r="BIL567" s="3933"/>
      <c r="BIM567" s="621"/>
      <c r="BIN567" s="3933"/>
      <c r="BIO567" s="3933"/>
      <c r="BIP567" s="3933"/>
      <c r="BIQ567" s="621"/>
      <c r="BIR567" s="3933"/>
      <c r="BIS567" s="3933"/>
      <c r="BIT567" s="3933"/>
      <c r="BIU567" s="621"/>
      <c r="BIV567" s="3933"/>
      <c r="BIW567" s="3933"/>
      <c r="BIX567" s="3933"/>
      <c r="BIY567" s="621"/>
      <c r="BIZ567" s="3933"/>
      <c r="BJA567" s="3933"/>
      <c r="BJB567" s="3933"/>
      <c r="BJC567" s="621"/>
      <c r="BJD567" s="3933"/>
      <c r="BJE567" s="3933"/>
      <c r="BJF567" s="3933"/>
      <c r="BJG567" s="621"/>
      <c r="BJH567" s="3933"/>
      <c r="BJI567" s="3933"/>
      <c r="BJJ567" s="3933"/>
      <c r="BJK567" s="621"/>
      <c r="BJL567" s="3933"/>
      <c r="BJM567" s="3933"/>
      <c r="BJN567" s="3933"/>
      <c r="BJO567" s="621"/>
      <c r="BJP567" s="3933"/>
      <c r="BJQ567" s="3933"/>
      <c r="BJR567" s="3933"/>
      <c r="BJS567" s="621"/>
      <c r="BJT567" s="3933"/>
      <c r="BJU567" s="3933"/>
      <c r="BJV567" s="3933"/>
      <c r="BJW567" s="621"/>
      <c r="BJX567" s="3933"/>
      <c r="BJY567" s="3933"/>
      <c r="BJZ567" s="3933"/>
      <c r="BKA567" s="621"/>
      <c r="BKB567" s="3933"/>
      <c r="BKC567" s="3933"/>
      <c r="BKD567" s="3933"/>
      <c r="BKE567" s="621"/>
      <c r="BKF567" s="3933"/>
      <c r="BKG567" s="3933"/>
      <c r="BKH567" s="3933"/>
      <c r="BKI567" s="621"/>
      <c r="BKJ567" s="3933"/>
      <c r="BKK567" s="3933"/>
      <c r="BKL567" s="3933"/>
      <c r="BKM567" s="621"/>
      <c r="BKN567" s="3933"/>
      <c r="BKO567" s="3933"/>
      <c r="BKP567" s="3933"/>
      <c r="BKQ567" s="621"/>
      <c r="BKR567" s="3933"/>
      <c r="BKS567" s="3933"/>
      <c r="BKT567" s="3933"/>
      <c r="BKU567" s="621"/>
      <c r="BKV567" s="3933"/>
      <c r="BKW567" s="3933"/>
      <c r="BKX567" s="3933"/>
      <c r="BKY567" s="621"/>
      <c r="BKZ567" s="3933"/>
      <c r="BLA567" s="3933"/>
      <c r="BLB567" s="3933"/>
      <c r="BLC567" s="621"/>
      <c r="BLD567" s="3933"/>
      <c r="BLE567" s="3933"/>
      <c r="BLF567" s="3933"/>
      <c r="BLG567" s="621"/>
      <c r="BLH567" s="3933"/>
      <c r="BLI567" s="3933"/>
      <c r="BLJ567" s="3933"/>
      <c r="BLK567" s="621"/>
      <c r="BLL567" s="3933"/>
      <c r="BLM567" s="3933"/>
      <c r="BLN567" s="3933"/>
      <c r="BLO567" s="621"/>
      <c r="BLP567" s="3933"/>
      <c r="BLQ567" s="3933"/>
      <c r="BLR567" s="3933"/>
      <c r="BLS567" s="621"/>
      <c r="BLT567" s="3933"/>
      <c r="BLU567" s="3933"/>
      <c r="BLV567" s="3933"/>
      <c r="BLW567" s="621"/>
      <c r="BLX567" s="3933"/>
      <c r="BLY567" s="3933"/>
      <c r="BLZ567" s="3933"/>
      <c r="BMA567" s="621"/>
      <c r="BMB567" s="3933"/>
      <c r="BMC567" s="3933"/>
      <c r="BMD567" s="3933"/>
      <c r="BME567" s="621"/>
      <c r="BMF567" s="3933"/>
      <c r="BMG567" s="3933"/>
      <c r="BMH567" s="3933"/>
      <c r="BMI567" s="621"/>
      <c r="BMJ567" s="3933"/>
      <c r="BMK567" s="3933"/>
      <c r="BML567" s="3933"/>
      <c r="BMM567" s="621"/>
      <c r="BMN567" s="3933"/>
      <c r="BMO567" s="3933"/>
      <c r="BMP567" s="3933"/>
      <c r="BMQ567" s="621"/>
      <c r="BMR567" s="3933"/>
      <c r="BMS567" s="3933"/>
      <c r="BMT567" s="3933"/>
      <c r="BMU567" s="621"/>
      <c r="BMV567" s="3933"/>
      <c r="BMW567" s="3933"/>
      <c r="BMX567" s="3933"/>
      <c r="BMY567" s="621"/>
      <c r="BMZ567" s="3933"/>
      <c r="BNA567" s="3933"/>
      <c r="BNB567" s="3933"/>
      <c r="BNC567" s="621"/>
      <c r="BND567" s="3933"/>
      <c r="BNE567" s="3933"/>
      <c r="BNF567" s="3933"/>
      <c r="BNG567" s="621"/>
      <c r="BNH567" s="3933"/>
      <c r="BNI567" s="3933"/>
      <c r="BNJ567" s="3933"/>
      <c r="BNK567" s="621"/>
      <c r="BNL567" s="3933"/>
      <c r="BNM567" s="3933"/>
      <c r="BNN567" s="3933"/>
      <c r="BNO567" s="621"/>
      <c r="BNP567" s="3933"/>
      <c r="BNQ567" s="3933"/>
      <c r="BNR567" s="3933"/>
      <c r="BNS567" s="621"/>
      <c r="BNT567" s="3933"/>
      <c r="BNU567" s="3933"/>
      <c r="BNV567" s="3933"/>
      <c r="BNW567" s="621"/>
      <c r="BNX567" s="3933"/>
      <c r="BNY567" s="3933"/>
      <c r="BNZ567" s="3933"/>
      <c r="BOA567" s="621"/>
      <c r="BOB567" s="3933"/>
      <c r="BOC567" s="3933"/>
      <c r="BOD567" s="3933"/>
      <c r="BOE567" s="621"/>
      <c r="BOF567" s="3933"/>
      <c r="BOG567" s="3933"/>
      <c r="BOH567" s="3933"/>
      <c r="BOI567" s="621"/>
      <c r="BOJ567" s="3933"/>
      <c r="BOK567" s="3933"/>
      <c r="BOL567" s="3933"/>
      <c r="BOM567" s="621"/>
      <c r="BON567" s="3933"/>
      <c r="BOO567" s="3933"/>
      <c r="BOP567" s="3933"/>
      <c r="BOQ567" s="621"/>
      <c r="BOR567" s="3933"/>
      <c r="BOS567" s="3933"/>
      <c r="BOT567" s="3933"/>
      <c r="BOU567" s="621"/>
      <c r="BOV567" s="3933"/>
      <c r="BOW567" s="3933"/>
      <c r="BOX567" s="3933"/>
      <c r="BOY567" s="621"/>
      <c r="BOZ567" s="3933"/>
      <c r="BPA567" s="3933"/>
      <c r="BPB567" s="3933"/>
      <c r="BPC567" s="621"/>
      <c r="BPD567" s="3933"/>
      <c r="BPE567" s="3933"/>
      <c r="BPF567" s="3933"/>
      <c r="BPG567" s="621"/>
      <c r="BPH567" s="3933"/>
      <c r="BPI567" s="3933"/>
      <c r="BPJ567" s="3933"/>
      <c r="BPK567" s="621"/>
      <c r="BPL567" s="3933"/>
      <c r="BPM567" s="3933"/>
      <c r="BPN567" s="3933"/>
      <c r="BPO567" s="621"/>
      <c r="BPP567" s="3933"/>
      <c r="BPQ567" s="3933"/>
      <c r="BPR567" s="3933"/>
      <c r="BPS567" s="621"/>
      <c r="BPT567" s="3933"/>
      <c r="BPU567" s="3933"/>
      <c r="BPV567" s="3933"/>
      <c r="BPW567" s="621"/>
      <c r="BPX567" s="3933"/>
      <c r="BPY567" s="3933"/>
      <c r="BPZ567" s="3933"/>
      <c r="BQA567" s="621"/>
      <c r="BQB567" s="3933"/>
      <c r="BQC567" s="3933"/>
      <c r="BQD567" s="3933"/>
      <c r="BQE567" s="621"/>
      <c r="BQF567" s="3933"/>
      <c r="BQG567" s="3933"/>
      <c r="BQH567" s="3933"/>
      <c r="BQI567" s="621"/>
      <c r="BQJ567" s="3933"/>
      <c r="BQK567" s="3933"/>
      <c r="BQL567" s="3933"/>
      <c r="BQM567" s="621"/>
      <c r="BQN567" s="3933"/>
      <c r="BQO567" s="3933"/>
      <c r="BQP567" s="3933"/>
      <c r="BQQ567" s="621"/>
      <c r="BQR567" s="3933"/>
      <c r="BQS567" s="3933"/>
      <c r="BQT567" s="3933"/>
      <c r="BQU567" s="621"/>
      <c r="BQV567" s="3933"/>
      <c r="BQW567" s="3933"/>
      <c r="BQX567" s="3933"/>
      <c r="BQY567" s="621"/>
      <c r="BQZ567" s="3933"/>
      <c r="BRA567" s="3933"/>
      <c r="BRB567" s="3933"/>
      <c r="BRC567" s="621"/>
      <c r="BRD567" s="3933"/>
      <c r="BRE567" s="3933"/>
      <c r="BRF567" s="3933"/>
      <c r="BRG567" s="621"/>
      <c r="BRH567" s="3933"/>
      <c r="BRI567" s="3933"/>
      <c r="BRJ567" s="3933"/>
      <c r="BRK567" s="621"/>
      <c r="BRL567" s="3933"/>
      <c r="BRM567" s="3933"/>
      <c r="BRN567" s="3933"/>
      <c r="BRO567" s="621"/>
      <c r="BRP567" s="3933"/>
      <c r="BRQ567" s="3933"/>
      <c r="BRR567" s="3933"/>
      <c r="BRS567" s="621"/>
      <c r="BRT567" s="3933"/>
      <c r="BRU567" s="3933"/>
      <c r="BRV567" s="3933"/>
      <c r="BRW567" s="621"/>
      <c r="BRX567" s="3933"/>
      <c r="BRY567" s="3933"/>
      <c r="BRZ567" s="3933"/>
      <c r="BSA567" s="621"/>
      <c r="BSB567" s="3933"/>
      <c r="BSC567" s="3933"/>
      <c r="BSD567" s="3933"/>
      <c r="BSE567" s="621"/>
      <c r="BSF567" s="3933"/>
      <c r="BSG567" s="3933"/>
      <c r="BSH567" s="3933"/>
      <c r="BSI567" s="621"/>
      <c r="BSJ567" s="3933"/>
      <c r="BSK567" s="3933"/>
      <c r="BSL567" s="3933"/>
      <c r="BSM567" s="621"/>
      <c r="BSN567" s="3933"/>
      <c r="BSO567" s="3933"/>
      <c r="BSP567" s="3933"/>
      <c r="BSQ567" s="621"/>
      <c r="BSR567" s="3933"/>
      <c r="BSS567" s="3933"/>
      <c r="BST567" s="3933"/>
      <c r="BSU567" s="621"/>
      <c r="BSV567" s="3933"/>
      <c r="BSW567" s="3933"/>
      <c r="BSX567" s="3933"/>
      <c r="BSY567" s="621"/>
      <c r="BSZ567" s="3933"/>
      <c r="BTA567" s="3933"/>
      <c r="BTB567" s="3933"/>
      <c r="BTC567" s="621"/>
      <c r="BTD567" s="3933"/>
      <c r="BTE567" s="3933"/>
      <c r="BTF567" s="3933"/>
      <c r="BTG567" s="621"/>
      <c r="BTH567" s="3933"/>
      <c r="BTI567" s="3933"/>
      <c r="BTJ567" s="3933"/>
      <c r="BTK567" s="621"/>
      <c r="BTL567" s="3933"/>
      <c r="BTM567" s="3933"/>
      <c r="BTN567" s="3933"/>
      <c r="BTO567" s="621"/>
      <c r="BTP567" s="3933"/>
      <c r="BTQ567" s="3933"/>
      <c r="BTR567" s="3933"/>
      <c r="BTS567" s="621"/>
      <c r="BTT567" s="3933"/>
      <c r="BTU567" s="3933"/>
      <c r="BTV567" s="3933"/>
      <c r="BTW567" s="621"/>
      <c r="BTX567" s="3933"/>
      <c r="BTY567" s="3933"/>
      <c r="BTZ567" s="3933"/>
      <c r="BUA567" s="621"/>
      <c r="BUB567" s="3933"/>
      <c r="BUC567" s="3933"/>
      <c r="BUD567" s="3933"/>
      <c r="BUE567" s="621"/>
      <c r="BUF567" s="3933"/>
      <c r="BUG567" s="3933"/>
      <c r="BUH567" s="3933"/>
      <c r="BUI567" s="621"/>
      <c r="BUJ567" s="3933"/>
      <c r="BUK567" s="3933"/>
      <c r="BUL567" s="3933"/>
      <c r="BUM567" s="621"/>
      <c r="BUN567" s="3933"/>
      <c r="BUO567" s="3933"/>
      <c r="BUP567" s="3933"/>
      <c r="BUQ567" s="621"/>
      <c r="BUR567" s="3933"/>
      <c r="BUS567" s="3933"/>
      <c r="BUT567" s="3933"/>
      <c r="BUU567" s="621"/>
      <c r="BUV567" s="3933"/>
      <c r="BUW567" s="3933"/>
      <c r="BUX567" s="3933"/>
      <c r="BUY567" s="621"/>
      <c r="BUZ567" s="3933"/>
      <c r="BVA567" s="3933"/>
      <c r="BVB567" s="3933"/>
      <c r="BVC567" s="621"/>
      <c r="BVD567" s="3933"/>
      <c r="BVE567" s="3933"/>
      <c r="BVF567" s="3933"/>
      <c r="BVG567" s="621"/>
      <c r="BVH567" s="3933"/>
      <c r="BVI567" s="3933"/>
      <c r="BVJ567" s="3933"/>
      <c r="BVK567" s="621"/>
      <c r="BVL567" s="3933"/>
      <c r="BVM567" s="3933"/>
      <c r="BVN567" s="3933"/>
      <c r="BVO567" s="621"/>
      <c r="BVP567" s="3933"/>
      <c r="BVQ567" s="3933"/>
      <c r="BVR567" s="3933"/>
      <c r="BVS567" s="621"/>
      <c r="BVT567" s="3933"/>
      <c r="BVU567" s="3933"/>
      <c r="BVV567" s="3933"/>
      <c r="BVW567" s="621"/>
      <c r="BVX567" s="3933"/>
      <c r="BVY567" s="3933"/>
      <c r="BVZ567" s="3933"/>
      <c r="BWA567" s="621"/>
      <c r="BWB567" s="3933"/>
      <c r="BWC567" s="3933"/>
      <c r="BWD567" s="3933"/>
      <c r="BWE567" s="621"/>
      <c r="BWF567" s="3933"/>
      <c r="BWG567" s="3933"/>
      <c r="BWH567" s="3933"/>
      <c r="BWI567" s="621"/>
      <c r="BWJ567" s="3933"/>
      <c r="BWK567" s="3933"/>
      <c r="BWL567" s="3933"/>
      <c r="BWM567" s="621"/>
      <c r="BWN567" s="3933"/>
      <c r="BWO567" s="3933"/>
      <c r="BWP567" s="3933"/>
      <c r="BWQ567" s="621"/>
      <c r="BWR567" s="3933"/>
      <c r="BWS567" s="3933"/>
      <c r="BWT567" s="3933"/>
      <c r="BWU567" s="621"/>
      <c r="BWV567" s="3933"/>
      <c r="BWW567" s="3933"/>
      <c r="BWX567" s="3933"/>
      <c r="BWY567" s="621"/>
      <c r="BWZ567" s="3933"/>
      <c r="BXA567" s="3933"/>
      <c r="BXB567" s="3933"/>
      <c r="BXC567" s="621"/>
      <c r="BXD567" s="3933"/>
      <c r="BXE567" s="3933"/>
      <c r="BXF567" s="3933"/>
      <c r="BXG567" s="621"/>
      <c r="BXH567" s="3933"/>
      <c r="BXI567" s="3933"/>
      <c r="BXJ567" s="3933"/>
      <c r="BXK567" s="621"/>
      <c r="BXL567" s="3933"/>
      <c r="BXM567" s="3933"/>
      <c r="BXN567" s="3933"/>
      <c r="BXO567" s="621"/>
      <c r="BXP567" s="3933"/>
      <c r="BXQ567" s="3933"/>
      <c r="BXR567" s="3933"/>
      <c r="BXS567" s="621"/>
      <c r="BXT567" s="3933"/>
      <c r="BXU567" s="3933"/>
      <c r="BXV567" s="3933"/>
      <c r="BXW567" s="621"/>
      <c r="BXX567" s="3933"/>
      <c r="BXY567" s="3933"/>
      <c r="BXZ567" s="3933"/>
      <c r="BYA567" s="621"/>
      <c r="BYB567" s="3933"/>
      <c r="BYC567" s="3933"/>
      <c r="BYD567" s="3933"/>
      <c r="BYE567" s="621"/>
      <c r="BYF567" s="3933"/>
      <c r="BYG567" s="3933"/>
      <c r="BYH567" s="3933"/>
      <c r="BYI567" s="621"/>
      <c r="BYJ567" s="3933"/>
      <c r="BYK567" s="3933"/>
      <c r="BYL567" s="3933"/>
      <c r="BYM567" s="621"/>
      <c r="BYN567" s="3933"/>
      <c r="BYO567" s="3933"/>
      <c r="BYP567" s="3933"/>
      <c r="BYQ567" s="621"/>
      <c r="BYR567" s="3933"/>
      <c r="BYS567" s="3933"/>
      <c r="BYT567" s="3933"/>
      <c r="BYU567" s="621"/>
      <c r="BYV567" s="3933"/>
      <c r="BYW567" s="3933"/>
      <c r="BYX567" s="3933"/>
      <c r="BYY567" s="621"/>
      <c r="BYZ567" s="3933"/>
      <c r="BZA567" s="3933"/>
      <c r="BZB567" s="3933"/>
      <c r="BZC567" s="621"/>
      <c r="BZD567" s="3933"/>
      <c r="BZE567" s="3933"/>
      <c r="BZF567" s="3933"/>
      <c r="BZG567" s="621"/>
      <c r="BZH567" s="3933"/>
      <c r="BZI567" s="3933"/>
      <c r="BZJ567" s="3933"/>
      <c r="BZK567" s="621"/>
      <c r="BZL567" s="3933"/>
      <c r="BZM567" s="3933"/>
      <c r="BZN567" s="3933"/>
      <c r="BZO567" s="621"/>
      <c r="BZP567" s="3933"/>
      <c r="BZQ567" s="3933"/>
      <c r="BZR567" s="3933"/>
      <c r="BZS567" s="621"/>
      <c r="BZT567" s="3933"/>
      <c r="BZU567" s="3933"/>
      <c r="BZV567" s="3933"/>
      <c r="BZW567" s="621"/>
      <c r="BZX567" s="3933"/>
      <c r="BZY567" s="3933"/>
      <c r="BZZ567" s="3933"/>
      <c r="CAA567" s="621"/>
      <c r="CAB567" s="3933"/>
      <c r="CAC567" s="3933"/>
      <c r="CAD567" s="3933"/>
      <c r="CAE567" s="621"/>
      <c r="CAF567" s="3933"/>
      <c r="CAG567" s="3933"/>
      <c r="CAH567" s="3933"/>
      <c r="CAI567" s="621"/>
      <c r="CAJ567" s="3933"/>
      <c r="CAK567" s="3933"/>
      <c r="CAL567" s="3933"/>
      <c r="CAM567" s="621"/>
      <c r="CAN567" s="3933"/>
      <c r="CAO567" s="3933"/>
      <c r="CAP567" s="3933"/>
      <c r="CAQ567" s="621"/>
      <c r="CAR567" s="3933"/>
      <c r="CAS567" s="3933"/>
      <c r="CAT567" s="3933"/>
      <c r="CAU567" s="621"/>
      <c r="CAV567" s="3933"/>
      <c r="CAW567" s="3933"/>
      <c r="CAX567" s="3933"/>
      <c r="CAY567" s="621"/>
      <c r="CAZ567" s="3933"/>
      <c r="CBA567" s="3933"/>
      <c r="CBB567" s="3933"/>
      <c r="CBC567" s="621"/>
      <c r="CBD567" s="3933"/>
      <c r="CBE567" s="3933"/>
      <c r="CBF567" s="3933"/>
      <c r="CBG567" s="621"/>
      <c r="CBH567" s="3933"/>
      <c r="CBI567" s="3933"/>
      <c r="CBJ567" s="3933"/>
      <c r="CBK567" s="621"/>
      <c r="CBL567" s="3933"/>
      <c r="CBM567" s="3933"/>
      <c r="CBN567" s="3933"/>
      <c r="CBO567" s="621"/>
      <c r="CBP567" s="3933"/>
      <c r="CBQ567" s="3933"/>
      <c r="CBR567" s="3933"/>
      <c r="CBS567" s="621"/>
      <c r="CBT567" s="3933"/>
      <c r="CBU567" s="3933"/>
      <c r="CBV567" s="3933"/>
      <c r="CBW567" s="621"/>
      <c r="CBX567" s="3933"/>
      <c r="CBY567" s="3933"/>
      <c r="CBZ567" s="3933"/>
      <c r="CCA567" s="621"/>
      <c r="CCB567" s="3933"/>
      <c r="CCC567" s="3933"/>
      <c r="CCD567" s="3933"/>
      <c r="CCE567" s="621"/>
      <c r="CCF567" s="3933"/>
      <c r="CCG567" s="3933"/>
      <c r="CCH567" s="3933"/>
      <c r="CCI567" s="621"/>
      <c r="CCJ567" s="3933"/>
      <c r="CCK567" s="3933"/>
      <c r="CCL567" s="3933"/>
      <c r="CCM567" s="621"/>
      <c r="CCN567" s="3933"/>
      <c r="CCO567" s="3933"/>
      <c r="CCP567" s="3933"/>
      <c r="CCQ567" s="621"/>
      <c r="CCR567" s="3933"/>
      <c r="CCS567" s="3933"/>
      <c r="CCT567" s="3933"/>
      <c r="CCU567" s="621"/>
      <c r="CCV567" s="3933"/>
      <c r="CCW567" s="3933"/>
      <c r="CCX567" s="3933"/>
      <c r="CCY567" s="621"/>
      <c r="CCZ567" s="3933"/>
      <c r="CDA567" s="3933"/>
      <c r="CDB567" s="3933"/>
      <c r="CDC567" s="621"/>
      <c r="CDD567" s="3933"/>
      <c r="CDE567" s="3933"/>
      <c r="CDF567" s="3933"/>
      <c r="CDG567" s="621"/>
      <c r="CDH567" s="3933"/>
      <c r="CDI567" s="3933"/>
      <c r="CDJ567" s="3933"/>
      <c r="CDK567" s="621"/>
      <c r="CDL567" s="3933"/>
      <c r="CDM567" s="3933"/>
      <c r="CDN567" s="3933"/>
      <c r="CDO567" s="621"/>
      <c r="CDP567" s="3933"/>
      <c r="CDQ567" s="3933"/>
      <c r="CDR567" s="3933"/>
      <c r="CDS567" s="621"/>
      <c r="CDT567" s="3933"/>
      <c r="CDU567" s="3933"/>
      <c r="CDV567" s="3933"/>
      <c r="CDW567" s="621"/>
      <c r="CDX567" s="3933"/>
      <c r="CDY567" s="3933"/>
      <c r="CDZ567" s="3933"/>
      <c r="CEA567" s="621"/>
      <c r="CEB567" s="3933"/>
      <c r="CEC567" s="3933"/>
      <c r="CED567" s="3933"/>
      <c r="CEE567" s="621"/>
      <c r="CEF567" s="3933"/>
      <c r="CEG567" s="3933"/>
      <c r="CEH567" s="3933"/>
      <c r="CEI567" s="621"/>
      <c r="CEJ567" s="3933"/>
      <c r="CEK567" s="3933"/>
      <c r="CEL567" s="3933"/>
      <c r="CEM567" s="621"/>
      <c r="CEN567" s="3933"/>
      <c r="CEO567" s="3933"/>
      <c r="CEP567" s="3933"/>
      <c r="CEQ567" s="621"/>
      <c r="CER567" s="3933"/>
      <c r="CES567" s="3933"/>
      <c r="CET567" s="3933"/>
      <c r="CEU567" s="621"/>
      <c r="CEV567" s="3933"/>
      <c r="CEW567" s="3933"/>
      <c r="CEX567" s="3933"/>
      <c r="CEY567" s="621"/>
      <c r="CEZ567" s="3933"/>
      <c r="CFA567" s="3933"/>
      <c r="CFB567" s="3933"/>
      <c r="CFC567" s="621"/>
      <c r="CFD567" s="3933"/>
      <c r="CFE567" s="3933"/>
      <c r="CFF567" s="3933"/>
      <c r="CFG567" s="621"/>
      <c r="CFH567" s="3933"/>
      <c r="CFI567" s="3933"/>
      <c r="CFJ567" s="3933"/>
      <c r="CFK567" s="621"/>
      <c r="CFL567" s="3933"/>
      <c r="CFM567" s="3933"/>
      <c r="CFN567" s="3933"/>
      <c r="CFO567" s="621"/>
      <c r="CFP567" s="3933"/>
      <c r="CFQ567" s="3933"/>
      <c r="CFR567" s="3933"/>
      <c r="CFS567" s="621"/>
      <c r="CFT567" s="3933"/>
      <c r="CFU567" s="3933"/>
      <c r="CFV567" s="3933"/>
      <c r="CFW567" s="621"/>
      <c r="CFX567" s="3933"/>
      <c r="CFY567" s="3933"/>
      <c r="CFZ567" s="3933"/>
      <c r="CGA567" s="621"/>
      <c r="CGB567" s="3933"/>
      <c r="CGC567" s="3933"/>
      <c r="CGD567" s="3933"/>
      <c r="CGE567" s="621"/>
      <c r="CGF567" s="3933"/>
      <c r="CGG567" s="3933"/>
      <c r="CGH567" s="3933"/>
      <c r="CGI567" s="621"/>
      <c r="CGJ567" s="3933"/>
      <c r="CGK567" s="3933"/>
      <c r="CGL567" s="3933"/>
      <c r="CGM567" s="621"/>
      <c r="CGN567" s="3933"/>
      <c r="CGO567" s="3933"/>
      <c r="CGP567" s="3933"/>
      <c r="CGQ567" s="621"/>
      <c r="CGR567" s="3933"/>
      <c r="CGS567" s="3933"/>
      <c r="CGT567" s="3933"/>
      <c r="CGU567" s="621"/>
      <c r="CGV567" s="3933"/>
      <c r="CGW567" s="3933"/>
      <c r="CGX567" s="3933"/>
      <c r="CGY567" s="621"/>
      <c r="CGZ567" s="3933"/>
      <c r="CHA567" s="3933"/>
      <c r="CHB567" s="3933"/>
      <c r="CHC567" s="621"/>
      <c r="CHD567" s="3933"/>
      <c r="CHE567" s="3933"/>
      <c r="CHF567" s="3933"/>
      <c r="CHG567" s="621"/>
      <c r="CHH567" s="3933"/>
      <c r="CHI567" s="3933"/>
      <c r="CHJ567" s="3933"/>
      <c r="CHK567" s="621"/>
      <c r="CHL567" s="3933"/>
      <c r="CHM567" s="3933"/>
      <c r="CHN567" s="3933"/>
      <c r="CHO567" s="621"/>
      <c r="CHP567" s="3933"/>
      <c r="CHQ567" s="3933"/>
      <c r="CHR567" s="3933"/>
      <c r="CHS567" s="621"/>
      <c r="CHT567" s="3933"/>
      <c r="CHU567" s="3933"/>
      <c r="CHV567" s="3933"/>
      <c r="CHW567" s="621"/>
      <c r="CHX567" s="3933"/>
      <c r="CHY567" s="3933"/>
      <c r="CHZ567" s="3933"/>
      <c r="CIA567" s="621"/>
      <c r="CIB567" s="3933"/>
      <c r="CIC567" s="3933"/>
      <c r="CID567" s="3933"/>
      <c r="CIE567" s="621"/>
      <c r="CIF567" s="3933"/>
      <c r="CIG567" s="3933"/>
      <c r="CIH567" s="3933"/>
      <c r="CII567" s="621"/>
      <c r="CIJ567" s="3933"/>
      <c r="CIK567" s="3933"/>
      <c r="CIL567" s="3933"/>
      <c r="CIM567" s="621"/>
      <c r="CIN567" s="3933"/>
      <c r="CIO567" s="3933"/>
      <c r="CIP567" s="3933"/>
      <c r="CIQ567" s="621"/>
      <c r="CIR567" s="3933"/>
      <c r="CIS567" s="3933"/>
      <c r="CIT567" s="3933"/>
      <c r="CIU567" s="621"/>
      <c r="CIV567" s="3933"/>
      <c r="CIW567" s="3933"/>
      <c r="CIX567" s="3933"/>
      <c r="CIY567" s="621"/>
      <c r="CIZ567" s="3933"/>
      <c r="CJA567" s="3933"/>
      <c r="CJB567" s="3933"/>
      <c r="CJC567" s="621"/>
      <c r="CJD567" s="3933"/>
      <c r="CJE567" s="3933"/>
      <c r="CJF567" s="3933"/>
      <c r="CJG567" s="621"/>
      <c r="CJH567" s="3933"/>
      <c r="CJI567" s="3933"/>
      <c r="CJJ567" s="3933"/>
      <c r="CJK567" s="621"/>
      <c r="CJL567" s="3933"/>
      <c r="CJM567" s="3933"/>
      <c r="CJN567" s="3933"/>
      <c r="CJO567" s="621"/>
      <c r="CJP567" s="3933"/>
      <c r="CJQ567" s="3933"/>
      <c r="CJR567" s="3933"/>
      <c r="CJS567" s="621"/>
      <c r="CJT567" s="3933"/>
      <c r="CJU567" s="3933"/>
      <c r="CJV567" s="3933"/>
      <c r="CJW567" s="621"/>
      <c r="CJX567" s="3933"/>
      <c r="CJY567" s="3933"/>
      <c r="CJZ567" s="3933"/>
      <c r="CKA567" s="621"/>
      <c r="CKB567" s="3933"/>
      <c r="CKC567" s="3933"/>
      <c r="CKD567" s="3933"/>
      <c r="CKE567" s="621"/>
      <c r="CKF567" s="3933"/>
      <c r="CKG567" s="3933"/>
      <c r="CKH567" s="3933"/>
      <c r="CKI567" s="621"/>
      <c r="CKJ567" s="3933"/>
      <c r="CKK567" s="3933"/>
      <c r="CKL567" s="3933"/>
      <c r="CKM567" s="621"/>
      <c r="CKN567" s="3933"/>
      <c r="CKO567" s="3933"/>
      <c r="CKP567" s="3933"/>
      <c r="CKQ567" s="621"/>
      <c r="CKR567" s="3933"/>
      <c r="CKS567" s="3933"/>
      <c r="CKT567" s="3933"/>
      <c r="CKU567" s="621"/>
      <c r="CKV567" s="3933"/>
      <c r="CKW567" s="3933"/>
      <c r="CKX567" s="3933"/>
      <c r="CKY567" s="621"/>
      <c r="CKZ567" s="3933"/>
      <c r="CLA567" s="3933"/>
      <c r="CLB567" s="3933"/>
      <c r="CLC567" s="621"/>
      <c r="CLD567" s="3933"/>
      <c r="CLE567" s="3933"/>
      <c r="CLF567" s="3933"/>
      <c r="CLG567" s="621"/>
      <c r="CLH567" s="3933"/>
      <c r="CLI567" s="3933"/>
      <c r="CLJ567" s="3933"/>
      <c r="CLK567" s="621"/>
      <c r="CLL567" s="3933"/>
      <c r="CLM567" s="3933"/>
      <c r="CLN567" s="3933"/>
      <c r="CLO567" s="621"/>
      <c r="CLP567" s="3933"/>
      <c r="CLQ567" s="3933"/>
      <c r="CLR567" s="3933"/>
      <c r="CLS567" s="621"/>
      <c r="CLT567" s="3933"/>
      <c r="CLU567" s="3933"/>
      <c r="CLV567" s="3933"/>
      <c r="CLW567" s="621"/>
      <c r="CLX567" s="3933"/>
      <c r="CLY567" s="3933"/>
      <c r="CLZ567" s="3933"/>
      <c r="CMA567" s="621"/>
      <c r="CMB567" s="3933"/>
      <c r="CMC567" s="3933"/>
      <c r="CMD567" s="3933"/>
      <c r="CME567" s="621"/>
      <c r="CMF567" s="3933"/>
      <c r="CMG567" s="3933"/>
      <c r="CMH567" s="3933"/>
      <c r="CMI567" s="621"/>
      <c r="CMJ567" s="3933"/>
      <c r="CMK567" s="3933"/>
      <c r="CML567" s="3933"/>
      <c r="CMM567" s="621"/>
      <c r="CMN567" s="3933"/>
      <c r="CMO567" s="3933"/>
      <c r="CMP567" s="3933"/>
      <c r="CMQ567" s="621"/>
      <c r="CMR567" s="3933"/>
      <c r="CMS567" s="3933"/>
      <c r="CMT567" s="3933"/>
      <c r="CMU567" s="621"/>
      <c r="CMV567" s="3933"/>
      <c r="CMW567" s="3933"/>
      <c r="CMX567" s="3933"/>
      <c r="CMY567" s="621"/>
      <c r="CMZ567" s="3933"/>
      <c r="CNA567" s="3933"/>
      <c r="CNB567" s="3933"/>
      <c r="CNC567" s="621"/>
      <c r="CND567" s="3933"/>
      <c r="CNE567" s="3933"/>
      <c r="CNF567" s="3933"/>
      <c r="CNG567" s="621"/>
      <c r="CNH567" s="3933"/>
      <c r="CNI567" s="3933"/>
      <c r="CNJ567" s="3933"/>
      <c r="CNK567" s="621"/>
      <c r="CNL567" s="3933"/>
      <c r="CNM567" s="3933"/>
      <c r="CNN567" s="3933"/>
      <c r="CNO567" s="621"/>
      <c r="CNP567" s="3933"/>
      <c r="CNQ567" s="3933"/>
      <c r="CNR567" s="3933"/>
      <c r="CNS567" s="621"/>
      <c r="CNT567" s="3933"/>
      <c r="CNU567" s="3933"/>
      <c r="CNV567" s="3933"/>
      <c r="CNW567" s="621"/>
      <c r="CNX567" s="3933"/>
      <c r="CNY567" s="3933"/>
      <c r="CNZ567" s="3933"/>
      <c r="COA567" s="621"/>
      <c r="COB567" s="3933"/>
      <c r="COC567" s="3933"/>
      <c r="COD567" s="3933"/>
      <c r="COE567" s="621"/>
      <c r="COF567" s="3933"/>
      <c r="COG567" s="3933"/>
      <c r="COH567" s="3933"/>
      <c r="COI567" s="621"/>
      <c r="COJ567" s="3933"/>
      <c r="COK567" s="3933"/>
      <c r="COL567" s="3933"/>
      <c r="COM567" s="621"/>
      <c r="CON567" s="3933"/>
      <c r="COO567" s="3933"/>
      <c r="COP567" s="3933"/>
      <c r="COQ567" s="621"/>
      <c r="COR567" s="3933"/>
      <c r="COS567" s="3933"/>
      <c r="COT567" s="3933"/>
      <c r="COU567" s="621"/>
      <c r="COV567" s="3933"/>
      <c r="COW567" s="3933"/>
      <c r="COX567" s="3933"/>
      <c r="COY567" s="621"/>
      <c r="COZ567" s="3933"/>
      <c r="CPA567" s="3933"/>
      <c r="CPB567" s="3933"/>
      <c r="CPC567" s="621"/>
      <c r="CPD567" s="3933"/>
      <c r="CPE567" s="3933"/>
      <c r="CPF567" s="3933"/>
      <c r="CPG567" s="621"/>
      <c r="CPH567" s="3933"/>
      <c r="CPI567" s="3933"/>
      <c r="CPJ567" s="3933"/>
      <c r="CPK567" s="621"/>
      <c r="CPL567" s="3933"/>
      <c r="CPM567" s="3933"/>
      <c r="CPN567" s="3933"/>
      <c r="CPO567" s="621"/>
      <c r="CPP567" s="3933"/>
      <c r="CPQ567" s="3933"/>
      <c r="CPR567" s="3933"/>
      <c r="CPS567" s="621"/>
      <c r="CPT567" s="3933"/>
      <c r="CPU567" s="3933"/>
      <c r="CPV567" s="3933"/>
      <c r="CPW567" s="621"/>
      <c r="CPX567" s="3933"/>
      <c r="CPY567" s="3933"/>
      <c r="CPZ567" s="3933"/>
      <c r="CQA567" s="621"/>
      <c r="CQB567" s="3933"/>
      <c r="CQC567" s="3933"/>
      <c r="CQD567" s="3933"/>
      <c r="CQE567" s="621"/>
      <c r="CQF567" s="3933"/>
      <c r="CQG567" s="3933"/>
      <c r="CQH567" s="3933"/>
      <c r="CQI567" s="621"/>
      <c r="CQJ567" s="3933"/>
      <c r="CQK567" s="3933"/>
      <c r="CQL567" s="3933"/>
      <c r="CQM567" s="621"/>
      <c r="CQN567" s="3933"/>
      <c r="CQO567" s="3933"/>
      <c r="CQP567" s="3933"/>
      <c r="CQQ567" s="621"/>
      <c r="CQR567" s="3933"/>
      <c r="CQS567" s="3933"/>
      <c r="CQT567" s="3933"/>
      <c r="CQU567" s="621"/>
      <c r="CQV567" s="3933"/>
      <c r="CQW567" s="3933"/>
      <c r="CQX567" s="3933"/>
      <c r="CQY567" s="621"/>
      <c r="CQZ567" s="3933"/>
      <c r="CRA567" s="3933"/>
      <c r="CRB567" s="3933"/>
      <c r="CRC567" s="621"/>
      <c r="CRD567" s="3933"/>
      <c r="CRE567" s="3933"/>
      <c r="CRF567" s="3933"/>
      <c r="CRG567" s="621"/>
      <c r="CRH567" s="3933"/>
      <c r="CRI567" s="3933"/>
      <c r="CRJ567" s="3933"/>
      <c r="CRK567" s="621"/>
      <c r="CRL567" s="3933"/>
      <c r="CRM567" s="3933"/>
      <c r="CRN567" s="3933"/>
      <c r="CRO567" s="621"/>
      <c r="CRP567" s="3933"/>
      <c r="CRQ567" s="3933"/>
      <c r="CRR567" s="3933"/>
      <c r="CRS567" s="621"/>
      <c r="CRT567" s="3933"/>
      <c r="CRU567" s="3933"/>
      <c r="CRV567" s="3933"/>
      <c r="CRW567" s="621"/>
      <c r="CRX567" s="3933"/>
      <c r="CRY567" s="3933"/>
      <c r="CRZ567" s="3933"/>
      <c r="CSA567" s="621"/>
      <c r="CSB567" s="3933"/>
      <c r="CSC567" s="3933"/>
      <c r="CSD567" s="3933"/>
      <c r="CSE567" s="621"/>
      <c r="CSF567" s="3933"/>
      <c r="CSG567" s="3933"/>
      <c r="CSH567" s="3933"/>
      <c r="CSI567" s="621"/>
      <c r="CSJ567" s="3933"/>
      <c r="CSK567" s="3933"/>
      <c r="CSL567" s="3933"/>
      <c r="CSM567" s="621"/>
      <c r="CSN567" s="3933"/>
      <c r="CSO567" s="3933"/>
      <c r="CSP567" s="3933"/>
      <c r="CSQ567" s="621"/>
      <c r="CSR567" s="3933"/>
      <c r="CSS567" s="3933"/>
      <c r="CST567" s="3933"/>
      <c r="CSU567" s="621"/>
      <c r="CSV567" s="3933"/>
      <c r="CSW567" s="3933"/>
      <c r="CSX567" s="3933"/>
      <c r="CSY567" s="621"/>
      <c r="CSZ567" s="3933"/>
      <c r="CTA567" s="3933"/>
      <c r="CTB567" s="3933"/>
      <c r="CTC567" s="621"/>
      <c r="CTD567" s="3933"/>
      <c r="CTE567" s="3933"/>
      <c r="CTF567" s="3933"/>
      <c r="CTG567" s="621"/>
      <c r="CTH567" s="3933"/>
      <c r="CTI567" s="3933"/>
      <c r="CTJ567" s="3933"/>
      <c r="CTK567" s="621"/>
      <c r="CTL567" s="3933"/>
      <c r="CTM567" s="3933"/>
      <c r="CTN567" s="3933"/>
      <c r="CTO567" s="621"/>
      <c r="CTP567" s="3933"/>
      <c r="CTQ567" s="3933"/>
      <c r="CTR567" s="3933"/>
      <c r="CTS567" s="621"/>
      <c r="CTT567" s="3933"/>
      <c r="CTU567" s="3933"/>
      <c r="CTV567" s="3933"/>
      <c r="CTW567" s="621"/>
      <c r="CTX567" s="3933"/>
      <c r="CTY567" s="3933"/>
      <c r="CTZ567" s="3933"/>
      <c r="CUA567" s="621"/>
      <c r="CUB567" s="3933"/>
      <c r="CUC567" s="3933"/>
      <c r="CUD567" s="3933"/>
      <c r="CUE567" s="621"/>
      <c r="CUF567" s="3933"/>
      <c r="CUG567" s="3933"/>
      <c r="CUH567" s="3933"/>
      <c r="CUI567" s="621"/>
      <c r="CUJ567" s="3933"/>
      <c r="CUK567" s="3933"/>
      <c r="CUL567" s="3933"/>
      <c r="CUM567" s="621"/>
      <c r="CUN567" s="3933"/>
      <c r="CUO567" s="3933"/>
      <c r="CUP567" s="3933"/>
      <c r="CUQ567" s="621"/>
      <c r="CUR567" s="3933"/>
      <c r="CUS567" s="3933"/>
      <c r="CUT567" s="3933"/>
      <c r="CUU567" s="621"/>
      <c r="CUV567" s="3933"/>
      <c r="CUW567" s="3933"/>
      <c r="CUX567" s="3933"/>
      <c r="CUY567" s="621"/>
      <c r="CUZ567" s="3933"/>
      <c r="CVA567" s="3933"/>
      <c r="CVB567" s="3933"/>
      <c r="CVC567" s="621"/>
      <c r="CVD567" s="3933"/>
      <c r="CVE567" s="3933"/>
      <c r="CVF567" s="3933"/>
      <c r="CVG567" s="621"/>
      <c r="CVH567" s="3933"/>
      <c r="CVI567" s="3933"/>
      <c r="CVJ567" s="3933"/>
      <c r="CVK567" s="621"/>
      <c r="CVL567" s="3933"/>
      <c r="CVM567" s="3933"/>
      <c r="CVN567" s="3933"/>
      <c r="CVO567" s="621"/>
      <c r="CVP567" s="3933"/>
      <c r="CVQ567" s="3933"/>
      <c r="CVR567" s="3933"/>
      <c r="CVS567" s="621"/>
      <c r="CVT567" s="3933"/>
      <c r="CVU567" s="3933"/>
      <c r="CVV567" s="3933"/>
      <c r="CVW567" s="621"/>
      <c r="CVX567" s="3933"/>
      <c r="CVY567" s="3933"/>
      <c r="CVZ567" s="3933"/>
      <c r="CWA567" s="621"/>
      <c r="CWB567" s="3933"/>
      <c r="CWC567" s="3933"/>
      <c r="CWD567" s="3933"/>
      <c r="CWE567" s="621"/>
      <c r="CWF567" s="3933"/>
      <c r="CWG567" s="3933"/>
      <c r="CWH567" s="3933"/>
      <c r="CWI567" s="621"/>
      <c r="CWJ567" s="3933"/>
      <c r="CWK567" s="3933"/>
      <c r="CWL567" s="3933"/>
      <c r="CWM567" s="621"/>
      <c r="CWN567" s="3933"/>
      <c r="CWO567" s="3933"/>
      <c r="CWP567" s="3933"/>
      <c r="CWQ567" s="621"/>
      <c r="CWR567" s="3933"/>
      <c r="CWS567" s="3933"/>
      <c r="CWT567" s="3933"/>
      <c r="CWU567" s="621"/>
      <c r="CWV567" s="3933"/>
      <c r="CWW567" s="3933"/>
      <c r="CWX567" s="3933"/>
      <c r="CWY567" s="621"/>
      <c r="CWZ567" s="3933"/>
      <c r="CXA567" s="3933"/>
      <c r="CXB567" s="3933"/>
      <c r="CXC567" s="621"/>
      <c r="CXD567" s="3933"/>
      <c r="CXE567" s="3933"/>
      <c r="CXF567" s="3933"/>
      <c r="CXG567" s="621"/>
      <c r="CXH567" s="3933"/>
      <c r="CXI567" s="3933"/>
      <c r="CXJ567" s="3933"/>
      <c r="CXK567" s="621"/>
      <c r="CXL567" s="3933"/>
      <c r="CXM567" s="3933"/>
      <c r="CXN567" s="3933"/>
      <c r="CXO567" s="621"/>
      <c r="CXP567" s="3933"/>
      <c r="CXQ567" s="3933"/>
      <c r="CXR567" s="3933"/>
      <c r="CXS567" s="621"/>
      <c r="CXT567" s="3933"/>
      <c r="CXU567" s="3933"/>
      <c r="CXV567" s="3933"/>
      <c r="CXW567" s="621"/>
      <c r="CXX567" s="3933"/>
      <c r="CXY567" s="3933"/>
      <c r="CXZ567" s="3933"/>
      <c r="CYA567" s="621"/>
      <c r="CYB567" s="3933"/>
      <c r="CYC567" s="3933"/>
      <c r="CYD567" s="3933"/>
      <c r="CYE567" s="621"/>
      <c r="CYF567" s="3933"/>
      <c r="CYG567" s="3933"/>
      <c r="CYH567" s="3933"/>
      <c r="CYI567" s="621"/>
      <c r="CYJ567" s="3933"/>
      <c r="CYK567" s="3933"/>
      <c r="CYL567" s="3933"/>
      <c r="CYM567" s="621"/>
      <c r="CYN567" s="3933"/>
      <c r="CYO567" s="3933"/>
      <c r="CYP567" s="3933"/>
      <c r="CYQ567" s="621"/>
      <c r="CYR567" s="3933"/>
      <c r="CYS567" s="3933"/>
      <c r="CYT567" s="3933"/>
      <c r="CYU567" s="621"/>
      <c r="CYV567" s="3933"/>
      <c r="CYW567" s="3933"/>
      <c r="CYX567" s="3933"/>
      <c r="CYY567" s="621"/>
      <c r="CYZ567" s="3933"/>
      <c r="CZA567" s="3933"/>
      <c r="CZB567" s="3933"/>
      <c r="CZC567" s="621"/>
      <c r="CZD567" s="3933"/>
      <c r="CZE567" s="3933"/>
      <c r="CZF567" s="3933"/>
      <c r="CZG567" s="621"/>
      <c r="CZH567" s="3933"/>
      <c r="CZI567" s="3933"/>
      <c r="CZJ567" s="3933"/>
      <c r="CZK567" s="621"/>
      <c r="CZL567" s="3933"/>
      <c r="CZM567" s="3933"/>
      <c r="CZN567" s="3933"/>
      <c r="CZO567" s="621"/>
      <c r="CZP567" s="3933"/>
      <c r="CZQ567" s="3933"/>
      <c r="CZR567" s="3933"/>
      <c r="CZS567" s="621"/>
      <c r="CZT567" s="3933"/>
      <c r="CZU567" s="3933"/>
      <c r="CZV567" s="3933"/>
      <c r="CZW567" s="621"/>
      <c r="CZX567" s="3933"/>
      <c r="CZY567" s="3933"/>
      <c r="CZZ567" s="3933"/>
      <c r="DAA567" s="621"/>
      <c r="DAB567" s="3933"/>
      <c r="DAC567" s="3933"/>
      <c r="DAD567" s="3933"/>
      <c r="DAE567" s="621"/>
      <c r="DAF567" s="3933"/>
      <c r="DAG567" s="3933"/>
      <c r="DAH567" s="3933"/>
      <c r="DAI567" s="621"/>
      <c r="DAJ567" s="3933"/>
      <c r="DAK567" s="3933"/>
      <c r="DAL567" s="3933"/>
      <c r="DAM567" s="621"/>
      <c r="DAN567" s="3933"/>
      <c r="DAO567" s="3933"/>
      <c r="DAP567" s="3933"/>
      <c r="DAQ567" s="621"/>
      <c r="DAR567" s="3933"/>
      <c r="DAS567" s="3933"/>
      <c r="DAT567" s="3933"/>
      <c r="DAU567" s="621"/>
      <c r="DAV567" s="3933"/>
      <c r="DAW567" s="3933"/>
      <c r="DAX567" s="3933"/>
      <c r="DAY567" s="621"/>
      <c r="DAZ567" s="3933"/>
      <c r="DBA567" s="3933"/>
      <c r="DBB567" s="3933"/>
      <c r="DBC567" s="621"/>
      <c r="DBD567" s="3933"/>
      <c r="DBE567" s="3933"/>
      <c r="DBF567" s="3933"/>
      <c r="DBG567" s="621"/>
      <c r="DBH567" s="3933"/>
      <c r="DBI567" s="3933"/>
      <c r="DBJ567" s="3933"/>
      <c r="DBK567" s="621"/>
      <c r="DBL567" s="3933"/>
      <c r="DBM567" s="3933"/>
      <c r="DBN567" s="3933"/>
      <c r="DBO567" s="621"/>
      <c r="DBP567" s="3933"/>
      <c r="DBQ567" s="3933"/>
      <c r="DBR567" s="3933"/>
      <c r="DBS567" s="621"/>
      <c r="DBT567" s="3933"/>
      <c r="DBU567" s="3933"/>
      <c r="DBV567" s="3933"/>
      <c r="DBW567" s="621"/>
      <c r="DBX567" s="3933"/>
      <c r="DBY567" s="3933"/>
      <c r="DBZ567" s="3933"/>
      <c r="DCA567" s="621"/>
      <c r="DCB567" s="3933"/>
      <c r="DCC567" s="3933"/>
      <c r="DCD567" s="3933"/>
      <c r="DCE567" s="621"/>
      <c r="DCF567" s="3933"/>
      <c r="DCG567" s="3933"/>
      <c r="DCH567" s="3933"/>
      <c r="DCI567" s="621"/>
      <c r="DCJ567" s="3933"/>
      <c r="DCK567" s="3933"/>
      <c r="DCL567" s="3933"/>
      <c r="DCM567" s="621"/>
      <c r="DCN567" s="3933"/>
      <c r="DCO567" s="3933"/>
      <c r="DCP567" s="3933"/>
      <c r="DCQ567" s="621"/>
      <c r="DCR567" s="3933"/>
      <c r="DCS567" s="3933"/>
      <c r="DCT567" s="3933"/>
      <c r="DCU567" s="621"/>
      <c r="DCV567" s="3933"/>
      <c r="DCW567" s="3933"/>
      <c r="DCX567" s="3933"/>
      <c r="DCY567" s="621"/>
      <c r="DCZ567" s="3933"/>
      <c r="DDA567" s="3933"/>
      <c r="DDB567" s="3933"/>
      <c r="DDC567" s="621"/>
      <c r="DDD567" s="3933"/>
      <c r="DDE567" s="3933"/>
      <c r="DDF567" s="3933"/>
      <c r="DDG567" s="621"/>
      <c r="DDH567" s="3933"/>
      <c r="DDI567" s="3933"/>
      <c r="DDJ567" s="3933"/>
      <c r="DDK567" s="621"/>
      <c r="DDL567" s="3933"/>
      <c r="DDM567" s="3933"/>
      <c r="DDN567" s="3933"/>
      <c r="DDO567" s="621"/>
      <c r="DDP567" s="3933"/>
      <c r="DDQ567" s="3933"/>
      <c r="DDR567" s="3933"/>
      <c r="DDS567" s="621"/>
      <c r="DDT567" s="3933"/>
      <c r="DDU567" s="3933"/>
      <c r="DDV567" s="3933"/>
      <c r="DDW567" s="621"/>
      <c r="DDX567" s="3933"/>
      <c r="DDY567" s="3933"/>
      <c r="DDZ567" s="3933"/>
      <c r="DEA567" s="621"/>
      <c r="DEB567" s="3933"/>
      <c r="DEC567" s="3933"/>
      <c r="DED567" s="3933"/>
      <c r="DEE567" s="621"/>
      <c r="DEF567" s="3933"/>
      <c r="DEG567" s="3933"/>
      <c r="DEH567" s="3933"/>
      <c r="DEI567" s="621"/>
      <c r="DEJ567" s="3933"/>
      <c r="DEK567" s="3933"/>
      <c r="DEL567" s="3933"/>
      <c r="DEM567" s="621"/>
      <c r="DEN567" s="3933"/>
      <c r="DEO567" s="3933"/>
      <c r="DEP567" s="3933"/>
      <c r="DEQ567" s="621"/>
      <c r="DER567" s="3933"/>
      <c r="DES567" s="3933"/>
      <c r="DET567" s="3933"/>
      <c r="DEU567" s="621"/>
      <c r="DEV567" s="3933"/>
      <c r="DEW567" s="3933"/>
      <c r="DEX567" s="3933"/>
      <c r="DEY567" s="621"/>
      <c r="DEZ567" s="3933"/>
      <c r="DFA567" s="3933"/>
      <c r="DFB567" s="3933"/>
      <c r="DFC567" s="621"/>
      <c r="DFD567" s="3933"/>
      <c r="DFE567" s="3933"/>
      <c r="DFF567" s="3933"/>
      <c r="DFG567" s="621"/>
      <c r="DFH567" s="3933"/>
      <c r="DFI567" s="3933"/>
      <c r="DFJ567" s="3933"/>
      <c r="DFK567" s="621"/>
      <c r="DFL567" s="3933"/>
      <c r="DFM567" s="3933"/>
      <c r="DFN567" s="3933"/>
      <c r="DFO567" s="621"/>
      <c r="DFP567" s="3933"/>
      <c r="DFQ567" s="3933"/>
      <c r="DFR567" s="3933"/>
      <c r="DFS567" s="621"/>
      <c r="DFT567" s="3933"/>
      <c r="DFU567" s="3933"/>
      <c r="DFV567" s="3933"/>
      <c r="DFW567" s="621"/>
      <c r="DFX567" s="3933"/>
      <c r="DFY567" s="3933"/>
      <c r="DFZ567" s="3933"/>
      <c r="DGA567" s="621"/>
      <c r="DGB567" s="3933"/>
      <c r="DGC567" s="3933"/>
      <c r="DGD567" s="3933"/>
      <c r="DGE567" s="621"/>
      <c r="DGF567" s="3933"/>
      <c r="DGG567" s="3933"/>
      <c r="DGH567" s="3933"/>
      <c r="DGI567" s="621"/>
      <c r="DGJ567" s="3933"/>
      <c r="DGK567" s="3933"/>
      <c r="DGL567" s="3933"/>
      <c r="DGM567" s="621"/>
      <c r="DGN567" s="3933"/>
      <c r="DGO567" s="3933"/>
      <c r="DGP567" s="3933"/>
      <c r="DGQ567" s="621"/>
      <c r="DGR567" s="3933"/>
      <c r="DGS567" s="3933"/>
      <c r="DGT567" s="3933"/>
      <c r="DGU567" s="621"/>
      <c r="DGV567" s="3933"/>
      <c r="DGW567" s="3933"/>
      <c r="DGX567" s="3933"/>
      <c r="DGY567" s="621"/>
      <c r="DGZ567" s="3933"/>
      <c r="DHA567" s="3933"/>
      <c r="DHB567" s="3933"/>
      <c r="DHC567" s="621"/>
      <c r="DHD567" s="3933"/>
      <c r="DHE567" s="3933"/>
      <c r="DHF567" s="3933"/>
      <c r="DHG567" s="621"/>
      <c r="DHH567" s="3933"/>
      <c r="DHI567" s="3933"/>
      <c r="DHJ567" s="3933"/>
      <c r="DHK567" s="621"/>
      <c r="DHL567" s="3933"/>
      <c r="DHM567" s="3933"/>
      <c r="DHN567" s="3933"/>
      <c r="DHO567" s="621"/>
      <c r="DHP567" s="3933"/>
      <c r="DHQ567" s="3933"/>
      <c r="DHR567" s="3933"/>
      <c r="DHS567" s="621"/>
      <c r="DHT567" s="3933"/>
      <c r="DHU567" s="3933"/>
      <c r="DHV567" s="3933"/>
      <c r="DHW567" s="621"/>
      <c r="DHX567" s="3933"/>
      <c r="DHY567" s="3933"/>
      <c r="DHZ567" s="3933"/>
      <c r="DIA567" s="621"/>
      <c r="DIB567" s="3933"/>
      <c r="DIC567" s="3933"/>
      <c r="DID567" s="3933"/>
      <c r="DIE567" s="621"/>
      <c r="DIF567" s="3933"/>
      <c r="DIG567" s="3933"/>
      <c r="DIH567" s="3933"/>
      <c r="DII567" s="621"/>
      <c r="DIJ567" s="3933"/>
      <c r="DIK567" s="3933"/>
      <c r="DIL567" s="3933"/>
      <c r="DIM567" s="621"/>
      <c r="DIN567" s="3933"/>
      <c r="DIO567" s="3933"/>
      <c r="DIP567" s="3933"/>
      <c r="DIQ567" s="621"/>
      <c r="DIR567" s="3933"/>
      <c r="DIS567" s="3933"/>
      <c r="DIT567" s="3933"/>
      <c r="DIU567" s="621"/>
      <c r="DIV567" s="3933"/>
      <c r="DIW567" s="3933"/>
      <c r="DIX567" s="3933"/>
      <c r="DIY567" s="621"/>
      <c r="DIZ567" s="3933"/>
      <c r="DJA567" s="3933"/>
      <c r="DJB567" s="3933"/>
      <c r="DJC567" s="621"/>
      <c r="DJD567" s="3933"/>
      <c r="DJE567" s="3933"/>
      <c r="DJF567" s="3933"/>
      <c r="DJG567" s="621"/>
      <c r="DJH567" s="3933"/>
      <c r="DJI567" s="3933"/>
      <c r="DJJ567" s="3933"/>
      <c r="DJK567" s="621"/>
      <c r="DJL567" s="3933"/>
      <c r="DJM567" s="3933"/>
      <c r="DJN567" s="3933"/>
      <c r="DJO567" s="621"/>
      <c r="DJP567" s="3933"/>
      <c r="DJQ567" s="3933"/>
      <c r="DJR567" s="3933"/>
      <c r="DJS567" s="621"/>
      <c r="DJT567" s="3933"/>
      <c r="DJU567" s="3933"/>
      <c r="DJV567" s="3933"/>
      <c r="DJW567" s="621"/>
      <c r="DJX567" s="3933"/>
      <c r="DJY567" s="3933"/>
      <c r="DJZ567" s="3933"/>
      <c r="DKA567" s="621"/>
      <c r="DKB567" s="3933"/>
      <c r="DKC567" s="3933"/>
      <c r="DKD567" s="3933"/>
      <c r="DKE567" s="621"/>
      <c r="DKF567" s="3933"/>
      <c r="DKG567" s="3933"/>
      <c r="DKH567" s="3933"/>
      <c r="DKI567" s="621"/>
      <c r="DKJ567" s="3933"/>
      <c r="DKK567" s="3933"/>
      <c r="DKL567" s="3933"/>
      <c r="DKM567" s="621"/>
      <c r="DKN567" s="3933"/>
      <c r="DKO567" s="3933"/>
      <c r="DKP567" s="3933"/>
      <c r="DKQ567" s="621"/>
      <c r="DKR567" s="3933"/>
      <c r="DKS567" s="3933"/>
      <c r="DKT567" s="3933"/>
      <c r="DKU567" s="621"/>
      <c r="DKV567" s="3933"/>
      <c r="DKW567" s="3933"/>
      <c r="DKX567" s="3933"/>
      <c r="DKY567" s="621"/>
      <c r="DKZ567" s="3933"/>
      <c r="DLA567" s="3933"/>
      <c r="DLB567" s="3933"/>
      <c r="DLC567" s="621"/>
      <c r="DLD567" s="3933"/>
      <c r="DLE567" s="3933"/>
      <c r="DLF567" s="3933"/>
      <c r="DLG567" s="621"/>
      <c r="DLH567" s="3933"/>
      <c r="DLI567" s="3933"/>
      <c r="DLJ567" s="3933"/>
      <c r="DLK567" s="621"/>
      <c r="DLL567" s="3933"/>
      <c r="DLM567" s="3933"/>
      <c r="DLN567" s="3933"/>
      <c r="DLO567" s="621"/>
      <c r="DLP567" s="3933"/>
      <c r="DLQ567" s="3933"/>
      <c r="DLR567" s="3933"/>
      <c r="DLS567" s="621"/>
      <c r="DLT567" s="3933"/>
      <c r="DLU567" s="3933"/>
      <c r="DLV567" s="3933"/>
      <c r="DLW567" s="621"/>
      <c r="DLX567" s="3933"/>
      <c r="DLY567" s="3933"/>
      <c r="DLZ567" s="3933"/>
      <c r="DMA567" s="621"/>
      <c r="DMB567" s="3933"/>
      <c r="DMC567" s="3933"/>
      <c r="DMD567" s="3933"/>
      <c r="DME567" s="621"/>
      <c r="DMF567" s="3933"/>
      <c r="DMG567" s="3933"/>
      <c r="DMH567" s="3933"/>
      <c r="DMI567" s="621"/>
      <c r="DMJ567" s="3933"/>
      <c r="DMK567" s="3933"/>
      <c r="DML567" s="3933"/>
      <c r="DMM567" s="621"/>
      <c r="DMN567" s="3933"/>
      <c r="DMO567" s="3933"/>
      <c r="DMP567" s="3933"/>
      <c r="DMQ567" s="621"/>
      <c r="DMR567" s="3933"/>
      <c r="DMS567" s="3933"/>
      <c r="DMT567" s="3933"/>
      <c r="DMU567" s="621"/>
      <c r="DMV567" s="3933"/>
      <c r="DMW567" s="3933"/>
      <c r="DMX567" s="3933"/>
      <c r="DMY567" s="621"/>
      <c r="DMZ567" s="3933"/>
      <c r="DNA567" s="3933"/>
      <c r="DNB567" s="3933"/>
      <c r="DNC567" s="621"/>
      <c r="DND567" s="3933"/>
      <c r="DNE567" s="3933"/>
      <c r="DNF567" s="3933"/>
      <c r="DNG567" s="621"/>
      <c r="DNH567" s="3933"/>
      <c r="DNI567" s="3933"/>
      <c r="DNJ567" s="3933"/>
      <c r="DNK567" s="621"/>
      <c r="DNL567" s="3933"/>
      <c r="DNM567" s="3933"/>
      <c r="DNN567" s="3933"/>
      <c r="DNO567" s="621"/>
      <c r="DNP567" s="3933"/>
      <c r="DNQ567" s="3933"/>
      <c r="DNR567" s="3933"/>
      <c r="DNS567" s="621"/>
      <c r="DNT567" s="3933"/>
      <c r="DNU567" s="3933"/>
      <c r="DNV567" s="3933"/>
      <c r="DNW567" s="621"/>
      <c r="DNX567" s="3933"/>
      <c r="DNY567" s="3933"/>
      <c r="DNZ567" s="3933"/>
      <c r="DOA567" s="621"/>
      <c r="DOB567" s="3933"/>
      <c r="DOC567" s="3933"/>
      <c r="DOD567" s="3933"/>
      <c r="DOE567" s="621"/>
      <c r="DOF567" s="3933"/>
      <c r="DOG567" s="3933"/>
      <c r="DOH567" s="3933"/>
      <c r="DOI567" s="621"/>
      <c r="DOJ567" s="3933"/>
      <c r="DOK567" s="3933"/>
      <c r="DOL567" s="3933"/>
      <c r="DOM567" s="621"/>
      <c r="DON567" s="3933"/>
      <c r="DOO567" s="3933"/>
      <c r="DOP567" s="3933"/>
      <c r="DOQ567" s="621"/>
      <c r="DOR567" s="3933"/>
      <c r="DOS567" s="3933"/>
      <c r="DOT567" s="3933"/>
      <c r="DOU567" s="621"/>
      <c r="DOV567" s="3933"/>
      <c r="DOW567" s="3933"/>
      <c r="DOX567" s="3933"/>
      <c r="DOY567" s="621"/>
      <c r="DOZ567" s="3933"/>
      <c r="DPA567" s="3933"/>
      <c r="DPB567" s="3933"/>
      <c r="DPC567" s="621"/>
      <c r="DPD567" s="3933"/>
      <c r="DPE567" s="3933"/>
      <c r="DPF567" s="3933"/>
      <c r="DPG567" s="621"/>
      <c r="DPH567" s="3933"/>
      <c r="DPI567" s="3933"/>
      <c r="DPJ567" s="3933"/>
      <c r="DPK567" s="621"/>
      <c r="DPL567" s="3933"/>
      <c r="DPM567" s="3933"/>
      <c r="DPN567" s="3933"/>
      <c r="DPO567" s="621"/>
      <c r="DPP567" s="3933"/>
      <c r="DPQ567" s="3933"/>
      <c r="DPR567" s="3933"/>
      <c r="DPS567" s="621"/>
      <c r="DPT567" s="3933"/>
      <c r="DPU567" s="3933"/>
      <c r="DPV567" s="3933"/>
      <c r="DPW567" s="621"/>
      <c r="DPX567" s="3933"/>
      <c r="DPY567" s="3933"/>
      <c r="DPZ567" s="3933"/>
      <c r="DQA567" s="621"/>
      <c r="DQB567" s="3933"/>
      <c r="DQC567" s="3933"/>
      <c r="DQD567" s="3933"/>
      <c r="DQE567" s="621"/>
      <c r="DQF567" s="3933"/>
      <c r="DQG567" s="3933"/>
      <c r="DQH567" s="3933"/>
      <c r="DQI567" s="621"/>
      <c r="DQJ567" s="3933"/>
      <c r="DQK567" s="3933"/>
      <c r="DQL567" s="3933"/>
      <c r="DQM567" s="621"/>
      <c r="DQN567" s="3933"/>
      <c r="DQO567" s="3933"/>
      <c r="DQP567" s="3933"/>
      <c r="DQQ567" s="621"/>
      <c r="DQR567" s="3933"/>
      <c r="DQS567" s="3933"/>
      <c r="DQT567" s="3933"/>
      <c r="DQU567" s="621"/>
      <c r="DQV567" s="3933"/>
      <c r="DQW567" s="3933"/>
      <c r="DQX567" s="3933"/>
      <c r="DQY567" s="621"/>
      <c r="DQZ567" s="3933"/>
      <c r="DRA567" s="3933"/>
      <c r="DRB567" s="3933"/>
      <c r="DRC567" s="621"/>
      <c r="DRD567" s="3933"/>
      <c r="DRE567" s="3933"/>
      <c r="DRF567" s="3933"/>
      <c r="DRG567" s="621"/>
      <c r="DRH567" s="3933"/>
      <c r="DRI567" s="3933"/>
      <c r="DRJ567" s="3933"/>
      <c r="DRK567" s="621"/>
      <c r="DRL567" s="3933"/>
      <c r="DRM567" s="3933"/>
      <c r="DRN567" s="3933"/>
      <c r="DRO567" s="621"/>
      <c r="DRP567" s="3933"/>
      <c r="DRQ567" s="3933"/>
      <c r="DRR567" s="3933"/>
      <c r="DRS567" s="621"/>
      <c r="DRT567" s="3933"/>
      <c r="DRU567" s="3933"/>
      <c r="DRV567" s="3933"/>
      <c r="DRW567" s="621"/>
      <c r="DRX567" s="3933"/>
      <c r="DRY567" s="3933"/>
      <c r="DRZ567" s="3933"/>
      <c r="DSA567" s="621"/>
      <c r="DSB567" s="3933"/>
      <c r="DSC567" s="3933"/>
      <c r="DSD567" s="3933"/>
      <c r="DSE567" s="621"/>
      <c r="DSF567" s="3933"/>
      <c r="DSG567" s="3933"/>
      <c r="DSH567" s="3933"/>
      <c r="DSI567" s="621"/>
      <c r="DSJ567" s="3933"/>
      <c r="DSK567" s="3933"/>
      <c r="DSL567" s="3933"/>
      <c r="DSM567" s="621"/>
      <c r="DSN567" s="3933"/>
      <c r="DSO567" s="3933"/>
      <c r="DSP567" s="3933"/>
      <c r="DSQ567" s="621"/>
      <c r="DSR567" s="3933"/>
      <c r="DSS567" s="3933"/>
      <c r="DST567" s="3933"/>
      <c r="DSU567" s="621"/>
      <c r="DSV567" s="3933"/>
      <c r="DSW567" s="3933"/>
      <c r="DSX567" s="3933"/>
      <c r="DSY567" s="621"/>
      <c r="DSZ567" s="3933"/>
      <c r="DTA567" s="3933"/>
      <c r="DTB567" s="3933"/>
      <c r="DTC567" s="621"/>
      <c r="DTD567" s="3933"/>
      <c r="DTE567" s="3933"/>
      <c r="DTF567" s="3933"/>
      <c r="DTG567" s="621"/>
      <c r="DTH567" s="3933"/>
      <c r="DTI567" s="3933"/>
      <c r="DTJ567" s="3933"/>
      <c r="DTK567" s="621"/>
      <c r="DTL567" s="3933"/>
      <c r="DTM567" s="3933"/>
      <c r="DTN567" s="3933"/>
      <c r="DTO567" s="621"/>
      <c r="DTP567" s="3933"/>
      <c r="DTQ567" s="3933"/>
      <c r="DTR567" s="3933"/>
      <c r="DTS567" s="621"/>
      <c r="DTT567" s="3933"/>
      <c r="DTU567" s="3933"/>
      <c r="DTV567" s="3933"/>
      <c r="DTW567" s="621"/>
      <c r="DTX567" s="3933"/>
      <c r="DTY567" s="3933"/>
      <c r="DTZ567" s="3933"/>
      <c r="DUA567" s="621"/>
      <c r="DUB567" s="3933"/>
      <c r="DUC567" s="3933"/>
      <c r="DUD567" s="3933"/>
      <c r="DUE567" s="621"/>
      <c r="DUF567" s="3933"/>
      <c r="DUG567" s="3933"/>
      <c r="DUH567" s="3933"/>
      <c r="DUI567" s="621"/>
      <c r="DUJ567" s="3933"/>
      <c r="DUK567" s="3933"/>
      <c r="DUL567" s="3933"/>
      <c r="DUM567" s="621"/>
      <c r="DUN567" s="3933"/>
      <c r="DUO567" s="3933"/>
      <c r="DUP567" s="3933"/>
      <c r="DUQ567" s="621"/>
      <c r="DUR567" s="3933"/>
      <c r="DUS567" s="3933"/>
      <c r="DUT567" s="3933"/>
      <c r="DUU567" s="621"/>
      <c r="DUV567" s="3933"/>
      <c r="DUW567" s="3933"/>
      <c r="DUX567" s="3933"/>
      <c r="DUY567" s="621"/>
      <c r="DUZ567" s="3933"/>
      <c r="DVA567" s="3933"/>
      <c r="DVB567" s="3933"/>
      <c r="DVC567" s="621"/>
      <c r="DVD567" s="3933"/>
      <c r="DVE567" s="3933"/>
      <c r="DVF567" s="3933"/>
      <c r="DVG567" s="621"/>
      <c r="DVH567" s="3933"/>
      <c r="DVI567" s="3933"/>
      <c r="DVJ567" s="3933"/>
      <c r="DVK567" s="621"/>
      <c r="DVL567" s="3933"/>
      <c r="DVM567" s="3933"/>
      <c r="DVN567" s="3933"/>
      <c r="DVO567" s="621"/>
      <c r="DVP567" s="3933"/>
      <c r="DVQ567" s="3933"/>
      <c r="DVR567" s="3933"/>
      <c r="DVS567" s="621"/>
      <c r="DVT567" s="3933"/>
      <c r="DVU567" s="3933"/>
      <c r="DVV567" s="3933"/>
      <c r="DVW567" s="621"/>
      <c r="DVX567" s="3933"/>
      <c r="DVY567" s="3933"/>
      <c r="DVZ567" s="3933"/>
      <c r="DWA567" s="621"/>
      <c r="DWB567" s="3933"/>
      <c r="DWC567" s="3933"/>
      <c r="DWD567" s="3933"/>
      <c r="DWE567" s="621"/>
      <c r="DWF567" s="3933"/>
      <c r="DWG567" s="3933"/>
      <c r="DWH567" s="3933"/>
      <c r="DWI567" s="621"/>
      <c r="DWJ567" s="3933"/>
      <c r="DWK567" s="3933"/>
      <c r="DWL567" s="3933"/>
      <c r="DWM567" s="621"/>
      <c r="DWN567" s="3933"/>
      <c r="DWO567" s="3933"/>
      <c r="DWP567" s="3933"/>
      <c r="DWQ567" s="621"/>
      <c r="DWR567" s="3933"/>
      <c r="DWS567" s="3933"/>
      <c r="DWT567" s="3933"/>
      <c r="DWU567" s="621"/>
      <c r="DWV567" s="3933"/>
      <c r="DWW567" s="3933"/>
      <c r="DWX567" s="3933"/>
      <c r="DWY567" s="621"/>
      <c r="DWZ567" s="3933"/>
      <c r="DXA567" s="3933"/>
      <c r="DXB567" s="3933"/>
      <c r="DXC567" s="621"/>
      <c r="DXD567" s="3933"/>
      <c r="DXE567" s="3933"/>
      <c r="DXF567" s="3933"/>
      <c r="DXG567" s="621"/>
      <c r="DXH567" s="3933"/>
      <c r="DXI567" s="3933"/>
      <c r="DXJ567" s="3933"/>
      <c r="DXK567" s="621"/>
      <c r="DXL567" s="3933"/>
      <c r="DXM567" s="3933"/>
      <c r="DXN567" s="3933"/>
      <c r="DXO567" s="621"/>
      <c r="DXP567" s="3933"/>
      <c r="DXQ567" s="3933"/>
      <c r="DXR567" s="3933"/>
      <c r="DXS567" s="621"/>
      <c r="DXT567" s="3933"/>
      <c r="DXU567" s="3933"/>
      <c r="DXV567" s="3933"/>
      <c r="DXW567" s="621"/>
      <c r="DXX567" s="3933"/>
      <c r="DXY567" s="3933"/>
      <c r="DXZ567" s="3933"/>
      <c r="DYA567" s="621"/>
      <c r="DYB567" s="3933"/>
      <c r="DYC567" s="3933"/>
      <c r="DYD567" s="3933"/>
      <c r="DYE567" s="621"/>
      <c r="DYF567" s="3933"/>
      <c r="DYG567" s="3933"/>
      <c r="DYH567" s="3933"/>
      <c r="DYI567" s="621"/>
      <c r="DYJ567" s="3933"/>
      <c r="DYK567" s="3933"/>
      <c r="DYL567" s="3933"/>
      <c r="DYM567" s="621"/>
      <c r="DYN567" s="3933"/>
      <c r="DYO567" s="3933"/>
      <c r="DYP567" s="3933"/>
      <c r="DYQ567" s="621"/>
      <c r="DYR567" s="3933"/>
      <c r="DYS567" s="3933"/>
      <c r="DYT567" s="3933"/>
      <c r="DYU567" s="621"/>
      <c r="DYV567" s="3933"/>
      <c r="DYW567" s="3933"/>
      <c r="DYX567" s="3933"/>
      <c r="DYY567" s="621"/>
      <c r="DYZ567" s="3933"/>
      <c r="DZA567" s="3933"/>
      <c r="DZB567" s="3933"/>
      <c r="DZC567" s="621"/>
      <c r="DZD567" s="3933"/>
      <c r="DZE567" s="3933"/>
      <c r="DZF567" s="3933"/>
      <c r="DZG567" s="621"/>
      <c r="DZH567" s="3933"/>
      <c r="DZI567" s="3933"/>
      <c r="DZJ567" s="3933"/>
      <c r="DZK567" s="621"/>
      <c r="DZL567" s="3933"/>
      <c r="DZM567" s="3933"/>
      <c r="DZN567" s="3933"/>
      <c r="DZO567" s="621"/>
      <c r="DZP567" s="3933"/>
      <c r="DZQ567" s="3933"/>
      <c r="DZR567" s="3933"/>
      <c r="DZS567" s="621"/>
      <c r="DZT567" s="3933"/>
      <c r="DZU567" s="3933"/>
      <c r="DZV567" s="3933"/>
      <c r="DZW567" s="621"/>
      <c r="DZX567" s="3933"/>
      <c r="DZY567" s="3933"/>
      <c r="DZZ567" s="3933"/>
      <c r="EAA567" s="621"/>
      <c r="EAB567" s="3933"/>
      <c r="EAC567" s="3933"/>
      <c r="EAD567" s="3933"/>
      <c r="EAE567" s="621"/>
      <c r="EAF567" s="3933"/>
      <c r="EAG567" s="3933"/>
      <c r="EAH567" s="3933"/>
      <c r="EAI567" s="621"/>
      <c r="EAJ567" s="3933"/>
      <c r="EAK567" s="3933"/>
      <c r="EAL567" s="3933"/>
      <c r="EAM567" s="621"/>
      <c r="EAN567" s="3933"/>
      <c r="EAO567" s="3933"/>
      <c r="EAP567" s="3933"/>
      <c r="EAQ567" s="621"/>
      <c r="EAR567" s="3933"/>
      <c r="EAS567" s="3933"/>
      <c r="EAT567" s="3933"/>
      <c r="EAU567" s="621"/>
      <c r="EAV567" s="3933"/>
      <c r="EAW567" s="3933"/>
      <c r="EAX567" s="3933"/>
      <c r="EAY567" s="621"/>
      <c r="EAZ567" s="3933"/>
      <c r="EBA567" s="3933"/>
      <c r="EBB567" s="3933"/>
      <c r="EBC567" s="621"/>
      <c r="EBD567" s="3933"/>
      <c r="EBE567" s="3933"/>
      <c r="EBF567" s="3933"/>
      <c r="EBG567" s="621"/>
      <c r="EBH567" s="3933"/>
      <c r="EBI567" s="3933"/>
      <c r="EBJ567" s="3933"/>
      <c r="EBK567" s="621"/>
      <c r="EBL567" s="3933"/>
      <c r="EBM567" s="3933"/>
      <c r="EBN567" s="3933"/>
      <c r="EBO567" s="621"/>
      <c r="EBP567" s="3933"/>
      <c r="EBQ567" s="3933"/>
      <c r="EBR567" s="3933"/>
      <c r="EBS567" s="621"/>
      <c r="EBT567" s="3933"/>
      <c r="EBU567" s="3933"/>
      <c r="EBV567" s="3933"/>
      <c r="EBW567" s="621"/>
      <c r="EBX567" s="3933"/>
      <c r="EBY567" s="3933"/>
      <c r="EBZ567" s="3933"/>
      <c r="ECA567" s="621"/>
      <c r="ECB567" s="3933"/>
      <c r="ECC567" s="3933"/>
      <c r="ECD567" s="3933"/>
      <c r="ECE567" s="621"/>
      <c r="ECF567" s="3933"/>
      <c r="ECG567" s="3933"/>
      <c r="ECH567" s="3933"/>
      <c r="ECI567" s="621"/>
      <c r="ECJ567" s="3933"/>
      <c r="ECK567" s="3933"/>
      <c r="ECL567" s="3933"/>
      <c r="ECM567" s="621"/>
      <c r="ECN567" s="3933"/>
      <c r="ECO567" s="3933"/>
      <c r="ECP567" s="3933"/>
      <c r="ECQ567" s="621"/>
      <c r="ECR567" s="3933"/>
      <c r="ECS567" s="3933"/>
      <c r="ECT567" s="3933"/>
      <c r="ECU567" s="621"/>
      <c r="ECV567" s="3933"/>
      <c r="ECW567" s="3933"/>
      <c r="ECX567" s="3933"/>
      <c r="ECY567" s="621"/>
      <c r="ECZ567" s="3933"/>
      <c r="EDA567" s="3933"/>
      <c r="EDB567" s="3933"/>
      <c r="EDC567" s="621"/>
      <c r="EDD567" s="3933"/>
      <c r="EDE567" s="3933"/>
      <c r="EDF567" s="3933"/>
      <c r="EDG567" s="621"/>
      <c r="EDH567" s="3933"/>
      <c r="EDI567" s="3933"/>
      <c r="EDJ567" s="3933"/>
      <c r="EDK567" s="621"/>
      <c r="EDL567" s="3933"/>
      <c r="EDM567" s="3933"/>
      <c r="EDN567" s="3933"/>
      <c r="EDO567" s="621"/>
      <c r="EDP567" s="3933"/>
      <c r="EDQ567" s="3933"/>
      <c r="EDR567" s="3933"/>
      <c r="EDS567" s="621"/>
      <c r="EDT567" s="3933"/>
      <c r="EDU567" s="3933"/>
      <c r="EDV567" s="3933"/>
      <c r="EDW567" s="621"/>
      <c r="EDX567" s="3933"/>
      <c r="EDY567" s="3933"/>
      <c r="EDZ567" s="3933"/>
      <c r="EEA567" s="621"/>
      <c r="EEB567" s="3933"/>
      <c r="EEC567" s="3933"/>
      <c r="EED567" s="3933"/>
      <c r="EEE567" s="621"/>
      <c r="EEF567" s="3933"/>
      <c r="EEG567" s="3933"/>
      <c r="EEH567" s="3933"/>
      <c r="EEI567" s="621"/>
      <c r="EEJ567" s="3933"/>
      <c r="EEK567" s="3933"/>
      <c r="EEL567" s="3933"/>
      <c r="EEM567" s="621"/>
      <c r="EEN567" s="3933"/>
      <c r="EEO567" s="3933"/>
      <c r="EEP567" s="3933"/>
      <c r="EEQ567" s="621"/>
      <c r="EER567" s="3933"/>
      <c r="EES567" s="3933"/>
      <c r="EET567" s="3933"/>
      <c r="EEU567" s="621"/>
      <c r="EEV567" s="3933"/>
      <c r="EEW567" s="3933"/>
      <c r="EEX567" s="3933"/>
      <c r="EEY567" s="621"/>
      <c r="EEZ567" s="3933"/>
      <c r="EFA567" s="3933"/>
      <c r="EFB567" s="3933"/>
      <c r="EFC567" s="621"/>
      <c r="EFD567" s="3933"/>
      <c r="EFE567" s="3933"/>
      <c r="EFF567" s="3933"/>
      <c r="EFG567" s="621"/>
      <c r="EFH567" s="3933"/>
      <c r="EFI567" s="3933"/>
      <c r="EFJ567" s="3933"/>
      <c r="EFK567" s="621"/>
      <c r="EFL567" s="3933"/>
      <c r="EFM567" s="3933"/>
      <c r="EFN567" s="3933"/>
      <c r="EFO567" s="621"/>
      <c r="EFP567" s="3933"/>
      <c r="EFQ567" s="3933"/>
      <c r="EFR567" s="3933"/>
      <c r="EFS567" s="621"/>
      <c r="EFT567" s="3933"/>
      <c r="EFU567" s="3933"/>
      <c r="EFV567" s="3933"/>
      <c r="EFW567" s="621"/>
      <c r="EFX567" s="3933"/>
      <c r="EFY567" s="3933"/>
      <c r="EFZ567" s="3933"/>
      <c r="EGA567" s="621"/>
      <c r="EGB567" s="3933"/>
      <c r="EGC567" s="3933"/>
      <c r="EGD567" s="3933"/>
      <c r="EGE567" s="621"/>
      <c r="EGF567" s="3933"/>
      <c r="EGG567" s="3933"/>
      <c r="EGH567" s="3933"/>
      <c r="EGI567" s="621"/>
      <c r="EGJ567" s="3933"/>
      <c r="EGK567" s="3933"/>
      <c r="EGL567" s="3933"/>
      <c r="EGM567" s="621"/>
      <c r="EGN567" s="3933"/>
      <c r="EGO567" s="3933"/>
      <c r="EGP567" s="3933"/>
      <c r="EGQ567" s="621"/>
      <c r="EGR567" s="3933"/>
      <c r="EGS567" s="3933"/>
      <c r="EGT567" s="3933"/>
      <c r="EGU567" s="621"/>
      <c r="EGV567" s="3933"/>
      <c r="EGW567" s="3933"/>
      <c r="EGX567" s="3933"/>
      <c r="EGY567" s="621"/>
      <c r="EGZ567" s="3933"/>
      <c r="EHA567" s="3933"/>
      <c r="EHB567" s="3933"/>
      <c r="EHC567" s="621"/>
      <c r="EHD567" s="3933"/>
      <c r="EHE567" s="3933"/>
      <c r="EHF567" s="3933"/>
      <c r="EHG567" s="621"/>
      <c r="EHH567" s="3933"/>
      <c r="EHI567" s="3933"/>
      <c r="EHJ567" s="3933"/>
      <c r="EHK567" s="621"/>
      <c r="EHL567" s="3933"/>
      <c r="EHM567" s="3933"/>
      <c r="EHN567" s="3933"/>
      <c r="EHO567" s="621"/>
      <c r="EHP567" s="3933"/>
      <c r="EHQ567" s="3933"/>
      <c r="EHR567" s="3933"/>
      <c r="EHS567" s="621"/>
      <c r="EHT567" s="3933"/>
      <c r="EHU567" s="3933"/>
      <c r="EHV567" s="3933"/>
      <c r="EHW567" s="621"/>
      <c r="EHX567" s="3933"/>
      <c r="EHY567" s="3933"/>
      <c r="EHZ567" s="3933"/>
      <c r="EIA567" s="621"/>
      <c r="EIB567" s="3933"/>
      <c r="EIC567" s="3933"/>
      <c r="EID567" s="3933"/>
      <c r="EIE567" s="621"/>
      <c r="EIF567" s="3933"/>
      <c r="EIG567" s="3933"/>
      <c r="EIH567" s="3933"/>
      <c r="EII567" s="621"/>
      <c r="EIJ567" s="3933"/>
      <c r="EIK567" s="3933"/>
      <c r="EIL567" s="3933"/>
      <c r="EIM567" s="621"/>
      <c r="EIN567" s="3933"/>
      <c r="EIO567" s="3933"/>
      <c r="EIP567" s="3933"/>
      <c r="EIQ567" s="621"/>
      <c r="EIR567" s="3933"/>
      <c r="EIS567" s="3933"/>
      <c r="EIT567" s="3933"/>
      <c r="EIU567" s="621"/>
      <c r="EIV567" s="3933"/>
      <c r="EIW567" s="3933"/>
      <c r="EIX567" s="3933"/>
      <c r="EIY567" s="621"/>
      <c r="EIZ567" s="3933"/>
      <c r="EJA567" s="3933"/>
      <c r="EJB567" s="3933"/>
      <c r="EJC567" s="621"/>
      <c r="EJD567" s="3933"/>
      <c r="EJE567" s="3933"/>
      <c r="EJF567" s="3933"/>
      <c r="EJG567" s="621"/>
      <c r="EJH567" s="3933"/>
      <c r="EJI567" s="3933"/>
      <c r="EJJ567" s="3933"/>
      <c r="EJK567" s="621"/>
      <c r="EJL567" s="3933"/>
      <c r="EJM567" s="3933"/>
      <c r="EJN567" s="3933"/>
      <c r="EJO567" s="621"/>
      <c r="EJP567" s="3933"/>
      <c r="EJQ567" s="3933"/>
      <c r="EJR567" s="3933"/>
      <c r="EJS567" s="621"/>
      <c r="EJT567" s="3933"/>
      <c r="EJU567" s="3933"/>
      <c r="EJV567" s="3933"/>
      <c r="EJW567" s="621"/>
      <c r="EJX567" s="3933"/>
      <c r="EJY567" s="3933"/>
      <c r="EJZ567" s="3933"/>
      <c r="EKA567" s="621"/>
      <c r="EKB567" s="3933"/>
      <c r="EKC567" s="3933"/>
      <c r="EKD567" s="3933"/>
      <c r="EKE567" s="621"/>
      <c r="EKF567" s="3933"/>
      <c r="EKG567" s="3933"/>
      <c r="EKH567" s="3933"/>
      <c r="EKI567" s="621"/>
      <c r="EKJ567" s="3933"/>
      <c r="EKK567" s="3933"/>
      <c r="EKL567" s="3933"/>
      <c r="EKM567" s="621"/>
      <c r="EKN567" s="3933"/>
      <c r="EKO567" s="3933"/>
      <c r="EKP567" s="3933"/>
      <c r="EKQ567" s="621"/>
      <c r="EKR567" s="3933"/>
      <c r="EKS567" s="3933"/>
      <c r="EKT567" s="3933"/>
      <c r="EKU567" s="621"/>
      <c r="EKV567" s="3933"/>
      <c r="EKW567" s="3933"/>
      <c r="EKX567" s="3933"/>
      <c r="EKY567" s="621"/>
      <c r="EKZ567" s="3933"/>
      <c r="ELA567" s="3933"/>
      <c r="ELB567" s="3933"/>
      <c r="ELC567" s="621"/>
      <c r="ELD567" s="3933"/>
      <c r="ELE567" s="3933"/>
      <c r="ELF567" s="3933"/>
      <c r="ELG567" s="621"/>
      <c r="ELH567" s="3933"/>
      <c r="ELI567" s="3933"/>
      <c r="ELJ567" s="3933"/>
      <c r="ELK567" s="621"/>
      <c r="ELL567" s="3933"/>
      <c r="ELM567" s="3933"/>
      <c r="ELN567" s="3933"/>
      <c r="ELO567" s="621"/>
      <c r="ELP567" s="3933"/>
      <c r="ELQ567" s="3933"/>
      <c r="ELR567" s="3933"/>
      <c r="ELS567" s="621"/>
      <c r="ELT567" s="3933"/>
      <c r="ELU567" s="3933"/>
      <c r="ELV567" s="3933"/>
      <c r="ELW567" s="621"/>
      <c r="ELX567" s="3933"/>
      <c r="ELY567" s="3933"/>
      <c r="ELZ567" s="3933"/>
      <c r="EMA567" s="621"/>
      <c r="EMB567" s="3933"/>
      <c r="EMC567" s="3933"/>
      <c r="EMD567" s="3933"/>
      <c r="EME567" s="621"/>
      <c r="EMF567" s="3933"/>
      <c r="EMG567" s="3933"/>
      <c r="EMH567" s="3933"/>
      <c r="EMI567" s="621"/>
      <c r="EMJ567" s="3933"/>
      <c r="EMK567" s="3933"/>
      <c r="EML567" s="3933"/>
      <c r="EMM567" s="621"/>
      <c r="EMN567" s="3933"/>
      <c r="EMO567" s="3933"/>
      <c r="EMP567" s="3933"/>
      <c r="EMQ567" s="621"/>
      <c r="EMR567" s="3933"/>
      <c r="EMS567" s="3933"/>
      <c r="EMT567" s="3933"/>
      <c r="EMU567" s="621"/>
      <c r="EMV567" s="3933"/>
      <c r="EMW567" s="3933"/>
      <c r="EMX567" s="3933"/>
      <c r="EMY567" s="621"/>
      <c r="EMZ567" s="3933"/>
      <c r="ENA567" s="3933"/>
      <c r="ENB567" s="3933"/>
      <c r="ENC567" s="621"/>
      <c r="END567" s="3933"/>
      <c r="ENE567" s="3933"/>
      <c r="ENF567" s="3933"/>
      <c r="ENG567" s="621"/>
      <c r="ENH567" s="3933"/>
      <c r="ENI567" s="3933"/>
      <c r="ENJ567" s="3933"/>
      <c r="ENK567" s="621"/>
      <c r="ENL567" s="3933"/>
      <c r="ENM567" s="3933"/>
      <c r="ENN567" s="3933"/>
      <c r="ENO567" s="621"/>
      <c r="ENP567" s="3933"/>
      <c r="ENQ567" s="3933"/>
      <c r="ENR567" s="3933"/>
      <c r="ENS567" s="621"/>
      <c r="ENT567" s="3933"/>
      <c r="ENU567" s="3933"/>
      <c r="ENV567" s="3933"/>
      <c r="ENW567" s="621"/>
      <c r="ENX567" s="3933"/>
      <c r="ENY567" s="3933"/>
      <c r="ENZ567" s="3933"/>
      <c r="EOA567" s="621"/>
      <c r="EOB567" s="3933"/>
      <c r="EOC567" s="3933"/>
      <c r="EOD567" s="3933"/>
      <c r="EOE567" s="621"/>
      <c r="EOF567" s="3933"/>
      <c r="EOG567" s="3933"/>
      <c r="EOH567" s="3933"/>
      <c r="EOI567" s="621"/>
      <c r="EOJ567" s="3933"/>
      <c r="EOK567" s="3933"/>
      <c r="EOL567" s="3933"/>
      <c r="EOM567" s="621"/>
      <c r="EON567" s="3933"/>
      <c r="EOO567" s="3933"/>
      <c r="EOP567" s="3933"/>
      <c r="EOQ567" s="621"/>
      <c r="EOR567" s="3933"/>
      <c r="EOS567" s="3933"/>
      <c r="EOT567" s="3933"/>
      <c r="EOU567" s="621"/>
      <c r="EOV567" s="3933"/>
      <c r="EOW567" s="3933"/>
      <c r="EOX567" s="3933"/>
      <c r="EOY567" s="621"/>
      <c r="EOZ567" s="3933"/>
      <c r="EPA567" s="3933"/>
      <c r="EPB567" s="3933"/>
      <c r="EPC567" s="621"/>
      <c r="EPD567" s="3933"/>
      <c r="EPE567" s="3933"/>
      <c r="EPF567" s="3933"/>
      <c r="EPG567" s="621"/>
      <c r="EPH567" s="3933"/>
      <c r="EPI567" s="3933"/>
      <c r="EPJ567" s="3933"/>
      <c r="EPK567" s="621"/>
      <c r="EPL567" s="3933"/>
      <c r="EPM567" s="3933"/>
      <c r="EPN567" s="3933"/>
      <c r="EPO567" s="621"/>
      <c r="EPP567" s="3933"/>
      <c r="EPQ567" s="3933"/>
      <c r="EPR567" s="3933"/>
      <c r="EPS567" s="621"/>
      <c r="EPT567" s="3933"/>
      <c r="EPU567" s="3933"/>
      <c r="EPV567" s="3933"/>
      <c r="EPW567" s="621"/>
      <c r="EPX567" s="3933"/>
      <c r="EPY567" s="3933"/>
      <c r="EPZ567" s="3933"/>
      <c r="EQA567" s="621"/>
      <c r="EQB567" s="3933"/>
      <c r="EQC567" s="3933"/>
      <c r="EQD567" s="3933"/>
      <c r="EQE567" s="621"/>
      <c r="EQF567" s="3933"/>
      <c r="EQG567" s="3933"/>
      <c r="EQH567" s="3933"/>
      <c r="EQI567" s="621"/>
      <c r="EQJ567" s="3933"/>
      <c r="EQK567" s="3933"/>
      <c r="EQL567" s="3933"/>
      <c r="EQM567" s="621"/>
      <c r="EQN567" s="3933"/>
      <c r="EQO567" s="3933"/>
      <c r="EQP567" s="3933"/>
      <c r="EQQ567" s="621"/>
      <c r="EQR567" s="3933"/>
      <c r="EQS567" s="3933"/>
      <c r="EQT567" s="3933"/>
      <c r="EQU567" s="621"/>
      <c r="EQV567" s="3933"/>
      <c r="EQW567" s="3933"/>
      <c r="EQX567" s="3933"/>
      <c r="EQY567" s="621"/>
      <c r="EQZ567" s="3933"/>
      <c r="ERA567" s="3933"/>
      <c r="ERB567" s="3933"/>
      <c r="ERC567" s="621"/>
      <c r="ERD567" s="3933"/>
      <c r="ERE567" s="3933"/>
      <c r="ERF567" s="3933"/>
      <c r="ERG567" s="621"/>
      <c r="ERH567" s="3933"/>
      <c r="ERI567" s="3933"/>
      <c r="ERJ567" s="3933"/>
      <c r="ERK567" s="621"/>
      <c r="ERL567" s="3933"/>
      <c r="ERM567" s="3933"/>
      <c r="ERN567" s="3933"/>
      <c r="ERO567" s="621"/>
      <c r="ERP567" s="3933"/>
      <c r="ERQ567" s="3933"/>
      <c r="ERR567" s="3933"/>
      <c r="ERS567" s="621"/>
      <c r="ERT567" s="3933"/>
      <c r="ERU567" s="3933"/>
      <c r="ERV567" s="3933"/>
      <c r="ERW567" s="621"/>
      <c r="ERX567" s="3933"/>
      <c r="ERY567" s="3933"/>
      <c r="ERZ567" s="3933"/>
      <c r="ESA567" s="621"/>
      <c r="ESB567" s="3933"/>
      <c r="ESC567" s="3933"/>
      <c r="ESD567" s="3933"/>
      <c r="ESE567" s="621"/>
      <c r="ESF567" s="3933"/>
      <c r="ESG567" s="3933"/>
      <c r="ESH567" s="3933"/>
      <c r="ESI567" s="621"/>
      <c r="ESJ567" s="3933"/>
      <c r="ESK567" s="3933"/>
      <c r="ESL567" s="3933"/>
      <c r="ESM567" s="621"/>
      <c r="ESN567" s="3933"/>
      <c r="ESO567" s="3933"/>
      <c r="ESP567" s="3933"/>
      <c r="ESQ567" s="621"/>
      <c r="ESR567" s="3933"/>
      <c r="ESS567" s="3933"/>
      <c r="EST567" s="3933"/>
      <c r="ESU567" s="621"/>
      <c r="ESV567" s="3933"/>
      <c r="ESW567" s="3933"/>
      <c r="ESX567" s="3933"/>
      <c r="ESY567" s="621"/>
      <c r="ESZ567" s="3933"/>
      <c r="ETA567" s="3933"/>
      <c r="ETB567" s="3933"/>
      <c r="ETC567" s="621"/>
      <c r="ETD567" s="3933"/>
      <c r="ETE567" s="3933"/>
      <c r="ETF567" s="3933"/>
      <c r="ETG567" s="621"/>
      <c r="ETH567" s="3933"/>
      <c r="ETI567" s="3933"/>
      <c r="ETJ567" s="3933"/>
      <c r="ETK567" s="621"/>
      <c r="ETL567" s="3933"/>
      <c r="ETM567" s="3933"/>
      <c r="ETN567" s="3933"/>
      <c r="ETO567" s="621"/>
      <c r="ETP567" s="3933"/>
      <c r="ETQ567" s="3933"/>
      <c r="ETR567" s="3933"/>
      <c r="ETS567" s="621"/>
      <c r="ETT567" s="3933"/>
      <c r="ETU567" s="3933"/>
      <c r="ETV567" s="3933"/>
      <c r="ETW567" s="621"/>
      <c r="ETX567" s="3933"/>
      <c r="ETY567" s="3933"/>
      <c r="ETZ567" s="3933"/>
      <c r="EUA567" s="621"/>
      <c r="EUB567" s="3933"/>
      <c r="EUC567" s="3933"/>
      <c r="EUD567" s="3933"/>
      <c r="EUE567" s="621"/>
      <c r="EUF567" s="3933"/>
      <c r="EUG567" s="3933"/>
      <c r="EUH567" s="3933"/>
      <c r="EUI567" s="621"/>
      <c r="EUJ567" s="3933"/>
      <c r="EUK567" s="3933"/>
      <c r="EUL567" s="3933"/>
      <c r="EUM567" s="621"/>
      <c r="EUN567" s="3933"/>
      <c r="EUO567" s="3933"/>
      <c r="EUP567" s="3933"/>
      <c r="EUQ567" s="621"/>
      <c r="EUR567" s="3933"/>
      <c r="EUS567" s="3933"/>
      <c r="EUT567" s="3933"/>
      <c r="EUU567" s="621"/>
      <c r="EUV567" s="3933"/>
      <c r="EUW567" s="3933"/>
      <c r="EUX567" s="3933"/>
      <c r="EUY567" s="621"/>
      <c r="EUZ567" s="3933"/>
      <c r="EVA567" s="3933"/>
      <c r="EVB567" s="3933"/>
      <c r="EVC567" s="621"/>
      <c r="EVD567" s="3933"/>
      <c r="EVE567" s="3933"/>
      <c r="EVF567" s="3933"/>
      <c r="EVG567" s="621"/>
      <c r="EVH567" s="3933"/>
      <c r="EVI567" s="3933"/>
      <c r="EVJ567" s="3933"/>
      <c r="EVK567" s="621"/>
      <c r="EVL567" s="3933"/>
      <c r="EVM567" s="3933"/>
      <c r="EVN567" s="3933"/>
      <c r="EVO567" s="621"/>
      <c r="EVP567" s="3933"/>
      <c r="EVQ567" s="3933"/>
      <c r="EVR567" s="3933"/>
      <c r="EVS567" s="621"/>
      <c r="EVT567" s="3933"/>
      <c r="EVU567" s="3933"/>
      <c r="EVV567" s="3933"/>
      <c r="EVW567" s="621"/>
      <c r="EVX567" s="3933"/>
      <c r="EVY567" s="3933"/>
      <c r="EVZ567" s="3933"/>
      <c r="EWA567" s="621"/>
      <c r="EWB567" s="3933"/>
      <c r="EWC567" s="3933"/>
      <c r="EWD567" s="3933"/>
      <c r="EWE567" s="621"/>
      <c r="EWF567" s="3933"/>
      <c r="EWG567" s="3933"/>
      <c r="EWH567" s="3933"/>
      <c r="EWI567" s="621"/>
      <c r="EWJ567" s="3933"/>
      <c r="EWK567" s="3933"/>
      <c r="EWL567" s="3933"/>
      <c r="EWM567" s="621"/>
      <c r="EWN567" s="3933"/>
      <c r="EWO567" s="3933"/>
      <c r="EWP567" s="3933"/>
      <c r="EWQ567" s="621"/>
      <c r="EWR567" s="3933"/>
      <c r="EWS567" s="3933"/>
      <c r="EWT567" s="3933"/>
      <c r="EWU567" s="621"/>
      <c r="EWV567" s="3933"/>
      <c r="EWW567" s="3933"/>
      <c r="EWX567" s="3933"/>
      <c r="EWY567" s="621"/>
      <c r="EWZ567" s="3933"/>
      <c r="EXA567" s="3933"/>
      <c r="EXB567" s="3933"/>
      <c r="EXC567" s="621"/>
      <c r="EXD567" s="3933"/>
      <c r="EXE567" s="3933"/>
      <c r="EXF567" s="3933"/>
      <c r="EXG567" s="621"/>
      <c r="EXH567" s="3933"/>
      <c r="EXI567" s="3933"/>
      <c r="EXJ567" s="3933"/>
      <c r="EXK567" s="621"/>
      <c r="EXL567" s="3933"/>
      <c r="EXM567" s="3933"/>
      <c r="EXN567" s="3933"/>
      <c r="EXO567" s="621"/>
      <c r="EXP567" s="3933"/>
      <c r="EXQ567" s="3933"/>
      <c r="EXR567" s="3933"/>
      <c r="EXS567" s="621"/>
      <c r="EXT567" s="3933"/>
      <c r="EXU567" s="3933"/>
      <c r="EXV567" s="3933"/>
      <c r="EXW567" s="621"/>
      <c r="EXX567" s="3933"/>
      <c r="EXY567" s="3933"/>
      <c r="EXZ567" s="3933"/>
      <c r="EYA567" s="621"/>
      <c r="EYB567" s="3933"/>
      <c r="EYC567" s="3933"/>
      <c r="EYD567" s="3933"/>
      <c r="EYE567" s="621"/>
      <c r="EYF567" s="3933"/>
      <c r="EYG567" s="3933"/>
      <c r="EYH567" s="3933"/>
      <c r="EYI567" s="621"/>
      <c r="EYJ567" s="3933"/>
      <c r="EYK567" s="3933"/>
      <c r="EYL567" s="3933"/>
      <c r="EYM567" s="621"/>
      <c r="EYN567" s="3933"/>
      <c r="EYO567" s="3933"/>
      <c r="EYP567" s="3933"/>
      <c r="EYQ567" s="621"/>
      <c r="EYR567" s="3933"/>
      <c r="EYS567" s="3933"/>
      <c r="EYT567" s="3933"/>
      <c r="EYU567" s="621"/>
      <c r="EYV567" s="3933"/>
      <c r="EYW567" s="3933"/>
      <c r="EYX567" s="3933"/>
      <c r="EYY567" s="621"/>
      <c r="EYZ567" s="3933"/>
      <c r="EZA567" s="3933"/>
      <c r="EZB567" s="3933"/>
      <c r="EZC567" s="621"/>
      <c r="EZD567" s="3933"/>
      <c r="EZE567" s="3933"/>
      <c r="EZF567" s="3933"/>
      <c r="EZG567" s="621"/>
      <c r="EZH567" s="3933"/>
      <c r="EZI567" s="3933"/>
      <c r="EZJ567" s="3933"/>
      <c r="EZK567" s="621"/>
      <c r="EZL567" s="3933"/>
      <c r="EZM567" s="3933"/>
      <c r="EZN567" s="3933"/>
      <c r="EZO567" s="621"/>
      <c r="EZP567" s="3933"/>
      <c r="EZQ567" s="3933"/>
      <c r="EZR567" s="3933"/>
      <c r="EZS567" s="621"/>
      <c r="EZT567" s="3933"/>
      <c r="EZU567" s="3933"/>
      <c r="EZV567" s="3933"/>
      <c r="EZW567" s="621"/>
      <c r="EZX567" s="3933"/>
      <c r="EZY567" s="3933"/>
      <c r="EZZ567" s="3933"/>
      <c r="FAA567" s="621"/>
      <c r="FAB567" s="3933"/>
      <c r="FAC567" s="3933"/>
      <c r="FAD567" s="3933"/>
      <c r="FAE567" s="621"/>
      <c r="FAF567" s="3933"/>
      <c r="FAG567" s="3933"/>
      <c r="FAH567" s="3933"/>
      <c r="FAI567" s="621"/>
      <c r="FAJ567" s="3933"/>
      <c r="FAK567" s="3933"/>
      <c r="FAL567" s="3933"/>
      <c r="FAM567" s="621"/>
      <c r="FAN567" s="3933"/>
      <c r="FAO567" s="3933"/>
      <c r="FAP567" s="3933"/>
      <c r="FAQ567" s="621"/>
      <c r="FAR567" s="3933"/>
      <c r="FAS567" s="3933"/>
      <c r="FAT567" s="3933"/>
      <c r="FAU567" s="621"/>
      <c r="FAV567" s="3933"/>
      <c r="FAW567" s="3933"/>
      <c r="FAX567" s="3933"/>
      <c r="FAY567" s="621"/>
      <c r="FAZ567" s="3933"/>
      <c r="FBA567" s="3933"/>
      <c r="FBB567" s="3933"/>
      <c r="FBC567" s="621"/>
      <c r="FBD567" s="3933"/>
      <c r="FBE567" s="3933"/>
      <c r="FBF567" s="3933"/>
      <c r="FBG567" s="621"/>
      <c r="FBH567" s="3933"/>
      <c r="FBI567" s="3933"/>
      <c r="FBJ567" s="3933"/>
      <c r="FBK567" s="621"/>
      <c r="FBL567" s="3933"/>
      <c r="FBM567" s="3933"/>
      <c r="FBN567" s="3933"/>
      <c r="FBO567" s="621"/>
      <c r="FBP567" s="3933"/>
      <c r="FBQ567" s="3933"/>
      <c r="FBR567" s="3933"/>
      <c r="FBS567" s="621"/>
      <c r="FBT567" s="3933"/>
      <c r="FBU567" s="3933"/>
      <c r="FBV567" s="3933"/>
      <c r="FBW567" s="621"/>
      <c r="FBX567" s="3933"/>
      <c r="FBY567" s="3933"/>
      <c r="FBZ567" s="3933"/>
      <c r="FCA567" s="621"/>
      <c r="FCB567" s="3933"/>
      <c r="FCC567" s="3933"/>
      <c r="FCD567" s="3933"/>
      <c r="FCE567" s="621"/>
      <c r="FCF567" s="3933"/>
      <c r="FCG567" s="3933"/>
      <c r="FCH567" s="3933"/>
      <c r="FCI567" s="621"/>
      <c r="FCJ567" s="3933"/>
      <c r="FCK567" s="3933"/>
      <c r="FCL567" s="3933"/>
      <c r="FCM567" s="621"/>
      <c r="FCN567" s="3933"/>
      <c r="FCO567" s="3933"/>
      <c r="FCP567" s="3933"/>
      <c r="FCQ567" s="621"/>
      <c r="FCR567" s="3933"/>
      <c r="FCS567" s="3933"/>
      <c r="FCT567" s="3933"/>
      <c r="FCU567" s="621"/>
      <c r="FCV567" s="3933"/>
      <c r="FCW567" s="3933"/>
      <c r="FCX567" s="3933"/>
      <c r="FCY567" s="621"/>
      <c r="FCZ567" s="3933"/>
      <c r="FDA567" s="3933"/>
      <c r="FDB567" s="3933"/>
      <c r="FDC567" s="621"/>
      <c r="FDD567" s="3933"/>
      <c r="FDE567" s="3933"/>
      <c r="FDF567" s="3933"/>
      <c r="FDG567" s="621"/>
      <c r="FDH567" s="3933"/>
      <c r="FDI567" s="3933"/>
      <c r="FDJ567" s="3933"/>
      <c r="FDK567" s="621"/>
      <c r="FDL567" s="3933"/>
      <c r="FDM567" s="3933"/>
      <c r="FDN567" s="3933"/>
      <c r="FDO567" s="621"/>
      <c r="FDP567" s="3933"/>
      <c r="FDQ567" s="3933"/>
      <c r="FDR567" s="3933"/>
      <c r="FDS567" s="621"/>
      <c r="FDT567" s="3933"/>
      <c r="FDU567" s="3933"/>
      <c r="FDV567" s="3933"/>
      <c r="FDW567" s="621"/>
      <c r="FDX567" s="3933"/>
      <c r="FDY567" s="3933"/>
      <c r="FDZ567" s="3933"/>
      <c r="FEA567" s="621"/>
      <c r="FEB567" s="3933"/>
      <c r="FEC567" s="3933"/>
      <c r="FED567" s="3933"/>
      <c r="FEE567" s="621"/>
      <c r="FEF567" s="3933"/>
      <c r="FEG567" s="3933"/>
      <c r="FEH567" s="3933"/>
      <c r="FEI567" s="621"/>
      <c r="FEJ567" s="3933"/>
      <c r="FEK567" s="3933"/>
      <c r="FEL567" s="3933"/>
      <c r="FEM567" s="621"/>
      <c r="FEN567" s="3933"/>
      <c r="FEO567" s="3933"/>
      <c r="FEP567" s="3933"/>
      <c r="FEQ567" s="621"/>
      <c r="FER567" s="3933"/>
      <c r="FES567" s="3933"/>
      <c r="FET567" s="3933"/>
      <c r="FEU567" s="621"/>
      <c r="FEV567" s="3933"/>
      <c r="FEW567" s="3933"/>
      <c r="FEX567" s="3933"/>
      <c r="FEY567" s="621"/>
      <c r="FEZ567" s="3933"/>
      <c r="FFA567" s="3933"/>
      <c r="FFB567" s="3933"/>
      <c r="FFC567" s="621"/>
      <c r="FFD567" s="3933"/>
      <c r="FFE567" s="3933"/>
      <c r="FFF567" s="3933"/>
      <c r="FFG567" s="621"/>
      <c r="FFH567" s="3933"/>
      <c r="FFI567" s="3933"/>
      <c r="FFJ567" s="3933"/>
      <c r="FFK567" s="621"/>
      <c r="FFL567" s="3933"/>
      <c r="FFM567" s="3933"/>
      <c r="FFN567" s="3933"/>
      <c r="FFO567" s="621"/>
      <c r="FFP567" s="3933"/>
      <c r="FFQ567" s="3933"/>
      <c r="FFR567" s="3933"/>
      <c r="FFS567" s="621"/>
      <c r="FFT567" s="3933"/>
      <c r="FFU567" s="3933"/>
      <c r="FFV567" s="3933"/>
      <c r="FFW567" s="621"/>
      <c r="FFX567" s="3933"/>
      <c r="FFY567" s="3933"/>
      <c r="FFZ567" s="3933"/>
      <c r="FGA567" s="621"/>
      <c r="FGB567" s="3933"/>
      <c r="FGC567" s="3933"/>
      <c r="FGD567" s="3933"/>
      <c r="FGE567" s="621"/>
      <c r="FGF567" s="3933"/>
      <c r="FGG567" s="3933"/>
      <c r="FGH567" s="3933"/>
      <c r="FGI567" s="621"/>
      <c r="FGJ567" s="3933"/>
      <c r="FGK567" s="3933"/>
      <c r="FGL567" s="3933"/>
      <c r="FGM567" s="621"/>
      <c r="FGN567" s="3933"/>
      <c r="FGO567" s="3933"/>
      <c r="FGP567" s="3933"/>
      <c r="FGQ567" s="621"/>
      <c r="FGR567" s="3933"/>
      <c r="FGS567" s="3933"/>
      <c r="FGT567" s="3933"/>
      <c r="FGU567" s="621"/>
      <c r="FGV567" s="3933"/>
      <c r="FGW567" s="3933"/>
      <c r="FGX567" s="3933"/>
      <c r="FGY567" s="621"/>
      <c r="FGZ567" s="3933"/>
      <c r="FHA567" s="3933"/>
      <c r="FHB567" s="3933"/>
      <c r="FHC567" s="621"/>
      <c r="FHD567" s="3933"/>
      <c r="FHE567" s="3933"/>
      <c r="FHF567" s="3933"/>
      <c r="FHG567" s="621"/>
      <c r="FHH567" s="3933"/>
      <c r="FHI567" s="3933"/>
      <c r="FHJ567" s="3933"/>
      <c r="FHK567" s="621"/>
      <c r="FHL567" s="3933"/>
      <c r="FHM567" s="3933"/>
      <c r="FHN567" s="3933"/>
      <c r="FHO567" s="621"/>
      <c r="FHP567" s="3933"/>
      <c r="FHQ567" s="3933"/>
      <c r="FHR567" s="3933"/>
      <c r="FHS567" s="621"/>
      <c r="FHT567" s="3933"/>
      <c r="FHU567" s="3933"/>
      <c r="FHV567" s="3933"/>
      <c r="FHW567" s="621"/>
      <c r="FHX567" s="3933"/>
      <c r="FHY567" s="3933"/>
      <c r="FHZ567" s="3933"/>
      <c r="FIA567" s="621"/>
      <c r="FIB567" s="3933"/>
      <c r="FIC567" s="3933"/>
      <c r="FID567" s="3933"/>
      <c r="FIE567" s="621"/>
      <c r="FIF567" s="3933"/>
      <c r="FIG567" s="3933"/>
      <c r="FIH567" s="3933"/>
      <c r="FII567" s="621"/>
      <c r="FIJ567" s="3933"/>
      <c r="FIK567" s="3933"/>
      <c r="FIL567" s="3933"/>
      <c r="FIM567" s="621"/>
      <c r="FIN567" s="3933"/>
      <c r="FIO567" s="3933"/>
      <c r="FIP567" s="3933"/>
      <c r="FIQ567" s="621"/>
      <c r="FIR567" s="3933"/>
      <c r="FIS567" s="3933"/>
      <c r="FIT567" s="3933"/>
      <c r="FIU567" s="621"/>
      <c r="FIV567" s="3933"/>
      <c r="FIW567" s="3933"/>
      <c r="FIX567" s="3933"/>
      <c r="FIY567" s="621"/>
      <c r="FIZ567" s="3933"/>
      <c r="FJA567" s="3933"/>
      <c r="FJB567" s="3933"/>
      <c r="FJC567" s="621"/>
      <c r="FJD567" s="3933"/>
      <c r="FJE567" s="3933"/>
      <c r="FJF567" s="3933"/>
      <c r="FJG567" s="621"/>
      <c r="FJH567" s="3933"/>
      <c r="FJI567" s="3933"/>
      <c r="FJJ567" s="3933"/>
      <c r="FJK567" s="621"/>
      <c r="FJL567" s="3933"/>
      <c r="FJM567" s="3933"/>
      <c r="FJN567" s="3933"/>
      <c r="FJO567" s="621"/>
      <c r="FJP567" s="3933"/>
      <c r="FJQ567" s="3933"/>
      <c r="FJR567" s="3933"/>
      <c r="FJS567" s="621"/>
      <c r="FJT567" s="3933"/>
      <c r="FJU567" s="3933"/>
      <c r="FJV567" s="3933"/>
      <c r="FJW567" s="621"/>
      <c r="FJX567" s="3933"/>
      <c r="FJY567" s="3933"/>
      <c r="FJZ567" s="3933"/>
      <c r="FKA567" s="621"/>
      <c r="FKB567" s="3933"/>
      <c r="FKC567" s="3933"/>
      <c r="FKD567" s="3933"/>
      <c r="FKE567" s="621"/>
      <c r="FKF567" s="3933"/>
      <c r="FKG567" s="3933"/>
      <c r="FKH567" s="3933"/>
      <c r="FKI567" s="621"/>
      <c r="FKJ567" s="3933"/>
      <c r="FKK567" s="3933"/>
      <c r="FKL567" s="3933"/>
      <c r="FKM567" s="621"/>
      <c r="FKN567" s="3933"/>
      <c r="FKO567" s="3933"/>
      <c r="FKP567" s="3933"/>
      <c r="FKQ567" s="621"/>
      <c r="FKR567" s="3933"/>
      <c r="FKS567" s="3933"/>
      <c r="FKT567" s="3933"/>
      <c r="FKU567" s="621"/>
      <c r="FKV567" s="3933"/>
      <c r="FKW567" s="3933"/>
      <c r="FKX567" s="3933"/>
      <c r="FKY567" s="621"/>
      <c r="FKZ567" s="3933"/>
      <c r="FLA567" s="3933"/>
      <c r="FLB567" s="3933"/>
      <c r="FLC567" s="621"/>
      <c r="FLD567" s="3933"/>
      <c r="FLE567" s="3933"/>
      <c r="FLF567" s="3933"/>
      <c r="FLG567" s="621"/>
      <c r="FLH567" s="3933"/>
      <c r="FLI567" s="3933"/>
      <c r="FLJ567" s="3933"/>
      <c r="FLK567" s="621"/>
      <c r="FLL567" s="3933"/>
      <c r="FLM567" s="3933"/>
      <c r="FLN567" s="3933"/>
      <c r="FLO567" s="621"/>
      <c r="FLP567" s="3933"/>
      <c r="FLQ567" s="3933"/>
      <c r="FLR567" s="3933"/>
      <c r="FLS567" s="621"/>
      <c r="FLT567" s="3933"/>
      <c r="FLU567" s="3933"/>
      <c r="FLV567" s="3933"/>
      <c r="FLW567" s="621"/>
      <c r="FLX567" s="3933"/>
      <c r="FLY567" s="3933"/>
      <c r="FLZ567" s="3933"/>
      <c r="FMA567" s="621"/>
      <c r="FMB567" s="3933"/>
      <c r="FMC567" s="3933"/>
      <c r="FMD567" s="3933"/>
      <c r="FME567" s="621"/>
      <c r="FMF567" s="3933"/>
      <c r="FMG567" s="3933"/>
      <c r="FMH567" s="3933"/>
      <c r="FMI567" s="621"/>
      <c r="FMJ567" s="3933"/>
      <c r="FMK567" s="3933"/>
      <c r="FML567" s="3933"/>
      <c r="FMM567" s="621"/>
      <c r="FMN567" s="3933"/>
      <c r="FMO567" s="3933"/>
      <c r="FMP567" s="3933"/>
      <c r="FMQ567" s="621"/>
      <c r="FMR567" s="3933"/>
      <c r="FMS567" s="3933"/>
      <c r="FMT567" s="3933"/>
      <c r="FMU567" s="621"/>
      <c r="FMV567" s="3933"/>
      <c r="FMW567" s="3933"/>
      <c r="FMX567" s="3933"/>
      <c r="FMY567" s="621"/>
      <c r="FMZ567" s="3933"/>
      <c r="FNA567" s="3933"/>
      <c r="FNB567" s="3933"/>
      <c r="FNC567" s="621"/>
      <c r="FND567" s="3933"/>
      <c r="FNE567" s="3933"/>
      <c r="FNF567" s="3933"/>
      <c r="FNG567" s="621"/>
      <c r="FNH567" s="3933"/>
      <c r="FNI567" s="3933"/>
      <c r="FNJ567" s="3933"/>
      <c r="FNK567" s="621"/>
      <c r="FNL567" s="3933"/>
      <c r="FNM567" s="3933"/>
      <c r="FNN567" s="3933"/>
      <c r="FNO567" s="621"/>
      <c r="FNP567" s="3933"/>
      <c r="FNQ567" s="3933"/>
      <c r="FNR567" s="3933"/>
      <c r="FNS567" s="621"/>
      <c r="FNT567" s="3933"/>
      <c r="FNU567" s="3933"/>
      <c r="FNV567" s="3933"/>
      <c r="FNW567" s="621"/>
      <c r="FNX567" s="3933"/>
      <c r="FNY567" s="3933"/>
      <c r="FNZ567" s="3933"/>
      <c r="FOA567" s="621"/>
      <c r="FOB567" s="3933"/>
      <c r="FOC567" s="3933"/>
      <c r="FOD567" s="3933"/>
      <c r="FOE567" s="621"/>
      <c r="FOF567" s="3933"/>
      <c r="FOG567" s="3933"/>
      <c r="FOH567" s="3933"/>
      <c r="FOI567" s="621"/>
      <c r="FOJ567" s="3933"/>
      <c r="FOK567" s="3933"/>
      <c r="FOL567" s="3933"/>
      <c r="FOM567" s="621"/>
      <c r="FON567" s="3933"/>
      <c r="FOO567" s="3933"/>
      <c r="FOP567" s="3933"/>
      <c r="FOQ567" s="621"/>
      <c r="FOR567" s="3933"/>
      <c r="FOS567" s="3933"/>
      <c r="FOT567" s="3933"/>
      <c r="FOU567" s="621"/>
      <c r="FOV567" s="3933"/>
      <c r="FOW567" s="3933"/>
      <c r="FOX567" s="3933"/>
      <c r="FOY567" s="621"/>
      <c r="FOZ567" s="3933"/>
      <c r="FPA567" s="3933"/>
      <c r="FPB567" s="3933"/>
      <c r="FPC567" s="621"/>
      <c r="FPD567" s="3933"/>
      <c r="FPE567" s="3933"/>
      <c r="FPF567" s="3933"/>
      <c r="FPG567" s="621"/>
      <c r="FPH567" s="3933"/>
      <c r="FPI567" s="3933"/>
      <c r="FPJ567" s="3933"/>
      <c r="FPK567" s="621"/>
      <c r="FPL567" s="3933"/>
      <c r="FPM567" s="3933"/>
      <c r="FPN567" s="3933"/>
      <c r="FPO567" s="621"/>
      <c r="FPP567" s="3933"/>
      <c r="FPQ567" s="3933"/>
      <c r="FPR567" s="3933"/>
      <c r="FPS567" s="621"/>
      <c r="FPT567" s="3933"/>
      <c r="FPU567" s="3933"/>
      <c r="FPV567" s="3933"/>
      <c r="FPW567" s="621"/>
      <c r="FPX567" s="3933"/>
      <c r="FPY567" s="3933"/>
      <c r="FPZ567" s="3933"/>
      <c r="FQA567" s="621"/>
      <c r="FQB567" s="3933"/>
      <c r="FQC567" s="3933"/>
      <c r="FQD567" s="3933"/>
      <c r="FQE567" s="621"/>
      <c r="FQF567" s="3933"/>
      <c r="FQG567" s="3933"/>
      <c r="FQH567" s="3933"/>
      <c r="FQI567" s="621"/>
      <c r="FQJ567" s="3933"/>
      <c r="FQK567" s="3933"/>
      <c r="FQL567" s="3933"/>
      <c r="FQM567" s="621"/>
      <c r="FQN567" s="3933"/>
      <c r="FQO567" s="3933"/>
      <c r="FQP567" s="3933"/>
      <c r="FQQ567" s="621"/>
      <c r="FQR567" s="3933"/>
      <c r="FQS567" s="3933"/>
      <c r="FQT567" s="3933"/>
      <c r="FQU567" s="621"/>
      <c r="FQV567" s="3933"/>
      <c r="FQW567" s="3933"/>
      <c r="FQX567" s="3933"/>
      <c r="FQY567" s="621"/>
      <c r="FQZ567" s="3933"/>
      <c r="FRA567" s="3933"/>
      <c r="FRB567" s="3933"/>
      <c r="FRC567" s="621"/>
      <c r="FRD567" s="3933"/>
      <c r="FRE567" s="3933"/>
      <c r="FRF567" s="3933"/>
      <c r="FRG567" s="621"/>
      <c r="FRH567" s="3933"/>
      <c r="FRI567" s="3933"/>
      <c r="FRJ567" s="3933"/>
      <c r="FRK567" s="621"/>
      <c r="FRL567" s="3933"/>
      <c r="FRM567" s="3933"/>
      <c r="FRN567" s="3933"/>
      <c r="FRO567" s="621"/>
      <c r="FRP567" s="3933"/>
      <c r="FRQ567" s="3933"/>
      <c r="FRR567" s="3933"/>
      <c r="FRS567" s="621"/>
      <c r="FRT567" s="3933"/>
      <c r="FRU567" s="3933"/>
      <c r="FRV567" s="3933"/>
      <c r="FRW567" s="621"/>
      <c r="FRX567" s="3933"/>
      <c r="FRY567" s="3933"/>
      <c r="FRZ567" s="3933"/>
      <c r="FSA567" s="621"/>
      <c r="FSB567" s="3933"/>
      <c r="FSC567" s="3933"/>
      <c r="FSD567" s="3933"/>
      <c r="FSE567" s="621"/>
      <c r="FSF567" s="3933"/>
      <c r="FSG567" s="3933"/>
      <c r="FSH567" s="3933"/>
      <c r="FSI567" s="621"/>
      <c r="FSJ567" s="3933"/>
      <c r="FSK567" s="3933"/>
      <c r="FSL567" s="3933"/>
      <c r="FSM567" s="621"/>
      <c r="FSN567" s="3933"/>
      <c r="FSO567" s="3933"/>
      <c r="FSP567" s="3933"/>
      <c r="FSQ567" s="621"/>
      <c r="FSR567" s="3933"/>
      <c r="FSS567" s="3933"/>
      <c r="FST567" s="3933"/>
      <c r="FSU567" s="621"/>
      <c r="FSV567" s="3933"/>
      <c r="FSW567" s="3933"/>
      <c r="FSX567" s="3933"/>
      <c r="FSY567" s="621"/>
      <c r="FSZ567" s="3933"/>
      <c r="FTA567" s="3933"/>
      <c r="FTB567" s="3933"/>
      <c r="FTC567" s="621"/>
      <c r="FTD567" s="3933"/>
      <c r="FTE567" s="3933"/>
      <c r="FTF567" s="3933"/>
      <c r="FTG567" s="621"/>
      <c r="FTH567" s="3933"/>
      <c r="FTI567" s="3933"/>
      <c r="FTJ567" s="3933"/>
      <c r="FTK567" s="621"/>
      <c r="FTL567" s="3933"/>
      <c r="FTM567" s="3933"/>
      <c r="FTN567" s="3933"/>
      <c r="FTO567" s="621"/>
      <c r="FTP567" s="3933"/>
      <c r="FTQ567" s="3933"/>
      <c r="FTR567" s="3933"/>
      <c r="FTS567" s="621"/>
      <c r="FTT567" s="3933"/>
      <c r="FTU567" s="3933"/>
      <c r="FTV567" s="3933"/>
      <c r="FTW567" s="621"/>
      <c r="FTX567" s="3933"/>
      <c r="FTY567" s="3933"/>
      <c r="FTZ567" s="3933"/>
      <c r="FUA567" s="621"/>
      <c r="FUB567" s="3933"/>
      <c r="FUC567" s="3933"/>
      <c r="FUD567" s="3933"/>
      <c r="FUE567" s="621"/>
      <c r="FUF567" s="3933"/>
      <c r="FUG567" s="3933"/>
      <c r="FUH567" s="3933"/>
      <c r="FUI567" s="621"/>
      <c r="FUJ567" s="3933"/>
      <c r="FUK567" s="3933"/>
      <c r="FUL567" s="3933"/>
      <c r="FUM567" s="621"/>
      <c r="FUN567" s="3933"/>
      <c r="FUO567" s="3933"/>
      <c r="FUP567" s="3933"/>
      <c r="FUQ567" s="621"/>
      <c r="FUR567" s="3933"/>
      <c r="FUS567" s="3933"/>
      <c r="FUT567" s="3933"/>
      <c r="FUU567" s="621"/>
      <c r="FUV567" s="3933"/>
      <c r="FUW567" s="3933"/>
      <c r="FUX567" s="3933"/>
      <c r="FUY567" s="621"/>
      <c r="FUZ567" s="3933"/>
      <c r="FVA567" s="3933"/>
      <c r="FVB567" s="3933"/>
      <c r="FVC567" s="621"/>
      <c r="FVD567" s="3933"/>
      <c r="FVE567" s="3933"/>
      <c r="FVF567" s="3933"/>
      <c r="FVG567" s="621"/>
      <c r="FVH567" s="3933"/>
      <c r="FVI567" s="3933"/>
      <c r="FVJ567" s="3933"/>
      <c r="FVK567" s="621"/>
      <c r="FVL567" s="3933"/>
      <c r="FVM567" s="3933"/>
      <c r="FVN567" s="3933"/>
      <c r="FVO567" s="621"/>
      <c r="FVP567" s="3933"/>
      <c r="FVQ567" s="3933"/>
      <c r="FVR567" s="3933"/>
      <c r="FVS567" s="621"/>
      <c r="FVT567" s="3933"/>
      <c r="FVU567" s="3933"/>
      <c r="FVV567" s="3933"/>
      <c r="FVW567" s="621"/>
      <c r="FVX567" s="3933"/>
      <c r="FVY567" s="3933"/>
      <c r="FVZ567" s="3933"/>
      <c r="FWA567" s="621"/>
      <c r="FWB567" s="3933"/>
      <c r="FWC567" s="3933"/>
      <c r="FWD567" s="3933"/>
      <c r="FWE567" s="621"/>
      <c r="FWF567" s="3933"/>
      <c r="FWG567" s="3933"/>
      <c r="FWH567" s="3933"/>
      <c r="FWI567" s="621"/>
      <c r="FWJ567" s="3933"/>
      <c r="FWK567" s="3933"/>
      <c r="FWL567" s="3933"/>
      <c r="FWM567" s="621"/>
      <c r="FWN567" s="3933"/>
      <c r="FWO567" s="3933"/>
      <c r="FWP567" s="3933"/>
      <c r="FWQ567" s="621"/>
      <c r="FWR567" s="3933"/>
      <c r="FWS567" s="3933"/>
      <c r="FWT567" s="3933"/>
      <c r="FWU567" s="621"/>
      <c r="FWV567" s="3933"/>
      <c r="FWW567" s="3933"/>
      <c r="FWX567" s="3933"/>
      <c r="FWY567" s="621"/>
      <c r="FWZ567" s="3933"/>
      <c r="FXA567" s="3933"/>
      <c r="FXB567" s="3933"/>
      <c r="FXC567" s="621"/>
      <c r="FXD567" s="3933"/>
      <c r="FXE567" s="3933"/>
      <c r="FXF567" s="3933"/>
      <c r="FXG567" s="621"/>
      <c r="FXH567" s="3933"/>
      <c r="FXI567" s="3933"/>
      <c r="FXJ567" s="3933"/>
      <c r="FXK567" s="621"/>
      <c r="FXL567" s="3933"/>
      <c r="FXM567" s="3933"/>
      <c r="FXN567" s="3933"/>
      <c r="FXO567" s="621"/>
      <c r="FXP567" s="3933"/>
      <c r="FXQ567" s="3933"/>
      <c r="FXR567" s="3933"/>
      <c r="FXS567" s="621"/>
      <c r="FXT567" s="3933"/>
      <c r="FXU567" s="3933"/>
      <c r="FXV567" s="3933"/>
      <c r="FXW567" s="621"/>
      <c r="FXX567" s="3933"/>
      <c r="FXY567" s="3933"/>
      <c r="FXZ567" s="3933"/>
      <c r="FYA567" s="621"/>
      <c r="FYB567" s="3933"/>
      <c r="FYC567" s="3933"/>
      <c r="FYD567" s="3933"/>
      <c r="FYE567" s="621"/>
      <c r="FYF567" s="3933"/>
      <c r="FYG567" s="3933"/>
      <c r="FYH567" s="3933"/>
      <c r="FYI567" s="621"/>
      <c r="FYJ567" s="3933"/>
      <c r="FYK567" s="3933"/>
      <c r="FYL567" s="3933"/>
      <c r="FYM567" s="621"/>
      <c r="FYN567" s="3933"/>
      <c r="FYO567" s="3933"/>
      <c r="FYP567" s="3933"/>
      <c r="FYQ567" s="621"/>
      <c r="FYR567" s="3933"/>
      <c r="FYS567" s="3933"/>
      <c r="FYT567" s="3933"/>
      <c r="FYU567" s="621"/>
      <c r="FYV567" s="3933"/>
      <c r="FYW567" s="3933"/>
      <c r="FYX567" s="3933"/>
      <c r="FYY567" s="621"/>
      <c r="FYZ567" s="3933"/>
      <c r="FZA567" s="3933"/>
      <c r="FZB567" s="3933"/>
      <c r="FZC567" s="621"/>
      <c r="FZD567" s="3933"/>
      <c r="FZE567" s="3933"/>
      <c r="FZF567" s="3933"/>
      <c r="FZG567" s="621"/>
      <c r="FZH567" s="3933"/>
      <c r="FZI567" s="3933"/>
      <c r="FZJ567" s="3933"/>
      <c r="FZK567" s="621"/>
      <c r="FZL567" s="3933"/>
      <c r="FZM567" s="3933"/>
      <c r="FZN567" s="3933"/>
      <c r="FZO567" s="621"/>
      <c r="FZP567" s="3933"/>
      <c r="FZQ567" s="3933"/>
      <c r="FZR567" s="3933"/>
      <c r="FZS567" s="621"/>
      <c r="FZT567" s="3933"/>
      <c r="FZU567" s="3933"/>
      <c r="FZV567" s="3933"/>
      <c r="FZW567" s="621"/>
      <c r="FZX567" s="3933"/>
      <c r="FZY567" s="3933"/>
      <c r="FZZ567" s="3933"/>
      <c r="GAA567" s="621"/>
      <c r="GAB567" s="3933"/>
      <c r="GAC567" s="3933"/>
      <c r="GAD567" s="3933"/>
      <c r="GAE567" s="621"/>
      <c r="GAF567" s="3933"/>
      <c r="GAG567" s="3933"/>
      <c r="GAH567" s="3933"/>
      <c r="GAI567" s="621"/>
      <c r="GAJ567" s="3933"/>
      <c r="GAK567" s="3933"/>
      <c r="GAL567" s="3933"/>
      <c r="GAM567" s="621"/>
      <c r="GAN567" s="3933"/>
      <c r="GAO567" s="3933"/>
      <c r="GAP567" s="3933"/>
      <c r="GAQ567" s="621"/>
      <c r="GAR567" s="3933"/>
      <c r="GAS567" s="3933"/>
      <c r="GAT567" s="3933"/>
      <c r="GAU567" s="621"/>
      <c r="GAV567" s="3933"/>
      <c r="GAW567" s="3933"/>
      <c r="GAX567" s="3933"/>
      <c r="GAY567" s="621"/>
      <c r="GAZ567" s="3933"/>
      <c r="GBA567" s="3933"/>
      <c r="GBB567" s="3933"/>
      <c r="GBC567" s="621"/>
      <c r="GBD567" s="3933"/>
      <c r="GBE567" s="3933"/>
      <c r="GBF567" s="3933"/>
      <c r="GBG567" s="621"/>
      <c r="GBH567" s="3933"/>
      <c r="GBI567" s="3933"/>
      <c r="GBJ567" s="3933"/>
      <c r="GBK567" s="621"/>
      <c r="GBL567" s="3933"/>
      <c r="GBM567" s="3933"/>
      <c r="GBN567" s="3933"/>
      <c r="GBO567" s="621"/>
      <c r="GBP567" s="3933"/>
      <c r="GBQ567" s="3933"/>
      <c r="GBR567" s="3933"/>
      <c r="GBS567" s="621"/>
      <c r="GBT567" s="3933"/>
      <c r="GBU567" s="3933"/>
      <c r="GBV567" s="3933"/>
      <c r="GBW567" s="621"/>
      <c r="GBX567" s="3933"/>
      <c r="GBY567" s="3933"/>
      <c r="GBZ567" s="3933"/>
      <c r="GCA567" s="621"/>
      <c r="GCB567" s="3933"/>
      <c r="GCC567" s="3933"/>
      <c r="GCD567" s="3933"/>
      <c r="GCE567" s="621"/>
      <c r="GCF567" s="3933"/>
      <c r="GCG567" s="3933"/>
      <c r="GCH567" s="3933"/>
      <c r="GCI567" s="621"/>
      <c r="GCJ567" s="3933"/>
      <c r="GCK567" s="3933"/>
      <c r="GCL567" s="3933"/>
      <c r="GCM567" s="621"/>
      <c r="GCN567" s="3933"/>
      <c r="GCO567" s="3933"/>
      <c r="GCP567" s="3933"/>
      <c r="GCQ567" s="621"/>
      <c r="GCR567" s="3933"/>
      <c r="GCS567" s="3933"/>
      <c r="GCT567" s="3933"/>
      <c r="GCU567" s="621"/>
      <c r="GCV567" s="3933"/>
      <c r="GCW567" s="3933"/>
      <c r="GCX567" s="3933"/>
      <c r="GCY567" s="621"/>
      <c r="GCZ567" s="3933"/>
      <c r="GDA567" s="3933"/>
      <c r="GDB567" s="3933"/>
      <c r="GDC567" s="621"/>
      <c r="GDD567" s="3933"/>
      <c r="GDE567" s="3933"/>
      <c r="GDF567" s="3933"/>
      <c r="GDG567" s="621"/>
      <c r="GDH567" s="3933"/>
      <c r="GDI567" s="3933"/>
      <c r="GDJ567" s="3933"/>
      <c r="GDK567" s="621"/>
      <c r="GDL567" s="3933"/>
      <c r="GDM567" s="3933"/>
      <c r="GDN567" s="3933"/>
      <c r="GDO567" s="621"/>
      <c r="GDP567" s="3933"/>
      <c r="GDQ567" s="3933"/>
      <c r="GDR567" s="3933"/>
      <c r="GDS567" s="621"/>
      <c r="GDT567" s="3933"/>
      <c r="GDU567" s="3933"/>
      <c r="GDV567" s="3933"/>
      <c r="GDW567" s="621"/>
      <c r="GDX567" s="3933"/>
      <c r="GDY567" s="3933"/>
      <c r="GDZ567" s="3933"/>
      <c r="GEA567" s="621"/>
      <c r="GEB567" s="3933"/>
      <c r="GEC567" s="3933"/>
      <c r="GED567" s="3933"/>
      <c r="GEE567" s="621"/>
      <c r="GEF567" s="3933"/>
      <c r="GEG567" s="3933"/>
      <c r="GEH567" s="3933"/>
      <c r="GEI567" s="621"/>
      <c r="GEJ567" s="3933"/>
      <c r="GEK567" s="3933"/>
      <c r="GEL567" s="3933"/>
      <c r="GEM567" s="621"/>
      <c r="GEN567" s="3933"/>
      <c r="GEO567" s="3933"/>
      <c r="GEP567" s="3933"/>
      <c r="GEQ567" s="621"/>
      <c r="GER567" s="3933"/>
      <c r="GES567" s="3933"/>
      <c r="GET567" s="3933"/>
      <c r="GEU567" s="621"/>
      <c r="GEV567" s="3933"/>
      <c r="GEW567" s="3933"/>
      <c r="GEX567" s="3933"/>
      <c r="GEY567" s="621"/>
      <c r="GEZ567" s="3933"/>
      <c r="GFA567" s="3933"/>
      <c r="GFB567" s="3933"/>
      <c r="GFC567" s="621"/>
      <c r="GFD567" s="3933"/>
      <c r="GFE567" s="3933"/>
      <c r="GFF567" s="3933"/>
      <c r="GFG567" s="621"/>
      <c r="GFH567" s="3933"/>
      <c r="GFI567" s="3933"/>
      <c r="GFJ567" s="3933"/>
      <c r="GFK567" s="621"/>
      <c r="GFL567" s="3933"/>
      <c r="GFM567" s="3933"/>
      <c r="GFN567" s="3933"/>
      <c r="GFO567" s="621"/>
      <c r="GFP567" s="3933"/>
      <c r="GFQ567" s="3933"/>
      <c r="GFR567" s="3933"/>
      <c r="GFS567" s="621"/>
      <c r="GFT567" s="3933"/>
      <c r="GFU567" s="3933"/>
      <c r="GFV567" s="3933"/>
      <c r="GFW567" s="621"/>
      <c r="GFX567" s="3933"/>
      <c r="GFY567" s="3933"/>
      <c r="GFZ567" s="3933"/>
      <c r="GGA567" s="621"/>
      <c r="GGB567" s="3933"/>
      <c r="GGC567" s="3933"/>
      <c r="GGD567" s="3933"/>
      <c r="GGE567" s="621"/>
      <c r="GGF567" s="3933"/>
      <c r="GGG567" s="3933"/>
      <c r="GGH567" s="3933"/>
      <c r="GGI567" s="621"/>
      <c r="GGJ567" s="3933"/>
      <c r="GGK567" s="3933"/>
      <c r="GGL567" s="3933"/>
      <c r="GGM567" s="621"/>
      <c r="GGN567" s="3933"/>
      <c r="GGO567" s="3933"/>
      <c r="GGP567" s="3933"/>
      <c r="GGQ567" s="621"/>
      <c r="GGR567" s="3933"/>
      <c r="GGS567" s="3933"/>
      <c r="GGT567" s="3933"/>
      <c r="GGU567" s="621"/>
      <c r="GGV567" s="3933"/>
      <c r="GGW567" s="3933"/>
      <c r="GGX567" s="3933"/>
      <c r="GGY567" s="621"/>
      <c r="GGZ567" s="3933"/>
      <c r="GHA567" s="3933"/>
      <c r="GHB567" s="3933"/>
      <c r="GHC567" s="621"/>
      <c r="GHD567" s="3933"/>
      <c r="GHE567" s="3933"/>
      <c r="GHF567" s="3933"/>
      <c r="GHG567" s="621"/>
      <c r="GHH567" s="3933"/>
      <c r="GHI567" s="3933"/>
      <c r="GHJ567" s="3933"/>
      <c r="GHK567" s="621"/>
      <c r="GHL567" s="3933"/>
      <c r="GHM567" s="3933"/>
      <c r="GHN567" s="3933"/>
      <c r="GHO567" s="621"/>
      <c r="GHP567" s="3933"/>
      <c r="GHQ567" s="3933"/>
      <c r="GHR567" s="3933"/>
      <c r="GHS567" s="621"/>
      <c r="GHT567" s="3933"/>
      <c r="GHU567" s="3933"/>
      <c r="GHV567" s="3933"/>
      <c r="GHW567" s="621"/>
      <c r="GHX567" s="3933"/>
      <c r="GHY567" s="3933"/>
      <c r="GHZ567" s="3933"/>
      <c r="GIA567" s="621"/>
      <c r="GIB567" s="3933"/>
      <c r="GIC567" s="3933"/>
      <c r="GID567" s="3933"/>
      <c r="GIE567" s="621"/>
      <c r="GIF567" s="3933"/>
      <c r="GIG567" s="3933"/>
      <c r="GIH567" s="3933"/>
      <c r="GII567" s="621"/>
      <c r="GIJ567" s="3933"/>
      <c r="GIK567" s="3933"/>
      <c r="GIL567" s="3933"/>
      <c r="GIM567" s="621"/>
      <c r="GIN567" s="3933"/>
      <c r="GIO567" s="3933"/>
      <c r="GIP567" s="3933"/>
      <c r="GIQ567" s="621"/>
      <c r="GIR567" s="3933"/>
      <c r="GIS567" s="3933"/>
      <c r="GIT567" s="3933"/>
      <c r="GIU567" s="621"/>
      <c r="GIV567" s="3933"/>
      <c r="GIW567" s="3933"/>
      <c r="GIX567" s="3933"/>
      <c r="GIY567" s="621"/>
      <c r="GIZ567" s="3933"/>
      <c r="GJA567" s="3933"/>
      <c r="GJB567" s="3933"/>
      <c r="GJC567" s="621"/>
      <c r="GJD567" s="3933"/>
      <c r="GJE567" s="3933"/>
      <c r="GJF567" s="3933"/>
      <c r="GJG567" s="621"/>
      <c r="GJH567" s="3933"/>
      <c r="GJI567" s="3933"/>
      <c r="GJJ567" s="3933"/>
      <c r="GJK567" s="621"/>
      <c r="GJL567" s="3933"/>
      <c r="GJM567" s="3933"/>
      <c r="GJN567" s="3933"/>
      <c r="GJO567" s="621"/>
      <c r="GJP567" s="3933"/>
      <c r="GJQ567" s="3933"/>
      <c r="GJR567" s="3933"/>
      <c r="GJS567" s="621"/>
      <c r="GJT567" s="3933"/>
      <c r="GJU567" s="3933"/>
      <c r="GJV567" s="3933"/>
      <c r="GJW567" s="621"/>
      <c r="GJX567" s="3933"/>
      <c r="GJY567" s="3933"/>
      <c r="GJZ567" s="3933"/>
      <c r="GKA567" s="621"/>
      <c r="GKB567" s="3933"/>
      <c r="GKC567" s="3933"/>
      <c r="GKD567" s="3933"/>
      <c r="GKE567" s="621"/>
      <c r="GKF567" s="3933"/>
      <c r="GKG567" s="3933"/>
      <c r="GKH567" s="3933"/>
      <c r="GKI567" s="621"/>
      <c r="GKJ567" s="3933"/>
      <c r="GKK567" s="3933"/>
      <c r="GKL567" s="3933"/>
      <c r="GKM567" s="621"/>
      <c r="GKN567" s="3933"/>
      <c r="GKO567" s="3933"/>
      <c r="GKP567" s="3933"/>
      <c r="GKQ567" s="621"/>
      <c r="GKR567" s="3933"/>
      <c r="GKS567" s="3933"/>
      <c r="GKT567" s="3933"/>
      <c r="GKU567" s="621"/>
      <c r="GKV567" s="3933"/>
      <c r="GKW567" s="3933"/>
      <c r="GKX567" s="3933"/>
      <c r="GKY567" s="621"/>
      <c r="GKZ567" s="3933"/>
      <c r="GLA567" s="3933"/>
      <c r="GLB567" s="3933"/>
      <c r="GLC567" s="621"/>
      <c r="GLD567" s="3933"/>
      <c r="GLE567" s="3933"/>
      <c r="GLF567" s="3933"/>
      <c r="GLG567" s="621"/>
      <c r="GLH567" s="3933"/>
      <c r="GLI567" s="3933"/>
      <c r="GLJ567" s="3933"/>
      <c r="GLK567" s="621"/>
      <c r="GLL567" s="3933"/>
      <c r="GLM567" s="3933"/>
      <c r="GLN567" s="3933"/>
      <c r="GLO567" s="621"/>
      <c r="GLP567" s="3933"/>
      <c r="GLQ567" s="3933"/>
      <c r="GLR567" s="3933"/>
      <c r="GLS567" s="621"/>
      <c r="GLT567" s="3933"/>
      <c r="GLU567" s="3933"/>
      <c r="GLV567" s="3933"/>
      <c r="GLW567" s="621"/>
      <c r="GLX567" s="3933"/>
      <c r="GLY567" s="3933"/>
      <c r="GLZ567" s="3933"/>
      <c r="GMA567" s="621"/>
      <c r="GMB567" s="3933"/>
      <c r="GMC567" s="3933"/>
      <c r="GMD567" s="3933"/>
      <c r="GME567" s="621"/>
      <c r="GMF567" s="3933"/>
      <c r="GMG567" s="3933"/>
      <c r="GMH567" s="3933"/>
      <c r="GMI567" s="621"/>
      <c r="GMJ567" s="3933"/>
      <c r="GMK567" s="3933"/>
      <c r="GML567" s="3933"/>
      <c r="GMM567" s="621"/>
      <c r="GMN567" s="3933"/>
      <c r="GMO567" s="3933"/>
      <c r="GMP567" s="3933"/>
      <c r="GMQ567" s="621"/>
      <c r="GMR567" s="3933"/>
      <c r="GMS567" s="3933"/>
      <c r="GMT567" s="3933"/>
      <c r="GMU567" s="621"/>
      <c r="GMV567" s="3933"/>
      <c r="GMW567" s="3933"/>
      <c r="GMX567" s="3933"/>
      <c r="GMY567" s="621"/>
      <c r="GMZ567" s="3933"/>
      <c r="GNA567" s="3933"/>
      <c r="GNB567" s="3933"/>
      <c r="GNC567" s="621"/>
      <c r="GND567" s="3933"/>
      <c r="GNE567" s="3933"/>
      <c r="GNF567" s="3933"/>
      <c r="GNG567" s="621"/>
      <c r="GNH567" s="3933"/>
      <c r="GNI567" s="3933"/>
      <c r="GNJ567" s="3933"/>
      <c r="GNK567" s="621"/>
      <c r="GNL567" s="3933"/>
      <c r="GNM567" s="3933"/>
      <c r="GNN567" s="3933"/>
      <c r="GNO567" s="621"/>
      <c r="GNP567" s="3933"/>
      <c r="GNQ567" s="3933"/>
      <c r="GNR567" s="3933"/>
      <c r="GNS567" s="621"/>
      <c r="GNT567" s="3933"/>
      <c r="GNU567" s="3933"/>
      <c r="GNV567" s="3933"/>
      <c r="GNW567" s="621"/>
      <c r="GNX567" s="3933"/>
      <c r="GNY567" s="3933"/>
      <c r="GNZ567" s="3933"/>
      <c r="GOA567" s="621"/>
      <c r="GOB567" s="3933"/>
      <c r="GOC567" s="3933"/>
      <c r="GOD567" s="3933"/>
      <c r="GOE567" s="621"/>
      <c r="GOF567" s="3933"/>
      <c r="GOG567" s="3933"/>
      <c r="GOH567" s="3933"/>
      <c r="GOI567" s="621"/>
      <c r="GOJ567" s="3933"/>
      <c r="GOK567" s="3933"/>
      <c r="GOL567" s="3933"/>
      <c r="GOM567" s="621"/>
      <c r="GON567" s="3933"/>
      <c r="GOO567" s="3933"/>
      <c r="GOP567" s="3933"/>
      <c r="GOQ567" s="621"/>
      <c r="GOR567" s="3933"/>
      <c r="GOS567" s="3933"/>
      <c r="GOT567" s="3933"/>
      <c r="GOU567" s="621"/>
      <c r="GOV567" s="3933"/>
      <c r="GOW567" s="3933"/>
      <c r="GOX567" s="3933"/>
      <c r="GOY567" s="621"/>
      <c r="GOZ567" s="3933"/>
      <c r="GPA567" s="3933"/>
      <c r="GPB567" s="3933"/>
      <c r="GPC567" s="621"/>
      <c r="GPD567" s="3933"/>
      <c r="GPE567" s="3933"/>
      <c r="GPF567" s="3933"/>
      <c r="GPG567" s="621"/>
      <c r="GPH567" s="3933"/>
      <c r="GPI567" s="3933"/>
      <c r="GPJ567" s="3933"/>
      <c r="GPK567" s="621"/>
      <c r="GPL567" s="3933"/>
      <c r="GPM567" s="3933"/>
      <c r="GPN567" s="3933"/>
      <c r="GPO567" s="621"/>
      <c r="GPP567" s="3933"/>
      <c r="GPQ567" s="3933"/>
      <c r="GPR567" s="3933"/>
      <c r="GPS567" s="621"/>
      <c r="GPT567" s="3933"/>
      <c r="GPU567" s="3933"/>
      <c r="GPV567" s="3933"/>
      <c r="GPW567" s="621"/>
      <c r="GPX567" s="3933"/>
      <c r="GPY567" s="3933"/>
      <c r="GPZ567" s="3933"/>
      <c r="GQA567" s="621"/>
      <c r="GQB567" s="3933"/>
      <c r="GQC567" s="3933"/>
      <c r="GQD567" s="3933"/>
      <c r="GQE567" s="621"/>
      <c r="GQF567" s="3933"/>
      <c r="GQG567" s="3933"/>
      <c r="GQH567" s="3933"/>
      <c r="GQI567" s="621"/>
      <c r="GQJ567" s="3933"/>
      <c r="GQK567" s="3933"/>
      <c r="GQL567" s="3933"/>
      <c r="GQM567" s="621"/>
      <c r="GQN567" s="3933"/>
      <c r="GQO567" s="3933"/>
      <c r="GQP567" s="3933"/>
      <c r="GQQ567" s="621"/>
      <c r="GQR567" s="3933"/>
      <c r="GQS567" s="3933"/>
      <c r="GQT567" s="3933"/>
      <c r="GQU567" s="621"/>
      <c r="GQV567" s="3933"/>
      <c r="GQW567" s="3933"/>
      <c r="GQX567" s="3933"/>
      <c r="GQY567" s="621"/>
      <c r="GQZ567" s="3933"/>
      <c r="GRA567" s="3933"/>
      <c r="GRB567" s="3933"/>
      <c r="GRC567" s="621"/>
      <c r="GRD567" s="3933"/>
      <c r="GRE567" s="3933"/>
      <c r="GRF567" s="3933"/>
      <c r="GRG567" s="621"/>
      <c r="GRH567" s="3933"/>
      <c r="GRI567" s="3933"/>
      <c r="GRJ567" s="3933"/>
      <c r="GRK567" s="621"/>
      <c r="GRL567" s="3933"/>
      <c r="GRM567" s="3933"/>
      <c r="GRN567" s="3933"/>
      <c r="GRO567" s="621"/>
      <c r="GRP567" s="3933"/>
      <c r="GRQ567" s="3933"/>
      <c r="GRR567" s="3933"/>
      <c r="GRS567" s="621"/>
      <c r="GRT567" s="3933"/>
      <c r="GRU567" s="3933"/>
      <c r="GRV567" s="3933"/>
      <c r="GRW567" s="621"/>
      <c r="GRX567" s="3933"/>
      <c r="GRY567" s="3933"/>
      <c r="GRZ567" s="3933"/>
      <c r="GSA567" s="621"/>
      <c r="GSB567" s="3933"/>
      <c r="GSC567" s="3933"/>
      <c r="GSD567" s="3933"/>
      <c r="GSE567" s="621"/>
      <c r="GSF567" s="3933"/>
      <c r="GSG567" s="3933"/>
      <c r="GSH567" s="3933"/>
      <c r="GSI567" s="621"/>
      <c r="GSJ567" s="3933"/>
      <c r="GSK567" s="3933"/>
      <c r="GSL567" s="3933"/>
      <c r="GSM567" s="621"/>
      <c r="GSN567" s="3933"/>
      <c r="GSO567" s="3933"/>
      <c r="GSP567" s="3933"/>
      <c r="GSQ567" s="621"/>
      <c r="GSR567" s="3933"/>
      <c r="GSS567" s="3933"/>
      <c r="GST567" s="3933"/>
      <c r="GSU567" s="621"/>
      <c r="GSV567" s="3933"/>
      <c r="GSW567" s="3933"/>
      <c r="GSX567" s="3933"/>
      <c r="GSY567" s="621"/>
      <c r="GSZ567" s="3933"/>
      <c r="GTA567" s="3933"/>
      <c r="GTB567" s="3933"/>
      <c r="GTC567" s="621"/>
      <c r="GTD567" s="3933"/>
      <c r="GTE567" s="3933"/>
      <c r="GTF567" s="3933"/>
      <c r="GTG567" s="621"/>
      <c r="GTH567" s="3933"/>
      <c r="GTI567" s="3933"/>
      <c r="GTJ567" s="3933"/>
      <c r="GTK567" s="621"/>
      <c r="GTL567" s="3933"/>
      <c r="GTM567" s="3933"/>
      <c r="GTN567" s="3933"/>
      <c r="GTO567" s="621"/>
      <c r="GTP567" s="3933"/>
      <c r="GTQ567" s="3933"/>
      <c r="GTR567" s="3933"/>
      <c r="GTS567" s="621"/>
      <c r="GTT567" s="3933"/>
      <c r="GTU567" s="3933"/>
      <c r="GTV567" s="3933"/>
      <c r="GTW567" s="621"/>
      <c r="GTX567" s="3933"/>
      <c r="GTY567" s="3933"/>
      <c r="GTZ567" s="3933"/>
      <c r="GUA567" s="621"/>
      <c r="GUB567" s="3933"/>
      <c r="GUC567" s="3933"/>
      <c r="GUD567" s="3933"/>
      <c r="GUE567" s="621"/>
      <c r="GUF567" s="3933"/>
      <c r="GUG567" s="3933"/>
      <c r="GUH567" s="3933"/>
      <c r="GUI567" s="621"/>
      <c r="GUJ567" s="3933"/>
      <c r="GUK567" s="3933"/>
      <c r="GUL567" s="3933"/>
      <c r="GUM567" s="621"/>
      <c r="GUN567" s="3933"/>
      <c r="GUO567" s="3933"/>
      <c r="GUP567" s="3933"/>
      <c r="GUQ567" s="621"/>
      <c r="GUR567" s="3933"/>
      <c r="GUS567" s="3933"/>
      <c r="GUT567" s="3933"/>
      <c r="GUU567" s="621"/>
      <c r="GUV567" s="3933"/>
      <c r="GUW567" s="3933"/>
      <c r="GUX567" s="3933"/>
      <c r="GUY567" s="621"/>
      <c r="GUZ567" s="3933"/>
      <c r="GVA567" s="3933"/>
      <c r="GVB567" s="3933"/>
      <c r="GVC567" s="621"/>
      <c r="GVD567" s="3933"/>
      <c r="GVE567" s="3933"/>
      <c r="GVF567" s="3933"/>
      <c r="GVG567" s="621"/>
      <c r="GVH567" s="3933"/>
      <c r="GVI567" s="3933"/>
      <c r="GVJ567" s="3933"/>
      <c r="GVK567" s="621"/>
      <c r="GVL567" s="3933"/>
      <c r="GVM567" s="3933"/>
      <c r="GVN567" s="3933"/>
      <c r="GVO567" s="621"/>
      <c r="GVP567" s="3933"/>
      <c r="GVQ567" s="3933"/>
      <c r="GVR567" s="3933"/>
      <c r="GVS567" s="621"/>
      <c r="GVT567" s="3933"/>
      <c r="GVU567" s="3933"/>
      <c r="GVV567" s="3933"/>
      <c r="GVW567" s="621"/>
      <c r="GVX567" s="3933"/>
      <c r="GVY567" s="3933"/>
      <c r="GVZ567" s="3933"/>
      <c r="GWA567" s="621"/>
      <c r="GWB567" s="3933"/>
      <c r="GWC567" s="3933"/>
      <c r="GWD567" s="3933"/>
      <c r="GWE567" s="621"/>
      <c r="GWF567" s="3933"/>
      <c r="GWG567" s="3933"/>
      <c r="GWH567" s="3933"/>
      <c r="GWI567" s="621"/>
      <c r="GWJ567" s="3933"/>
      <c r="GWK567" s="3933"/>
      <c r="GWL567" s="3933"/>
      <c r="GWM567" s="621"/>
      <c r="GWN567" s="3933"/>
      <c r="GWO567" s="3933"/>
      <c r="GWP567" s="3933"/>
      <c r="GWQ567" s="621"/>
      <c r="GWR567" s="3933"/>
      <c r="GWS567" s="3933"/>
      <c r="GWT567" s="3933"/>
      <c r="GWU567" s="621"/>
      <c r="GWV567" s="3933"/>
      <c r="GWW567" s="3933"/>
      <c r="GWX567" s="3933"/>
      <c r="GWY567" s="621"/>
      <c r="GWZ567" s="3933"/>
      <c r="GXA567" s="3933"/>
      <c r="GXB567" s="3933"/>
      <c r="GXC567" s="621"/>
      <c r="GXD567" s="3933"/>
      <c r="GXE567" s="3933"/>
      <c r="GXF567" s="3933"/>
      <c r="GXG567" s="621"/>
      <c r="GXH567" s="3933"/>
      <c r="GXI567" s="3933"/>
      <c r="GXJ567" s="3933"/>
      <c r="GXK567" s="621"/>
      <c r="GXL567" s="3933"/>
      <c r="GXM567" s="3933"/>
      <c r="GXN567" s="3933"/>
      <c r="GXO567" s="621"/>
      <c r="GXP567" s="3933"/>
      <c r="GXQ567" s="3933"/>
      <c r="GXR567" s="3933"/>
      <c r="GXS567" s="621"/>
      <c r="GXT567" s="3933"/>
      <c r="GXU567" s="3933"/>
      <c r="GXV567" s="3933"/>
      <c r="GXW567" s="621"/>
      <c r="GXX567" s="3933"/>
      <c r="GXY567" s="3933"/>
      <c r="GXZ567" s="3933"/>
      <c r="GYA567" s="621"/>
      <c r="GYB567" s="3933"/>
      <c r="GYC567" s="3933"/>
      <c r="GYD567" s="3933"/>
      <c r="GYE567" s="621"/>
      <c r="GYF567" s="3933"/>
      <c r="GYG567" s="3933"/>
      <c r="GYH567" s="3933"/>
      <c r="GYI567" s="621"/>
      <c r="GYJ567" s="3933"/>
      <c r="GYK567" s="3933"/>
      <c r="GYL567" s="3933"/>
      <c r="GYM567" s="621"/>
      <c r="GYN567" s="3933"/>
      <c r="GYO567" s="3933"/>
      <c r="GYP567" s="3933"/>
      <c r="GYQ567" s="621"/>
      <c r="GYR567" s="3933"/>
      <c r="GYS567" s="3933"/>
      <c r="GYT567" s="3933"/>
      <c r="GYU567" s="621"/>
      <c r="GYV567" s="3933"/>
      <c r="GYW567" s="3933"/>
      <c r="GYX567" s="3933"/>
      <c r="GYY567" s="621"/>
      <c r="GYZ567" s="3933"/>
      <c r="GZA567" s="3933"/>
      <c r="GZB567" s="3933"/>
      <c r="GZC567" s="621"/>
      <c r="GZD567" s="3933"/>
      <c r="GZE567" s="3933"/>
      <c r="GZF567" s="3933"/>
      <c r="GZG567" s="621"/>
      <c r="GZH567" s="3933"/>
      <c r="GZI567" s="3933"/>
      <c r="GZJ567" s="3933"/>
      <c r="GZK567" s="621"/>
      <c r="GZL567" s="3933"/>
      <c r="GZM567" s="3933"/>
      <c r="GZN567" s="3933"/>
      <c r="GZO567" s="621"/>
      <c r="GZP567" s="3933"/>
      <c r="GZQ567" s="3933"/>
      <c r="GZR567" s="3933"/>
      <c r="GZS567" s="621"/>
      <c r="GZT567" s="3933"/>
      <c r="GZU567" s="3933"/>
      <c r="GZV567" s="3933"/>
      <c r="GZW567" s="621"/>
      <c r="GZX567" s="3933"/>
      <c r="GZY567" s="3933"/>
      <c r="GZZ567" s="3933"/>
      <c r="HAA567" s="621"/>
      <c r="HAB567" s="3933"/>
      <c r="HAC567" s="3933"/>
      <c r="HAD567" s="3933"/>
      <c r="HAE567" s="621"/>
      <c r="HAF567" s="3933"/>
      <c r="HAG567" s="3933"/>
      <c r="HAH567" s="3933"/>
      <c r="HAI567" s="621"/>
      <c r="HAJ567" s="3933"/>
      <c r="HAK567" s="3933"/>
      <c r="HAL567" s="3933"/>
      <c r="HAM567" s="621"/>
      <c r="HAN567" s="3933"/>
      <c r="HAO567" s="3933"/>
      <c r="HAP567" s="3933"/>
      <c r="HAQ567" s="621"/>
      <c r="HAR567" s="3933"/>
      <c r="HAS567" s="3933"/>
      <c r="HAT567" s="3933"/>
      <c r="HAU567" s="621"/>
      <c r="HAV567" s="3933"/>
      <c r="HAW567" s="3933"/>
      <c r="HAX567" s="3933"/>
      <c r="HAY567" s="621"/>
      <c r="HAZ567" s="3933"/>
      <c r="HBA567" s="3933"/>
      <c r="HBB567" s="3933"/>
      <c r="HBC567" s="621"/>
      <c r="HBD567" s="3933"/>
      <c r="HBE567" s="3933"/>
      <c r="HBF567" s="3933"/>
      <c r="HBG567" s="621"/>
      <c r="HBH567" s="3933"/>
      <c r="HBI567" s="3933"/>
      <c r="HBJ567" s="3933"/>
      <c r="HBK567" s="621"/>
      <c r="HBL567" s="3933"/>
      <c r="HBM567" s="3933"/>
      <c r="HBN567" s="3933"/>
      <c r="HBO567" s="621"/>
      <c r="HBP567" s="3933"/>
      <c r="HBQ567" s="3933"/>
      <c r="HBR567" s="3933"/>
      <c r="HBS567" s="621"/>
      <c r="HBT567" s="3933"/>
      <c r="HBU567" s="3933"/>
      <c r="HBV567" s="3933"/>
      <c r="HBW567" s="621"/>
      <c r="HBX567" s="3933"/>
      <c r="HBY567" s="3933"/>
      <c r="HBZ567" s="3933"/>
      <c r="HCA567" s="621"/>
      <c r="HCB567" s="3933"/>
      <c r="HCC567" s="3933"/>
      <c r="HCD567" s="3933"/>
      <c r="HCE567" s="621"/>
      <c r="HCF567" s="3933"/>
      <c r="HCG567" s="3933"/>
      <c r="HCH567" s="3933"/>
      <c r="HCI567" s="621"/>
      <c r="HCJ567" s="3933"/>
      <c r="HCK567" s="3933"/>
      <c r="HCL567" s="3933"/>
      <c r="HCM567" s="621"/>
      <c r="HCN567" s="3933"/>
      <c r="HCO567" s="3933"/>
      <c r="HCP567" s="3933"/>
      <c r="HCQ567" s="621"/>
      <c r="HCR567" s="3933"/>
      <c r="HCS567" s="3933"/>
      <c r="HCT567" s="3933"/>
      <c r="HCU567" s="621"/>
      <c r="HCV567" s="3933"/>
      <c r="HCW567" s="3933"/>
      <c r="HCX567" s="3933"/>
      <c r="HCY567" s="621"/>
      <c r="HCZ567" s="3933"/>
      <c r="HDA567" s="3933"/>
      <c r="HDB567" s="3933"/>
      <c r="HDC567" s="621"/>
      <c r="HDD567" s="3933"/>
      <c r="HDE567" s="3933"/>
      <c r="HDF567" s="3933"/>
      <c r="HDG567" s="621"/>
      <c r="HDH567" s="3933"/>
      <c r="HDI567" s="3933"/>
      <c r="HDJ567" s="3933"/>
      <c r="HDK567" s="621"/>
      <c r="HDL567" s="3933"/>
      <c r="HDM567" s="3933"/>
      <c r="HDN567" s="3933"/>
      <c r="HDO567" s="621"/>
      <c r="HDP567" s="3933"/>
      <c r="HDQ567" s="3933"/>
      <c r="HDR567" s="3933"/>
      <c r="HDS567" s="621"/>
      <c r="HDT567" s="3933"/>
      <c r="HDU567" s="3933"/>
      <c r="HDV567" s="3933"/>
      <c r="HDW567" s="621"/>
      <c r="HDX567" s="3933"/>
      <c r="HDY567" s="3933"/>
      <c r="HDZ567" s="3933"/>
      <c r="HEA567" s="621"/>
      <c r="HEB567" s="3933"/>
      <c r="HEC567" s="3933"/>
      <c r="HED567" s="3933"/>
      <c r="HEE567" s="621"/>
      <c r="HEF567" s="3933"/>
      <c r="HEG567" s="3933"/>
      <c r="HEH567" s="3933"/>
      <c r="HEI567" s="621"/>
      <c r="HEJ567" s="3933"/>
      <c r="HEK567" s="3933"/>
      <c r="HEL567" s="3933"/>
      <c r="HEM567" s="621"/>
      <c r="HEN567" s="3933"/>
      <c r="HEO567" s="3933"/>
      <c r="HEP567" s="3933"/>
      <c r="HEQ567" s="621"/>
      <c r="HER567" s="3933"/>
      <c r="HES567" s="3933"/>
      <c r="HET567" s="3933"/>
      <c r="HEU567" s="621"/>
      <c r="HEV567" s="3933"/>
      <c r="HEW567" s="3933"/>
      <c r="HEX567" s="3933"/>
      <c r="HEY567" s="621"/>
      <c r="HEZ567" s="3933"/>
      <c r="HFA567" s="3933"/>
      <c r="HFB567" s="3933"/>
      <c r="HFC567" s="621"/>
      <c r="HFD567" s="3933"/>
      <c r="HFE567" s="3933"/>
      <c r="HFF567" s="3933"/>
      <c r="HFG567" s="621"/>
      <c r="HFH567" s="3933"/>
      <c r="HFI567" s="3933"/>
      <c r="HFJ567" s="3933"/>
      <c r="HFK567" s="621"/>
      <c r="HFL567" s="3933"/>
      <c r="HFM567" s="3933"/>
      <c r="HFN567" s="3933"/>
      <c r="HFO567" s="621"/>
      <c r="HFP567" s="3933"/>
      <c r="HFQ567" s="3933"/>
      <c r="HFR567" s="3933"/>
      <c r="HFS567" s="621"/>
      <c r="HFT567" s="3933"/>
      <c r="HFU567" s="3933"/>
      <c r="HFV567" s="3933"/>
      <c r="HFW567" s="621"/>
      <c r="HFX567" s="3933"/>
      <c r="HFY567" s="3933"/>
      <c r="HFZ567" s="3933"/>
      <c r="HGA567" s="621"/>
      <c r="HGB567" s="3933"/>
      <c r="HGC567" s="3933"/>
      <c r="HGD567" s="3933"/>
      <c r="HGE567" s="621"/>
      <c r="HGF567" s="3933"/>
      <c r="HGG567" s="3933"/>
      <c r="HGH567" s="3933"/>
      <c r="HGI567" s="621"/>
      <c r="HGJ567" s="3933"/>
      <c r="HGK567" s="3933"/>
      <c r="HGL567" s="3933"/>
      <c r="HGM567" s="621"/>
      <c r="HGN567" s="3933"/>
      <c r="HGO567" s="3933"/>
      <c r="HGP567" s="3933"/>
      <c r="HGQ567" s="621"/>
      <c r="HGR567" s="3933"/>
      <c r="HGS567" s="3933"/>
      <c r="HGT567" s="3933"/>
      <c r="HGU567" s="621"/>
      <c r="HGV567" s="3933"/>
      <c r="HGW567" s="3933"/>
      <c r="HGX567" s="3933"/>
      <c r="HGY567" s="621"/>
      <c r="HGZ567" s="3933"/>
      <c r="HHA567" s="3933"/>
      <c r="HHB567" s="3933"/>
      <c r="HHC567" s="621"/>
      <c r="HHD567" s="3933"/>
      <c r="HHE567" s="3933"/>
      <c r="HHF567" s="3933"/>
      <c r="HHG567" s="621"/>
      <c r="HHH567" s="3933"/>
      <c r="HHI567" s="3933"/>
      <c r="HHJ567" s="3933"/>
      <c r="HHK567" s="621"/>
      <c r="HHL567" s="3933"/>
      <c r="HHM567" s="3933"/>
      <c r="HHN567" s="3933"/>
      <c r="HHO567" s="621"/>
      <c r="HHP567" s="3933"/>
      <c r="HHQ567" s="3933"/>
      <c r="HHR567" s="3933"/>
      <c r="HHS567" s="621"/>
      <c r="HHT567" s="3933"/>
      <c r="HHU567" s="3933"/>
      <c r="HHV567" s="3933"/>
      <c r="HHW567" s="621"/>
      <c r="HHX567" s="3933"/>
      <c r="HHY567" s="3933"/>
      <c r="HHZ567" s="3933"/>
      <c r="HIA567" s="621"/>
      <c r="HIB567" s="3933"/>
      <c r="HIC567" s="3933"/>
      <c r="HID567" s="3933"/>
      <c r="HIE567" s="621"/>
      <c r="HIF567" s="3933"/>
      <c r="HIG567" s="3933"/>
      <c r="HIH567" s="3933"/>
      <c r="HII567" s="621"/>
      <c r="HIJ567" s="3933"/>
      <c r="HIK567" s="3933"/>
      <c r="HIL567" s="3933"/>
      <c r="HIM567" s="621"/>
      <c r="HIN567" s="3933"/>
      <c r="HIO567" s="3933"/>
      <c r="HIP567" s="3933"/>
      <c r="HIQ567" s="621"/>
      <c r="HIR567" s="3933"/>
      <c r="HIS567" s="3933"/>
      <c r="HIT567" s="3933"/>
      <c r="HIU567" s="621"/>
      <c r="HIV567" s="3933"/>
      <c r="HIW567" s="3933"/>
      <c r="HIX567" s="3933"/>
      <c r="HIY567" s="621"/>
      <c r="HIZ567" s="3933"/>
      <c r="HJA567" s="3933"/>
      <c r="HJB567" s="3933"/>
      <c r="HJC567" s="621"/>
      <c r="HJD567" s="3933"/>
      <c r="HJE567" s="3933"/>
      <c r="HJF567" s="3933"/>
      <c r="HJG567" s="621"/>
      <c r="HJH567" s="3933"/>
      <c r="HJI567" s="3933"/>
      <c r="HJJ567" s="3933"/>
      <c r="HJK567" s="621"/>
      <c r="HJL567" s="3933"/>
      <c r="HJM567" s="3933"/>
      <c r="HJN567" s="3933"/>
      <c r="HJO567" s="621"/>
      <c r="HJP567" s="3933"/>
      <c r="HJQ567" s="3933"/>
      <c r="HJR567" s="3933"/>
      <c r="HJS567" s="621"/>
      <c r="HJT567" s="3933"/>
      <c r="HJU567" s="3933"/>
      <c r="HJV567" s="3933"/>
      <c r="HJW567" s="621"/>
      <c r="HJX567" s="3933"/>
      <c r="HJY567" s="3933"/>
      <c r="HJZ567" s="3933"/>
      <c r="HKA567" s="621"/>
      <c r="HKB567" s="3933"/>
      <c r="HKC567" s="3933"/>
      <c r="HKD567" s="3933"/>
      <c r="HKE567" s="621"/>
      <c r="HKF567" s="3933"/>
      <c r="HKG567" s="3933"/>
      <c r="HKH567" s="3933"/>
      <c r="HKI567" s="621"/>
      <c r="HKJ567" s="3933"/>
      <c r="HKK567" s="3933"/>
      <c r="HKL567" s="3933"/>
      <c r="HKM567" s="621"/>
      <c r="HKN567" s="3933"/>
      <c r="HKO567" s="3933"/>
      <c r="HKP567" s="3933"/>
      <c r="HKQ567" s="621"/>
      <c r="HKR567" s="3933"/>
      <c r="HKS567" s="3933"/>
      <c r="HKT567" s="3933"/>
      <c r="HKU567" s="621"/>
      <c r="HKV567" s="3933"/>
      <c r="HKW567" s="3933"/>
      <c r="HKX567" s="3933"/>
      <c r="HKY567" s="621"/>
      <c r="HKZ567" s="3933"/>
      <c r="HLA567" s="3933"/>
      <c r="HLB567" s="3933"/>
      <c r="HLC567" s="621"/>
      <c r="HLD567" s="3933"/>
      <c r="HLE567" s="3933"/>
      <c r="HLF567" s="3933"/>
      <c r="HLG567" s="621"/>
      <c r="HLH567" s="3933"/>
      <c r="HLI567" s="3933"/>
      <c r="HLJ567" s="3933"/>
      <c r="HLK567" s="621"/>
      <c r="HLL567" s="3933"/>
      <c r="HLM567" s="3933"/>
      <c r="HLN567" s="3933"/>
      <c r="HLO567" s="621"/>
      <c r="HLP567" s="3933"/>
      <c r="HLQ567" s="3933"/>
      <c r="HLR567" s="3933"/>
      <c r="HLS567" s="621"/>
      <c r="HLT567" s="3933"/>
      <c r="HLU567" s="3933"/>
      <c r="HLV567" s="3933"/>
      <c r="HLW567" s="621"/>
      <c r="HLX567" s="3933"/>
      <c r="HLY567" s="3933"/>
      <c r="HLZ567" s="3933"/>
      <c r="HMA567" s="621"/>
      <c r="HMB567" s="3933"/>
      <c r="HMC567" s="3933"/>
      <c r="HMD567" s="3933"/>
      <c r="HME567" s="621"/>
      <c r="HMF567" s="3933"/>
      <c r="HMG567" s="3933"/>
      <c r="HMH567" s="3933"/>
      <c r="HMI567" s="621"/>
      <c r="HMJ567" s="3933"/>
      <c r="HMK567" s="3933"/>
      <c r="HML567" s="3933"/>
      <c r="HMM567" s="621"/>
      <c r="HMN567" s="3933"/>
      <c r="HMO567" s="3933"/>
      <c r="HMP567" s="3933"/>
      <c r="HMQ567" s="621"/>
      <c r="HMR567" s="3933"/>
      <c r="HMS567" s="3933"/>
      <c r="HMT567" s="3933"/>
      <c r="HMU567" s="621"/>
      <c r="HMV567" s="3933"/>
      <c r="HMW567" s="3933"/>
      <c r="HMX567" s="3933"/>
      <c r="HMY567" s="621"/>
      <c r="HMZ567" s="3933"/>
      <c r="HNA567" s="3933"/>
      <c r="HNB567" s="3933"/>
      <c r="HNC567" s="621"/>
      <c r="HND567" s="3933"/>
      <c r="HNE567" s="3933"/>
      <c r="HNF567" s="3933"/>
      <c r="HNG567" s="621"/>
      <c r="HNH567" s="3933"/>
      <c r="HNI567" s="3933"/>
      <c r="HNJ567" s="3933"/>
      <c r="HNK567" s="621"/>
      <c r="HNL567" s="3933"/>
      <c r="HNM567" s="3933"/>
      <c r="HNN567" s="3933"/>
      <c r="HNO567" s="621"/>
      <c r="HNP567" s="3933"/>
      <c r="HNQ567" s="3933"/>
      <c r="HNR567" s="3933"/>
      <c r="HNS567" s="621"/>
      <c r="HNT567" s="3933"/>
      <c r="HNU567" s="3933"/>
      <c r="HNV567" s="3933"/>
      <c r="HNW567" s="621"/>
      <c r="HNX567" s="3933"/>
      <c r="HNY567" s="3933"/>
      <c r="HNZ567" s="3933"/>
      <c r="HOA567" s="621"/>
      <c r="HOB567" s="3933"/>
      <c r="HOC567" s="3933"/>
      <c r="HOD567" s="3933"/>
      <c r="HOE567" s="621"/>
      <c r="HOF567" s="3933"/>
      <c r="HOG567" s="3933"/>
      <c r="HOH567" s="3933"/>
      <c r="HOI567" s="621"/>
      <c r="HOJ567" s="3933"/>
      <c r="HOK567" s="3933"/>
      <c r="HOL567" s="3933"/>
      <c r="HOM567" s="621"/>
      <c r="HON567" s="3933"/>
      <c r="HOO567" s="3933"/>
      <c r="HOP567" s="3933"/>
      <c r="HOQ567" s="621"/>
      <c r="HOR567" s="3933"/>
      <c r="HOS567" s="3933"/>
      <c r="HOT567" s="3933"/>
      <c r="HOU567" s="621"/>
      <c r="HOV567" s="3933"/>
      <c r="HOW567" s="3933"/>
      <c r="HOX567" s="3933"/>
      <c r="HOY567" s="621"/>
      <c r="HOZ567" s="3933"/>
      <c r="HPA567" s="3933"/>
      <c r="HPB567" s="3933"/>
      <c r="HPC567" s="621"/>
      <c r="HPD567" s="3933"/>
      <c r="HPE567" s="3933"/>
      <c r="HPF567" s="3933"/>
      <c r="HPG567" s="621"/>
      <c r="HPH567" s="3933"/>
      <c r="HPI567" s="3933"/>
      <c r="HPJ567" s="3933"/>
      <c r="HPK567" s="621"/>
      <c r="HPL567" s="3933"/>
      <c r="HPM567" s="3933"/>
      <c r="HPN567" s="3933"/>
      <c r="HPO567" s="621"/>
      <c r="HPP567" s="3933"/>
      <c r="HPQ567" s="3933"/>
      <c r="HPR567" s="3933"/>
      <c r="HPS567" s="621"/>
      <c r="HPT567" s="3933"/>
      <c r="HPU567" s="3933"/>
      <c r="HPV567" s="3933"/>
      <c r="HPW567" s="621"/>
      <c r="HPX567" s="3933"/>
      <c r="HPY567" s="3933"/>
      <c r="HPZ567" s="3933"/>
      <c r="HQA567" s="621"/>
      <c r="HQB567" s="3933"/>
      <c r="HQC567" s="3933"/>
      <c r="HQD567" s="3933"/>
      <c r="HQE567" s="621"/>
      <c r="HQF567" s="3933"/>
      <c r="HQG567" s="3933"/>
      <c r="HQH567" s="3933"/>
      <c r="HQI567" s="621"/>
      <c r="HQJ567" s="3933"/>
      <c r="HQK567" s="3933"/>
      <c r="HQL567" s="3933"/>
      <c r="HQM567" s="621"/>
      <c r="HQN567" s="3933"/>
      <c r="HQO567" s="3933"/>
      <c r="HQP567" s="3933"/>
      <c r="HQQ567" s="621"/>
      <c r="HQR567" s="3933"/>
      <c r="HQS567" s="3933"/>
      <c r="HQT567" s="3933"/>
      <c r="HQU567" s="621"/>
      <c r="HQV567" s="3933"/>
      <c r="HQW567" s="3933"/>
      <c r="HQX567" s="3933"/>
      <c r="HQY567" s="621"/>
      <c r="HQZ567" s="3933"/>
      <c r="HRA567" s="3933"/>
      <c r="HRB567" s="3933"/>
      <c r="HRC567" s="621"/>
      <c r="HRD567" s="3933"/>
      <c r="HRE567" s="3933"/>
      <c r="HRF567" s="3933"/>
      <c r="HRG567" s="621"/>
      <c r="HRH567" s="3933"/>
      <c r="HRI567" s="3933"/>
      <c r="HRJ567" s="3933"/>
      <c r="HRK567" s="621"/>
      <c r="HRL567" s="3933"/>
      <c r="HRM567" s="3933"/>
      <c r="HRN567" s="3933"/>
      <c r="HRO567" s="621"/>
      <c r="HRP567" s="3933"/>
      <c r="HRQ567" s="3933"/>
      <c r="HRR567" s="3933"/>
      <c r="HRS567" s="621"/>
      <c r="HRT567" s="3933"/>
      <c r="HRU567" s="3933"/>
      <c r="HRV567" s="3933"/>
      <c r="HRW567" s="621"/>
      <c r="HRX567" s="3933"/>
      <c r="HRY567" s="3933"/>
      <c r="HRZ567" s="3933"/>
      <c r="HSA567" s="621"/>
      <c r="HSB567" s="3933"/>
      <c r="HSC567" s="3933"/>
      <c r="HSD567" s="3933"/>
      <c r="HSE567" s="621"/>
      <c r="HSF567" s="3933"/>
      <c r="HSG567" s="3933"/>
      <c r="HSH567" s="3933"/>
      <c r="HSI567" s="621"/>
      <c r="HSJ567" s="3933"/>
      <c r="HSK567" s="3933"/>
      <c r="HSL567" s="3933"/>
      <c r="HSM567" s="621"/>
      <c r="HSN567" s="3933"/>
      <c r="HSO567" s="3933"/>
      <c r="HSP567" s="3933"/>
      <c r="HSQ567" s="621"/>
      <c r="HSR567" s="3933"/>
      <c r="HSS567" s="3933"/>
      <c r="HST567" s="3933"/>
      <c r="HSU567" s="621"/>
      <c r="HSV567" s="3933"/>
      <c r="HSW567" s="3933"/>
      <c r="HSX567" s="3933"/>
      <c r="HSY567" s="621"/>
      <c r="HSZ567" s="3933"/>
      <c r="HTA567" s="3933"/>
      <c r="HTB567" s="3933"/>
      <c r="HTC567" s="621"/>
      <c r="HTD567" s="3933"/>
      <c r="HTE567" s="3933"/>
      <c r="HTF567" s="3933"/>
      <c r="HTG567" s="621"/>
      <c r="HTH567" s="3933"/>
      <c r="HTI567" s="3933"/>
      <c r="HTJ567" s="3933"/>
      <c r="HTK567" s="621"/>
      <c r="HTL567" s="3933"/>
      <c r="HTM567" s="3933"/>
      <c r="HTN567" s="3933"/>
      <c r="HTO567" s="621"/>
      <c r="HTP567" s="3933"/>
      <c r="HTQ567" s="3933"/>
      <c r="HTR567" s="3933"/>
      <c r="HTS567" s="621"/>
      <c r="HTT567" s="3933"/>
      <c r="HTU567" s="3933"/>
      <c r="HTV567" s="3933"/>
      <c r="HTW567" s="621"/>
      <c r="HTX567" s="3933"/>
      <c r="HTY567" s="3933"/>
      <c r="HTZ567" s="3933"/>
      <c r="HUA567" s="621"/>
      <c r="HUB567" s="3933"/>
      <c r="HUC567" s="3933"/>
      <c r="HUD567" s="3933"/>
      <c r="HUE567" s="621"/>
      <c r="HUF567" s="3933"/>
      <c r="HUG567" s="3933"/>
      <c r="HUH567" s="3933"/>
      <c r="HUI567" s="621"/>
      <c r="HUJ567" s="3933"/>
      <c r="HUK567" s="3933"/>
      <c r="HUL567" s="3933"/>
      <c r="HUM567" s="621"/>
      <c r="HUN567" s="3933"/>
      <c r="HUO567" s="3933"/>
      <c r="HUP567" s="3933"/>
      <c r="HUQ567" s="621"/>
      <c r="HUR567" s="3933"/>
      <c r="HUS567" s="3933"/>
      <c r="HUT567" s="3933"/>
      <c r="HUU567" s="621"/>
      <c r="HUV567" s="3933"/>
      <c r="HUW567" s="3933"/>
      <c r="HUX567" s="3933"/>
      <c r="HUY567" s="621"/>
      <c r="HUZ567" s="3933"/>
      <c r="HVA567" s="3933"/>
      <c r="HVB567" s="3933"/>
      <c r="HVC567" s="621"/>
      <c r="HVD567" s="3933"/>
      <c r="HVE567" s="3933"/>
      <c r="HVF567" s="3933"/>
      <c r="HVG567" s="621"/>
      <c r="HVH567" s="3933"/>
      <c r="HVI567" s="3933"/>
      <c r="HVJ567" s="3933"/>
      <c r="HVK567" s="621"/>
      <c r="HVL567" s="3933"/>
      <c r="HVM567" s="3933"/>
      <c r="HVN567" s="3933"/>
      <c r="HVO567" s="621"/>
      <c r="HVP567" s="3933"/>
      <c r="HVQ567" s="3933"/>
      <c r="HVR567" s="3933"/>
      <c r="HVS567" s="621"/>
      <c r="HVT567" s="3933"/>
      <c r="HVU567" s="3933"/>
      <c r="HVV567" s="3933"/>
      <c r="HVW567" s="621"/>
      <c r="HVX567" s="3933"/>
      <c r="HVY567" s="3933"/>
      <c r="HVZ567" s="3933"/>
      <c r="HWA567" s="621"/>
      <c r="HWB567" s="3933"/>
      <c r="HWC567" s="3933"/>
      <c r="HWD567" s="3933"/>
      <c r="HWE567" s="621"/>
      <c r="HWF567" s="3933"/>
      <c r="HWG567" s="3933"/>
      <c r="HWH567" s="3933"/>
      <c r="HWI567" s="621"/>
      <c r="HWJ567" s="3933"/>
      <c r="HWK567" s="3933"/>
      <c r="HWL567" s="3933"/>
      <c r="HWM567" s="621"/>
      <c r="HWN567" s="3933"/>
      <c r="HWO567" s="3933"/>
      <c r="HWP567" s="3933"/>
      <c r="HWQ567" s="621"/>
      <c r="HWR567" s="3933"/>
      <c r="HWS567" s="3933"/>
      <c r="HWT567" s="3933"/>
      <c r="HWU567" s="621"/>
      <c r="HWV567" s="3933"/>
      <c r="HWW567" s="3933"/>
      <c r="HWX567" s="3933"/>
      <c r="HWY567" s="621"/>
      <c r="HWZ567" s="3933"/>
      <c r="HXA567" s="3933"/>
      <c r="HXB567" s="3933"/>
      <c r="HXC567" s="621"/>
      <c r="HXD567" s="3933"/>
      <c r="HXE567" s="3933"/>
      <c r="HXF567" s="3933"/>
      <c r="HXG567" s="621"/>
      <c r="HXH567" s="3933"/>
      <c r="HXI567" s="3933"/>
      <c r="HXJ567" s="3933"/>
      <c r="HXK567" s="621"/>
      <c r="HXL567" s="3933"/>
      <c r="HXM567" s="3933"/>
      <c r="HXN567" s="3933"/>
      <c r="HXO567" s="621"/>
      <c r="HXP567" s="3933"/>
      <c r="HXQ567" s="3933"/>
      <c r="HXR567" s="3933"/>
      <c r="HXS567" s="621"/>
      <c r="HXT567" s="3933"/>
      <c r="HXU567" s="3933"/>
      <c r="HXV567" s="3933"/>
      <c r="HXW567" s="621"/>
      <c r="HXX567" s="3933"/>
      <c r="HXY567" s="3933"/>
      <c r="HXZ567" s="3933"/>
      <c r="HYA567" s="621"/>
      <c r="HYB567" s="3933"/>
      <c r="HYC567" s="3933"/>
      <c r="HYD567" s="3933"/>
      <c r="HYE567" s="621"/>
      <c r="HYF567" s="3933"/>
      <c r="HYG567" s="3933"/>
      <c r="HYH567" s="3933"/>
      <c r="HYI567" s="621"/>
      <c r="HYJ567" s="3933"/>
      <c r="HYK567" s="3933"/>
      <c r="HYL567" s="3933"/>
      <c r="HYM567" s="621"/>
      <c r="HYN567" s="3933"/>
      <c r="HYO567" s="3933"/>
      <c r="HYP567" s="3933"/>
      <c r="HYQ567" s="621"/>
      <c r="HYR567" s="3933"/>
      <c r="HYS567" s="3933"/>
      <c r="HYT567" s="3933"/>
      <c r="HYU567" s="621"/>
      <c r="HYV567" s="3933"/>
      <c r="HYW567" s="3933"/>
      <c r="HYX567" s="3933"/>
      <c r="HYY567" s="621"/>
      <c r="HYZ567" s="3933"/>
      <c r="HZA567" s="3933"/>
      <c r="HZB567" s="3933"/>
      <c r="HZC567" s="621"/>
      <c r="HZD567" s="3933"/>
      <c r="HZE567" s="3933"/>
      <c r="HZF567" s="3933"/>
      <c r="HZG567" s="621"/>
      <c r="HZH567" s="3933"/>
      <c r="HZI567" s="3933"/>
      <c r="HZJ567" s="3933"/>
      <c r="HZK567" s="621"/>
      <c r="HZL567" s="3933"/>
      <c r="HZM567" s="3933"/>
      <c r="HZN567" s="3933"/>
      <c r="HZO567" s="621"/>
      <c r="HZP567" s="3933"/>
      <c r="HZQ567" s="3933"/>
      <c r="HZR567" s="3933"/>
      <c r="HZS567" s="621"/>
      <c r="HZT567" s="3933"/>
      <c r="HZU567" s="3933"/>
      <c r="HZV567" s="3933"/>
      <c r="HZW567" s="621"/>
      <c r="HZX567" s="3933"/>
      <c r="HZY567" s="3933"/>
      <c r="HZZ567" s="3933"/>
      <c r="IAA567" s="621"/>
      <c r="IAB567" s="3933"/>
      <c r="IAC567" s="3933"/>
      <c r="IAD567" s="3933"/>
      <c r="IAE567" s="621"/>
      <c r="IAF567" s="3933"/>
      <c r="IAG567" s="3933"/>
      <c r="IAH567" s="3933"/>
      <c r="IAI567" s="621"/>
      <c r="IAJ567" s="3933"/>
      <c r="IAK567" s="3933"/>
      <c r="IAL567" s="3933"/>
      <c r="IAM567" s="621"/>
      <c r="IAN567" s="3933"/>
      <c r="IAO567" s="3933"/>
      <c r="IAP567" s="3933"/>
      <c r="IAQ567" s="621"/>
      <c r="IAR567" s="3933"/>
      <c r="IAS567" s="3933"/>
      <c r="IAT567" s="3933"/>
      <c r="IAU567" s="621"/>
      <c r="IAV567" s="3933"/>
      <c r="IAW567" s="3933"/>
      <c r="IAX567" s="3933"/>
      <c r="IAY567" s="621"/>
      <c r="IAZ567" s="3933"/>
      <c r="IBA567" s="3933"/>
      <c r="IBB567" s="3933"/>
      <c r="IBC567" s="621"/>
      <c r="IBD567" s="3933"/>
      <c r="IBE567" s="3933"/>
      <c r="IBF567" s="3933"/>
      <c r="IBG567" s="621"/>
      <c r="IBH567" s="3933"/>
      <c r="IBI567" s="3933"/>
      <c r="IBJ567" s="3933"/>
      <c r="IBK567" s="621"/>
      <c r="IBL567" s="3933"/>
      <c r="IBM567" s="3933"/>
      <c r="IBN567" s="3933"/>
      <c r="IBO567" s="621"/>
      <c r="IBP567" s="3933"/>
      <c r="IBQ567" s="3933"/>
      <c r="IBR567" s="3933"/>
      <c r="IBS567" s="621"/>
      <c r="IBT567" s="3933"/>
      <c r="IBU567" s="3933"/>
      <c r="IBV567" s="3933"/>
      <c r="IBW567" s="621"/>
      <c r="IBX567" s="3933"/>
      <c r="IBY567" s="3933"/>
      <c r="IBZ567" s="3933"/>
      <c r="ICA567" s="621"/>
      <c r="ICB567" s="3933"/>
      <c r="ICC567" s="3933"/>
      <c r="ICD567" s="3933"/>
      <c r="ICE567" s="621"/>
      <c r="ICF567" s="3933"/>
      <c r="ICG567" s="3933"/>
      <c r="ICH567" s="3933"/>
      <c r="ICI567" s="621"/>
      <c r="ICJ567" s="3933"/>
      <c r="ICK567" s="3933"/>
      <c r="ICL567" s="3933"/>
      <c r="ICM567" s="621"/>
      <c r="ICN567" s="3933"/>
      <c r="ICO567" s="3933"/>
      <c r="ICP567" s="3933"/>
      <c r="ICQ567" s="621"/>
      <c r="ICR567" s="3933"/>
      <c r="ICS567" s="3933"/>
      <c r="ICT567" s="3933"/>
      <c r="ICU567" s="621"/>
      <c r="ICV567" s="3933"/>
      <c r="ICW567" s="3933"/>
      <c r="ICX567" s="3933"/>
      <c r="ICY567" s="621"/>
      <c r="ICZ567" s="3933"/>
      <c r="IDA567" s="3933"/>
      <c r="IDB567" s="3933"/>
      <c r="IDC567" s="621"/>
      <c r="IDD567" s="3933"/>
      <c r="IDE567" s="3933"/>
      <c r="IDF567" s="3933"/>
      <c r="IDG567" s="621"/>
      <c r="IDH567" s="3933"/>
      <c r="IDI567" s="3933"/>
      <c r="IDJ567" s="3933"/>
      <c r="IDK567" s="621"/>
      <c r="IDL567" s="3933"/>
      <c r="IDM567" s="3933"/>
      <c r="IDN567" s="3933"/>
      <c r="IDO567" s="621"/>
      <c r="IDP567" s="3933"/>
      <c r="IDQ567" s="3933"/>
      <c r="IDR567" s="3933"/>
      <c r="IDS567" s="621"/>
      <c r="IDT567" s="3933"/>
      <c r="IDU567" s="3933"/>
      <c r="IDV567" s="3933"/>
      <c r="IDW567" s="621"/>
      <c r="IDX567" s="3933"/>
      <c r="IDY567" s="3933"/>
      <c r="IDZ567" s="3933"/>
      <c r="IEA567" s="621"/>
      <c r="IEB567" s="3933"/>
      <c r="IEC567" s="3933"/>
      <c r="IED567" s="3933"/>
      <c r="IEE567" s="621"/>
      <c r="IEF567" s="3933"/>
      <c r="IEG567" s="3933"/>
      <c r="IEH567" s="3933"/>
      <c r="IEI567" s="621"/>
      <c r="IEJ567" s="3933"/>
      <c r="IEK567" s="3933"/>
      <c r="IEL567" s="3933"/>
      <c r="IEM567" s="621"/>
      <c r="IEN567" s="3933"/>
      <c r="IEO567" s="3933"/>
      <c r="IEP567" s="3933"/>
      <c r="IEQ567" s="621"/>
      <c r="IER567" s="3933"/>
      <c r="IES567" s="3933"/>
      <c r="IET567" s="3933"/>
      <c r="IEU567" s="621"/>
      <c r="IEV567" s="3933"/>
      <c r="IEW567" s="3933"/>
      <c r="IEX567" s="3933"/>
      <c r="IEY567" s="621"/>
      <c r="IEZ567" s="3933"/>
      <c r="IFA567" s="3933"/>
      <c r="IFB567" s="3933"/>
      <c r="IFC567" s="621"/>
      <c r="IFD567" s="3933"/>
      <c r="IFE567" s="3933"/>
      <c r="IFF567" s="3933"/>
      <c r="IFG567" s="621"/>
      <c r="IFH567" s="3933"/>
      <c r="IFI567" s="3933"/>
      <c r="IFJ567" s="3933"/>
      <c r="IFK567" s="621"/>
      <c r="IFL567" s="3933"/>
      <c r="IFM567" s="3933"/>
      <c r="IFN567" s="3933"/>
      <c r="IFO567" s="621"/>
      <c r="IFP567" s="3933"/>
      <c r="IFQ567" s="3933"/>
      <c r="IFR567" s="3933"/>
      <c r="IFS567" s="621"/>
      <c r="IFT567" s="3933"/>
      <c r="IFU567" s="3933"/>
      <c r="IFV567" s="3933"/>
      <c r="IFW567" s="621"/>
      <c r="IFX567" s="3933"/>
      <c r="IFY567" s="3933"/>
      <c r="IFZ567" s="3933"/>
      <c r="IGA567" s="621"/>
      <c r="IGB567" s="3933"/>
      <c r="IGC567" s="3933"/>
      <c r="IGD567" s="3933"/>
      <c r="IGE567" s="621"/>
      <c r="IGF567" s="3933"/>
      <c r="IGG567" s="3933"/>
      <c r="IGH567" s="3933"/>
      <c r="IGI567" s="621"/>
      <c r="IGJ567" s="3933"/>
      <c r="IGK567" s="3933"/>
      <c r="IGL567" s="3933"/>
      <c r="IGM567" s="621"/>
      <c r="IGN567" s="3933"/>
      <c r="IGO567" s="3933"/>
      <c r="IGP567" s="3933"/>
      <c r="IGQ567" s="621"/>
      <c r="IGR567" s="3933"/>
      <c r="IGS567" s="3933"/>
      <c r="IGT567" s="3933"/>
      <c r="IGU567" s="621"/>
      <c r="IGV567" s="3933"/>
      <c r="IGW567" s="3933"/>
      <c r="IGX567" s="3933"/>
      <c r="IGY567" s="621"/>
      <c r="IGZ567" s="3933"/>
      <c r="IHA567" s="3933"/>
      <c r="IHB567" s="3933"/>
      <c r="IHC567" s="621"/>
      <c r="IHD567" s="3933"/>
      <c r="IHE567" s="3933"/>
      <c r="IHF567" s="3933"/>
      <c r="IHG567" s="621"/>
      <c r="IHH567" s="3933"/>
      <c r="IHI567" s="3933"/>
      <c r="IHJ567" s="3933"/>
      <c r="IHK567" s="621"/>
      <c r="IHL567" s="3933"/>
      <c r="IHM567" s="3933"/>
      <c r="IHN567" s="3933"/>
      <c r="IHO567" s="621"/>
      <c r="IHP567" s="3933"/>
      <c r="IHQ567" s="3933"/>
      <c r="IHR567" s="3933"/>
      <c r="IHS567" s="621"/>
      <c r="IHT567" s="3933"/>
      <c r="IHU567" s="3933"/>
      <c r="IHV567" s="3933"/>
      <c r="IHW567" s="621"/>
      <c r="IHX567" s="3933"/>
      <c r="IHY567" s="3933"/>
      <c r="IHZ567" s="3933"/>
      <c r="IIA567" s="621"/>
      <c r="IIB567" s="3933"/>
      <c r="IIC567" s="3933"/>
      <c r="IID567" s="3933"/>
      <c r="IIE567" s="621"/>
      <c r="IIF567" s="3933"/>
      <c r="IIG567" s="3933"/>
      <c r="IIH567" s="3933"/>
      <c r="III567" s="621"/>
      <c r="IIJ567" s="3933"/>
      <c r="IIK567" s="3933"/>
      <c r="IIL567" s="3933"/>
      <c r="IIM567" s="621"/>
      <c r="IIN567" s="3933"/>
      <c r="IIO567" s="3933"/>
      <c r="IIP567" s="3933"/>
      <c r="IIQ567" s="621"/>
      <c r="IIR567" s="3933"/>
      <c r="IIS567" s="3933"/>
      <c r="IIT567" s="3933"/>
      <c r="IIU567" s="621"/>
      <c r="IIV567" s="3933"/>
      <c r="IIW567" s="3933"/>
      <c r="IIX567" s="3933"/>
      <c r="IIY567" s="621"/>
      <c r="IIZ567" s="3933"/>
      <c r="IJA567" s="3933"/>
      <c r="IJB567" s="3933"/>
      <c r="IJC567" s="621"/>
      <c r="IJD567" s="3933"/>
      <c r="IJE567" s="3933"/>
      <c r="IJF567" s="3933"/>
      <c r="IJG567" s="621"/>
      <c r="IJH567" s="3933"/>
      <c r="IJI567" s="3933"/>
      <c r="IJJ567" s="3933"/>
      <c r="IJK567" s="621"/>
      <c r="IJL567" s="3933"/>
      <c r="IJM567" s="3933"/>
      <c r="IJN567" s="3933"/>
      <c r="IJO567" s="621"/>
      <c r="IJP567" s="3933"/>
      <c r="IJQ567" s="3933"/>
      <c r="IJR567" s="3933"/>
      <c r="IJS567" s="621"/>
      <c r="IJT567" s="3933"/>
      <c r="IJU567" s="3933"/>
      <c r="IJV567" s="3933"/>
      <c r="IJW567" s="621"/>
      <c r="IJX567" s="3933"/>
      <c r="IJY567" s="3933"/>
      <c r="IJZ567" s="3933"/>
      <c r="IKA567" s="621"/>
      <c r="IKB567" s="3933"/>
      <c r="IKC567" s="3933"/>
      <c r="IKD567" s="3933"/>
      <c r="IKE567" s="621"/>
      <c r="IKF567" s="3933"/>
      <c r="IKG567" s="3933"/>
      <c r="IKH567" s="3933"/>
      <c r="IKI567" s="621"/>
      <c r="IKJ567" s="3933"/>
      <c r="IKK567" s="3933"/>
      <c r="IKL567" s="3933"/>
      <c r="IKM567" s="621"/>
      <c r="IKN567" s="3933"/>
      <c r="IKO567" s="3933"/>
      <c r="IKP567" s="3933"/>
      <c r="IKQ567" s="621"/>
      <c r="IKR567" s="3933"/>
      <c r="IKS567" s="3933"/>
      <c r="IKT567" s="3933"/>
      <c r="IKU567" s="621"/>
      <c r="IKV567" s="3933"/>
      <c r="IKW567" s="3933"/>
      <c r="IKX567" s="3933"/>
      <c r="IKY567" s="621"/>
      <c r="IKZ567" s="3933"/>
      <c r="ILA567" s="3933"/>
      <c r="ILB567" s="3933"/>
      <c r="ILC567" s="621"/>
      <c r="ILD567" s="3933"/>
      <c r="ILE567" s="3933"/>
      <c r="ILF567" s="3933"/>
      <c r="ILG567" s="621"/>
      <c r="ILH567" s="3933"/>
      <c r="ILI567" s="3933"/>
      <c r="ILJ567" s="3933"/>
      <c r="ILK567" s="621"/>
      <c r="ILL567" s="3933"/>
      <c r="ILM567" s="3933"/>
      <c r="ILN567" s="3933"/>
      <c r="ILO567" s="621"/>
      <c r="ILP567" s="3933"/>
      <c r="ILQ567" s="3933"/>
      <c r="ILR567" s="3933"/>
      <c r="ILS567" s="621"/>
      <c r="ILT567" s="3933"/>
      <c r="ILU567" s="3933"/>
      <c r="ILV567" s="3933"/>
      <c r="ILW567" s="621"/>
      <c r="ILX567" s="3933"/>
      <c r="ILY567" s="3933"/>
      <c r="ILZ567" s="3933"/>
      <c r="IMA567" s="621"/>
      <c r="IMB567" s="3933"/>
      <c r="IMC567" s="3933"/>
      <c r="IMD567" s="3933"/>
      <c r="IME567" s="621"/>
      <c r="IMF567" s="3933"/>
      <c r="IMG567" s="3933"/>
      <c r="IMH567" s="3933"/>
      <c r="IMI567" s="621"/>
      <c r="IMJ567" s="3933"/>
      <c r="IMK567" s="3933"/>
      <c r="IML567" s="3933"/>
      <c r="IMM567" s="621"/>
      <c r="IMN567" s="3933"/>
      <c r="IMO567" s="3933"/>
      <c r="IMP567" s="3933"/>
      <c r="IMQ567" s="621"/>
      <c r="IMR567" s="3933"/>
      <c r="IMS567" s="3933"/>
      <c r="IMT567" s="3933"/>
      <c r="IMU567" s="621"/>
      <c r="IMV567" s="3933"/>
      <c r="IMW567" s="3933"/>
      <c r="IMX567" s="3933"/>
      <c r="IMY567" s="621"/>
      <c r="IMZ567" s="3933"/>
      <c r="INA567" s="3933"/>
      <c r="INB567" s="3933"/>
      <c r="INC567" s="621"/>
      <c r="IND567" s="3933"/>
      <c r="INE567" s="3933"/>
      <c r="INF567" s="3933"/>
      <c r="ING567" s="621"/>
      <c r="INH567" s="3933"/>
      <c r="INI567" s="3933"/>
      <c r="INJ567" s="3933"/>
      <c r="INK567" s="621"/>
      <c r="INL567" s="3933"/>
      <c r="INM567" s="3933"/>
      <c r="INN567" s="3933"/>
      <c r="INO567" s="621"/>
      <c r="INP567" s="3933"/>
      <c r="INQ567" s="3933"/>
      <c r="INR567" s="3933"/>
      <c r="INS567" s="621"/>
      <c r="INT567" s="3933"/>
      <c r="INU567" s="3933"/>
      <c r="INV567" s="3933"/>
      <c r="INW567" s="621"/>
      <c r="INX567" s="3933"/>
      <c r="INY567" s="3933"/>
      <c r="INZ567" s="3933"/>
      <c r="IOA567" s="621"/>
      <c r="IOB567" s="3933"/>
      <c r="IOC567" s="3933"/>
      <c r="IOD567" s="3933"/>
      <c r="IOE567" s="621"/>
      <c r="IOF567" s="3933"/>
      <c r="IOG567" s="3933"/>
      <c r="IOH567" s="3933"/>
      <c r="IOI567" s="621"/>
      <c r="IOJ567" s="3933"/>
      <c r="IOK567" s="3933"/>
      <c r="IOL567" s="3933"/>
      <c r="IOM567" s="621"/>
      <c r="ION567" s="3933"/>
      <c r="IOO567" s="3933"/>
      <c r="IOP567" s="3933"/>
      <c r="IOQ567" s="621"/>
      <c r="IOR567" s="3933"/>
      <c r="IOS567" s="3933"/>
      <c r="IOT567" s="3933"/>
      <c r="IOU567" s="621"/>
      <c r="IOV567" s="3933"/>
      <c r="IOW567" s="3933"/>
      <c r="IOX567" s="3933"/>
      <c r="IOY567" s="621"/>
      <c r="IOZ567" s="3933"/>
      <c r="IPA567" s="3933"/>
      <c r="IPB567" s="3933"/>
      <c r="IPC567" s="621"/>
      <c r="IPD567" s="3933"/>
      <c r="IPE567" s="3933"/>
      <c r="IPF567" s="3933"/>
      <c r="IPG567" s="621"/>
      <c r="IPH567" s="3933"/>
      <c r="IPI567" s="3933"/>
      <c r="IPJ567" s="3933"/>
      <c r="IPK567" s="621"/>
      <c r="IPL567" s="3933"/>
      <c r="IPM567" s="3933"/>
      <c r="IPN567" s="3933"/>
      <c r="IPO567" s="621"/>
      <c r="IPP567" s="3933"/>
      <c r="IPQ567" s="3933"/>
      <c r="IPR567" s="3933"/>
      <c r="IPS567" s="621"/>
      <c r="IPT567" s="3933"/>
      <c r="IPU567" s="3933"/>
      <c r="IPV567" s="3933"/>
      <c r="IPW567" s="621"/>
      <c r="IPX567" s="3933"/>
      <c r="IPY567" s="3933"/>
      <c r="IPZ567" s="3933"/>
      <c r="IQA567" s="621"/>
      <c r="IQB567" s="3933"/>
      <c r="IQC567" s="3933"/>
      <c r="IQD567" s="3933"/>
      <c r="IQE567" s="621"/>
      <c r="IQF567" s="3933"/>
      <c r="IQG567" s="3933"/>
      <c r="IQH567" s="3933"/>
      <c r="IQI567" s="621"/>
      <c r="IQJ567" s="3933"/>
      <c r="IQK567" s="3933"/>
      <c r="IQL567" s="3933"/>
      <c r="IQM567" s="621"/>
      <c r="IQN567" s="3933"/>
      <c r="IQO567" s="3933"/>
      <c r="IQP567" s="3933"/>
      <c r="IQQ567" s="621"/>
      <c r="IQR567" s="3933"/>
      <c r="IQS567" s="3933"/>
      <c r="IQT567" s="3933"/>
      <c r="IQU567" s="621"/>
      <c r="IQV567" s="3933"/>
      <c r="IQW567" s="3933"/>
      <c r="IQX567" s="3933"/>
      <c r="IQY567" s="621"/>
      <c r="IQZ567" s="3933"/>
      <c r="IRA567" s="3933"/>
      <c r="IRB567" s="3933"/>
      <c r="IRC567" s="621"/>
      <c r="IRD567" s="3933"/>
      <c r="IRE567" s="3933"/>
      <c r="IRF567" s="3933"/>
      <c r="IRG567" s="621"/>
      <c r="IRH567" s="3933"/>
      <c r="IRI567" s="3933"/>
      <c r="IRJ567" s="3933"/>
      <c r="IRK567" s="621"/>
      <c r="IRL567" s="3933"/>
      <c r="IRM567" s="3933"/>
      <c r="IRN567" s="3933"/>
      <c r="IRO567" s="621"/>
      <c r="IRP567" s="3933"/>
      <c r="IRQ567" s="3933"/>
      <c r="IRR567" s="3933"/>
      <c r="IRS567" s="621"/>
      <c r="IRT567" s="3933"/>
      <c r="IRU567" s="3933"/>
      <c r="IRV567" s="3933"/>
      <c r="IRW567" s="621"/>
      <c r="IRX567" s="3933"/>
      <c r="IRY567" s="3933"/>
      <c r="IRZ567" s="3933"/>
      <c r="ISA567" s="621"/>
      <c r="ISB567" s="3933"/>
      <c r="ISC567" s="3933"/>
      <c r="ISD567" s="3933"/>
      <c r="ISE567" s="621"/>
      <c r="ISF567" s="3933"/>
      <c r="ISG567" s="3933"/>
      <c r="ISH567" s="3933"/>
      <c r="ISI567" s="621"/>
      <c r="ISJ567" s="3933"/>
      <c r="ISK567" s="3933"/>
      <c r="ISL567" s="3933"/>
      <c r="ISM567" s="621"/>
      <c r="ISN567" s="3933"/>
      <c r="ISO567" s="3933"/>
      <c r="ISP567" s="3933"/>
      <c r="ISQ567" s="621"/>
      <c r="ISR567" s="3933"/>
      <c r="ISS567" s="3933"/>
      <c r="IST567" s="3933"/>
      <c r="ISU567" s="621"/>
      <c r="ISV567" s="3933"/>
      <c r="ISW567" s="3933"/>
      <c r="ISX567" s="3933"/>
      <c r="ISY567" s="621"/>
      <c r="ISZ567" s="3933"/>
      <c r="ITA567" s="3933"/>
      <c r="ITB567" s="3933"/>
      <c r="ITC567" s="621"/>
      <c r="ITD567" s="3933"/>
      <c r="ITE567" s="3933"/>
      <c r="ITF567" s="3933"/>
      <c r="ITG567" s="621"/>
      <c r="ITH567" s="3933"/>
      <c r="ITI567" s="3933"/>
      <c r="ITJ567" s="3933"/>
      <c r="ITK567" s="621"/>
      <c r="ITL567" s="3933"/>
      <c r="ITM567" s="3933"/>
      <c r="ITN567" s="3933"/>
      <c r="ITO567" s="621"/>
      <c r="ITP567" s="3933"/>
      <c r="ITQ567" s="3933"/>
      <c r="ITR567" s="3933"/>
      <c r="ITS567" s="621"/>
      <c r="ITT567" s="3933"/>
      <c r="ITU567" s="3933"/>
      <c r="ITV567" s="3933"/>
      <c r="ITW567" s="621"/>
      <c r="ITX567" s="3933"/>
      <c r="ITY567" s="3933"/>
      <c r="ITZ567" s="3933"/>
      <c r="IUA567" s="621"/>
      <c r="IUB567" s="3933"/>
      <c r="IUC567" s="3933"/>
      <c r="IUD567" s="3933"/>
      <c r="IUE567" s="621"/>
      <c r="IUF567" s="3933"/>
      <c r="IUG567" s="3933"/>
      <c r="IUH567" s="3933"/>
      <c r="IUI567" s="621"/>
      <c r="IUJ567" s="3933"/>
      <c r="IUK567" s="3933"/>
      <c r="IUL567" s="3933"/>
      <c r="IUM567" s="621"/>
      <c r="IUN567" s="3933"/>
      <c r="IUO567" s="3933"/>
      <c r="IUP567" s="3933"/>
      <c r="IUQ567" s="621"/>
      <c r="IUR567" s="3933"/>
      <c r="IUS567" s="3933"/>
      <c r="IUT567" s="3933"/>
      <c r="IUU567" s="621"/>
      <c r="IUV567" s="3933"/>
      <c r="IUW567" s="3933"/>
      <c r="IUX567" s="3933"/>
      <c r="IUY567" s="621"/>
      <c r="IUZ567" s="3933"/>
      <c r="IVA567" s="3933"/>
      <c r="IVB567" s="3933"/>
      <c r="IVC567" s="621"/>
      <c r="IVD567" s="3933"/>
      <c r="IVE567" s="3933"/>
      <c r="IVF567" s="3933"/>
      <c r="IVG567" s="621"/>
      <c r="IVH567" s="3933"/>
      <c r="IVI567" s="3933"/>
      <c r="IVJ567" s="3933"/>
      <c r="IVK567" s="621"/>
      <c r="IVL567" s="3933"/>
      <c r="IVM567" s="3933"/>
      <c r="IVN567" s="3933"/>
      <c r="IVO567" s="621"/>
      <c r="IVP567" s="3933"/>
      <c r="IVQ567" s="3933"/>
      <c r="IVR567" s="3933"/>
      <c r="IVS567" s="621"/>
      <c r="IVT567" s="3933"/>
      <c r="IVU567" s="3933"/>
      <c r="IVV567" s="3933"/>
      <c r="IVW567" s="621"/>
      <c r="IVX567" s="3933"/>
      <c r="IVY567" s="3933"/>
      <c r="IVZ567" s="3933"/>
      <c r="IWA567" s="621"/>
      <c r="IWB567" s="3933"/>
      <c r="IWC567" s="3933"/>
      <c r="IWD567" s="3933"/>
      <c r="IWE567" s="621"/>
      <c r="IWF567" s="3933"/>
      <c r="IWG567" s="3933"/>
      <c r="IWH567" s="3933"/>
      <c r="IWI567" s="621"/>
      <c r="IWJ567" s="3933"/>
      <c r="IWK567" s="3933"/>
      <c r="IWL567" s="3933"/>
      <c r="IWM567" s="621"/>
      <c r="IWN567" s="3933"/>
      <c r="IWO567" s="3933"/>
      <c r="IWP567" s="3933"/>
      <c r="IWQ567" s="621"/>
      <c r="IWR567" s="3933"/>
      <c r="IWS567" s="3933"/>
      <c r="IWT567" s="3933"/>
      <c r="IWU567" s="621"/>
      <c r="IWV567" s="3933"/>
      <c r="IWW567" s="3933"/>
      <c r="IWX567" s="3933"/>
      <c r="IWY567" s="621"/>
      <c r="IWZ567" s="3933"/>
      <c r="IXA567" s="3933"/>
      <c r="IXB567" s="3933"/>
      <c r="IXC567" s="621"/>
      <c r="IXD567" s="3933"/>
      <c r="IXE567" s="3933"/>
      <c r="IXF567" s="3933"/>
      <c r="IXG567" s="621"/>
      <c r="IXH567" s="3933"/>
      <c r="IXI567" s="3933"/>
      <c r="IXJ567" s="3933"/>
      <c r="IXK567" s="621"/>
      <c r="IXL567" s="3933"/>
      <c r="IXM567" s="3933"/>
      <c r="IXN567" s="3933"/>
      <c r="IXO567" s="621"/>
      <c r="IXP567" s="3933"/>
      <c r="IXQ567" s="3933"/>
      <c r="IXR567" s="3933"/>
      <c r="IXS567" s="621"/>
      <c r="IXT567" s="3933"/>
      <c r="IXU567" s="3933"/>
      <c r="IXV567" s="3933"/>
      <c r="IXW567" s="621"/>
      <c r="IXX567" s="3933"/>
      <c r="IXY567" s="3933"/>
      <c r="IXZ567" s="3933"/>
      <c r="IYA567" s="621"/>
      <c r="IYB567" s="3933"/>
      <c r="IYC567" s="3933"/>
      <c r="IYD567" s="3933"/>
      <c r="IYE567" s="621"/>
      <c r="IYF567" s="3933"/>
      <c r="IYG567" s="3933"/>
      <c r="IYH567" s="3933"/>
      <c r="IYI567" s="621"/>
      <c r="IYJ567" s="3933"/>
      <c r="IYK567" s="3933"/>
      <c r="IYL567" s="3933"/>
      <c r="IYM567" s="621"/>
      <c r="IYN567" s="3933"/>
      <c r="IYO567" s="3933"/>
      <c r="IYP567" s="3933"/>
      <c r="IYQ567" s="621"/>
      <c r="IYR567" s="3933"/>
      <c r="IYS567" s="3933"/>
      <c r="IYT567" s="3933"/>
      <c r="IYU567" s="621"/>
      <c r="IYV567" s="3933"/>
      <c r="IYW567" s="3933"/>
      <c r="IYX567" s="3933"/>
      <c r="IYY567" s="621"/>
      <c r="IYZ567" s="3933"/>
      <c r="IZA567" s="3933"/>
      <c r="IZB567" s="3933"/>
      <c r="IZC567" s="621"/>
      <c r="IZD567" s="3933"/>
      <c r="IZE567" s="3933"/>
      <c r="IZF567" s="3933"/>
      <c r="IZG567" s="621"/>
      <c r="IZH567" s="3933"/>
      <c r="IZI567" s="3933"/>
      <c r="IZJ567" s="3933"/>
      <c r="IZK567" s="621"/>
      <c r="IZL567" s="3933"/>
      <c r="IZM567" s="3933"/>
      <c r="IZN567" s="3933"/>
      <c r="IZO567" s="621"/>
      <c r="IZP567" s="3933"/>
      <c r="IZQ567" s="3933"/>
      <c r="IZR567" s="3933"/>
      <c r="IZS567" s="621"/>
      <c r="IZT567" s="3933"/>
      <c r="IZU567" s="3933"/>
      <c r="IZV567" s="3933"/>
      <c r="IZW567" s="621"/>
      <c r="IZX567" s="3933"/>
      <c r="IZY567" s="3933"/>
      <c r="IZZ567" s="3933"/>
      <c r="JAA567" s="621"/>
      <c r="JAB567" s="3933"/>
      <c r="JAC567" s="3933"/>
      <c r="JAD567" s="3933"/>
      <c r="JAE567" s="621"/>
      <c r="JAF567" s="3933"/>
      <c r="JAG567" s="3933"/>
      <c r="JAH567" s="3933"/>
      <c r="JAI567" s="621"/>
      <c r="JAJ567" s="3933"/>
      <c r="JAK567" s="3933"/>
      <c r="JAL567" s="3933"/>
      <c r="JAM567" s="621"/>
      <c r="JAN567" s="3933"/>
      <c r="JAO567" s="3933"/>
      <c r="JAP567" s="3933"/>
      <c r="JAQ567" s="621"/>
      <c r="JAR567" s="3933"/>
      <c r="JAS567" s="3933"/>
      <c r="JAT567" s="3933"/>
      <c r="JAU567" s="621"/>
      <c r="JAV567" s="3933"/>
      <c r="JAW567" s="3933"/>
      <c r="JAX567" s="3933"/>
      <c r="JAY567" s="621"/>
      <c r="JAZ567" s="3933"/>
      <c r="JBA567" s="3933"/>
      <c r="JBB567" s="3933"/>
      <c r="JBC567" s="621"/>
      <c r="JBD567" s="3933"/>
      <c r="JBE567" s="3933"/>
      <c r="JBF567" s="3933"/>
      <c r="JBG567" s="621"/>
      <c r="JBH567" s="3933"/>
      <c r="JBI567" s="3933"/>
      <c r="JBJ567" s="3933"/>
      <c r="JBK567" s="621"/>
      <c r="JBL567" s="3933"/>
      <c r="JBM567" s="3933"/>
      <c r="JBN567" s="3933"/>
      <c r="JBO567" s="621"/>
      <c r="JBP567" s="3933"/>
      <c r="JBQ567" s="3933"/>
      <c r="JBR567" s="3933"/>
      <c r="JBS567" s="621"/>
      <c r="JBT567" s="3933"/>
      <c r="JBU567" s="3933"/>
      <c r="JBV567" s="3933"/>
      <c r="JBW567" s="621"/>
      <c r="JBX567" s="3933"/>
      <c r="JBY567" s="3933"/>
      <c r="JBZ567" s="3933"/>
      <c r="JCA567" s="621"/>
      <c r="JCB567" s="3933"/>
      <c r="JCC567" s="3933"/>
      <c r="JCD567" s="3933"/>
      <c r="JCE567" s="621"/>
      <c r="JCF567" s="3933"/>
      <c r="JCG567" s="3933"/>
      <c r="JCH567" s="3933"/>
      <c r="JCI567" s="621"/>
      <c r="JCJ567" s="3933"/>
      <c r="JCK567" s="3933"/>
      <c r="JCL567" s="3933"/>
      <c r="JCM567" s="621"/>
      <c r="JCN567" s="3933"/>
      <c r="JCO567" s="3933"/>
      <c r="JCP567" s="3933"/>
      <c r="JCQ567" s="621"/>
      <c r="JCR567" s="3933"/>
      <c r="JCS567" s="3933"/>
      <c r="JCT567" s="3933"/>
      <c r="JCU567" s="621"/>
      <c r="JCV567" s="3933"/>
      <c r="JCW567" s="3933"/>
      <c r="JCX567" s="3933"/>
      <c r="JCY567" s="621"/>
      <c r="JCZ567" s="3933"/>
      <c r="JDA567" s="3933"/>
      <c r="JDB567" s="3933"/>
      <c r="JDC567" s="621"/>
      <c r="JDD567" s="3933"/>
      <c r="JDE567" s="3933"/>
      <c r="JDF567" s="3933"/>
      <c r="JDG567" s="621"/>
      <c r="JDH567" s="3933"/>
      <c r="JDI567" s="3933"/>
      <c r="JDJ567" s="3933"/>
      <c r="JDK567" s="621"/>
      <c r="JDL567" s="3933"/>
      <c r="JDM567" s="3933"/>
      <c r="JDN567" s="3933"/>
      <c r="JDO567" s="621"/>
      <c r="JDP567" s="3933"/>
      <c r="JDQ567" s="3933"/>
      <c r="JDR567" s="3933"/>
      <c r="JDS567" s="621"/>
      <c r="JDT567" s="3933"/>
      <c r="JDU567" s="3933"/>
      <c r="JDV567" s="3933"/>
      <c r="JDW567" s="621"/>
      <c r="JDX567" s="3933"/>
      <c r="JDY567" s="3933"/>
      <c r="JDZ567" s="3933"/>
      <c r="JEA567" s="621"/>
      <c r="JEB567" s="3933"/>
      <c r="JEC567" s="3933"/>
      <c r="JED567" s="3933"/>
      <c r="JEE567" s="621"/>
      <c r="JEF567" s="3933"/>
      <c r="JEG567" s="3933"/>
      <c r="JEH567" s="3933"/>
      <c r="JEI567" s="621"/>
      <c r="JEJ567" s="3933"/>
      <c r="JEK567" s="3933"/>
      <c r="JEL567" s="3933"/>
      <c r="JEM567" s="621"/>
      <c r="JEN567" s="3933"/>
      <c r="JEO567" s="3933"/>
      <c r="JEP567" s="3933"/>
      <c r="JEQ567" s="621"/>
      <c r="JER567" s="3933"/>
      <c r="JES567" s="3933"/>
      <c r="JET567" s="3933"/>
      <c r="JEU567" s="621"/>
      <c r="JEV567" s="3933"/>
      <c r="JEW567" s="3933"/>
      <c r="JEX567" s="3933"/>
      <c r="JEY567" s="621"/>
      <c r="JEZ567" s="3933"/>
      <c r="JFA567" s="3933"/>
      <c r="JFB567" s="3933"/>
      <c r="JFC567" s="621"/>
      <c r="JFD567" s="3933"/>
      <c r="JFE567" s="3933"/>
      <c r="JFF567" s="3933"/>
      <c r="JFG567" s="621"/>
      <c r="JFH567" s="3933"/>
      <c r="JFI567" s="3933"/>
      <c r="JFJ567" s="3933"/>
      <c r="JFK567" s="621"/>
      <c r="JFL567" s="3933"/>
      <c r="JFM567" s="3933"/>
      <c r="JFN567" s="3933"/>
      <c r="JFO567" s="621"/>
      <c r="JFP567" s="3933"/>
      <c r="JFQ567" s="3933"/>
      <c r="JFR567" s="3933"/>
      <c r="JFS567" s="621"/>
      <c r="JFT567" s="3933"/>
      <c r="JFU567" s="3933"/>
      <c r="JFV567" s="3933"/>
      <c r="JFW567" s="621"/>
      <c r="JFX567" s="3933"/>
      <c r="JFY567" s="3933"/>
      <c r="JFZ567" s="3933"/>
      <c r="JGA567" s="621"/>
      <c r="JGB567" s="3933"/>
      <c r="JGC567" s="3933"/>
      <c r="JGD567" s="3933"/>
      <c r="JGE567" s="621"/>
      <c r="JGF567" s="3933"/>
      <c r="JGG567" s="3933"/>
      <c r="JGH567" s="3933"/>
      <c r="JGI567" s="621"/>
      <c r="JGJ567" s="3933"/>
      <c r="JGK567" s="3933"/>
      <c r="JGL567" s="3933"/>
      <c r="JGM567" s="621"/>
      <c r="JGN567" s="3933"/>
      <c r="JGO567" s="3933"/>
      <c r="JGP567" s="3933"/>
      <c r="JGQ567" s="621"/>
      <c r="JGR567" s="3933"/>
      <c r="JGS567" s="3933"/>
      <c r="JGT567" s="3933"/>
      <c r="JGU567" s="621"/>
      <c r="JGV567" s="3933"/>
      <c r="JGW567" s="3933"/>
      <c r="JGX567" s="3933"/>
      <c r="JGY567" s="621"/>
      <c r="JGZ567" s="3933"/>
      <c r="JHA567" s="3933"/>
      <c r="JHB567" s="3933"/>
      <c r="JHC567" s="621"/>
      <c r="JHD567" s="3933"/>
      <c r="JHE567" s="3933"/>
      <c r="JHF567" s="3933"/>
      <c r="JHG567" s="621"/>
      <c r="JHH567" s="3933"/>
      <c r="JHI567" s="3933"/>
      <c r="JHJ567" s="3933"/>
      <c r="JHK567" s="621"/>
      <c r="JHL567" s="3933"/>
      <c r="JHM567" s="3933"/>
      <c r="JHN567" s="3933"/>
      <c r="JHO567" s="621"/>
      <c r="JHP567" s="3933"/>
      <c r="JHQ567" s="3933"/>
      <c r="JHR567" s="3933"/>
      <c r="JHS567" s="621"/>
      <c r="JHT567" s="3933"/>
      <c r="JHU567" s="3933"/>
      <c r="JHV567" s="3933"/>
      <c r="JHW567" s="621"/>
      <c r="JHX567" s="3933"/>
      <c r="JHY567" s="3933"/>
      <c r="JHZ567" s="3933"/>
      <c r="JIA567" s="621"/>
      <c r="JIB567" s="3933"/>
      <c r="JIC567" s="3933"/>
      <c r="JID567" s="3933"/>
      <c r="JIE567" s="621"/>
      <c r="JIF567" s="3933"/>
      <c r="JIG567" s="3933"/>
      <c r="JIH567" s="3933"/>
      <c r="JII567" s="621"/>
      <c r="JIJ567" s="3933"/>
      <c r="JIK567" s="3933"/>
      <c r="JIL567" s="3933"/>
      <c r="JIM567" s="621"/>
      <c r="JIN567" s="3933"/>
      <c r="JIO567" s="3933"/>
      <c r="JIP567" s="3933"/>
      <c r="JIQ567" s="621"/>
      <c r="JIR567" s="3933"/>
      <c r="JIS567" s="3933"/>
      <c r="JIT567" s="3933"/>
      <c r="JIU567" s="621"/>
      <c r="JIV567" s="3933"/>
      <c r="JIW567" s="3933"/>
      <c r="JIX567" s="3933"/>
      <c r="JIY567" s="621"/>
      <c r="JIZ567" s="3933"/>
      <c r="JJA567" s="3933"/>
      <c r="JJB567" s="3933"/>
      <c r="JJC567" s="621"/>
      <c r="JJD567" s="3933"/>
      <c r="JJE567" s="3933"/>
      <c r="JJF567" s="3933"/>
      <c r="JJG567" s="621"/>
      <c r="JJH567" s="3933"/>
      <c r="JJI567" s="3933"/>
      <c r="JJJ567" s="3933"/>
      <c r="JJK567" s="621"/>
      <c r="JJL567" s="3933"/>
      <c r="JJM567" s="3933"/>
      <c r="JJN567" s="3933"/>
      <c r="JJO567" s="621"/>
      <c r="JJP567" s="3933"/>
      <c r="JJQ567" s="3933"/>
      <c r="JJR567" s="3933"/>
      <c r="JJS567" s="621"/>
      <c r="JJT567" s="3933"/>
      <c r="JJU567" s="3933"/>
      <c r="JJV567" s="3933"/>
      <c r="JJW567" s="621"/>
      <c r="JJX567" s="3933"/>
      <c r="JJY567" s="3933"/>
      <c r="JJZ567" s="3933"/>
      <c r="JKA567" s="621"/>
      <c r="JKB567" s="3933"/>
      <c r="JKC567" s="3933"/>
      <c r="JKD567" s="3933"/>
      <c r="JKE567" s="621"/>
      <c r="JKF567" s="3933"/>
      <c r="JKG567" s="3933"/>
      <c r="JKH567" s="3933"/>
      <c r="JKI567" s="621"/>
      <c r="JKJ567" s="3933"/>
      <c r="JKK567" s="3933"/>
      <c r="JKL567" s="3933"/>
      <c r="JKM567" s="621"/>
      <c r="JKN567" s="3933"/>
      <c r="JKO567" s="3933"/>
      <c r="JKP567" s="3933"/>
      <c r="JKQ567" s="621"/>
      <c r="JKR567" s="3933"/>
      <c r="JKS567" s="3933"/>
      <c r="JKT567" s="3933"/>
      <c r="JKU567" s="621"/>
      <c r="JKV567" s="3933"/>
      <c r="JKW567" s="3933"/>
      <c r="JKX567" s="3933"/>
      <c r="JKY567" s="621"/>
      <c r="JKZ567" s="3933"/>
      <c r="JLA567" s="3933"/>
      <c r="JLB567" s="3933"/>
      <c r="JLC567" s="621"/>
      <c r="JLD567" s="3933"/>
      <c r="JLE567" s="3933"/>
      <c r="JLF567" s="3933"/>
      <c r="JLG567" s="621"/>
      <c r="JLH567" s="3933"/>
      <c r="JLI567" s="3933"/>
      <c r="JLJ567" s="3933"/>
      <c r="JLK567" s="621"/>
      <c r="JLL567" s="3933"/>
      <c r="JLM567" s="3933"/>
      <c r="JLN567" s="3933"/>
      <c r="JLO567" s="621"/>
      <c r="JLP567" s="3933"/>
      <c r="JLQ567" s="3933"/>
      <c r="JLR567" s="3933"/>
      <c r="JLS567" s="621"/>
      <c r="JLT567" s="3933"/>
      <c r="JLU567" s="3933"/>
      <c r="JLV567" s="3933"/>
      <c r="JLW567" s="621"/>
      <c r="JLX567" s="3933"/>
      <c r="JLY567" s="3933"/>
      <c r="JLZ567" s="3933"/>
      <c r="JMA567" s="621"/>
      <c r="JMB567" s="3933"/>
      <c r="JMC567" s="3933"/>
      <c r="JMD567" s="3933"/>
      <c r="JME567" s="621"/>
      <c r="JMF567" s="3933"/>
      <c r="JMG567" s="3933"/>
      <c r="JMH567" s="3933"/>
      <c r="JMI567" s="621"/>
      <c r="JMJ567" s="3933"/>
      <c r="JMK567" s="3933"/>
      <c r="JML567" s="3933"/>
      <c r="JMM567" s="621"/>
      <c r="JMN567" s="3933"/>
      <c r="JMO567" s="3933"/>
      <c r="JMP567" s="3933"/>
      <c r="JMQ567" s="621"/>
      <c r="JMR567" s="3933"/>
      <c r="JMS567" s="3933"/>
      <c r="JMT567" s="3933"/>
      <c r="JMU567" s="621"/>
      <c r="JMV567" s="3933"/>
      <c r="JMW567" s="3933"/>
      <c r="JMX567" s="3933"/>
      <c r="JMY567" s="621"/>
      <c r="JMZ567" s="3933"/>
      <c r="JNA567" s="3933"/>
      <c r="JNB567" s="3933"/>
      <c r="JNC567" s="621"/>
      <c r="JND567" s="3933"/>
      <c r="JNE567" s="3933"/>
      <c r="JNF567" s="3933"/>
      <c r="JNG567" s="621"/>
      <c r="JNH567" s="3933"/>
      <c r="JNI567" s="3933"/>
      <c r="JNJ567" s="3933"/>
      <c r="JNK567" s="621"/>
      <c r="JNL567" s="3933"/>
      <c r="JNM567" s="3933"/>
      <c r="JNN567" s="3933"/>
      <c r="JNO567" s="621"/>
      <c r="JNP567" s="3933"/>
      <c r="JNQ567" s="3933"/>
      <c r="JNR567" s="3933"/>
      <c r="JNS567" s="621"/>
      <c r="JNT567" s="3933"/>
      <c r="JNU567" s="3933"/>
      <c r="JNV567" s="3933"/>
      <c r="JNW567" s="621"/>
      <c r="JNX567" s="3933"/>
      <c r="JNY567" s="3933"/>
      <c r="JNZ567" s="3933"/>
      <c r="JOA567" s="621"/>
      <c r="JOB567" s="3933"/>
      <c r="JOC567" s="3933"/>
      <c r="JOD567" s="3933"/>
      <c r="JOE567" s="621"/>
      <c r="JOF567" s="3933"/>
      <c r="JOG567" s="3933"/>
      <c r="JOH567" s="3933"/>
      <c r="JOI567" s="621"/>
      <c r="JOJ567" s="3933"/>
      <c r="JOK567" s="3933"/>
      <c r="JOL567" s="3933"/>
      <c r="JOM567" s="621"/>
      <c r="JON567" s="3933"/>
      <c r="JOO567" s="3933"/>
      <c r="JOP567" s="3933"/>
      <c r="JOQ567" s="621"/>
      <c r="JOR567" s="3933"/>
      <c r="JOS567" s="3933"/>
      <c r="JOT567" s="3933"/>
      <c r="JOU567" s="621"/>
      <c r="JOV567" s="3933"/>
      <c r="JOW567" s="3933"/>
      <c r="JOX567" s="3933"/>
      <c r="JOY567" s="621"/>
      <c r="JOZ567" s="3933"/>
      <c r="JPA567" s="3933"/>
      <c r="JPB567" s="3933"/>
      <c r="JPC567" s="621"/>
      <c r="JPD567" s="3933"/>
      <c r="JPE567" s="3933"/>
      <c r="JPF567" s="3933"/>
      <c r="JPG567" s="621"/>
      <c r="JPH567" s="3933"/>
      <c r="JPI567" s="3933"/>
      <c r="JPJ567" s="3933"/>
      <c r="JPK567" s="621"/>
      <c r="JPL567" s="3933"/>
      <c r="JPM567" s="3933"/>
      <c r="JPN567" s="3933"/>
      <c r="JPO567" s="621"/>
      <c r="JPP567" s="3933"/>
      <c r="JPQ567" s="3933"/>
      <c r="JPR567" s="3933"/>
      <c r="JPS567" s="621"/>
      <c r="JPT567" s="3933"/>
      <c r="JPU567" s="3933"/>
      <c r="JPV567" s="3933"/>
      <c r="JPW567" s="621"/>
      <c r="JPX567" s="3933"/>
      <c r="JPY567" s="3933"/>
      <c r="JPZ567" s="3933"/>
      <c r="JQA567" s="621"/>
      <c r="JQB567" s="3933"/>
      <c r="JQC567" s="3933"/>
      <c r="JQD567" s="3933"/>
      <c r="JQE567" s="621"/>
      <c r="JQF567" s="3933"/>
      <c r="JQG567" s="3933"/>
      <c r="JQH567" s="3933"/>
      <c r="JQI567" s="621"/>
      <c r="JQJ567" s="3933"/>
      <c r="JQK567" s="3933"/>
      <c r="JQL567" s="3933"/>
      <c r="JQM567" s="621"/>
      <c r="JQN567" s="3933"/>
      <c r="JQO567" s="3933"/>
      <c r="JQP567" s="3933"/>
      <c r="JQQ567" s="621"/>
      <c r="JQR567" s="3933"/>
      <c r="JQS567" s="3933"/>
      <c r="JQT567" s="3933"/>
      <c r="JQU567" s="621"/>
      <c r="JQV567" s="3933"/>
      <c r="JQW567" s="3933"/>
      <c r="JQX567" s="3933"/>
      <c r="JQY567" s="621"/>
      <c r="JQZ567" s="3933"/>
      <c r="JRA567" s="3933"/>
      <c r="JRB567" s="3933"/>
      <c r="JRC567" s="621"/>
      <c r="JRD567" s="3933"/>
      <c r="JRE567" s="3933"/>
      <c r="JRF567" s="3933"/>
      <c r="JRG567" s="621"/>
      <c r="JRH567" s="3933"/>
      <c r="JRI567" s="3933"/>
      <c r="JRJ567" s="3933"/>
      <c r="JRK567" s="621"/>
      <c r="JRL567" s="3933"/>
      <c r="JRM567" s="3933"/>
      <c r="JRN567" s="3933"/>
      <c r="JRO567" s="621"/>
      <c r="JRP567" s="3933"/>
      <c r="JRQ567" s="3933"/>
      <c r="JRR567" s="3933"/>
      <c r="JRS567" s="621"/>
      <c r="JRT567" s="3933"/>
      <c r="JRU567" s="3933"/>
      <c r="JRV567" s="3933"/>
      <c r="JRW567" s="621"/>
      <c r="JRX567" s="3933"/>
      <c r="JRY567" s="3933"/>
      <c r="JRZ567" s="3933"/>
      <c r="JSA567" s="621"/>
      <c r="JSB567" s="3933"/>
      <c r="JSC567" s="3933"/>
      <c r="JSD567" s="3933"/>
      <c r="JSE567" s="621"/>
      <c r="JSF567" s="3933"/>
      <c r="JSG567" s="3933"/>
      <c r="JSH567" s="3933"/>
      <c r="JSI567" s="621"/>
      <c r="JSJ567" s="3933"/>
      <c r="JSK567" s="3933"/>
      <c r="JSL567" s="3933"/>
      <c r="JSM567" s="621"/>
      <c r="JSN567" s="3933"/>
      <c r="JSO567" s="3933"/>
      <c r="JSP567" s="3933"/>
      <c r="JSQ567" s="621"/>
      <c r="JSR567" s="3933"/>
      <c r="JSS567" s="3933"/>
      <c r="JST567" s="3933"/>
      <c r="JSU567" s="621"/>
      <c r="JSV567" s="3933"/>
      <c r="JSW567" s="3933"/>
      <c r="JSX567" s="3933"/>
      <c r="JSY567" s="621"/>
      <c r="JSZ567" s="3933"/>
      <c r="JTA567" s="3933"/>
      <c r="JTB567" s="3933"/>
      <c r="JTC567" s="621"/>
      <c r="JTD567" s="3933"/>
      <c r="JTE567" s="3933"/>
      <c r="JTF567" s="3933"/>
      <c r="JTG567" s="621"/>
      <c r="JTH567" s="3933"/>
      <c r="JTI567" s="3933"/>
      <c r="JTJ567" s="3933"/>
      <c r="JTK567" s="621"/>
      <c r="JTL567" s="3933"/>
      <c r="JTM567" s="3933"/>
      <c r="JTN567" s="3933"/>
      <c r="JTO567" s="621"/>
      <c r="JTP567" s="3933"/>
      <c r="JTQ567" s="3933"/>
      <c r="JTR567" s="3933"/>
      <c r="JTS567" s="621"/>
      <c r="JTT567" s="3933"/>
      <c r="JTU567" s="3933"/>
      <c r="JTV567" s="3933"/>
      <c r="JTW567" s="621"/>
      <c r="JTX567" s="3933"/>
      <c r="JTY567" s="3933"/>
      <c r="JTZ567" s="3933"/>
      <c r="JUA567" s="621"/>
      <c r="JUB567" s="3933"/>
      <c r="JUC567" s="3933"/>
      <c r="JUD567" s="3933"/>
      <c r="JUE567" s="621"/>
      <c r="JUF567" s="3933"/>
      <c r="JUG567" s="3933"/>
      <c r="JUH567" s="3933"/>
      <c r="JUI567" s="621"/>
      <c r="JUJ567" s="3933"/>
      <c r="JUK567" s="3933"/>
      <c r="JUL567" s="3933"/>
      <c r="JUM567" s="621"/>
      <c r="JUN567" s="3933"/>
      <c r="JUO567" s="3933"/>
      <c r="JUP567" s="3933"/>
      <c r="JUQ567" s="621"/>
      <c r="JUR567" s="3933"/>
      <c r="JUS567" s="3933"/>
      <c r="JUT567" s="3933"/>
      <c r="JUU567" s="621"/>
      <c r="JUV567" s="3933"/>
      <c r="JUW567" s="3933"/>
      <c r="JUX567" s="3933"/>
      <c r="JUY567" s="621"/>
      <c r="JUZ567" s="3933"/>
      <c r="JVA567" s="3933"/>
      <c r="JVB567" s="3933"/>
      <c r="JVC567" s="621"/>
      <c r="JVD567" s="3933"/>
      <c r="JVE567" s="3933"/>
      <c r="JVF567" s="3933"/>
      <c r="JVG567" s="621"/>
      <c r="JVH567" s="3933"/>
      <c r="JVI567" s="3933"/>
      <c r="JVJ567" s="3933"/>
      <c r="JVK567" s="621"/>
      <c r="JVL567" s="3933"/>
      <c r="JVM567" s="3933"/>
      <c r="JVN567" s="3933"/>
      <c r="JVO567" s="621"/>
      <c r="JVP567" s="3933"/>
      <c r="JVQ567" s="3933"/>
      <c r="JVR567" s="3933"/>
      <c r="JVS567" s="621"/>
      <c r="JVT567" s="3933"/>
      <c r="JVU567" s="3933"/>
      <c r="JVV567" s="3933"/>
      <c r="JVW567" s="621"/>
      <c r="JVX567" s="3933"/>
      <c r="JVY567" s="3933"/>
      <c r="JVZ567" s="3933"/>
      <c r="JWA567" s="621"/>
      <c r="JWB567" s="3933"/>
      <c r="JWC567" s="3933"/>
      <c r="JWD567" s="3933"/>
      <c r="JWE567" s="621"/>
      <c r="JWF567" s="3933"/>
      <c r="JWG567" s="3933"/>
      <c r="JWH567" s="3933"/>
      <c r="JWI567" s="621"/>
      <c r="JWJ567" s="3933"/>
      <c r="JWK567" s="3933"/>
      <c r="JWL567" s="3933"/>
      <c r="JWM567" s="621"/>
      <c r="JWN567" s="3933"/>
      <c r="JWO567" s="3933"/>
      <c r="JWP567" s="3933"/>
      <c r="JWQ567" s="621"/>
      <c r="JWR567" s="3933"/>
      <c r="JWS567" s="3933"/>
      <c r="JWT567" s="3933"/>
      <c r="JWU567" s="621"/>
      <c r="JWV567" s="3933"/>
      <c r="JWW567" s="3933"/>
      <c r="JWX567" s="3933"/>
      <c r="JWY567" s="621"/>
      <c r="JWZ567" s="3933"/>
      <c r="JXA567" s="3933"/>
      <c r="JXB567" s="3933"/>
      <c r="JXC567" s="621"/>
      <c r="JXD567" s="3933"/>
      <c r="JXE567" s="3933"/>
      <c r="JXF567" s="3933"/>
      <c r="JXG567" s="621"/>
      <c r="JXH567" s="3933"/>
      <c r="JXI567" s="3933"/>
      <c r="JXJ567" s="3933"/>
      <c r="JXK567" s="621"/>
      <c r="JXL567" s="3933"/>
      <c r="JXM567" s="3933"/>
      <c r="JXN567" s="3933"/>
      <c r="JXO567" s="621"/>
      <c r="JXP567" s="3933"/>
      <c r="JXQ567" s="3933"/>
      <c r="JXR567" s="3933"/>
      <c r="JXS567" s="621"/>
      <c r="JXT567" s="3933"/>
      <c r="JXU567" s="3933"/>
      <c r="JXV567" s="3933"/>
      <c r="JXW567" s="621"/>
      <c r="JXX567" s="3933"/>
      <c r="JXY567" s="3933"/>
      <c r="JXZ567" s="3933"/>
      <c r="JYA567" s="621"/>
      <c r="JYB567" s="3933"/>
      <c r="JYC567" s="3933"/>
      <c r="JYD567" s="3933"/>
      <c r="JYE567" s="621"/>
      <c r="JYF567" s="3933"/>
      <c r="JYG567" s="3933"/>
      <c r="JYH567" s="3933"/>
      <c r="JYI567" s="621"/>
      <c r="JYJ567" s="3933"/>
      <c r="JYK567" s="3933"/>
      <c r="JYL567" s="3933"/>
      <c r="JYM567" s="621"/>
      <c r="JYN567" s="3933"/>
      <c r="JYO567" s="3933"/>
      <c r="JYP567" s="3933"/>
      <c r="JYQ567" s="621"/>
      <c r="JYR567" s="3933"/>
      <c r="JYS567" s="3933"/>
      <c r="JYT567" s="3933"/>
      <c r="JYU567" s="621"/>
      <c r="JYV567" s="3933"/>
      <c r="JYW567" s="3933"/>
      <c r="JYX567" s="3933"/>
      <c r="JYY567" s="621"/>
      <c r="JYZ567" s="3933"/>
      <c r="JZA567" s="3933"/>
      <c r="JZB567" s="3933"/>
      <c r="JZC567" s="621"/>
      <c r="JZD567" s="3933"/>
      <c r="JZE567" s="3933"/>
      <c r="JZF567" s="3933"/>
      <c r="JZG567" s="621"/>
      <c r="JZH567" s="3933"/>
      <c r="JZI567" s="3933"/>
      <c r="JZJ567" s="3933"/>
      <c r="JZK567" s="621"/>
      <c r="JZL567" s="3933"/>
      <c r="JZM567" s="3933"/>
      <c r="JZN567" s="3933"/>
      <c r="JZO567" s="621"/>
      <c r="JZP567" s="3933"/>
      <c r="JZQ567" s="3933"/>
      <c r="JZR567" s="3933"/>
      <c r="JZS567" s="621"/>
      <c r="JZT567" s="3933"/>
      <c r="JZU567" s="3933"/>
      <c r="JZV567" s="3933"/>
      <c r="JZW567" s="621"/>
      <c r="JZX567" s="3933"/>
      <c r="JZY567" s="3933"/>
      <c r="JZZ567" s="3933"/>
      <c r="KAA567" s="621"/>
      <c r="KAB567" s="3933"/>
      <c r="KAC567" s="3933"/>
      <c r="KAD567" s="3933"/>
      <c r="KAE567" s="621"/>
      <c r="KAF567" s="3933"/>
      <c r="KAG567" s="3933"/>
      <c r="KAH567" s="3933"/>
      <c r="KAI567" s="621"/>
      <c r="KAJ567" s="3933"/>
      <c r="KAK567" s="3933"/>
      <c r="KAL567" s="3933"/>
      <c r="KAM567" s="621"/>
      <c r="KAN567" s="3933"/>
      <c r="KAO567" s="3933"/>
      <c r="KAP567" s="3933"/>
      <c r="KAQ567" s="621"/>
      <c r="KAR567" s="3933"/>
      <c r="KAS567" s="3933"/>
      <c r="KAT567" s="3933"/>
      <c r="KAU567" s="621"/>
      <c r="KAV567" s="3933"/>
      <c r="KAW567" s="3933"/>
      <c r="KAX567" s="3933"/>
      <c r="KAY567" s="621"/>
      <c r="KAZ567" s="3933"/>
      <c r="KBA567" s="3933"/>
      <c r="KBB567" s="3933"/>
      <c r="KBC567" s="621"/>
      <c r="KBD567" s="3933"/>
      <c r="KBE567" s="3933"/>
      <c r="KBF567" s="3933"/>
      <c r="KBG567" s="621"/>
      <c r="KBH567" s="3933"/>
      <c r="KBI567" s="3933"/>
      <c r="KBJ567" s="3933"/>
      <c r="KBK567" s="621"/>
      <c r="KBL567" s="3933"/>
      <c r="KBM567" s="3933"/>
      <c r="KBN567" s="3933"/>
      <c r="KBO567" s="621"/>
      <c r="KBP567" s="3933"/>
      <c r="KBQ567" s="3933"/>
      <c r="KBR567" s="3933"/>
      <c r="KBS567" s="621"/>
      <c r="KBT567" s="3933"/>
      <c r="KBU567" s="3933"/>
      <c r="KBV567" s="3933"/>
      <c r="KBW567" s="621"/>
      <c r="KBX567" s="3933"/>
      <c r="KBY567" s="3933"/>
      <c r="KBZ567" s="3933"/>
      <c r="KCA567" s="621"/>
      <c r="KCB567" s="3933"/>
      <c r="KCC567" s="3933"/>
      <c r="KCD567" s="3933"/>
      <c r="KCE567" s="621"/>
      <c r="KCF567" s="3933"/>
      <c r="KCG567" s="3933"/>
      <c r="KCH567" s="3933"/>
      <c r="KCI567" s="621"/>
      <c r="KCJ567" s="3933"/>
      <c r="KCK567" s="3933"/>
      <c r="KCL567" s="3933"/>
      <c r="KCM567" s="621"/>
      <c r="KCN567" s="3933"/>
      <c r="KCO567" s="3933"/>
      <c r="KCP567" s="3933"/>
      <c r="KCQ567" s="621"/>
      <c r="KCR567" s="3933"/>
      <c r="KCS567" s="3933"/>
      <c r="KCT567" s="3933"/>
      <c r="KCU567" s="621"/>
      <c r="KCV567" s="3933"/>
      <c r="KCW567" s="3933"/>
      <c r="KCX567" s="3933"/>
      <c r="KCY567" s="621"/>
      <c r="KCZ567" s="3933"/>
      <c r="KDA567" s="3933"/>
      <c r="KDB567" s="3933"/>
      <c r="KDC567" s="621"/>
      <c r="KDD567" s="3933"/>
      <c r="KDE567" s="3933"/>
      <c r="KDF567" s="3933"/>
      <c r="KDG567" s="621"/>
      <c r="KDH567" s="3933"/>
      <c r="KDI567" s="3933"/>
      <c r="KDJ567" s="3933"/>
      <c r="KDK567" s="621"/>
      <c r="KDL567" s="3933"/>
      <c r="KDM567" s="3933"/>
      <c r="KDN567" s="3933"/>
      <c r="KDO567" s="621"/>
      <c r="KDP567" s="3933"/>
      <c r="KDQ567" s="3933"/>
      <c r="KDR567" s="3933"/>
      <c r="KDS567" s="621"/>
      <c r="KDT567" s="3933"/>
      <c r="KDU567" s="3933"/>
      <c r="KDV567" s="3933"/>
      <c r="KDW567" s="621"/>
      <c r="KDX567" s="3933"/>
      <c r="KDY567" s="3933"/>
      <c r="KDZ567" s="3933"/>
      <c r="KEA567" s="621"/>
      <c r="KEB567" s="3933"/>
      <c r="KEC567" s="3933"/>
      <c r="KED567" s="3933"/>
      <c r="KEE567" s="621"/>
      <c r="KEF567" s="3933"/>
      <c r="KEG567" s="3933"/>
      <c r="KEH567" s="3933"/>
      <c r="KEI567" s="621"/>
      <c r="KEJ567" s="3933"/>
      <c r="KEK567" s="3933"/>
      <c r="KEL567" s="3933"/>
      <c r="KEM567" s="621"/>
      <c r="KEN567" s="3933"/>
      <c r="KEO567" s="3933"/>
      <c r="KEP567" s="3933"/>
      <c r="KEQ567" s="621"/>
      <c r="KER567" s="3933"/>
      <c r="KES567" s="3933"/>
      <c r="KET567" s="3933"/>
      <c r="KEU567" s="621"/>
      <c r="KEV567" s="3933"/>
      <c r="KEW567" s="3933"/>
      <c r="KEX567" s="3933"/>
      <c r="KEY567" s="621"/>
      <c r="KEZ567" s="3933"/>
      <c r="KFA567" s="3933"/>
      <c r="KFB567" s="3933"/>
      <c r="KFC567" s="621"/>
      <c r="KFD567" s="3933"/>
      <c r="KFE567" s="3933"/>
      <c r="KFF567" s="3933"/>
      <c r="KFG567" s="621"/>
      <c r="KFH567" s="3933"/>
      <c r="KFI567" s="3933"/>
      <c r="KFJ567" s="3933"/>
      <c r="KFK567" s="621"/>
      <c r="KFL567" s="3933"/>
      <c r="KFM567" s="3933"/>
      <c r="KFN567" s="3933"/>
      <c r="KFO567" s="621"/>
      <c r="KFP567" s="3933"/>
      <c r="KFQ567" s="3933"/>
      <c r="KFR567" s="3933"/>
      <c r="KFS567" s="621"/>
      <c r="KFT567" s="3933"/>
      <c r="KFU567" s="3933"/>
      <c r="KFV567" s="3933"/>
      <c r="KFW567" s="621"/>
      <c r="KFX567" s="3933"/>
      <c r="KFY567" s="3933"/>
      <c r="KFZ567" s="3933"/>
      <c r="KGA567" s="621"/>
      <c r="KGB567" s="3933"/>
      <c r="KGC567" s="3933"/>
      <c r="KGD567" s="3933"/>
      <c r="KGE567" s="621"/>
      <c r="KGF567" s="3933"/>
      <c r="KGG567" s="3933"/>
      <c r="KGH567" s="3933"/>
      <c r="KGI567" s="621"/>
      <c r="KGJ567" s="3933"/>
      <c r="KGK567" s="3933"/>
      <c r="KGL567" s="3933"/>
      <c r="KGM567" s="621"/>
      <c r="KGN567" s="3933"/>
      <c r="KGO567" s="3933"/>
      <c r="KGP567" s="3933"/>
      <c r="KGQ567" s="621"/>
      <c r="KGR567" s="3933"/>
      <c r="KGS567" s="3933"/>
      <c r="KGT567" s="3933"/>
      <c r="KGU567" s="621"/>
      <c r="KGV567" s="3933"/>
      <c r="KGW567" s="3933"/>
      <c r="KGX567" s="3933"/>
      <c r="KGY567" s="621"/>
      <c r="KGZ567" s="3933"/>
      <c r="KHA567" s="3933"/>
      <c r="KHB567" s="3933"/>
      <c r="KHC567" s="621"/>
      <c r="KHD567" s="3933"/>
      <c r="KHE567" s="3933"/>
      <c r="KHF567" s="3933"/>
      <c r="KHG567" s="621"/>
      <c r="KHH567" s="3933"/>
      <c r="KHI567" s="3933"/>
      <c r="KHJ567" s="3933"/>
      <c r="KHK567" s="621"/>
      <c r="KHL567" s="3933"/>
      <c r="KHM567" s="3933"/>
      <c r="KHN567" s="3933"/>
      <c r="KHO567" s="621"/>
      <c r="KHP567" s="3933"/>
      <c r="KHQ567" s="3933"/>
      <c r="KHR567" s="3933"/>
      <c r="KHS567" s="621"/>
      <c r="KHT567" s="3933"/>
      <c r="KHU567" s="3933"/>
      <c r="KHV567" s="3933"/>
      <c r="KHW567" s="621"/>
      <c r="KHX567" s="3933"/>
      <c r="KHY567" s="3933"/>
      <c r="KHZ567" s="3933"/>
      <c r="KIA567" s="621"/>
      <c r="KIB567" s="3933"/>
      <c r="KIC567" s="3933"/>
      <c r="KID567" s="3933"/>
      <c r="KIE567" s="621"/>
      <c r="KIF567" s="3933"/>
      <c r="KIG567" s="3933"/>
      <c r="KIH567" s="3933"/>
      <c r="KII567" s="621"/>
      <c r="KIJ567" s="3933"/>
      <c r="KIK567" s="3933"/>
      <c r="KIL567" s="3933"/>
      <c r="KIM567" s="621"/>
      <c r="KIN567" s="3933"/>
      <c r="KIO567" s="3933"/>
      <c r="KIP567" s="3933"/>
      <c r="KIQ567" s="621"/>
      <c r="KIR567" s="3933"/>
      <c r="KIS567" s="3933"/>
      <c r="KIT567" s="3933"/>
      <c r="KIU567" s="621"/>
      <c r="KIV567" s="3933"/>
      <c r="KIW567" s="3933"/>
      <c r="KIX567" s="3933"/>
      <c r="KIY567" s="621"/>
      <c r="KIZ567" s="3933"/>
      <c r="KJA567" s="3933"/>
      <c r="KJB567" s="3933"/>
      <c r="KJC567" s="621"/>
      <c r="KJD567" s="3933"/>
      <c r="KJE567" s="3933"/>
      <c r="KJF567" s="3933"/>
      <c r="KJG567" s="621"/>
      <c r="KJH567" s="3933"/>
      <c r="KJI567" s="3933"/>
      <c r="KJJ567" s="3933"/>
      <c r="KJK567" s="621"/>
      <c r="KJL567" s="3933"/>
      <c r="KJM567" s="3933"/>
      <c r="KJN567" s="3933"/>
      <c r="KJO567" s="621"/>
      <c r="KJP567" s="3933"/>
      <c r="KJQ567" s="3933"/>
      <c r="KJR567" s="3933"/>
      <c r="KJS567" s="621"/>
      <c r="KJT567" s="3933"/>
      <c r="KJU567" s="3933"/>
      <c r="KJV567" s="3933"/>
      <c r="KJW567" s="621"/>
      <c r="KJX567" s="3933"/>
      <c r="KJY567" s="3933"/>
      <c r="KJZ567" s="3933"/>
      <c r="KKA567" s="621"/>
      <c r="KKB567" s="3933"/>
      <c r="KKC567" s="3933"/>
      <c r="KKD567" s="3933"/>
      <c r="KKE567" s="621"/>
      <c r="KKF567" s="3933"/>
      <c r="KKG567" s="3933"/>
      <c r="KKH567" s="3933"/>
      <c r="KKI567" s="621"/>
      <c r="KKJ567" s="3933"/>
      <c r="KKK567" s="3933"/>
      <c r="KKL567" s="3933"/>
      <c r="KKM567" s="621"/>
      <c r="KKN567" s="3933"/>
      <c r="KKO567" s="3933"/>
      <c r="KKP567" s="3933"/>
      <c r="KKQ567" s="621"/>
      <c r="KKR567" s="3933"/>
      <c r="KKS567" s="3933"/>
      <c r="KKT567" s="3933"/>
      <c r="KKU567" s="621"/>
      <c r="KKV567" s="3933"/>
      <c r="KKW567" s="3933"/>
      <c r="KKX567" s="3933"/>
      <c r="KKY567" s="621"/>
      <c r="KKZ567" s="3933"/>
      <c r="KLA567" s="3933"/>
      <c r="KLB567" s="3933"/>
      <c r="KLC567" s="621"/>
      <c r="KLD567" s="3933"/>
      <c r="KLE567" s="3933"/>
      <c r="KLF567" s="3933"/>
      <c r="KLG567" s="621"/>
      <c r="KLH567" s="3933"/>
      <c r="KLI567" s="3933"/>
      <c r="KLJ567" s="3933"/>
      <c r="KLK567" s="621"/>
      <c r="KLL567" s="3933"/>
      <c r="KLM567" s="3933"/>
      <c r="KLN567" s="3933"/>
      <c r="KLO567" s="621"/>
      <c r="KLP567" s="3933"/>
      <c r="KLQ567" s="3933"/>
      <c r="KLR567" s="3933"/>
      <c r="KLS567" s="621"/>
      <c r="KLT567" s="3933"/>
      <c r="KLU567" s="3933"/>
      <c r="KLV567" s="3933"/>
      <c r="KLW567" s="621"/>
      <c r="KLX567" s="3933"/>
      <c r="KLY567" s="3933"/>
      <c r="KLZ567" s="3933"/>
      <c r="KMA567" s="621"/>
      <c r="KMB567" s="3933"/>
      <c r="KMC567" s="3933"/>
      <c r="KMD567" s="3933"/>
      <c r="KME567" s="621"/>
      <c r="KMF567" s="3933"/>
      <c r="KMG567" s="3933"/>
      <c r="KMH567" s="3933"/>
      <c r="KMI567" s="621"/>
      <c r="KMJ567" s="3933"/>
      <c r="KMK567" s="3933"/>
      <c r="KML567" s="3933"/>
      <c r="KMM567" s="621"/>
      <c r="KMN567" s="3933"/>
      <c r="KMO567" s="3933"/>
      <c r="KMP567" s="3933"/>
      <c r="KMQ567" s="621"/>
      <c r="KMR567" s="3933"/>
      <c r="KMS567" s="3933"/>
      <c r="KMT567" s="3933"/>
      <c r="KMU567" s="621"/>
      <c r="KMV567" s="3933"/>
      <c r="KMW567" s="3933"/>
      <c r="KMX567" s="3933"/>
      <c r="KMY567" s="621"/>
      <c r="KMZ567" s="3933"/>
      <c r="KNA567" s="3933"/>
      <c r="KNB567" s="3933"/>
      <c r="KNC567" s="621"/>
      <c r="KND567" s="3933"/>
      <c r="KNE567" s="3933"/>
      <c r="KNF567" s="3933"/>
      <c r="KNG567" s="621"/>
      <c r="KNH567" s="3933"/>
      <c r="KNI567" s="3933"/>
      <c r="KNJ567" s="3933"/>
      <c r="KNK567" s="621"/>
      <c r="KNL567" s="3933"/>
      <c r="KNM567" s="3933"/>
      <c r="KNN567" s="3933"/>
      <c r="KNO567" s="621"/>
      <c r="KNP567" s="3933"/>
      <c r="KNQ567" s="3933"/>
      <c r="KNR567" s="3933"/>
      <c r="KNS567" s="621"/>
      <c r="KNT567" s="3933"/>
      <c r="KNU567" s="3933"/>
      <c r="KNV567" s="3933"/>
      <c r="KNW567" s="621"/>
      <c r="KNX567" s="3933"/>
      <c r="KNY567" s="3933"/>
      <c r="KNZ567" s="3933"/>
      <c r="KOA567" s="621"/>
      <c r="KOB567" s="3933"/>
      <c r="KOC567" s="3933"/>
      <c r="KOD567" s="3933"/>
      <c r="KOE567" s="621"/>
      <c r="KOF567" s="3933"/>
      <c r="KOG567" s="3933"/>
      <c r="KOH567" s="3933"/>
      <c r="KOI567" s="621"/>
      <c r="KOJ567" s="3933"/>
      <c r="KOK567" s="3933"/>
      <c r="KOL567" s="3933"/>
      <c r="KOM567" s="621"/>
      <c r="KON567" s="3933"/>
      <c r="KOO567" s="3933"/>
      <c r="KOP567" s="3933"/>
      <c r="KOQ567" s="621"/>
      <c r="KOR567" s="3933"/>
      <c r="KOS567" s="3933"/>
      <c r="KOT567" s="3933"/>
      <c r="KOU567" s="621"/>
      <c r="KOV567" s="3933"/>
      <c r="KOW567" s="3933"/>
      <c r="KOX567" s="3933"/>
      <c r="KOY567" s="621"/>
      <c r="KOZ567" s="3933"/>
      <c r="KPA567" s="3933"/>
      <c r="KPB567" s="3933"/>
      <c r="KPC567" s="621"/>
      <c r="KPD567" s="3933"/>
      <c r="KPE567" s="3933"/>
      <c r="KPF567" s="3933"/>
      <c r="KPG567" s="621"/>
      <c r="KPH567" s="3933"/>
      <c r="KPI567" s="3933"/>
      <c r="KPJ567" s="3933"/>
      <c r="KPK567" s="621"/>
      <c r="KPL567" s="3933"/>
      <c r="KPM567" s="3933"/>
      <c r="KPN567" s="3933"/>
      <c r="KPO567" s="621"/>
      <c r="KPP567" s="3933"/>
      <c r="KPQ567" s="3933"/>
      <c r="KPR567" s="3933"/>
      <c r="KPS567" s="621"/>
      <c r="KPT567" s="3933"/>
      <c r="KPU567" s="3933"/>
      <c r="KPV567" s="3933"/>
      <c r="KPW567" s="621"/>
      <c r="KPX567" s="3933"/>
      <c r="KPY567" s="3933"/>
      <c r="KPZ567" s="3933"/>
      <c r="KQA567" s="621"/>
      <c r="KQB567" s="3933"/>
      <c r="KQC567" s="3933"/>
      <c r="KQD567" s="3933"/>
      <c r="KQE567" s="621"/>
      <c r="KQF567" s="3933"/>
      <c r="KQG567" s="3933"/>
      <c r="KQH567" s="3933"/>
      <c r="KQI567" s="621"/>
      <c r="KQJ567" s="3933"/>
      <c r="KQK567" s="3933"/>
      <c r="KQL567" s="3933"/>
      <c r="KQM567" s="621"/>
      <c r="KQN567" s="3933"/>
      <c r="KQO567" s="3933"/>
      <c r="KQP567" s="3933"/>
      <c r="KQQ567" s="621"/>
      <c r="KQR567" s="3933"/>
      <c r="KQS567" s="3933"/>
      <c r="KQT567" s="3933"/>
      <c r="KQU567" s="621"/>
      <c r="KQV567" s="3933"/>
      <c r="KQW567" s="3933"/>
      <c r="KQX567" s="3933"/>
      <c r="KQY567" s="621"/>
      <c r="KQZ567" s="3933"/>
      <c r="KRA567" s="3933"/>
      <c r="KRB567" s="3933"/>
      <c r="KRC567" s="621"/>
      <c r="KRD567" s="3933"/>
      <c r="KRE567" s="3933"/>
      <c r="KRF567" s="3933"/>
      <c r="KRG567" s="621"/>
      <c r="KRH567" s="3933"/>
      <c r="KRI567" s="3933"/>
      <c r="KRJ567" s="3933"/>
      <c r="KRK567" s="621"/>
      <c r="KRL567" s="3933"/>
      <c r="KRM567" s="3933"/>
      <c r="KRN567" s="3933"/>
      <c r="KRO567" s="621"/>
      <c r="KRP567" s="3933"/>
      <c r="KRQ567" s="3933"/>
      <c r="KRR567" s="3933"/>
      <c r="KRS567" s="621"/>
      <c r="KRT567" s="3933"/>
      <c r="KRU567" s="3933"/>
      <c r="KRV567" s="3933"/>
      <c r="KRW567" s="621"/>
      <c r="KRX567" s="3933"/>
      <c r="KRY567" s="3933"/>
      <c r="KRZ567" s="3933"/>
      <c r="KSA567" s="621"/>
      <c r="KSB567" s="3933"/>
      <c r="KSC567" s="3933"/>
      <c r="KSD567" s="3933"/>
      <c r="KSE567" s="621"/>
      <c r="KSF567" s="3933"/>
      <c r="KSG567" s="3933"/>
      <c r="KSH567" s="3933"/>
      <c r="KSI567" s="621"/>
      <c r="KSJ567" s="3933"/>
      <c r="KSK567" s="3933"/>
      <c r="KSL567" s="3933"/>
      <c r="KSM567" s="621"/>
      <c r="KSN567" s="3933"/>
      <c r="KSO567" s="3933"/>
      <c r="KSP567" s="3933"/>
      <c r="KSQ567" s="621"/>
      <c r="KSR567" s="3933"/>
      <c r="KSS567" s="3933"/>
      <c r="KST567" s="3933"/>
      <c r="KSU567" s="621"/>
      <c r="KSV567" s="3933"/>
      <c r="KSW567" s="3933"/>
      <c r="KSX567" s="3933"/>
      <c r="KSY567" s="621"/>
      <c r="KSZ567" s="3933"/>
      <c r="KTA567" s="3933"/>
      <c r="KTB567" s="3933"/>
      <c r="KTC567" s="621"/>
      <c r="KTD567" s="3933"/>
      <c r="KTE567" s="3933"/>
      <c r="KTF567" s="3933"/>
      <c r="KTG567" s="621"/>
      <c r="KTH567" s="3933"/>
      <c r="KTI567" s="3933"/>
      <c r="KTJ567" s="3933"/>
      <c r="KTK567" s="621"/>
      <c r="KTL567" s="3933"/>
      <c r="KTM567" s="3933"/>
      <c r="KTN567" s="3933"/>
      <c r="KTO567" s="621"/>
      <c r="KTP567" s="3933"/>
      <c r="KTQ567" s="3933"/>
      <c r="KTR567" s="3933"/>
      <c r="KTS567" s="621"/>
      <c r="KTT567" s="3933"/>
      <c r="KTU567" s="3933"/>
      <c r="KTV567" s="3933"/>
      <c r="KTW567" s="621"/>
      <c r="KTX567" s="3933"/>
      <c r="KTY567" s="3933"/>
      <c r="KTZ567" s="3933"/>
      <c r="KUA567" s="621"/>
      <c r="KUB567" s="3933"/>
      <c r="KUC567" s="3933"/>
      <c r="KUD567" s="3933"/>
      <c r="KUE567" s="621"/>
      <c r="KUF567" s="3933"/>
      <c r="KUG567" s="3933"/>
      <c r="KUH567" s="3933"/>
      <c r="KUI567" s="621"/>
      <c r="KUJ567" s="3933"/>
      <c r="KUK567" s="3933"/>
      <c r="KUL567" s="3933"/>
      <c r="KUM567" s="621"/>
      <c r="KUN567" s="3933"/>
      <c r="KUO567" s="3933"/>
      <c r="KUP567" s="3933"/>
      <c r="KUQ567" s="621"/>
      <c r="KUR567" s="3933"/>
      <c r="KUS567" s="3933"/>
      <c r="KUT567" s="3933"/>
      <c r="KUU567" s="621"/>
      <c r="KUV567" s="3933"/>
      <c r="KUW567" s="3933"/>
      <c r="KUX567" s="3933"/>
      <c r="KUY567" s="621"/>
      <c r="KUZ567" s="3933"/>
      <c r="KVA567" s="3933"/>
      <c r="KVB567" s="3933"/>
      <c r="KVC567" s="621"/>
      <c r="KVD567" s="3933"/>
      <c r="KVE567" s="3933"/>
      <c r="KVF567" s="3933"/>
      <c r="KVG567" s="621"/>
      <c r="KVH567" s="3933"/>
      <c r="KVI567" s="3933"/>
      <c r="KVJ567" s="3933"/>
      <c r="KVK567" s="621"/>
      <c r="KVL567" s="3933"/>
      <c r="KVM567" s="3933"/>
      <c r="KVN567" s="3933"/>
      <c r="KVO567" s="621"/>
      <c r="KVP567" s="3933"/>
      <c r="KVQ567" s="3933"/>
      <c r="KVR567" s="3933"/>
      <c r="KVS567" s="621"/>
      <c r="KVT567" s="3933"/>
      <c r="KVU567" s="3933"/>
      <c r="KVV567" s="3933"/>
      <c r="KVW567" s="621"/>
      <c r="KVX567" s="3933"/>
      <c r="KVY567" s="3933"/>
      <c r="KVZ567" s="3933"/>
      <c r="KWA567" s="621"/>
      <c r="KWB567" s="3933"/>
      <c r="KWC567" s="3933"/>
      <c r="KWD567" s="3933"/>
      <c r="KWE567" s="621"/>
      <c r="KWF567" s="3933"/>
      <c r="KWG567" s="3933"/>
      <c r="KWH567" s="3933"/>
      <c r="KWI567" s="621"/>
      <c r="KWJ567" s="3933"/>
      <c r="KWK567" s="3933"/>
      <c r="KWL567" s="3933"/>
      <c r="KWM567" s="621"/>
      <c r="KWN567" s="3933"/>
      <c r="KWO567" s="3933"/>
      <c r="KWP567" s="3933"/>
      <c r="KWQ567" s="621"/>
      <c r="KWR567" s="3933"/>
      <c r="KWS567" s="3933"/>
      <c r="KWT567" s="3933"/>
      <c r="KWU567" s="621"/>
      <c r="KWV567" s="3933"/>
      <c r="KWW567" s="3933"/>
      <c r="KWX567" s="3933"/>
      <c r="KWY567" s="621"/>
      <c r="KWZ567" s="3933"/>
      <c r="KXA567" s="3933"/>
      <c r="KXB567" s="3933"/>
      <c r="KXC567" s="621"/>
      <c r="KXD567" s="3933"/>
      <c r="KXE567" s="3933"/>
      <c r="KXF567" s="3933"/>
      <c r="KXG567" s="621"/>
      <c r="KXH567" s="3933"/>
      <c r="KXI567" s="3933"/>
      <c r="KXJ567" s="3933"/>
      <c r="KXK567" s="621"/>
      <c r="KXL567" s="3933"/>
      <c r="KXM567" s="3933"/>
      <c r="KXN567" s="3933"/>
      <c r="KXO567" s="621"/>
      <c r="KXP567" s="3933"/>
      <c r="KXQ567" s="3933"/>
      <c r="KXR567" s="3933"/>
      <c r="KXS567" s="621"/>
      <c r="KXT567" s="3933"/>
      <c r="KXU567" s="3933"/>
      <c r="KXV567" s="3933"/>
      <c r="KXW567" s="621"/>
      <c r="KXX567" s="3933"/>
      <c r="KXY567" s="3933"/>
      <c r="KXZ567" s="3933"/>
      <c r="KYA567" s="621"/>
      <c r="KYB567" s="3933"/>
      <c r="KYC567" s="3933"/>
      <c r="KYD567" s="3933"/>
      <c r="KYE567" s="621"/>
      <c r="KYF567" s="3933"/>
      <c r="KYG567" s="3933"/>
      <c r="KYH567" s="3933"/>
      <c r="KYI567" s="621"/>
      <c r="KYJ567" s="3933"/>
      <c r="KYK567" s="3933"/>
      <c r="KYL567" s="3933"/>
      <c r="KYM567" s="621"/>
      <c r="KYN567" s="3933"/>
      <c r="KYO567" s="3933"/>
      <c r="KYP567" s="3933"/>
      <c r="KYQ567" s="621"/>
      <c r="KYR567" s="3933"/>
      <c r="KYS567" s="3933"/>
      <c r="KYT567" s="3933"/>
      <c r="KYU567" s="621"/>
      <c r="KYV567" s="3933"/>
      <c r="KYW567" s="3933"/>
      <c r="KYX567" s="3933"/>
      <c r="KYY567" s="621"/>
      <c r="KYZ567" s="3933"/>
      <c r="KZA567" s="3933"/>
      <c r="KZB567" s="3933"/>
      <c r="KZC567" s="621"/>
      <c r="KZD567" s="3933"/>
      <c r="KZE567" s="3933"/>
      <c r="KZF567" s="3933"/>
      <c r="KZG567" s="621"/>
      <c r="KZH567" s="3933"/>
      <c r="KZI567" s="3933"/>
      <c r="KZJ567" s="3933"/>
      <c r="KZK567" s="621"/>
      <c r="KZL567" s="3933"/>
      <c r="KZM567" s="3933"/>
      <c r="KZN567" s="3933"/>
      <c r="KZO567" s="621"/>
      <c r="KZP567" s="3933"/>
      <c r="KZQ567" s="3933"/>
      <c r="KZR567" s="3933"/>
      <c r="KZS567" s="621"/>
      <c r="KZT567" s="3933"/>
      <c r="KZU567" s="3933"/>
      <c r="KZV567" s="3933"/>
      <c r="KZW567" s="621"/>
      <c r="KZX567" s="3933"/>
      <c r="KZY567" s="3933"/>
      <c r="KZZ567" s="3933"/>
      <c r="LAA567" s="621"/>
      <c r="LAB567" s="3933"/>
      <c r="LAC567" s="3933"/>
      <c r="LAD567" s="3933"/>
      <c r="LAE567" s="621"/>
      <c r="LAF567" s="3933"/>
      <c r="LAG567" s="3933"/>
      <c r="LAH567" s="3933"/>
      <c r="LAI567" s="621"/>
      <c r="LAJ567" s="3933"/>
      <c r="LAK567" s="3933"/>
      <c r="LAL567" s="3933"/>
      <c r="LAM567" s="621"/>
      <c r="LAN567" s="3933"/>
      <c r="LAO567" s="3933"/>
      <c r="LAP567" s="3933"/>
      <c r="LAQ567" s="621"/>
      <c r="LAR567" s="3933"/>
      <c r="LAS567" s="3933"/>
      <c r="LAT567" s="3933"/>
      <c r="LAU567" s="621"/>
      <c r="LAV567" s="3933"/>
      <c r="LAW567" s="3933"/>
      <c r="LAX567" s="3933"/>
      <c r="LAY567" s="621"/>
      <c r="LAZ567" s="3933"/>
      <c r="LBA567" s="3933"/>
      <c r="LBB567" s="3933"/>
      <c r="LBC567" s="621"/>
      <c r="LBD567" s="3933"/>
      <c r="LBE567" s="3933"/>
      <c r="LBF567" s="3933"/>
      <c r="LBG567" s="621"/>
      <c r="LBH567" s="3933"/>
      <c r="LBI567" s="3933"/>
      <c r="LBJ567" s="3933"/>
      <c r="LBK567" s="621"/>
      <c r="LBL567" s="3933"/>
      <c r="LBM567" s="3933"/>
      <c r="LBN567" s="3933"/>
      <c r="LBO567" s="621"/>
      <c r="LBP567" s="3933"/>
      <c r="LBQ567" s="3933"/>
      <c r="LBR567" s="3933"/>
      <c r="LBS567" s="621"/>
      <c r="LBT567" s="3933"/>
      <c r="LBU567" s="3933"/>
      <c r="LBV567" s="3933"/>
      <c r="LBW567" s="621"/>
      <c r="LBX567" s="3933"/>
      <c r="LBY567" s="3933"/>
      <c r="LBZ567" s="3933"/>
      <c r="LCA567" s="621"/>
      <c r="LCB567" s="3933"/>
      <c r="LCC567" s="3933"/>
      <c r="LCD567" s="3933"/>
      <c r="LCE567" s="621"/>
      <c r="LCF567" s="3933"/>
      <c r="LCG567" s="3933"/>
      <c r="LCH567" s="3933"/>
      <c r="LCI567" s="621"/>
      <c r="LCJ567" s="3933"/>
      <c r="LCK567" s="3933"/>
      <c r="LCL567" s="3933"/>
      <c r="LCM567" s="621"/>
      <c r="LCN567" s="3933"/>
      <c r="LCO567" s="3933"/>
      <c r="LCP567" s="3933"/>
      <c r="LCQ567" s="621"/>
      <c r="LCR567" s="3933"/>
      <c r="LCS567" s="3933"/>
      <c r="LCT567" s="3933"/>
      <c r="LCU567" s="621"/>
      <c r="LCV567" s="3933"/>
      <c r="LCW567" s="3933"/>
      <c r="LCX567" s="3933"/>
      <c r="LCY567" s="621"/>
      <c r="LCZ567" s="3933"/>
      <c r="LDA567" s="3933"/>
      <c r="LDB567" s="3933"/>
      <c r="LDC567" s="621"/>
      <c r="LDD567" s="3933"/>
      <c r="LDE567" s="3933"/>
      <c r="LDF567" s="3933"/>
      <c r="LDG567" s="621"/>
      <c r="LDH567" s="3933"/>
      <c r="LDI567" s="3933"/>
      <c r="LDJ567" s="3933"/>
      <c r="LDK567" s="621"/>
      <c r="LDL567" s="3933"/>
      <c r="LDM567" s="3933"/>
      <c r="LDN567" s="3933"/>
      <c r="LDO567" s="621"/>
      <c r="LDP567" s="3933"/>
      <c r="LDQ567" s="3933"/>
      <c r="LDR567" s="3933"/>
      <c r="LDS567" s="621"/>
      <c r="LDT567" s="3933"/>
      <c r="LDU567" s="3933"/>
      <c r="LDV567" s="3933"/>
      <c r="LDW567" s="621"/>
      <c r="LDX567" s="3933"/>
      <c r="LDY567" s="3933"/>
      <c r="LDZ567" s="3933"/>
      <c r="LEA567" s="621"/>
      <c r="LEB567" s="3933"/>
      <c r="LEC567" s="3933"/>
      <c r="LED567" s="3933"/>
      <c r="LEE567" s="621"/>
      <c r="LEF567" s="3933"/>
      <c r="LEG567" s="3933"/>
      <c r="LEH567" s="3933"/>
      <c r="LEI567" s="621"/>
      <c r="LEJ567" s="3933"/>
      <c r="LEK567" s="3933"/>
      <c r="LEL567" s="3933"/>
      <c r="LEM567" s="621"/>
      <c r="LEN567" s="3933"/>
      <c r="LEO567" s="3933"/>
      <c r="LEP567" s="3933"/>
      <c r="LEQ567" s="621"/>
      <c r="LER567" s="3933"/>
      <c r="LES567" s="3933"/>
      <c r="LET567" s="3933"/>
      <c r="LEU567" s="621"/>
      <c r="LEV567" s="3933"/>
      <c r="LEW567" s="3933"/>
      <c r="LEX567" s="3933"/>
      <c r="LEY567" s="621"/>
      <c r="LEZ567" s="3933"/>
      <c r="LFA567" s="3933"/>
      <c r="LFB567" s="3933"/>
      <c r="LFC567" s="621"/>
      <c r="LFD567" s="3933"/>
      <c r="LFE567" s="3933"/>
      <c r="LFF567" s="3933"/>
      <c r="LFG567" s="621"/>
      <c r="LFH567" s="3933"/>
      <c r="LFI567" s="3933"/>
      <c r="LFJ567" s="3933"/>
      <c r="LFK567" s="621"/>
      <c r="LFL567" s="3933"/>
      <c r="LFM567" s="3933"/>
      <c r="LFN567" s="3933"/>
      <c r="LFO567" s="621"/>
      <c r="LFP567" s="3933"/>
      <c r="LFQ567" s="3933"/>
      <c r="LFR567" s="3933"/>
      <c r="LFS567" s="621"/>
      <c r="LFT567" s="3933"/>
      <c r="LFU567" s="3933"/>
      <c r="LFV567" s="3933"/>
      <c r="LFW567" s="621"/>
      <c r="LFX567" s="3933"/>
      <c r="LFY567" s="3933"/>
      <c r="LFZ567" s="3933"/>
      <c r="LGA567" s="621"/>
      <c r="LGB567" s="3933"/>
      <c r="LGC567" s="3933"/>
      <c r="LGD567" s="3933"/>
      <c r="LGE567" s="621"/>
      <c r="LGF567" s="3933"/>
      <c r="LGG567" s="3933"/>
      <c r="LGH567" s="3933"/>
      <c r="LGI567" s="621"/>
      <c r="LGJ567" s="3933"/>
      <c r="LGK567" s="3933"/>
      <c r="LGL567" s="3933"/>
      <c r="LGM567" s="621"/>
      <c r="LGN567" s="3933"/>
      <c r="LGO567" s="3933"/>
      <c r="LGP567" s="3933"/>
      <c r="LGQ567" s="621"/>
      <c r="LGR567" s="3933"/>
      <c r="LGS567" s="3933"/>
      <c r="LGT567" s="3933"/>
      <c r="LGU567" s="621"/>
      <c r="LGV567" s="3933"/>
      <c r="LGW567" s="3933"/>
      <c r="LGX567" s="3933"/>
      <c r="LGY567" s="621"/>
      <c r="LGZ567" s="3933"/>
      <c r="LHA567" s="3933"/>
      <c r="LHB567" s="3933"/>
      <c r="LHC567" s="621"/>
      <c r="LHD567" s="3933"/>
      <c r="LHE567" s="3933"/>
      <c r="LHF567" s="3933"/>
      <c r="LHG567" s="621"/>
      <c r="LHH567" s="3933"/>
      <c r="LHI567" s="3933"/>
      <c r="LHJ567" s="3933"/>
      <c r="LHK567" s="621"/>
      <c r="LHL567" s="3933"/>
      <c r="LHM567" s="3933"/>
      <c r="LHN567" s="3933"/>
      <c r="LHO567" s="621"/>
      <c r="LHP567" s="3933"/>
      <c r="LHQ567" s="3933"/>
      <c r="LHR567" s="3933"/>
      <c r="LHS567" s="621"/>
      <c r="LHT567" s="3933"/>
      <c r="LHU567" s="3933"/>
      <c r="LHV567" s="3933"/>
      <c r="LHW567" s="621"/>
      <c r="LHX567" s="3933"/>
      <c r="LHY567" s="3933"/>
      <c r="LHZ567" s="3933"/>
      <c r="LIA567" s="621"/>
      <c r="LIB567" s="3933"/>
      <c r="LIC567" s="3933"/>
      <c r="LID567" s="3933"/>
      <c r="LIE567" s="621"/>
      <c r="LIF567" s="3933"/>
      <c r="LIG567" s="3933"/>
      <c r="LIH567" s="3933"/>
      <c r="LII567" s="621"/>
      <c r="LIJ567" s="3933"/>
      <c r="LIK567" s="3933"/>
      <c r="LIL567" s="3933"/>
      <c r="LIM567" s="621"/>
      <c r="LIN567" s="3933"/>
      <c r="LIO567" s="3933"/>
      <c r="LIP567" s="3933"/>
      <c r="LIQ567" s="621"/>
      <c r="LIR567" s="3933"/>
      <c r="LIS567" s="3933"/>
      <c r="LIT567" s="3933"/>
      <c r="LIU567" s="621"/>
      <c r="LIV567" s="3933"/>
      <c r="LIW567" s="3933"/>
      <c r="LIX567" s="3933"/>
      <c r="LIY567" s="621"/>
      <c r="LIZ567" s="3933"/>
      <c r="LJA567" s="3933"/>
      <c r="LJB567" s="3933"/>
      <c r="LJC567" s="621"/>
      <c r="LJD567" s="3933"/>
      <c r="LJE567" s="3933"/>
      <c r="LJF567" s="3933"/>
      <c r="LJG567" s="621"/>
      <c r="LJH567" s="3933"/>
      <c r="LJI567" s="3933"/>
      <c r="LJJ567" s="3933"/>
      <c r="LJK567" s="621"/>
      <c r="LJL567" s="3933"/>
      <c r="LJM567" s="3933"/>
      <c r="LJN567" s="3933"/>
      <c r="LJO567" s="621"/>
      <c r="LJP567" s="3933"/>
      <c r="LJQ567" s="3933"/>
      <c r="LJR567" s="3933"/>
      <c r="LJS567" s="621"/>
      <c r="LJT567" s="3933"/>
      <c r="LJU567" s="3933"/>
      <c r="LJV567" s="3933"/>
      <c r="LJW567" s="621"/>
      <c r="LJX567" s="3933"/>
      <c r="LJY567" s="3933"/>
      <c r="LJZ567" s="3933"/>
      <c r="LKA567" s="621"/>
      <c r="LKB567" s="3933"/>
      <c r="LKC567" s="3933"/>
      <c r="LKD567" s="3933"/>
      <c r="LKE567" s="621"/>
      <c r="LKF567" s="3933"/>
      <c r="LKG567" s="3933"/>
      <c r="LKH567" s="3933"/>
      <c r="LKI567" s="621"/>
      <c r="LKJ567" s="3933"/>
      <c r="LKK567" s="3933"/>
      <c r="LKL567" s="3933"/>
      <c r="LKM567" s="621"/>
      <c r="LKN567" s="3933"/>
      <c r="LKO567" s="3933"/>
      <c r="LKP567" s="3933"/>
      <c r="LKQ567" s="621"/>
      <c r="LKR567" s="3933"/>
      <c r="LKS567" s="3933"/>
      <c r="LKT567" s="3933"/>
      <c r="LKU567" s="621"/>
      <c r="LKV567" s="3933"/>
      <c r="LKW567" s="3933"/>
      <c r="LKX567" s="3933"/>
      <c r="LKY567" s="621"/>
      <c r="LKZ567" s="3933"/>
      <c r="LLA567" s="3933"/>
      <c r="LLB567" s="3933"/>
      <c r="LLC567" s="621"/>
      <c r="LLD567" s="3933"/>
      <c r="LLE567" s="3933"/>
      <c r="LLF567" s="3933"/>
      <c r="LLG567" s="621"/>
      <c r="LLH567" s="3933"/>
      <c r="LLI567" s="3933"/>
      <c r="LLJ567" s="3933"/>
      <c r="LLK567" s="621"/>
      <c r="LLL567" s="3933"/>
      <c r="LLM567" s="3933"/>
      <c r="LLN567" s="3933"/>
      <c r="LLO567" s="621"/>
      <c r="LLP567" s="3933"/>
      <c r="LLQ567" s="3933"/>
      <c r="LLR567" s="3933"/>
      <c r="LLS567" s="621"/>
      <c r="LLT567" s="3933"/>
      <c r="LLU567" s="3933"/>
      <c r="LLV567" s="3933"/>
      <c r="LLW567" s="621"/>
      <c r="LLX567" s="3933"/>
      <c r="LLY567" s="3933"/>
      <c r="LLZ567" s="3933"/>
      <c r="LMA567" s="621"/>
      <c r="LMB567" s="3933"/>
      <c r="LMC567" s="3933"/>
      <c r="LMD567" s="3933"/>
      <c r="LME567" s="621"/>
      <c r="LMF567" s="3933"/>
      <c r="LMG567" s="3933"/>
      <c r="LMH567" s="3933"/>
      <c r="LMI567" s="621"/>
      <c r="LMJ567" s="3933"/>
      <c r="LMK567" s="3933"/>
      <c r="LML567" s="3933"/>
      <c r="LMM567" s="621"/>
      <c r="LMN567" s="3933"/>
      <c r="LMO567" s="3933"/>
      <c r="LMP567" s="3933"/>
      <c r="LMQ567" s="621"/>
      <c r="LMR567" s="3933"/>
      <c r="LMS567" s="3933"/>
      <c r="LMT567" s="3933"/>
      <c r="LMU567" s="621"/>
      <c r="LMV567" s="3933"/>
      <c r="LMW567" s="3933"/>
      <c r="LMX567" s="3933"/>
      <c r="LMY567" s="621"/>
      <c r="LMZ567" s="3933"/>
      <c r="LNA567" s="3933"/>
      <c r="LNB567" s="3933"/>
      <c r="LNC567" s="621"/>
      <c r="LND567" s="3933"/>
      <c r="LNE567" s="3933"/>
      <c r="LNF567" s="3933"/>
      <c r="LNG567" s="621"/>
      <c r="LNH567" s="3933"/>
      <c r="LNI567" s="3933"/>
      <c r="LNJ567" s="3933"/>
      <c r="LNK567" s="621"/>
      <c r="LNL567" s="3933"/>
      <c r="LNM567" s="3933"/>
      <c r="LNN567" s="3933"/>
      <c r="LNO567" s="621"/>
      <c r="LNP567" s="3933"/>
      <c r="LNQ567" s="3933"/>
      <c r="LNR567" s="3933"/>
      <c r="LNS567" s="621"/>
      <c r="LNT567" s="3933"/>
      <c r="LNU567" s="3933"/>
      <c r="LNV567" s="3933"/>
      <c r="LNW567" s="621"/>
      <c r="LNX567" s="3933"/>
      <c r="LNY567" s="3933"/>
      <c r="LNZ567" s="3933"/>
      <c r="LOA567" s="621"/>
      <c r="LOB567" s="3933"/>
      <c r="LOC567" s="3933"/>
      <c r="LOD567" s="3933"/>
      <c r="LOE567" s="621"/>
      <c r="LOF567" s="3933"/>
      <c r="LOG567" s="3933"/>
      <c r="LOH567" s="3933"/>
      <c r="LOI567" s="621"/>
      <c r="LOJ567" s="3933"/>
      <c r="LOK567" s="3933"/>
      <c r="LOL567" s="3933"/>
      <c r="LOM567" s="621"/>
      <c r="LON567" s="3933"/>
      <c r="LOO567" s="3933"/>
      <c r="LOP567" s="3933"/>
      <c r="LOQ567" s="621"/>
      <c r="LOR567" s="3933"/>
      <c r="LOS567" s="3933"/>
      <c r="LOT567" s="3933"/>
      <c r="LOU567" s="621"/>
      <c r="LOV567" s="3933"/>
      <c r="LOW567" s="3933"/>
      <c r="LOX567" s="3933"/>
      <c r="LOY567" s="621"/>
      <c r="LOZ567" s="3933"/>
      <c r="LPA567" s="3933"/>
      <c r="LPB567" s="3933"/>
      <c r="LPC567" s="621"/>
      <c r="LPD567" s="3933"/>
      <c r="LPE567" s="3933"/>
      <c r="LPF567" s="3933"/>
      <c r="LPG567" s="621"/>
      <c r="LPH567" s="3933"/>
      <c r="LPI567" s="3933"/>
      <c r="LPJ567" s="3933"/>
      <c r="LPK567" s="621"/>
      <c r="LPL567" s="3933"/>
      <c r="LPM567" s="3933"/>
      <c r="LPN567" s="3933"/>
      <c r="LPO567" s="621"/>
      <c r="LPP567" s="3933"/>
      <c r="LPQ567" s="3933"/>
      <c r="LPR567" s="3933"/>
      <c r="LPS567" s="621"/>
      <c r="LPT567" s="3933"/>
      <c r="LPU567" s="3933"/>
      <c r="LPV567" s="3933"/>
      <c r="LPW567" s="621"/>
      <c r="LPX567" s="3933"/>
      <c r="LPY567" s="3933"/>
      <c r="LPZ567" s="3933"/>
      <c r="LQA567" s="621"/>
      <c r="LQB567" s="3933"/>
      <c r="LQC567" s="3933"/>
      <c r="LQD567" s="3933"/>
      <c r="LQE567" s="621"/>
      <c r="LQF567" s="3933"/>
      <c r="LQG567" s="3933"/>
      <c r="LQH567" s="3933"/>
      <c r="LQI567" s="621"/>
      <c r="LQJ567" s="3933"/>
      <c r="LQK567" s="3933"/>
      <c r="LQL567" s="3933"/>
      <c r="LQM567" s="621"/>
      <c r="LQN567" s="3933"/>
      <c r="LQO567" s="3933"/>
      <c r="LQP567" s="3933"/>
      <c r="LQQ567" s="621"/>
      <c r="LQR567" s="3933"/>
      <c r="LQS567" s="3933"/>
      <c r="LQT567" s="3933"/>
      <c r="LQU567" s="621"/>
      <c r="LQV567" s="3933"/>
      <c r="LQW567" s="3933"/>
      <c r="LQX567" s="3933"/>
      <c r="LQY567" s="621"/>
      <c r="LQZ567" s="3933"/>
      <c r="LRA567" s="3933"/>
      <c r="LRB567" s="3933"/>
      <c r="LRC567" s="621"/>
      <c r="LRD567" s="3933"/>
      <c r="LRE567" s="3933"/>
      <c r="LRF567" s="3933"/>
      <c r="LRG567" s="621"/>
      <c r="LRH567" s="3933"/>
      <c r="LRI567" s="3933"/>
      <c r="LRJ567" s="3933"/>
      <c r="LRK567" s="621"/>
      <c r="LRL567" s="3933"/>
      <c r="LRM567" s="3933"/>
      <c r="LRN567" s="3933"/>
      <c r="LRO567" s="621"/>
      <c r="LRP567" s="3933"/>
      <c r="LRQ567" s="3933"/>
      <c r="LRR567" s="3933"/>
      <c r="LRS567" s="621"/>
      <c r="LRT567" s="3933"/>
      <c r="LRU567" s="3933"/>
      <c r="LRV567" s="3933"/>
      <c r="LRW567" s="621"/>
      <c r="LRX567" s="3933"/>
      <c r="LRY567" s="3933"/>
      <c r="LRZ567" s="3933"/>
      <c r="LSA567" s="621"/>
      <c r="LSB567" s="3933"/>
      <c r="LSC567" s="3933"/>
      <c r="LSD567" s="3933"/>
      <c r="LSE567" s="621"/>
      <c r="LSF567" s="3933"/>
      <c r="LSG567" s="3933"/>
      <c r="LSH567" s="3933"/>
      <c r="LSI567" s="621"/>
      <c r="LSJ567" s="3933"/>
      <c r="LSK567" s="3933"/>
      <c r="LSL567" s="3933"/>
      <c r="LSM567" s="621"/>
      <c r="LSN567" s="3933"/>
      <c r="LSO567" s="3933"/>
      <c r="LSP567" s="3933"/>
      <c r="LSQ567" s="621"/>
      <c r="LSR567" s="3933"/>
      <c r="LSS567" s="3933"/>
      <c r="LST567" s="3933"/>
      <c r="LSU567" s="621"/>
      <c r="LSV567" s="3933"/>
      <c r="LSW567" s="3933"/>
      <c r="LSX567" s="3933"/>
      <c r="LSY567" s="621"/>
      <c r="LSZ567" s="3933"/>
      <c r="LTA567" s="3933"/>
      <c r="LTB567" s="3933"/>
      <c r="LTC567" s="621"/>
      <c r="LTD567" s="3933"/>
      <c r="LTE567" s="3933"/>
      <c r="LTF567" s="3933"/>
      <c r="LTG567" s="621"/>
      <c r="LTH567" s="3933"/>
      <c r="LTI567" s="3933"/>
      <c r="LTJ567" s="3933"/>
      <c r="LTK567" s="621"/>
      <c r="LTL567" s="3933"/>
      <c r="LTM567" s="3933"/>
      <c r="LTN567" s="3933"/>
      <c r="LTO567" s="621"/>
      <c r="LTP567" s="3933"/>
      <c r="LTQ567" s="3933"/>
      <c r="LTR567" s="3933"/>
      <c r="LTS567" s="621"/>
      <c r="LTT567" s="3933"/>
      <c r="LTU567" s="3933"/>
      <c r="LTV567" s="3933"/>
      <c r="LTW567" s="621"/>
      <c r="LTX567" s="3933"/>
      <c r="LTY567" s="3933"/>
      <c r="LTZ567" s="3933"/>
      <c r="LUA567" s="621"/>
      <c r="LUB567" s="3933"/>
      <c r="LUC567" s="3933"/>
      <c r="LUD567" s="3933"/>
      <c r="LUE567" s="621"/>
      <c r="LUF567" s="3933"/>
      <c r="LUG567" s="3933"/>
      <c r="LUH567" s="3933"/>
      <c r="LUI567" s="621"/>
      <c r="LUJ567" s="3933"/>
      <c r="LUK567" s="3933"/>
      <c r="LUL567" s="3933"/>
      <c r="LUM567" s="621"/>
      <c r="LUN567" s="3933"/>
      <c r="LUO567" s="3933"/>
      <c r="LUP567" s="3933"/>
      <c r="LUQ567" s="621"/>
      <c r="LUR567" s="3933"/>
      <c r="LUS567" s="3933"/>
      <c r="LUT567" s="3933"/>
      <c r="LUU567" s="621"/>
      <c r="LUV567" s="3933"/>
      <c r="LUW567" s="3933"/>
      <c r="LUX567" s="3933"/>
      <c r="LUY567" s="621"/>
      <c r="LUZ567" s="3933"/>
      <c r="LVA567" s="3933"/>
      <c r="LVB567" s="3933"/>
      <c r="LVC567" s="621"/>
      <c r="LVD567" s="3933"/>
      <c r="LVE567" s="3933"/>
      <c r="LVF567" s="3933"/>
      <c r="LVG567" s="621"/>
      <c r="LVH567" s="3933"/>
      <c r="LVI567" s="3933"/>
      <c r="LVJ567" s="3933"/>
      <c r="LVK567" s="621"/>
      <c r="LVL567" s="3933"/>
      <c r="LVM567" s="3933"/>
      <c r="LVN567" s="3933"/>
      <c r="LVO567" s="621"/>
      <c r="LVP567" s="3933"/>
      <c r="LVQ567" s="3933"/>
      <c r="LVR567" s="3933"/>
      <c r="LVS567" s="621"/>
      <c r="LVT567" s="3933"/>
      <c r="LVU567" s="3933"/>
      <c r="LVV567" s="3933"/>
      <c r="LVW567" s="621"/>
      <c r="LVX567" s="3933"/>
      <c r="LVY567" s="3933"/>
      <c r="LVZ567" s="3933"/>
      <c r="LWA567" s="621"/>
      <c r="LWB567" s="3933"/>
      <c r="LWC567" s="3933"/>
      <c r="LWD567" s="3933"/>
      <c r="LWE567" s="621"/>
      <c r="LWF567" s="3933"/>
      <c r="LWG567" s="3933"/>
      <c r="LWH567" s="3933"/>
      <c r="LWI567" s="621"/>
      <c r="LWJ567" s="3933"/>
      <c r="LWK567" s="3933"/>
      <c r="LWL567" s="3933"/>
      <c r="LWM567" s="621"/>
      <c r="LWN567" s="3933"/>
      <c r="LWO567" s="3933"/>
      <c r="LWP567" s="3933"/>
      <c r="LWQ567" s="621"/>
      <c r="LWR567" s="3933"/>
      <c r="LWS567" s="3933"/>
      <c r="LWT567" s="3933"/>
      <c r="LWU567" s="621"/>
      <c r="LWV567" s="3933"/>
      <c r="LWW567" s="3933"/>
      <c r="LWX567" s="3933"/>
      <c r="LWY567" s="621"/>
      <c r="LWZ567" s="3933"/>
      <c r="LXA567" s="3933"/>
      <c r="LXB567" s="3933"/>
      <c r="LXC567" s="621"/>
      <c r="LXD567" s="3933"/>
      <c r="LXE567" s="3933"/>
      <c r="LXF567" s="3933"/>
      <c r="LXG567" s="621"/>
      <c r="LXH567" s="3933"/>
      <c r="LXI567" s="3933"/>
      <c r="LXJ567" s="3933"/>
      <c r="LXK567" s="621"/>
      <c r="LXL567" s="3933"/>
      <c r="LXM567" s="3933"/>
      <c r="LXN567" s="3933"/>
      <c r="LXO567" s="621"/>
      <c r="LXP567" s="3933"/>
      <c r="LXQ567" s="3933"/>
      <c r="LXR567" s="3933"/>
      <c r="LXS567" s="621"/>
      <c r="LXT567" s="3933"/>
      <c r="LXU567" s="3933"/>
      <c r="LXV567" s="3933"/>
      <c r="LXW567" s="621"/>
      <c r="LXX567" s="3933"/>
      <c r="LXY567" s="3933"/>
      <c r="LXZ567" s="3933"/>
      <c r="LYA567" s="621"/>
      <c r="LYB567" s="3933"/>
      <c r="LYC567" s="3933"/>
      <c r="LYD567" s="3933"/>
      <c r="LYE567" s="621"/>
      <c r="LYF567" s="3933"/>
      <c r="LYG567" s="3933"/>
      <c r="LYH567" s="3933"/>
      <c r="LYI567" s="621"/>
      <c r="LYJ567" s="3933"/>
      <c r="LYK567" s="3933"/>
      <c r="LYL567" s="3933"/>
      <c r="LYM567" s="621"/>
      <c r="LYN567" s="3933"/>
      <c r="LYO567" s="3933"/>
      <c r="LYP567" s="3933"/>
      <c r="LYQ567" s="621"/>
      <c r="LYR567" s="3933"/>
      <c r="LYS567" s="3933"/>
      <c r="LYT567" s="3933"/>
      <c r="LYU567" s="621"/>
      <c r="LYV567" s="3933"/>
      <c r="LYW567" s="3933"/>
      <c r="LYX567" s="3933"/>
      <c r="LYY567" s="621"/>
      <c r="LYZ567" s="3933"/>
      <c r="LZA567" s="3933"/>
      <c r="LZB567" s="3933"/>
      <c r="LZC567" s="621"/>
      <c r="LZD567" s="3933"/>
      <c r="LZE567" s="3933"/>
      <c r="LZF567" s="3933"/>
      <c r="LZG567" s="621"/>
      <c r="LZH567" s="3933"/>
      <c r="LZI567" s="3933"/>
      <c r="LZJ567" s="3933"/>
      <c r="LZK567" s="621"/>
      <c r="LZL567" s="3933"/>
      <c r="LZM567" s="3933"/>
      <c r="LZN567" s="3933"/>
      <c r="LZO567" s="621"/>
      <c r="LZP567" s="3933"/>
      <c r="LZQ567" s="3933"/>
      <c r="LZR567" s="3933"/>
      <c r="LZS567" s="621"/>
      <c r="LZT567" s="3933"/>
      <c r="LZU567" s="3933"/>
      <c r="LZV567" s="3933"/>
      <c r="LZW567" s="621"/>
      <c r="LZX567" s="3933"/>
      <c r="LZY567" s="3933"/>
      <c r="LZZ567" s="3933"/>
      <c r="MAA567" s="621"/>
      <c r="MAB567" s="3933"/>
      <c r="MAC567" s="3933"/>
      <c r="MAD567" s="3933"/>
      <c r="MAE567" s="621"/>
      <c r="MAF567" s="3933"/>
      <c r="MAG567" s="3933"/>
      <c r="MAH567" s="3933"/>
      <c r="MAI567" s="621"/>
      <c r="MAJ567" s="3933"/>
      <c r="MAK567" s="3933"/>
      <c r="MAL567" s="3933"/>
      <c r="MAM567" s="621"/>
      <c r="MAN567" s="3933"/>
      <c r="MAO567" s="3933"/>
      <c r="MAP567" s="3933"/>
      <c r="MAQ567" s="621"/>
      <c r="MAR567" s="3933"/>
      <c r="MAS567" s="3933"/>
      <c r="MAT567" s="3933"/>
      <c r="MAU567" s="621"/>
      <c r="MAV567" s="3933"/>
      <c r="MAW567" s="3933"/>
      <c r="MAX567" s="3933"/>
      <c r="MAY567" s="621"/>
      <c r="MAZ567" s="3933"/>
      <c r="MBA567" s="3933"/>
      <c r="MBB567" s="3933"/>
      <c r="MBC567" s="621"/>
      <c r="MBD567" s="3933"/>
      <c r="MBE567" s="3933"/>
      <c r="MBF567" s="3933"/>
      <c r="MBG567" s="621"/>
      <c r="MBH567" s="3933"/>
      <c r="MBI567" s="3933"/>
      <c r="MBJ567" s="3933"/>
      <c r="MBK567" s="621"/>
      <c r="MBL567" s="3933"/>
      <c r="MBM567" s="3933"/>
      <c r="MBN567" s="3933"/>
      <c r="MBO567" s="621"/>
      <c r="MBP567" s="3933"/>
      <c r="MBQ567" s="3933"/>
      <c r="MBR567" s="3933"/>
      <c r="MBS567" s="621"/>
      <c r="MBT567" s="3933"/>
      <c r="MBU567" s="3933"/>
      <c r="MBV567" s="3933"/>
      <c r="MBW567" s="621"/>
      <c r="MBX567" s="3933"/>
      <c r="MBY567" s="3933"/>
      <c r="MBZ567" s="3933"/>
      <c r="MCA567" s="621"/>
      <c r="MCB567" s="3933"/>
      <c r="MCC567" s="3933"/>
      <c r="MCD567" s="3933"/>
      <c r="MCE567" s="621"/>
      <c r="MCF567" s="3933"/>
      <c r="MCG567" s="3933"/>
      <c r="MCH567" s="3933"/>
      <c r="MCI567" s="621"/>
      <c r="MCJ567" s="3933"/>
      <c r="MCK567" s="3933"/>
      <c r="MCL567" s="3933"/>
      <c r="MCM567" s="621"/>
      <c r="MCN567" s="3933"/>
      <c r="MCO567" s="3933"/>
      <c r="MCP567" s="3933"/>
      <c r="MCQ567" s="621"/>
      <c r="MCR567" s="3933"/>
      <c r="MCS567" s="3933"/>
      <c r="MCT567" s="3933"/>
      <c r="MCU567" s="621"/>
      <c r="MCV567" s="3933"/>
      <c r="MCW567" s="3933"/>
      <c r="MCX567" s="3933"/>
      <c r="MCY567" s="621"/>
      <c r="MCZ567" s="3933"/>
      <c r="MDA567" s="3933"/>
      <c r="MDB567" s="3933"/>
      <c r="MDC567" s="621"/>
      <c r="MDD567" s="3933"/>
      <c r="MDE567" s="3933"/>
      <c r="MDF567" s="3933"/>
      <c r="MDG567" s="621"/>
      <c r="MDH567" s="3933"/>
      <c r="MDI567" s="3933"/>
      <c r="MDJ567" s="3933"/>
      <c r="MDK567" s="621"/>
      <c r="MDL567" s="3933"/>
      <c r="MDM567" s="3933"/>
      <c r="MDN567" s="3933"/>
      <c r="MDO567" s="621"/>
      <c r="MDP567" s="3933"/>
      <c r="MDQ567" s="3933"/>
      <c r="MDR567" s="3933"/>
      <c r="MDS567" s="621"/>
      <c r="MDT567" s="3933"/>
      <c r="MDU567" s="3933"/>
      <c r="MDV567" s="3933"/>
      <c r="MDW567" s="621"/>
      <c r="MDX567" s="3933"/>
      <c r="MDY567" s="3933"/>
      <c r="MDZ567" s="3933"/>
      <c r="MEA567" s="621"/>
      <c r="MEB567" s="3933"/>
      <c r="MEC567" s="3933"/>
      <c r="MED567" s="3933"/>
      <c r="MEE567" s="621"/>
      <c r="MEF567" s="3933"/>
      <c r="MEG567" s="3933"/>
      <c r="MEH567" s="3933"/>
      <c r="MEI567" s="621"/>
      <c r="MEJ567" s="3933"/>
      <c r="MEK567" s="3933"/>
      <c r="MEL567" s="3933"/>
      <c r="MEM567" s="621"/>
      <c r="MEN567" s="3933"/>
      <c r="MEO567" s="3933"/>
      <c r="MEP567" s="3933"/>
      <c r="MEQ567" s="621"/>
      <c r="MER567" s="3933"/>
      <c r="MES567" s="3933"/>
      <c r="MET567" s="3933"/>
      <c r="MEU567" s="621"/>
      <c r="MEV567" s="3933"/>
      <c r="MEW567" s="3933"/>
      <c r="MEX567" s="3933"/>
      <c r="MEY567" s="621"/>
      <c r="MEZ567" s="3933"/>
      <c r="MFA567" s="3933"/>
      <c r="MFB567" s="3933"/>
      <c r="MFC567" s="621"/>
      <c r="MFD567" s="3933"/>
      <c r="MFE567" s="3933"/>
      <c r="MFF567" s="3933"/>
      <c r="MFG567" s="621"/>
      <c r="MFH567" s="3933"/>
      <c r="MFI567" s="3933"/>
      <c r="MFJ567" s="3933"/>
      <c r="MFK567" s="621"/>
      <c r="MFL567" s="3933"/>
      <c r="MFM567" s="3933"/>
      <c r="MFN567" s="3933"/>
      <c r="MFO567" s="621"/>
      <c r="MFP567" s="3933"/>
      <c r="MFQ567" s="3933"/>
      <c r="MFR567" s="3933"/>
      <c r="MFS567" s="621"/>
      <c r="MFT567" s="3933"/>
      <c r="MFU567" s="3933"/>
      <c r="MFV567" s="3933"/>
      <c r="MFW567" s="621"/>
      <c r="MFX567" s="3933"/>
      <c r="MFY567" s="3933"/>
      <c r="MFZ567" s="3933"/>
      <c r="MGA567" s="621"/>
      <c r="MGB567" s="3933"/>
      <c r="MGC567" s="3933"/>
      <c r="MGD567" s="3933"/>
      <c r="MGE567" s="621"/>
      <c r="MGF567" s="3933"/>
      <c r="MGG567" s="3933"/>
      <c r="MGH567" s="3933"/>
      <c r="MGI567" s="621"/>
      <c r="MGJ567" s="3933"/>
      <c r="MGK567" s="3933"/>
      <c r="MGL567" s="3933"/>
      <c r="MGM567" s="621"/>
      <c r="MGN567" s="3933"/>
      <c r="MGO567" s="3933"/>
      <c r="MGP567" s="3933"/>
      <c r="MGQ567" s="621"/>
      <c r="MGR567" s="3933"/>
      <c r="MGS567" s="3933"/>
      <c r="MGT567" s="3933"/>
      <c r="MGU567" s="621"/>
      <c r="MGV567" s="3933"/>
      <c r="MGW567" s="3933"/>
      <c r="MGX567" s="3933"/>
      <c r="MGY567" s="621"/>
      <c r="MGZ567" s="3933"/>
      <c r="MHA567" s="3933"/>
      <c r="MHB567" s="3933"/>
      <c r="MHC567" s="621"/>
      <c r="MHD567" s="3933"/>
      <c r="MHE567" s="3933"/>
      <c r="MHF567" s="3933"/>
      <c r="MHG567" s="621"/>
      <c r="MHH567" s="3933"/>
      <c r="MHI567" s="3933"/>
      <c r="MHJ567" s="3933"/>
      <c r="MHK567" s="621"/>
      <c r="MHL567" s="3933"/>
      <c r="MHM567" s="3933"/>
      <c r="MHN567" s="3933"/>
      <c r="MHO567" s="621"/>
      <c r="MHP567" s="3933"/>
      <c r="MHQ567" s="3933"/>
      <c r="MHR567" s="3933"/>
      <c r="MHS567" s="621"/>
      <c r="MHT567" s="3933"/>
      <c r="MHU567" s="3933"/>
      <c r="MHV567" s="3933"/>
      <c r="MHW567" s="621"/>
      <c r="MHX567" s="3933"/>
      <c r="MHY567" s="3933"/>
      <c r="MHZ567" s="3933"/>
      <c r="MIA567" s="621"/>
      <c r="MIB567" s="3933"/>
      <c r="MIC567" s="3933"/>
      <c r="MID567" s="3933"/>
      <c r="MIE567" s="621"/>
      <c r="MIF567" s="3933"/>
      <c r="MIG567" s="3933"/>
      <c r="MIH567" s="3933"/>
      <c r="MII567" s="621"/>
      <c r="MIJ567" s="3933"/>
      <c r="MIK567" s="3933"/>
      <c r="MIL567" s="3933"/>
      <c r="MIM567" s="621"/>
      <c r="MIN567" s="3933"/>
      <c r="MIO567" s="3933"/>
      <c r="MIP567" s="3933"/>
      <c r="MIQ567" s="621"/>
      <c r="MIR567" s="3933"/>
      <c r="MIS567" s="3933"/>
      <c r="MIT567" s="3933"/>
      <c r="MIU567" s="621"/>
      <c r="MIV567" s="3933"/>
      <c r="MIW567" s="3933"/>
      <c r="MIX567" s="3933"/>
      <c r="MIY567" s="621"/>
      <c r="MIZ567" s="3933"/>
      <c r="MJA567" s="3933"/>
      <c r="MJB567" s="3933"/>
      <c r="MJC567" s="621"/>
      <c r="MJD567" s="3933"/>
      <c r="MJE567" s="3933"/>
      <c r="MJF567" s="3933"/>
      <c r="MJG567" s="621"/>
      <c r="MJH567" s="3933"/>
      <c r="MJI567" s="3933"/>
      <c r="MJJ567" s="3933"/>
      <c r="MJK567" s="621"/>
      <c r="MJL567" s="3933"/>
      <c r="MJM567" s="3933"/>
      <c r="MJN567" s="3933"/>
      <c r="MJO567" s="621"/>
      <c r="MJP567" s="3933"/>
      <c r="MJQ567" s="3933"/>
      <c r="MJR567" s="3933"/>
      <c r="MJS567" s="621"/>
      <c r="MJT567" s="3933"/>
      <c r="MJU567" s="3933"/>
      <c r="MJV567" s="3933"/>
      <c r="MJW567" s="621"/>
      <c r="MJX567" s="3933"/>
      <c r="MJY567" s="3933"/>
      <c r="MJZ567" s="3933"/>
      <c r="MKA567" s="621"/>
      <c r="MKB567" s="3933"/>
      <c r="MKC567" s="3933"/>
      <c r="MKD567" s="3933"/>
      <c r="MKE567" s="621"/>
      <c r="MKF567" s="3933"/>
      <c r="MKG567" s="3933"/>
      <c r="MKH567" s="3933"/>
      <c r="MKI567" s="621"/>
      <c r="MKJ567" s="3933"/>
      <c r="MKK567" s="3933"/>
      <c r="MKL567" s="3933"/>
      <c r="MKM567" s="621"/>
      <c r="MKN567" s="3933"/>
      <c r="MKO567" s="3933"/>
      <c r="MKP567" s="3933"/>
      <c r="MKQ567" s="621"/>
      <c r="MKR567" s="3933"/>
      <c r="MKS567" s="3933"/>
      <c r="MKT567" s="3933"/>
      <c r="MKU567" s="621"/>
      <c r="MKV567" s="3933"/>
      <c r="MKW567" s="3933"/>
      <c r="MKX567" s="3933"/>
      <c r="MKY567" s="621"/>
      <c r="MKZ567" s="3933"/>
      <c r="MLA567" s="3933"/>
      <c r="MLB567" s="3933"/>
      <c r="MLC567" s="621"/>
      <c r="MLD567" s="3933"/>
      <c r="MLE567" s="3933"/>
      <c r="MLF567" s="3933"/>
      <c r="MLG567" s="621"/>
      <c r="MLH567" s="3933"/>
      <c r="MLI567" s="3933"/>
      <c r="MLJ567" s="3933"/>
      <c r="MLK567" s="621"/>
      <c r="MLL567" s="3933"/>
      <c r="MLM567" s="3933"/>
      <c r="MLN567" s="3933"/>
      <c r="MLO567" s="621"/>
      <c r="MLP567" s="3933"/>
      <c r="MLQ567" s="3933"/>
      <c r="MLR567" s="3933"/>
      <c r="MLS567" s="621"/>
      <c r="MLT567" s="3933"/>
      <c r="MLU567" s="3933"/>
      <c r="MLV567" s="3933"/>
      <c r="MLW567" s="621"/>
      <c r="MLX567" s="3933"/>
      <c r="MLY567" s="3933"/>
      <c r="MLZ567" s="3933"/>
      <c r="MMA567" s="621"/>
      <c r="MMB567" s="3933"/>
      <c r="MMC567" s="3933"/>
      <c r="MMD567" s="3933"/>
      <c r="MME567" s="621"/>
      <c r="MMF567" s="3933"/>
      <c r="MMG567" s="3933"/>
      <c r="MMH567" s="3933"/>
      <c r="MMI567" s="621"/>
      <c r="MMJ567" s="3933"/>
      <c r="MMK567" s="3933"/>
      <c r="MML567" s="3933"/>
      <c r="MMM567" s="621"/>
      <c r="MMN567" s="3933"/>
      <c r="MMO567" s="3933"/>
      <c r="MMP567" s="3933"/>
      <c r="MMQ567" s="621"/>
      <c r="MMR567" s="3933"/>
      <c r="MMS567" s="3933"/>
      <c r="MMT567" s="3933"/>
      <c r="MMU567" s="621"/>
      <c r="MMV567" s="3933"/>
      <c r="MMW567" s="3933"/>
      <c r="MMX567" s="3933"/>
      <c r="MMY567" s="621"/>
      <c r="MMZ567" s="3933"/>
      <c r="MNA567" s="3933"/>
      <c r="MNB567" s="3933"/>
      <c r="MNC567" s="621"/>
      <c r="MND567" s="3933"/>
      <c r="MNE567" s="3933"/>
      <c r="MNF567" s="3933"/>
      <c r="MNG567" s="621"/>
      <c r="MNH567" s="3933"/>
      <c r="MNI567" s="3933"/>
      <c r="MNJ567" s="3933"/>
      <c r="MNK567" s="621"/>
      <c r="MNL567" s="3933"/>
      <c r="MNM567" s="3933"/>
      <c r="MNN567" s="3933"/>
      <c r="MNO567" s="621"/>
      <c r="MNP567" s="3933"/>
      <c r="MNQ567" s="3933"/>
      <c r="MNR567" s="3933"/>
      <c r="MNS567" s="621"/>
      <c r="MNT567" s="3933"/>
      <c r="MNU567" s="3933"/>
      <c r="MNV567" s="3933"/>
      <c r="MNW567" s="621"/>
      <c r="MNX567" s="3933"/>
      <c r="MNY567" s="3933"/>
      <c r="MNZ567" s="3933"/>
      <c r="MOA567" s="621"/>
      <c r="MOB567" s="3933"/>
      <c r="MOC567" s="3933"/>
      <c r="MOD567" s="3933"/>
      <c r="MOE567" s="621"/>
      <c r="MOF567" s="3933"/>
      <c r="MOG567" s="3933"/>
      <c r="MOH567" s="3933"/>
      <c r="MOI567" s="621"/>
      <c r="MOJ567" s="3933"/>
      <c r="MOK567" s="3933"/>
      <c r="MOL567" s="3933"/>
      <c r="MOM567" s="621"/>
      <c r="MON567" s="3933"/>
      <c r="MOO567" s="3933"/>
      <c r="MOP567" s="3933"/>
      <c r="MOQ567" s="621"/>
      <c r="MOR567" s="3933"/>
      <c r="MOS567" s="3933"/>
      <c r="MOT567" s="3933"/>
      <c r="MOU567" s="621"/>
      <c r="MOV567" s="3933"/>
      <c r="MOW567" s="3933"/>
      <c r="MOX567" s="3933"/>
      <c r="MOY567" s="621"/>
      <c r="MOZ567" s="3933"/>
      <c r="MPA567" s="3933"/>
      <c r="MPB567" s="3933"/>
      <c r="MPC567" s="621"/>
      <c r="MPD567" s="3933"/>
      <c r="MPE567" s="3933"/>
      <c r="MPF567" s="3933"/>
      <c r="MPG567" s="621"/>
      <c r="MPH567" s="3933"/>
      <c r="MPI567" s="3933"/>
      <c r="MPJ567" s="3933"/>
      <c r="MPK567" s="621"/>
      <c r="MPL567" s="3933"/>
      <c r="MPM567" s="3933"/>
      <c r="MPN567" s="3933"/>
      <c r="MPO567" s="621"/>
      <c r="MPP567" s="3933"/>
      <c r="MPQ567" s="3933"/>
      <c r="MPR567" s="3933"/>
      <c r="MPS567" s="621"/>
      <c r="MPT567" s="3933"/>
      <c r="MPU567" s="3933"/>
      <c r="MPV567" s="3933"/>
      <c r="MPW567" s="621"/>
      <c r="MPX567" s="3933"/>
      <c r="MPY567" s="3933"/>
      <c r="MPZ567" s="3933"/>
      <c r="MQA567" s="621"/>
      <c r="MQB567" s="3933"/>
      <c r="MQC567" s="3933"/>
      <c r="MQD567" s="3933"/>
      <c r="MQE567" s="621"/>
      <c r="MQF567" s="3933"/>
      <c r="MQG567" s="3933"/>
      <c r="MQH567" s="3933"/>
      <c r="MQI567" s="621"/>
      <c r="MQJ567" s="3933"/>
      <c r="MQK567" s="3933"/>
      <c r="MQL567" s="3933"/>
      <c r="MQM567" s="621"/>
      <c r="MQN567" s="3933"/>
      <c r="MQO567" s="3933"/>
      <c r="MQP567" s="3933"/>
      <c r="MQQ567" s="621"/>
      <c r="MQR567" s="3933"/>
      <c r="MQS567" s="3933"/>
      <c r="MQT567" s="3933"/>
      <c r="MQU567" s="621"/>
      <c r="MQV567" s="3933"/>
      <c r="MQW567" s="3933"/>
      <c r="MQX567" s="3933"/>
      <c r="MQY567" s="621"/>
      <c r="MQZ567" s="3933"/>
      <c r="MRA567" s="3933"/>
      <c r="MRB567" s="3933"/>
      <c r="MRC567" s="621"/>
      <c r="MRD567" s="3933"/>
      <c r="MRE567" s="3933"/>
      <c r="MRF567" s="3933"/>
      <c r="MRG567" s="621"/>
      <c r="MRH567" s="3933"/>
      <c r="MRI567" s="3933"/>
      <c r="MRJ567" s="3933"/>
      <c r="MRK567" s="621"/>
      <c r="MRL567" s="3933"/>
      <c r="MRM567" s="3933"/>
      <c r="MRN567" s="3933"/>
      <c r="MRO567" s="621"/>
      <c r="MRP567" s="3933"/>
      <c r="MRQ567" s="3933"/>
      <c r="MRR567" s="3933"/>
      <c r="MRS567" s="621"/>
      <c r="MRT567" s="3933"/>
      <c r="MRU567" s="3933"/>
      <c r="MRV567" s="3933"/>
      <c r="MRW567" s="621"/>
      <c r="MRX567" s="3933"/>
      <c r="MRY567" s="3933"/>
      <c r="MRZ567" s="3933"/>
      <c r="MSA567" s="621"/>
      <c r="MSB567" s="3933"/>
      <c r="MSC567" s="3933"/>
      <c r="MSD567" s="3933"/>
      <c r="MSE567" s="621"/>
      <c r="MSF567" s="3933"/>
      <c r="MSG567" s="3933"/>
      <c r="MSH567" s="3933"/>
      <c r="MSI567" s="621"/>
      <c r="MSJ567" s="3933"/>
      <c r="MSK567" s="3933"/>
      <c r="MSL567" s="3933"/>
      <c r="MSM567" s="621"/>
      <c r="MSN567" s="3933"/>
      <c r="MSO567" s="3933"/>
      <c r="MSP567" s="3933"/>
      <c r="MSQ567" s="621"/>
      <c r="MSR567" s="3933"/>
      <c r="MSS567" s="3933"/>
      <c r="MST567" s="3933"/>
      <c r="MSU567" s="621"/>
      <c r="MSV567" s="3933"/>
      <c r="MSW567" s="3933"/>
      <c r="MSX567" s="3933"/>
      <c r="MSY567" s="621"/>
      <c r="MSZ567" s="3933"/>
      <c r="MTA567" s="3933"/>
      <c r="MTB567" s="3933"/>
      <c r="MTC567" s="621"/>
      <c r="MTD567" s="3933"/>
      <c r="MTE567" s="3933"/>
      <c r="MTF567" s="3933"/>
      <c r="MTG567" s="621"/>
      <c r="MTH567" s="3933"/>
      <c r="MTI567" s="3933"/>
      <c r="MTJ567" s="3933"/>
      <c r="MTK567" s="621"/>
      <c r="MTL567" s="3933"/>
      <c r="MTM567" s="3933"/>
      <c r="MTN567" s="3933"/>
      <c r="MTO567" s="621"/>
      <c r="MTP567" s="3933"/>
      <c r="MTQ567" s="3933"/>
      <c r="MTR567" s="3933"/>
      <c r="MTS567" s="621"/>
      <c r="MTT567" s="3933"/>
      <c r="MTU567" s="3933"/>
      <c r="MTV567" s="3933"/>
      <c r="MTW567" s="621"/>
      <c r="MTX567" s="3933"/>
      <c r="MTY567" s="3933"/>
      <c r="MTZ567" s="3933"/>
      <c r="MUA567" s="621"/>
      <c r="MUB567" s="3933"/>
      <c r="MUC567" s="3933"/>
      <c r="MUD567" s="3933"/>
      <c r="MUE567" s="621"/>
      <c r="MUF567" s="3933"/>
      <c r="MUG567" s="3933"/>
      <c r="MUH567" s="3933"/>
      <c r="MUI567" s="621"/>
      <c r="MUJ567" s="3933"/>
      <c r="MUK567" s="3933"/>
      <c r="MUL567" s="3933"/>
      <c r="MUM567" s="621"/>
      <c r="MUN567" s="3933"/>
      <c r="MUO567" s="3933"/>
      <c r="MUP567" s="3933"/>
      <c r="MUQ567" s="621"/>
      <c r="MUR567" s="3933"/>
      <c r="MUS567" s="3933"/>
      <c r="MUT567" s="3933"/>
      <c r="MUU567" s="621"/>
      <c r="MUV567" s="3933"/>
      <c r="MUW567" s="3933"/>
      <c r="MUX567" s="3933"/>
      <c r="MUY567" s="621"/>
      <c r="MUZ567" s="3933"/>
      <c r="MVA567" s="3933"/>
      <c r="MVB567" s="3933"/>
      <c r="MVC567" s="621"/>
      <c r="MVD567" s="3933"/>
      <c r="MVE567" s="3933"/>
      <c r="MVF567" s="3933"/>
      <c r="MVG567" s="621"/>
      <c r="MVH567" s="3933"/>
      <c r="MVI567" s="3933"/>
      <c r="MVJ567" s="3933"/>
      <c r="MVK567" s="621"/>
      <c r="MVL567" s="3933"/>
      <c r="MVM567" s="3933"/>
      <c r="MVN567" s="3933"/>
      <c r="MVO567" s="621"/>
      <c r="MVP567" s="3933"/>
      <c r="MVQ567" s="3933"/>
      <c r="MVR567" s="3933"/>
      <c r="MVS567" s="621"/>
      <c r="MVT567" s="3933"/>
      <c r="MVU567" s="3933"/>
      <c r="MVV567" s="3933"/>
      <c r="MVW567" s="621"/>
      <c r="MVX567" s="3933"/>
      <c r="MVY567" s="3933"/>
      <c r="MVZ567" s="3933"/>
      <c r="MWA567" s="621"/>
      <c r="MWB567" s="3933"/>
      <c r="MWC567" s="3933"/>
      <c r="MWD567" s="3933"/>
      <c r="MWE567" s="621"/>
      <c r="MWF567" s="3933"/>
      <c r="MWG567" s="3933"/>
      <c r="MWH567" s="3933"/>
      <c r="MWI567" s="621"/>
      <c r="MWJ567" s="3933"/>
      <c r="MWK567" s="3933"/>
      <c r="MWL567" s="3933"/>
      <c r="MWM567" s="621"/>
      <c r="MWN567" s="3933"/>
      <c r="MWO567" s="3933"/>
      <c r="MWP567" s="3933"/>
      <c r="MWQ567" s="621"/>
      <c r="MWR567" s="3933"/>
      <c r="MWS567" s="3933"/>
      <c r="MWT567" s="3933"/>
      <c r="MWU567" s="621"/>
      <c r="MWV567" s="3933"/>
      <c r="MWW567" s="3933"/>
      <c r="MWX567" s="3933"/>
      <c r="MWY567" s="621"/>
      <c r="MWZ567" s="3933"/>
      <c r="MXA567" s="3933"/>
      <c r="MXB567" s="3933"/>
      <c r="MXC567" s="621"/>
      <c r="MXD567" s="3933"/>
      <c r="MXE567" s="3933"/>
      <c r="MXF567" s="3933"/>
      <c r="MXG567" s="621"/>
      <c r="MXH567" s="3933"/>
      <c r="MXI567" s="3933"/>
      <c r="MXJ567" s="3933"/>
      <c r="MXK567" s="621"/>
      <c r="MXL567" s="3933"/>
      <c r="MXM567" s="3933"/>
      <c r="MXN567" s="3933"/>
      <c r="MXO567" s="621"/>
      <c r="MXP567" s="3933"/>
      <c r="MXQ567" s="3933"/>
      <c r="MXR567" s="3933"/>
      <c r="MXS567" s="621"/>
      <c r="MXT567" s="3933"/>
      <c r="MXU567" s="3933"/>
      <c r="MXV567" s="3933"/>
      <c r="MXW567" s="621"/>
      <c r="MXX567" s="3933"/>
      <c r="MXY567" s="3933"/>
      <c r="MXZ567" s="3933"/>
      <c r="MYA567" s="621"/>
      <c r="MYB567" s="3933"/>
      <c r="MYC567" s="3933"/>
      <c r="MYD567" s="3933"/>
      <c r="MYE567" s="621"/>
      <c r="MYF567" s="3933"/>
      <c r="MYG567" s="3933"/>
      <c r="MYH567" s="3933"/>
      <c r="MYI567" s="621"/>
      <c r="MYJ567" s="3933"/>
      <c r="MYK567" s="3933"/>
      <c r="MYL567" s="3933"/>
      <c r="MYM567" s="621"/>
      <c r="MYN567" s="3933"/>
      <c r="MYO567" s="3933"/>
      <c r="MYP567" s="3933"/>
      <c r="MYQ567" s="621"/>
      <c r="MYR567" s="3933"/>
      <c r="MYS567" s="3933"/>
      <c r="MYT567" s="3933"/>
      <c r="MYU567" s="621"/>
      <c r="MYV567" s="3933"/>
      <c r="MYW567" s="3933"/>
      <c r="MYX567" s="3933"/>
      <c r="MYY567" s="621"/>
      <c r="MYZ567" s="3933"/>
      <c r="MZA567" s="3933"/>
      <c r="MZB567" s="3933"/>
      <c r="MZC567" s="621"/>
      <c r="MZD567" s="3933"/>
      <c r="MZE567" s="3933"/>
      <c r="MZF567" s="3933"/>
      <c r="MZG567" s="621"/>
      <c r="MZH567" s="3933"/>
      <c r="MZI567" s="3933"/>
      <c r="MZJ567" s="3933"/>
      <c r="MZK567" s="621"/>
      <c r="MZL567" s="3933"/>
      <c r="MZM567" s="3933"/>
      <c r="MZN567" s="3933"/>
      <c r="MZO567" s="621"/>
      <c r="MZP567" s="3933"/>
      <c r="MZQ567" s="3933"/>
      <c r="MZR567" s="3933"/>
      <c r="MZS567" s="621"/>
      <c r="MZT567" s="3933"/>
      <c r="MZU567" s="3933"/>
      <c r="MZV567" s="3933"/>
      <c r="MZW567" s="621"/>
      <c r="MZX567" s="3933"/>
      <c r="MZY567" s="3933"/>
      <c r="MZZ567" s="3933"/>
      <c r="NAA567" s="621"/>
      <c r="NAB567" s="3933"/>
      <c r="NAC567" s="3933"/>
      <c r="NAD567" s="3933"/>
      <c r="NAE567" s="621"/>
      <c r="NAF567" s="3933"/>
      <c r="NAG567" s="3933"/>
      <c r="NAH567" s="3933"/>
      <c r="NAI567" s="621"/>
      <c r="NAJ567" s="3933"/>
      <c r="NAK567" s="3933"/>
      <c r="NAL567" s="3933"/>
      <c r="NAM567" s="621"/>
      <c r="NAN567" s="3933"/>
      <c r="NAO567" s="3933"/>
      <c r="NAP567" s="3933"/>
      <c r="NAQ567" s="621"/>
      <c r="NAR567" s="3933"/>
      <c r="NAS567" s="3933"/>
      <c r="NAT567" s="3933"/>
      <c r="NAU567" s="621"/>
      <c r="NAV567" s="3933"/>
      <c r="NAW567" s="3933"/>
      <c r="NAX567" s="3933"/>
      <c r="NAY567" s="621"/>
      <c r="NAZ567" s="3933"/>
      <c r="NBA567" s="3933"/>
      <c r="NBB567" s="3933"/>
      <c r="NBC567" s="621"/>
      <c r="NBD567" s="3933"/>
      <c r="NBE567" s="3933"/>
      <c r="NBF567" s="3933"/>
      <c r="NBG567" s="621"/>
      <c r="NBH567" s="3933"/>
      <c r="NBI567" s="3933"/>
      <c r="NBJ567" s="3933"/>
      <c r="NBK567" s="621"/>
      <c r="NBL567" s="3933"/>
      <c r="NBM567" s="3933"/>
      <c r="NBN567" s="3933"/>
      <c r="NBO567" s="621"/>
      <c r="NBP567" s="3933"/>
      <c r="NBQ567" s="3933"/>
      <c r="NBR567" s="3933"/>
      <c r="NBS567" s="621"/>
      <c r="NBT567" s="3933"/>
      <c r="NBU567" s="3933"/>
      <c r="NBV567" s="3933"/>
      <c r="NBW567" s="621"/>
      <c r="NBX567" s="3933"/>
      <c r="NBY567" s="3933"/>
      <c r="NBZ567" s="3933"/>
      <c r="NCA567" s="621"/>
      <c r="NCB567" s="3933"/>
      <c r="NCC567" s="3933"/>
      <c r="NCD567" s="3933"/>
      <c r="NCE567" s="621"/>
      <c r="NCF567" s="3933"/>
      <c r="NCG567" s="3933"/>
      <c r="NCH567" s="3933"/>
      <c r="NCI567" s="621"/>
      <c r="NCJ567" s="3933"/>
      <c r="NCK567" s="3933"/>
      <c r="NCL567" s="3933"/>
      <c r="NCM567" s="621"/>
      <c r="NCN567" s="3933"/>
      <c r="NCO567" s="3933"/>
      <c r="NCP567" s="3933"/>
      <c r="NCQ567" s="621"/>
      <c r="NCR567" s="3933"/>
      <c r="NCS567" s="3933"/>
      <c r="NCT567" s="3933"/>
      <c r="NCU567" s="621"/>
      <c r="NCV567" s="3933"/>
      <c r="NCW567" s="3933"/>
      <c r="NCX567" s="3933"/>
      <c r="NCY567" s="621"/>
      <c r="NCZ567" s="3933"/>
      <c r="NDA567" s="3933"/>
      <c r="NDB567" s="3933"/>
      <c r="NDC567" s="621"/>
      <c r="NDD567" s="3933"/>
      <c r="NDE567" s="3933"/>
      <c r="NDF567" s="3933"/>
      <c r="NDG567" s="621"/>
      <c r="NDH567" s="3933"/>
      <c r="NDI567" s="3933"/>
      <c r="NDJ567" s="3933"/>
      <c r="NDK567" s="621"/>
      <c r="NDL567" s="3933"/>
      <c r="NDM567" s="3933"/>
      <c r="NDN567" s="3933"/>
      <c r="NDO567" s="621"/>
      <c r="NDP567" s="3933"/>
      <c r="NDQ567" s="3933"/>
      <c r="NDR567" s="3933"/>
      <c r="NDS567" s="621"/>
      <c r="NDT567" s="3933"/>
      <c r="NDU567" s="3933"/>
      <c r="NDV567" s="3933"/>
      <c r="NDW567" s="621"/>
      <c r="NDX567" s="3933"/>
      <c r="NDY567" s="3933"/>
      <c r="NDZ567" s="3933"/>
      <c r="NEA567" s="621"/>
      <c r="NEB567" s="3933"/>
      <c r="NEC567" s="3933"/>
      <c r="NED567" s="3933"/>
      <c r="NEE567" s="621"/>
      <c r="NEF567" s="3933"/>
      <c r="NEG567" s="3933"/>
      <c r="NEH567" s="3933"/>
      <c r="NEI567" s="621"/>
      <c r="NEJ567" s="3933"/>
      <c r="NEK567" s="3933"/>
      <c r="NEL567" s="3933"/>
      <c r="NEM567" s="621"/>
      <c r="NEN567" s="3933"/>
      <c r="NEO567" s="3933"/>
      <c r="NEP567" s="3933"/>
      <c r="NEQ567" s="621"/>
      <c r="NER567" s="3933"/>
      <c r="NES567" s="3933"/>
      <c r="NET567" s="3933"/>
      <c r="NEU567" s="621"/>
      <c r="NEV567" s="3933"/>
      <c r="NEW567" s="3933"/>
      <c r="NEX567" s="3933"/>
      <c r="NEY567" s="621"/>
      <c r="NEZ567" s="3933"/>
      <c r="NFA567" s="3933"/>
      <c r="NFB567" s="3933"/>
      <c r="NFC567" s="621"/>
      <c r="NFD567" s="3933"/>
      <c r="NFE567" s="3933"/>
      <c r="NFF567" s="3933"/>
      <c r="NFG567" s="621"/>
      <c r="NFH567" s="3933"/>
      <c r="NFI567" s="3933"/>
      <c r="NFJ567" s="3933"/>
      <c r="NFK567" s="621"/>
      <c r="NFL567" s="3933"/>
      <c r="NFM567" s="3933"/>
      <c r="NFN567" s="3933"/>
      <c r="NFO567" s="621"/>
      <c r="NFP567" s="3933"/>
      <c r="NFQ567" s="3933"/>
      <c r="NFR567" s="3933"/>
      <c r="NFS567" s="621"/>
      <c r="NFT567" s="3933"/>
      <c r="NFU567" s="3933"/>
      <c r="NFV567" s="3933"/>
      <c r="NFW567" s="621"/>
      <c r="NFX567" s="3933"/>
      <c r="NFY567" s="3933"/>
      <c r="NFZ567" s="3933"/>
      <c r="NGA567" s="621"/>
      <c r="NGB567" s="3933"/>
      <c r="NGC567" s="3933"/>
      <c r="NGD567" s="3933"/>
      <c r="NGE567" s="621"/>
      <c r="NGF567" s="3933"/>
      <c r="NGG567" s="3933"/>
      <c r="NGH567" s="3933"/>
      <c r="NGI567" s="621"/>
      <c r="NGJ567" s="3933"/>
      <c r="NGK567" s="3933"/>
      <c r="NGL567" s="3933"/>
      <c r="NGM567" s="621"/>
      <c r="NGN567" s="3933"/>
      <c r="NGO567" s="3933"/>
      <c r="NGP567" s="3933"/>
      <c r="NGQ567" s="621"/>
      <c r="NGR567" s="3933"/>
      <c r="NGS567" s="3933"/>
      <c r="NGT567" s="3933"/>
      <c r="NGU567" s="621"/>
      <c r="NGV567" s="3933"/>
      <c r="NGW567" s="3933"/>
      <c r="NGX567" s="3933"/>
      <c r="NGY567" s="621"/>
      <c r="NGZ567" s="3933"/>
      <c r="NHA567" s="3933"/>
      <c r="NHB567" s="3933"/>
      <c r="NHC567" s="621"/>
      <c r="NHD567" s="3933"/>
      <c r="NHE567" s="3933"/>
      <c r="NHF567" s="3933"/>
      <c r="NHG567" s="621"/>
      <c r="NHH567" s="3933"/>
      <c r="NHI567" s="3933"/>
      <c r="NHJ567" s="3933"/>
      <c r="NHK567" s="621"/>
      <c r="NHL567" s="3933"/>
      <c r="NHM567" s="3933"/>
      <c r="NHN567" s="3933"/>
      <c r="NHO567" s="621"/>
      <c r="NHP567" s="3933"/>
      <c r="NHQ567" s="3933"/>
      <c r="NHR567" s="3933"/>
      <c r="NHS567" s="621"/>
      <c r="NHT567" s="3933"/>
      <c r="NHU567" s="3933"/>
      <c r="NHV567" s="3933"/>
      <c r="NHW567" s="621"/>
      <c r="NHX567" s="3933"/>
      <c r="NHY567" s="3933"/>
      <c r="NHZ567" s="3933"/>
      <c r="NIA567" s="621"/>
      <c r="NIB567" s="3933"/>
      <c r="NIC567" s="3933"/>
      <c r="NID567" s="3933"/>
      <c r="NIE567" s="621"/>
      <c r="NIF567" s="3933"/>
      <c r="NIG567" s="3933"/>
      <c r="NIH567" s="3933"/>
      <c r="NII567" s="621"/>
      <c r="NIJ567" s="3933"/>
      <c r="NIK567" s="3933"/>
      <c r="NIL567" s="3933"/>
      <c r="NIM567" s="621"/>
      <c r="NIN567" s="3933"/>
      <c r="NIO567" s="3933"/>
      <c r="NIP567" s="3933"/>
      <c r="NIQ567" s="621"/>
      <c r="NIR567" s="3933"/>
      <c r="NIS567" s="3933"/>
      <c r="NIT567" s="3933"/>
      <c r="NIU567" s="621"/>
      <c r="NIV567" s="3933"/>
      <c r="NIW567" s="3933"/>
      <c r="NIX567" s="3933"/>
      <c r="NIY567" s="621"/>
      <c r="NIZ567" s="3933"/>
      <c r="NJA567" s="3933"/>
      <c r="NJB567" s="3933"/>
      <c r="NJC567" s="621"/>
      <c r="NJD567" s="3933"/>
      <c r="NJE567" s="3933"/>
      <c r="NJF567" s="3933"/>
      <c r="NJG567" s="621"/>
      <c r="NJH567" s="3933"/>
      <c r="NJI567" s="3933"/>
      <c r="NJJ567" s="3933"/>
      <c r="NJK567" s="621"/>
      <c r="NJL567" s="3933"/>
      <c r="NJM567" s="3933"/>
      <c r="NJN567" s="3933"/>
      <c r="NJO567" s="621"/>
      <c r="NJP567" s="3933"/>
      <c r="NJQ567" s="3933"/>
      <c r="NJR567" s="3933"/>
      <c r="NJS567" s="621"/>
      <c r="NJT567" s="3933"/>
      <c r="NJU567" s="3933"/>
      <c r="NJV567" s="3933"/>
      <c r="NJW567" s="621"/>
      <c r="NJX567" s="3933"/>
      <c r="NJY567" s="3933"/>
      <c r="NJZ567" s="3933"/>
      <c r="NKA567" s="621"/>
      <c r="NKB567" s="3933"/>
      <c r="NKC567" s="3933"/>
      <c r="NKD567" s="3933"/>
      <c r="NKE567" s="621"/>
      <c r="NKF567" s="3933"/>
      <c r="NKG567" s="3933"/>
      <c r="NKH567" s="3933"/>
      <c r="NKI567" s="621"/>
      <c r="NKJ567" s="3933"/>
      <c r="NKK567" s="3933"/>
      <c r="NKL567" s="3933"/>
      <c r="NKM567" s="621"/>
      <c r="NKN567" s="3933"/>
      <c r="NKO567" s="3933"/>
      <c r="NKP567" s="3933"/>
      <c r="NKQ567" s="621"/>
      <c r="NKR567" s="3933"/>
      <c r="NKS567" s="3933"/>
      <c r="NKT567" s="3933"/>
      <c r="NKU567" s="621"/>
      <c r="NKV567" s="3933"/>
      <c r="NKW567" s="3933"/>
      <c r="NKX567" s="3933"/>
      <c r="NKY567" s="621"/>
      <c r="NKZ567" s="3933"/>
      <c r="NLA567" s="3933"/>
      <c r="NLB567" s="3933"/>
      <c r="NLC567" s="621"/>
      <c r="NLD567" s="3933"/>
      <c r="NLE567" s="3933"/>
      <c r="NLF567" s="3933"/>
      <c r="NLG567" s="621"/>
      <c r="NLH567" s="3933"/>
      <c r="NLI567" s="3933"/>
      <c r="NLJ567" s="3933"/>
      <c r="NLK567" s="621"/>
      <c r="NLL567" s="3933"/>
      <c r="NLM567" s="3933"/>
      <c r="NLN567" s="3933"/>
      <c r="NLO567" s="621"/>
      <c r="NLP567" s="3933"/>
      <c r="NLQ567" s="3933"/>
      <c r="NLR567" s="3933"/>
      <c r="NLS567" s="621"/>
      <c r="NLT567" s="3933"/>
      <c r="NLU567" s="3933"/>
      <c r="NLV567" s="3933"/>
      <c r="NLW567" s="621"/>
      <c r="NLX567" s="3933"/>
      <c r="NLY567" s="3933"/>
      <c r="NLZ567" s="3933"/>
      <c r="NMA567" s="621"/>
      <c r="NMB567" s="3933"/>
      <c r="NMC567" s="3933"/>
      <c r="NMD567" s="3933"/>
      <c r="NME567" s="621"/>
      <c r="NMF567" s="3933"/>
      <c r="NMG567" s="3933"/>
      <c r="NMH567" s="3933"/>
      <c r="NMI567" s="621"/>
      <c r="NMJ567" s="3933"/>
      <c r="NMK567" s="3933"/>
      <c r="NML567" s="3933"/>
      <c r="NMM567" s="621"/>
      <c r="NMN567" s="3933"/>
      <c r="NMO567" s="3933"/>
      <c r="NMP567" s="3933"/>
      <c r="NMQ567" s="621"/>
      <c r="NMR567" s="3933"/>
      <c r="NMS567" s="3933"/>
      <c r="NMT567" s="3933"/>
      <c r="NMU567" s="621"/>
      <c r="NMV567" s="3933"/>
      <c r="NMW567" s="3933"/>
      <c r="NMX567" s="3933"/>
      <c r="NMY567" s="621"/>
      <c r="NMZ567" s="3933"/>
      <c r="NNA567" s="3933"/>
      <c r="NNB567" s="3933"/>
      <c r="NNC567" s="621"/>
      <c r="NND567" s="3933"/>
      <c r="NNE567" s="3933"/>
      <c r="NNF567" s="3933"/>
      <c r="NNG567" s="621"/>
      <c r="NNH567" s="3933"/>
      <c r="NNI567" s="3933"/>
      <c r="NNJ567" s="3933"/>
      <c r="NNK567" s="621"/>
      <c r="NNL567" s="3933"/>
      <c r="NNM567" s="3933"/>
      <c r="NNN567" s="3933"/>
      <c r="NNO567" s="621"/>
      <c r="NNP567" s="3933"/>
      <c r="NNQ567" s="3933"/>
      <c r="NNR567" s="3933"/>
      <c r="NNS567" s="621"/>
      <c r="NNT567" s="3933"/>
      <c r="NNU567" s="3933"/>
      <c r="NNV567" s="3933"/>
      <c r="NNW567" s="621"/>
      <c r="NNX567" s="3933"/>
      <c r="NNY567" s="3933"/>
      <c r="NNZ567" s="3933"/>
      <c r="NOA567" s="621"/>
      <c r="NOB567" s="3933"/>
      <c r="NOC567" s="3933"/>
      <c r="NOD567" s="3933"/>
      <c r="NOE567" s="621"/>
      <c r="NOF567" s="3933"/>
      <c r="NOG567" s="3933"/>
      <c r="NOH567" s="3933"/>
      <c r="NOI567" s="621"/>
      <c r="NOJ567" s="3933"/>
      <c r="NOK567" s="3933"/>
      <c r="NOL567" s="3933"/>
      <c r="NOM567" s="621"/>
      <c r="NON567" s="3933"/>
      <c r="NOO567" s="3933"/>
      <c r="NOP567" s="3933"/>
      <c r="NOQ567" s="621"/>
      <c r="NOR567" s="3933"/>
      <c r="NOS567" s="3933"/>
      <c r="NOT567" s="3933"/>
      <c r="NOU567" s="621"/>
      <c r="NOV567" s="3933"/>
      <c r="NOW567" s="3933"/>
      <c r="NOX567" s="3933"/>
      <c r="NOY567" s="621"/>
      <c r="NOZ567" s="3933"/>
      <c r="NPA567" s="3933"/>
      <c r="NPB567" s="3933"/>
      <c r="NPC567" s="621"/>
      <c r="NPD567" s="3933"/>
      <c r="NPE567" s="3933"/>
      <c r="NPF567" s="3933"/>
      <c r="NPG567" s="621"/>
      <c r="NPH567" s="3933"/>
      <c r="NPI567" s="3933"/>
      <c r="NPJ567" s="3933"/>
      <c r="NPK567" s="621"/>
      <c r="NPL567" s="3933"/>
      <c r="NPM567" s="3933"/>
      <c r="NPN567" s="3933"/>
      <c r="NPO567" s="621"/>
      <c r="NPP567" s="3933"/>
      <c r="NPQ567" s="3933"/>
      <c r="NPR567" s="3933"/>
      <c r="NPS567" s="621"/>
      <c r="NPT567" s="3933"/>
      <c r="NPU567" s="3933"/>
      <c r="NPV567" s="3933"/>
      <c r="NPW567" s="621"/>
      <c r="NPX567" s="3933"/>
      <c r="NPY567" s="3933"/>
      <c r="NPZ567" s="3933"/>
      <c r="NQA567" s="621"/>
      <c r="NQB567" s="3933"/>
      <c r="NQC567" s="3933"/>
      <c r="NQD567" s="3933"/>
      <c r="NQE567" s="621"/>
      <c r="NQF567" s="3933"/>
      <c r="NQG567" s="3933"/>
      <c r="NQH567" s="3933"/>
      <c r="NQI567" s="621"/>
      <c r="NQJ567" s="3933"/>
      <c r="NQK567" s="3933"/>
      <c r="NQL567" s="3933"/>
      <c r="NQM567" s="621"/>
      <c r="NQN567" s="3933"/>
      <c r="NQO567" s="3933"/>
      <c r="NQP567" s="3933"/>
      <c r="NQQ567" s="621"/>
      <c r="NQR567" s="3933"/>
      <c r="NQS567" s="3933"/>
      <c r="NQT567" s="3933"/>
      <c r="NQU567" s="621"/>
      <c r="NQV567" s="3933"/>
      <c r="NQW567" s="3933"/>
      <c r="NQX567" s="3933"/>
      <c r="NQY567" s="621"/>
      <c r="NQZ567" s="3933"/>
      <c r="NRA567" s="3933"/>
      <c r="NRB567" s="3933"/>
      <c r="NRC567" s="621"/>
      <c r="NRD567" s="3933"/>
      <c r="NRE567" s="3933"/>
      <c r="NRF567" s="3933"/>
      <c r="NRG567" s="621"/>
      <c r="NRH567" s="3933"/>
      <c r="NRI567" s="3933"/>
      <c r="NRJ567" s="3933"/>
      <c r="NRK567" s="621"/>
      <c r="NRL567" s="3933"/>
      <c r="NRM567" s="3933"/>
      <c r="NRN567" s="3933"/>
      <c r="NRO567" s="621"/>
      <c r="NRP567" s="3933"/>
      <c r="NRQ567" s="3933"/>
      <c r="NRR567" s="3933"/>
      <c r="NRS567" s="621"/>
      <c r="NRT567" s="3933"/>
      <c r="NRU567" s="3933"/>
      <c r="NRV567" s="3933"/>
      <c r="NRW567" s="621"/>
      <c r="NRX567" s="3933"/>
      <c r="NRY567" s="3933"/>
      <c r="NRZ567" s="3933"/>
      <c r="NSA567" s="621"/>
      <c r="NSB567" s="3933"/>
      <c r="NSC567" s="3933"/>
      <c r="NSD567" s="3933"/>
      <c r="NSE567" s="621"/>
      <c r="NSF567" s="3933"/>
      <c r="NSG567" s="3933"/>
      <c r="NSH567" s="3933"/>
      <c r="NSI567" s="621"/>
      <c r="NSJ567" s="3933"/>
      <c r="NSK567" s="3933"/>
      <c r="NSL567" s="3933"/>
      <c r="NSM567" s="621"/>
      <c r="NSN567" s="3933"/>
      <c r="NSO567" s="3933"/>
      <c r="NSP567" s="3933"/>
      <c r="NSQ567" s="621"/>
      <c r="NSR567" s="3933"/>
      <c r="NSS567" s="3933"/>
      <c r="NST567" s="3933"/>
      <c r="NSU567" s="621"/>
      <c r="NSV567" s="3933"/>
      <c r="NSW567" s="3933"/>
      <c r="NSX567" s="3933"/>
      <c r="NSY567" s="621"/>
      <c r="NSZ567" s="3933"/>
      <c r="NTA567" s="3933"/>
      <c r="NTB567" s="3933"/>
      <c r="NTC567" s="621"/>
      <c r="NTD567" s="3933"/>
      <c r="NTE567" s="3933"/>
      <c r="NTF567" s="3933"/>
      <c r="NTG567" s="621"/>
      <c r="NTH567" s="3933"/>
      <c r="NTI567" s="3933"/>
      <c r="NTJ567" s="3933"/>
      <c r="NTK567" s="621"/>
      <c r="NTL567" s="3933"/>
      <c r="NTM567" s="3933"/>
      <c r="NTN567" s="3933"/>
      <c r="NTO567" s="621"/>
      <c r="NTP567" s="3933"/>
      <c r="NTQ567" s="3933"/>
      <c r="NTR567" s="3933"/>
      <c r="NTS567" s="621"/>
      <c r="NTT567" s="3933"/>
      <c r="NTU567" s="3933"/>
      <c r="NTV567" s="3933"/>
      <c r="NTW567" s="621"/>
      <c r="NTX567" s="3933"/>
      <c r="NTY567" s="3933"/>
      <c r="NTZ567" s="3933"/>
      <c r="NUA567" s="621"/>
      <c r="NUB567" s="3933"/>
      <c r="NUC567" s="3933"/>
      <c r="NUD567" s="3933"/>
      <c r="NUE567" s="621"/>
      <c r="NUF567" s="3933"/>
      <c r="NUG567" s="3933"/>
      <c r="NUH567" s="3933"/>
      <c r="NUI567" s="621"/>
      <c r="NUJ567" s="3933"/>
      <c r="NUK567" s="3933"/>
      <c r="NUL567" s="3933"/>
      <c r="NUM567" s="621"/>
      <c r="NUN567" s="3933"/>
      <c r="NUO567" s="3933"/>
      <c r="NUP567" s="3933"/>
      <c r="NUQ567" s="621"/>
      <c r="NUR567" s="3933"/>
      <c r="NUS567" s="3933"/>
      <c r="NUT567" s="3933"/>
      <c r="NUU567" s="621"/>
      <c r="NUV567" s="3933"/>
      <c r="NUW567" s="3933"/>
      <c r="NUX567" s="3933"/>
      <c r="NUY567" s="621"/>
      <c r="NUZ567" s="3933"/>
      <c r="NVA567" s="3933"/>
      <c r="NVB567" s="3933"/>
      <c r="NVC567" s="621"/>
      <c r="NVD567" s="3933"/>
      <c r="NVE567" s="3933"/>
      <c r="NVF567" s="3933"/>
      <c r="NVG567" s="621"/>
      <c r="NVH567" s="3933"/>
      <c r="NVI567" s="3933"/>
      <c r="NVJ567" s="3933"/>
      <c r="NVK567" s="621"/>
      <c r="NVL567" s="3933"/>
      <c r="NVM567" s="3933"/>
      <c r="NVN567" s="3933"/>
      <c r="NVO567" s="621"/>
      <c r="NVP567" s="3933"/>
      <c r="NVQ567" s="3933"/>
      <c r="NVR567" s="3933"/>
      <c r="NVS567" s="621"/>
      <c r="NVT567" s="3933"/>
      <c r="NVU567" s="3933"/>
      <c r="NVV567" s="3933"/>
      <c r="NVW567" s="621"/>
      <c r="NVX567" s="3933"/>
      <c r="NVY567" s="3933"/>
      <c r="NVZ567" s="3933"/>
      <c r="NWA567" s="621"/>
      <c r="NWB567" s="3933"/>
      <c r="NWC567" s="3933"/>
      <c r="NWD567" s="3933"/>
      <c r="NWE567" s="621"/>
      <c r="NWF567" s="3933"/>
      <c r="NWG567" s="3933"/>
      <c r="NWH567" s="3933"/>
      <c r="NWI567" s="621"/>
      <c r="NWJ567" s="3933"/>
      <c r="NWK567" s="3933"/>
      <c r="NWL567" s="3933"/>
      <c r="NWM567" s="621"/>
      <c r="NWN567" s="3933"/>
      <c r="NWO567" s="3933"/>
      <c r="NWP567" s="3933"/>
      <c r="NWQ567" s="621"/>
      <c r="NWR567" s="3933"/>
      <c r="NWS567" s="3933"/>
      <c r="NWT567" s="3933"/>
      <c r="NWU567" s="621"/>
      <c r="NWV567" s="3933"/>
      <c r="NWW567" s="3933"/>
      <c r="NWX567" s="3933"/>
      <c r="NWY567" s="621"/>
      <c r="NWZ567" s="3933"/>
      <c r="NXA567" s="3933"/>
      <c r="NXB567" s="3933"/>
      <c r="NXC567" s="621"/>
      <c r="NXD567" s="3933"/>
      <c r="NXE567" s="3933"/>
      <c r="NXF567" s="3933"/>
      <c r="NXG567" s="621"/>
      <c r="NXH567" s="3933"/>
      <c r="NXI567" s="3933"/>
      <c r="NXJ567" s="3933"/>
      <c r="NXK567" s="621"/>
      <c r="NXL567" s="3933"/>
      <c r="NXM567" s="3933"/>
      <c r="NXN567" s="3933"/>
      <c r="NXO567" s="621"/>
      <c r="NXP567" s="3933"/>
      <c r="NXQ567" s="3933"/>
      <c r="NXR567" s="3933"/>
      <c r="NXS567" s="621"/>
      <c r="NXT567" s="3933"/>
      <c r="NXU567" s="3933"/>
      <c r="NXV567" s="3933"/>
      <c r="NXW567" s="621"/>
      <c r="NXX567" s="3933"/>
      <c r="NXY567" s="3933"/>
      <c r="NXZ567" s="3933"/>
      <c r="NYA567" s="621"/>
      <c r="NYB567" s="3933"/>
      <c r="NYC567" s="3933"/>
      <c r="NYD567" s="3933"/>
      <c r="NYE567" s="621"/>
      <c r="NYF567" s="3933"/>
      <c r="NYG567" s="3933"/>
      <c r="NYH567" s="3933"/>
      <c r="NYI567" s="621"/>
      <c r="NYJ567" s="3933"/>
      <c r="NYK567" s="3933"/>
      <c r="NYL567" s="3933"/>
      <c r="NYM567" s="621"/>
      <c r="NYN567" s="3933"/>
      <c r="NYO567" s="3933"/>
      <c r="NYP567" s="3933"/>
      <c r="NYQ567" s="621"/>
      <c r="NYR567" s="3933"/>
      <c r="NYS567" s="3933"/>
      <c r="NYT567" s="3933"/>
      <c r="NYU567" s="621"/>
      <c r="NYV567" s="3933"/>
      <c r="NYW567" s="3933"/>
      <c r="NYX567" s="3933"/>
      <c r="NYY567" s="621"/>
      <c r="NYZ567" s="3933"/>
      <c r="NZA567" s="3933"/>
      <c r="NZB567" s="3933"/>
      <c r="NZC567" s="621"/>
      <c r="NZD567" s="3933"/>
      <c r="NZE567" s="3933"/>
      <c r="NZF567" s="3933"/>
      <c r="NZG567" s="621"/>
      <c r="NZH567" s="3933"/>
      <c r="NZI567" s="3933"/>
      <c r="NZJ567" s="3933"/>
      <c r="NZK567" s="621"/>
      <c r="NZL567" s="3933"/>
      <c r="NZM567" s="3933"/>
      <c r="NZN567" s="3933"/>
      <c r="NZO567" s="621"/>
      <c r="NZP567" s="3933"/>
      <c r="NZQ567" s="3933"/>
      <c r="NZR567" s="3933"/>
      <c r="NZS567" s="621"/>
      <c r="NZT567" s="3933"/>
      <c r="NZU567" s="3933"/>
      <c r="NZV567" s="3933"/>
      <c r="NZW567" s="621"/>
      <c r="NZX567" s="3933"/>
      <c r="NZY567" s="3933"/>
      <c r="NZZ567" s="3933"/>
      <c r="OAA567" s="621"/>
      <c r="OAB567" s="3933"/>
      <c r="OAC567" s="3933"/>
      <c r="OAD567" s="3933"/>
      <c r="OAE567" s="621"/>
      <c r="OAF567" s="3933"/>
      <c r="OAG567" s="3933"/>
      <c r="OAH567" s="3933"/>
      <c r="OAI567" s="621"/>
      <c r="OAJ567" s="3933"/>
      <c r="OAK567" s="3933"/>
      <c r="OAL567" s="3933"/>
      <c r="OAM567" s="621"/>
      <c r="OAN567" s="3933"/>
      <c r="OAO567" s="3933"/>
      <c r="OAP567" s="3933"/>
      <c r="OAQ567" s="621"/>
      <c r="OAR567" s="3933"/>
      <c r="OAS567" s="3933"/>
      <c r="OAT567" s="3933"/>
      <c r="OAU567" s="621"/>
      <c r="OAV567" s="3933"/>
      <c r="OAW567" s="3933"/>
      <c r="OAX567" s="3933"/>
      <c r="OAY567" s="621"/>
      <c r="OAZ567" s="3933"/>
      <c r="OBA567" s="3933"/>
      <c r="OBB567" s="3933"/>
      <c r="OBC567" s="621"/>
      <c r="OBD567" s="3933"/>
      <c r="OBE567" s="3933"/>
      <c r="OBF567" s="3933"/>
      <c r="OBG567" s="621"/>
      <c r="OBH567" s="3933"/>
      <c r="OBI567" s="3933"/>
      <c r="OBJ567" s="3933"/>
      <c r="OBK567" s="621"/>
      <c r="OBL567" s="3933"/>
      <c r="OBM567" s="3933"/>
      <c r="OBN567" s="3933"/>
      <c r="OBO567" s="621"/>
      <c r="OBP567" s="3933"/>
      <c r="OBQ567" s="3933"/>
      <c r="OBR567" s="3933"/>
      <c r="OBS567" s="621"/>
      <c r="OBT567" s="3933"/>
      <c r="OBU567" s="3933"/>
      <c r="OBV567" s="3933"/>
      <c r="OBW567" s="621"/>
      <c r="OBX567" s="3933"/>
      <c r="OBY567" s="3933"/>
      <c r="OBZ567" s="3933"/>
      <c r="OCA567" s="621"/>
      <c r="OCB567" s="3933"/>
      <c r="OCC567" s="3933"/>
      <c r="OCD567" s="3933"/>
      <c r="OCE567" s="621"/>
      <c r="OCF567" s="3933"/>
      <c r="OCG567" s="3933"/>
      <c r="OCH567" s="3933"/>
      <c r="OCI567" s="621"/>
      <c r="OCJ567" s="3933"/>
      <c r="OCK567" s="3933"/>
      <c r="OCL567" s="3933"/>
      <c r="OCM567" s="621"/>
      <c r="OCN567" s="3933"/>
      <c r="OCO567" s="3933"/>
      <c r="OCP567" s="3933"/>
      <c r="OCQ567" s="621"/>
      <c r="OCR567" s="3933"/>
      <c r="OCS567" s="3933"/>
      <c r="OCT567" s="3933"/>
      <c r="OCU567" s="621"/>
      <c r="OCV567" s="3933"/>
      <c r="OCW567" s="3933"/>
      <c r="OCX567" s="3933"/>
      <c r="OCY567" s="621"/>
      <c r="OCZ567" s="3933"/>
      <c r="ODA567" s="3933"/>
      <c r="ODB567" s="3933"/>
      <c r="ODC567" s="621"/>
      <c r="ODD567" s="3933"/>
      <c r="ODE567" s="3933"/>
      <c r="ODF567" s="3933"/>
      <c r="ODG567" s="621"/>
      <c r="ODH567" s="3933"/>
      <c r="ODI567" s="3933"/>
      <c r="ODJ567" s="3933"/>
      <c r="ODK567" s="621"/>
      <c r="ODL567" s="3933"/>
      <c r="ODM567" s="3933"/>
      <c r="ODN567" s="3933"/>
      <c r="ODO567" s="621"/>
      <c r="ODP567" s="3933"/>
      <c r="ODQ567" s="3933"/>
      <c r="ODR567" s="3933"/>
      <c r="ODS567" s="621"/>
      <c r="ODT567" s="3933"/>
      <c r="ODU567" s="3933"/>
      <c r="ODV567" s="3933"/>
      <c r="ODW567" s="621"/>
      <c r="ODX567" s="3933"/>
      <c r="ODY567" s="3933"/>
      <c r="ODZ567" s="3933"/>
      <c r="OEA567" s="621"/>
      <c r="OEB567" s="3933"/>
      <c r="OEC567" s="3933"/>
      <c r="OED567" s="3933"/>
      <c r="OEE567" s="621"/>
      <c r="OEF567" s="3933"/>
      <c r="OEG567" s="3933"/>
      <c r="OEH567" s="3933"/>
      <c r="OEI567" s="621"/>
      <c r="OEJ567" s="3933"/>
      <c r="OEK567" s="3933"/>
      <c r="OEL567" s="3933"/>
      <c r="OEM567" s="621"/>
      <c r="OEN567" s="3933"/>
      <c r="OEO567" s="3933"/>
      <c r="OEP567" s="3933"/>
      <c r="OEQ567" s="621"/>
      <c r="OER567" s="3933"/>
      <c r="OES567" s="3933"/>
      <c r="OET567" s="3933"/>
      <c r="OEU567" s="621"/>
      <c r="OEV567" s="3933"/>
      <c r="OEW567" s="3933"/>
      <c r="OEX567" s="3933"/>
      <c r="OEY567" s="621"/>
      <c r="OEZ567" s="3933"/>
      <c r="OFA567" s="3933"/>
      <c r="OFB567" s="3933"/>
      <c r="OFC567" s="621"/>
      <c r="OFD567" s="3933"/>
      <c r="OFE567" s="3933"/>
      <c r="OFF567" s="3933"/>
      <c r="OFG567" s="621"/>
      <c r="OFH567" s="3933"/>
      <c r="OFI567" s="3933"/>
      <c r="OFJ567" s="3933"/>
      <c r="OFK567" s="621"/>
      <c r="OFL567" s="3933"/>
      <c r="OFM567" s="3933"/>
      <c r="OFN567" s="3933"/>
      <c r="OFO567" s="621"/>
      <c r="OFP567" s="3933"/>
      <c r="OFQ567" s="3933"/>
      <c r="OFR567" s="3933"/>
      <c r="OFS567" s="621"/>
      <c r="OFT567" s="3933"/>
      <c r="OFU567" s="3933"/>
      <c r="OFV567" s="3933"/>
      <c r="OFW567" s="621"/>
      <c r="OFX567" s="3933"/>
      <c r="OFY567" s="3933"/>
      <c r="OFZ567" s="3933"/>
      <c r="OGA567" s="621"/>
      <c r="OGB567" s="3933"/>
      <c r="OGC567" s="3933"/>
      <c r="OGD567" s="3933"/>
      <c r="OGE567" s="621"/>
      <c r="OGF567" s="3933"/>
      <c r="OGG567" s="3933"/>
      <c r="OGH567" s="3933"/>
      <c r="OGI567" s="621"/>
      <c r="OGJ567" s="3933"/>
      <c r="OGK567" s="3933"/>
      <c r="OGL567" s="3933"/>
      <c r="OGM567" s="621"/>
      <c r="OGN567" s="3933"/>
      <c r="OGO567" s="3933"/>
      <c r="OGP567" s="3933"/>
      <c r="OGQ567" s="621"/>
      <c r="OGR567" s="3933"/>
      <c r="OGS567" s="3933"/>
      <c r="OGT567" s="3933"/>
      <c r="OGU567" s="621"/>
      <c r="OGV567" s="3933"/>
      <c r="OGW567" s="3933"/>
      <c r="OGX567" s="3933"/>
      <c r="OGY567" s="621"/>
      <c r="OGZ567" s="3933"/>
      <c r="OHA567" s="3933"/>
      <c r="OHB567" s="3933"/>
      <c r="OHC567" s="621"/>
      <c r="OHD567" s="3933"/>
      <c r="OHE567" s="3933"/>
      <c r="OHF567" s="3933"/>
      <c r="OHG567" s="621"/>
      <c r="OHH567" s="3933"/>
      <c r="OHI567" s="3933"/>
      <c r="OHJ567" s="3933"/>
      <c r="OHK567" s="621"/>
      <c r="OHL567" s="3933"/>
      <c r="OHM567" s="3933"/>
      <c r="OHN567" s="3933"/>
      <c r="OHO567" s="621"/>
      <c r="OHP567" s="3933"/>
      <c r="OHQ567" s="3933"/>
      <c r="OHR567" s="3933"/>
      <c r="OHS567" s="621"/>
      <c r="OHT567" s="3933"/>
      <c r="OHU567" s="3933"/>
      <c r="OHV567" s="3933"/>
      <c r="OHW567" s="621"/>
      <c r="OHX567" s="3933"/>
      <c r="OHY567" s="3933"/>
      <c r="OHZ567" s="3933"/>
      <c r="OIA567" s="621"/>
      <c r="OIB567" s="3933"/>
      <c r="OIC567" s="3933"/>
      <c r="OID567" s="3933"/>
      <c r="OIE567" s="621"/>
      <c r="OIF567" s="3933"/>
      <c r="OIG567" s="3933"/>
      <c r="OIH567" s="3933"/>
      <c r="OII567" s="621"/>
      <c r="OIJ567" s="3933"/>
      <c r="OIK567" s="3933"/>
      <c r="OIL567" s="3933"/>
      <c r="OIM567" s="621"/>
      <c r="OIN567" s="3933"/>
      <c r="OIO567" s="3933"/>
      <c r="OIP567" s="3933"/>
      <c r="OIQ567" s="621"/>
      <c r="OIR567" s="3933"/>
      <c r="OIS567" s="3933"/>
      <c r="OIT567" s="3933"/>
      <c r="OIU567" s="621"/>
      <c r="OIV567" s="3933"/>
      <c r="OIW567" s="3933"/>
      <c r="OIX567" s="3933"/>
      <c r="OIY567" s="621"/>
      <c r="OIZ567" s="3933"/>
      <c r="OJA567" s="3933"/>
      <c r="OJB567" s="3933"/>
      <c r="OJC567" s="621"/>
      <c r="OJD567" s="3933"/>
      <c r="OJE567" s="3933"/>
      <c r="OJF567" s="3933"/>
      <c r="OJG567" s="621"/>
      <c r="OJH567" s="3933"/>
      <c r="OJI567" s="3933"/>
      <c r="OJJ567" s="3933"/>
      <c r="OJK567" s="621"/>
      <c r="OJL567" s="3933"/>
      <c r="OJM567" s="3933"/>
      <c r="OJN567" s="3933"/>
      <c r="OJO567" s="621"/>
      <c r="OJP567" s="3933"/>
      <c r="OJQ567" s="3933"/>
      <c r="OJR567" s="3933"/>
      <c r="OJS567" s="621"/>
      <c r="OJT567" s="3933"/>
      <c r="OJU567" s="3933"/>
      <c r="OJV567" s="3933"/>
      <c r="OJW567" s="621"/>
      <c r="OJX567" s="3933"/>
      <c r="OJY567" s="3933"/>
      <c r="OJZ567" s="3933"/>
      <c r="OKA567" s="621"/>
      <c r="OKB567" s="3933"/>
      <c r="OKC567" s="3933"/>
      <c r="OKD567" s="3933"/>
      <c r="OKE567" s="621"/>
      <c r="OKF567" s="3933"/>
      <c r="OKG567" s="3933"/>
      <c r="OKH567" s="3933"/>
      <c r="OKI567" s="621"/>
      <c r="OKJ567" s="3933"/>
      <c r="OKK567" s="3933"/>
      <c r="OKL567" s="3933"/>
      <c r="OKM567" s="621"/>
      <c r="OKN567" s="3933"/>
      <c r="OKO567" s="3933"/>
      <c r="OKP567" s="3933"/>
      <c r="OKQ567" s="621"/>
      <c r="OKR567" s="3933"/>
      <c r="OKS567" s="3933"/>
      <c r="OKT567" s="3933"/>
      <c r="OKU567" s="621"/>
      <c r="OKV567" s="3933"/>
      <c r="OKW567" s="3933"/>
      <c r="OKX567" s="3933"/>
      <c r="OKY567" s="621"/>
      <c r="OKZ567" s="3933"/>
      <c r="OLA567" s="3933"/>
      <c r="OLB567" s="3933"/>
      <c r="OLC567" s="621"/>
      <c r="OLD567" s="3933"/>
      <c r="OLE567" s="3933"/>
      <c r="OLF567" s="3933"/>
      <c r="OLG567" s="621"/>
      <c r="OLH567" s="3933"/>
      <c r="OLI567" s="3933"/>
      <c r="OLJ567" s="3933"/>
      <c r="OLK567" s="621"/>
      <c r="OLL567" s="3933"/>
      <c r="OLM567" s="3933"/>
      <c r="OLN567" s="3933"/>
      <c r="OLO567" s="621"/>
      <c r="OLP567" s="3933"/>
      <c r="OLQ567" s="3933"/>
      <c r="OLR567" s="3933"/>
      <c r="OLS567" s="621"/>
      <c r="OLT567" s="3933"/>
      <c r="OLU567" s="3933"/>
      <c r="OLV567" s="3933"/>
      <c r="OLW567" s="621"/>
      <c r="OLX567" s="3933"/>
      <c r="OLY567" s="3933"/>
      <c r="OLZ567" s="3933"/>
      <c r="OMA567" s="621"/>
      <c r="OMB567" s="3933"/>
      <c r="OMC567" s="3933"/>
      <c r="OMD567" s="3933"/>
      <c r="OME567" s="621"/>
      <c r="OMF567" s="3933"/>
      <c r="OMG567" s="3933"/>
      <c r="OMH567" s="3933"/>
      <c r="OMI567" s="621"/>
      <c r="OMJ567" s="3933"/>
      <c r="OMK567" s="3933"/>
      <c r="OML567" s="3933"/>
      <c r="OMM567" s="621"/>
      <c r="OMN567" s="3933"/>
      <c r="OMO567" s="3933"/>
      <c r="OMP567" s="3933"/>
      <c r="OMQ567" s="621"/>
      <c r="OMR567" s="3933"/>
      <c r="OMS567" s="3933"/>
      <c r="OMT567" s="3933"/>
      <c r="OMU567" s="621"/>
      <c r="OMV567" s="3933"/>
      <c r="OMW567" s="3933"/>
      <c r="OMX567" s="3933"/>
      <c r="OMY567" s="621"/>
      <c r="OMZ567" s="3933"/>
      <c r="ONA567" s="3933"/>
      <c r="ONB567" s="3933"/>
      <c r="ONC567" s="621"/>
      <c r="OND567" s="3933"/>
      <c r="ONE567" s="3933"/>
      <c r="ONF567" s="3933"/>
      <c r="ONG567" s="621"/>
      <c r="ONH567" s="3933"/>
      <c r="ONI567" s="3933"/>
      <c r="ONJ567" s="3933"/>
      <c r="ONK567" s="621"/>
      <c r="ONL567" s="3933"/>
      <c r="ONM567" s="3933"/>
      <c r="ONN567" s="3933"/>
      <c r="ONO567" s="621"/>
      <c r="ONP567" s="3933"/>
      <c r="ONQ567" s="3933"/>
      <c r="ONR567" s="3933"/>
      <c r="ONS567" s="621"/>
      <c r="ONT567" s="3933"/>
      <c r="ONU567" s="3933"/>
      <c r="ONV567" s="3933"/>
      <c r="ONW567" s="621"/>
      <c r="ONX567" s="3933"/>
      <c r="ONY567" s="3933"/>
      <c r="ONZ567" s="3933"/>
      <c r="OOA567" s="621"/>
      <c r="OOB567" s="3933"/>
      <c r="OOC567" s="3933"/>
      <c r="OOD567" s="3933"/>
      <c r="OOE567" s="621"/>
      <c r="OOF567" s="3933"/>
      <c r="OOG567" s="3933"/>
      <c r="OOH567" s="3933"/>
      <c r="OOI567" s="621"/>
      <c r="OOJ567" s="3933"/>
      <c r="OOK567" s="3933"/>
      <c r="OOL567" s="3933"/>
      <c r="OOM567" s="621"/>
      <c r="OON567" s="3933"/>
      <c r="OOO567" s="3933"/>
      <c r="OOP567" s="3933"/>
      <c r="OOQ567" s="621"/>
      <c r="OOR567" s="3933"/>
      <c r="OOS567" s="3933"/>
      <c r="OOT567" s="3933"/>
      <c r="OOU567" s="621"/>
      <c r="OOV567" s="3933"/>
      <c r="OOW567" s="3933"/>
      <c r="OOX567" s="3933"/>
      <c r="OOY567" s="621"/>
      <c r="OOZ567" s="3933"/>
      <c r="OPA567" s="3933"/>
      <c r="OPB567" s="3933"/>
      <c r="OPC567" s="621"/>
      <c r="OPD567" s="3933"/>
      <c r="OPE567" s="3933"/>
      <c r="OPF567" s="3933"/>
      <c r="OPG567" s="621"/>
      <c r="OPH567" s="3933"/>
      <c r="OPI567" s="3933"/>
      <c r="OPJ567" s="3933"/>
      <c r="OPK567" s="621"/>
      <c r="OPL567" s="3933"/>
      <c r="OPM567" s="3933"/>
      <c r="OPN567" s="3933"/>
      <c r="OPO567" s="621"/>
      <c r="OPP567" s="3933"/>
      <c r="OPQ567" s="3933"/>
      <c r="OPR567" s="3933"/>
      <c r="OPS567" s="621"/>
      <c r="OPT567" s="3933"/>
      <c r="OPU567" s="3933"/>
      <c r="OPV567" s="3933"/>
      <c r="OPW567" s="621"/>
      <c r="OPX567" s="3933"/>
      <c r="OPY567" s="3933"/>
      <c r="OPZ567" s="3933"/>
      <c r="OQA567" s="621"/>
      <c r="OQB567" s="3933"/>
      <c r="OQC567" s="3933"/>
      <c r="OQD567" s="3933"/>
      <c r="OQE567" s="621"/>
      <c r="OQF567" s="3933"/>
      <c r="OQG567" s="3933"/>
      <c r="OQH567" s="3933"/>
      <c r="OQI567" s="621"/>
      <c r="OQJ567" s="3933"/>
      <c r="OQK567" s="3933"/>
      <c r="OQL567" s="3933"/>
      <c r="OQM567" s="621"/>
      <c r="OQN567" s="3933"/>
      <c r="OQO567" s="3933"/>
      <c r="OQP567" s="3933"/>
      <c r="OQQ567" s="621"/>
      <c r="OQR567" s="3933"/>
      <c r="OQS567" s="3933"/>
      <c r="OQT567" s="3933"/>
      <c r="OQU567" s="621"/>
      <c r="OQV567" s="3933"/>
      <c r="OQW567" s="3933"/>
      <c r="OQX567" s="3933"/>
      <c r="OQY567" s="621"/>
      <c r="OQZ567" s="3933"/>
      <c r="ORA567" s="3933"/>
      <c r="ORB567" s="3933"/>
      <c r="ORC567" s="621"/>
      <c r="ORD567" s="3933"/>
      <c r="ORE567" s="3933"/>
      <c r="ORF567" s="3933"/>
      <c r="ORG567" s="621"/>
      <c r="ORH567" s="3933"/>
      <c r="ORI567" s="3933"/>
      <c r="ORJ567" s="3933"/>
      <c r="ORK567" s="621"/>
      <c r="ORL567" s="3933"/>
      <c r="ORM567" s="3933"/>
      <c r="ORN567" s="3933"/>
      <c r="ORO567" s="621"/>
      <c r="ORP567" s="3933"/>
      <c r="ORQ567" s="3933"/>
      <c r="ORR567" s="3933"/>
      <c r="ORS567" s="621"/>
      <c r="ORT567" s="3933"/>
      <c r="ORU567" s="3933"/>
      <c r="ORV567" s="3933"/>
      <c r="ORW567" s="621"/>
      <c r="ORX567" s="3933"/>
      <c r="ORY567" s="3933"/>
      <c r="ORZ567" s="3933"/>
      <c r="OSA567" s="621"/>
      <c r="OSB567" s="3933"/>
      <c r="OSC567" s="3933"/>
      <c r="OSD567" s="3933"/>
      <c r="OSE567" s="621"/>
      <c r="OSF567" s="3933"/>
      <c r="OSG567" s="3933"/>
      <c r="OSH567" s="3933"/>
      <c r="OSI567" s="621"/>
      <c r="OSJ567" s="3933"/>
      <c r="OSK567" s="3933"/>
      <c r="OSL567" s="3933"/>
      <c r="OSM567" s="621"/>
      <c r="OSN567" s="3933"/>
      <c r="OSO567" s="3933"/>
      <c r="OSP567" s="3933"/>
      <c r="OSQ567" s="621"/>
      <c r="OSR567" s="3933"/>
      <c r="OSS567" s="3933"/>
      <c r="OST567" s="3933"/>
      <c r="OSU567" s="621"/>
      <c r="OSV567" s="3933"/>
      <c r="OSW567" s="3933"/>
      <c r="OSX567" s="3933"/>
      <c r="OSY567" s="621"/>
      <c r="OSZ567" s="3933"/>
      <c r="OTA567" s="3933"/>
      <c r="OTB567" s="3933"/>
      <c r="OTC567" s="621"/>
      <c r="OTD567" s="3933"/>
      <c r="OTE567" s="3933"/>
      <c r="OTF567" s="3933"/>
      <c r="OTG567" s="621"/>
      <c r="OTH567" s="3933"/>
      <c r="OTI567" s="3933"/>
      <c r="OTJ567" s="3933"/>
      <c r="OTK567" s="621"/>
      <c r="OTL567" s="3933"/>
      <c r="OTM567" s="3933"/>
      <c r="OTN567" s="3933"/>
      <c r="OTO567" s="621"/>
      <c r="OTP567" s="3933"/>
      <c r="OTQ567" s="3933"/>
      <c r="OTR567" s="3933"/>
      <c r="OTS567" s="621"/>
      <c r="OTT567" s="3933"/>
      <c r="OTU567" s="3933"/>
      <c r="OTV567" s="3933"/>
      <c r="OTW567" s="621"/>
      <c r="OTX567" s="3933"/>
      <c r="OTY567" s="3933"/>
      <c r="OTZ567" s="3933"/>
      <c r="OUA567" s="621"/>
      <c r="OUB567" s="3933"/>
      <c r="OUC567" s="3933"/>
      <c r="OUD567" s="3933"/>
      <c r="OUE567" s="621"/>
      <c r="OUF567" s="3933"/>
      <c r="OUG567" s="3933"/>
      <c r="OUH567" s="3933"/>
      <c r="OUI567" s="621"/>
      <c r="OUJ567" s="3933"/>
      <c r="OUK567" s="3933"/>
      <c r="OUL567" s="3933"/>
      <c r="OUM567" s="621"/>
      <c r="OUN567" s="3933"/>
      <c r="OUO567" s="3933"/>
      <c r="OUP567" s="3933"/>
      <c r="OUQ567" s="621"/>
      <c r="OUR567" s="3933"/>
      <c r="OUS567" s="3933"/>
      <c r="OUT567" s="3933"/>
      <c r="OUU567" s="621"/>
      <c r="OUV567" s="3933"/>
      <c r="OUW567" s="3933"/>
      <c r="OUX567" s="3933"/>
      <c r="OUY567" s="621"/>
      <c r="OUZ567" s="3933"/>
      <c r="OVA567" s="3933"/>
      <c r="OVB567" s="3933"/>
      <c r="OVC567" s="621"/>
      <c r="OVD567" s="3933"/>
      <c r="OVE567" s="3933"/>
      <c r="OVF567" s="3933"/>
      <c r="OVG567" s="621"/>
      <c r="OVH567" s="3933"/>
      <c r="OVI567" s="3933"/>
      <c r="OVJ567" s="3933"/>
      <c r="OVK567" s="621"/>
      <c r="OVL567" s="3933"/>
      <c r="OVM567" s="3933"/>
      <c r="OVN567" s="3933"/>
      <c r="OVO567" s="621"/>
      <c r="OVP567" s="3933"/>
      <c r="OVQ567" s="3933"/>
      <c r="OVR567" s="3933"/>
      <c r="OVS567" s="621"/>
      <c r="OVT567" s="3933"/>
      <c r="OVU567" s="3933"/>
      <c r="OVV567" s="3933"/>
      <c r="OVW567" s="621"/>
      <c r="OVX567" s="3933"/>
      <c r="OVY567" s="3933"/>
      <c r="OVZ567" s="3933"/>
      <c r="OWA567" s="621"/>
      <c r="OWB567" s="3933"/>
      <c r="OWC567" s="3933"/>
      <c r="OWD567" s="3933"/>
      <c r="OWE567" s="621"/>
      <c r="OWF567" s="3933"/>
      <c r="OWG567" s="3933"/>
      <c r="OWH567" s="3933"/>
      <c r="OWI567" s="621"/>
      <c r="OWJ567" s="3933"/>
      <c r="OWK567" s="3933"/>
      <c r="OWL567" s="3933"/>
      <c r="OWM567" s="621"/>
      <c r="OWN567" s="3933"/>
      <c r="OWO567" s="3933"/>
      <c r="OWP567" s="3933"/>
      <c r="OWQ567" s="621"/>
      <c r="OWR567" s="3933"/>
      <c r="OWS567" s="3933"/>
      <c r="OWT567" s="3933"/>
      <c r="OWU567" s="621"/>
      <c r="OWV567" s="3933"/>
      <c r="OWW567" s="3933"/>
      <c r="OWX567" s="3933"/>
      <c r="OWY567" s="621"/>
      <c r="OWZ567" s="3933"/>
      <c r="OXA567" s="3933"/>
      <c r="OXB567" s="3933"/>
      <c r="OXC567" s="621"/>
      <c r="OXD567" s="3933"/>
      <c r="OXE567" s="3933"/>
      <c r="OXF567" s="3933"/>
      <c r="OXG567" s="621"/>
      <c r="OXH567" s="3933"/>
      <c r="OXI567" s="3933"/>
      <c r="OXJ567" s="3933"/>
      <c r="OXK567" s="621"/>
      <c r="OXL567" s="3933"/>
      <c r="OXM567" s="3933"/>
      <c r="OXN567" s="3933"/>
      <c r="OXO567" s="621"/>
      <c r="OXP567" s="3933"/>
      <c r="OXQ567" s="3933"/>
      <c r="OXR567" s="3933"/>
      <c r="OXS567" s="621"/>
      <c r="OXT567" s="3933"/>
      <c r="OXU567" s="3933"/>
      <c r="OXV567" s="3933"/>
      <c r="OXW567" s="621"/>
      <c r="OXX567" s="3933"/>
      <c r="OXY567" s="3933"/>
      <c r="OXZ567" s="3933"/>
      <c r="OYA567" s="621"/>
      <c r="OYB567" s="3933"/>
      <c r="OYC567" s="3933"/>
      <c r="OYD567" s="3933"/>
      <c r="OYE567" s="621"/>
      <c r="OYF567" s="3933"/>
      <c r="OYG567" s="3933"/>
      <c r="OYH567" s="3933"/>
      <c r="OYI567" s="621"/>
      <c r="OYJ567" s="3933"/>
      <c r="OYK567" s="3933"/>
      <c r="OYL567" s="3933"/>
      <c r="OYM567" s="621"/>
      <c r="OYN567" s="3933"/>
      <c r="OYO567" s="3933"/>
      <c r="OYP567" s="3933"/>
      <c r="OYQ567" s="621"/>
      <c r="OYR567" s="3933"/>
      <c r="OYS567" s="3933"/>
      <c r="OYT567" s="3933"/>
      <c r="OYU567" s="621"/>
      <c r="OYV567" s="3933"/>
      <c r="OYW567" s="3933"/>
      <c r="OYX567" s="3933"/>
      <c r="OYY567" s="621"/>
      <c r="OYZ567" s="3933"/>
      <c r="OZA567" s="3933"/>
      <c r="OZB567" s="3933"/>
      <c r="OZC567" s="621"/>
      <c r="OZD567" s="3933"/>
      <c r="OZE567" s="3933"/>
      <c r="OZF567" s="3933"/>
      <c r="OZG567" s="621"/>
      <c r="OZH567" s="3933"/>
      <c r="OZI567" s="3933"/>
      <c r="OZJ567" s="3933"/>
      <c r="OZK567" s="621"/>
      <c r="OZL567" s="3933"/>
      <c r="OZM567" s="3933"/>
      <c r="OZN567" s="3933"/>
      <c r="OZO567" s="621"/>
      <c r="OZP567" s="3933"/>
      <c r="OZQ567" s="3933"/>
      <c r="OZR567" s="3933"/>
      <c r="OZS567" s="621"/>
      <c r="OZT567" s="3933"/>
      <c r="OZU567" s="3933"/>
      <c r="OZV567" s="3933"/>
      <c r="OZW567" s="621"/>
      <c r="OZX567" s="3933"/>
      <c r="OZY567" s="3933"/>
      <c r="OZZ567" s="3933"/>
      <c r="PAA567" s="621"/>
      <c r="PAB567" s="3933"/>
      <c r="PAC567" s="3933"/>
      <c r="PAD567" s="3933"/>
      <c r="PAE567" s="621"/>
      <c r="PAF567" s="3933"/>
      <c r="PAG567" s="3933"/>
      <c r="PAH567" s="3933"/>
      <c r="PAI567" s="621"/>
      <c r="PAJ567" s="3933"/>
      <c r="PAK567" s="3933"/>
      <c r="PAL567" s="3933"/>
      <c r="PAM567" s="621"/>
      <c r="PAN567" s="3933"/>
      <c r="PAO567" s="3933"/>
      <c r="PAP567" s="3933"/>
      <c r="PAQ567" s="621"/>
      <c r="PAR567" s="3933"/>
      <c r="PAS567" s="3933"/>
      <c r="PAT567" s="3933"/>
      <c r="PAU567" s="621"/>
      <c r="PAV567" s="3933"/>
      <c r="PAW567" s="3933"/>
      <c r="PAX567" s="3933"/>
      <c r="PAY567" s="621"/>
      <c r="PAZ567" s="3933"/>
      <c r="PBA567" s="3933"/>
      <c r="PBB567" s="3933"/>
      <c r="PBC567" s="621"/>
      <c r="PBD567" s="3933"/>
      <c r="PBE567" s="3933"/>
      <c r="PBF567" s="3933"/>
      <c r="PBG567" s="621"/>
      <c r="PBH567" s="3933"/>
      <c r="PBI567" s="3933"/>
      <c r="PBJ567" s="3933"/>
      <c r="PBK567" s="621"/>
      <c r="PBL567" s="3933"/>
      <c r="PBM567" s="3933"/>
      <c r="PBN567" s="3933"/>
      <c r="PBO567" s="621"/>
      <c r="PBP567" s="3933"/>
      <c r="PBQ567" s="3933"/>
      <c r="PBR567" s="3933"/>
      <c r="PBS567" s="621"/>
      <c r="PBT567" s="3933"/>
      <c r="PBU567" s="3933"/>
      <c r="PBV567" s="3933"/>
      <c r="PBW567" s="621"/>
      <c r="PBX567" s="3933"/>
      <c r="PBY567" s="3933"/>
      <c r="PBZ567" s="3933"/>
      <c r="PCA567" s="621"/>
      <c r="PCB567" s="3933"/>
      <c r="PCC567" s="3933"/>
      <c r="PCD567" s="3933"/>
      <c r="PCE567" s="621"/>
      <c r="PCF567" s="3933"/>
      <c r="PCG567" s="3933"/>
      <c r="PCH567" s="3933"/>
      <c r="PCI567" s="621"/>
      <c r="PCJ567" s="3933"/>
      <c r="PCK567" s="3933"/>
      <c r="PCL567" s="3933"/>
      <c r="PCM567" s="621"/>
      <c r="PCN567" s="3933"/>
      <c r="PCO567" s="3933"/>
      <c r="PCP567" s="3933"/>
      <c r="PCQ567" s="621"/>
      <c r="PCR567" s="3933"/>
      <c r="PCS567" s="3933"/>
      <c r="PCT567" s="3933"/>
      <c r="PCU567" s="621"/>
      <c r="PCV567" s="3933"/>
      <c r="PCW567" s="3933"/>
      <c r="PCX567" s="3933"/>
      <c r="PCY567" s="621"/>
      <c r="PCZ567" s="3933"/>
      <c r="PDA567" s="3933"/>
      <c r="PDB567" s="3933"/>
      <c r="PDC567" s="621"/>
      <c r="PDD567" s="3933"/>
      <c r="PDE567" s="3933"/>
      <c r="PDF567" s="3933"/>
      <c r="PDG567" s="621"/>
      <c r="PDH567" s="3933"/>
      <c r="PDI567" s="3933"/>
      <c r="PDJ567" s="3933"/>
      <c r="PDK567" s="621"/>
      <c r="PDL567" s="3933"/>
      <c r="PDM567" s="3933"/>
      <c r="PDN567" s="3933"/>
      <c r="PDO567" s="621"/>
      <c r="PDP567" s="3933"/>
      <c r="PDQ567" s="3933"/>
      <c r="PDR567" s="3933"/>
      <c r="PDS567" s="621"/>
      <c r="PDT567" s="3933"/>
      <c r="PDU567" s="3933"/>
      <c r="PDV567" s="3933"/>
      <c r="PDW567" s="621"/>
      <c r="PDX567" s="3933"/>
      <c r="PDY567" s="3933"/>
      <c r="PDZ567" s="3933"/>
      <c r="PEA567" s="621"/>
      <c r="PEB567" s="3933"/>
      <c r="PEC567" s="3933"/>
      <c r="PED567" s="3933"/>
      <c r="PEE567" s="621"/>
      <c r="PEF567" s="3933"/>
      <c r="PEG567" s="3933"/>
      <c r="PEH567" s="3933"/>
      <c r="PEI567" s="621"/>
      <c r="PEJ567" s="3933"/>
      <c r="PEK567" s="3933"/>
      <c r="PEL567" s="3933"/>
      <c r="PEM567" s="621"/>
      <c r="PEN567" s="3933"/>
      <c r="PEO567" s="3933"/>
      <c r="PEP567" s="3933"/>
      <c r="PEQ567" s="621"/>
      <c r="PER567" s="3933"/>
      <c r="PES567" s="3933"/>
      <c r="PET567" s="3933"/>
      <c r="PEU567" s="621"/>
      <c r="PEV567" s="3933"/>
      <c r="PEW567" s="3933"/>
      <c r="PEX567" s="3933"/>
      <c r="PEY567" s="621"/>
      <c r="PEZ567" s="3933"/>
      <c r="PFA567" s="3933"/>
      <c r="PFB567" s="3933"/>
      <c r="PFC567" s="621"/>
      <c r="PFD567" s="3933"/>
      <c r="PFE567" s="3933"/>
      <c r="PFF567" s="3933"/>
      <c r="PFG567" s="621"/>
      <c r="PFH567" s="3933"/>
      <c r="PFI567" s="3933"/>
      <c r="PFJ567" s="3933"/>
      <c r="PFK567" s="621"/>
      <c r="PFL567" s="3933"/>
      <c r="PFM567" s="3933"/>
      <c r="PFN567" s="3933"/>
      <c r="PFO567" s="621"/>
      <c r="PFP567" s="3933"/>
      <c r="PFQ567" s="3933"/>
      <c r="PFR567" s="3933"/>
      <c r="PFS567" s="621"/>
      <c r="PFT567" s="3933"/>
      <c r="PFU567" s="3933"/>
      <c r="PFV567" s="3933"/>
      <c r="PFW567" s="621"/>
      <c r="PFX567" s="3933"/>
      <c r="PFY567" s="3933"/>
      <c r="PFZ567" s="3933"/>
      <c r="PGA567" s="621"/>
      <c r="PGB567" s="3933"/>
      <c r="PGC567" s="3933"/>
      <c r="PGD567" s="3933"/>
      <c r="PGE567" s="621"/>
      <c r="PGF567" s="3933"/>
      <c r="PGG567" s="3933"/>
      <c r="PGH567" s="3933"/>
      <c r="PGI567" s="621"/>
      <c r="PGJ567" s="3933"/>
      <c r="PGK567" s="3933"/>
      <c r="PGL567" s="3933"/>
      <c r="PGM567" s="621"/>
      <c r="PGN567" s="3933"/>
      <c r="PGO567" s="3933"/>
      <c r="PGP567" s="3933"/>
      <c r="PGQ567" s="621"/>
      <c r="PGR567" s="3933"/>
      <c r="PGS567" s="3933"/>
      <c r="PGT567" s="3933"/>
      <c r="PGU567" s="621"/>
      <c r="PGV567" s="3933"/>
      <c r="PGW567" s="3933"/>
      <c r="PGX567" s="3933"/>
      <c r="PGY567" s="621"/>
      <c r="PGZ567" s="3933"/>
      <c r="PHA567" s="3933"/>
      <c r="PHB567" s="3933"/>
      <c r="PHC567" s="621"/>
      <c r="PHD567" s="3933"/>
      <c r="PHE567" s="3933"/>
      <c r="PHF567" s="3933"/>
      <c r="PHG567" s="621"/>
      <c r="PHH567" s="3933"/>
      <c r="PHI567" s="3933"/>
      <c r="PHJ567" s="3933"/>
      <c r="PHK567" s="621"/>
      <c r="PHL567" s="3933"/>
      <c r="PHM567" s="3933"/>
      <c r="PHN567" s="3933"/>
      <c r="PHO567" s="621"/>
      <c r="PHP567" s="3933"/>
      <c r="PHQ567" s="3933"/>
      <c r="PHR567" s="3933"/>
      <c r="PHS567" s="621"/>
      <c r="PHT567" s="3933"/>
      <c r="PHU567" s="3933"/>
      <c r="PHV567" s="3933"/>
      <c r="PHW567" s="621"/>
      <c r="PHX567" s="3933"/>
      <c r="PHY567" s="3933"/>
      <c r="PHZ567" s="3933"/>
      <c r="PIA567" s="621"/>
      <c r="PIB567" s="3933"/>
      <c r="PIC567" s="3933"/>
      <c r="PID567" s="3933"/>
      <c r="PIE567" s="621"/>
      <c r="PIF567" s="3933"/>
      <c r="PIG567" s="3933"/>
      <c r="PIH567" s="3933"/>
      <c r="PII567" s="621"/>
      <c r="PIJ567" s="3933"/>
      <c r="PIK567" s="3933"/>
      <c r="PIL567" s="3933"/>
      <c r="PIM567" s="621"/>
      <c r="PIN567" s="3933"/>
      <c r="PIO567" s="3933"/>
      <c r="PIP567" s="3933"/>
      <c r="PIQ567" s="621"/>
      <c r="PIR567" s="3933"/>
      <c r="PIS567" s="3933"/>
      <c r="PIT567" s="3933"/>
      <c r="PIU567" s="621"/>
      <c r="PIV567" s="3933"/>
      <c r="PIW567" s="3933"/>
      <c r="PIX567" s="3933"/>
      <c r="PIY567" s="621"/>
      <c r="PIZ567" s="3933"/>
      <c r="PJA567" s="3933"/>
      <c r="PJB567" s="3933"/>
      <c r="PJC567" s="621"/>
      <c r="PJD567" s="3933"/>
      <c r="PJE567" s="3933"/>
      <c r="PJF567" s="3933"/>
      <c r="PJG567" s="621"/>
      <c r="PJH567" s="3933"/>
      <c r="PJI567" s="3933"/>
      <c r="PJJ567" s="3933"/>
      <c r="PJK567" s="621"/>
      <c r="PJL567" s="3933"/>
      <c r="PJM567" s="3933"/>
      <c r="PJN567" s="3933"/>
      <c r="PJO567" s="621"/>
      <c r="PJP567" s="3933"/>
      <c r="PJQ567" s="3933"/>
      <c r="PJR567" s="3933"/>
      <c r="PJS567" s="621"/>
      <c r="PJT567" s="3933"/>
      <c r="PJU567" s="3933"/>
      <c r="PJV567" s="3933"/>
      <c r="PJW567" s="621"/>
      <c r="PJX567" s="3933"/>
      <c r="PJY567" s="3933"/>
      <c r="PJZ567" s="3933"/>
      <c r="PKA567" s="621"/>
      <c r="PKB567" s="3933"/>
      <c r="PKC567" s="3933"/>
      <c r="PKD567" s="3933"/>
      <c r="PKE567" s="621"/>
      <c r="PKF567" s="3933"/>
      <c r="PKG567" s="3933"/>
      <c r="PKH567" s="3933"/>
      <c r="PKI567" s="621"/>
      <c r="PKJ567" s="3933"/>
      <c r="PKK567" s="3933"/>
      <c r="PKL567" s="3933"/>
      <c r="PKM567" s="621"/>
      <c r="PKN567" s="3933"/>
      <c r="PKO567" s="3933"/>
      <c r="PKP567" s="3933"/>
      <c r="PKQ567" s="621"/>
      <c r="PKR567" s="3933"/>
      <c r="PKS567" s="3933"/>
      <c r="PKT567" s="3933"/>
      <c r="PKU567" s="621"/>
      <c r="PKV567" s="3933"/>
      <c r="PKW567" s="3933"/>
      <c r="PKX567" s="3933"/>
      <c r="PKY567" s="621"/>
      <c r="PKZ567" s="3933"/>
      <c r="PLA567" s="3933"/>
      <c r="PLB567" s="3933"/>
      <c r="PLC567" s="621"/>
      <c r="PLD567" s="3933"/>
      <c r="PLE567" s="3933"/>
      <c r="PLF567" s="3933"/>
      <c r="PLG567" s="621"/>
      <c r="PLH567" s="3933"/>
      <c r="PLI567" s="3933"/>
      <c r="PLJ567" s="3933"/>
      <c r="PLK567" s="621"/>
      <c r="PLL567" s="3933"/>
      <c r="PLM567" s="3933"/>
      <c r="PLN567" s="3933"/>
      <c r="PLO567" s="621"/>
      <c r="PLP567" s="3933"/>
      <c r="PLQ567" s="3933"/>
      <c r="PLR567" s="3933"/>
      <c r="PLS567" s="621"/>
      <c r="PLT567" s="3933"/>
      <c r="PLU567" s="3933"/>
      <c r="PLV567" s="3933"/>
      <c r="PLW567" s="621"/>
      <c r="PLX567" s="3933"/>
      <c r="PLY567" s="3933"/>
      <c r="PLZ567" s="3933"/>
      <c r="PMA567" s="621"/>
      <c r="PMB567" s="3933"/>
      <c r="PMC567" s="3933"/>
      <c r="PMD567" s="3933"/>
      <c r="PME567" s="621"/>
      <c r="PMF567" s="3933"/>
      <c r="PMG567" s="3933"/>
      <c r="PMH567" s="3933"/>
      <c r="PMI567" s="621"/>
      <c r="PMJ567" s="3933"/>
      <c r="PMK567" s="3933"/>
      <c r="PML567" s="3933"/>
      <c r="PMM567" s="621"/>
      <c r="PMN567" s="3933"/>
      <c r="PMO567" s="3933"/>
      <c r="PMP567" s="3933"/>
      <c r="PMQ567" s="621"/>
      <c r="PMR567" s="3933"/>
      <c r="PMS567" s="3933"/>
      <c r="PMT567" s="3933"/>
      <c r="PMU567" s="621"/>
      <c r="PMV567" s="3933"/>
      <c r="PMW567" s="3933"/>
      <c r="PMX567" s="3933"/>
      <c r="PMY567" s="621"/>
      <c r="PMZ567" s="3933"/>
      <c r="PNA567" s="3933"/>
      <c r="PNB567" s="3933"/>
      <c r="PNC567" s="621"/>
      <c r="PND567" s="3933"/>
      <c r="PNE567" s="3933"/>
      <c r="PNF567" s="3933"/>
      <c r="PNG567" s="621"/>
      <c r="PNH567" s="3933"/>
      <c r="PNI567" s="3933"/>
      <c r="PNJ567" s="3933"/>
      <c r="PNK567" s="621"/>
      <c r="PNL567" s="3933"/>
      <c r="PNM567" s="3933"/>
      <c r="PNN567" s="3933"/>
      <c r="PNO567" s="621"/>
      <c r="PNP567" s="3933"/>
      <c r="PNQ567" s="3933"/>
      <c r="PNR567" s="3933"/>
      <c r="PNS567" s="621"/>
      <c r="PNT567" s="3933"/>
      <c r="PNU567" s="3933"/>
      <c r="PNV567" s="3933"/>
      <c r="PNW567" s="621"/>
      <c r="PNX567" s="3933"/>
      <c r="PNY567" s="3933"/>
      <c r="PNZ567" s="3933"/>
      <c r="POA567" s="621"/>
      <c r="POB567" s="3933"/>
      <c r="POC567" s="3933"/>
      <c r="POD567" s="3933"/>
      <c r="POE567" s="621"/>
      <c r="POF567" s="3933"/>
      <c r="POG567" s="3933"/>
      <c r="POH567" s="3933"/>
      <c r="POI567" s="621"/>
      <c r="POJ567" s="3933"/>
      <c r="POK567" s="3933"/>
      <c r="POL567" s="3933"/>
      <c r="POM567" s="621"/>
      <c r="PON567" s="3933"/>
      <c r="POO567" s="3933"/>
      <c r="POP567" s="3933"/>
      <c r="POQ567" s="621"/>
      <c r="POR567" s="3933"/>
      <c r="POS567" s="3933"/>
      <c r="POT567" s="3933"/>
      <c r="POU567" s="621"/>
      <c r="POV567" s="3933"/>
      <c r="POW567" s="3933"/>
      <c r="POX567" s="3933"/>
      <c r="POY567" s="621"/>
      <c r="POZ567" s="3933"/>
      <c r="PPA567" s="3933"/>
      <c r="PPB567" s="3933"/>
      <c r="PPC567" s="621"/>
      <c r="PPD567" s="3933"/>
      <c r="PPE567" s="3933"/>
      <c r="PPF567" s="3933"/>
      <c r="PPG567" s="621"/>
      <c r="PPH567" s="3933"/>
      <c r="PPI567" s="3933"/>
      <c r="PPJ567" s="3933"/>
      <c r="PPK567" s="621"/>
      <c r="PPL567" s="3933"/>
      <c r="PPM567" s="3933"/>
      <c r="PPN567" s="3933"/>
      <c r="PPO567" s="621"/>
      <c r="PPP567" s="3933"/>
      <c r="PPQ567" s="3933"/>
      <c r="PPR567" s="3933"/>
      <c r="PPS567" s="621"/>
      <c r="PPT567" s="3933"/>
      <c r="PPU567" s="3933"/>
      <c r="PPV567" s="3933"/>
      <c r="PPW567" s="621"/>
      <c r="PPX567" s="3933"/>
      <c r="PPY567" s="3933"/>
      <c r="PPZ567" s="3933"/>
      <c r="PQA567" s="621"/>
      <c r="PQB567" s="3933"/>
      <c r="PQC567" s="3933"/>
      <c r="PQD567" s="3933"/>
      <c r="PQE567" s="621"/>
      <c r="PQF567" s="3933"/>
      <c r="PQG567" s="3933"/>
      <c r="PQH567" s="3933"/>
      <c r="PQI567" s="621"/>
      <c r="PQJ567" s="3933"/>
      <c r="PQK567" s="3933"/>
      <c r="PQL567" s="3933"/>
      <c r="PQM567" s="621"/>
      <c r="PQN567" s="3933"/>
      <c r="PQO567" s="3933"/>
      <c r="PQP567" s="3933"/>
      <c r="PQQ567" s="621"/>
      <c r="PQR567" s="3933"/>
      <c r="PQS567" s="3933"/>
      <c r="PQT567" s="3933"/>
      <c r="PQU567" s="621"/>
      <c r="PQV567" s="3933"/>
      <c r="PQW567" s="3933"/>
      <c r="PQX567" s="3933"/>
      <c r="PQY567" s="621"/>
      <c r="PQZ567" s="3933"/>
      <c r="PRA567" s="3933"/>
      <c r="PRB567" s="3933"/>
      <c r="PRC567" s="621"/>
      <c r="PRD567" s="3933"/>
      <c r="PRE567" s="3933"/>
      <c r="PRF567" s="3933"/>
      <c r="PRG567" s="621"/>
      <c r="PRH567" s="3933"/>
      <c r="PRI567" s="3933"/>
      <c r="PRJ567" s="3933"/>
      <c r="PRK567" s="621"/>
      <c r="PRL567" s="3933"/>
      <c r="PRM567" s="3933"/>
      <c r="PRN567" s="3933"/>
      <c r="PRO567" s="621"/>
      <c r="PRP567" s="3933"/>
      <c r="PRQ567" s="3933"/>
      <c r="PRR567" s="3933"/>
      <c r="PRS567" s="621"/>
      <c r="PRT567" s="3933"/>
      <c r="PRU567" s="3933"/>
      <c r="PRV567" s="3933"/>
      <c r="PRW567" s="621"/>
      <c r="PRX567" s="3933"/>
      <c r="PRY567" s="3933"/>
      <c r="PRZ567" s="3933"/>
      <c r="PSA567" s="621"/>
      <c r="PSB567" s="3933"/>
      <c r="PSC567" s="3933"/>
      <c r="PSD567" s="3933"/>
      <c r="PSE567" s="621"/>
      <c r="PSF567" s="3933"/>
      <c r="PSG567" s="3933"/>
      <c r="PSH567" s="3933"/>
      <c r="PSI567" s="621"/>
      <c r="PSJ567" s="3933"/>
      <c r="PSK567" s="3933"/>
      <c r="PSL567" s="3933"/>
      <c r="PSM567" s="621"/>
      <c r="PSN567" s="3933"/>
      <c r="PSO567" s="3933"/>
      <c r="PSP567" s="3933"/>
      <c r="PSQ567" s="621"/>
      <c r="PSR567" s="3933"/>
      <c r="PSS567" s="3933"/>
      <c r="PST567" s="3933"/>
      <c r="PSU567" s="621"/>
      <c r="PSV567" s="3933"/>
      <c r="PSW567" s="3933"/>
      <c r="PSX567" s="3933"/>
      <c r="PSY567" s="621"/>
      <c r="PSZ567" s="3933"/>
      <c r="PTA567" s="3933"/>
      <c r="PTB567" s="3933"/>
      <c r="PTC567" s="621"/>
      <c r="PTD567" s="3933"/>
      <c r="PTE567" s="3933"/>
      <c r="PTF567" s="3933"/>
      <c r="PTG567" s="621"/>
      <c r="PTH567" s="3933"/>
      <c r="PTI567" s="3933"/>
      <c r="PTJ567" s="3933"/>
      <c r="PTK567" s="621"/>
      <c r="PTL567" s="3933"/>
      <c r="PTM567" s="3933"/>
      <c r="PTN567" s="3933"/>
      <c r="PTO567" s="621"/>
      <c r="PTP567" s="3933"/>
      <c r="PTQ567" s="3933"/>
      <c r="PTR567" s="3933"/>
      <c r="PTS567" s="621"/>
      <c r="PTT567" s="3933"/>
      <c r="PTU567" s="3933"/>
      <c r="PTV567" s="3933"/>
      <c r="PTW567" s="621"/>
      <c r="PTX567" s="3933"/>
      <c r="PTY567" s="3933"/>
      <c r="PTZ567" s="3933"/>
      <c r="PUA567" s="621"/>
      <c r="PUB567" s="3933"/>
      <c r="PUC567" s="3933"/>
      <c r="PUD567" s="3933"/>
      <c r="PUE567" s="621"/>
      <c r="PUF567" s="3933"/>
      <c r="PUG567" s="3933"/>
      <c r="PUH567" s="3933"/>
      <c r="PUI567" s="621"/>
      <c r="PUJ567" s="3933"/>
      <c r="PUK567" s="3933"/>
      <c r="PUL567" s="3933"/>
      <c r="PUM567" s="621"/>
      <c r="PUN567" s="3933"/>
      <c r="PUO567" s="3933"/>
      <c r="PUP567" s="3933"/>
      <c r="PUQ567" s="621"/>
      <c r="PUR567" s="3933"/>
      <c r="PUS567" s="3933"/>
      <c r="PUT567" s="3933"/>
      <c r="PUU567" s="621"/>
      <c r="PUV567" s="3933"/>
      <c r="PUW567" s="3933"/>
      <c r="PUX567" s="3933"/>
      <c r="PUY567" s="621"/>
      <c r="PUZ567" s="3933"/>
      <c r="PVA567" s="3933"/>
      <c r="PVB567" s="3933"/>
      <c r="PVC567" s="621"/>
      <c r="PVD567" s="3933"/>
      <c r="PVE567" s="3933"/>
      <c r="PVF567" s="3933"/>
      <c r="PVG567" s="621"/>
      <c r="PVH567" s="3933"/>
      <c r="PVI567" s="3933"/>
      <c r="PVJ567" s="3933"/>
      <c r="PVK567" s="621"/>
      <c r="PVL567" s="3933"/>
      <c r="PVM567" s="3933"/>
      <c r="PVN567" s="3933"/>
      <c r="PVO567" s="621"/>
      <c r="PVP567" s="3933"/>
      <c r="PVQ567" s="3933"/>
      <c r="PVR567" s="3933"/>
      <c r="PVS567" s="621"/>
      <c r="PVT567" s="3933"/>
      <c r="PVU567" s="3933"/>
      <c r="PVV567" s="3933"/>
      <c r="PVW567" s="621"/>
      <c r="PVX567" s="3933"/>
      <c r="PVY567" s="3933"/>
      <c r="PVZ567" s="3933"/>
      <c r="PWA567" s="621"/>
      <c r="PWB567" s="3933"/>
      <c r="PWC567" s="3933"/>
      <c r="PWD567" s="3933"/>
      <c r="PWE567" s="621"/>
      <c r="PWF567" s="3933"/>
      <c r="PWG567" s="3933"/>
      <c r="PWH567" s="3933"/>
      <c r="PWI567" s="621"/>
      <c r="PWJ567" s="3933"/>
      <c r="PWK567" s="3933"/>
      <c r="PWL567" s="3933"/>
      <c r="PWM567" s="621"/>
      <c r="PWN567" s="3933"/>
      <c r="PWO567" s="3933"/>
      <c r="PWP567" s="3933"/>
      <c r="PWQ567" s="621"/>
      <c r="PWR567" s="3933"/>
      <c r="PWS567" s="3933"/>
      <c r="PWT567" s="3933"/>
      <c r="PWU567" s="621"/>
      <c r="PWV567" s="3933"/>
      <c r="PWW567" s="3933"/>
      <c r="PWX567" s="3933"/>
      <c r="PWY567" s="621"/>
      <c r="PWZ567" s="3933"/>
      <c r="PXA567" s="3933"/>
      <c r="PXB567" s="3933"/>
      <c r="PXC567" s="621"/>
      <c r="PXD567" s="3933"/>
      <c r="PXE567" s="3933"/>
      <c r="PXF567" s="3933"/>
      <c r="PXG567" s="621"/>
      <c r="PXH567" s="3933"/>
      <c r="PXI567" s="3933"/>
      <c r="PXJ567" s="3933"/>
      <c r="PXK567" s="621"/>
      <c r="PXL567" s="3933"/>
      <c r="PXM567" s="3933"/>
      <c r="PXN567" s="3933"/>
      <c r="PXO567" s="621"/>
      <c r="PXP567" s="3933"/>
      <c r="PXQ567" s="3933"/>
      <c r="PXR567" s="3933"/>
      <c r="PXS567" s="621"/>
      <c r="PXT567" s="3933"/>
      <c r="PXU567" s="3933"/>
      <c r="PXV567" s="3933"/>
      <c r="PXW567" s="621"/>
      <c r="PXX567" s="3933"/>
      <c r="PXY567" s="3933"/>
      <c r="PXZ567" s="3933"/>
      <c r="PYA567" s="621"/>
      <c r="PYB567" s="3933"/>
      <c r="PYC567" s="3933"/>
      <c r="PYD567" s="3933"/>
      <c r="PYE567" s="621"/>
      <c r="PYF567" s="3933"/>
      <c r="PYG567" s="3933"/>
      <c r="PYH567" s="3933"/>
      <c r="PYI567" s="621"/>
      <c r="PYJ567" s="3933"/>
      <c r="PYK567" s="3933"/>
      <c r="PYL567" s="3933"/>
      <c r="PYM567" s="621"/>
      <c r="PYN567" s="3933"/>
      <c r="PYO567" s="3933"/>
      <c r="PYP567" s="3933"/>
      <c r="PYQ567" s="621"/>
      <c r="PYR567" s="3933"/>
      <c r="PYS567" s="3933"/>
      <c r="PYT567" s="3933"/>
      <c r="PYU567" s="621"/>
      <c r="PYV567" s="3933"/>
      <c r="PYW567" s="3933"/>
      <c r="PYX567" s="3933"/>
      <c r="PYY567" s="621"/>
      <c r="PYZ567" s="3933"/>
      <c r="PZA567" s="3933"/>
      <c r="PZB567" s="3933"/>
      <c r="PZC567" s="621"/>
      <c r="PZD567" s="3933"/>
      <c r="PZE567" s="3933"/>
      <c r="PZF567" s="3933"/>
      <c r="PZG567" s="621"/>
      <c r="PZH567" s="3933"/>
      <c r="PZI567" s="3933"/>
      <c r="PZJ567" s="3933"/>
      <c r="PZK567" s="621"/>
      <c r="PZL567" s="3933"/>
      <c r="PZM567" s="3933"/>
      <c r="PZN567" s="3933"/>
      <c r="PZO567" s="621"/>
      <c r="PZP567" s="3933"/>
      <c r="PZQ567" s="3933"/>
      <c r="PZR567" s="3933"/>
      <c r="PZS567" s="621"/>
      <c r="PZT567" s="3933"/>
      <c r="PZU567" s="3933"/>
      <c r="PZV567" s="3933"/>
      <c r="PZW567" s="621"/>
      <c r="PZX567" s="3933"/>
      <c r="PZY567" s="3933"/>
      <c r="PZZ567" s="3933"/>
      <c r="QAA567" s="621"/>
      <c r="QAB567" s="3933"/>
      <c r="QAC567" s="3933"/>
      <c r="QAD567" s="3933"/>
      <c r="QAE567" s="621"/>
      <c r="QAF567" s="3933"/>
      <c r="QAG567" s="3933"/>
      <c r="QAH567" s="3933"/>
      <c r="QAI567" s="621"/>
      <c r="QAJ567" s="3933"/>
      <c r="QAK567" s="3933"/>
      <c r="QAL567" s="3933"/>
      <c r="QAM567" s="621"/>
      <c r="QAN567" s="3933"/>
      <c r="QAO567" s="3933"/>
      <c r="QAP567" s="3933"/>
      <c r="QAQ567" s="621"/>
      <c r="QAR567" s="3933"/>
      <c r="QAS567" s="3933"/>
      <c r="QAT567" s="3933"/>
      <c r="QAU567" s="621"/>
      <c r="QAV567" s="3933"/>
      <c r="QAW567" s="3933"/>
      <c r="QAX567" s="3933"/>
      <c r="QAY567" s="621"/>
      <c r="QAZ567" s="3933"/>
      <c r="QBA567" s="3933"/>
      <c r="QBB567" s="3933"/>
      <c r="QBC567" s="621"/>
      <c r="QBD567" s="3933"/>
      <c r="QBE567" s="3933"/>
      <c r="QBF567" s="3933"/>
      <c r="QBG567" s="621"/>
      <c r="QBH567" s="3933"/>
      <c r="QBI567" s="3933"/>
      <c r="QBJ567" s="3933"/>
      <c r="QBK567" s="621"/>
      <c r="QBL567" s="3933"/>
      <c r="QBM567" s="3933"/>
      <c r="QBN567" s="3933"/>
      <c r="QBO567" s="621"/>
      <c r="QBP567" s="3933"/>
      <c r="QBQ567" s="3933"/>
      <c r="QBR567" s="3933"/>
      <c r="QBS567" s="621"/>
      <c r="QBT567" s="3933"/>
      <c r="QBU567" s="3933"/>
      <c r="QBV567" s="3933"/>
      <c r="QBW567" s="621"/>
      <c r="QBX567" s="3933"/>
      <c r="QBY567" s="3933"/>
      <c r="QBZ567" s="3933"/>
      <c r="QCA567" s="621"/>
      <c r="QCB567" s="3933"/>
      <c r="QCC567" s="3933"/>
      <c r="QCD567" s="3933"/>
      <c r="QCE567" s="621"/>
      <c r="QCF567" s="3933"/>
      <c r="QCG567" s="3933"/>
      <c r="QCH567" s="3933"/>
      <c r="QCI567" s="621"/>
      <c r="QCJ567" s="3933"/>
      <c r="QCK567" s="3933"/>
      <c r="QCL567" s="3933"/>
      <c r="QCM567" s="621"/>
      <c r="QCN567" s="3933"/>
      <c r="QCO567" s="3933"/>
      <c r="QCP567" s="3933"/>
      <c r="QCQ567" s="621"/>
      <c r="QCR567" s="3933"/>
      <c r="QCS567" s="3933"/>
      <c r="QCT567" s="3933"/>
      <c r="QCU567" s="621"/>
      <c r="QCV567" s="3933"/>
      <c r="QCW567" s="3933"/>
      <c r="QCX567" s="3933"/>
      <c r="QCY567" s="621"/>
      <c r="QCZ567" s="3933"/>
      <c r="QDA567" s="3933"/>
      <c r="QDB567" s="3933"/>
      <c r="QDC567" s="621"/>
      <c r="QDD567" s="3933"/>
      <c r="QDE567" s="3933"/>
      <c r="QDF567" s="3933"/>
      <c r="QDG567" s="621"/>
      <c r="QDH567" s="3933"/>
      <c r="QDI567" s="3933"/>
      <c r="QDJ567" s="3933"/>
      <c r="QDK567" s="621"/>
      <c r="QDL567" s="3933"/>
      <c r="QDM567" s="3933"/>
      <c r="QDN567" s="3933"/>
      <c r="QDO567" s="621"/>
      <c r="QDP567" s="3933"/>
      <c r="QDQ567" s="3933"/>
      <c r="QDR567" s="3933"/>
      <c r="QDS567" s="621"/>
      <c r="QDT567" s="3933"/>
      <c r="QDU567" s="3933"/>
      <c r="QDV567" s="3933"/>
      <c r="QDW567" s="621"/>
      <c r="QDX567" s="3933"/>
      <c r="QDY567" s="3933"/>
      <c r="QDZ567" s="3933"/>
      <c r="QEA567" s="621"/>
      <c r="QEB567" s="3933"/>
      <c r="QEC567" s="3933"/>
      <c r="QED567" s="3933"/>
      <c r="QEE567" s="621"/>
      <c r="QEF567" s="3933"/>
      <c r="QEG567" s="3933"/>
      <c r="QEH567" s="3933"/>
      <c r="QEI567" s="621"/>
      <c r="QEJ567" s="3933"/>
      <c r="QEK567" s="3933"/>
      <c r="QEL567" s="3933"/>
      <c r="QEM567" s="621"/>
      <c r="QEN567" s="3933"/>
      <c r="QEO567" s="3933"/>
      <c r="QEP567" s="3933"/>
      <c r="QEQ567" s="621"/>
      <c r="QER567" s="3933"/>
      <c r="QES567" s="3933"/>
      <c r="QET567" s="3933"/>
      <c r="QEU567" s="621"/>
      <c r="QEV567" s="3933"/>
      <c r="QEW567" s="3933"/>
      <c r="QEX567" s="3933"/>
      <c r="QEY567" s="621"/>
      <c r="QEZ567" s="3933"/>
      <c r="QFA567" s="3933"/>
      <c r="QFB567" s="3933"/>
      <c r="QFC567" s="621"/>
      <c r="QFD567" s="3933"/>
      <c r="QFE567" s="3933"/>
      <c r="QFF567" s="3933"/>
      <c r="QFG567" s="621"/>
      <c r="QFH567" s="3933"/>
      <c r="QFI567" s="3933"/>
      <c r="QFJ567" s="3933"/>
      <c r="QFK567" s="621"/>
      <c r="QFL567" s="3933"/>
      <c r="QFM567" s="3933"/>
      <c r="QFN567" s="3933"/>
      <c r="QFO567" s="621"/>
      <c r="QFP567" s="3933"/>
      <c r="QFQ567" s="3933"/>
      <c r="QFR567" s="3933"/>
      <c r="QFS567" s="621"/>
      <c r="QFT567" s="3933"/>
      <c r="QFU567" s="3933"/>
      <c r="QFV567" s="3933"/>
      <c r="QFW567" s="621"/>
      <c r="QFX567" s="3933"/>
      <c r="QFY567" s="3933"/>
      <c r="QFZ567" s="3933"/>
      <c r="QGA567" s="621"/>
      <c r="QGB567" s="3933"/>
      <c r="QGC567" s="3933"/>
      <c r="QGD567" s="3933"/>
      <c r="QGE567" s="621"/>
      <c r="QGF567" s="3933"/>
      <c r="QGG567" s="3933"/>
      <c r="QGH567" s="3933"/>
      <c r="QGI567" s="621"/>
      <c r="QGJ567" s="3933"/>
      <c r="QGK567" s="3933"/>
      <c r="QGL567" s="3933"/>
      <c r="QGM567" s="621"/>
      <c r="QGN567" s="3933"/>
      <c r="QGO567" s="3933"/>
      <c r="QGP567" s="3933"/>
      <c r="QGQ567" s="621"/>
      <c r="QGR567" s="3933"/>
      <c r="QGS567" s="3933"/>
      <c r="QGT567" s="3933"/>
      <c r="QGU567" s="621"/>
      <c r="QGV567" s="3933"/>
      <c r="QGW567" s="3933"/>
      <c r="QGX567" s="3933"/>
      <c r="QGY567" s="621"/>
      <c r="QGZ567" s="3933"/>
      <c r="QHA567" s="3933"/>
      <c r="QHB567" s="3933"/>
      <c r="QHC567" s="621"/>
      <c r="QHD567" s="3933"/>
      <c r="QHE567" s="3933"/>
      <c r="QHF567" s="3933"/>
      <c r="QHG567" s="621"/>
      <c r="QHH567" s="3933"/>
      <c r="QHI567" s="3933"/>
      <c r="QHJ567" s="3933"/>
      <c r="QHK567" s="621"/>
      <c r="QHL567" s="3933"/>
      <c r="QHM567" s="3933"/>
      <c r="QHN567" s="3933"/>
      <c r="QHO567" s="621"/>
      <c r="QHP567" s="3933"/>
      <c r="QHQ567" s="3933"/>
      <c r="QHR567" s="3933"/>
      <c r="QHS567" s="621"/>
      <c r="QHT567" s="3933"/>
      <c r="QHU567" s="3933"/>
      <c r="QHV567" s="3933"/>
      <c r="QHW567" s="621"/>
      <c r="QHX567" s="3933"/>
      <c r="QHY567" s="3933"/>
      <c r="QHZ567" s="3933"/>
      <c r="QIA567" s="621"/>
      <c r="QIB567" s="3933"/>
      <c r="QIC567" s="3933"/>
      <c r="QID567" s="3933"/>
      <c r="QIE567" s="621"/>
      <c r="QIF567" s="3933"/>
      <c r="QIG567" s="3933"/>
      <c r="QIH567" s="3933"/>
      <c r="QII567" s="621"/>
      <c r="QIJ567" s="3933"/>
      <c r="QIK567" s="3933"/>
      <c r="QIL567" s="3933"/>
      <c r="QIM567" s="621"/>
      <c r="QIN567" s="3933"/>
      <c r="QIO567" s="3933"/>
      <c r="QIP567" s="3933"/>
      <c r="QIQ567" s="621"/>
      <c r="QIR567" s="3933"/>
      <c r="QIS567" s="3933"/>
      <c r="QIT567" s="3933"/>
      <c r="QIU567" s="621"/>
      <c r="QIV567" s="3933"/>
      <c r="QIW567" s="3933"/>
      <c r="QIX567" s="3933"/>
      <c r="QIY567" s="621"/>
      <c r="QIZ567" s="3933"/>
      <c r="QJA567" s="3933"/>
      <c r="QJB567" s="3933"/>
      <c r="QJC567" s="621"/>
      <c r="QJD567" s="3933"/>
      <c r="QJE567" s="3933"/>
      <c r="QJF567" s="3933"/>
      <c r="QJG567" s="621"/>
      <c r="QJH567" s="3933"/>
      <c r="QJI567" s="3933"/>
      <c r="QJJ567" s="3933"/>
      <c r="QJK567" s="621"/>
      <c r="QJL567" s="3933"/>
      <c r="QJM567" s="3933"/>
      <c r="QJN567" s="3933"/>
      <c r="QJO567" s="621"/>
      <c r="QJP567" s="3933"/>
      <c r="QJQ567" s="3933"/>
      <c r="QJR567" s="3933"/>
      <c r="QJS567" s="621"/>
      <c r="QJT567" s="3933"/>
      <c r="QJU567" s="3933"/>
      <c r="QJV567" s="3933"/>
      <c r="QJW567" s="621"/>
      <c r="QJX567" s="3933"/>
      <c r="QJY567" s="3933"/>
      <c r="QJZ567" s="3933"/>
      <c r="QKA567" s="621"/>
      <c r="QKB567" s="3933"/>
      <c r="QKC567" s="3933"/>
      <c r="QKD567" s="3933"/>
      <c r="QKE567" s="621"/>
      <c r="QKF567" s="3933"/>
      <c r="QKG567" s="3933"/>
      <c r="QKH567" s="3933"/>
      <c r="QKI567" s="621"/>
      <c r="QKJ567" s="3933"/>
      <c r="QKK567" s="3933"/>
      <c r="QKL567" s="3933"/>
      <c r="QKM567" s="621"/>
      <c r="QKN567" s="3933"/>
      <c r="QKO567" s="3933"/>
      <c r="QKP567" s="3933"/>
      <c r="QKQ567" s="621"/>
      <c r="QKR567" s="3933"/>
      <c r="QKS567" s="3933"/>
      <c r="QKT567" s="3933"/>
      <c r="QKU567" s="621"/>
      <c r="QKV567" s="3933"/>
      <c r="QKW567" s="3933"/>
      <c r="QKX567" s="3933"/>
      <c r="QKY567" s="621"/>
      <c r="QKZ567" s="3933"/>
      <c r="QLA567" s="3933"/>
      <c r="QLB567" s="3933"/>
      <c r="QLC567" s="621"/>
      <c r="QLD567" s="3933"/>
      <c r="QLE567" s="3933"/>
      <c r="QLF567" s="3933"/>
      <c r="QLG567" s="621"/>
      <c r="QLH567" s="3933"/>
      <c r="QLI567" s="3933"/>
      <c r="QLJ567" s="3933"/>
      <c r="QLK567" s="621"/>
      <c r="QLL567" s="3933"/>
      <c r="QLM567" s="3933"/>
      <c r="QLN567" s="3933"/>
      <c r="QLO567" s="621"/>
      <c r="QLP567" s="3933"/>
      <c r="QLQ567" s="3933"/>
      <c r="QLR567" s="3933"/>
      <c r="QLS567" s="621"/>
      <c r="QLT567" s="3933"/>
      <c r="QLU567" s="3933"/>
      <c r="QLV567" s="3933"/>
      <c r="QLW567" s="621"/>
      <c r="QLX567" s="3933"/>
      <c r="QLY567" s="3933"/>
      <c r="QLZ567" s="3933"/>
      <c r="QMA567" s="621"/>
      <c r="QMB567" s="3933"/>
      <c r="QMC567" s="3933"/>
      <c r="QMD567" s="3933"/>
      <c r="QME567" s="621"/>
      <c r="QMF567" s="3933"/>
      <c r="QMG567" s="3933"/>
      <c r="QMH567" s="3933"/>
      <c r="QMI567" s="621"/>
      <c r="QMJ567" s="3933"/>
      <c r="QMK567" s="3933"/>
      <c r="QML567" s="3933"/>
      <c r="QMM567" s="621"/>
      <c r="QMN567" s="3933"/>
      <c r="QMO567" s="3933"/>
      <c r="QMP567" s="3933"/>
      <c r="QMQ567" s="621"/>
      <c r="QMR567" s="3933"/>
      <c r="QMS567" s="3933"/>
      <c r="QMT567" s="3933"/>
      <c r="QMU567" s="621"/>
      <c r="QMV567" s="3933"/>
      <c r="QMW567" s="3933"/>
      <c r="QMX567" s="3933"/>
      <c r="QMY567" s="621"/>
      <c r="QMZ567" s="3933"/>
      <c r="QNA567" s="3933"/>
      <c r="QNB567" s="3933"/>
      <c r="QNC567" s="621"/>
      <c r="QND567" s="3933"/>
      <c r="QNE567" s="3933"/>
      <c r="QNF567" s="3933"/>
      <c r="QNG567" s="621"/>
      <c r="QNH567" s="3933"/>
      <c r="QNI567" s="3933"/>
      <c r="QNJ567" s="3933"/>
      <c r="QNK567" s="621"/>
      <c r="QNL567" s="3933"/>
      <c r="QNM567" s="3933"/>
      <c r="QNN567" s="3933"/>
      <c r="QNO567" s="621"/>
      <c r="QNP567" s="3933"/>
      <c r="QNQ567" s="3933"/>
      <c r="QNR567" s="3933"/>
      <c r="QNS567" s="621"/>
      <c r="QNT567" s="3933"/>
      <c r="QNU567" s="3933"/>
      <c r="QNV567" s="3933"/>
      <c r="QNW567" s="621"/>
      <c r="QNX567" s="3933"/>
      <c r="QNY567" s="3933"/>
      <c r="QNZ567" s="3933"/>
      <c r="QOA567" s="621"/>
      <c r="QOB567" s="3933"/>
      <c r="QOC567" s="3933"/>
      <c r="QOD567" s="3933"/>
      <c r="QOE567" s="621"/>
      <c r="QOF567" s="3933"/>
      <c r="QOG567" s="3933"/>
      <c r="QOH567" s="3933"/>
      <c r="QOI567" s="621"/>
      <c r="QOJ567" s="3933"/>
      <c r="QOK567" s="3933"/>
      <c r="QOL567" s="3933"/>
      <c r="QOM567" s="621"/>
      <c r="QON567" s="3933"/>
      <c r="QOO567" s="3933"/>
      <c r="QOP567" s="3933"/>
      <c r="QOQ567" s="621"/>
      <c r="QOR567" s="3933"/>
      <c r="QOS567" s="3933"/>
      <c r="QOT567" s="3933"/>
      <c r="QOU567" s="621"/>
      <c r="QOV567" s="3933"/>
      <c r="QOW567" s="3933"/>
      <c r="QOX567" s="3933"/>
      <c r="QOY567" s="621"/>
      <c r="QOZ567" s="3933"/>
      <c r="QPA567" s="3933"/>
      <c r="QPB567" s="3933"/>
      <c r="QPC567" s="621"/>
      <c r="QPD567" s="3933"/>
      <c r="QPE567" s="3933"/>
      <c r="QPF567" s="3933"/>
      <c r="QPG567" s="621"/>
      <c r="QPH567" s="3933"/>
      <c r="QPI567" s="3933"/>
      <c r="QPJ567" s="3933"/>
      <c r="QPK567" s="621"/>
      <c r="QPL567" s="3933"/>
      <c r="QPM567" s="3933"/>
      <c r="QPN567" s="3933"/>
      <c r="QPO567" s="621"/>
      <c r="QPP567" s="3933"/>
      <c r="QPQ567" s="3933"/>
      <c r="QPR567" s="3933"/>
      <c r="QPS567" s="621"/>
      <c r="QPT567" s="3933"/>
      <c r="QPU567" s="3933"/>
      <c r="QPV567" s="3933"/>
      <c r="QPW567" s="621"/>
      <c r="QPX567" s="3933"/>
      <c r="QPY567" s="3933"/>
      <c r="QPZ567" s="3933"/>
      <c r="QQA567" s="621"/>
      <c r="QQB567" s="3933"/>
      <c r="QQC567" s="3933"/>
      <c r="QQD567" s="3933"/>
      <c r="QQE567" s="621"/>
      <c r="QQF567" s="3933"/>
      <c r="QQG567" s="3933"/>
      <c r="QQH567" s="3933"/>
      <c r="QQI567" s="621"/>
      <c r="QQJ567" s="3933"/>
      <c r="QQK567" s="3933"/>
      <c r="QQL567" s="3933"/>
      <c r="QQM567" s="621"/>
      <c r="QQN567" s="3933"/>
      <c r="QQO567" s="3933"/>
      <c r="QQP567" s="3933"/>
      <c r="QQQ567" s="621"/>
      <c r="QQR567" s="3933"/>
      <c r="QQS567" s="3933"/>
      <c r="QQT567" s="3933"/>
      <c r="QQU567" s="621"/>
      <c r="QQV567" s="3933"/>
      <c r="QQW567" s="3933"/>
      <c r="QQX567" s="3933"/>
      <c r="QQY567" s="621"/>
      <c r="QQZ567" s="3933"/>
      <c r="QRA567" s="3933"/>
      <c r="QRB567" s="3933"/>
      <c r="QRC567" s="621"/>
      <c r="QRD567" s="3933"/>
      <c r="QRE567" s="3933"/>
      <c r="QRF567" s="3933"/>
      <c r="QRG567" s="621"/>
      <c r="QRH567" s="3933"/>
      <c r="QRI567" s="3933"/>
      <c r="QRJ567" s="3933"/>
      <c r="QRK567" s="621"/>
      <c r="QRL567" s="3933"/>
      <c r="QRM567" s="3933"/>
      <c r="QRN567" s="3933"/>
      <c r="QRO567" s="621"/>
      <c r="QRP567" s="3933"/>
      <c r="QRQ567" s="3933"/>
      <c r="QRR567" s="3933"/>
      <c r="QRS567" s="621"/>
      <c r="QRT567" s="3933"/>
      <c r="QRU567" s="3933"/>
      <c r="QRV567" s="3933"/>
      <c r="QRW567" s="621"/>
      <c r="QRX567" s="3933"/>
      <c r="QRY567" s="3933"/>
      <c r="QRZ567" s="3933"/>
      <c r="QSA567" s="621"/>
      <c r="QSB567" s="3933"/>
      <c r="QSC567" s="3933"/>
      <c r="QSD567" s="3933"/>
      <c r="QSE567" s="621"/>
      <c r="QSF567" s="3933"/>
      <c r="QSG567" s="3933"/>
      <c r="QSH567" s="3933"/>
      <c r="QSI567" s="621"/>
      <c r="QSJ567" s="3933"/>
      <c r="QSK567" s="3933"/>
      <c r="QSL567" s="3933"/>
      <c r="QSM567" s="621"/>
      <c r="QSN567" s="3933"/>
      <c r="QSO567" s="3933"/>
      <c r="QSP567" s="3933"/>
      <c r="QSQ567" s="621"/>
      <c r="QSR567" s="3933"/>
      <c r="QSS567" s="3933"/>
      <c r="QST567" s="3933"/>
      <c r="QSU567" s="621"/>
      <c r="QSV567" s="3933"/>
      <c r="QSW567" s="3933"/>
      <c r="QSX567" s="3933"/>
      <c r="QSY567" s="621"/>
      <c r="QSZ567" s="3933"/>
      <c r="QTA567" s="3933"/>
      <c r="QTB567" s="3933"/>
      <c r="QTC567" s="621"/>
      <c r="QTD567" s="3933"/>
      <c r="QTE567" s="3933"/>
      <c r="QTF567" s="3933"/>
      <c r="QTG567" s="621"/>
      <c r="QTH567" s="3933"/>
      <c r="QTI567" s="3933"/>
      <c r="QTJ567" s="3933"/>
      <c r="QTK567" s="621"/>
      <c r="QTL567" s="3933"/>
      <c r="QTM567" s="3933"/>
      <c r="QTN567" s="3933"/>
      <c r="QTO567" s="621"/>
      <c r="QTP567" s="3933"/>
      <c r="QTQ567" s="3933"/>
      <c r="QTR567" s="3933"/>
      <c r="QTS567" s="621"/>
      <c r="QTT567" s="3933"/>
      <c r="QTU567" s="3933"/>
      <c r="QTV567" s="3933"/>
      <c r="QTW567" s="621"/>
      <c r="QTX567" s="3933"/>
      <c r="QTY567" s="3933"/>
      <c r="QTZ567" s="3933"/>
      <c r="QUA567" s="621"/>
      <c r="QUB567" s="3933"/>
      <c r="QUC567" s="3933"/>
      <c r="QUD567" s="3933"/>
      <c r="QUE567" s="621"/>
      <c r="QUF567" s="3933"/>
      <c r="QUG567" s="3933"/>
      <c r="QUH567" s="3933"/>
      <c r="QUI567" s="621"/>
      <c r="QUJ567" s="3933"/>
      <c r="QUK567" s="3933"/>
      <c r="QUL567" s="3933"/>
      <c r="QUM567" s="621"/>
      <c r="QUN567" s="3933"/>
      <c r="QUO567" s="3933"/>
      <c r="QUP567" s="3933"/>
      <c r="QUQ567" s="621"/>
      <c r="QUR567" s="3933"/>
      <c r="QUS567" s="3933"/>
      <c r="QUT567" s="3933"/>
      <c r="QUU567" s="621"/>
      <c r="QUV567" s="3933"/>
      <c r="QUW567" s="3933"/>
      <c r="QUX567" s="3933"/>
      <c r="QUY567" s="621"/>
      <c r="QUZ567" s="3933"/>
      <c r="QVA567" s="3933"/>
      <c r="QVB567" s="3933"/>
      <c r="QVC567" s="621"/>
      <c r="QVD567" s="3933"/>
      <c r="QVE567" s="3933"/>
      <c r="QVF567" s="3933"/>
      <c r="QVG567" s="621"/>
      <c r="QVH567" s="3933"/>
      <c r="QVI567" s="3933"/>
      <c r="QVJ567" s="3933"/>
      <c r="QVK567" s="621"/>
      <c r="QVL567" s="3933"/>
      <c r="QVM567" s="3933"/>
      <c r="QVN567" s="3933"/>
      <c r="QVO567" s="621"/>
      <c r="QVP567" s="3933"/>
      <c r="QVQ567" s="3933"/>
      <c r="QVR567" s="3933"/>
      <c r="QVS567" s="621"/>
      <c r="QVT567" s="3933"/>
      <c r="QVU567" s="3933"/>
      <c r="QVV567" s="3933"/>
      <c r="QVW567" s="621"/>
      <c r="QVX567" s="3933"/>
      <c r="QVY567" s="3933"/>
      <c r="QVZ567" s="3933"/>
      <c r="QWA567" s="621"/>
      <c r="QWB567" s="3933"/>
      <c r="QWC567" s="3933"/>
      <c r="QWD567" s="3933"/>
      <c r="QWE567" s="621"/>
      <c r="QWF567" s="3933"/>
      <c r="QWG567" s="3933"/>
      <c r="QWH567" s="3933"/>
      <c r="QWI567" s="621"/>
      <c r="QWJ567" s="3933"/>
      <c r="QWK567" s="3933"/>
      <c r="QWL567" s="3933"/>
      <c r="QWM567" s="621"/>
      <c r="QWN567" s="3933"/>
      <c r="QWO567" s="3933"/>
      <c r="QWP567" s="3933"/>
      <c r="QWQ567" s="621"/>
      <c r="QWR567" s="3933"/>
      <c r="QWS567" s="3933"/>
      <c r="QWT567" s="3933"/>
      <c r="QWU567" s="621"/>
      <c r="QWV567" s="3933"/>
      <c r="QWW567" s="3933"/>
      <c r="QWX567" s="3933"/>
      <c r="QWY567" s="621"/>
      <c r="QWZ567" s="3933"/>
      <c r="QXA567" s="3933"/>
      <c r="QXB567" s="3933"/>
      <c r="QXC567" s="621"/>
      <c r="QXD567" s="3933"/>
      <c r="QXE567" s="3933"/>
      <c r="QXF567" s="3933"/>
      <c r="QXG567" s="621"/>
      <c r="QXH567" s="3933"/>
      <c r="QXI567" s="3933"/>
      <c r="QXJ567" s="3933"/>
      <c r="QXK567" s="621"/>
      <c r="QXL567" s="3933"/>
      <c r="QXM567" s="3933"/>
      <c r="QXN567" s="3933"/>
      <c r="QXO567" s="621"/>
      <c r="QXP567" s="3933"/>
      <c r="QXQ567" s="3933"/>
      <c r="QXR567" s="3933"/>
      <c r="QXS567" s="621"/>
      <c r="QXT567" s="3933"/>
      <c r="QXU567" s="3933"/>
      <c r="QXV567" s="3933"/>
      <c r="QXW567" s="621"/>
      <c r="QXX567" s="3933"/>
      <c r="QXY567" s="3933"/>
      <c r="QXZ567" s="3933"/>
      <c r="QYA567" s="621"/>
      <c r="QYB567" s="3933"/>
      <c r="QYC567" s="3933"/>
      <c r="QYD567" s="3933"/>
      <c r="QYE567" s="621"/>
      <c r="QYF567" s="3933"/>
      <c r="QYG567" s="3933"/>
      <c r="QYH567" s="3933"/>
      <c r="QYI567" s="621"/>
      <c r="QYJ567" s="3933"/>
      <c r="QYK567" s="3933"/>
      <c r="QYL567" s="3933"/>
      <c r="QYM567" s="621"/>
      <c r="QYN567" s="3933"/>
      <c r="QYO567" s="3933"/>
      <c r="QYP567" s="3933"/>
      <c r="QYQ567" s="621"/>
      <c r="QYR567" s="3933"/>
      <c r="QYS567" s="3933"/>
      <c r="QYT567" s="3933"/>
      <c r="QYU567" s="621"/>
      <c r="QYV567" s="3933"/>
      <c r="QYW567" s="3933"/>
      <c r="QYX567" s="3933"/>
      <c r="QYY567" s="621"/>
      <c r="QYZ567" s="3933"/>
      <c r="QZA567" s="3933"/>
      <c r="QZB567" s="3933"/>
      <c r="QZC567" s="621"/>
      <c r="QZD567" s="3933"/>
      <c r="QZE567" s="3933"/>
      <c r="QZF567" s="3933"/>
      <c r="QZG567" s="621"/>
      <c r="QZH567" s="3933"/>
      <c r="QZI567" s="3933"/>
      <c r="QZJ567" s="3933"/>
      <c r="QZK567" s="621"/>
      <c r="QZL567" s="3933"/>
      <c r="QZM567" s="3933"/>
      <c r="QZN567" s="3933"/>
      <c r="QZO567" s="621"/>
      <c r="QZP567" s="3933"/>
      <c r="QZQ567" s="3933"/>
      <c r="QZR567" s="3933"/>
      <c r="QZS567" s="621"/>
      <c r="QZT567" s="3933"/>
      <c r="QZU567" s="3933"/>
      <c r="QZV567" s="3933"/>
      <c r="QZW567" s="621"/>
      <c r="QZX567" s="3933"/>
      <c r="QZY567" s="3933"/>
      <c r="QZZ567" s="3933"/>
      <c r="RAA567" s="621"/>
      <c r="RAB567" s="3933"/>
      <c r="RAC567" s="3933"/>
      <c r="RAD567" s="3933"/>
      <c r="RAE567" s="621"/>
      <c r="RAF567" s="3933"/>
      <c r="RAG567" s="3933"/>
      <c r="RAH567" s="3933"/>
      <c r="RAI567" s="621"/>
      <c r="RAJ567" s="3933"/>
      <c r="RAK567" s="3933"/>
      <c r="RAL567" s="3933"/>
      <c r="RAM567" s="621"/>
      <c r="RAN567" s="3933"/>
      <c r="RAO567" s="3933"/>
      <c r="RAP567" s="3933"/>
      <c r="RAQ567" s="621"/>
      <c r="RAR567" s="3933"/>
      <c r="RAS567" s="3933"/>
      <c r="RAT567" s="3933"/>
      <c r="RAU567" s="621"/>
      <c r="RAV567" s="3933"/>
      <c r="RAW567" s="3933"/>
      <c r="RAX567" s="3933"/>
      <c r="RAY567" s="621"/>
      <c r="RAZ567" s="3933"/>
      <c r="RBA567" s="3933"/>
      <c r="RBB567" s="3933"/>
      <c r="RBC567" s="621"/>
      <c r="RBD567" s="3933"/>
      <c r="RBE567" s="3933"/>
      <c r="RBF567" s="3933"/>
      <c r="RBG567" s="621"/>
      <c r="RBH567" s="3933"/>
      <c r="RBI567" s="3933"/>
      <c r="RBJ567" s="3933"/>
      <c r="RBK567" s="621"/>
      <c r="RBL567" s="3933"/>
      <c r="RBM567" s="3933"/>
      <c r="RBN567" s="3933"/>
      <c r="RBO567" s="621"/>
      <c r="RBP567" s="3933"/>
      <c r="RBQ567" s="3933"/>
      <c r="RBR567" s="3933"/>
      <c r="RBS567" s="621"/>
      <c r="RBT567" s="3933"/>
      <c r="RBU567" s="3933"/>
      <c r="RBV567" s="3933"/>
      <c r="RBW567" s="621"/>
      <c r="RBX567" s="3933"/>
      <c r="RBY567" s="3933"/>
      <c r="RBZ567" s="3933"/>
      <c r="RCA567" s="621"/>
      <c r="RCB567" s="3933"/>
      <c r="RCC567" s="3933"/>
      <c r="RCD567" s="3933"/>
      <c r="RCE567" s="621"/>
      <c r="RCF567" s="3933"/>
      <c r="RCG567" s="3933"/>
      <c r="RCH567" s="3933"/>
      <c r="RCI567" s="621"/>
      <c r="RCJ567" s="3933"/>
      <c r="RCK567" s="3933"/>
      <c r="RCL567" s="3933"/>
      <c r="RCM567" s="621"/>
      <c r="RCN567" s="3933"/>
      <c r="RCO567" s="3933"/>
      <c r="RCP567" s="3933"/>
      <c r="RCQ567" s="621"/>
      <c r="RCR567" s="3933"/>
      <c r="RCS567" s="3933"/>
      <c r="RCT567" s="3933"/>
      <c r="RCU567" s="621"/>
      <c r="RCV567" s="3933"/>
      <c r="RCW567" s="3933"/>
      <c r="RCX567" s="3933"/>
      <c r="RCY567" s="621"/>
      <c r="RCZ567" s="3933"/>
      <c r="RDA567" s="3933"/>
      <c r="RDB567" s="3933"/>
      <c r="RDC567" s="621"/>
      <c r="RDD567" s="3933"/>
      <c r="RDE567" s="3933"/>
      <c r="RDF567" s="3933"/>
      <c r="RDG567" s="621"/>
      <c r="RDH567" s="3933"/>
      <c r="RDI567" s="3933"/>
      <c r="RDJ567" s="3933"/>
      <c r="RDK567" s="621"/>
      <c r="RDL567" s="3933"/>
      <c r="RDM567" s="3933"/>
      <c r="RDN567" s="3933"/>
      <c r="RDO567" s="621"/>
      <c r="RDP567" s="3933"/>
      <c r="RDQ567" s="3933"/>
      <c r="RDR567" s="3933"/>
      <c r="RDS567" s="621"/>
      <c r="RDT567" s="3933"/>
      <c r="RDU567" s="3933"/>
      <c r="RDV567" s="3933"/>
      <c r="RDW567" s="621"/>
      <c r="RDX567" s="3933"/>
      <c r="RDY567" s="3933"/>
      <c r="RDZ567" s="3933"/>
      <c r="REA567" s="621"/>
      <c r="REB567" s="3933"/>
      <c r="REC567" s="3933"/>
      <c r="RED567" s="3933"/>
      <c r="REE567" s="621"/>
      <c r="REF567" s="3933"/>
      <c r="REG567" s="3933"/>
      <c r="REH567" s="3933"/>
      <c r="REI567" s="621"/>
      <c r="REJ567" s="3933"/>
      <c r="REK567" s="3933"/>
      <c r="REL567" s="3933"/>
      <c r="REM567" s="621"/>
      <c r="REN567" s="3933"/>
      <c r="REO567" s="3933"/>
      <c r="REP567" s="3933"/>
      <c r="REQ567" s="621"/>
      <c r="RER567" s="3933"/>
      <c r="RES567" s="3933"/>
      <c r="RET567" s="3933"/>
      <c r="REU567" s="621"/>
      <c r="REV567" s="3933"/>
      <c r="REW567" s="3933"/>
      <c r="REX567" s="3933"/>
      <c r="REY567" s="621"/>
      <c r="REZ567" s="3933"/>
      <c r="RFA567" s="3933"/>
      <c r="RFB567" s="3933"/>
      <c r="RFC567" s="621"/>
      <c r="RFD567" s="3933"/>
      <c r="RFE567" s="3933"/>
      <c r="RFF567" s="3933"/>
      <c r="RFG567" s="621"/>
      <c r="RFH567" s="3933"/>
      <c r="RFI567" s="3933"/>
      <c r="RFJ567" s="3933"/>
      <c r="RFK567" s="621"/>
      <c r="RFL567" s="3933"/>
      <c r="RFM567" s="3933"/>
      <c r="RFN567" s="3933"/>
      <c r="RFO567" s="621"/>
      <c r="RFP567" s="3933"/>
      <c r="RFQ567" s="3933"/>
      <c r="RFR567" s="3933"/>
      <c r="RFS567" s="621"/>
      <c r="RFT567" s="3933"/>
      <c r="RFU567" s="3933"/>
      <c r="RFV567" s="3933"/>
      <c r="RFW567" s="621"/>
      <c r="RFX567" s="3933"/>
      <c r="RFY567" s="3933"/>
      <c r="RFZ567" s="3933"/>
      <c r="RGA567" s="621"/>
      <c r="RGB567" s="3933"/>
      <c r="RGC567" s="3933"/>
      <c r="RGD567" s="3933"/>
      <c r="RGE567" s="621"/>
      <c r="RGF567" s="3933"/>
      <c r="RGG567" s="3933"/>
      <c r="RGH567" s="3933"/>
      <c r="RGI567" s="621"/>
      <c r="RGJ567" s="3933"/>
      <c r="RGK567" s="3933"/>
      <c r="RGL567" s="3933"/>
      <c r="RGM567" s="621"/>
      <c r="RGN567" s="3933"/>
      <c r="RGO567" s="3933"/>
      <c r="RGP567" s="3933"/>
      <c r="RGQ567" s="621"/>
      <c r="RGR567" s="3933"/>
      <c r="RGS567" s="3933"/>
      <c r="RGT567" s="3933"/>
      <c r="RGU567" s="621"/>
      <c r="RGV567" s="3933"/>
      <c r="RGW567" s="3933"/>
      <c r="RGX567" s="3933"/>
      <c r="RGY567" s="621"/>
      <c r="RGZ567" s="3933"/>
      <c r="RHA567" s="3933"/>
      <c r="RHB567" s="3933"/>
      <c r="RHC567" s="621"/>
      <c r="RHD567" s="3933"/>
      <c r="RHE567" s="3933"/>
      <c r="RHF567" s="3933"/>
      <c r="RHG567" s="621"/>
      <c r="RHH567" s="3933"/>
      <c r="RHI567" s="3933"/>
      <c r="RHJ567" s="3933"/>
      <c r="RHK567" s="621"/>
      <c r="RHL567" s="3933"/>
      <c r="RHM567" s="3933"/>
      <c r="RHN567" s="3933"/>
      <c r="RHO567" s="621"/>
      <c r="RHP567" s="3933"/>
      <c r="RHQ567" s="3933"/>
      <c r="RHR567" s="3933"/>
      <c r="RHS567" s="621"/>
      <c r="RHT567" s="3933"/>
      <c r="RHU567" s="3933"/>
      <c r="RHV567" s="3933"/>
      <c r="RHW567" s="621"/>
      <c r="RHX567" s="3933"/>
      <c r="RHY567" s="3933"/>
      <c r="RHZ567" s="3933"/>
      <c r="RIA567" s="621"/>
      <c r="RIB567" s="3933"/>
      <c r="RIC567" s="3933"/>
      <c r="RID567" s="3933"/>
      <c r="RIE567" s="621"/>
      <c r="RIF567" s="3933"/>
      <c r="RIG567" s="3933"/>
      <c r="RIH567" s="3933"/>
      <c r="RII567" s="621"/>
      <c r="RIJ567" s="3933"/>
      <c r="RIK567" s="3933"/>
      <c r="RIL567" s="3933"/>
      <c r="RIM567" s="621"/>
      <c r="RIN567" s="3933"/>
      <c r="RIO567" s="3933"/>
      <c r="RIP567" s="3933"/>
      <c r="RIQ567" s="621"/>
      <c r="RIR567" s="3933"/>
      <c r="RIS567" s="3933"/>
      <c r="RIT567" s="3933"/>
      <c r="RIU567" s="621"/>
      <c r="RIV567" s="3933"/>
      <c r="RIW567" s="3933"/>
      <c r="RIX567" s="3933"/>
      <c r="RIY567" s="621"/>
      <c r="RIZ567" s="3933"/>
      <c r="RJA567" s="3933"/>
      <c r="RJB567" s="3933"/>
      <c r="RJC567" s="621"/>
      <c r="RJD567" s="3933"/>
      <c r="RJE567" s="3933"/>
      <c r="RJF567" s="3933"/>
      <c r="RJG567" s="621"/>
      <c r="RJH567" s="3933"/>
      <c r="RJI567" s="3933"/>
      <c r="RJJ567" s="3933"/>
      <c r="RJK567" s="621"/>
      <c r="RJL567" s="3933"/>
      <c r="RJM567" s="3933"/>
      <c r="RJN567" s="3933"/>
      <c r="RJO567" s="621"/>
      <c r="RJP567" s="3933"/>
      <c r="RJQ567" s="3933"/>
      <c r="RJR567" s="3933"/>
      <c r="RJS567" s="621"/>
      <c r="RJT567" s="3933"/>
      <c r="RJU567" s="3933"/>
      <c r="RJV567" s="3933"/>
      <c r="RJW567" s="621"/>
      <c r="RJX567" s="3933"/>
      <c r="RJY567" s="3933"/>
      <c r="RJZ567" s="3933"/>
      <c r="RKA567" s="621"/>
      <c r="RKB567" s="3933"/>
      <c r="RKC567" s="3933"/>
      <c r="RKD567" s="3933"/>
      <c r="RKE567" s="621"/>
      <c r="RKF567" s="3933"/>
      <c r="RKG567" s="3933"/>
      <c r="RKH567" s="3933"/>
      <c r="RKI567" s="621"/>
      <c r="RKJ567" s="3933"/>
      <c r="RKK567" s="3933"/>
      <c r="RKL567" s="3933"/>
      <c r="RKM567" s="621"/>
      <c r="RKN567" s="3933"/>
      <c r="RKO567" s="3933"/>
      <c r="RKP567" s="3933"/>
      <c r="RKQ567" s="621"/>
      <c r="RKR567" s="3933"/>
      <c r="RKS567" s="3933"/>
      <c r="RKT567" s="3933"/>
      <c r="RKU567" s="621"/>
      <c r="RKV567" s="3933"/>
      <c r="RKW567" s="3933"/>
      <c r="RKX567" s="3933"/>
      <c r="RKY567" s="621"/>
      <c r="RKZ567" s="3933"/>
      <c r="RLA567" s="3933"/>
      <c r="RLB567" s="3933"/>
      <c r="RLC567" s="621"/>
      <c r="RLD567" s="3933"/>
      <c r="RLE567" s="3933"/>
      <c r="RLF567" s="3933"/>
      <c r="RLG567" s="621"/>
      <c r="RLH567" s="3933"/>
      <c r="RLI567" s="3933"/>
      <c r="RLJ567" s="3933"/>
      <c r="RLK567" s="621"/>
      <c r="RLL567" s="3933"/>
      <c r="RLM567" s="3933"/>
      <c r="RLN567" s="3933"/>
      <c r="RLO567" s="621"/>
      <c r="RLP567" s="3933"/>
      <c r="RLQ567" s="3933"/>
      <c r="RLR567" s="3933"/>
      <c r="RLS567" s="621"/>
      <c r="RLT567" s="3933"/>
      <c r="RLU567" s="3933"/>
      <c r="RLV567" s="3933"/>
      <c r="RLW567" s="621"/>
      <c r="RLX567" s="3933"/>
      <c r="RLY567" s="3933"/>
      <c r="RLZ567" s="3933"/>
      <c r="RMA567" s="621"/>
      <c r="RMB567" s="3933"/>
      <c r="RMC567" s="3933"/>
      <c r="RMD567" s="3933"/>
      <c r="RME567" s="621"/>
      <c r="RMF567" s="3933"/>
      <c r="RMG567" s="3933"/>
      <c r="RMH567" s="3933"/>
      <c r="RMI567" s="621"/>
      <c r="RMJ567" s="3933"/>
      <c r="RMK567" s="3933"/>
      <c r="RML567" s="3933"/>
      <c r="RMM567" s="621"/>
      <c r="RMN567" s="3933"/>
      <c r="RMO567" s="3933"/>
      <c r="RMP567" s="3933"/>
      <c r="RMQ567" s="621"/>
      <c r="RMR567" s="3933"/>
      <c r="RMS567" s="3933"/>
      <c r="RMT567" s="3933"/>
      <c r="RMU567" s="621"/>
      <c r="RMV567" s="3933"/>
      <c r="RMW567" s="3933"/>
      <c r="RMX567" s="3933"/>
      <c r="RMY567" s="621"/>
      <c r="RMZ567" s="3933"/>
      <c r="RNA567" s="3933"/>
      <c r="RNB567" s="3933"/>
      <c r="RNC567" s="621"/>
      <c r="RND567" s="3933"/>
      <c r="RNE567" s="3933"/>
      <c r="RNF567" s="3933"/>
      <c r="RNG567" s="621"/>
      <c r="RNH567" s="3933"/>
      <c r="RNI567" s="3933"/>
      <c r="RNJ567" s="3933"/>
      <c r="RNK567" s="621"/>
      <c r="RNL567" s="3933"/>
      <c r="RNM567" s="3933"/>
      <c r="RNN567" s="3933"/>
      <c r="RNO567" s="621"/>
      <c r="RNP567" s="3933"/>
      <c r="RNQ567" s="3933"/>
      <c r="RNR567" s="3933"/>
      <c r="RNS567" s="621"/>
      <c r="RNT567" s="3933"/>
      <c r="RNU567" s="3933"/>
      <c r="RNV567" s="3933"/>
      <c r="RNW567" s="621"/>
      <c r="RNX567" s="3933"/>
      <c r="RNY567" s="3933"/>
      <c r="RNZ567" s="3933"/>
      <c r="ROA567" s="621"/>
      <c r="ROB567" s="3933"/>
      <c r="ROC567" s="3933"/>
      <c r="ROD567" s="3933"/>
      <c r="ROE567" s="621"/>
      <c r="ROF567" s="3933"/>
      <c r="ROG567" s="3933"/>
      <c r="ROH567" s="3933"/>
      <c r="ROI567" s="621"/>
      <c r="ROJ567" s="3933"/>
      <c r="ROK567" s="3933"/>
      <c r="ROL567" s="3933"/>
      <c r="ROM567" s="621"/>
      <c r="RON567" s="3933"/>
      <c r="ROO567" s="3933"/>
      <c r="ROP567" s="3933"/>
      <c r="ROQ567" s="621"/>
      <c r="ROR567" s="3933"/>
      <c r="ROS567" s="3933"/>
      <c r="ROT567" s="3933"/>
      <c r="ROU567" s="621"/>
      <c r="ROV567" s="3933"/>
      <c r="ROW567" s="3933"/>
      <c r="ROX567" s="3933"/>
      <c r="ROY567" s="621"/>
      <c r="ROZ567" s="3933"/>
      <c r="RPA567" s="3933"/>
      <c r="RPB567" s="3933"/>
      <c r="RPC567" s="621"/>
      <c r="RPD567" s="3933"/>
      <c r="RPE567" s="3933"/>
      <c r="RPF567" s="3933"/>
      <c r="RPG567" s="621"/>
      <c r="RPH567" s="3933"/>
      <c r="RPI567" s="3933"/>
      <c r="RPJ567" s="3933"/>
      <c r="RPK567" s="621"/>
      <c r="RPL567" s="3933"/>
      <c r="RPM567" s="3933"/>
      <c r="RPN567" s="3933"/>
      <c r="RPO567" s="621"/>
      <c r="RPP567" s="3933"/>
      <c r="RPQ567" s="3933"/>
      <c r="RPR567" s="3933"/>
      <c r="RPS567" s="621"/>
      <c r="RPT567" s="3933"/>
      <c r="RPU567" s="3933"/>
      <c r="RPV567" s="3933"/>
      <c r="RPW567" s="621"/>
      <c r="RPX567" s="3933"/>
      <c r="RPY567" s="3933"/>
      <c r="RPZ567" s="3933"/>
      <c r="RQA567" s="621"/>
      <c r="RQB567" s="3933"/>
      <c r="RQC567" s="3933"/>
      <c r="RQD567" s="3933"/>
      <c r="RQE567" s="621"/>
      <c r="RQF567" s="3933"/>
      <c r="RQG567" s="3933"/>
      <c r="RQH567" s="3933"/>
      <c r="RQI567" s="621"/>
      <c r="RQJ567" s="3933"/>
      <c r="RQK567" s="3933"/>
      <c r="RQL567" s="3933"/>
      <c r="RQM567" s="621"/>
      <c r="RQN567" s="3933"/>
      <c r="RQO567" s="3933"/>
      <c r="RQP567" s="3933"/>
      <c r="RQQ567" s="621"/>
      <c r="RQR567" s="3933"/>
      <c r="RQS567" s="3933"/>
      <c r="RQT567" s="3933"/>
      <c r="RQU567" s="621"/>
      <c r="RQV567" s="3933"/>
      <c r="RQW567" s="3933"/>
      <c r="RQX567" s="3933"/>
      <c r="RQY567" s="621"/>
      <c r="RQZ567" s="3933"/>
      <c r="RRA567" s="3933"/>
      <c r="RRB567" s="3933"/>
      <c r="RRC567" s="621"/>
      <c r="RRD567" s="3933"/>
      <c r="RRE567" s="3933"/>
      <c r="RRF567" s="3933"/>
      <c r="RRG567" s="621"/>
      <c r="RRH567" s="3933"/>
      <c r="RRI567" s="3933"/>
      <c r="RRJ567" s="3933"/>
      <c r="RRK567" s="621"/>
      <c r="RRL567" s="3933"/>
      <c r="RRM567" s="3933"/>
      <c r="RRN567" s="3933"/>
      <c r="RRO567" s="621"/>
      <c r="RRP567" s="3933"/>
      <c r="RRQ567" s="3933"/>
      <c r="RRR567" s="3933"/>
      <c r="RRS567" s="621"/>
      <c r="RRT567" s="3933"/>
      <c r="RRU567" s="3933"/>
      <c r="RRV567" s="3933"/>
      <c r="RRW567" s="621"/>
      <c r="RRX567" s="3933"/>
      <c r="RRY567" s="3933"/>
      <c r="RRZ567" s="3933"/>
      <c r="RSA567" s="621"/>
      <c r="RSB567" s="3933"/>
      <c r="RSC567" s="3933"/>
      <c r="RSD567" s="3933"/>
      <c r="RSE567" s="621"/>
      <c r="RSF567" s="3933"/>
      <c r="RSG567" s="3933"/>
      <c r="RSH567" s="3933"/>
      <c r="RSI567" s="621"/>
      <c r="RSJ567" s="3933"/>
      <c r="RSK567" s="3933"/>
      <c r="RSL567" s="3933"/>
      <c r="RSM567" s="621"/>
      <c r="RSN567" s="3933"/>
      <c r="RSO567" s="3933"/>
      <c r="RSP567" s="3933"/>
      <c r="RSQ567" s="621"/>
      <c r="RSR567" s="3933"/>
      <c r="RSS567" s="3933"/>
      <c r="RST567" s="3933"/>
      <c r="RSU567" s="621"/>
      <c r="RSV567" s="3933"/>
      <c r="RSW567" s="3933"/>
      <c r="RSX567" s="3933"/>
      <c r="RSY567" s="621"/>
      <c r="RSZ567" s="3933"/>
      <c r="RTA567" s="3933"/>
      <c r="RTB567" s="3933"/>
      <c r="RTC567" s="621"/>
      <c r="RTD567" s="3933"/>
      <c r="RTE567" s="3933"/>
      <c r="RTF567" s="3933"/>
      <c r="RTG567" s="621"/>
      <c r="RTH567" s="3933"/>
      <c r="RTI567" s="3933"/>
      <c r="RTJ567" s="3933"/>
      <c r="RTK567" s="621"/>
      <c r="RTL567" s="3933"/>
      <c r="RTM567" s="3933"/>
      <c r="RTN567" s="3933"/>
      <c r="RTO567" s="621"/>
      <c r="RTP567" s="3933"/>
      <c r="RTQ567" s="3933"/>
      <c r="RTR567" s="3933"/>
      <c r="RTS567" s="621"/>
      <c r="RTT567" s="3933"/>
      <c r="RTU567" s="3933"/>
      <c r="RTV567" s="3933"/>
      <c r="RTW567" s="621"/>
      <c r="RTX567" s="3933"/>
      <c r="RTY567" s="3933"/>
      <c r="RTZ567" s="3933"/>
      <c r="RUA567" s="621"/>
      <c r="RUB567" s="3933"/>
      <c r="RUC567" s="3933"/>
      <c r="RUD567" s="3933"/>
      <c r="RUE567" s="621"/>
      <c r="RUF567" s="3933"/>
      <c r="RUG567" s="3933"/>
      <c r="RUH567" s="3933"/>
      <c r="RUI567" s="621"/>
      <c r="RUJ567" s="3933"/>
      <c r="RUK567" s="3933"/>
      <c r="RUL567" s="3933"/>
      <c r="RUM567" s="621"/>
      <c r="RUN567" s="3933"/>
      <c r="RUO567" s="3933"/>
      <c r="RUP567" s="3933"/>
      <c r="RUQ567" s="621"/>
      <c r="RUR567" s="3933"/>
      <c r="RUS567" s="3933"/>
      <c r="RUT567" s="3933"/>
      <c r="RUU567" s="621"/>
      <c r="RUV567" s="3933"/>
      <c r="RUW567" s="3933"/>
      <c r="RUX567" s="3933"/>
      <c r="RUY567" s="621"/>
      <c r="RUZ567" s="3933"/>
      <c r="RVA567" s="3933"/>
      <c r="RVB567" s="3933"/>
      <c r="RVC567" s="621"/>
      <c r="RVD567" s="3933"/>
      <c r="RVE567" s="3933"/>
      <c r="RVF567" s="3933"/>
      <c r="RVG567" s="621"/>
      <c r="RVH567" s="3933"/>
      <c r="RVI567" s="3933"/>
      <c r="RVJ567" s="3933"/>
      <c r="RVK567" s="621"/>
      <c r="RVL567" s="3933"/>
      <c r="RVM567" s="3933"/>
      <c r="RVN567" s="3933"/>
      <c r="RVO567" s="621"/>
      <c r="RVP567" s="3933"/>
      <c r="RVQ567" s="3933"/>
      <c r="RVR567" s="3933"/>
      <c r="RVS567" s="621"/>
      <c r="RVT567" s="3933"/>
      <c r="RVU567" s="3933"/>
      <c r="RVV567" s="3933"/>
      <c r="RVW567" s="621"/>
      <c r="RVX567" s="3933"/>
      <c r="RVY567" s="3933"/>
      <c r="RVZ567" s="3933"/>
      <c r="RWA567" s="621"/>
      <c r="RWB567" s="3933"/>
      <c r="RWC567" s="3933"/>
      <c r="RWD567" s="3933"/>
      <c r="RWE567" s="621"/>
      <c r="RWF567" s="3933"/>
      <c r="RWG567" s="3933"/>
      <c r="RWH567" s="3933"/>
      <c r="RWI567" s="621"/>
      <c r="RWJ567" s="3933"/>
      <c r="RWK567" s="3933"/>
      <c r="RWL567" s="3933"/>
      <c r="RWM567" s="621"/>
      <c r="RWN567" s="3933"/>
      <c r="RWO567" s="3933"/>
      <c r="RWP567" s="3933"/>
      <c r="RWQ567" s="621"/>
      <c r="RWR567" s="3933"/>
      <c r="RWS567" s="3933"/>
      <c r="RWT567" s="3933"/>
      <c r="RWU567" s="621"/>
      <c r="RWV567" s="3933"/>
      <c r="RWW567" s="3933"/>
      <c r="RWX567" s="3933"/>
      <c r="RWY567" s="621"/>
      <c r="RWZ567" s="3933"/>
      <c r="RXA567" s="3933"/>
      <c r="RXB567" s="3933"/>
      <c r="RXC567" s="621"/>
      <c r="RXD567" s="3933"/>
      <c r="RXE567" s="3933"/>
      <c r="RXF567" s="3933"/>
      <c r="RXG567" s="621"/>
      <c r="RXH567" s="3933"/>
      <c r="RXI567" s="3933"/>
      <c r="RXJ567" s="3933"/>
      <c r="RXK567" s="621"/>
      <c r="RXL567" s="3933"/>
      <c r="RXM567" s="3933"/>
      <c r="RXN567" s="3933"/>
      <c r="RXO567" s="621"/>
      <c r="RXP567" s="3933"/>
      <c r="RXQ567" s="3933"/>
      <c r="RXR567" s="3933"/>
      <c r="RXS567" s="621"/>
      <c r="RXT567" s="3933"/>
      <c r="RXU567" s="3933"/>
      <c r="RXV567" s="3933"/>
      <c r="RXW567" s="621"/>
      <c r="RXX567" s="3933"/>
      <c r="RXY567" s="3933"/>
      <c r="RXZ567" s="3933"/>
      <c r="RYA567" s="621"/>
      <c r="RYB567" s="3933"/>
      <c r="RYC567" s="3933"/>
      <c r="RYD567" s="3933"/>
      <c r="RYE567" s="621"/>
      <c r="RYF567" s="3933"/>
      <c r="RYG567" s="3933"/>
      <c r="RYH567" s="3933"/>
      <c r="RYI567" s="621"/>
      <c r="RYJ567" s="3933"/>
      <c r="RYK567" s="3933"/>
      <c r="RYL567" s="3933"/>
      <c r="RYM567" s="621"/>
      <c r="RYN567" s="3933"/>
      <c r="RYO567" s="3933"/>
      <c r="RYP567" s="3933"/>
      <c r="RYQ567" s="621"/>
      <c r="RYR567" s="3933"/>
      <c r="RYS567" s="3933"/>
      <c r="RYT567" s="3933"/>
      <c r="RYU567" s="621"/>
      <c r="RYV567" s="3933"/>
      <c r="RYW567" s="3933"/>
      <c r="RYX567" s="3933"/>
      <c r="RYY567" s="621"/>
      <c r="RYZ567" s="3933"/>
      <c r="RZA567" s="3933"/>
      <c r="RZB567" s="3933"/>
      <c r="RZC567" s="621"/>
      <c r="RZD567" s="3933"/>
      <c r="RZE567" s="3933"/>
      <c r="RZF567" s="3933"/>
      <c r="RZG567" s="621"/>
      <c r="RZH567" s="3933"/>
      <c r="RZI567" s="3933"/>
      <c r="RZJ567" s="3933"/>
      <c r="RZK567" s="621"/>
      <c r="RZL567" s="3933"/>
      <c r="RZM567" s="3933"/>
      <c r="RZN567" s="3933"/>
      <c r="RZO567" s="621"/>
      <c r="RZP567" s="3933"/>
      <c r="RZQ567" s="3933"/>
      <c r="RZR567" s="3933"/>
      <c r="RZS567" s="621"/>
      <c r="RZT567" s="3933"/>
      <c r="RZU567" s="3933"/>
      <c r="RZV567" s="3933"/>
      <c r="RZW567" s="621"/>
      <c r="RZX567" s="3933"/>
      <c r="RZY567" s="3933"/>
      <c r="RZZ567" s="3933"/>
      <c r="SAA567" s="621"/>
      <c r="SAB567" s="3933"/>
      <c r="SAC567" s="3933"/>
      <c r="SAD567" s="3933"/>
      <c r="SAE567" s="621"/>
      <c r="SAF567" s="3933"/>
      <c r="SAG567" s="3933"/>
      <c r="SAH567" s="3933"/>
      <c r="SAI567" s="621"/>
      <c r="SAJ567" s="3933"/>
      <c r="SAK567" s="3933"/>
      <c r="SAL567" s="3933"/>
      <c r="SAM567" s="621"/>
      <c r="SAN567" s="3933"/>
      <c r="SAO567" s="3933"/>
      <c r="SAP567" s="3933"/>
      <c r="SAQ567" s="621"/>
      <c r="SAR567" s="3933"/>
      <c r="SAS567" s="3933"/>
      <c r="SAT567" s="3933"/>
      <c r="SAU567" s="621"/>
      <c r="SAV567" s="3933"/>
      <c r="SAW567" s="3933"/>
      <c r="SAX567" s="3933"/>
      <c r="SAY567" s="621"/>
      <c r="SAZ567" s="3933"/>
      <c r="SBA567" s="3933"/>
      <c r="SBB567" s="3933"/>
      <c r="SBC567" s="621"/>
      <c r="SBD567" s="3933"/>
      <c r="SBE567" s="3933"/>
      <c r="SBF567" s="3933"/>
      <c r="SBG567" s="621"/>
      <c r="SBH567" s="3933"/>
      <c r="SBI567" s="3933"/>
      <c r="SBJ567" s="3933"/>
      <c r="SBK567" s="621"/>
      <c r="SBL567" s="3933"/>
      <c r="SBM567" s="3933"/>
      <c r="SBN567" s="3933"/>
      <c r="SBO567" s="621"/>
      <c r="SBP567" s="3933"/>
      <c r="SBQ567" s="3933"/>
      <c r="SBR567" s="3933"/>
      <c r="SBS567" s="621"/>
      <c r="SBT567" s="3933"/>
      <c r="SBU567" s="3933"/>
      <c r="SBV567" s="3933"/>
      <c r="SBW567" s="621"/>
      <c r="SBX567" s="3933"/>
      <c r="SBY567" s="3933"/>
      <c r="SBZ567" s="3933"/>
      <c r="SCA567" s="621"/>
      <c r="SCB567" s="3933"/>
      <c r="SCC567" s="3933"/>
      <c r="SCD567" s="3933"/>
      <c r="SCE567" s="621"/>
      <c r="SCF567" s="3933"/>
      <c r="SCG567" s="3933"/>
      <c r="SCH567" s="3933"/>
      <c r="SCI567" s="621"/>
      <c r="SCJ567" s="3933"/>
      <c r="SCK567" s="3933"/>
      <c r="SCL567" s="3933"/>
      <c r="SCM567" s="621"/>
      <c r="SCN567" s="3933"/>
      <c r="SCO567" s="3933"/>
      <c r="SCP567" s="3933"/>
      <c r="SCQ567" s="621"/>
      <c r="SCR567" s="3933"/>
      <c r="SCS567" s="3933"/>
      <c r="SCT567" s="3933"/>
      <c r="SCU567" s="621"/>
      <c r="SCV567" s="3933"/>
      <c r="SCW567" s="3933"/>
      <c r="SCX567" s="3933"/>
      <c r="SCY567" s="621"/>
      <c r="SCZ567" s="3933"/>
      <c r="SDA567" s="3933"/>
      <c r="SDB567" s="3933"/>
      <c r="SDC567" s="621"/>
      <c r="SDD567" s="3933"/>
      <c r="SDE567" s="3933"/>
      <c r="SDF567" s="3933"/>
      <c r="SDG567" s="621"/>
      <c r="SDH567" s="3933"/>
      <c r="SDI567" s="3933"/>
      <c r="SDJ567" s="3933"/>
      <c r="SDK567" s="621"/>
      <c r="SDL567" s="3933"/>
      <c r="SDM567" s="3933"/>
      <c r="SDN567" s="3933"/>
      <c r="SDO567" s="621"/>
      <c r="SDP567" s="3933"/>
      <c r="SDQ567" s="3933"/>
      <c r="SDR567" s="3933"/>
      <c r="SDS567" s="621"/>
      <c r="SDT567" s="3933"/>
      <c r="SDU567" s="3933"/>
      <c r="SDV567" s="3933"/>
      <c r="SDW567" s="621"/>
      <c r="SDX567" s="3933"/>
      <c r="SDY567" s="3933"/>
      <c r="SDZ567" s="3933"/>
      <c r="SEA567" s="621"/>
      <c r="SEB567" s="3933"/>
      <c r="SEC567" s="3933"/>
      <c r="SED567" s="3933"/>
      <c r="SEE567" s="621"/>
      <c r="SEF567" s="3933"/>
      <c r="SEG567" s="3933"/>
      <c r="SEH567" s="3933"/>
      <c r="SEI567" s="621"/>
      <c r="SEJ567" s="3933"/>
      <c r="SEK567" s="3933"/>
      <c r="SEL567" s="3933"/>
      <c r="SEM567" s="621"/>
      <c r="SEN567" s="3933"/>
      <c r="SEO567" s="3933"/>
      <c r="SEP567" s="3933"/>
      <c r="SEQ567" s="621"/>
      <c r="SER567" s="3933"/>
      <c r="SES567" s="3933"/>
      <c r="SET567" s="3933"/>
      <c r="SEU567" s="621"/>
      <c r="SEV567" s="3933"/>
      <c r="SEW567" s="3933"/>
      <c r="SEX567" s="3933"/>
      <c r="SEY567" s="621"/>
      <c r="SEZ567" s="3933"/>
      <c r="SFA567" s="3933"/>
      <c r="SFB567" s="3933"/>
      <c r="SFC567" s="621"/>
      <c r="SFD567" s="3933"/>
      <c r="SFE567" s="3933"/>
      <c r="SFF567" s="3933"/>
      <c r="SFG567" s="621"/>
      <c r="SFH567" s="3933"/>
      <c r="SFI567" s="3933"/>
      <c r="SFJ567" s="3933"/>
      <c r="SFK567" s="621"/>
      <c r="SFL567" s="3933"/>
      <c r="SFM567" s="3933"/>
      <c r="SFN567" s="3933"/>
      <c r="SFO567" s="621"/>
      <c r="SFP567" s="3933"/>
      <c r="SFQ567" s="3933"/>
      <c r="SFR567" s="3933"/>
      <c r="SFS567" s="621"/>
      <c r="SFT567" s="3933"/>
      <c r="SFU567" s="3933"/>
      <c r="SFV567" s="3933"/>
      <c r="SFW567" s="621"/>
      <c r="SFX567" s="3933"/>
      <c r="SFY567" s="3933"/>
      <c r="SFZ567" s="3933"/>
      <c r="SGA567" s="621"/>
      <c r="SGB567" s="3933"/>
      <c r="SGC567" s="3933"/>
      <c r="SGD567" s="3933"/>
      <c r="SGE567" s="621"/>
      <c r="SGF567" s="3933"/>
      <c r="SGG567" s="3933"/>
      <c r="SGH567" s="3933"/>
      <c r="SGI567" s="621"/>
      <c r="SGJ567" s="3933"/>
      <c r="SGK567" s="3933"/>
      <c r="SGL567" s="3933"/>
      <c r="SGM567" s="621"/>
      <c r="SGN567" s="3933"/>
      <c r="SGO567" s="3933"/>
      <c r="SGP567" s="3933"/>
      <c r="SGQ567" s="621"/>
      <c r="SGR567" s="3933"/>
      <c r="SGS567" s="3933"/>
      <c r="SGT567" s="3933"/>
      <c r="SGU567" s="621"/>
      <c r="SGV567" s="3933"/>
      <c r="SGW567" s="3933"/>
      <c r="SGX567" s="3933"/>
      <c r="SGY567" s="621"/>
      <c r="SGZ567" s="3933"/>
      <c r="SHA567" s="3933"/>
      <c r="SHB567" s="3933"/>
      <c r="SHC567" s="621"/>
      <c r="SHD567" s="3933"/>
      <c r="SHE567" s="3933"/>
      <c r="SHF567" s="3933"/>
      <c r="SHG567" s="621"/>
      <c r="SHH567" s="3933"/>
      <c r="SHI567" s="3933"/>
      <c r="SHJ567" s="3933"/>
      <c r="SHK567" s="621"/>
      <c r="SHL567" s="3933"/>
      <c r="SHM567" s="3933"/>
      <c r="SHN567" s="3933"/>
      <c r="SHO567" s="621"/>
      <c r="SHP567" s="3933"/>
      <c r="SHQ567" s="3933"/>
      <c r="SHR567" s="3933"/>
      <c r="SHS567" s="621"/>
      <c r="SHT567" s="3933"/>
      <c r="SHU567" s="3933"/>
      <c r="SHV567" s="3933"/>
      <c r="SHW567" s="621"/>
      <c r="SHX567" s="3933"/>
      <c r="SHY567" s="3933"/>
      <c r="SHZ567" s="3933"/>
      <c r="SIA567" s="621"/>
      <c r="SIB567" s="3933"/>
      <c r="SIC567" s="3933"/>
      <c r="SID567" s="3933"/>
      <c r="SIE567" s="621"/>
      <c r="SIF567" s="3933"/>
      <c r="SIG567" s="3933"/>
      <c r="SIH567" s="3933"/>
      <c r="SII567" s="621"/>
      <c r="SIJ567" s="3933"/>
      <c r="SIK567" s="3933"/>
      <c r="SIL567" s="3933"/>
      <c r="SIM567" s="621"/>
      <c r="SIN567" s="3933"/>
      <c r="SIO567" s="3933"/>
      <c r="SIP567" s="3933"/>
      <c r="SIQ567" s="621"/>
      <c r="SIR567" s="3933"/>
      <c r="SIS567" s="3933"/>
      <c r="SIT567" s="3933"/>
      <c r="SIU567" s="621"/>
      <c r="SIV567" s="3933"/>
      <c r="SIW567" s="3933"/>
      <c r="SIX567" s="3933"/>
      <c r="SIY567" s="621"/>
      <c r="SIZ567" s="3933"/>
      <c r="SJA567" s="3933"/>
      <c r="SJB567" s="3933"/>
      <c r="SJC567" s="621"/>
      <c r="SJD567" s="3933"/>
      <c r="SJE567" s="3933"/>
      <c r="SJF567" s="3933"/>
      <c r="SJG567" s="621"/>
      <c r="SJH567" s="3933"/>
      <c r="SJI567" s="3933"/>
      <c r="SJJ567" s="3933"/>
      <c r="SJK567" s="621"/>
      <c r="SJL567" s="3933"/>
      <c r="SJM567" s="3933"/>
      <c r="SJN567" s="3933"/>
      <c r="SJO567" s="621"/>
      <c r="SJP567" s="3933"/>
      <c r="SJQ567" s="3933"/>
      <c r="SJR567" s="3933"/>
      <c r="SJS567" s="621"/>
      <c r="SJT567" s="3933"/>
      <c r="SJU567" s="3933"/>
      <c r="SJV567" s="3933"/>
      <c r="SJW567" s="621"/>
      <c r="SJX567" s="3933"/>
      <c r="SJY567" s="3933"/>
      <c r="SJZ567" s="3933"/>
      <c r="SKA567" s="621"/>
      <c r="SKB567" s="3933"/>
      <c r="SKC567" s="3933"/>
      <c r="SKD567" s="3933"/>
      <c r="SKE567" s="621"/>
      <c r="SKF567" s="3933"/>
      <c r="SKG567" s="3933"/>
      <c r="SKH567" s="3933"/>
      <c r="SKI567" s="621"/>
      <c r="SKJ567" s="3933"/>
      <c r="SKK567" s="3933"/>
      <c r="SKL567" s="3933"/>
      <c r="SKM567" s="621"/>
      <c r="SKN567" s="3933"/>
      <c r="SKO567" s="3933"/>
      <c r="SKP567" s="3933"/>
      <c r="SKQ567" s="621"/>
      <c r="SKR567" s="3933"/>
      <c r="SKS567" s="3933"/>
      <c r="SKT567" s="3933"/>
      <c r="SKU567" s="621"/>
      <c r="SKV567" s="3933"/>
      <c r="SKW567" s="3933"/>
      <c r="SKX567" s="3933"/>
      <c r="SKY567" s="621"/>
      <c r="SKZ567" s="3933"/>
      <c r="SLA567" s="3933"/>
      <c r="SLB567" s="3933"/>
      <c r="SLC567" s="621"/>
      <c r="SLD567" s="3933"/>
      <c r="SLE567" s="3933"/>
      <c r="SLF567" s="3933"/>
      <c r="SLG567" s="621"/>
      <c r="SLH567" s="3933"/>
      <c r="SLI567" s="3933"/>
      <c r="SLJ567" s="3933"/>
      <c r="SLK567" s="621"/>
      <c r="SLL567" s="3933"/>
      <c r="SLM567" s="3933"/>
      <c r="SLN567" s="3933"/>
      <c r="SLO567" s="621"/>
      <c r="SLP567" s="3933"/>
      <c r="SLQ567" s="3933"/>
      <c r="SLR567" s="3933"/>
      <c r="SLS567" s="621"/>
      <c r="SLT567" s="3933"/>
      <c r="SLU567" s="3933"/>
      <c r="SLV567" s="3933"/>
      <c r="SLW567" s="621"/>
      <c r="SLX567" s="3933"/>
      <c r="SLY567" s="3933"/>
      <c r="SLZ567" s="3933"/>
      <c r="SMA567" s="621"/>
      <c r="SMB567" s="3933"/>
      <c r="SMC567" s="3933"/>
      <c r="SMD567" s="3933"/>
      <c r="SME567" s="621"/>
      <c r="SMF567" s="3933"/>
      <c r="SMG567" s="3933"/>
      <c r="SMH567" s="3933"/>
      <c r="SMI567" s="621"/>
      <c r="SMJ567" s="3933"/>
      <c r="SMK567" s="3933"/>
      <c r="SML567" s="3933"/>
      <c r="SMM567" s="621"/>
      <c r="SMN567" s="3933"/>
      <c r="SMO567" s="3933"/>
      <c r="SMP567" s="3933"/>
      <c r="SMQ567" s="621"/>
      <c r="SMR567" s="3933"/>
      <c r="SMS567" s="3933"/>
      <c r="SMT567" s="3933"/>
      <c r="SMU567" s="621"/>
      <c r="SMV567" s="3933"/>
      <c r="SMW567" s="3933"/>
      <c r="SMX567" s="3933"/>
      <c r="SMY567" s="621"/>
      <c r="SMZ567" s="3933"/>
      <c r="SNA567" s="3933"/>
      <c r="SNB567" s="3933"/>
      <c r="SNC567" s="621"/>
      <c r="SND567" s="3933"/>
      <c r="SNE567" s="3933"/>
      <c r="SNF567" s="3933"/>
      <c r="SNG567" s="621"/>
      <c r="SNH567" s="3933"/>
      <c r="SNI567" s="3933"/>
      <c r="SNJ567" s="3933"/>
      <c r="SNK567" s="621"/>
      <c r="SNL567" s="3933"/>
      <c r="SNM567" s="3933"/>
      <c r="SNN567" s="3933"/>
      <c r="SNO567" s="621"/>
      <c r="SNP567" s="3933"/>
      <c r="SNQ567" s="3933"/>
      <c r="SNR567" s="3933"/>
      <c r="SNS567" s="621"/>
      <c r="SNT567" s="3933"/>
      <c r="SNU567" s="3933"/>
      <c r="SNV567" s="3933"/>
      <c r="SNW567" s="621"/>
      <c r="SNX567" s="3933"/>
      <c r="SNY567" s="3933"/>
      <c r="SNZ567" s="3933"/>
      <c r="SOA567" s="621"/>
      <c r="SOB567" s="3933"/>
      <c r="SOC567" s="3933"/>
      <c r="SOD567" s="3933"/>
      <c r="SOE567" s="621"/>
      <c r="SOF567" s="3933"/>
      <c r="SOG567" s="3933"/>
      <c r="SOH567" s="3933"/>
      <c r="SOI567" s="621"/>
      <c r="SOJ567" s="3933"/>
      <c r="SOK567" s="3933"/>
      <c r="SOL567" s="3933"/>
      <c r="SOM567" s="621"/>
      <c r="SON567" s="3933"/>
      <c r="SOO567" s="3933"/>
      <c r="SOP567" s="3933"/>
      <c r="SOQ567" s="621"/>
      <c r="SOR567" s="3933"/>
      <c r="SOS567" s="3933"/>
      <c r="SOT567" s="3933"/>
      <c r="SOU567" s="621"/>
      <c r="SOV567" s="3933"/>
      <c r="SOW567" s="3933"/>
      <c r="SOX567" s="3933"/>
      <c r="SOY567" s="621"/>
      <c r="SOZ567" s="3933"/>
      <c r="SPA567" s="3933"/>
      <c r="SPB567" s="3933"/>
      <c r="SPC567" s="621"/>
      <c r="SPD567" s="3933"/>
      <c r="SPE567" s="3933"/>
      <c r="SPF567" s="3933"/>
      <c r="SPG567" s="621"/>
      <c r="SPH567" s="3933"/>
      <c r="SPI567" s="3933"/>
      <c r="SPJ567" s="3933"/>
      <c r="SPK567" s="621"/>
      <c r="SPL567" s="3933"/>
      <c r="SPM567" s="3933"/>
      <c r="SPN567" s="3933"/>
      <c r="SPO567" s="621"/>
      <c r="SPP567" s="3933"/>
      <c r="SPQ567" s="3933"/>
      <c r="SPR567" s="3933"/>
      <c r="SPS567" s="621"/>
      <c r="SPT567" s="3933"/>
      <c r="SPU567" s="3933"/>
      <c r="SPV567" s="3933"/>
      <c r="SPW567" s="621"/>
      <c r="SPX567" s="3933"/>
      <c r="SPY567" s="3933"/>
      <c r="SPZ567" s="3933"/>
      <c r="SQA567" s="621"/>
      <c r="SQB567" s="3933"/>
      <c r="SQC567" s="3933"/>
      <c r="SQD567" s="3933"/>
      <c r="SQE567" s="621"/>
      <c r="SQF567" s="3933"/>
      <c r="SQG567" s="3933"/>
      <c r="SQH567" s="3933"/>
      <c r="SQI567" s="621"/>
      <c r="SQJ567" s="3933"/>
      <c r="SQK567" s="3933"/>
      <c r="SQL567" s="3933"/>
      <c r="SQM567" s="621"/>
      <c r="SQN567" s="3933"/>
      <c r="SQO567" s="3933"/>
      <c r="SQP567" s="3933"/>
      <c r="SQQ567" s="621"/>
      <c r="SQR567" s="3933"/>
      <c r="SQS567" s="3933"/>
      <c r="SQT567" s="3933"/>
      <c r="SQU567" s="621"/>
      <c r="SQV567" s="3933"/>
      <c r="SQW567" s="3933"/>
      <c r="SQX567" s="3933"/>
      <c r="SQY567" s="621"/>
      <c r="SQZ567" s="3933"/>
      <c r="SRA567" s="3933"/>
      <c r="SRB567" s="3933"/>
      <c r="SRC567" s="621"/>
      <c r="SRD567" s="3933"/>
      <c r="SRE567" s="3933"/>
      <c r="SRF567" s="3933"/>
      <c r="SRG567" s="621"/>
      <c r="SRH567" s="3933"/>
      <c r="SRI567" s="3933"/>
      <c r="SRJ567" s="3933"/>
      <c r="SRK567" s="621"/>
      <c r="SRL567" s="3933"/>
      <c r="SRM567" s="3933"/>
      <c r="SRN567" s="3933"/>
      <c r="SRO567" s="621"/>
      <c r="SRP567" s="3933"/>
      <c r="SRQ567" s="3933"/>
      <c r="SRR567" s="3933"/>
      <c r="SRS567" s="621"/>
      <c r="SRT567" s="3933"/>
      <c r="SRU567" s="3933"/>
      <c r="SRV567" s="3933"/>
      <c r="SRW567" s="621"/>
      <c r="SRX567" s="3933"/>
      <c r="SRY567" s="3933"/>
      <c r="SRZ567" s="3933"/>
      <c r="SSA567" s="621"/>
      <c r="SSB567" s="3933"/>
      <c r="SSC567" s="3933"/>
      <c r="SSD567" s="3933"/>
      <c r="SSE567" s="621"/>
      <c r="SSF567" s="3933"/>
      <c r="SSG567" s="3933"/>
      <c r="SSH567" s="3933"/>
      <c r="SSI567" s="621"/>
      <c r="SSJ567" s="3933"/>
      <c r="SSK567" s="3933"/>
      <c r="SSL567" s="3933"/>
      <c r="SSM567" s="621"/>
      <c r="SSN567" s="3933"/>
      <c r="SSO567" s="3933"/>
      <c r="SSP567" s="3933"/>
      <c r="SSQ567" s="621"/>
      <c r="SSR567" s="3933"/>
      <c r="SSS567" s="3933"/>
      <c r="SST567" s="3933"/>
      <c r="SSU567" s="621"/>
      <c r="SSV567" s="3933"/>
      <c r="SSW567" s="3933"/>
      <c r="SSX567" s="3933"/>
      <c r="SSY567" s="621"/>
      <c r="SSZ567" s="3933"/>
      <c r="STA567" s="3933"/>
      <c r="STB567" s="3933"/>
      <c r="STC567" s="621"/>
      <c r="STD567" s="3933"/>
      <c r="STE567" s="3933"/>
      <c r="STF567" s="3933"/>
      <c r="STG567" s="621"/>
      <c r="STH567" s="3933"/>
      <c r="STI567" s="3933"/>
      <c r="STJ567" s="3933"/>
      <c r="STK567" s="621"/>
      <c r="STL567" s="3933"/>
      <c r="STM567" s="3933"/>
      <c r="STN567" s="3933"/>
      <c r="STO567" s="621"/>
      <c r="STP567" s="3933"/>
      <c r="STQ567" s="3933"/>
      <c r="STR567" s="3933"/>
      <c r="STS567" s="621"/>
      <c r="STT567" s="3933"/>
      <c r="STU567" s="3933"/>
      <c r="STV567" s="3933"/>
      <c r="STW567" s="621"/>
      <c r="STX567" s="3933"/>
      <c r="STY567" s="3933"/>
      <c r="STZ567" s="3933"/>
      <c r="SUA567" s="621"/>
      <c r="SUB567" s="3933"/>
      <c r="SUC567" s="3933"/>
      <c r="SUD567" s="3933"/>
      <c r="SUE567" s="621"/>
      <c r="SUF567" s="3933"/>
      <c r="SUG567" s="3933"/>
      <c r="SUH567" s="3933"/>
      <c r="SUI567" s="621"/>
      <c r="SUJ567" s="3933"/>
      <c r="SUK567" s="3933"/>
      <c r="SUL567" s="3933"/>
      <c r="SUM567" s="621"/>
      <c r="SUN567" s="3933"/>
      <c r="SUO567" s="3933"/>
      <c r="SUP567" s="3933"/>
      <c r="SUQ567" s="621"/>
      <c r="SUR567" s="3933"/>
      <c r="SUS567" s="3933"/>
      <c r="SUT567" s="3933"/>
      <c r="SUU567" s="621"/>
      <c r="SUV567" s="3933"/>
      <c r="SUW567" s="3933"/>
      <c r="SUX567" s="3933"/>
      <c r="SUY567" s="621"/>
      <c r="SUZ567" s="3933"/>
      <c r="SVA567" s="3933"/>
      <c r="SVB567" s="3933"/>
      <c r="SVC567" s="621"/>
      <c r="SVD567" s="3933"/>
      <c r="SVE567" s="3933"/>
      <c r="SVF567" s="3933"/>
      <c r="SVG567" s="621"/>
      <c r="SVH567" s="3933"/>
      <c r="SVI567" s="3933"/>
      <c r="SVJ567" s="3933"/>
      <c r="SVK567" s="621"/>
      <c r="SVL567" s="3933"/>
      <c r="SVM567" s="3933"/>
      <c r="SVN567" s="3933"/>
      <c r="SVO567" s="621"/>
      <c r="SVP567" s="3933"/>
      <c r="SVQ567" s="3933"/>
      <c r="SVR567" s="3933"/>
      <c r="SVS567" s="621"/>
      <c r="SVT567" s="3933"/>
      <c r="SVU567" s="3933"/>
      <c r="SVV567" s="3933"/>
      <c r="SVW567" s="621"/>
      <c r="SVX567" s="3933"/>
      <c r="SVY567" s="3933"/>
      <c r="SVZ567" s="3933"/>
      <c r="SWA567" s="621"/>
      <c r="SWB567" s="3933"/>
      <c r="SWC567" s="3933"/>
      <c r="SWD567" s="3933"/>
      <c r="SWE567" s="621"/>
      <c r="SWF567" s="3933"/>
      <c r="SWG567" s="3933"/>
      <c r="SWH567" s="3933"/>
      <c r="SWI567" s="621"/>
      <c r="SWJ567" s="3933"/>
      <c r="SWK567" s="3933"/>
      <c r="SWL567" s="3933"/>
      <c r="SWM567" s="621"/>
      <c r="SWN567" s="3933"/>
      <c r="SWO567" s="3933"/>
      <c r="SWP567" s="3933"/>
      <c r="SWQ567" s="621"/>
      <c r="SWR567" s="3933"/>
      <c r="SWS567" s="3933"/>
      <c r="SWT567" s="3933"/>
      <c r="SWU567" s="621"/>
      <c r="SWV567" s="3933"/>
      <c r="SWW567" s="3933"/>
      <c r="SWX567" s="3933"/>
      <c r="SWY567" s="621"/>
      <c r="SWZ567" s="3933"/>
      <c r="SXA567" s="3933"/>
      <c r="SXB567" s="3933"/>
      <c r="SXC567" s="621"/>
      <c r="SXD567" s="3933"/>
      <c r="SXE567" s="3933"/>
      <c r="SXF567" s="3933"/>
      <c r="SXG567" s="621"/>
      <c r="SXH567" s="3933"/>
      <c r="SXI567" s="3933"/>
      <c r="SXJ567" s="3933"/>
      <c r="SXK567" s="621"/>
      <c r="SXL567" s="3933"/>
      <c r="SXM567" s="3933"/>
      <c r="SXN567" s="3933"/>
      <c r="SXO567" s="621"/>
      <c r="SXP567" s="3933"/>
      <c r="SXQ567" s="3933"/>
      <c r="SXR567" s="3933"/>
      <c r="SXS567" s="621"/>
      <c r="SXT567" s="3933"/>
      <c r="SXU567" s="3933"/>
      <c r="SXV567" s="3933"/>
      <c r="SXW567" s="621"/>
      <c r="SXX567" s="3933"/>
      <c r="SXY567" s="3933"/>
      <c r="SXZ567" s="3933"/>
      <c r="SYA567" s="621"/>
      <c r="SYB567" s="3933"/>
      <c r="SYC567" s="3933"/>
      <c r="SYD567" s="3933"/>
      <c r="SYE567" s="621"/>
      <c r="SYF567" s="3933"/>
      <c r="SYG567" s="3933"/>
      <c r="SYH567" s="3933"/>
      <c r="SYI567" s="621"/>
      <c r="SYJ567" s="3933"/>
      <c r="SYK567" s="3933"/>
      <c r="SYL567" s="3933"/>
      <c r="SYM567" s="621"/>
      <c r="SYN567" s="3933"/>
      <c r="SYO567" s="3933"/>
      <c r="SYP567" s="3933"/>
      <c r="SYQ567" s="621"/>
      <c r="SYR567" s="3933"/>
      <c r="SYS567" s="3933"/>
      <c r="SYT567" s="3933"/>
      <c r="SYU567" s="621"/>
      <c r="SYV567" s="3933"/>
      <c r="SYW567" s="3933"/>
      <c r="SYX567" s="3933"/>
      <c r="SYY567" s="621"/>
      <c r="SYZ567" s="3933"/>
      <c r="SZA567" s="3933"/>
      <c r="SZB567" s="3933"/>
      <c r="SZC567" s="621"/>
      <c r="SZD567" s="3933"/>
      <c r="SZE567" s="3933"/>
      <c r="SZF567" s="3933"/>
      <c r="SZG567" s="621"/>
      <c r="SZH567" s="3933"/>
      <c r="SZI567" s="3933"/>
      <c r="SZJ567" s="3933"/>
      <c r="SZK567" s="621"/>
      <c r="SZL567" s="3933"/>
      <c r="SZM567" s="3933"/>
      <c r="SZN567" s="3933"/>
      <c r="SZO567" s="621"/>
      <c r="SZP567" s="3933"/>
      <c r="SZQ567" s="3933"/>
      <c r="SZR567" s="3933"/>
      <c r="SZS567" s="621"/>
      <c r="SZT567" s="3933"/>
      <c r="SZU567" s="3933"/>
      <c r="SZV567" s="3933"/>
      <c r="SZW567" s="621"/>
      <c r="SZX567" s="3933"/>
      <c r="SZY567" s="3933"/>
      <c r="SZZ567" s="3933"/>
      <c r="TAA567" s="621"/>
      <c r="TAB567" s="3933"/>
      <c r="TAC567" s="3933"/>
      <c r="TAD567" s="3933"/>
      <c r="TAE567" s="621"/>
      <c r="TAF567" s="3933"/>
      <c r="TAG567" s="3933"/>
      <c r="TAH567" s="3933"/>
      <c r="TAI567" s="621"/>
      <c r="TAJ567" s="3933"/>
      <c r="TAK567" s="3933"/>
      <c r="TAL567" s="3933"/>
      <c r="TAM567" s="621"/>
      <c r="TAN567" s="3933"/>
      <c r="TAO567" s="3933"/>
      <c r="TAP567" s="3933"/>
      <c r="TAQ567" s="621"/>
      <c r="TAR567" s="3933"/>
      <c r="TAS567" s="3933"/>
      <c r="TAT567" s="3933"/>
      <c r="TAU567" s="621"/>
      <c r="TAV567" s="3933"/>
      <c r="TAW567" s="3933"/>
      <c r="TAX567" s="3933"/>
      <c r="TAY567" s="621"/>
      <c r="TAZ567" s="3933"/>
      <c r="TBA567" s="3933"/>
      <c r="TBB567" s="3933"/>
      <c r="TBC567" s="621"/>
      <c r="TBD567" s="3933"/>
      <c r="TBE567" s="3933"/>
      <c r="TBF567" s="3933"/>
      <c r="TBG567" s="621"/>
      <c r="TBH567" s="3933"/>
      <c r="TBI567" s="3933"/>
      <c r="TBJ567" s="3933"/>
      <c r="TBK567" s="621"/>
      <c r="TBL567" s="3933"/>
      <c r="TBM567" s="3933"/>
      <c r="TBN567" s="3933"/>
      <c r="TBO567" s="621"/>
      <c r="TBP567" s="3933"/>
      <c r="TBQ567" s="3933"/>
      <c r="TBR567" s="3933"/>
      <c r="TBS567" s="621"/>
      <c r="TBT567" s="3933"/>
      <c r="TBU567" s="3933"/>
      <c r="TBV567" s="3933"/>
      <c r="TBW567" s="621"/>
      <c r="TBX567" s="3933"/>
      <c r="TBY567" s="3933"/>
      <c r="TBZ567" s="3933"/>
      <c r="TCA567" s="621"/>
      <c r="TCB567" s="3933"/>
      <c r="TCC567" s="3933"/>
      <c r="TCD567" s="3933"/>
      <c r="TCE567" s="621"/>
      <c r="TCF567" s="3933"/>
      <c r="TCG567" s="3933"/>
      <c r="TCH567" s="3933"/>
      <c r="TCI567" s="621"/>
      <c r="TCJ567" s="3933"/>
      <c r="TCK567" s="3933"/>
      <c r="TCL567" s="3933"/>
      <c r="TCM567" s="621"/>
      <c r="TCN567" s="3933"/>
      <c r="TCO567" s="3933"/>
      <c r="TCP567" s="3933"/>
      <c r="TCQ567" s="621"/>
      <c r="TCR567" s="3933"/>
      <c r="TCS567" s="3933"/>
      <c r="TCT567" s="3933"/>
      <c r="TCU567" s="621"/>
      <c r="TCV567" s="3933"/>
      <c r="TCW567" s="3933"/>
      <c r="TCX567" s="3933"/>
      <c r="TCY567" s="621"/>
      <c r="TCZ567" s="3933"/>
      <c r="TDA567" s="3933"/>
      <c r="TDB567" s="3933"/>
      <c r="TDC567" s="621"/>
      <c r="TDD567" s="3933"/>
      <c r="TDE567" s="3933"/>
      <c r="TDF567" s="3933"/>
      <c r="TDG567" s="621"/>
      <c r="TDH567" s="3933"/>
      <c r="TDI567" s="3933"/>
      <c r="TDJ567" s="3933"/>
      <c r="TDK567" s="621"/>
      <c r="TDL567" s="3933"/>
      <c r="TDM567" s="3933"/>
      <c r="TDN567" s="3933"/>
      <c r="TDO567" s="621"/>
      <c r="TDP567" s="3933"/>
      <c r="TDQ567" s="3933"/>
      <c r="TDR567" s="3933"/>
      <c r="TDS567" s="621"/>
      <c r="TDT567" s="3933"/>
      <c r="TDU567" s="3933"/>
      <c r="TDV567" s="3933"/>
      <c r="TDW567" s="621"/>
      <c r="TDX567" s="3933"/>
      <c r="TDY567" s="3933"/>
      <c r="TDZ567" s="3933"/>
      <c r="TEA567" s="621"/>
      <c r="TEB567" s="3933"/>
      <c r="TEC567" s="3933"/>
      <c r="TED567" s="3933"/>
      <c r="TEE567" s="621"/>
      <c r="TEF567" s="3933"/>
      <c r="TEG567" s="3933"/>
      <c r="TEH567" s="3933"/>
      <c r="TEI567" s="621"/>
      <c r="TEJ567" s="3933"/>
      <c r="TEK567" s="3933"/>
      <c r="TEL567" s="3933"/>
      <c r="TEM567" s="621"/>
      <c r="TEN567" s="3933"/>
      <c r="TEO567" s="3933"/>
      <c r="TEP567" s="3933"/>
      <c r="TEQ567" s="621"/>
      <c r="TER567" s="3933"/>
      <c r="TES567" s="3933"/>
      <c r="TET567" s="3933"/>
      <c r="TEU567" s="621"/>
      <c r="TEV567" s="3933"/>
      <c r="TEW567" s="3933"/>
      <c r="TEX567" s="3933"/>
      <c r="TEY567" s="621"/>
      <c r="TEZ567" s="3933"/>
      <c r="TFA567" s="3933"/>
      <c r="TFB567" s="3933"/>
      <c r="TFC567" s="621"/>
      <c r="TFD567" s="3933"/>
      <c r="TFE567" s="3933"/>
      <c r="TFF567" s="3933"/>
      <c r="TFG567" s="621"/>
      <c r="TFH567" s="3933"/>
      <c r="TFI567" s="3933"/>
      <c r="TFJ567" s="3933"/>
      <c r="TFK567" s="621"/>
      <c r="TFL567" s="3933"/>
      <c r="TFM567" s="3933"/>
      <c r="TFN567" s="3933"/>
      <c r="TFO567" s="621"/>
      <c r="TFP567" s="3933"/>
      <c r="TFQ567" s="3933"/>
      <c r="TFR567" s="3933"/>
      <c r="TFS567" s="621"/>
      <c r="TFT567" s="3933"/>
      <c r="TFU567" s="3933"/>
      <c r="TFV567" s="3933"/>
      <c r="TFW567" s="621"/>
      <c r="TFX567" s="3933"/>
      <c r="TFY567" s="3933"/>
      <c r="TFZ567" s="3933"/>
      <c r="TGA567" s="621"/>
      <c r="TGB567" s="3933"/>
      <c r="TGC567" s="3933"/>
      <c r="TGD567" s="3933"/>
      <c r="TGE567" s="621"/>
      <c r="TGF567" s="3933"/>
      <c r="TGG567" s="3933"/>
      <c r="TGH567" s="3933"/>
      <c r="TGI567" s="621"/>
      <c r="TGJ567" s="3933"/>
      <c r="TGK567" s="3933"/>
      <c r="TGL567" s="3933"/>
      <c r="TGM567" s="621"/>
      <c r="TGN567" s="3933"/>
      <c r="TGO567" s="3933"/>
      <c r="TGP567" s="3933"/>
      <c r="TGQ567" s="621"/>
      <c r="TGR567" s="3933"/>
      <c r="TGS567" s="3933"/>
      <c r="TGT567" s="3933"/>
      <c r="TGU567" s="621"/>
      <c r="TGV567" s="3933"/>
      <c r="TGW567" s="3933"/>
      <c r="TGX567" s="3933"/>
      <c r="TGY567" s="621"/>
      <c r="TGZ567" s="3933"/>
      <c r="THA567" s="3933"/>
      <c r="THB567" s="3933"/>
      <c r="THC567" s="621"/>
      <c r="THD567" s="3933"/>
      <c r="THE567" s="3933"/>
      <c r="THF567" s="3933"/>
      <c r="THG567" s="621"/>
      <c r="THH567" s="3933"/>
      <c r="THI567" s="3933"/>
      <c r="THJ567" s="3933"/>
      <c r="THK567" s="621"/>
      <c r="THL567" s="3933"/>
      <c r="THM567" s="3933"/>
      <c r="THN567" s="3933"/>
      <c r="THO567" s="621"/>
      <c r="THP567" s="3933"/>
      <c r="THQ567" s="3933"/>
      <c r="THR567" s="3933"/>
      <c r="THS567" s="621"/>
      <c r="THT567" s="3933"/>
      <c r="THU567" s="3933"/>
      <c r="THV567" s="3933"/>
      <c r="THW567" s="621"/>
      <c r="THX567" s="3933"/>
      <c r="THY567" s="3933"/>
      <c r="THZ567" s="3933"/>
      <c r="TIA567" s="621"/>
      <c r="TIB567" s="3933"/>
      <c r="TIC567" s="3933"/>
      <c r="TID567" s="3933"/>
      <c r="TIE567" s="621"/>
      <c r="TIF567" s="3933"/>
      <c r="TIG567" s="3933"/>
      <c r="TIH567" s="3933"/>
      <c r="TII567" s="621"/>
      <c r="TIJ567" s="3933"/>
      <c r="TIK567" s="3933"/>
      <c r="TIL567" s="3933"/>
      <c r="TIM567" s="621"/>
      <c r="TIN567" s="3933"/>
      <c r="TIO567" s="3933"/>
      <c r="TIP567" s="3933"/>
      <c r="TIQ567" s="621"/>
      <c r="TIR567" s="3933"/>
      <c r="TIS567" s="3933"/>
      <c r="TIT567" s="3933"/>
      <c r="TIU567" s="621"/>
      <c r="TIV567" s="3933"/>
      <c r="TIW567" s="3933"/>
      <c r="TIX567" s="3933"/>
      <c r="TIY567" s="621"/>
      <c r="TIZ567" s="3933"/>
      <c r="TJA567" s="3933"/>
      <c r="TJB567" s="3933"/>
      <c r="TJC567" s="621"/>
      <c r="TJD567" s="3933"/>
      <c r="TJE567" s="3933"/>
      <c r="TJF567" s="3933"/>
      <c r="TJG567" s="621"/>
      <c r="TJH567" s="3933"/>
      <c r="TJI567" s="3933"/>
      <c r="TJJ567" s="3933"/>
      <c r="TJK567" s="621"/>
      <c r="TJL567" s="3933"/>
      <c r="TJM567" s="3933"/>
      <c r="TJN567" s="3933"/>
      <c r="TJO567" s="621"/>
      <c r="TJP567" s="3933"/>
      <c r="TJQ567" s="3933"/>
      <c r="TJR567" s="3933"/>
      <c r="TJS567" s="621"/>
      <c r="TJT567" s="3933"/>
      <c r="TJU567" s="3933"/>
      <c r="TJV567" s="3933"/>
      <c r="TJW567" s="621"/>
      <c r="TJX567" s="3933"/>
      <c r="TJY567" s="3933"/>
      <c r="TJZ567" s="3933"/>
      <c r="TKA567" s="621"/>
      <c r="TKB567" s="3933"/>
      <c r="TKC567" s="3933"/>
      <c r="TKD567" s="3933"/>
      <c r="TKE567" s="621"/>
      <c r="TKF567" s="3933"/>
      <c r="TKG567" s="3933"/>
      <c r="TKH567" s="3933"/>
      <c r="TKI567" s="621"/>
      <c r="TKJ567" s="3933"/>
      <c r="TKK567" s="3933"/>
      <c r="TKL567" s="3933"/>
      <c r="TKM567" s="621"/>
      <c r="TKN567" s="3933"/>
      <c r="TKO567" s="3933"/>
      <c r="TKP567" s="3933"/>
      <c r="TKQ567" s="621"/>
      <c r="TKR567" s="3933"/>
      <c r="TKS567" s="3933"/>
      <c r="TKT567" s="3933"/>
      <c r="TKU567" s="621"/>
      <c r="TKV567" s="3933"/>
      <c r="TKW567" s="3933"/>
      <c r="TKX567" s="3933"/>
      <c r="TKY567" s="621"/>
      <c r="TKZ567" s="3933"/>
      <c r="TLA567" s="3933"/>
      <c r="TLB567" s="3933"/>
      <c r="TLC567" s="621"/>
      <c r="TLD567" s="3933"/>
      <c r="TLE567" s="3933"/>
      <c r="TLF567" s="3933"/>
      <c r="TLG567" s="621"/>
      <c r="TLH567" s="3933"/>
      <c r="TLI567" s="3933"/>
      <c r="TLJ567" s="3933"/>
      <c r="TLK567" s="621"/>
      <c r="TLL567" s="3933"/>
      <c r="TLM567" s="3933"/>
      <c r="TLN567" s="3933"/>
      <c r="TLO567" s="621"/>
      <c r="TLP567" s="3933"/>
      <c r="TLQ567" s="3933"/>
      <c r="TLR567" s="3933"/>
      <c r="TLS567" s="621"/>
      <c r="TLT567" s="3933"/>
      <c r="TLU567" s="3933"/>
      <c r="TLV567" s="3933"/>
      <c r="TLW567" s="621"/>
      <c r="TLX567" s="3933"/>
      <c r="TLY567" s="3933"/>
      <c r="TLZ567" s="3933"/>
      <c r="TMA567" s="621"/>
      <c r="TMB567" s="3933"/>
      <c r="TMC567" s="3933"/>
      <c r="TMD567" s="3933"/>
      <c r="TME567" s="621"/>
      <c r="TMF567" s="3933"/>
      <c r="TMG567" s="3933"/>
      <c r="TMH567" s="3933"/>
      <c r="TMI567" s="621"/>
      <c r="TMJ567" s="3933"/>
      <c r="TMK567" s="3933"/>
      <c r="TML567" s="3933"/>
      <c r="TMM567" s="621"/>
      <c r="TMN567" s="3933"/>
      <c r="TMO567" s="3933"/>
      <c r="TMP567" s="3933"/>
      <c r="TMQ567" s="621"/>
      <c r="TMR567" s="3933"/>
      <c r="TMS567" s="3933"/>
      <c r="TMT567" s="3933"/>
      <c r="TMU567" s="621"/>
      <c r="TMV567" s="3933"/>
      <c r="TMW567" s="3933"/>
      <c r="TMX567" s="3933"/>
      <c r="TMY567" s="621"/>
      <c r="TMZ567" s="3933"/>
      <c r="TNA567" s="3933"/>
      <c r="TNB567" s="3933"/>
      <c r="TNC567" s="621"/>
      <c r="TND567" s="3933"/>
      <c r="TNE567" s="3933"/>
      <c r="TNF567" s="3933"/>
      <c r="TNG567" s="621"/>
      <c r="TNH567" s="3933"/>
      <c r="TNI567" s="3933"/>
      <c r="TNJ567" s="3933"/>
      <c r="TNK567" s="621"/>
      <c r="TNL567" s="3933"/>
      <c r="TNM567" s="3933"/>
      <c r="TNN567" s="3933"/>
      <c r="TNO567" s="621"/>
      <c r="TNP567" s="3933"/>
      <c r="TNQ567" s="3933"/>
      <c r="TNR567" s="3933"/>
      <c r="TNS567" s="621"/>
      <c r="TNT567" s="3933"/>
      <c r="TNU567" s="3933"/>
      <c r="TNV567" s="3933"/>
      <c r="TNW567" s="621"/>
      <c r="TNX567" s="3933"/>
      <c r="TNY567" s="3933"/>
      <c r="TNZ567" s="3933"/>
      <c r="TOA567" s="621"/>
      <c r="TOB567" s="3933"/>
      <c r="TOC567" s="3933"/>
      <c r="TOD567" s="3933"/>
      <c r="TOE567" s="621"/>
      <c r="TOF567" s="3933"/>
      <c r="TOG567" s="3933"/>
      <c r="TOH567" s="3933"/>
      <c r="TOI567" s="621"/>
      <c r="TOJ567" s="3933"/>
      <c r="TOK567" s="3933"/>
      <c r="TOL567" s="3933"/>
      <c r="TOM567" s="621"/>
      <c r="TON567" s="3933"/>
      <c r="TOO567" s="3933"/>
      <c r="TOP567" s="3933"/>
      <c r="TOQ567" s="621"/>
      <c r="TOR567" s="3933"/>
      <c r="TOS567" s="3933"/>
      <c r="TOT567" s="3933"/>
      <c r="TOU567" s="621"/>
      <c r="TOV567" s="3933"/>
      <c r="TOW567" s="3933"/>
      <c r="TOX567" s="3933"/>
      <c r="TOY567" s="621"/>
      <c r="TOZ567" s="3933"/>
      <c r="TPA567" s="3933"/>
      <c r="TPB567" s="3933"/>
      <c r="TPC567" s="621"/>
      <c r="TPD567" s="3933"/>
      <c r="TPE567" s="3933"/>
      <c r="TPF567" s="3933"/>
      <c r="TPG567" s="621"/>
      <c r="TPH567" s="3933"/>
      <c r="TPI567" s="3933"/>
      <c r="TPJ567" s="3933"/>
      <c r="TPK567" s="621"/>
      <c r="TPL567" s="3933"/>
      <c r="TPM567" s="3933"/>
      <c r="TPN567" s="3933"/>
      <c r="TPO567" s="621"/>
      <c r="TPP567" s="3933"/>
      <c r="TPQ567" s="3933"/>
      <c r="TPR567" s="3933"/>
      <c r="TPS567" s="621"/>
      <c r="TPT567" s="3933"/>
      <c r="TPU567" s="3933"/>
      <c r="TPV567" s="3933"/>
      <c r="TPW567" s="621"/>
      <c r="TPX567" s="3933"/>
      <c r="TPY567" s="3933"/>
      <c r="TPZ567" s="3933"/>
      <c r="TQA567" s="621"/>
      <c r="TQB567" s="3933"/>
      <c r="TQC567" s="3933"/>
      <c r="TQD567" s="3933"/>
      <c r="TQE567" s="621"/>
      <c r="TQF567" s="3933"/>
      <c r="TQG567" s="3933"/>
      <c r="TQH567" s="3933"/>
      <c r="TQI567" s="621"/>
      <c r="TQJ567" s="3933"/>
      <c r="TQK567" s="3933"/>
      <c r="TQL567" s="3933"/>
      <c r="TQM567" s="621"/>
      <c r="TQN567" s="3933"/>
      <c r="TQO567" s="3933"/>
      <c r="TQP567" s="3933"/>
      <c r="TQQ567" s="621"/>
      <c r="TQR567" s="3933"/>
      <c r="TQS567" s="3933"/>
      <c r="TQT567" s="3933"/>
      <c r="TQU567" s="621"/>
      <c r="TQV567" s="3933"/>
      <c r="TQW567" s="3933"/>
      <c r="TQX567" s="3933"/>
      <c r="TQY567" s="621"/>
      <c r="TQZ567" s="3933"/>
      <c r="TRA567" s="3933"/>
      <c r="TRB567" s="3933"/>
      <c r="TRC567" s="621"/>
      <c r="TRD567" s="3933"/>
      <c r="TRE567" s="3933"/>
      <c r="TRF567" s="3933"/>
      <c r="TRG567" s="621"/>
      <c r="TRH567" s="3933"/>
      <c r="TRI567" s="3933"/>
      <c r="TRJ567" s="3933"/>
      <c r="TRK567" s="621"/>
      <c r="TRL567" s="3933"/>
      <c r="TRM567" s="3933"/>
      <c r="TRN567" s="3933"/>
      <c r="TRO567" s="621"/>
      <c r="TRP567" s="3933"/>
      <c r="TRQ567" s="3933"/>
      <c r="TRR567" s="3933"/>
      <c r="TRS567" s="621"/>
      <c r="TRT567" s="3933"/>
      <c r="TRU567" s="3933"/>
      <c r="TRV567" s="3933"/>
      <c r="TRW567" s="621"/>
      <c r="TRX567" s="3933"/>
      <c r="TRY567" s="3933"/>
      <c r="TRZ567" s="3933"/>
      <c r="TSA567" s="621"/>
      <c r="TSB567" s="3933"/>
      <c r="TSC567" s="3933"/>
      <c r="TSD567" s="3933"/>
      <c r="TSE567" s="621"/>
      <c r="TSF567" s="3933"/>
      <c r="TSG567" s="3933"/>
      <c r="TSH567" s="3933"/>
      <c r="TSI567" s="621"/>
      <c r="TSJ567" s="3933"/>
      <c r="TSK567" s="3933"/>
      <c r="TSL567" s="3933"/>
      <c r="TSM567" s="621"/>
      <c r="TSN567" s="3933"/>
      <c r="TSO567" s="3933"/>
      <c r="TSP567" s="3933"/>
      <c r="TSQ567" s="621"/>
      <c r="TSR567" s="3933"/>
      <c r="TSS567" s="3933"/>
      <c r="TST567" s="3933"/>
      <c r="TSU567" s="621"/>
      <c r="TSV567" s="3933"/>
      <c r="TSW567" s="3933"/>
      <c r="TSX567" s="3933"/>
      <c r="TSY567" s="621"/>
      <c r="TSZ567" s="3933"/>
      <c r="TTA567" s="3933"/>
      <c r="TTB567" s="3933"/>
      <c r="TTC567" s="621"/>
      <c r="TTD567" s="3933"/>
      <c r="TTE567" s="3933"/>
      <c r="TTF567" s="3933"/>
      <c r="TTG567" s="621"/>
      <c r="TTH567" s="3933"/>
      <c r="TTI567" s="3933"/>
      <c r="TTJ567" s="3933"/>
      <c r="TTK567" s="621"/>
      <c r="TTL567" s="3933"/>
      <c r="TTM567" s="3933"/>
      <c r="TTN567" s="3933"/>
      <c r="TTO567" s="621"/>
      <c r="TTP567" s="3933"/>
      <c r="TTQ567" s="3933"/>
      <c r="TTR567" s="3933"/>
      <c r="TTS567" s="621"/>
      <c r="TTT567" s="3933"/>
      <c r="TTU567" s="3933"/>
      <c r="TTV567" s="3933"/>
      <c r="TTW567" s="621"/>
      <c r="TTX567" s="3933"/>
      <c r="TTY567" s="3933"/>
      <c r="TTZ567" s="3933"/>
      <c r="TUA567" s="621"/>
      <c r="TUB567" s="3933"/>
      <c r="TUC567" s="3933"/>
      <c r="TUD567" s="3933"/>
      <c r="TUE567" s="621"/>
      <c r="TUF567" s="3933"/>
      <c r="TUG567" s="3933"/>
      <c r="TUH567" s="3933"/>
      <c r="TUI567" s="621"/>
      <c r="TUJ567" s="3933"/>
      <c r="TUK567" s="3933"/>
      <c r="TUL567" s="3933"/>
      <c r="TUM567" s="621"/>
      <c r="TUN567" s="3933"/>
      <c r="TUO567" s="3933"/>
      <c r="TUP567" s="3933"/>
      <c r="TUQ567" s="621"/>
      <c r="TUR567" s="3933"/>
      <c r="TUS567" s="3933"/>
      <c r="TUT567" s="3933"/>
      <c r="TUU567" s="621"/>
      <c r="TUV567" s="3933"/>
      <c r="TUW567" s="3933"/>
      <c r="TUX567" s="3933"/>
      <c r="TUY567" s="621"/>
      <c r="TUZ567" s="3933"/>
      <c r="TVA567" s="3933"/>
      <c r="TVB567" s="3933"/>
      <c r="TVC567" s="621"/>
      <c r="TVD567" s="3933"/>
      <c r="TVE567" s="3933"/>
      <c r="TVF567" s="3933"/>
      <c r="TVG567" s="621"/>
      <c r="TVH567" s="3933"/>
      <c r="TVI567" s="3933"/>
      <c r="TVJ567" s="3933"/>
      <c r="TVK567" s="621"/>
      <c r="TVL567" s="3933"/>
      <c r="TVM567" s="3933"/>
      <c r="TVN567" s="3933"/>
      <c r="TVO567" s="621"/>
      <c r="TVP567" s="3933"/>
      <c r="TVQ567" s="3933"/>
      <c r="TVR567" s="3933"/>
      <c r="TVS567" s="621"/>
      <c r="TVT567" s="3933"/>
      <c r="TVU567" s="3933"/>
      <c r="TVV567" s="3933"/>
      <c r="TVW567" s="621"/>
      <c r="TVX567" s="3933"/>
      <c r="TVY567" s="3933"/>
      <c r="TVZ567" s="3933"/>
      <c r="TWA567" s="621"/>
      <c r="TWB567" s="3933"/>
      <c r="TWC567" s="3933"/>
      <c r="TWD567" s="3933"/>
      <c r="TWE567" s="621"/>
      <c r="TWF567" s="3933"/>
      <c r="TWG567" s="3933"/>
      <c r="TWH567" s="3933"/>
      <c r="TWI567" s="621"/>
      <c r="TWJ567" s="3933"/>
      <c r="TWK567" s="3933"/>
      <c r="TWL567" s="3933"/>
      <c r="TWM567" s="621"/>
      <c r="TWN567" s="3933"/>
      <c r="TWO567" s="3933"/>
      <c r="TWP567" s="3933"/>
      <c r="TWQ567" s="621"/>
      <c r="TWR567" s="3933"/>
      <c r="TWS567" s="3933"/>
      <c r="TWT567" s="3933"/>
      <c r="TWU567" s="621"/>
      <c r="TWV567" s="3933"/>
      <c r="TWW567" s="3933"/>
      <c r="TWX567" s="3933"/>
      <c r="TWY567" s="621"/>
      <c r="TWZ567" s="3933"/>
      <c r="TXA567" s="3933"/>
      <c r="TXB567" s="3933"/>
      <c r="TXC567" s="621"/>
      <c r="TXD567" s="3933"/>
      <c r="TXE567" s="3933"/>
      <c r="TXF567" s="3933"/>
      <c r="TXG567" s="621"/>
      <c r="TXH567" s="3933"/>
      <c r="TXI567" s="3933"/>
      <c r="TXJ567" s="3933"/>
      <c r="TXK567" s="621"/>
      <c r="TXL567" s="3933"/>
      <c r="TXM567" s="3933"/>
      <c r="TXN567" s="3933"/>
      <c r="TXO567" s="621"/>
      <c r="TXP567" s="3933"/>
      <c r="TXQ567" s="3933"/>
      <c r="TXR567" s="3933"/>
      <c r="TXS567" s="621"/>
      <c r="TXT567" s="3933"/>
      <c r="TXU567" s="3933"/>
      <c r="TXV567" s="3933"/>
      <c r="TXW567" s="621"/>
      <c r="TXX567" s="3933"/>
      <c r="TXY567" s="3933"/>
      <c r="TXZ567" s="3933"/>
      <c r="TYA567" s="621"/>
      <c r="TYB567" s="3933"/>
      <c r="TYC567" s="3933"/>
      <c r="TYD567" s="3933"/>
      <c r="TYE567" s="621"/>
      <c r="TYF567" s="3933"/>
      <c r="TYG567" s="3933"/>
      <c r="TYH567" s="3933"/>
      <c r="TYI567" s="621"/>
      <c r="TYJ567" s="3933"/>
      <c r="TYK567" s="3933"/>
      <c r="TYL567" s="3933"/>
      <c r="TYM567" s="621"/>
      <c r="TYN567" s="3933"/>
      <c r="TYO567" s="3933"/>
      <c r="TYP567" s="3933"/>
      <c r="TYQ567" s="621"/>
      <c r="TYR567" s="3933"/>
      <c r="TYS567" s="3933"/>
      <c r="TYT567" s="3933"/>
      <c r="TYU567" s="621"/>
      <c r="TYV567" s="3933"/>
      <c r="TYW567" s="3933"/>
      <c r="TYX567" s="3933"/>
      <c r="TYY567" s="621"/>
      <c r="TYZ567" s="3933"/>
      <c r="TZA567" s="3933"/>
      <c r="TZB567" s="3933"/>
      <c r="TZC567" s="621"/>
      <c r="TZD567" s="3933"/>
      <c r="TZE567" s="3933"/>
      <c r="TZF567" s="3933"/>
      <c r="TZG567" s="621"/>
      <c r="TZH567" s="3933"/>
      <c r="TZI567" s="3933"/>
      <c r="TZJ567" s="3933"/>
      <c r="TZK567" s="621"/>
      <c r="TZL567" s="3933"/>
      <c r="TZM567" s="3933"/>
      <c r="TZN567" s="3933"/>
      <c r="TZO567" s="621"/>
      <c r="TZP567" s="3933"/>
      <c r="TZQ567" s="3933"/>
      <c r="TZR567" s="3933"/>
      <c r="TZS567" s="621"/>
      <c r="TZT567" s="3933"/>
      <c r="TZU567" s="3933"/>
      <c r="TZV567" s="3933"/>
      <c r="TZW567" s="621"/>
      <c r="TZX567" s="3933"/>
      <c r="TZY567" s="3933"/>
      <c r="TZZ567" s="3933"/>
      <c r="UAA567" s="621"/>
      <c r="UAB567" s="3933"/>
      <c r="UAC567" s="3933"/>
      <c r="UAD567" s="3933"/>
      <c r="UAE567" s="621"/>
      <c r="UAF567" s="3933"/>
      <c r="UAG567" s="3933"/>
      <c r="UAH567" s="3933"/>
      <c r="UAI567" s="621"/>
      <c r="UAJ567" s="3933"/>
      <c r="UAK567" s="3933"/>
      <c r="UAL567" s="3933"/>
      <c r="UAM567" s="621"/>
      <c r="UAN567" s="3933"/>
      <c r="UAO567" s="3933"/>
      <c r="UAP567" s="3933"/>
      <c r="UAQ567" s="621"/>
      <c r="UAR567" s="3933"/>
      <c r="UAS567" s="3933"/>
      <c r="UAT567" s="3933"/>
      <c r="UAU567" s="621"/>
      <c r="UAV567" s="3933"/>
      <c r="UAW567" s="3933"/>
      <c r="UAX567" s="3933"/>
      <c r="UAY567" s="621"/>
      <c r="UAZ567" s="3933"/>
      <c r="UBA567" s="3933"/>
      <c r="UBB567" s="3933"/>
      <c r="UBC567" s="621"/>
      <c r="UBD567" s="3933"/>
      <c r="UBE567" s="3933"/>
      <c r="UBF567" s="3933"/>
      <c r="UBG567" s="621"/>
      <c r="UBH567" s="3933"/>
      <c r="UBI567" s="3933"/>
      <c r="UBJ567" s="3933"/>
      <c r="UBK567" s="621"/>
      <c r="UBL567" s="3933"/>
      <c r="UBM567" s="3933"/>
      <c r="UBN567" s="3933"/>
      <c r="UBO567" s="621"/>
      <c r="UBP567" s="3933"/>
      <c r="UBQ567" s="3933"/>
      <c r="UBR567" s="3933"/>
      <c r="UBS567" s="621"/>
      <c r="UBT567" s="3933"/>
      <c r="UBU567" s="3933"/>
      <c r="UBV567" s="3933"/>
      <c r="UBW567" s="621"/>
      <c r="UBX567" s="3933"/>
      <c r="UBY567" s="3933"/>
      <c r="UBZ567" s="3933"/>
      <c r="UCA567" s="621"/>
      <c r="UCB567" s="3933"/>
      <c r="UCC567" s="3933"/>
      <c r="UCD567" s="3933"/>
      <c r="UCE567" s="621"/>
      <c r="UCF567" s="3933"/>
      <c r="UCG567" s="3933"/>
      <c r="UCH567" s="3933"/>
      <c r="UCI567" s="621"/>
      <c r="UCJ567" s="3933"/>
      <c r="UCK567" s="3933"/>
      <c r="UCL567" s="3933"/>
      <c r="UCM567" s="621"/>
      <c r="UCN567" s="3933"/>
      <c r="UCO567" s="3933"/>
      <c r="UCP567" s="3933"/>
      <c r="UCQ567" s="621"/>
      <c r="UCR567" s="3933"/>
      <c r="UCS567" s="3933"/>
      <c r="UCT567" s="3933"/>
      <c r="UCU567" s="621"/>
      <c r="UCV567" s="3933"/>
      <c r="UCW567" s="3933"/>
      <c r="UCX567" s="3933"/>
      <c r="UCY567" s="621"/>
      <c r="UCZ567" s="3933"/>
      <c r="UDA567" s="3933"/>
      <c r="UDB567" s="3933"/>
      <c r="UDC567" s="621"/>
      <c r="UDD567" s="3933"/>
      <c r="UDE567" s="3933"/>
      <c r="UDF567" s="3933"/>
      <c r="UDG567" s="621"/>
      <c r="UDH567" s="3933"/>
      <c r="UDI567" s="3933"/>
      <c r="UDJ567" s="3933"/>
      <c r="UDK567" s="621"/>
      <c r="UDL567" s="3933"/>
      <c r="UDM567" s="3933"/>
      <c r="UDN567" s="3933"/>
      <c r="UDO567" s="621"/>
      <c r="UDP567" s="3933"/>
      <c r="UDQ567" s="3933"/>
      <c r="UDR567" s="3933"/>
      <c r="UDS567" s="621"/>
      <c r="UDT567" s="3933"/>
      <c r="UDU567" s="3933"/>
      <c r="UDV567" s="3933"/>
      <c r="UDW567" s="621"/>
      <c r="UDX567" s="3933"/>
      <c r="UDY567" s="3933"/>
      <c r="UDZ567" s="3933"/>
      <c r="UEA567" s="621"/>
      <c r="UEB567" s="3933"/>
      <c r="UEC567" s="3933"/>
      <c r="UED567" s="3933"/>
      <c r="UEE567" s="621"/>
      <c r="UEF567" s="3933"/>
      <c r="UEG567" s="3933"/>
      <c r="UEH567" s="3933"/>
      <c r="UEI567" s="621"/>
      <c r="UEJ567" s="3933"/>
      <c r="UEK567" s="3933"/>
      <c r="UEL567" s="3933"/>
      <c r="UEM567" s="621"/>
      <c r="UEN567" s="3933"/>
      <c r="UEO567" s="3933"/>
      <c r="UEP567" s="3933"/>
      <c r="UEQ567" s="621"/>
      <c r="UER567" s="3933"/>
      <c r="UES567" s="3933"/>
      <c r="UET567" s="3933"/>
      <c r="UEU567" s="621"/>
      <c r="UEV567" s="3933"/>
      <c r="UEW567" s="3933"/>
      <c r="UEX567" s="3933"/>
      <c r="UEY567" s="621"/>
      <c r="UEZ567" s="3933"/>
      <c r="UFA567" s="3933"/>
      <c r="UFB567" s="3933"/>
      <c r="UFC567" s="621"/>
      <c r="UFD567" s="3933"/>
      <c r="UFE567" s="3933"/>
      <c r="UFF567" s="3933"/>
      <c r="UFG567" s="621"/>
      <c r="UFH567" s="3933"/>
      <c r="UFI567" s="3933"/>
      <c r="UFJ567" s="3933"/>
      <c r="UFK567" s="621"/>
      <c r="UFL567" s="3933"/>
      <c r="UFM567" s="3933"/>
      <c r="UFN567" s="3933"/>
      <c r="UFO567" s="621"/>
      <c r="UFP567" s="3933"/>
      <c r="UFQ567" s="3933"/>
      <c r="UFR567" s="3933"/>
      <c r="UFS567" s="621"/>
      <c r="UFT567" s="3933"/>
      <c r="UFU567" s="3933"/>
      <c r="UFV567" s="3933"/>
      <c r="UFW567" s="621"/>
      <c r="UFX567" s="3933"/>
      <c r="UFY567" s="3933"/>
      <c r="UFZ567" s="3933"/>
      <c r="UGA567" s="621"/>
      <c r="UGB567" s="3933"/>
      <c r="UGC567" s="3933"/>
      <c r="UGD567" s="3933"/>
      <c r="UGE567" s="621"/>
      <c r="UGF567" s="3933"/>
      <c r="UGG567" s="3933"/>
      <c r="UGH567" s="3933"/>
      <c r="UGI567" s="621"/>
      <c r="UGJ567" s="3933"/>
      <c r="UGK567" s="3933"/>
      <c r="UGL567" s="3933"/>
      <c r="UGM567" s="621"/>
      <c r="UGN567" s="3933"/>
      <c r="UGO567" s="3933"/>
      <c r="UGP567" s="3933"/>
      <c r="UGQ567" s="621"/>
      <c r="UGR567" s="3933"/>
      <c r="UGS567" s="3933"/>
      <c r="UGT567" s="3933"/>
      <c r="UGU567" s="621"/>
      <c r="UGV567" s="3933"/>
      <c r="UGW567" s="3933"/>
      <c r="UGX567" s="3933"/>
      <c r="UGY567" s="621"/>
      <c r="UGZ567" s="3933"/>
      <c r="UHA567" s="3933"/>
      <c r="UHB567" s="3933"/>
      <c r="UHC567" s="621"/>
      <c r="UHD567" s="3933"/>
      <c r="UHE567" s="3933"/>
      <c r="UHF567" s="3933"/>
      <c r="UHG567" s="621"/>
      <c r="UHH567" s="3933"/>
      <c r="UHI567" s="3933"/>
      <c r="UHJ567" s="3933"/>
      <c r="UHK567" s="621"/>
      <c r="UHL567" s="3933"/>
      <c r="UHM567" s="3933"/>
      <c r="UHN567" s="3933"/>
      <c r="UHO567" s="621"/>
      <c r="UHP567" s="3933"/>
      <c r="UHQ567" s="3933"/>
      <c r="UHR567" s="3933"/>
      <c r="UHS567" s="621"/>
      <c r="UHT567" s="3933"/>
      <c r="UHU567" s="3933"/>
      <c r="UHV567" s="3933"/>
      <c r="UHW567" s="621"/>
      <c r="UHX567" s="3933"/>
      <c r="UHY567" s="3933"/>
      <c r="UHZ567" s="3933"/>
      <c r="UIA567" s="621"/>
      <c r="UIB567" s="3933"/>
      <c r="UIC567" s="3933"/>
      <c r="UID567" s="3933"/>
      <c r="UIE567" s="621"/>
      <c r="UIF567" s="3933"/>
      <c r="UIG567" s="3933"/>
      <c r="UIH567" s="3933"/>
      <c r="UII567" s="621"/>
      <c r="UIJ567" s="3933"/>
      <c r="UIK567" s="3933"/>
      <c r="UIL567" s="3933"/>
      <c r="UIM567" s="621"/>
      <c r="UIN567" s="3933"/>
      <c r="UIO567" s="3933"/>
      <c r="UIP567" s="3933"/>
      <c r="UIQ567" s="621"/>
      <c r="UIR567" s="3933"/>
      <c r="UIS567" s="3933"/>
      <c r="UIT567" s="3933"/>
      <c r="UIU567" s="621"/>
      <c r="UIV567" s="3933"/>
      <c r="UIW567" s="3933"/>
      <c r="UIX567" s="3933"/>
      <c r="UIY567" s="621"/>
      <c r="UIZ567" s="3933"/>
      <c r="UJA567" s="3933"/>
      <c r="UJB567" s="3933"/>
      <c r="UJC567" s="621"/>
      <c r="UJD567" s="3933"/>
      <c r="UJE567" s="3933"/>
      <c r="UJF567" s="3933"/>
      <c r="UJG567" s="621"/>
      <c r="UJH567" s="3933"/>
      <c r="UJI567" s="3933"/>
      <c r="UJJ567" s="3933"/>
      <c r="UJK567" s="621"/>
      <c r="UJL567" s="3933"/>
      <c r="UJM567" s="3933"/>
      <c r="UJN567" s="3933"/>
      <c r="UJO567" s="621"/>
      <c r="UJP567" s="3933"/>
      <c r="UJQ567" s="3933"/>
      <c r="UJR567" s="3933"/>
      <c r="UJS567" s="621"/>
      <c r="UJT567" s="3933"/>
      <c r="UJU567" s="3933"/>
      <c r="UJV567" s="3933"/>
      <c r="UJW567" s="621"/>
      <c r="UJX567" s="3933"/>
      <c r="UJY567" s="3933"/>
      <c r="UJZ567" s="3933"/>
      <c r="UKA567" s="621"/>
      <c r="UKB567" s="3933"/>
      <c r="UKC567" s="3933"/>
      <c r="UKD567" s="3933"/>
      <c r="UKE567" s="621"/>
      <c r="UKF567" s="3933"/>
      <c r="UKG567" s="3933"/>
      <c r="UKH567" s="3933"/>
      <c r="UKI567" s="621"/>
      <c r="UKJ567" s="3933"/>
      <c r="UKK567" s="3933"/>
      <c r="UKL567" s="3933"/>
      <c r="UKM567" s="621"/>
      <c r="UKN567" s="3933"/>
      <c r="UKO567" s="3933"/>
      <c r="UKP567" s="3933"/>
      <c r="UKQ567" s="621"/>
      <c r="UKR567" s="3933"/>
      <c r="UKS567" s="3933"/>
      <c r="UKT567" s="3933"/>
      <c r="UKU567" s="621"/>
      <c r="UKV567" s="3933"/>
      <c r="UKW567" s="3933"/>
      <c r="UKX567" s="3933"/>
      <c r="UKY567" s="621"/>
      <c r="UKZ567" s="3933"/>
      <c r="ULA567" s="3933"/>
      <c r="ULB567" s="3933"/>
      <c r="ULC567" s="621"/>
      <c r="ULD567" s="3933"/>
      <c r="ULE567" s="3933"/>
      <c r="ULF567" s="3933"/>
      <c r="ULG567" s="621"/>
      <c r="ULH567" s="3933"/>
      <c r="ULI567" s="3933"/>
      <c r="ULJ567" s="3933"/>
      <c r="ULK567" s="621"/>
      <c r="ULL567" s="3933"/>
      <c r="ULM567" s="3933"/>
      <c r="ULN567" s="3933"/>
      <c r="ULO567" s="621"/>
      <c r="ULP567" s="3933"/>
      <c r="ULQ567" s="3933"/>
      <c r="ULR567" s="3933"/>
      <c r="ULS567" s="621"/>
      <c r="ULT567" s="3933"/>
      <c r="ULU567" s="3933"/>
      <c r="ULV567" s="3933"/>
      <c r="ULW567" s="621"/>
      <c r="ULX567" s="3933"/>
      <c r="ULY567" s="3933"/>
      <c r="ULZ567" s="3933"/>
      <c r="UMA567" s="621"/>
      <c r="UMB567" s="3933"/>
      <c r="UMC567" s="3933"/>
      <c r="UMD567" s="3933"/>
      <c r="UME567" s="621"/>
      <c r="UMF567" s="3933"/>
      <c r="UMG567" s="3933"/>
      <c r="UMH567" s="3933"/>
      <c r="UMI567" s="621"/>
      <c r="UMJ567" s="3933"/>
      <c r="UMK567" s="3933"/>
      <c r="UML567" s="3933"/>
      <c r="UMM567" s="621"/>
      <c r="UMN567" s="3933"/>
      <c r="UMO567" s="3933"/>
      <c r="UMP567" s="3933"/>
      <c r="UMQ567" s="621"/>
      <c r="UMR567" s="3933"/>
      <c r="UMS567" s="3933"/>
      <c r="UMT567" s="3933"/>
      <c r="UMU567" s="621"/>
      <c r="UMV567" s="3933"/>
      <c r="UMW567" s="3933"/>
      <c r="UMX567" s="3933"/>
      <c r="UMY567" s="621"/>
      <c r="UMZ567" s="3933"/>
      <c r="UNA567" s="3933"/>
      <c r="UNB567" s="3933"/>
      <c r="UNC567" s="621"/>
      <c r="UND567" s="3933"/>
      <c r="UNE567" s="3933"/>
      <c r="UNF567" s="3933"/>
      <c r="UNG567" s="621"/>
      <c r="UNH567" s="3933"/>
      <c r="UNI567" s="3933"/>
      <c r="UNJ567" s="3933"/>
      <c r="UNK567" s="621"/>
      <c r="UNL567" s="3933"/>
      <c r="UNM567" s="3933"/>
      <c r="UNN567" s="3933"/>
      <c r="UNO567" s="621"/>
      <c r="UNP567" s="3933"/>
      <c r="UNQ567" s="3933"/>
      <c r="UNR567" s="3933"/>
      <c r="UNS567" s="621"/>
      <c r="UNT567" s="3933"/>
      <c r="UNU567" s="3933"/>
      <c r="UNV567" s="3933"/>
      <c r="UNW567" s="621"/>
      <c r="UNX567" s="3933"/>
      <c r="UNY567" s="3933"/>
      <c r="UNZ567" s="3933"/>
      <c r="UOA567" s="621"/>
      <c r="UOB567" s="3933"/>
      <c r="UOC567" s="3933"/>
      <c r="UOD567" s="3933"/>
      <c r="UOE567" s="621"/>
      <c r="UOF567" s="3933"/>
      <c r="UOG567" s="3933"/>
      <c r="UOH567" s="3933"/>
      <c r="UOI567" s="621"/>
      <c r="UOJ567" s="3933"/>
      <c r="UOK567" s="3933"/>
      <c r="UOL567" s="3933"/>
      <c r="UOM567" s="621"/>
      <c r="UON567" s="3933"/>
      <c r="UOO567" s="3933"/>
      <c r="UOP567" s="3933"/>
      <c r="UOQ567" s="621"/>
      <c r="UOR567" s="3933"/>
      <c r="UOS567" s="3933"/>
      <c r="UOT567" s="3933"/>
      <c r="UOU567" s="621"/>
      <c r="UOV567" s="3933"/>
      <c r="UOW567" s="3933"/>
      <c r="UOX567" s="3933"/>
      <c r="UOY567" s="621"/>
      <c r="UOZ567" s="3933"/>
      <c r="UPA567" s="3933"/>
      <c r="UPB567" s="3933"/>
      <c r="UPC567" s="621"/>
      <c r="UPD567" s="3933"/>
      <c r="UPE567" s="3933"/>
      <c r="UPF567" s="3933"/>
      <c r="UPG567" s="621"/>
      <c r="UPH567" s="3933"/>
      <c r="UPI567" s="3933"/>
      <c r="UPJ567" s="3933"/>
      <c r="UPK567" s="621"/>
      <c r="UPL567" s="3933"/>
      <c r="UPM567" s="3933"/>
      <c r="UPN567" s="3933"/>
      <c r="UPO567" s="621"/>
      <c r="UPP567" s="3933"/>
      <c r="UPQ567" s="3933"/>
      <c r="UPR567" s="3933"/>
      <c r="UPS567" s="621"/>
      <c r="UPT567" s="3933"/>
      <c r="UPU567" s="3933"/>
      <c r="UPV567" s="3933"/>
      <c r="UPW567" s="621"/>
      <c r="UPX567" s="3933"/>
      <c r="UPY567" s="3933"/>
      <c r="UPZ567" s="3933"/>
      <c r="UQA567" s="621"/>
      <c r="UQB567" s="3933"/>
      <c r="UQC567" s="3933"/>
      <c r="UQD567" s="3933"/>
      <c r="UQE567" s="621"/>
      <c r="UQF567" s="3933"/>
      <c r="UQG567" s="3933"/>
      <c r="UQH567" s="3933"/>
      <c r="UQI567" s="621"/>
      <c r="UQJ567" s="3933"/>
      <c r="UQK567" s="3933"/>
      <c r="UQL567" s="3933"/>
      <c r="UQM567" s="621"/>
      <c r="UQN567" s="3933"/>
      <c r="UQO567" s="3933"/>
      <c r="UQP567" s="3933"/>
      <c r="UQQ567" s="621"/>
      <c r="UQR567" s="3933"/>
      <c r="UQS567" s="3933"/>
      <c r="UQT567" s="3933"/>
      <c r="UQU567" s="621"/>
      <c r="UQV567" s="3933"/>
      <c r="UQW567" s="3933"/>
      <c r="UQX567" s="3933"/>
      <c r="UQY567" s="621"/>
      <c r="UQZ567" s="3933"/>
      <c r="URA567" s="3933"/>
      <c r="URB567" s="3933"/>
      <c r="URC567" s="621"/>
      <c r="URD567" s="3933"/>
      <c r="URE567" s="3933"/>
      <c r="URF567" s="3933"/>
      <c r="URG567" s="621"/>
      <c r="URH567" s="3933"/>
      <c r="URI567" s="3933"/>
      <c r="URJ567" s="3933"/>
      <c r="URK567" s="621"/>
      <c r="URL567" s="3933"/>
      <c r="URM567" s="3933"/>
      <c r="URN567" s="3933"/>
      <c r="URO567" s="621"/>
      <c r="URP567" s="3933"/>
      <c r="URQ567" s="3933"/>
      <c r="URR567" s="3933"/>
      <c r="URS567" s="621"/>
      <c r="URT567" s="3933"/>
      <c r="URU567" s="3933"/>
      <c r="URV567" s="3933"/>
      <c r="URW567" s="621"/>
      <c r="URX567" s="3933"/>
      <c r="URY567" s="3933"/>
      <c r="URZ567" s="3933"/>
      <c r="USA567" s="621"/>
      <c r="USB567" s="3933"/>
      <c r="USC567" s="3933"/>
      <c r="USD567" s="3933"/>
      <c r="USE567" s="621"/>
      <c r="USF567" s="3933"/>
      <c r="USG567" s="3933"/>
      <c r="USH567" s="3933"/>
      <c r="USI567" s="621"/>
      <c r="USJ567" s="3933"/>
      <c r="USK567" s="3933"/>
      <c r="USL567" s="3933"/>
      <c r="USM567" s="621"/>
      <c r="USN567" s="3933"/>
      <c r="USO567" s="3933"/>
      <c r="USP567" s="3933"/>
      <c r="USQ567" s="621"/>
      <c r="USR567" s="3933"/>
      <c r="USS567" s="3933"/>
      <c r="UST567" s="3933"/>
      <c r="USU567" s="621"/>
      <c r="USV567" s="3933"/>
      <c r="USW567" s="3933"/>
      <c r="USX567" s="3933"/>
      <c r="USY567" s="621"/>
      <c r="USZ567" s="3933"/>
      <c r="UTA567" s="3933"/>
      <c r="UTB567" s="3933"/>
      <c r="UTC567" s="621"/>
      <c r="UTD567" s="3933"/>
      <c r="UTE567" s="3933"/>
      <c r="UTF567" s="3933"/>
      <c r="UTG567" s="621"/>
      <c r="UTH567" s="3933"/>
      <c r="UTI567" s="3933"/>
      <c r="UTJ567" s="3933"/>
      <c r="UTK567" s="621"/>
      <c r="UTL567" s="3933"/>
      <c r="UTM567" s="3933"/>
      <c r="UTN567" s="3933"/>
      <c r="UTO567" s="621"/>
      <c r="UTP567" s="3933"/>
      <c r="UTQ567" s="3933"/>
      <c r="UTR567" s="3933"/>
      <c r="UTS567" s="621"/>
      <c r="UTT567" s="3933"/>
      <c r="UTU567" s="3933"/>
      <c r="UTV567" s="3933"/>
      <c r="UTW567" s="621"/>
      <c r="UTX567" s="3933"/>
      <c r="UTY567" s="3933"/>
      <c r="UTZ567" s="3933"/>
      <c r="UUA567" s="621"/>
      <c r="UUB567" s="3933"/>
      <c r="UUC567" s="3933"/>
      <c r="UUD567" s="3933"/>
      <c r="UUE567" s="621"/>
      <c r="UUF567" s="3933"/>
      <c r="UUG567" s="3933"/>
      <c r="UUH567" s="3933"/>
      <c r="UUI567" s="621"/>
      <c r="UUJ567" s="3933"/>
      <c r="UUK567" s="3933"/>
      <c r="UUL567" s="3933"/>
      <c r="UUM567" s="621"/>
      <c r="UUN567" s="3933"/>
      <c r="UUO567" s="3933"/>
      <c r="UUP567" s="3933"/>
      <c r="UUQ567" s="621"/>
      <c r="UUR567" s="3933"/>
      <c r="UUS567" s="3933"/>
      <c r="UUT567" s="3933"/>
      <c r="UUU567" s="621"/>
      <c r="UUV567" s="3933"/>
      <c r="UUW567" s="3933"/>
      <c r="UUX567" s="3933"/>
      <c r="UUY567" s="621"/>
      <c r="UUZ567" s="3933"/>
      <c r="UVA567" s="3933"/>
      <c r="UVB567" s="3933"/>
      <c r="UVC567" s="621"/>
      <c r="UVD567" s="3933"/>
      <c r="UVE567" s="3933"/>
      <c r="UVF567" s="3933"/>
      <c r="UVG567" s="621"/>
      <c r="UVH567" s="3933"/>
      <c r="UVI567" s="3933"/>
      <c r="UVJ567" s="3933"/>
      <c r="UVK567" s="621"/>
      <c r="UVL567" s="3933"/>
      <c r="UVM567" s="3933"/>
      <c r="UVN567" s="3933"/>
      <c r="UVO567" s="621"/>
      <c r="UVP567" s="3933"/>
      <c r="UVQ567" s="3933"/>
      <c r="UVR567" s="3933"/>
      <c r="UVS567" s="621"/>
      <c r="UVT567" s="3933"/>
      <c r="UVU567" s="3933"/>
      <c r="UVV567" s="3933"/>
      <c r="UVW567" s="621"/>
      <c r="UVX567" s="3933"/>
      <c r="UVY567" s="3933"/>
      <c r="UVZ567" s="3933"/>
      <c r="UWA567" s="621"/>
      <c r="UWB567" s="3933"/>
      <c r="UWC567" s="3933"/>
      <c r="UWD567" s="3933"/>
      <c r="UWE567" s="621"/>
      <c r="UWF567" s="3933"/>
      <c r="UWG567" s="3933"/>
      <c r="UWH567" s="3933"/>
      <c r="UWI567" s="621"/>
      <c r="UWJ567" s="3933"/>
      <c r="UWK567" s="3933"/>
      <c r="UWL567" s="3933"/>
      <c r="UWM567" s="621"/>
      <c r="UWN567" s="3933"/>
      <c r="UWO567" s="3933"/>
      <c r="UWP567" s="3933"/>
      <c r="UWQ567" s="621"/>
      <c r="UWR567" s="3933"/>
      <c r="UWS567" s="3933"/>
      <c r="UWT567" s="3933"/>
      <c r="UWU567" s="621"/>
      <c r="UWV567" s="3933"/>
      <c r="UWW567" s="3933"/>
      <c r="UWX567" s="3933"/>
      <c r="UWY567" s="621"/>
      <c r="UWZ567" s="3933"/>
      <c r="UXA567" s="3933"/>
      <c r="UXB567" s="3933"/>
      <c r="UXC567" s="621"/>
      <c r="UXD567" s="3933"/>
      <c r="UXE567" s="3933"/>
      <c r="UXF567" s="3933"/>
      <c r="UXG567" s="621"/>
      <c r="UXH567" s="3933"/>
      <c r="UXI567" s="3933"/>
      <c r="UXJ567" s="3933"/>
      <c r="UXK567" s="621"/>
      <c r="UXL567" s="3933"/>
      <c r="UXM567" s="3933"/>
      <c r="UXN567" s="3933"/>
      <c r="UXO567" s="621"/>
      <c r="UXP567" s="3933"/>
      <c r="UXQ567" s="3933"/>
      <c r="UXR567" s="3933"/>
      <c r="UXS567" s="621"/>
      <c r="UXT567" s="3933"/>
      <c r="UXU567" s="3933"/>
      <c r="UXV567" s="3933"/>
      <c r="UXW567" s="621"/>
      <c r="UXX567" s="3933"/>
      <c r="UXY567" s="3933"/>
      <c r="UXZ567" s="3933"/>
      <c r="UYA567" s="621"/>
      <c r="UYB567" s="3933"/>
      <c r="UYC567" s="3933"/>
      <c r="UYD567" s="3933"/>
      <c r="UYE567" s="621"/>
      <c r="UYF567" s="3933"/>
      <c r="UYG567" s="3933"/>
      <c r="UYH567" s="3933"/>
      <c r="UYI567" s="621"/>
      <c r="UYJ567" s="3933"/>
      <c r="UYK567" s="3933"/>
      <c r="UYL567" s="3933"/>
      <c r="UYM567" s="621"/>
      <c r="UYN567" s="3933"/>
      <c r="UYO567" s="3933"/>
      <c r="UYP567" s="3933"/>
      <c r="UYQ567" s="621"/>
      <c r="UYR567" s="3933"/>
      <c r="UYS567" s="3933"/>
      <c r="UYT567" s="3933"/>
      <c r="UYU567" s="621"/>
      <c r="UYV567" s="3933"/>
      <c r="UYW567" s="3933"/>
      <c r="UYX567" s="3933"/>
      <c r="UYY567" s="621"/>
      <c r="UYZ567" s="3933"/>
      <c r="UZA567" s="3933"/>
      <c r="UZB567" s="3933"/>
      <c r="UZC567" s="621"/>
      <c r="UZD567" s="3933"/>
      <c r="UZE567" s="3933"/>
      <c r="UZF567" s="3933"/>
      <c r="UZG567" s="621"/>
      <c r="UZH567" s="3933"/>
      <c r="UZI567" s="3933"/>
      <c r="UZJ567" s="3933"/>
      <c r="UZK567" s="621"/>
      <c r="UZL567" s="3933"/>
      <c r="UZM567" s="3933"/>
      <c r="UZN567" s="3933"/>
      <c r="UZO567" s="621"/>
      <c r="UZP567" s="3933"/>
      <c r="UZQ567" s="3933"/>
      <c r="UZR567" s="3933"/>
      <c r="UZS567" s="621"/>
      <c r="UZT567" s="3933"/>
      <c r="UZU567" s="3933"/>
      <c r="UZV567" s="3933"/>
      <c r="UZW567" s="621"/>
      <c r="UZX567" s="3933"/>
      <c r="UZY567" s="3933"/>
      <c r="UZZ567" s="3933"/>
      <c r="VAA567" s="621"/>
      <c r="VAB567" s="3933"/>
      <c r="VAC567" s="3933"/>
      <c r="VAD567" s="3933"/>
      <c r="VAE567" s="621"/>
      <c r="VAF567" s="3933"/>
      <c r="VAG567" s="3933"/>
      <c r="VAH567" s="3933"/>
      <c r="VAI567" s="621"/>
      <c r="VAJ567" s="3933"/>
      <c r="VAK567" s="3933"/>
      <c r="VAL567" s="3933"/>
      <c r="VAM567" s="621"/>
      <c r="VAN567" s="3933"/>
      <c r="VAO567" s="3933"/>
      <c r="VAP567" s="3933"/>
      <c r="VAQ567" s="621"/>
      <c r="VAR567" s="3933"/>
      <c r="VAS567" s="3933"/>
      <c r="VAT567" s="3933"/>
      <c r="VAU567" s="621"/>
      <c r="VAV567" s="3933"/>
      <c r="VAW567" s="3933"/>
      <c r="VAX567" s="3933"/>
      <c r="VAY567" s="621"/>
      <c r="VAZ567" s="3933"/>
      <c r="VBA567" s="3933"/>
      <c r="VBB567" s="3933"/>
      <c r="VBC567" s="621"/>
      <c r="VBD567" s="3933"/>
      <c r="VBE567" s="3933"/>
      <c r="VBF567" s="3933"/>
      <c r="VBG567" s="621"/>
      <c r="VBH567" s="3933"/>
      <c r="VBI567" s="3933"/>
      <c r="VBJ567" s="3933"/>
      <c r="VBK567" s="621"/>
      <c r="VBL567" s="3933"/>
      <c r="VBM567" s="3933"/>
      <c r="VBN567" s="3933"/>
      <c r="VBO567" s="621"/>
      <c r="VBP567" s="3933"/>
      <c r="VBQ567" s="3933"/>
      <c r="VBR567" s="3933"/>
      <c r="VBS567" s="621"/>
      <c r="VBT567" s="3933"/>
      <c r="VBU567" s="3933"/>
      <c r="VBV567" s="3933"/>
      <c r="VBW567" s="621"/>
      <c r="VBX567" s="3933"/>
      <c r="VBY567" s="3933"/>
      <c r="VBZ567" s="3933"/>
      <c r="VCA567" s="621"/>
      <c r="VCB567" s="3933"/>
      <c r="VCC567" s="3933"/>
      <c r="VCD567" s="3933"/>
      <c r="VCE567" s="621"/>
      <c r="VCF567" s="3933"/>
      <c r="VCG567" s="3933"/>
      <c r="VCH567" s="3933"/>
      <c r="VCI567" s="621"/>
      <c r="VCJ567" s="3933"/>
      <c r="VCK567" s="3933"/>
      <c r="VCL567" s="3933"/>
      <c r="VCM567" s="621"/>
      <c r="VCN567" s="3933"/>
      <c r="VCO567" s="3933"/>
      <c r="VCP567" s="3933"/>
      <c r="VCQ567" s="621"/>
      <c r="VCR567" s="3933"/>
      <c r="VCS567" s="3933"/>
      <c r="VCT567" s="3933"/>
      <c r="VCU567" s="621"/>
      <c r="VCV567" s="3933"/>
      <c r="VCW567" s="3933"/>
      <c r="VCX567" s="3933"/>
      <c r="VCY567" s="621"/>
      <c r="VCZ567" s="3933"/>
      <c r="VDA567" s="3933"/>
      <c r="VDB567" s="3933"/>
      <c r="VDC567" s="621"/>
      <c r="VDD567" s="3933"/>
      <c r="VDE567" s="3933"/>
      <c r="VDF567" s="3933"/>
      <c r="VDG567" s="621"/>
      <c r="VDH567" s="3933"/>
      <c r="VDI567" s="3933"/>
      <c r="VDJ567" s="3933"/>
      <c r="VDK567" s="621"/>
      <c r="VDL567" s="3933"/>
      <c r="VDM567" s="3933"/>
      <c r="VDN567" s="3933"/>
      <c r="VDO567" s="621"/>
      <c r="VDP567" s="3933"/>
      <c r="VDQ567" s="3933"/>
      <c r="VDR567" s="3933"/>
      <c r="VDS567" s="621"/>
      <c r="VDT567" s="3933"/>
      <c r="VDU567" s="3933"/>
      <c r="VDV567" s="3933"/>
      <c r="VDW567" s="621"/>
      <c r="VDX567" s="3933"/>
      <c r="VDY567" s="3933"/>
      <c r="VDZ567" s="3933"/>
      <c r="VEA567" s="621"/>
      <c r="VEB567" s="3933"/>
      <c r="VEC567" s="3933"/>
      <c r="VED567" s="3933"/>
      <c r="VEE567" s="621"/>
      <c r="VEF567" s="3933"/>
      <c r="VEG567" s="3933"/>
      <c r="VEH567" s="3933"/>
      <c r="VEI567" s="621"/>
      <c r="VEJ567" s="3933"/>
      <c r="VEK567" s="3933"/>
      <c r="VEL567" s="3933"/>
      <c r="VEM567" s="621"/>
      <c r="VEN567" s="3933"/>
      <c r="VEO567" s="3933"/>
      <c r="VEP567" s="3933"/>
      <c r="VEQ567" s="621"/>
      <c r="VER567" s="3933"/>
      <c r="VES567" s="3933"/>
      <c r="VET567" s="3933"/>
      <c r="VEU567" s="621"/>
      <c r="VEV567" s="3933"/>
      <c r="VEW567" s="3933"/>
      <c r="VEX567" s="3933"/>
      <c r="VEY567" s="621"/>
      <c r="VEZ567" s="3933"/>
      <c r="VFA567" s="3933"/>
      <c r="VFB567" s="3933"/>
      <c r="VFC567" s="621"/>
      <c r="VFD567" s="3933"/>
      <c r="VFE567" s="3933"/>
      <c r="VFF567" s="3933"/>
      <c r="VFG567" s="621"/>
      <c r="VFH567" s="3933"/>
      <c r="VFI567" s="3933"/>
      <c r="VFJ567" s="3933"/>
      <c r="VFK567" s="621"/>
      <c r="VFL567" s="3933"/>
      <c r="VFM567" s="3933"/>
      <c r="VFN567" s="3933"/>
      <c r="VFO567" s="621"/>
      <c r="VFP567" s="3933"/>
      <c r="VFQ567" s="3933"/>
      <c r="VFR567" s="3933"/>
      <c r="VFS567" s="621"/>
      <c r="VFT567" s="3933"/>
      <c r="VFU567" s="3933"/>
      <c r="VFV567" s="3933"/>
      <c r="VFW567" s="621"/>
      <c r="VFX567" s="3933"/>
      <c r="VFY567" s="3933"/>
      <c r="VFZ567" s="3933"/>
      <c r="VGA567" s="621"/>
      <c r="VGB567" s="3933"/>
      <c r="VGC567" s="3933"/>
      <c r="VGD567" s="3933"/>
      <c r="VGE567" s="621"/>
      <c r="VGF567" s="3933"/>
      <c r="VGG567" s="3933"/>
      <c r="VGH567" s="3933"/>
      <c r="VGI567" s="621"/>
      <c r="VGJ567" s="3933"/>
      <c r="VGK567" s="3933"/>
      <c r="VGL567" s="3933"/>
      <c r="VGM567" s="621"/>
      <c r="VGN567" s="3933"/>
      <c r="VGO567" s="3933"/>
      <c r="VGP567" s="3933"/>
      <c r="VGQ567" s="621"/>
      <c r="VGR567" s="3933"/>
      <c r="VGS567" s="3933"/>
      <c r="VGT567" s="3933"/>
      <c r="VGU567" s="621"/>
      <c r="VGV567" s="3933"/>
      <c r="VGW567" s="3933"/>
      <c r="VGX567" s="3933"/>
      <c r="VGY567" s="621"/>
      <c r="VGZ567" s="3933"/>
      <c r="VHA567" s="3933"/>
      <c r="VHB567" s="3933"/>
      <c r="VHC567" s="621"/>
      <c r="VHD567" s="3933"/>
      <c r="VHE567" s="3933"/>
      <c r="VHF567" s="3933"/>
      <c r="VHG567" s="621"/>
      <c r="VHH567" s="3933"/>
      <c r="VHI567" s="3933"/>
      <c r="VHJ567" s="3933"/>
      <c r="VHK567" s="621"/>
      <c r="VHL567" s="3933"/>
      <c r="VHM567" s="3933"/>
      <c r="VHN567" s="3933"/>
      <c r="VHO567" s="621"/>
      <c r="VHP567" s="3933"/>
      <c r="VHQ567" s="3933"/>
      <c r="VHR567" s="3933"/>
      <c r="VHS567" s="621"/>
      <c r="VHT567" s="3933"/>
      <c r="VHU567" s="3933"/>
      <c r="VHV567" s="3933"/>
      <c r="VHW567" s="621"/>
      <c r="VHX567" s="3933"/>
      <c r="VHY567" s="3933"/>
      <c r="VHZ567" s="3933"/>
      <c r="VIA567" s="621"/>
      <c r="VIB567" s="3933"/>
      <c r="VIC567" s="3933"/>
      <c r="VID567" s="3933"/>
      <c r="VIE567" s="621"/>
      <c r="VIF567" s="3933"/>
      <c r="VIG567" s="3933"/>
      <c r="VIH567" s="3933"/>
      <c r="VII567" s="621"/>
      <c r="VIJ567" s="3933"/>
      <c r="VIK567" s="3933"/>
      <c r="VIL567" s="3933"/>
      <c r="VIM567" s="621"/>
      <c r="VIN567" s="3933"/>
      <c r="VIO567" s="3933"/>
      <c r="VIP567" s="3933"/>
      <c r="VIQ567" s="621"/>
      <c r="VIR567" s="3933"/>
      <c r="VIS567" s="3933"/>
      <c r="VIT567" s="3933"/>
      <c r="VIU567" s="621"/>
      <c r="VIV567" s="3933"/>
      <c r="VIW567" s="3933"/>
      <c r="VIX567" s="3933"/>
      <c r="VIY567" s="621"/>
      <c r="VIZ567" s="3933"/>
      <c r="VJA567" s="3933"/>
      <c r="VJB567" s="3933"/>
      <c r="VJC567" s="621"/>
      <c r="VJD567" s="3933"/>
      <c r="VJE567" s="3933"/>
      <c r="VJF567" s="3933"/>
      <c r="VJG567" s="621"/>
      <c r="VJH567" s="3933"/>
      <c r="VJI567" s="3933"/>
      <c r="VJJ567" s="3933"/>
      <c r="VJK567" s="621"/>
      <c r="VJL567" s="3933"/>
      <c r="VJM567" s="3933"/>
      <c r="VJN567" s="3933"/>
      <c r="VJO567" s="621"/>
      <c r="VJP567" s="3933"/>
      <c r="VJQ567" s="3933"/>
      <c r="VJR567" s="3933"/>
      <c r="VJS567" s="621"/>
      <c r="VJT567" s="3933"/>
      <c r="VJU567" s="3933"/>
      <c r="VJV567" s="3933"/>
      <c r="VJW567" s="621"/>
      <c r="VJX567" s="3933"/>
      <c r="VJY567" s="3933"/>
      <c r="VJZ567" s="3933"/>
      <c r="VKA567" s="621"/>
      <c r="VKB567" s="3933"/>
      <c r="VKC567" s="3933"/>
      <c r="VKD567" s="3933"/>
      <c r="VKE567" s="621"/>
      <c r="VKF567" s="3933"/>
      <c r="VKG567" s="3933"/>
      <c r="VKH567" s="3933"/>
      <c r="VKI567" s="621"/>
      <c r="VKJ567" s="3933"/>
      <c r="VKK567" s="3933"/>
      <c r="VKL567" s="3933"/>
      <c r="VKM567" s="621"/>
      <c r="VKN567" s="3933"/>
      <c r="VKO567" s="3933"/>
      <c r="VKP567" s="3933"/>
      <c r="VKQ567" s="621"/>
      <c r="VKR567" s="3933"/>
      <c r="VKS567" s="3933"/>
      <c r="VKT567" s="3933"/>
      <c r="VKU567" s="621"/>
      <c r="VKV567" s="3933"/>
      <c r="VKW567" s="3933"/>
      <c r="VKX567" s="3933"/>
      <c r="VKY567" s="621"/>
      <c r="VKZ567" s="3933"/>
      <c r="VLA567" s="3933"/>
      <c r="VLB567" s="3933"/>
      <c r="VLC567" s="621"/>
      <c r="VLD567" s="3933"/>
      <c r="VLE567" s="3933"/>
      <c r="VLF567" s="3933"/>
      <c r="VLG567" s="621"/>
      <c r="VLH567" s="3933"/>
      <c r="VLI567" s="3933"/>
      <c r="VLJ567" s="3933"/>
      <c r="VLK567" s="621"/>
      <c r="VLL567" s="3933"/>
      <c r="VLM567" s="3933"/>
      <c r="VLN567" s="3933"/>
      <c r="VLO567" s="621"/>
      <c r="VLP567" s="3933"/>
      <c r="VLQ567" s="3933"/>
      <c r="VLR567" s="3933"/>
      <c r="VLS567" s="621"/>
      <c r="VLT567" s="3933"/>
      <c r="VLU567" s="3933"/>
      <c r="VLV567" s="3933"/>
      <c r="VLW567" s="621"/>
      <c r="VLX567" s="3933"/>
      <c r="VLY567" s="3933"/>
      <c r="VLZ567" s="3933"/>
      <c r="VMA567" s="621"/>
      <c r="VMB567" s="3933"/>
      <c r="VMC567" s="3933"/>
      <c r="VMD567" s="3933"/>
      <c r="VME567" s="621"/>
      <c r="VMF567" s="3933"/>
      <c r="VMG567" s="3933"/>
      <c r="VMH567" s="3933"/>
      <c r="VMI567" s="621"/>
      <c r="VMJ567" s="3933"/>
      <c r="VMK567" s="3933"/>
      <c r="VML567" s="3933"/>
      <c r="VMM567" s="621"/>
      <c r="VMN567" s="3933"/>
      <c r="VMO567" s="3933"/>
      <c r="VMP567" s="3933"/>
      <c r="VMQ567" s="621"/>
      <c r="VMR567" s="3933"/>
      <c r="VMS567" s="3933"/>
      <c r="VMT567" s="3933"/>
      <c r="VMU567" s="621"/>
      <c r="VMV567" s="3933"/>
      <c r="VMW567" s="3933"/>
      <c r="VMX567" s="3933"/>
      <c r="VMY567" s="621"/>
      <c r="VMZ567" s="3933"/>
      <c r="VNA567" s="3933"/>
      <c r="VNB567" s="3933"/>
      <c r="VNC567" s="621"/>
      <c r="VND567" s="3933"/>
      <c r="VNE567" s="3933"/>
      <c r="VNF567" s="3933"/>
      <c r="VNG567" s="621"/>
      <c r="VNH567" s="3933"/>
      <c r="VNI567" s="3933"/>
      <c r="VNJ567" s="3933"/>
      <c r="VNK567" s="621"/>
      <c r="VNL567" s="3933"/>
      <c r="VNM567" s="3933"/>
      <c r="VNN567" s="3933"/>
      <c r="VNO567" s="621"/>
      <c r="VNP567" s="3933"/>
      <c r="VNQ567" s="3933"/>
      <c r="VNR567" s="3933"/>
      <c r="VNS567" s="621"/>
      <c r="VNT567" s="3933"/>
      <c r="VNU567" s="3933"/>
      <c r="VNV567" s="3933"/>
      <c r="VNW567" s="621"/>
      <c r="VNX567" s="3933"/>
      <c r="VNY567" s="3933"/>
      <c r="VNZ567" s="3933"/>
      <c r="VOA567" s="621"/>
      <c r="VOB567" s="3933"/>
      <c r="VOC567" s="3933"/>
      <c r="VOD567" s="3933"/>
      <c r="VOE567" s="621"/>
      <c r="VOF567" s="3933"/>
      <c r="VOG567" s="3933"/>
      <c r="VOH567" s="3933"/>
      <c r="VOI567" s="621"/>
      <c r="VOJ567" s="3933"/>
      <c r="VOK567" s="3933"/>
      <c r="VOL567" s="3933"/>
      <c r="VOM567" s="621"/>
      <c r="VON567" s="3933"/>
      <c r="VOO567" s="3933"/>
      <c r="VOP567" s="3933"/>
      <c r="VOQ567" s="621"/>
      <c r="VOR567" s="3933"/>
      <c r="VOS567" s="3933"/>
      <c r="VOT567" s="3933"/>
      <c r="VOU567" s="621"/>
      <c r="VOV567" s="3933"/>
      <c r="VOW567" s="3933"/>
      <c r="VOX567" s="3933"/>
      <c r="VOY567" s="621"/>
      <c r="VOZ567" s="3933"/>
      <c r="VPA567" s="3933"/>
      <c r="VPB567" s="3933"/>
      <c r="VPC567" s="621"/>
      <c r="VPD567" s="3933"/>
      <c r="VPE567" s="3933"/>
      <c r="VPF567" s="3933"/>
      <c r="VPG567" s="621"/>
      <c r="VPH567" s="3933"/>
      <c r="VPI567" s="3933"/>
      <c r="VPJ567" s="3933"/>
      <c r="VPK567" s="621"/>
      <c r="VPL567" s="3933"/>
      <c r="VPM567" s="3933"/>
      <c r="VPN567" s="3933"/>
      <c r="VPO567" s="621"/>
      <c r="VPP567" s="3933"/>
      <c r="VPQ567" s="3933"/>
      <c r="VPR567" s="3933"/>
      <c r="VPS567" s="621"/>
      <c r="VPT567" s="3933"/>
      <c r="VPU567" s="3933"/>
      <c r="VPV567" s="3933"/>
      <c r="VPW567" s="621"/>
      <c r="VPX567" s="3933"/>
      <c r="VPY567" s="3933"/>
      <c r="VPZ567" s="3933"/>
      <c r="VQA567" s="621"/>
      <c r="VQB567" s="3933"/>
      <c r="VQC567" s="3933"/>
      <c r="VQD567" s="3933"/>
      <c r="VQE567" s="621"/>
      <c r="VQF567" s="3933"/>
      <c r="VQG567" s="3933"/>
      <c r="VQH567" s="3933"/>
      <c r="VQI567" s="621"/>
      <c r="VQJ567" s="3933"/>
      <c r="VQK567" s="3933"/>
      <c r="VQL567" s="3933"/>
      <c r="VQM567" s="621"/>
      <c r="VQN567" s="3933"/>
      <c r="VQO567" s="3933"/>
      <c r="VQP567" s="3933"/>
      <c r="VQQ567" s="621"/>
      <c r="VQR567" s="3933"/>
      <c r="VQS567" s="3933"/>
      <c r="VQT567" s="3933"/>
      <c r="VQU567" s="621"/>
      <c r="VQV567" s="3933"/>
      <c r="VQW567" s="3933"/>
      <c r="VQX567" s="3933"/>
      <c r="VQY567" s="621"/>
      <c r="VQZ567" s="3933"/>
      <c r="VRA567" s="3933"/>
      <c r="VRB567" s="3933"/>
      <c r="VRC567" s="621"/>
      <c r="VRD567" s="3933"/>
      <c r="VRE567" s="3933"/>
      <c r="VRF567" s="3933"/>
      <c r="VRG567" s="621"/>
      <c r="VRH567" s="3933"/>
      <c r="VRI567" s="3933"/>
      <c r="VRJ567" s="3933"/>
      <c r="VRK567" s="621"/>
      <c r="VRL567" s="3933"/>
      <c r="VRM567" s="3933"/>
      <c r="VRN567" s="3933"/>
      <c r="VRO567" s="621"/>
      <c r="VRP567" s="3933"/>
      <c r="VRQ567" s="3933"/>
      <c r="VRR567" s="3933"/>
      <c r="VRS567" s="621"/>
      <c r="VRT567" s="3933"/>
      <c r="VRU567" s="3933"/>
      <c r="VRV567" s="3933"/>
      <c r="VRW567" s="621"/>
      <c r="VRX567" s="3933"/>
      <c r="VRY567" s="3933"/>
      <c r="VRZ567" s="3933"/>
      <c r="VSA567" s="621"/>
      <c r="VSB567" s="3933"/>
      <c r="VSC567" s="3933"/>
      <c r="VSD567" s="3933"/>
      <c r="VSE567" s="621"/>
      <c r="VSF567" s="3933"/>
      <c r="VSG567" s="3933"/>
      <c r="VSH567" s="3933"/>
      <c r="VSI567" s="621"/>
      <c r="VSJ567" s="3933"/>
      <c r="VSK567" s="3933"/>
      <c r="VSL567" s="3933"/>
      <c r="VSM567" s="621"/>
      <c r="VSN567" s="3933"/>
      <c r="VSO567" s="3933"/>
      <c r="VSP567" s="3933"/>
      <c r="VSQ567" s="621"/>
      <c r="VSR567" s="3933"/>
      <c r="VSS567" s="3933"/>
      <c r="VST567" s="3933"/>
      <c r="VSU567" s="621"/>
      <c r="VSV567" s="3933"/>
      <c r="VSW567" s="3933"/>
      <c r="VSX567" s="3933"/>
      <c r="VSY567" s="621"/>
      <c r="VSZ567" s="3933"/>
      <c r="VTA567" s="3933"/>
      <c r="VTB567" s="3933"/>
      <c r="VTC567" s="621"/>
      <c r="VTD567" s="3933"/>
      <c r="VTE567" s="3933"/>
      <c r="VTF567" s="3933"/>
      <c r="VTG567" s="621"/>
      <c r="VTH567" s="3933"/>
      <c r="VTI567" s="3933"/>
      <c r="VTJ567" s="3933"/>
      <c r="VTK567" s="621"/>
      <c r="VTL567" s="3933"/>
      <c r="VTM567" s="3933"/>
      <c r="VTN567" s="3933"/>
      <c r="VTO567" s="621"/>
      <c r="VTP567" s="3933"/>
      <c r="VTQ567" s="3933"/>
      <c r="VTR567" s="3933"/>
      <c r="VTS567" s="621"/>
      <c r="VTT567" s="3933"/>
      <c r="VTU567" s="3933"/>
      <c r="VTV567" s="3933"/>
      <c r="VTW567" s="621"/>
      <c r="VTX567" s="3933"/>
      <c r="VTY567" s="3933"/>
      <c r="VTZ567" s="3933"/>
      <c r="VUA567" s="621"/>
      <c r="VUB567" s="3933"/>
      <c r="VUC567" s="3933"/>
      <c r="VUD567" s="3933"/>
      <c r="VUE567" s="621"/>
      <c r="VUF567" s="3933"/>
      <c r="VUG567" s="3933"/>
      <c r="VUH567" s="3933"/>
      <c r="VUI567" s="621"/>
      <c r="VUJ567" s="3933"/>
      <c r="VUK567" s="3933"/>
      <c r="VUL567" s="3933"/>
      <c r="VUM567" s="621"/>
      <c r="VUN567" s="3933"/>
      <c r="VUO567" s="3933"/>
      <c r="VUP567" s="3933"/>
      <c r="VUQ567" s="621"/>
      <c r="VUR567" s="3933"/>
      <c r="VUS567" s="3933"/>
      <c r="VUT567" s="3933"/>
      <c r="VUU567" s="621"/>
      <c r="VUV567" s="3933"/>
      <c r="VUW567" s="3933"/>
      <c r="VUX567" s="3933"/>
      <c r="VUY567" s="621"/>
      <c r="VUZ567" s="3933"/>
      <c r="VVA567" s="3933"/>
      <c r="VVB567" s="3933"/>
      <c r="VVC567" s="621"/>
      <c r="VVD567" s="3933"/>
      <c r="VVE567" s="3933"/>
      <c r="VVF567" s="3933"/>
      <c r="VVG567" s="621"/>
      <c r="VVH567" s="3933"/>
      <c r="VVI567" s="3933"/>
      <c r="VVJ567" s="3933"/>
      <c r="VVK567" s="621"/>
      <c r="VVL567" s="3933"/>
      <c r="VVM567" s="3933"/>
      <c r="VVN567" s="3933"/>
      <c r="VVO567" s="621"/>
      <c r="VVP567" s="3933"/>
      <c r="VVQ567" s="3933"/>
      <c r="VVR567" s="3933"/>
      <c r="VVS567" s="621"/>
      <c r="VVT567" s="3933"/>
      <c r="VVU567" s="3933"/>
      <c r="VVV567" s="3933"/>
      <c r="VVW567" s="621"/>
      <c r="VVX567" s="3933"/>
      <c r="VVY567" s="3933"/>
      <c r="VVZ567" s="3933"/>
      <c r="VWA567" s="621"/>
      <c r="VWB567" s="3933"/>
      <c r="VWC567" s="3933"/>
      <c r="VWD567" s="3933"/>
      <c r="VWE567" s="621"/>
      <c r="VWF567" s="3933"/>
      <c r="VWG567" s="3933"/>
      <c r="VWH567" s="3933"/>
      <c r="VWI567" s="621"/>
      <c r="VWJ567" s="3933"/>
      <c r="VWK567" s="3933"/>
      <c r="VWL567" s="3933"/>
      <c r="VWM567" s="621"/>
      <c r="VWN567" s="3933"/>
      <c r="VWO567" s="3933"/>
      <c r="VWP567" s="3933"/>
      <c r="VWQ567" s="621"/>
      <c r="VWR567" s="3933"/>
      <c r="VWS567" s="3933"/>
      <c r="VWT567" s="3933"/>
      <c r="VWU567" s="621"/>
      <c r="VWV567" s="3933"/>
      <c r="VWW567" s="3933"/>
      <c r="VWX567" s="3933"/>
      <c r="VWY567" s="621"/>
      <c r="VWZ567" s="3933"/>
      <c r="VXA567" s="3933"/>
      <c r="VXB567" s="3933"/>
      <c r="VXC567" s="621"/>
      <c r="VXD567" s="3933"/>
      <c r="VXE567" s="3933"/>
      <c r="VXF567" s="3933"/>
      <c r="VXG567" s="621"/>
      <c r="VXH567" s="3933"/>
      <c r="VXI567" s="3933"/>
      <c r="VXJ567" s="3933"/>
      <c r="VXK567" s="621"/>
      <c r="VXL567" s="3933"/>
      <c r="VXM567" s="3933"/>
      <c r="VXN567" s="3933"/>
      <c r="VXO567" s="621"/>
      <c r="VXP567" s="3933"/>
      <c r="VXQ567" s="3933"/>
      <c r="VXR567" s="3933"/>
      <c r="VXS567" s="621"/>
      <c r="VXT567" s="3933"/>
      <c r="VXU567" s="3933"/>
      <c r="VXV567" s="3933"/>
      <c r="VXW567" s="621"/>
      <c r="VXX567" s="3933"/>
      <c r="VXY567" s="3933"/>
      <c r="VXZ567" s="3933"/>
      <c r="VYA567" s="621"/>
      <c r="VYB567" s="3933"/>
      <c r="VYC567" s="3933"/>
      <c r="VYD567" s="3933"/>
      <c r="VYE567" s="621"/>
      <c r="VYF567" s="3933"/>
      <c r="VYG567" s="3933"/>
      <c r="VYH567" s="3933"/>
      <c r="VYI567" s="621"/>
      <c r="VYJ567" s="3933"/>
      <c r="VYK567" s="3933"/>
      <c r="VYL567" s="3933"/>
      <c r="VYM567" s="621"/>
      <c r="VYN567" s="3933"/>
      <c r="VYO567" s="3933"/>
      <c r="VYP567" s="3933"/>
      <c r="VYQ567" s="621"/>
      <c r="VYR567" s="3933"/>
      <c r="VYS567" s="3933"/>
      <c r="VYT567" s="3933"/>
      <c r="VYU567" s="621"/>
      <c r="VYV567" s="3933"/>
      <c r="VYW567" s="3933"/>
      <c r="VYX567" s="3933"/>
      <c r="VYY567" s="621"/>
      <c r="VYZ567" s="3933"/>
      <c r="VZA567" s="3933"/>
      <c r="VZB567" s="3933"/>
      <c r="VZC567" s="621"/>
      <c r="VZD567" s="3933"/>
      <c r="VZE567" s="3933"/>
      <c r="VZF567" s="3933"/>
      <c r="VZG567" s="621"/>
      <c r="VZH567" s="3933"/>
      <c r="VZI567" s="3933"/>
      <c r="VZJ567" s="3933"/>
      <c r="VZK567" s="621"/>
      <c r="VZL567" s="3933"/>
      <c r="VZM567" s="3933"/>
      <c r="VZN567" s="3933"/>
      <c r="VZO567" s="621"/>
      <c r="VZP567" s="3933"/>
      <c r="VZQ567" s="3933"/>
      <c r="VZR567" s="3933"/>
      <c r="VZS567" s="621"/>
      <c r="VZT567" s="3933"/>
      <c r="VZU567" s="3933"/>
      <c r="VZV567" s="3933"/>
      <c r="VZW567" s="621"/>
      <c r="VZX567" s="3933"/>
      <c r="VZY567" s="3933"/>
      <c r="VZZ567" s="3933"/>
      <c r="WAA567" s="621"/>
      <c r="WAB567" s="3933"/>
      <c r="WAC567" s="3933"/>
      <c r="WAD567" s="3933"/>
      <c r="WAE567" s="621"/>
      <c r="WAF567" s="3933"/>
      <c r="WAG567" s="3933"/>
      <c r="WAH567" s="3933"/>
      <c r="WAI567" s="621"/>
      <c r="WAJ567" s="3933"/>
      <c r="WAK567" s="3933"/>
      <c r="WAL567" s="3933"/>
      <c r="WAM567" s="621"/>
      <c r="WAN567" s="3933"/>
      <c r="WAO567" s="3933"/>
      <c r="WAP567" s="3933"/>
      <c r="WAQ567" s="621"/>
      <c r="WAR567" s="3933"/>
      <c r="WAS567" s="3933"/>
      <c r="WAT567" s="3933"/>
      <c r="WAU567" s="621"/>
      <c r="WAV567" s="3933"/>
      <c r="WAW567" s="3933"/>
      <c r="WAX567" s="3933"/>
      <c r="WAY567" s="621"/>
      <c r="WAZ567" s="3933"/>
      <c r="WBA567" s="3933"/>
      <c r="WBB567" s="3933"/>
      <c r="WBC567" s="621"/>
      <c r="WBD567" s="3933"/>
      <c r="WBE567" s="3933"/>
      <c r="WBF567" s="3933"/>
      <c r="WBG567" s="621"/>
      <c r="WBH567" s="3933"/>
      <c r="WBI567" s="3933"/>
      <c r="WBJ567" s="3933"/>
      <c r="WBK567" s="621"/>
      <c r="WBL567" s="3933"/>
      <c r="WBM567" s="3933"/>
      <c r="WBN567" s="3933"/>
      <c r="WBO567" s="621"/>
      <c r="WBP567" s="3933"/>
      <c r="WBQ567" s="3933"/>
      <c r="WBR567" s="3933"/>
      <c r="WBS567" s="621"/>
      <c r="WBT567" s="3933"/>
      <c r="WBU567" s="3933"/>
      <c r="WBV567" s="3933"/>
      <c r="WBW567" s="621"/>
      <c r="WBX567" s="3933"/>
      <c r="WBY567" s="3933"/>
      <c r="WBZ567" s="3933"/>
      <c r="WCA567" s="621"/>
      <c r="WCB567" s="3933"/>
      <c r="WCC567" s="3933"/>
      <c r="WCD567" s="3933"/>
      <c r="WCE567" s="621"/>
      <c r="WCF567" s="3933"/>
      <c r="WCG567" s="3933"/>
      <c r="WCH567" s="3933"/>
      <c r="WCI567" s="621"/>
      <c r="WCJ567" s="3933"/>
      <c r="WCK567" s="3933"/>
      <c r="WCL567" s="3933"/>
      <c r="WCM567" s="621"/>
      <c r="WCN567" s="3933"/>
      <c r="WCO567" s="3933"/>
      <c r="WCP567" s="3933"/>
      <c r="WCQ567" s="621"/>
      <c r="WCR567" s="3933"/>
      <c r="WCS567" s="3933"/>
      <c r="WCT567" s="3933"/>
      <c r="WCU567" s="621"/>
      <c r="WCV567" s="3933"/>
      <c r="WCW567" s="3933"/>
      <c r="WCX567" s="3933"/>
      <c r="WCY567" s="621"/>
      <c r="WCZ567" s="3933"/>
      <c r="WDA567" s="3933"/>
      <c r="WDB567" s="3933"/>
      <c r="WDC567" s="621"/>
      <c r="WDD567" s="3933"/>
      <c r="WDE567" s="3933"/>
      <c r="WDF567" s="3933"/>
      <c r="WDG567" s="621"/>
      <c r="WDH567" s="3933"/>
      <c r="WDI567" s="3933"/>
      <c r="WDJ567" s="3933"/>
      <c r="WDK567" s="621"/>
      <c r="WDL567" s="3933"/>
      <c r="WDM567" s="3933"/>
      <c r="WDN567" s="3933"/>
      <c r="WDO567" s="621"/>
      <c r="WDP567" s="3933"/>
      <c r="WDQ567" s="3933"/>
      <c r="WDR567" s="3933"/>
      <c r="WDS567" s="621"/>
      <c r="WDT567" s="3933"/>
      <c r="WDU567" s="3933"/>
      <c r="WDV567" s="3933"/>
      <c r="WDW567" s="621"/>
      <c r="WDX567" s="3933"/>
      <c r="WDY567" s="3933"/>
      <c r="WDZ567" s="3933"/>
      <c r="WEA567" s="621"/>
      <c r="WEB567" s="3933"/>
      <c r="WEC567" s="3933"/>
      <c r="WED567" s="3933"/>
      <c r="WEE567" s="621"/>
      <c r="WEF567" s="3933"/>
      <c r="WEG567" s="3933"/>
      <c r="WEH567" s="3933"/>
      <c r="WEI567" s="621"/>
      <c r="WEJ567" s="3933"/>
      <c r="WEK567" s="3933"/>
      <c r="WEL567" s="3933"/>
      <c r="WEM567" s="621"/>
      <c r="WEN567" s="3933"/>
      <c r="WEO567" s="3933"/>
      <c r="WEP567" s="3933"/>
      <c r="WEQ567" s="621"/>
      <c r="WER567" s="3933"/>
      <c r="WES567" s="3933"/>
      <c r="WET567" s="3933"/>
      <c r="WEU567" s="621"/>
      <c r="WEV567" s="3933"/>
      <c r="WEW567" s="3933"/>
      <c r="WEX567" s="3933"/>
      <c r="WEY567" s="621"/>
      <c r="WEZ567" s="3933"/>
      <c r="WFA567" s="3933"/>
      <c r="WFB567" s="3933"/>
      <c r="WFC567" s="621"/>
      <c r="WFD567" s="3933"/>
      <c r="WFE567" s="3933"/>
      <c r="WFF567" s="3933"/>
      <c r="WFG567" s="621"/>
      <c r="WFH567" s="3933"/>
      <c r="WFI567" s="3933"/>
      <c r="WFJ567" s="3933"/>
      <c r="WFK567" s="621"/>
      <c r="WFL567" s="3933"/>
      <c r="WFM567" s="3933"/>
      <c r="WFN567" s="3933"/>
      <c r="WFO567" s="621"/>
      <c r="WFP567" s="3933"/>
      <c r="WFQ567" s="3933"/>
      <c r="WFR567" s="3933"/>
      <c r="WFS567" s="621"/>
      <c r="WFT567" s="3933"/>
      <c r="WFU567" s="3933"/>
      <c r="WFV567" s="3933"/>
      <c r="WFW567" s="621"/>
      <c r="WFX567" s="3933"/>
      <c r="WFY567" s="3933"/>
      <c r="WFZ567" s="3933"/>
      <c r="WGA567" s="621"/>
      <c r="WGB567" s="3933"/>
      <c r="WGC567" s="3933"/>
      <c r="WGD567" s="3933"/>
      <c r="WGE567" s="621"/>
      <c r="WGF567" s="3933"/>
      <c r="WGG567" s="3933"/>
      <c r="WGH567" s="3933"/>
      <c r="WGI567" s="621"/>
      <c r="WGJ567" s="3933"/>
      <c r="WGK567" s="3933"/>
      <c r="WGL567" s="3933"/>
      <c r="WGM567" s="621"/>
      <c r="WGN567" s="3933"/>
      <c r="WGO567" s="3933"/>
      <c r="WGP567" s="3933"/>
      <c r="WGQ567" s="621"/>
      <c r="WGR567" s="3933"/>
      <c r="WGS567" s="3933"/>
      <c r="WGT567" s="3933"/>
      <c r="WGU567" s="621"/>
      <c r="WGV567" s="3933"/>
      <c r="WGW567" s="3933"/>
      <c r="WGX567" s="3933"/>
      <c r="WGY567" s="621"/>
      <c r="WGZ567" s="3933"/>
      <c r="WHA567" s="3933"/>
      <c r="WHB567" s="3933"/>
      <c r="WHC567" s="621"/>
      <c r="WHD567" s="3933"/>
      <c r="WHE567" s="3933"/>
      <c r="WHF567" s="3933"/>
      <c r="WHG567" s="621"/>
      <c r="WHH567" s="3933"/>
      <c r="WHI567" s="3933"/>
      <c r="WHJ567" s="3933"/>
      <c r="WHK567" s="621"/>
      <c r="WHL567" s="3933"/>
      <c r="WHM567" s="3933"/>
      <c r="WHN567" s="3933"/>
      <c r="WHO567" s="621"/>
      <c r="WHP567" s="3933"/>
      <c r="WHQ567" s="3933"/>
      <c r="WHR567" s="3933"/>
      <c r="WHS567" s="621"/>
      <c r="WHT567" s="3933"/>
      <c r="WHU567" s="3933"/>
      <c r="WHV567" s="3933"/>
      <c r="WHW567" s="621"/>
      <c r="WHX567" s="3933"/>
      <c r="WHY567" s="3933"/>
      <c r="WHZ567" s="3933"/>
      <c r="WIA567" s="621"/>
      <c r="WIB567" s="3933"/>
      <c r="WIC567" s="3933"/>
      <c r="WID567" s="3933"/>
      <c r="WIE567" s="621"/>
      <c r="WIF567" s="3933"/>
      <c r="WIG567" s="3933"/>
      <c r="WIH567" s="3933"/>
      <c r="WII567" s="621"/>
      <c r="WIJ567" s="3933"/>
      <c r="WIK567" s="3933"/>
      <c r="WIL567" s="3933"/>
      <c r="WIM567" s="621"/>
      <c r="WIN567" s="3933"/>
      <c r="WIO567" s="3933"/>
      <c r="WIP567" s="3933"/>
      <c r="WIQ567" s="621"/>
      <c r="WIR567" s="3933"/>
      <c r="WIS567" s="3933"/>
      <c r="WIT567" s="3933"/>
      <c r="WIU567" s="621"/>
      <c r="WIV567" s="3933"/>
      <c r="WIW567" s="3933"/>
      <c r="WIX567" s="3933"/>
      <c r="WIY567" s="621"/>
      <c r="WIZ567" s="3933"/>
      <c r="WJA567" s="3933"/>
      <c r="WJB567" s="3933"/>
      <c r="WJC567" s="621"/>
      <c r="WJD567" s="3933"/>
      <c r="WJE567" s="3933"/>
      <c r="WJF567" s="3933"/>
      <c r="WJG567" s="621"/>
      <c r="WJH567" s="3933"/>
      <c r="WJI567" s="3933"/>
      <c r="WJJ567" s="3933"/>
      <c r="WJK567" s="621"/>
      <c r="WJL567" s="3933"/>
      <c r="WJM567" s="3933"/>
      <c r="WJN567" s="3933"/>
      <c r="WJO567" s="621"/>
      <c r="WJP567" s="3933"/>
      <c r="WJQ567" s="3933"/>
      <c r="WJR567" s="3933"/>
      <c r="WJS567" s="621"/>
      <c r="WJT567" s="3933"/>
      <c r="WJU567" s="3933"/>
      <c r="WJV567" s="3933"/>
      <c r="WJW567" s="621"/>
      <c r="WJX567" s="3933"/>
      <c r="WJY567" s="3933"/>
      <c r="WJZ567" s="3933"/>
      <c r="WKA567" s="621"/>
      <c r="WKB567" s="3933"/>
      <c r="WKC567" s="3933"/>
      <c r="WKD567" s="3933"/>
      <c r="WKE567" s="621"/>
      <c r="WKF567" s="3933"/>
      <c r="WKG567" s="3933"/>
      <c r="WKH567" s="3933"/>
      <c r="WKI567" s="621"/>
      <c r="WKJ567" s="3933"/>
      <c r="WKK567" s="3933"/>
      <c r="WKL567" s="3933"/>
      <c r="WKM567" s="621"/>
      <c r="WKN567" s="3933"/>
      <c r="WKO567" s="3933"/>
      <c r="WKP567" s="3933"/>
      <c r="WKQ567" s="621"/>
      <c r="WKR567" s="3933"/>
      <c r="WKS567" s="3933"/>
      <c r="WKT567" s="3933"/>
      <c r="WKU567" s="621"/>
      <c r="WKV567" s="3933"/>
      <c r="WKW567" s="3933"/>
      <c r="WKX567" s="3933"/>
      <c r="WKY567" s="621"/>
      <c r="WKZ567" s="3933"/>
      <c r="WLA567" s="3933"/>
      <c r="WLB567" s="3933"/>
      <c r="WLC567" s="621"/>
      <c r="WLD567" s="3933"/>
      <c r="WLE567" s="3933"/>
      <c r="WLF567" s="3933"/>
      <c r="WLG567" s="621"/>
      <c r="WLH567" s="3933"/>
      <c r="WLI567" s="3933"/>
      <c r="WLJ567" s="3933"/>
      <c r="WLK567" s="621"/>
      <c r="WLL567" s="3933"/>
      <c r="WLM567" s="3933"/>
      <c r="WLN567" s="3933"/>
      <c r="WLO567" s="621"/>
      <c r="WLP567" s="3933"/>
      <c r="WLQ567" s="3933"/>
      <c r="WLR567" s="3933"/>
      <c r="WLS567" s="621"/>
      <c r="WLT567" s="3933"/>
      <c r="WLU567" s="3933"/>
      <c r="WLV567" s="3933"/>
      <c r="WLW567" s="621"/>
      <c r="WLX567" s="3933"/>
      <c r="WLY567" s="3933"/>
      <c r="WLZ567" s="3933"/>
      <c r="WMA567" s="621"/>
      <c r="WMB567" s="3933"/>
      <c r="WMC567" s="3933"/>
      <c r="WMD567" s="3933"/>
      <c r="WME567" s="621"/>
      <c r="WMF567" s="3933"/>
      <c r="WMG567" s="3933"/>
      <c r="WMH567" s="3933"/>
      <c r="WMI567" s="621"/>
      <c r="WMJ567" s="3933"/>
      <c r="WMK567" s="3933"/>
      <c r="WML567" s="3933"/>
      <c r="WMM567" s="621"/>
      <c r="WMN567" s="3933"/>
      <c r="WMO567" s="3933"/>
      <c r="WMP567" s="3933"/>
      <c r="WMQ567" s="621"/>
      <c r="WMR567" s="3933"/>
      <c r="WMS567" s="3933"/>
      <c r="WMT567" s="3933"/>
      <c r="WMU567" s="621"/>
      <c r="WMV567" s="3933"/>
      <c r="WMW567" s="3933"/>
      <c r="WMX567" s="3933"/>
      <c r="WMY567" s="621"/>
      <c r="WMZ567" s="3933"/>
      <c r="WNA567" s="3933"/>
      <c r="WNB567" s="3933"/>
      <c r="WNC567" s="621"/>
      <c r="WND567" s="3933"/>
      <c r="WNE567" s="3933"/>
      <c r="WNF567" s="3933"/>
      <c r="WNG567" s="621"/>
      <c r="WNH567" s="3933"/>
      <c r="WNI567" s="3933"/>
      <c r="WNJ567" s="3933"/>
      <c r="WNK567" s="621"/>
      <c r="WNL567" s="3933"/>
      <c r="WNM567" s="3933"/>
      <c r="WNN567" s="3933"/>
      <c r="WNO567" s="621"/>
      <c r="WNP567" s="3933"/>
      <c r="WNQ567" s="3933"/>
      <c r="WNR567" s="3933"/>
      <c r="WNS567" s="621"/>
      <c r="WNT567" s="3933"/>
      <c r="WNU567" s="3933"/>
      <c r="WNV567" s="3933"/>
      <c r="WNW567" s="621"/>
      <c r="WNX567" s="3933"/>
      <c r="WNY567" s="3933"/>
      <c r="WNZ567" s="3933"/>
      <c r="WOA567" s="621"/>
      <c r="WOB567" s="3933"/>
      <c r="WOC567" s="3933"/>
      <c r="WOD567" s="3933"/>
      <c r="WOE567" s="621"/>
      <c r="WOF567" s="3933"/>
      <c r="WOG567" s="3933"/>
      <c r="WOH567" s="3933"/>
      <c r="WOI567" s="621"/>
      <c r="WOJ567" s="3933"/>
      <c r="WOK567" s="3933"/>
      <c r="WOL567" s="3933"/>
      <c r="WOM567" s="621"/>
      <c r="WON567" s="3933"/>
      <c r="WOO567" s="3933"/>
      <c r="WOP567" s="3933"/>
      <c r="WOQ567" s="621"/>
      <c r="WOR567" s="3933"/>
      <c r="WOS567" s="3933"/>
      <c r="WOT567" s="3933"/>
      <c r="WOU567" s="621"/>
      <c r="WOV567" s="3933"/>
      <c r="WOW567" s="3933"/>
      <c r="WOX567" s="3933"/>
      <c r="WOY567" s="621"/>
      <c r="WOZ567" s="3933"/>
      <c r="WPA567" s="3933"/>
      <c r="WPB567" s="3933"/>
      <c r="WPC567" s="621"/>
      <c r="WPD567" s="3933"/>
      <c r="WPE567" s="3933"/>
      <c r="WPF567" s="3933"/>
      <c r="WPG567" s="621"/>
      <c r="WPH567" s="3933"/>
      <c r="WPI567" s="3933"/>
      <c r="WPJ567" s="3933"/>
      <c r="WPK567" s="621"/>
      <c r="WPL567" s="3933"/>
      <c r="WPM567" s="3933"/>
      <c r="WPN567" s="3933"/>
      <c r="WPO567" s="621"/>
      <c r="WPP567" s="3933"/>
      <c r="WPQ567" s="3933"/>
      <c r="WPR567" s="3933"/>
      <c r="WPS567" s="621"/>
      <c r="WPT567" s="3933"/>
      <c r="WPU567" s="3933"/>
      <c r="WPV567" s="3933"/>
      <c r="WPW567" s="621"/>
      <c r="WPX567" s="3933"/>
      <c r="WPY567" s="3933"/>
      <c r="WPZ567" s="3933"/>
      <c r="WQA567" s="621"/>
      <c r="WQB567" s="3933"/>
      <c r="WQC567" s="3933"/>
      <c r="WQD567" s="3933"/>
      <c r="WQE567" s="621"/>
      <c r="WQF567" s="3933"/>
      <c r="WQG567" s="3933"/>
      <c r="WQH567" s="3933"/>
      <c r="WQI567" s="621"/>
      <c r="WQJ567" s="3933"/>
      <c r="WQK567" s="3933"/>
      <c r="WQL567" s="3933"/>
      <c r="WQM567" s="621"/>
      <c r="WQN567" s="3933"/>
      <c r="WQO567" s="3933"/>
      <c r="WQP567" s="3933"/>
      <c r="WQQ567" s="621"/>
      <c r="WQR567" s="3933"/>
      <c r="WQS567" s="3933"/>
      <c r="WQT567" s="3933"/>
      <c r="WQU567" s="621"/>
      <c r="WQV567" s="3933"/>
      <c r="WQW567" s="3933"/>
      <c r="WQX567" s="3933"/>
      <c r="WQY567" s="621"/>
      <c r="WQZ567" s="3933"/>
      <c r="WRA567" s="3933"/>
      <c r="WRB567" s="3933"/>
      <c r="WRC567" s="621"/>
      <c r="WRD567" s="3933"/>
      <c r="WRE567" s="3933"/>
      <c r="WRF567" s="3933"/>
      <c r="WRG567" s="621"/>
      <c r="WRH567" s="3933"/>
      <c r="WRI567" s="3933"/>
      <c r="WRJ567" s="3933"/>
      <c r="WRK567" s="621"/>
      <c r="WRL567" s="3933"/>
      <c r="WRM567" s="3933"/>
      <c r="WRN567" s="3933"/>
      <c r="WRO567" s="621"/>
      <c r="WRP567" s="3933"/>
      <c r="WRQ567" s="3933"/>
      <c r="WRR567" s="3933"/>
      <c r="WRS567" s="621"/>
      <c r="WRT567" s="3933"/>
      <c r="WRU567" s="3933"/>
      <c r="WRV567" s="3933"/>
      <c r="WRW567" s="621"/>
      <c r="WRX567" s="3933"/>
      <c r="WRY567" s="3933"/>
      <c r="WRZ567" s="3933"/>
      <c r="WSA567" s="621"/>
      <c r="WSB567" s="3933"/>
      <c r="WSC567" s="3933"/>
      <c r="WSD567" s="3933"/>
      <c r="WSE567" s="621"/>
      <c r="WSF567" s="3933"/>
      <c r="WSG567" s="3933"/>
      <c r="WSH567" s="3933"/>
      <c r="WSI567" s="621"/>
      <c r="WSJ567" s="3933"/>
      <c r="WSK567" s="3933"/>
      <c r="WSL567" s="3933"/>
      <c r="WSM567" s="621"/>
      <c r="WSN567" s="3933"/>
      <c r="WSO567" s="3933"/>
      <c r="WSP567" s="3933"/>
      <c r="WSQ567" s="621"/>
      <c r="WSR567" s="3933"/>
      <c r="WSS567" s="3933"/>
      <c r="WST567" s="3933"/>
      <c r="WSU567" s="621"/>
      <c r="WSV567" s="3933"/>
      <c r="WSW567" s="3933"/>
      <c r="WSX567" s="3933"/>
      <c r="WSY567" s="621"/>
      <c r="WSZ567" s="3933"/>
      <c r="WTA567" s="3933"/>
      <c r="WTB567" s="3933"/>
      <c r="WTC567" s="621"/>
      <c r="WTD567" s="3933"/>
      <c r="WTE567" s="3933"/>
      <c r="WTF567" s="3933"/>
      <c r="WTG567" s="621"/>
      <c r="WTH567" s="3933"/>
      <c r="WTI567" s="3933"/>
      <c r="WTJ567" s="3933"/>
      <c r="WTK567" s="621"/>
      <c r="WTL567" s="3933"/>
      <c r="WTM567" s="3933"/>
      <c r="WTN567" s="3933"/>
      <c r="WTO567" s="621"/>
      <c r="WTP567" s="3933"/>
      <c r="WTQ567" s="3933"/>
      <c r="WTR567" s="3933"/>
      <c r="WTS567" s="621"/>
      <c r="WTT567" s="3933"/>
      <c r="WTU567" s="3933"/>
      <c r="WTV567" s="3933"/>
      <c r="WTW567" s="621"/>
      <c r="WTX567" s="3933"/>
      <c r="WTY567" s="3933"/>
      <c r="WTZ567" s="3933"/>
      <c r="WUA567" s="621"/>
      <c r="WUB567" s="3933"/>
      <c r="WUC567" s="3933"/>
      <c r="WUD567" s="3933"/>
      <c r="WUE567" s="621"/>
      <c r="WUF567" s="3933"/>
      <c r="WUG567" s="3933"/>
      <c r="WUH567" s="3933"/>
      <c r="WUI567" s="621"/>
      <c r="WUJ567" s="3933"/>
      <c r="WUK567" s="3933"/>
      <c r="WUL567" s="3933"/>
      <c r="WUM567" s="621"/>
      <c r="WUN567" s="3933"/>
      <c r="WUO567" s="3933"/>
      <c r="WUP567" s="3933"/>
      <c r="WUQ567" s="621"/>
      <c r="WUR567" s="3933"/>
      <c r="WUS567" s="3933"/>
      <c r="WUT567" s="3933"/>
      <c r="WUU567" s="621"/>
      <c r="WUV567" s="3933"/>
      <c r="WUW567" s="3933"/>
      <c r="WUX567" s="3933"/>
      <c r="WUY567" s="621"/>
      <c r="WUZ567" s="3933"/>
      <c r="WVA567" s="3933"/>
      <c r="WVB567" s="3933"/>
      <c r="WVC567" s="621"/>
      <c r="WVD567" s="3933"/>
      <c r="WVE567" s="3933"/>
      <c r="WVF567" s="3933"/>
      <c r="WVG567" s="621"/>
      <c r="WVH567" s="3933"/>
      <c r="WVI567" s="3933"/>
      <c r="WVJ567" s="3933"/>
      <c r="WVK567" s="621"/>
      <c r="WVL567" s="3933"/>
      <c r="WVM567" s="3933"/>
      <c r="WVN567" s="3933"/>
      <c r="WVO567" s="621"/>
      <c r="WVP567" s="3933"/>
      <c r="WVQ567" s="3933"/>
      <c r="WVR567" s="3933"/>
      <c r="WVS567" s="621"/>
      <c r="WVT567" s="3933"/>
      <c r="WVU567" s="3933"/>
      <c r="WVV567" s="3933"/>
      <c r="WVW567" s="621"/>
      <c r="WVX567" s="3933"/>
      <c r="WVY567" s="3933"/>
      <c r="WVZ567" s="3933"/>
      <c r="WWA567" s="621"/>
      <c r="WWB567" s="3933"/>
      <c r="WWC567" s="3933"/>
      <c r="WWD567" s="3933"/>
      <c r="WWE567" s="621"/>
      <c r="WWF567" s="3933"/>
      <c r="WWG567" s="3933"/>
      <c r="WWH567" s="3933"/>
      <c r="WWI567" s="621"/>
      <c r="WWJ567" s="3933"/>
      <c r="WWK567" s="3933"/>
      <c r="WWL567" s="3933"/>
      <c r="WWM567" s="621"/>
      <c r="WWN567" s="3933"/>
      <c r="WWO567" s="3933"/>
      <c r="WWP567" s="3933"/>
      <c r="WWQ567" s="621"/>
      <c r="WWR567" s="3933"/>
      <c r="WWS567" s="3933"/>
      <c r="WWT567" s="3933"/>
      <c r="WWU567" s="621"/>
      <c r="WWV567" s="3933"/>
      <c r="WWW567" s="3933"/>
      <c r="WWX567" s="3933"/>
      <c r="WWY567" s="621"/>
      <c r="WWZ567" s="3933"/>
      <c r="WXA567" s="3933"/>
      <c r="WXB567" s="3933"/>
      <c r="WXC567" s="621"/>
      <c r="WXD567" s="3933"/>
      <c r="WXE567" s="3933"/>
      <c r="WXF567" s="3933"/>
      <c r="WXG567" s="621"/>
      <c r="WXH567" s="3933"/>
      <c r="WXI567" s="3933"/>
      <c r="WXJ567" s="3933"/>
      <c r="WXK567" s="621"/>
      <c r="WXL567" s="3933"/>
      <c r="WXM567" s="3933"/>
      <c r="WXN567" s="3933"/>
      <c r="WXO567" s="621"/>
      <c r="WXP567" s="3933"/>
      <c r="WXQ567" s="3933"/>
      <c r="WXR567" s="3933"/>
      <c r="WXS567" s="621"/>
      <c r="WXT567" s="3933"/>
      <c r="WXU567" s="3933"/>
      <c r="WXV567" s="3933"/>
      <c r="WXW567" s="621"/>
      <c r="WXX567" s="3933"/>
      <c r="WXY567" s="3933"/>
      <c r="WXZ567" s="3933"/>
      <c r="WYA567" s="621"/>
      <c r="WYB567" s="3933"/>
      <c r="WYC567" s="3933"/>
      <c r="WYD567" s="3933"/>
      <c r="WYE567" s="621"/>
      <c r="WYF567" s="3933"/>
      <c r="WYG567" s="3933"/>
      <c r="WYH567" s="3933"/>
      <c r="WYI567" s="621"/>
      <c r="WYJ567" s="3933"/>
      <c r="WYK567" s="3933"/>
      <c r="WYL567" s="3933"/>
      <c r="WYM567" s="621"/>
      <c r="WYN567" s="3933"/>
      <c r="WYO567" s="3933"/>
      <c r="WYP567" s="3933"/>
      <c r="WYQ567" s="621"/>
      <c r="WYR567" s="3933"/>
      <c r="WYS567" s="3933"/>
      <c r="WYT567" s="3933"/>
      <c r="WYU567" s="621"/>
      <c r="WYV567" s="3933"/>
      <c r="WYW567" s="3933"/>
      <c r="WYX567" s="3933"/>
      <c r="WYY567" s="621"/>
      <c r="WYZ567" s="3933"/>
      <c r="WZA567" s="3933"/>
      <c r="WZB567" s="3933"/>
      <c r="WZC567" s="621"/>
      <c r="WZD567" s="3933"/>
      <c r="WZE567" s="3933"/>
      <c r="WZF567" s="3933"/>
      <c r="WZG567" s="621"/>
      <c r="WZH567" s="3933"/>
      <c r="WZI567" s="3933"/>
      <c r="WZJ567" s="3933"/>
      <c r="WZK567" s="621"/>
      <c r="WZL567" s="3933"/>
      <c r="WZM567" s="3933"/>
      <c r="WZN567" s="3933"/>
      <c r="WZO567" s="621"/>
      <c r="WZP567" s="3933"/>
      <c r="WZQ567" s="3933"/>
      <c r="WZR567" s="3933"/>
      <c r="WZS567" s="621"/>
      <c r="WZT567" s="3933"/>
      <c r="WZU567" s="3933"/>
      <c r="WZV567" s="3933"/>
      <c r="WZW567" s="621"/>
      <c r="WZX567" s="3933"/>
      <c r="WZY567" s="3933"/>
      <c r="WZZ567" s="3933"/>
      <c r="XAA567" s="621"/>
      <c r="XAB567" s="3933"/>
      <c r="XAC567" s="3933"/>
      <c r="XAD567" s="3933"/>
      <c r="XAE567" s="621"/>
      <c r="XAF567" s="3933"/>
      <c r="XAG567" s="3933"/>
      <c r="XAH567" s="3933"/>
      <c r="XAI567" s="621"/>
      <c r="XAJ567" s="3933"/>
      <c r="XAK567" s="3933"/>
      <c r="XAL567" s="3933"/>
      <c r="XAM567" s="621"/>
      <c r="XAN567" s="3933"/>
      <c r="XAO567" s="3933"/>
      <c r="XAP567" s="3933"/>
      <c r="XAQ567" s="621"/>
      <c r="XAR567" s="3933"/>
      <c r="XAS567" s="3933"/>
      <c r="XAT567" s="3933"/>
      <c r="XAU567" s="621"/>
      <c r="XAV567" s="3933"/>
      <c r="XAW567" s="3933"/>
      <c r="XAX567" s="3933"/>
      <c r="XAY567" s="621"/>
      <c r="XAZ567" s="3933"/>
      <c r="XBA567" s="3933"/>
      <c r="XBB567" s="3933"/>
      <c r="XBC567" s="621"/>
      <c r="XBD567" s="3933"/>
      <c r="XBE567" s="3933"/>
      <c r="XBF567" s="3933"/>
      <c r="XBG567" s="621"/>
      <c r="XBH567" s="3933"/>
      <c r="XBI567" s="3933"/>
      <c r="XBJ567" s="3933"/>
      <c r="XBK567" s="621"/>
      <c r="XBL567" s="3933"/>
      <c r="XBM567" s="3933"/>
      <c r="XBN567" s="3933"/>
      <c r="XBO567" s="621"/>
      <c r="XBP567" s="3933"/>
      <c r="XBQ567" s="3933"/>
      <c r="XBR567" s="3933"/>
      <c r="XBS567" s="621"/>
      <c r="XBT567" s="3933"/>
      <c r="XBU567" s="3933"/>
      <c r="XBV567" s="3933"/>
      <c r="XBW567" s="621"/>
      <c r="XBX567" s="3933"/>
      <c r="XBY567" s="3933"/>
      <c r="XBZ567" s="3933"/>
      <c r="XCA567" s="621"/>
      <c r="XCB567" s="3933"/>
      <c r="XCC567" s="3933"/>
      <c r="XCD567" s="3933"/>
      <c r="XCE567" s="621"/>
      <c r="XCF567" s="3933"/>
      <c r="XCG567" s="3933"/>
      <c r="XCH567" s="3933"/>
      <c r="XCI567" s="621"/>
      <c r="XCJ567" s="3933"/>
      <c r="XCK567" s="3933"/>
      <c r="XCL567" s="3933"/>
      <c r="XCM567" s="621"/>
      <c r="XCN567" s="3933"/>
      <c r="XCO567" s="3933"/>
      <c r="XCP567" s="3933"/>
      <c r="XCQ567" s="621"/>
      <c r="XCR567" s="3933"/>
      <c r="XCS567" s="3933"/>
      <c r="XCT567" s="3933"/>
      <c r="XCU567" s="621"/>
      <c r="XCV567" s="3933"/>
      <c r="XCW567" s="3933"/>
      <c r="XCX567" s="3933"/>
      <c r="XCY567" s="621"/>
      <c r="XCZ567" s="3933"/>
      <c r="XDA567" s="3933"/>
      <c r="XDB567" s="3933"/>
      <c r="XDC567" s="621"/>
      <c r="XDD567" s="3933"/>
      <c r="XDE567" s="3933"/>
      <c r="XDF567" s="3933"/>
      <c r="XDG567" s="621"/>
      <c r="XDH567" s="3933"/>
      <c r="XDI567" s="3933"/>
      <c r="XDJ567" s="3933"/>
      <c r="XDK567" s="621"/>
      <c r="XDL567" s="3933"/>
      <c r="XDM567" s="3933"/>
      <c r="XDN567" s="3933"/>
      <c r="XDO567" s="621"/>
      <c r="XDP567" s="3933"/>
      <c r="XDQ567" s="3933"/>
      <c r="XDR567" s="3933"/>
      <c r="XDS567" s="621"/>
      <c r="XDT567" s="3933"/>
      <c r="XDU567" s="3933"/>
      <c r="XDV567" s="3933"/>
      <c r="XDW567" s="621"/>
      <c r="XDX567" s="3933"/>
      <c r="XDY567" s="3933"/>
      <c r="XDZ567" s="3933"/>
      <c r="XEA567" s="621"/>
      <c r="XEB567" s="3933"/>
      <c r="XEC567" s="3933"/>
      <c r="XED567" s="3933"/>
      <c r="XEE567" s="621"/>
      <c r="XEF567" s="3933"/>
      <c r="XEG567" s="3933"/>
      <c r="XEH567" s="3933"/>
      <c r="XEI567" s="621"/>
      <c r="XEJ567" s="3933"/>
      <c r="XEK567" s="3933"/>
      <c r="XEL567" s="3933"/>
      <c r="XEM567" s="621"/>
      <c r="XEN567" s="3933"/>
      <c r="XEO567" s="3933"/>
      <c r="XEP567" s="3933"/>
      <c r="XEQ567" s="621"/>
      <c r="XER567" s="3933"/>
      <c r="XES567" s="3933"/>
      <c r="XET567" s="3933"/>
      <c r="XEU567" s="621"/>
      <c r="XEV567" s="633"/>
      <c r="XEW567" s="633"/>
      <c r="XEX567" s="633"/>
      <c r="XEY567" s="621"/>
      <c r="XEZ567" s="633"/>
      <c r="XFA567" s="633"/>
      <c r="XFB567" s="633"/>
    </row>
    <row r="568" spans="1:16382" s="622" customFormat="1" ht="15" customHeight="1">
      <c r="A568" s="663"/>
      <c r="B568" s="667"/>
      <c r="C568"/>
      <c r="D568" s="617" t="s">
        <v>2229</v>
      </c>
      <c r="E568" s="619" t="s">
        <v>2400</v>
      </c>
      <c r="F568"/>
      <c r="G568" s="186"/>
      <c r="H568"/>
      <c r="I568"/>
      <c r="J568"/>
      <c r="K568"/>
      <c r="L568"/>
      <c r="M568"/>
      <c r="N568"/>
      <c r="O568" s="620"/>
      <c r="P568"/>
      <c r="S568" s="621"/>
      <c r="W568" s="621"/>
      <c r="AA568" s="621"/>
      <c r="AE568" s="621"/>
      <c r="AI568" s="621"/>
      <c r="AM568" s="621"/>
      <c r="AQ568" s="621"/>
      <c r="AU568" s="621"/>
      <c r="AY568" s="621"/>
      <c r="BC568" s="621"/>
      <c r="BG568" s="621"/>
      <c r="BK568" s="621"/>
      <c r="BO568" s="621"/>
      <c r="BS568" s="621"/>
      <c r="BW568" s="621"/>
      <c r="CA568" s="621"/>
      <c r="CE568" s="621"/>
      <c r="CI568" s="621"/>
      <c r="CM568" s="621"/>
      <c r="CQ568" s="621"/>
      <c r="CU568" s="621"/>
      <c r="CY568" s="621"/>
      <c r="DC568" s="621"/>
      <c r="DG568" s="621"/>
      <c r="DK568" s="621"/>
      <c r="DO568" s="621"/>
      <c r="DS568" s="621"/>
      <c r="DW568" s="621"/>
      <c r="EA568" s="621"/>
      <c r="EE568" s="621"/>
      <c r="EI568" s="621"/>
      <c r="EM568" s="621"/>
      <c r="EQ568" s="621"/>
      <c r="EU568" s="621"/>
      <c r="EY568" s="621"/>
      <c r="FC568" s="621"/>
      <c r="FG568" s="621"/>
      <c r="FK568" s="621"/>
      <c r="FO568" s="621"/>
      <c r="FS568" s="621"/>
      <c r="FW568" s="621"/>
      <c r="GA568" s="621"/>
      <c r="GE568" s="621"/>
      <c r="GI568" s="621"/>
      <c r="GM568" s="621"/>
      <c r="GQ568" s="621"/>
      <c r="GU568" s="621"/>
      <c r="GY568" s="621"/>
      <c r="HC568" s="621"/>
      <c r="HG568" s="621"/>
      <c r="HK568" s="621"/>
      <c r="HO568" s="621"/>
      <c r="HS568" s="621"/>
      <c r="HW568" s="621"/>
      <c r="IA568" s="621"/>
      <c r="IE568" s="621"/>
      <c r="II568" s="621"/>
      <c r="IM568" s="621"/>
      <c r="IQ568" s="621"/>
      <c r="IU568" s="621"/>
      <c r="IY568" s="621"/>
      <c r="JC568" s="621"/>
      <c r="JG568" s="621"/>
      <c r="JK568" s="621"/>
      <c r="JO568" s="621"/>
      <c r="JS568" s="621"/>
      <c r="JW568" s="621"/>
      <c r="KA568" s="621"/>
      <c r="KE568" s="621"/>
      <c r="KI568" s="621"/>
      <c r="KM568" s="621"/>
      <c r="KQ568" s="621"/>
      <c r="KU568" s="621"/>
      <c r="KY568" s="621"/>
      <c r="LC568" s="621"/>
      <c r="LG568" s="621"/>
      <c r="LK568" s="621"/>
      <c r="LO568" s="621"/>
      <c r="LS568" s="621"/>
      <c r="LW568" s="621"/>
      <c r="MA568" s="621"/>
      <c r="ME568" s="621"/>
      <c r="MI568" s="621"/>
      <c r="MM568" s="621"/>
      <c r="MQ568" s="621"/>
      <c r="MU568" s="621"/>
      <c r="MY568" s="621"/>
      <c r="NC568" s="621"/>
      <c r="NG568" s="621"/>
      <c r="NK568" s="621"/>
      <c r="NO568" s="621"/>
      <c r="NS568" s="621"/>
      <c r="NW568" s="621"/>
      <c r="OA568" s="621"/>
      <c r="OE568" s="621"/>
      <c r="OI568" s="621"/>
      <c r="OM568" s="621"/>
      <c r="OQ568" s="621"/>
      <c r="OU568" s="621"/>
      <c r="OY568" s="621"/>
      <c r="PC568" s="621"/>
      <c r="PG568" s="621"/>
      <c r="PK568" s="621"/>
      <c r="PO568" s="621"/>
      <c r="PS568" s="621"/>
      <c r="PW568" s="621"/>
      <c r="QA568" s="621"/>
      <c r="QE568" s="621"/>
      <c r="QI568" s="621"/>
      <c r="QM568" s="621"/>
      <c r="QQ568" s="621"/>
      <c r="QU568" s="621"/>
      <c r="QY568" s="621"/>
      <c r="RC568" s="621"/>
      <c r="RG568" s="621"/>
      <c r="RK568" s="621"/>
      <c r="RO568" s="621"/>
      <c r="RS568" s="621"/>
      <c r="RW568" s="621"/>
      <c r="SA568" s="621"/>
      <c r="SE568" s="621"/>
      <c r="SI568" s="621"/>
      <c r="SM568" s="621"/>
      <c r="SQ568" s="621"/>
      <c r="SU568" s="621"/>
      <c r="SY568" s="621"/>
      <c r="TC568" s="621"/>
      <c r="TG568" s="621"/>
      <c r="TK568" s="621"/>
      <c r="TO568" s="621"/>
      <c r="TS568" s="621"/>
      <c r="TW568" s="621"/>
      <c r="UA568" s="621"/>
      <c r="UE568" s="621"/>
      <c r="UI568" s="621"/>
      <c r="UM568" s="621"/>
      <c r="UQ568" s="621"/>
      <c r="UU568" s="621"/>
      <c r="UY568" s="621"/>
      <c r="VC568" s="621"/>
      <c r="VG568" s="621"/>
      <c r="VK568" s="621"/>
      <c r="VO568" s="621"/>
      <c r="VS568" s="621"/>
      <c r="VW568" s="621"/>
      <c r="WA568" s="621"/>
      <c r="WE568" s="621"/>
      <c r="WI568" s="621"/>
      <c r="WM568" s="621"/>
      <c r="WQ568" s="621"/>
      <c r="WU568" s="621"/>
      <c r="WY568" s="621"/>
      <c r="XC568" s="621"/>
      <c r="XG568" s="621"/>
      <c r="XK568" s="621"/>
      <c r="XO568" s="621"/>
      <c r="XS568" s="621"/>
      <c r="XW568" s="621"/>
      <c r="YA568" s="621"/>
      <c r="YE568" s="621"/>
      <c r="YI568" s="621"/>
      <c r="YM568" s="621"/>
      <c r="YQ568" s="621"/>
      <c r="YU568" s="621"/>
      <c r="YY568" s="621"/>
      <c r="ZC568" s="621"/>
      <c r="ZG568" s="621"/>
      <c r="ZK568" s="621"/>
      <c r="ZO568" s="621"/>
      <c r="ZS568" s="621"/>
      <c r="ZW568" s="621"/>
      <c r="AAA568" s="621"/>
      <c r="AAE568" s="621"/>
      <c r="AAI568" s="621"/>
      <c r="AAM568" s="621"/>
      <c r="AAQ568" s="621"/>
      <c r="AAU568" s="621"/>
      <c r="AAY568" s="621"/>
      <c r="ABC568" s="621"/>
      <c r="ABG568" s="621"/>
      <c r="ABK568" s="621"/>
      <c r="ABO568" s="621"/>
      <c r="ABS568" s="621"/>
      <c r="ABW568" s="621"/>
      <c r="ACA568" s="621"/>
      <c r="ACE568" s="621"/>
      <c r="ACI568" s="621"/>
      <c r="ACM568" s="621"/>
      <c r="ACQ568" s="621"/>
      <c r="ACU568" s="621"/>
      <c r="ACY568" s="621"/>
      <c r="ADC568" s="621"/>
      <c r="ADG568" s="621"/>
      <c r="ADK568" s="621"/>
      <c r="ADO568" s="621"/>
      <c r="ADS568" s="621"/>
      <c r="ADW568" s="621"/>
      <c r="AEA568" s="621"/>
      <c r="AEE568" s="621"/>
      <c r="AEI568" s="621"/>
      <c r="AEM568" s="621"/>
      <c r="AEQ568" s="621"/>
      <c r="AEU568" s="621"/>
      <c r="AEY568" s="621"/>
      <c r="AFC568" s="621"/>
      <c r="AFG568" s="621"/>
      <c r="AFK568" s="621"/>
      <c r="AFO568" s="621"/>
      <c r="AFS568" s="621"/>
      <c r="AFW568" s="621"/>
      <c r="AGA568" s="621"/>
      <c r="AGE568" s="621"/>
      <c r="AGI568" s="621"/>
      <c r="AGM568" s="621"/>
      <c r="AGQ568" s="621"/>
      <c r="AGU568" s="621"/>
      <c r="AGY568" s="621"/>
      <c r="AHC568" s="621"/>
      <c r="AHG568" s="621"/>
      <c r="AHK568" s="621"/>
      <c r="AHO568" s="621"/>
      <c r="AHS568" s="621"/>
      <c r="AHW568" s="621"/>
      <c r="AIA568" s="621"/>
      <c r="AIE568" s="621"/>
      <c r="AII568" s="621"/>
      <c r="AIM568" s="621"/>
      <c r="AIQ568" s="621"/>
      <c r="AIU568" s="621"/>
      <c r="AIY568" s="621"/>
      <c r="AJC568" s="621"/>
      <c r="AJG568" s="621"/>
      <c r="AJK568" s="621"/>
      <c r="AJO568" s="621"/>
      <c r="AJS568" s="621"/>
      <c r="AJW568" s="621"/>
      <c r="AKA568" s="621"/>
      <c r="AKE568" s="621"/>
      <c r="AKI568" s="621"/>
      <c r="AKM568" s="621"/>
      <c r="AKQ568" s="621"/>
      <c r="AKU568" s="621"/>
      <c r="AKY568" s="621"/>
      <c r="ALC568" s="621"/>
      <c r="ALG568" s="621"/>
      <c r="ALK568" s="621"/>
      <c r="ALO568" s="621"/>
      <c r="ALS568" s="621"/>
      <c r="ALW568" s="621"/>
      <c r="AMA568" s="621"/>
      <c r="AME568" s="621"/>
      <c r="AMI568" s="621"/>
      <c r="AMM568" s="621"/>
      <c r="AMQ568" s="621"/>
      <c r="AMU568" s="621"/>
      <c r="AMY568" s="621"/>
      <c r="ANC568" s="621"/>
      <c r="ANG568" s="621"/>
      <c r="ANK568" s="621"/>
      <c r="ANO568" s="621"/>
      <c r="ANS568" s="621"/>
      <c r="ANW568" s="621"/>
      <c r="AOA568" s="621"/>
      <c r="AOE568" s="621"/>
      <c r="AOI568" s="621"/>
      <c r="AOM568" s="621"/>
      <c r="AOQ568" s="621"/>
      <c r="AOU568" s="621"/>
      <c r="AOY568" s="621"/>
      <c r="APC568" s="621"/>
      <c r="APG568" s="621"/>
      <c r="APK568" s="621"/>
      <c r="APO568" s="621"/>
      <c r="APS568" s="621"/>
      <c r="APW568" s="621"/>
      <c r="AQA568" s="621"/>
      <c r="AQE568" s="621"/>
      <c r="AQI568" s="621"/>
      <c r="AQM568" s="621"/>
      <c r="AQQ568" s="621"/>
      <c r="AQU568" s="621"/>
      <c r="AQY568" s="621"/>
      <c r="ARC568" s="621"/>
      <c r="ARG568" s="621"/>
      <c r="ARK568" s="621"/>
      <c r="ARO568" s="621"/>
      <c r="ARS568" s="621"/>
      <c r="ARW568" s="621"/>
      <c r="ASA568" s="621"/>
      <c r="ASE568" s="621"/>
      <c r="ASI568" s="621"/>
      <c r="ASM568" s="621"/>
      <c r="ASQ568" s="621"/>
      <c r="ASU568" s="621"/>
      <c r="ASY568" s="621"/>
      <c r="ATC568" s="621"/>
      <c r="ATG568" s="621"/>
      <c r="ATK568" s="621"/>
      <c r="ATO568" s="621"/>
      <c r="ATS568" s="621"/>
      <c r="ATW568" s="621"/>
      <c r="AUA568" s="621"/>
      <c r="AUE568" s="621"/>
      <c r="AUI568" s="621"/>
      <c r="AUM568" s="621"/>
      <c r="AUQ568" s="621"/>
      <c r="AUU568" s="621"/>
      <c r="AUY568" s="621"/>
      <c r="AVC568" s="621"/>
      <c r="AVG568" s="621"/>
      <c r="AVK568" s="621"/>
      <c r="AVO568" s="621"/>
      <c r="AVS568" s="621"/>
      <c r="AVW568" s="621"/>
      <c r="AWA568" s="621"/>
      <c r="AWE568" s="621"/>
      <c r="AWI568" s="621"/>
      <c r="AWM568" s="621"/>
      <c r="AWQ568" s="621"/>
      <c r="AWU568" s="621"/>
      <c r="AWY568" s="621"/>
      <c r="AXC568" s="621"/>
      <c r="AXG568" s="621"/>
      <c r="AXK568" s="621"/>
      <c r="AXO568" s="621"/>
      <c r="AXS568" s="621"/>
      <c r="AXW568" s="621"/>
      <c r="AYA568" s="621"/>
      <c r="AYE568" s="621"/>
      <c r="AYI568" s="621"/>
      <c r="AYM568" s="621"/>
      <c r="AYQ568" s="621"/>
      <c r="AYU568" s="621"/>
      <c r="AYY568" s="621"/>
      <c r="AZC568" s="621"/>
      <c r="AZG568" s="621"/>
      <c r="AZK568" s="621"/>
      <c r="AZO568" s="621"/>
      <c r="AZS568" s="621"/>
      <c r="AZW568" s="621"/>
      <c r="BAA568" s="621"/>
      <c r="BAE568" s="621"/>
      <c r="BAI568" s="621"/>
      <c r="BAM568" s="621"/>
      <c r="BAQ568" s="621"/>
      <c r="BAU568" s="621"/>
      <c r="BAY568" s="621"/>
      <c r="BBC568" s="621"/>
      <c r="BBG568" s="621"/>
      <c r="BBK568" s="621"/>
      <c r="BBO568" s="621"/>
      <c r="BBS568" s="621"/>
      <c r="BBW568" s="621"/>
      <c r="BCA568" s="621"/>
      <c r="BCE568" s="621"/>
      <c r="BCI568" s="621"/>
      <c r="BCM568" s="621"/>
      <c r="BCQ568" s="621"/>
      <c r="BCU568" s="621"/>
      <c r="BCY568" s="621"/>
      <c r="BDC568" s="621"/>
      <c r="BDG568" s="621"/>
      <c r="BDK568" s="621"/>
      <c r="BDO568" s="621"/>
      <c r="BDS568" s="621"/>
      <c r="BDW568" s="621"/>
      <c r="BEA568" s="621"/>
      <c r="BEE568" s="621"/>
      <c r="BEI568" s="621"/>
      <c r="BEM568" s="621"/>
      <c r="BEQ568" s="621"/>
      <c r="BEU568" s="621"/>
      <c r="BEY568" s="621"/>
      <c r="BFC568" s="621"/>
      <c r="BFG568" s="621"/>
      <c r="BFK568" s="621"/>
      <c r="BFO568" s="621"/>
      <c r="BFS568" s="621"/>
      <c r="BFW568" s="621"/>
      <c r="BGA568" s="621"/>
      <c r="BGE568" s="621"/>
      <c r="BGI568" s="621"/>
      <c r="BGM568" s="621"/>
      <c r="BGQ568" s="621"/>
      <c r="BGU568" s="621"/>
      <c r="BGY568" s="621"/>
      <c r="BHC568" s="621"/>
      <c r="BHG568" s="621"/>
      <c r="BHK568" s="621"/>
      <c r="BHO568" s="621"/>
      <c r="BHS568" s="621"/>
      <c r="BHW568" s="621"/>
      <c r="BIA568" s="621"/>
      <c r="BIE568" s="621"/>
      <c r="BII568" s="621"/>
      <c r="BIM568" s="621"/>
      <c r="BIQ568" s="621"/>
      <c r="BIU568" s="621"/>
      <c r="BIY568" s="621"/>
      <c r="BJC568" s="621"/>
      <c r="BJG568" s="621"/>
      <c r="BJK568" s="621"/>
      <c r="BJO568" s="621"/>
      <c r="BJS568" s="621"/>
      <c r="BJW568" s="621"/>
      <c r="BKA568" s="621"/>
      <c r="BKE568" s="621"/>
      <c r="BKI568" s="621"/>
      <c r="BKM568" s="621"/>
      <c r="BKQ568" s="621"/>
      <c r="BKU568" s="621"/>
      <c r="BKY568" s="621"/>
      <c r="BLC568" s="621"/>
      <c r="BLG568" s="621"/>
      <c r="BLK568" s="621"/>
      <c r="BLO568" s="621"/>
      <c r="BLS568" s="621"/>
      <c r="BLW568" s="621"/>
      <c r="BMA568" s="621"/>
      <c r="BME568" s="621"/>
      <c r="BMI568" s="621"/>
      <c r="BMM568" s="621"/>
      <c r="BMQ568" s="621"/>
      <c r="BMU568" s="621"/>
      <c r="BMY568" s="621"/>
      <c r="BNC568" s="621"/>
      <c r="BNG568" s="621"/>
      <c r="BNK568" s="621"/>
      <c r="BNO568" s="621"/>
      <c r="BNS568" s="621"/>
      <c r="BNW568" s="621"/>
      <c r="BOA568" s="621"/>
      <c r="BOE568" s="621"/>
      <c r="BOI568" s="621"/>
      <c r="BOM568" s="621"/>
      <c r="BOQ568" s="621"/>
      <c r="BOU568" s="621"/>
      <c r="BOY568" s="621"/>
      <c r="BPC568" s="621"/>
      <c r="BPG568" s="621"/>
      <c r="BPK568" s="621"/>
      <c r="BPO568" s="621"/>
      <c r="BPS568" s="621"/>
      <c r="BPW568" s="621"/>
      <c r="BQA568" s="621"/>
      <c r="BQE568" s="621"/>
      <c r="BQI568" s="621"/>
      <c r="BQM568" s="621"/>
      <c r="BQQ568" s="621"/>
      <c r="BQU568" s="621"/>
      <c r="BQY568" s="621"/>
      <c r="BRC568" s="621"/>
      <c r="BRG568" s="621"/>
      <c r="BRK568" s="621"/>
      <c r="BRO568" s="621"/>
      <c r="BRS568" s="621"/>
      <c r="BRW568" s="621"/>
      <c r="BSA568" s="621"/>
      <c r="BSE568" s="621"/>
      <c r="BSI568" s="621"/>
      <c r="BSM568" s="621"/>
      <c r="BSQ568" s="621"/>
      <c r="BSU568" s="621"/>
      <c r="BSY568" s="621"/>
      <c r="BTC568" s="621"/>
      <c r="BTG568" s="621"/>
      <c r="BTK568" s="621"/>
      <c r="BTO568" s="621"/>
      <c r="BTS568" s="621"/>
      <c r="BTW568" s="621"/>
      <c r="BUA568" s="621"/>
      <c r="BUE568" s="621"/>
      <c r="BUI568" s="621"/>
      <c r="BUM568" s="621"/>
      <c r="BUQ568" s="621"/>
      <c r="BUU568" s="621"/>
      <c r="BUY568" s="621"/>
      <c r="BVC568" s="621"/>
      <c r="BVG568" s="621"/>
      <c r="BVK568" s="621"/>
      <c r="BVO568" s="621"/>
      <c r="BVS568" s="621"/>
      <c r="BVW568" s="621"/>
      <c r="BWA568" s="621"/>
      <c r="BWE568" s="621"/>
      <c r="BWI568" s="621"/>
      <c r="BWM568" s="621"/>
      <c r="BWQ568" s="621"/>
      <c r="BWU568" s="621"/>
      <c r="BWY568" s="621"/>
      <c r="BXC568" s="621"/>
      <c r="BXG568" s="621"/>
      <c r="BXK568" s="621"/>
      <c r="BXO568" s="621"/>
      <c r="BXS568" s="621"/>
      <c r="BXW568" s="621"/>
      <c r="BYA568" s="621"/>
      <c r="BYE568" s="621"/>
      <c r="BYI568" s="621"/>
      <c r="BYM568" s="621"/>
      <c r="BYQ568" s="621"/>
      <c r="BYU568" s="621"/>
      <c r="BYY568" s="621"/>
      <c r="BZC568" s="621"/>
      <c r="BZG568" s="621"/>
      <c r="BZK568" s="621"/>
      <c r="BZO568" s="621"/>
      <c r="BZS568" s="621"/>
      <c r="BZW568" s="621"/>
      <c r="CAA568" s="621"/>
      <c r="CAE568" s="621"/>
      <c r="CAI568" s="621"/>
      <c r="CAM568" s="621"/>
      <c r="CAQ568" s="621"/>
      <c r="CAU568" s="621"/>
      <c r="CAY568" s="621"/>
      <c r="CBC568" s="621"/>
      <c r="CBG568" s="621"/>
      <c r="CBK568" s="621"/>
      <c r="CBO568" s="621"/>
      <c r="CBS568" s="621"/>
      <c r="CBW568" s="621"/>
      <c r="CCA568" s="621"/>
      <c r="CCE568" s="621"/>
      <c r="CCI568" s="621"/>
      <c r="CCM568" s="621"/>
      <c r="CCQ568" s="621"/>
      <c r="CCU568" s="621"/>
      <c r="CCY568" s="621"/>
      <c r="CDC568" s="621"/>
      <c r="CDG568" s="621"/>
      <c r="CDK568" s="621"/>
      <c r="CDO568" s="621"/>
      <c r="CDS568" s="621"/>
      <c r="CDW568" s="621"/>
      <c r="CEA568" s="621"/>
      <c r="CEE568" s="621"/>
      <c r="CEI568" s="621"/>
      <c r="CEM568" s="621"/>
      <c r="CEQ568" s="621"/>
      <c r="CEU568" s="621"/>
      <c r="CEY568" s="621"/>
      <c r="CFC568" s="621"/>
      <c r="CFG568" s="621"/>
      <c r="CFK568" s="621"/>
      <c r="CFO568" s="621"/>
      <c r="CFS568" s="621"/>
      <c r="CFW568" s="621"/>
      <c r="CGA568" s="621"/>
      <c r="CGE568" s="621"/>
      <c r="CGI568" s="621"/>
      <c r="CGM568" s="621"/>
      <c r="CGQ568" s="621"/>
      <c r="CGU568" s="621"/>
      <c r="CGY568" s="621"/>
      <c r="CHC568" s="621"/>
      <c r="CHG568" s="621"/>
      <c r="CHK568" s="621"/>
      <c r="CHO568" s="621"/>
      <c r="CHS568" s="621"/>
      <c r="CHW568" s="621"/>
      <c r="CIA568" s="621"/>
      <c r="CIE568" s="621"/>
      <c r="CII568" s="621"/>
      <c r="CIM568" s="621"/>
      <c r="CIQ568" s="621"/>
      <c r="CIU568" s="621"/>
      <c r="CIY568" s="621"/>
      <c r="CJC568" s="621"/>
      <c r="CJG568" s="621"/>
      <c r="CJK568" s="621"/>
      <c r="CJO568" s="621"/>
      <c r="CJS568" s="621"/>
      <c r="CJW568" s="621"/>
      <c r="CKA568" s="621"/>
      <c r="CKE568" s="621"/>
      <c r="CKI568" s="621"/>
      <c r="CKM568" s="621"/>
      <c r="CKQ568" s="621"/>
      <c r="CKU568" s="621"/>
      <c r="CKY568" s="621"/>
      <c r="CLC568" s="621"/>
      <c r="CLG568" s="621"/>
      <c r="CLK568" s="621"/>
      <c r="CLO568" s="621"/>
      <c r="CLS568" s="621"/>
      <c r="CLW568" s="621"/>
      <c r="CMA568" s="621"/>
      <c r="CME568" s="621"/>
      <c r="CMI568" s="621"/>
      <c r="CMM568" s="621"/>
      <c r="CMQ568" s="621"/>
      <c r="CMU568" s="621"/>
      <c r="CMY568" s="621"/>
      <c r="CNC568" s="621"/>
      <c r="CNG568" s="621"/>
      <c r="CNK568" s="621"/>
      <c r="CNO568" s="621"/>
      <c r="CNS568" s="621"/>
      <c r="CNW568" s="621"/>
      <c r="COA568" s="621"/>
      <c r="COE568" s="621"/>
      <c r="COI568" s="621"/>
      <c r="COM568" s="621"/>
      <c r="COQ568" s="621"/>
      <c r="COU568" s="621"/>
      <c r="COY568" s="621"/>
      <c r="CPC568" s="621"/>
      <c r="CPG568" s="621"/>
      <c r="CPK568" s="621"/>
      <c r="CPO568" s="621"/>
      <c r="CPS568" s="621"/>
      <c r="CPW568" s="621"/>
      <c r="CQA568" s="621"/>
      <c r="CQE568" s="621"/>
      <c r="CQI568" s="621"/>
      <c r="CQM568" s="621"/>
      <c r="CQQ568" s="621"/>
      <c r="CQU568" s="621"/>
      <c r="CQY568" s="621"/>
      <c r="CRC568" s="621"/>
      <c r="CRG568" s="621"/>
      <c r="CRK568" s="621"/>
      <c r="CRO568" s="621"/>
      <c r="CRS568" s="621"/>
      <c r="CRW568" s="621"/>
      <c r="CSA568" s="621"/>
      <c r="CSE568" s="621"/>
      <c r="CSI568" s="621"/>
      <c r="CSM568" s="621"/>
      <c r="CSQ568" s="621"/>
      <c r="CSU568" s="621"/>
      <c r="CSY568" s="621"/>
      <c r="CTC568" s="621"/>
      <c r="CTG568" s="621"/>
      <c r="CTK568" s="621"/>
      <c r="CTO568" s="621"/>
      <c r="CTS568" s="621"/>
      <c r="CTW568" s="621"/>
      <c r="CUA568" s="621"/>
      <c r="CUE568" s="621"/>
      <c r="CUI568" s="621"/>
      <c r="CUM568" s="621"/>
      <c r="CUQ568" s="621"/>
      <c r="CUU568" s="621"/>
      <c r="CUY568" s="621"/>
      <c r="CVC568" s="621"/>
      <c r="CVG568" s="621"/>
      <c r="CVK568" s="621"/>
      <c r="CVO568" s="621"/>
      <c r="CVS568" s="621"/>
      <c r="CVW568" s="621"/>
      <c r="CWA568" s="621"/>
      <c r="CWE568" s="621"/>
      <c r="CWI568" s="621"/>
      <c r="CWM568" s="621"/>
      <c r="CWQ568" s="621"/>
      <c r="CWU568" s="621"/>
      <c r="CWY568" s="621"/>
      <c r="CXC568" s="621"/>
      <c r="CXG568" s="621"/>
      <c r="CXK568" s="621"/>
      <c r="CXO568" s="621"/>
      <c r="CXS568" s="621"/>
      <c r="CXW568" s="621"/>
      <c r="CYA568" s="621"/>
      <c r="CYE568" s="621"/>
      <c r="CYI568" s="621"/>
      <c r="CYM568" s="621"/>
      <c r="CYQ568" s="621"/>
      <c r="CYU568" s="621"/>
      <c r="CYY568" s="621"/>
      <c r="CZC568" s="621"/>
      <c r="CZG568" s="621"/>
      <c r="CZK568" s="621"/>
      <c r="CZO568" s="621"/>
      <c r="CZS568" s="621"/>
      <c r="CZW568" s="621"/>
      <c r="DAA568" s="621"/>
      <c r="DAE568" s="621"/>
      <c r="DAI568" s="621"/>
      <c r="DAM568" s="621"/>
      <c r="DAQ568" s="621"/>
      <c r="DAU568" s="621"/>
      <c r="DAY568" s="621"/>
      <c r="DBC568" s="621"/>
      <c r="DBG568" s="621"/>
      <c r="DBK568" s="621"/>
      <c r="DBO568" s="621"/>
      <c r="DBS568" s="621"/>
      <c r="DBW568" s="621"/>
      <c r="DCA568" s="621"/>
      <c r="DCE568" s="621"/>
      <c r="DCI568" s="621"/>
      <c r="DCM568" s="621"/>
      <c r="DCQ568" s="621"/>
      <c r="DCU568" s="621"/>
      <c r="DCY568" s="621"/>
      <c r="DDC568" s="621"/>
      <c r="DDG568" s="621"/>
      <c r="DDK568" s="621"/>
      <c r="DDO568" s="621"/>
      <c r="DDS568" s="621"/>
      <c r="DDW568" s="621"/>
      <c r="DEA568" s="621"/>
      <c r="DEE568" s="621"/>
      <c r="DEI568" s="621"/>
      <c r="DEM568" s="621"/>
      <c r="DEQ568" s="621"/>
      <c r="DEU568" s="621"/>
      <c r="DEY568" s="621"/>
      <c r="DFC568" s="621"/>
      <c r="DFG568" s="621"/>
      <c r="DFK568" s="621"/>
      <c r="DFO568" s="621"/>
      <c r="DFS568" s="621"/>
      <c r="DFW568" s="621"/>
      <c r="DGA568" s="621"/>
      <c r="DGE568" s="621"/>
      <c r="DGI568" s="621"/>
      <c r="DGM568" s="621"/>
      <c r="DGQ568" s="621"/>
      <c r="DGU568" s="621"/>
      <c r="DGY568" s="621"/>
      <c r="DHC568" s="621"/>
      <c r="DHG568" s="621"/>
      <c r="DHK568" s="621"/>
      <c r="DHO568" s="621"/>
      <c r="DHS568" s="621"/>
      <c r="DHW568" s="621"/>
      <c r="DIA568" s="621"/>
      <c r="DIE568" s="621"/>
      <c r="DII568" s="621"/>
      <c r="DIM568" s="621"/>
      <c r="DIQ568" s="621"/>
      <c r="DIU568" s="621"/>
      <c r="DIY568" s="621"/>
      <c r="DJC568" s="621"/>
      <c r="DJG568" s="621"/>
      <c r="DJK568" s="621"/>
      <c r="DJO568" s="621"/>
      <c r="DJS568" s="621"/>
      <c r="DJW568" s="621"/>
      <c r="DKA568" s="621"/>
      <c r="DKE568" s="621"/>
      <c r="DKI568" s="621"/>
      <c r="DKM568" s="621"/>
      <c r="DKQ568" s="621"/>
      <c r="DKU568" s="621"/>
      <c r="DKY568" s="621"/>
      <c r="DLC568" s="621"/>
      <c r="DLG568" s="621"/>
      <c r="DLK568" s="621"/>
      <c r="DLO568" s="621"/>
      <c r="DLS568" s="621"/>
      <c r="DLW568" s="621"/>
      <c r="DMA568" s="621"/>
      <c r="DME568" s="621"/>
      <c r="DMI568" s="621"/>
      <c r="DMM568" s="621"/>
      <c r="DMQ568" s="621"/>
      <c r="DMU568" s="621"/>
      <c r="DMY568" s="621"/>
      <c r="DNC568" s="621"/>
      <c r="DNG568" s="621"/>
      <c r="DNK568" s="621"/>
      <c r="DNO568" s="621"/>
      <c r="DNS568" s="621"/>
      <c r="DNW568" s="621"/>
      <c r="DOA568" s="621"/>
      <c r="DOE568" s="621"/>
      <c r="DOI568" s="621"/>
      <c r="DOM568" s="621"/>
      <c r="DOQ568" s="621"/>
      <c r="DOU568" s="621"/>
      <c r="DOY568" s="621"/>
      <c r="DPC568" s="621"/>
      <c r="DPG568" s="621"/>
      <c r="DPK568" s="621"/>
      <c r="DPO568" s="621"/>
      <c r="DPS568" s="621"/>
      <c r="DPW568" s="621"/>
      <c r="DQA568" s="621"/>
      <c r="DQE568" s="621"/>
      <c r="DQI568" s="621"/>
      <c r="DQM568" s="621"/>
      <c r="DQQ568" s="621"/>
      <c r="DQU568" s="621"/>
      <c r="DQY568" s="621"/>
      <c r="DRC568" s="621"/>
      <c r="DRG568" s="621"/>
      <c r="DRK568" s="621"/>
      <c r="DRO568" s="621"/>
      <c r="DRS568" s="621"/>
      <c r="DRW568" s="621"/>
      <c r="DSA568" s="621"/>
      <c r="DSE568" s="621"/>
      <c r="DSI568" s="621"/>
      <c r="DSM568" s="621"/>
      <c r="DSQ568" s="621"/>
      <c r="DSU568" s="621"/>
      <c r="DSY568" s="621"/>
      <c r="DTC568" s="621"/>
      <c r="DTG568" s="621"/>
      <c r="DTK568" s="621"/>
      <c r="DTO568" s="621"/>
      <c r="DTS568" s="621"/>
      <c r="DTW568" s="621"/>
      <c r="DUA568" s="621"/>
      <c r="DUE568" s="621"/>
      <c r="DUI568" s="621"/>
      <c r="DUM568" s="621"/>
      <c r="DUQ568" s="621"/>
      <c r="DUU568" s="621"/>
      <c r="DUY568" s="621"/>
      <c r="DVC568" s="621"/>
      <c r="DVG568" s="621"/>
      <c r="DVK568" s="621"/>
      <c r="DVO568" s="621"/>
      <c r="DVS568" s="621"/>
      <c r="DVW568" s="621"/>
      <c r="DWA568" s="621"/>
      <c r="DWE568" s="621"/>
      <c r="DWI568" s="621"/>
      <c r="DWM568" s="621"/>
      <c r="DWQ568" s="621"/>
      <c r="DWU568" s="621"/>
      <c r="DWY568" s="621"/>
      <c r="DXC568" s="621"/>
      <c r="DXG568" s="621"/>
      <c r="DXK568" s="621"/>
      <c r="DXO568" s="621"/>
      <c r="DXS568" s="621"/>
      <c r="DXW568" s="621"/>
      <c r="DYA568" s="621"/>
      <c r="DYE568" s="621"/>
      <c r="DYI568" s="621"/>
      <c r="DYM568" s="621"/>
      <c r="DYQ568" s="621"/>
      <c r="DYU568" s="621"/>
      <c r="DYY568" s="621"/>
      <c r="DZC568" s="621"/>
      <c r="DZG568" s="621"/>
      <c r="DZK568" s="621"/>
      <c r="DZO568" s="621"/>
      <c r="DZS568" s="621"/>
      <c r="DZW568" s="621"/>
      <c r="EAA568" s="621"/>
      <c r="EAE568" s="621"/>
      <c r="EAI568" s="621"/>
      <c r="EAM568" s="621"/>
      <c r="EAQ568" s="621"/>
      <c r="EAU568" s="621"/>
      <c r="EAY568" s="621"/>
      <c r="EBC568" s="621"/>
      <c r="EBG568" s="621"/>
      <c r="EBK568" s="621"/>
      <c r="EBO568" s="621"/>
      <c r="EBS568" s="621"/>
      <c r="EBW568" s="621"/>
      <c r="ECA568" s="621"/>
      <c r="ECE568" s="621"/>
      <c r="ECI568" s="621"/>
      <c r="ECM568" s="621"/>
      <c r="ECQ568" s="621"/>
      <c r="ECU568" s="621"/>
      <c r="ECY568" s="621"/>
      <c r="EDC568" s="621"/>
      <c r="EDG568" s="621"/>
      <c r="EDK568" s="621"/>
      <c r="EDO568" s="621"/>
      <c r="EDS568" s="621"/>
      <c r="EDW568" s="621"/>
      <c r="EEA568" s="621"/>
      <c r="EEE568" s="621"/>
      <c r="EEI568" s="621"/>
      <c r="EEM568" s="621"/>
      <c r="EEQ568" s="621"/>
      <c r="EEU568" s="621"/>
      <c r="EEY568" s="621"/>
      <c r="EFC568" s="621"/>
      <c r="EFG568" s="621"/>
      <c r="EFK568" s="621"/>
      <c r="EFO568" s="621"/>
      <c r="EFS568" s="621"/>
      <c r="EFW568" s="621"/>
      <c r="EGA568" s="621"/>
      <c r="EGE568" s="621"/>
      <c r="EGI568" s="621"/>
      <c r="EGM568" s="621"/>
      <c r="EGQ568" s="621"/>
      <c r="EGU568" s="621"/>
      <c r="EGY568" s="621"/>
      <c r="EHC568" s="621"/>
      <c r="EHG568" s="621"/>
      <c r="EHK568" s="621"/>
      <c r="EHO568" s="621"/>
      <c r="EHS568" s="621"/>
      <c r="EHW568" s="621"/>
      <c r="EIA568" s="621"/>
      <c r="EIE568" s="621"/>
      <c r="EII568" s="621"/>
      <c r="EIM568" s="621"/>
      <c r="EIQ568" s="621"/>
      <c r="EIU568" s="621"/>
      <c r="EIY568" s="621"/>
      <c r="EJC568" s="621"/>
      <c r="EJG568" s="621"/>
      <c r="EJK568" s="621"/>
      <c r="EJO568" s="621"/>
      <c r="EJS568" s="621"/>
      <c r="EJW568" s="621"/>
      <c r="EKA568" s="621"/>
      <c r="EKE568" s="621"/>
      <c r="EKI568" s="621"/>
      <c r="EKM568" s="621"/>
      <c r="EKQ568" s="621"/>
      <c r="EKU568" s="621"/>
      <c r="EKY568" s="621"/>
      <c r="ELC568" s="621"/>
      <c r="ELG568" s="621"/>
      <c r="ELK568" s="621"/>
      <c r="ELO568" s="621"/>
      <c r="ELS568" s="621"/>
      <c r="ELW568" s="621"/>
      <c r="EMA568" s="621"/>
      <c r="EME568" s="621"/>
      <c r="EMI568" s="621"/>
      <c r="EMM568" s="621"/>
      <c r="EMQ568" s="621"/>
      <c r="EMU568" s="621"/>
      <c r="EMY568" s="621"/>
      <c r="ENC568" s="621"/>
      <c r="ENG568" s="621"/>
      <c r="ENK568" s="621"/>
      <c r="ENO568" s="621"/>
      <c r="ENS568" s="621"/>
      <c r="ENW568" s="621"/>
      <c r="EOA568" s="621"/>
      <c r="EOE568" s="621"/>
      <c r="EOI568" s="621"/>
      <c r="EOM568" s="621"/>
      <c r="EOQ568" s="621"/>
      <c r="EOU568" s="621"/>
      <c r="EOY568" s="621"/>
      <c r="EPC568" s="621"/>
      <c r="EPG568" s="621"/>
      <c r="EPK568" s="621"/>
      <c r="EPO568" s="621"/>
      <c r="EPS568" s="621"/>
      <c r="EPW568" s="621"/>
      <c r="EQA568" s="621"/>
      <c r="EQE568" s="621"/>
      <c r="EQI568" s="621"/>
      <c r="EQM568" s="621"/>
      <c r="EQQ568" s="621"/>
      <c r="EQU568" s="621"/>
      <c r="EQY568" s="621"/>
      <c r="ERC568" s="621"/>
      <c r="ERG568" s="621"/>
      <c r="ERK568" s="621"/>
      <c r="ERO568" s="621"/>
      <c r="ERS568" s="621"/>
      <c r="ERW568" s="621"/>
      <c r="ESA568" s="621"/>
      <c r="ESE568" s="621"/>
      <c r="ESI568" s="621"/>
      <c r="ESM568" s="621"/>
      <c r="ESQ568" s="621"/>
      <c r="ESU568" s="621"/>
      <c r="ESY568" s="621"/>
      <c r="ETC568" s="621"/>
      <c r="ETG568" s="621"/>
      <c r="ETK568" s="621"/>
      <c r="ETO568" s="621"/>
      <c r="ETS568" s="621"/>
      <c r="ETW568" s="621"/>
      <c r="EUA568" s="621"/>
      <c r="EUE568" s="621"/>
      <c r="EUI568" s="621"/>
      <c r="EUM568" s="621"/>
      <c r="EUQ568" s="621"/>
      <c r="EUU568" s="621"/>
      <c r="EUY568" s="621"/>
      <c r="EVC568" s="621"/>
      <c r="EVG568" s="621"/>
      <c r="EVK568" s="621"/>
      <c r="EVO568" s="621"/>
      <c r="EVS568" s="621"/>
      <c r="EVW568" s="621"/>
      <c r="EWA568" s="621"/>
      <c r="EWE568" s="621"/>
      <c r="EWI568" s="621"/>
      <c r="EWM568" s="621"/>
      <c r="EWQ568" s="621"/>
      <c r="EWU568" s="621"/>
      <c r="EWY568" s="621"/>
      <c r="EXC568" s="621"/>
      <c r="EXG568" s="621"/>
      <c r="EXK568" s="621"/>
      <c r="EXO568" s="621"/>
      <c r="EXS568" s="621"/>
      <c r="EXW568" s="621"/>
      <c r="EYA568" s="621"/>
      <c r="EYE568" s="621"/>
      <c r="EYI568" s="621"/>
      <c r="EYM568" s="621"/>
      <c r="EYQ568" s="621"/>
      <c r="EYU568" s="621"/>
      <c r="EYY568" s="621"/>
      <c r="EZC568" s="621"/>
      <c r="EZG568" s="621"/>
      <c r="EZK568" s="621"/>
      <c r="EZO568" s="621"/>
      <c r="EZS568" s="621"/>
      <c r="EZW568" s="621"/>
      <c r="FAA568" s="621"/>
      <c r="FAE568" s="621"/>
      <c r="FAI568" s="621"/>
      <c r="FAM568" s="621"/>
      <c r="FAQ568" s="621"/>
      <c r="FAU568" s="621"/>
      <c r="FAY568" s="621"/>
      <c r="FBC568" s="621"/>
      <c r="FBG568" s="621"/>
      <c r="FBK568" s="621"/>
      <c r="FBO568" s="621"/>
      <c r="FBS568" s="621"/>
      <c r="FBW568" s="621"/>
      <c r="FCA568" s="621"/>
      <c r="FCE568" s="621"/>
      <c r="FCI568" s="621"/>
      <c r="FCM568" s="621"/>
      <c r="FCQ568" s="621"/>
      <c r="FCU568" s="621"/>
      <c r="FCY568" s="621"/>
      <c r="FDC568" s="621"/>
      <c r="FDG568" s="621"/>
      <c r="FDK568" s="621"/>
      <c r="FDO568" s="621"/>
      <c r="FDS568" s="621"/>
      <c r="FDW568" s="621"/>
      <c r="FEA568" s="621"/>
      <c r="FEE568" s="621"/>
      <c r="FEI568" s="621"/>
      <c r="FEM568" s="621"/>
      <c r="FEQ568" s="621"/>
      <c r="FEU568" s="621"/>
      <c r="FEY568" s="621"/>
      <c r="FFC568" s="621"/>
      <c r="FFG568" s="621"/>
      <c r="FFK568" s="621"/>
      <c r="FFO568" s="621"/>
      <c r="FFS568" s="621"/>
      <c r="FFW568" s="621"/>
      <c r="FGA568" s="621"/>
      <c r="FGE568" s="621"/>
      <c r="FGI568" s="621"/>
      <c r="FGM568" s="621"/>
      <c r="FGQ568" s="621"/>
      <c r="FGU568" s="621"/>
      <c r="FGY568" s="621"/>
      <c r="FHC568" s="621"/>
      <c r="FHG568" s="621"/>
      <c r="FHK568" s="621"/>
      <c r="FHO568" s="621"/>
      <c r="FHS568" s="621"/>
      <c r="FHW568" s="621"/>
      <c r="FIA568" s="621"/>
      <c r="FIE568" s="621"/>
      <c r="FII568" s="621"/>
      <c r="FIM568" s="621"/>
      <c r="FIQ568" s="621"/>
      <c r="FIU568" s="621"/>
      <c r="FIY568" s="621"/>
      <c r="FJC568" s="621"/>
      <c r="FJG568" s="621"/>
      <c r="FJK568" s="621"/>
      <c r="FJO568" s="621"/>
      <c r="FJS568" s="621"/>
      <c r="FJW568" s="621"/>
      <c r="FKA568" s="621"/>
      <c r="FKE568" s="621"/>
      <c r="FKI568" s="621"/>
      <c r="FKM568" s="621"/>
      <c r="FKQ568" s="621"/>
      <c r="FKU568" s="621"/>
      <c r="FKY568" s="621"/>
      <c r="FLC568" s="621"/>
      <c r="FLG568" s="621"/>
      <c r="FLK568" s="621"/>
      <c r="FLO568" s="621"/>
      <c r="FLS568" s="621"/>
      <c r="FLW568" s="621"/>
      <c r="FMA568" s="621"/>
      <c r="FME568" s="621"/>
      <c r="FMI568" s="621"/>
      <c r="FMM568" s="621"/>
      <c r="FMQ568" s="621"/>
      <c r="FMU568" s="621"/>
      <c r="FMY568" s="621"/>
      <c r="FNC568" s="621"/>
      <c r="FNG568" s="621"/>
      <c r="FNK568" s="621"/>
      <c r="FNO568" s="621"/>
      <c r="FNS568" s="621"/>
      <c r="FNW568" s="621"/>
      <c r="FOA568" s="621"/>
      <c r="FOE568" s="621"/>
      <c r="FOI568" s="621"/>
      <c r="FOM568" s="621"/>
      <c r="FOQ568" s="621"/>
      <c r="FOU568" s="621"/>
      <c r="FOY568" s="621"/>
      <c r="FPC568" s="621"/>
      <c r="FPG568" s="621"/>
      <c r="FPK568" s="621"/>
      <c r="FPO568" s="621"/>
      <c r="FPS568" s="621"/>
      <c r="FPW568" s="621"/>
      <c r="FQA568" s="621"/>
      <c r="FQE568" s="621"/>
      <c r="FQI568" s="621"/>
      <c r="FQM568" s="621"/>
      <c r="FQQ568" s="621"/>
      <c r="FQU568" s="621"/>
      <c r="FQY568" s="621"/>
      <c r="FRC568" s="621"/>
      <c r="FRG568" s="621"/>
      <c r="FRK568" s="621"/>
      <c r="FRO568" s="621"/>
      <c r="FRS568" s="621"/>
      <c r="FRW568" s="621"/>
      <c r="FSA568" s="621"/>
      <c r="FSE568" s="621"/>
      <c r="FSI568" s="621"/>
      <c r="FSM568" s="621"/>
      <c r="FSQ568" s="621"/>
      <c r="FSU568" s="621"/>
      <c r="FSY568" s="621"/>
      <c r="FTC568" s="621"/>
      <c r="FTG568" s="621"/>
      <c r="FTK568" s="621"/>
      <c r="FTO568" s="621"/>
      <c r="FTS568" s="621"/>
      <c r="FTW568" s="621"/>
      <c r="FUA568" s="621"/>
      <c r="FUE568" s="621"/>
      <c r="FUI568" s="621"/>
      <c r="FUM568" s="621"/>
      <c r="FUQ568" s="621"/>
      <c r="FUU568" s="621"/>
      <c r="FUY568" s="621"/>
      <c r="FVC568" s="621"/>
      <c r="FVG568" s="621"/>
      <c r="FVK568" s="621"/>
      <c r="FVO568" s="621"/>
      <c r="FVS568" s="621"/>
      <c r="FVW568" s="621"/>
      <c r="FWA568" s="621"/>
      <c r="FWE568" s="621"/>
      <c r="FWI568" s="621"/>
      <c r="FWM568" s="621"/>
      <c r="FWQ568" s="621"/>
      <c r="FWU568" s="621"/>
      <c r="FWY568" s="621"/>
      <c r="FXC568" s="621"/>
      <c r="FXG568" s="621"/>
      <c r="FXK568" s="621"/>
      <c r="FXO568" s="621"/>
      <c r="FXS568" s="621"/>
      <c r="FXW568" s="621"/>
      <c r="FYA568" s="621"/>
      <c r="FYE568" s="621"/>
      <c r="FYI568" s="621"/>
      <c r="FYM568" s="621"/>
      <c r="FYQ568" s="621"/>
      <c r="FYU568" s="621"/>
      <c r="FYY568" s="621"/>
      <c r="FZC568" s="621"/>
      <c r="FZG568" s="621"/>
      <c r="FZK568" s="621"/>
      <c r="FZO568" s="621"/>
      <c r="FZS568" s="621"/>
      <c r="FZW568" s="621"/>
      <c r="GAA568" s="621"/>
      <c r="GAE568" s="621"/>
      <c r="GAI568" s="621"/>
      <c r="GAM568" s="621"/>
      <c r="GAQ568" s="621"/>
      <c r="GAU568" s="621"/>
      <c r="GAY568" s="621"/>
      <c r="GBC568" s="621"/>
      <c r="GBG568" s="621"/>
      <c r="GBK568" s="621"/>
      <c r="GBO568" s="621"/>
      <c r="GBS568" s="621"/>
      <c r="GBW568" s="621"/>
      <c r="GCA568" s="621"/>
      <c r="GCE568" s="621"/>
      <c r="GCI568" s="621"/>
      <c r="GCM568" s="621"/>
      <c r="GCQ568" s="621"/>
      <c r="GCU568" s="621"/>
      <c r="GCY568" s="621"/>
      <c r="GDC568" s="621"/>
      <c r="GDG568" s="621"/>
      <c r="GDK568" s="621"/>
      <c r="GDO568" s="621"/>
      <c r="GDS568" s="621"/>
      <c r="GDW568" s="621"/>
      <c r="GEA568" s="621"/>
      <c r="GEE568" s="621"/>
      <c r="GEI568" s="621"/>
      <c r="GEM568" s="621"/>
      <c r="GEQ568" s="621"/>
      <c r="GEU568" s="621"/>
      <c r="GEY568" s="621"/>
      <c r="GFC568" s="621"/>
      <c r="GFG568" s="621"/>
      <c r="GFK568" s="621"/>
      <c r="GFO568" s="621"/>
      <c r="GFS568" s="621"/>
      <c r="GFW568" s="621"/>
      <c r="GGA568" s="621"/>
      <c r="GGE568" s="621"/>
      <c r="GGI568" s="621"/>
      <c r="GGM568" s="621"/>
      <c r="GGQ568" s="621"/>
      <c r="GGU568" s="621"/>
      <c r="GGY568" s="621"/>
      <c r="GHC568" s="621"/>
      <c r="GHG568" s="621"/>
      <c r="GHK568" s="621"/>
      <c r="GHO568" s="621"/>
      <c r="GHS568" s="621"/>
      <c r="GHW568" s="621"/>
      <c r="GIA568" s="621"/>
      <c r="GIE568" s="621"/>
      <c r="GII568" s="621"/>
      <c r="GIM568" s="621"/>
      <c r="GIQ568" s="621"/>
      <c r="GIU568" s="621"/>
      <c r="GIY568" s="621"/>
      <c r="GJC568" s="621"/>
      <c r="GJG568" s="621"/>
      <c r="GJK568" s="621"/>
      <c r="GJO568" s="621"/>
      <c r="GJS568" s="621"/>
      <c r="GJW568" s="621"/>
      <c r="GKA568" s="621"/>
      <c r="GKE568" s="621"/>
      <c r="GKI568" s="621"/>
      <c r="GKM568" s="621"/>
      <c r="GKQ568" s="621"/>
      <c r="GKU568" s="621"/>
      <c r="GKY568" s="621"/>
      <c r="GLC568" s="621"/>
      <c r="GLG568" s="621"/>
      <c r="GLK568" s="621"/>
      <c r="GLO568" s="621"/>
      <c r="GLS568" s="621"/>
      <c r="GLW568" s="621"/>
      <c r="GMA568" s="621"/>
      <c r="GME568" s="621"/>
      <c r="GMI568" s="621"/>
      <c r="GMM568" s="621"/>
      <c r="GMQ568" s="621"/>
      <c r="GMU568" s="621"/>
      <c r="GMY568" s="621"/>
      <c r="GNC568" s="621"/>
      <c r="GNG568" s="621"/>
      <c r="GNK568" s="621"/>
      <c r="GNO568" s="621"/>
      <c r="GNS568" s="621"/>
      <c r="GNW568" s="621"/>
      <c r="GOA568" s="621"/>
      <c r="GOE568" s="621"/>
      <c r="GOI568" s="621"/>
      <c r="GOM568" s="621"/>
      <c r="GOQ568" s="621"/>
      <c r="GOU568" s="621"/>
      <c r="GOY568" s="621"/>
      <c r="GPC568" s="621"/>
      <c r="GPG568" s="621"/>
      <c r="GPK568" s="621"/>
      <c r="GPO568" s="621"/>
      <c r="GPS568" s="621"/>
      <c r="GPW568" s="621"/>
      <c r="GQA568" s="621"/>
      <c r="GQE568" s="621"/>
      <c r="GQI568" s="621"/>
      <c r="GQM568" s="621"/>
      <c r="GQQ568" s="621"/>
      <c r="GQU568" s="621"/>
      <c r="GQY568" s="621"/>
      <c r="GRC568" s="621"/>
      <c r="GRG568" s="621"/>
      <c r="GRK568" s="621"/>
      <c r="GRO568" s="621"/>
      <c r="GRS568" s="621"/>
      <c r="GRW568" s="621"/>
      <c r="GSA568" s="621"/>
      <c r="GSE568" s="621"/>
      <c r="GSI568" s="621"/>
      <c r="GSM568" s="621"/>
      <c r="GSQ568" s="621"/>
      <c r="GSU568" s="621"/>
      <c r="GSY568" s="621"/>
      <c r="GTC568" s="621"/>
      <c r="GTG568" s="621"/>
      <c r="GTK568" s="621"/>
      <c r="GTO568" s="621"/>
      <c r="GTS568" s="621"/>
      <c r="GTW568" s="621"/>
      <c r="GUA568" s="621"/>
      <c r="GUE568" s="621"/>
      <c r="GUI568" s="621"/>
      <c r="GUM568" s="621"/>
      <c r="GUQ568" s="621"/>
      <c r="GUU568" s="621"/>
      <c r="GUY568" s="621"/>
      <c r="GVC568" s="621"/>
      <c r="GVG568" s="621"/>
      <c r="GVK568" s="621"/>
      <c r="GVO568" s="621"/>
      <c r="GVS568" s="621"/>
      <c r="GVW568" s="621"/>
      <c r="GWA568" s="621"/>
      <c r="GWE568" s="621"/>
      <c r="GWI568" s="621"/>
      <c r="GWM568" s="621"/>
      <c r="GWQ568" s="621"/>
      <c r="GWU568" s="621"/>
      <c r="GWY568" s="621"/>
      <c r="GXC568" s="621"/>
      <c r="GXG568" s="621"/>
      <c r="GXK568" s="621"/>
      <c r="GXO568" s="621"/>
      <c r="GXS568" s="621"/>
      <c r="GXW568" s="621"/>
      <c r="GYA568" s="621"/>
      <c r="GYE568" s="621"/>
      <c r="GYI568" s="621"/>
      <c r="GYM568" s="621"/>
      <c r="GYQ568" s="621"/>
      <c r="GYU568" s="621"/>
      <c r="GYY568" s="621"/>
      <c r="GZC568" s="621"/>
      <c r="GZG568" s="621"/>
      <c r="GZK568" s="621"/>
      <c r="GZO568" s="621"/>
      <c r="GZS568" s="621"/>
      <c r="GZW568" s="621"/>
      <c r="HAA568" s="621"/>
      <c r="HAE568" s="621"/>
      <c r="HAI568" s="621"/>
      <c r="HAM568" s="621"/>
      <c r="HAQ568" s="621"/>
      <c r="HAU568" s="621"/>
      <c r="HAY568" s="621"/>
      <c r="HBC568" s="621"/>
      <c r="HBG568" s="621"/>
      <c r="HBK568" s="621"/>
      <c r="HBO568" s="621"/>
      <c r="HBS568" s="621"/>
      <c r="HBW568" s="621"/>
      <c r="HCA568" s="621"/>
      <c r="HCE568" s="621"/>
      <c r="HCI568" s="621"/>
      <c r="HCM568" s="621"/>
      <c r="HCQ568" s="621"/>
      <c r="HCU568" s="621"/>
      <c r="HCY568" s="621"/>
      <c r="HDC568" s="621"/>
      <c r="HDG568" s="621"/>
      <c r="HDK568" s="621"/>
      <c r="HDO568" s="621"/>
      <c r="HDS568" s="621"/>
      <c r="HDW568" s="621"/>
      <c r="HEA568" s="621"/>
      <c r="HEE568" s="621"/>
      <c r="HEI568" s="621"/>
      <c r="HEM568" s="621"/>
      <c r="HEQ568" s="621"/>
      <c r="HEU568" s="621"/>
      <c r="HEY568" s="621"/>
      <c r="HFC568" s="621"/>
      <c r="HFG568" s="621"/>
      <c r="HFK568" s="621"/>
      <c r="HFO568" s="621"/>
      <c r="HFS568" s="621"/>
      <c r="HFW568" s="621"/>
      <c r="HGA568" s="621"/>
      <c r="HGE568" s="621"/>
      <c r="HGI568" s="621"/>
      <c r="HGM568" s="621"/>
      <c r="HGQ568" s="621"/>
      <c r="HGU568" s="621"/>
      <c r="HGY568" s="621"/>
      <c r="HHC568" s="621"/>
      <c r="HHG568" s="621"/>
      <c r="HHK568" s="621"/>
      <c r="HHO568" s="621"/>
      <c r="HHS568" s="621"/>
      <c r="HHW568" s="621"/>
      <c r="HIA568" s="621"/>
      <c r="HIE568" s="621"/>
      <c r="HII568" s="621"/>
      <c r="HIM568" s="621"/>
      <c r="HIQ568" s="621"/>
      <c r="HIU568" s="621"/>
      <c r="HIY568" s="621"/>
      <c r="HJC568" s="621"/>
      <c r="HJG568" s="621"/>
      <c r="HJK568" s="621"/>
      <c r="HJO568" s="621"/>
      <c r="HJS568" s="621"/>
      <c r="HJW568" s="621"/>
      <c r="HKA568" s="621"/>
      <c r="HKE568" s="621"/>
      <c r="HKI568" s="621"/>
      <c r="HKM568" s="621"/>
      <c r="HKQ568" s="621"/>
      <c r="HKU568" s="621"/>
      <c r="HKY568" s="621"/>
      <c r="HLC568" s="621"/>
      <c r="HLG568" s="621"/>
      <c r="HLK568" s="621"/>
      <c r="HLO568" s="621"/>
      <c r="HLS568" s="621"/>
      <c r="HLW568" s="621"/>
      <c r="HMA568" s="621"/>
      <c r="HME568" s="621"/>
      <c r="HMI568" s="621"/>
      <c r="HMM568" s="621"/>
      <c r="HMQ568" s="621"/>
      <c r="HMU568" s="621"/>
      <c r="HMY568" s="621"/>
      <c r="HNC568" s="621"/>
      <c r="HNG568" s="621"/>
      <c r="HNK568" s="621"/>
      <c r="HNO568" s="621"/>
      <c r="HNS568" s="621"/>
      <c r="HNW568" s="621"/>
      <c r="HOA568" s="621"/>
      <c r="HOE568" s="621"/>
      <c r="HOI568" s="621"/>
      <c r="HOM568" s="621"/>
      <c r="HOQ568" s="621"/>
      <c r="HOU568" s="621"/>
      <c r="HOY568" s="621"/>
      <c r="HPC568" s="621"/>
      <c r="HPG568" s="621"/>
      <c r="HPK568" s="621"/>
      <c r="HPO568" s="621"/>
      <c r="HPS568" s="621"/>
      <c r="HPW568" s="621"/>
      <c r="HQA568" s="621"/>
      <c r="HQE568" s="621"/>
      <c r="HQI568" s="621"/>
      <c r="HQM568" s="621"/>
      <c r="HQQ568" s="621"/>
      <c r="HQU568" s="621"/>
      <c r="HQY568" s="621"/>
      <c r="HRC568" s="621"/>
      <c r="HRG568" s="621"/>
      <c r="HRK568" s="621"/>
      <c r="HRO568" s="621"/>
      <c r="HRS568" s="621"/>
      <c r="HRW568" s="621"/>
      <c r="HSA568" s="621"/>
      <c r="HSE568" s="621"/>
      <c r="HSI568" s="621"/>
      <c r="HSM568" s="621"/>
      <c r="HSQ568" s="621"/>
      <c r="HSU568" s="621"/>
      <c r="HSY568" s="621"/>
      <c r="HTC568" s="621"/>
      <c r="HTG568" s="621"/>
      <c r="HTK568" s="621"/>
      <c r="HTO568" s="621"/>
      <c r="HTS568" s="621"/>
      <c r="HTW568" s="621"/>
      <c r="HUA568" s="621"/>
      <c r="HUE568" s="621"/>
      <c r="HUI568" s="621"/>
      <c r="HUM568" s="621"/>
      <c r="HUQ568" s="621"/>
      <c r="HUU568" s="621"/>
      <c r="HUY568" s="621"/>
      <c r="HVC568" s="621"/>
      <c r="HVG568" s="621"/>
      <c r="HVK568" s="621"/>
      <c r="HVO568" s="621"/>
      <c r="HVS568" s="621"/>
      <c r="HVW568" s="621"/>
      <c r="HWA568" s="621"/>
      <c r="HWE568" s="621"/>
      <c r="HWI568" s="621"/>
      <c r="HWM568" s="621"/>
      <c r="HWQ568" s="621"/>
      <c r="HWU568" s="621"/>
      <c r="HWY568" s="621"/>
      <c r="HXC568" s="621"/>
      <c r="HXG568" s="621"/>
      <c r="HXK568" s="621"/>
      <c r="HXO568" s="621"/>
      <c r="HXS568" s="621"/>
      <c r="HXW568" s="621"/>
      <c r="HYA568" s="621"/>
      <c r="HYE568" s="621"/>
      <c r="HYI568" s="621"/>
      <c r="HYM568" s="621"/>
      <c r="HYQ568" s="621"/>
      <c r="HYU568" s="621"/>
      <c r="HYY568" s="621"/>
      <c r="HZC568" s="621"/>
      <c r="HZG568" s="621"/>
      <c r="HZK568" s="621"/>
      <c r="HZO568" s="621"/>
      <c r="HZS568" s="621"/>
      <c r="HZW568" s="621"/>
      <c r="IAA568" s="621"/>
      <c r="IAE568" s="621"/>
      <c r="IAI568" s="621"/>
      <c r="IAM568" s="621"/>
      <c r="IAQ568" s="621"/>
      <c r="IAU568" s="621"/>
      <c r="IAY568" s="621"/>
      <c r="IBC568" s="621"/>
      <c r="IBG568" s="621"/>
      <c r="IBK568" s="621"/>
      <c r="IBO568" s="621"/>
      <c r="IBS568" s="621"/>
      <c r="IBW568" s="621"/>
      <c r="ICA568" s="621"/>
      <c r="ICE568" s="621"/>
      <c r="ICI568" s="621"/>
      <c r="ICM568" s="621"/>
      <c r="ICQ568" s="621"/>
      <c r="ICU568" s="621"/>
      <c r="ICY568" s="621"/>
      <c r="IDC568" s="621"/>
      <c r="IDG568" s="621"/>
      <c r="IDK568" s="621"/>
      <c r="IDO568" s="621"/>
      <c r="IDS568" s="621"/>
      <c r="IDW568" s="621"/>
      <c r="IEA568" s="621"/>
      <c r="IEE568" s="621"/>
      <c r="IEI568" s="621"/>
      <c r="IEM568" s="621"/>
      <c r="IEQ568" s="621"/>
      <c r="IEU568" s="621"/>
      <c r="IEY568" s="621"/>
      <c r="IFC568" s="621"/>
      <c r="IFG568" s="621"/>
      <c r="IFK568" s="621"/>
      <c r="IFO568" s="621"/>
      <c r="IFS568" s="621"/>
      <c r="IFW568" s="621"/>
      <c r="IGA568" s="621"/>
      <c r="IGE568" s="621"/>
      <c r="IGI568" s="621"/>
      <c r="IGM568" s="621"/>
      <c r="IGQ568" s="621"/>
      <c r="IGU568" s="621"/>
      <c r="IGY568" s="621"/>
      <c r="IHC568" s="621"/>
      <c r="IHG568" s="621"/>
      <c r="IHK568" s="621"/>
      <c r="IHO568" s="621"/>
      <c r="IHS568" s="621"/>
      <c r="IHW568" s="621"/>
      <c r="IIA568" s="621"/>
      <c r="IIE568" s="621"/>
      <c r="III568" s="621"/>
      <c r="IIM568" s="621"/>
      <c r="IIQ568" s="621"/>
      <c r="IIU568" s="621"/>
      <c r="IIY568" s="621"/>
      <c r="IJC568" s="621"/>
      <c r="IJG568" s="621"/>
      <c r="IJK568" s="621"/>
      <c r="IJO568" s="621"/>
      <c r="IJS568" s="621"/>
      <c r="IJW568" s="621"/>
      <c r="IKA568" s="621"/>
      <c r="IKE568" s="621"/>
      <c r="IKI568" s="621"/>
      <c r="IKM568" s="621"/>
      <c r="IKQ568" s="621"/>
      <c r="IKU568" s="621"/>
      <c r="IKY568" s="621"/>
      <c r="ILC568" s="621"/>
      <c r="ILG568" s="621"/>
      <c r="ILK568" s="621"/>
      <c r="ILO568" s="621"/>
      <c r="ILS568" s="621"/>
      <c r="ILW568" s="621"/>
      <c r="IMA568" s="621"/>
      <c r="IME568" s="621"/>
      <c r="IMI568" s="621"/>
      <c r="IMM568" s="621"/>
      <c r="IMQ568" s="621"/>
      <c r="IMU568" s="621"/>
      <c r="IMY568" s="621"/>
      <c r="INC568" s="621"/>
      <c r="ING568" s="621"/>
      <c r="INK568" s="621"/>
      <c r="INO568" s="621"/>
      <c r="INS568" s="621"/>
      <c r="INW568" s="621"/>
      <c r="IOA568" s="621"/>
      <c r="IOE568" s="621"/>
      <c r="IOI568" s="621"/>
      <c r="IOM568" s="621"/>
      <c r="IOQ568" s="621"/>
      <c r="IOU568" s="621"/>
      <c r="IOY568" s="621"/>
      <c r="IPC568" s="621"/>
      <c r="IPG568" s="621"/>
      <c r="IPK568" s="621"/>
      <c r="IPO568" s="621"/>
      <c r="IPS568" s="621"/>
      <c r="IPW568" s="621"/>
      <c r="IQA568" s="621"/>
      <c r="IQE568" s="621"/>
      <c r="IQI568" s="621"/>
      <c r="IQM568" s="621"/>
      <c r="IQQ568" s="621"/>
      <c r="IQU568" s="621"/>
      <c r="IQY568" s="621"/>
      <c r="IRC568" s="621"/>
      <c r="IRG568" s="621"/>
      <c r="IRK568" s="621"/>
      <c r="IRO568" s="621"/>
      <c r="IRS568" s="621"/>
      <c r="IRW568" s="621"/>
      <c r="ISA568" s="621"/>
      <c r="ISE568" s="621"/>
      <c r="ISI568" s="621"/>
      <c r="ISM568" s="621"/>
      <c r="ISQ568" s="621"/>
      <c r="ISU568" s="621"/>
      <c r="ISY568" s="621"/>
      <c r="ITC568" s="621"/>
      <c r="ITG568" s="621"/>
      <c r="ITK568" s="621"/>
      <c r="ITO568" s="621"/>
      <c r="ITS568" s="621"/>
      <c r="ITW568" s="621"/>
      <c r="IUA568" s="621"/>
      <c r="IUE568" s="621"/>
      <c r="IUI568" s="621"/>
      <c r="IUM568" s="621"/>
      <c r="IUQ568" s="621"/>
      <c r="IUU568" s="621"/>
      <c r="IUY568" s="621"/>
      <c r="IVC568" s="621"/>
      <c r="IVG568" s="621"/>
      <c r="IVK568" s="621"/>
      <c r="IVO568" s="621"/>
      <c r="IVS568" s="621"/>
      <c r="IVW568" s="621"/>
      <c r="IWA568" s="621"/>
      <c r="IWE568" s="621"/>
      <c r="IWI568" s="621"/>
      <c r="IWM568" s="621"/>
      <c r="IWQ568" s="621"/>
      <c r="IWU568" s="621"/>
      <c r="IWY568" s="621"/>
      <c r="IXC568" s="621"/>
      <c r="IXG568" s="621"/>
      <c r="IXK568" s="621"/>
      <c r="IXO568" s="621"/>
      <c r="IXS568" s="621"/>
      <c r="IXW568" s="621"/>
      <c r="IYA568" s="621"/>
      <c r="IYE568" s="621"/>
      <c r="IYI568" s="621"/>
      <c r="IYM568" s="621"/>
      <c r="IYQ568" s="621"/>
      <c r="IYU568" s="621"/>
      <c r="IYY568" s="621"/>
      <c r="IZC568" s="621"/>
      <c r="IZG568" s="621"/>
      <c r="IZK568" s="621"/>
      <c r="IZO568" s="621"/>
      <c r="IZS568" s="621"/>
      <c r="IZW568" s="621"/>
      <c r="JAA568" s="621"/>
      <c r="JAE568" s="621"/>
      <c r="JAI568" s="621"/>
      <c r="JAM568" s="621"/>
      <c r="JAQ568" s="621"/>
      <c r="JAU568" s="621"/>
      <c r="JAY568" s="621"/>
      <c r="JBC568" s="621"/>
      <c r="JBG568" s="621"/>
      <c r="JBK568" s="621"/>
      <c r="JBO568" s="621"/>
      <c r="JBS568" s="621"/>
      <c r="JBW568" s="621"/>
      <c r="JCA568" s="621"/>
      <c r="JCE568" s="621"/>
      <c r="JCI568" s="621"/>
      <c r="JCM568" s="621"/>
      <c r="JCQ568" s="621"/>
      <c r="JCU568" s="621"/>
      <c r="JCY568" s="621"/>
      <c r="JDC568" s="621"/>
      <c r="JDG568" s="621"/>
      <c r="JDK568" s="621"/>
      <c r="JDO568" s="621"/>
      <c r="JDS568" s="621"/>
      <c r="JDW568" s="621"/>
      <c r="JEA568" s="621"/>
      <c r="JEE568" s="621"/>
      <c r="JEI568" s="621"/>
      <c r="JEM568" s="621"/>
      <c r="JEQ568" s="621"/>
      <c r="JEU568" s="621"/>
      <c r="JEY568" s="621"/>
      <c r="JFC568" s="621"/>
      <c r="JFG568" s="621"/>
      <c r="JFK568" s="621"/>
      <c r="JFO568" s="621"/>
      <c r="JFS568" s="621"/>
      <c r="JFW568" s="621"/>
      <c r="JGA568" s="621"/>
      <c r="JGE568" s="621"/>
      <c r="JGI568" s="621"/>
      <c r="JGM568" s="621"/>
      <c r="JGQ568" s="621"/>
      <c r="JGU568" s="621"/>
      <c r="JGY568" s="621"/>
      <c r="JHC568" s="621"/>
      <c r="JHG568" s="621"/>
      <c r="JHK568" s="621"/>
      <c r="JHO568" s="621"/>
      <c r="JHS568" s="621"/>
      <c r="JHW568" s="621"/>
      <c r="JIA568" s="621"/>
      <c r="JIE568" s="621"/>
      <c r="JII568" s="621"/>
      <c r="JIM568" s="621"/>
      <c r="JIQ568" s="621"/>
      <c r="JIU568" s="621"/>
      <c r="JIY568" s="621"/>
      <c r="JJC568" s="621"/>
      <c r="JJG568" s="621"/>
      <c r="JJK568" s="621"/>
      <c r="JJO568" s="621"/>
      <c r="JJS568" s="621"/>
      <c r="JJW568" s="621"/>
      <c r="JKA568" s="621"/>
      <c r="JKE568" s="621"/>
      <c r="JKI568" s="621"/>
      <c r="JKM568" s="621"/>
      <c r="JKQ568" s="621"/>
      <c r="JKU568" s="621"/>
      <c r="JKY568" s="621"/>
      <c r="JLC568" s="621"/>
      <c r="JLG568" s="621"/>
      <c r="JLK568" s="621"/>
      <c r="JLO568" s="621"/>
      <c r="JLS568" s="621"/>
      <c r="JLW568" s="621"/>
      <c r="JMA568" s="621"/>
      <c r="JME568" s="621"/>
      <c r="JMI568" s="621"/>
      <c r="JMM568" s="621"/>
      <c r="JMQ568" s="621"/>
      <c r="JMU568" s="621"/>
      <c r="JMY568" s="621"/>
      <c r="JNC568" s="621"/>
      <c r="JNG568" s="621"/>
      <c r="JNK568" s="621"/>
      <c r="JNO568" s="621"/>
      <c r="JNS568" s="621"/>
      <c r="JNW568" s="621"/>
      <c r="JOA568" s="621"/>
      <c r="JOE568" s="621"/>
      <c r="JOI568" s="621"/>
      <c r="JOM568" s="621"/>
      <c r="JOQ568" s="621"/>
      <c r="JOU568" s="621"/>
      <c r="JOY568" s="621"/>
      <c r="JPC568" s="621"/>
      <c r="JPG568" s="621"/>
      <c r="JPK568" s="621"/>
      <c r="JPO568" s="621"/>
      <c r="JPS568" s="621"/>
      <c r="JPW568" s="621"/>
      <c r="JQA568" s="621"/>
      <c r="JQE568" s="621"/>
      <c r="JQI568" s="621"/>
      <c r="JQM568" s="621"/>
      <c r="JQQ568" s="621"/>
      <c r="JQU568" s="621"/>
      <c r="JQY568" s="621"/>
      <c r="JRC568" s="621"/>
      <c r="JRG568" s="621"/>
      <c r="JRK568" s="621"/>
      <c r="JRO568" s="621"/>
      <c r="JRS568" s="621"/>
      <c r="JRW568" s="621"/>
      <c r="JSA568" s="621"/>
      <c r="JSE568" s="621"/>
      <c r="JSI568" s="621"/>
      <c r="JSM568" s="621"/>
      <c r="JSQ568" s="621"/>
      <c r="JSU568" s="621"/>
      <c r="JSY568" s="621"/>
      <c r="JTC568" s="621"/>
      <c r="JTG568" s="621"/>
      <c r="JTK568" s="621"/>
      <c r="JTO568" s="621"/>
      <c r="JTS568" s="621"/>
      <c r="JTW568" s="621"/>
      <c r="JUA568" s="621"/>
      <c r="JUE568" s="621"/>
      <c r="JUI568" s="621"/>
      <c r="JUM568" s="621"/>
      <c r="JUQ568" s="621"/>
      <c r="JUU568" s="621"/>
      <c r="JUY568" s="621"/>
      <c r="JVC568" s="621"/>
      <c r="JVG568" s="621"/>
      <c r="JVK568" s="621"/>
      <c r="JVO568" s="621"/>
      <c r="JVS568" s="621"/>
      <c r="JVW568" s="621"/>
      <c r="JWA568" s="621"/>
      <c r="JWE568" s="621"/>
      <c r="JWI568" s="621"/>
      <c r="JWM568" s="621"/>
      <c r="JWQ568" s="621"/>
      <c r="JWU568" s="621"/>
      <c r="JWY568" s="621"/>
      <c r="JXC568" s="621"/>
      <c r="JXG568" s="621"/>
      <c r="JXK568" s="621"/>
      <c r="JXO568" s="621"/>
      <c r="JXS568" s="621"/>
      <c r="JXW568" s="621"/>
      <c r="JYA568" s="621"/>
      <c r="JYE568" s="621"/>
      <c r="JYI568" s="621"/>
      <c r="JYM568" s="621"/>
      <c r="JYQ568" s="621"/>
      <c r="JYU568" s="621"/>
      <c r="JYY568" s="621"/>
      <c r="JZC568" s="621"/>
      <c r="JZG568" s="621"/>
      <c r="JZK568" s="621"/>
      <c r="JZO568" s="621"/>
      <c r="JZS568" s="621"/>
      <c r="JZW568" s="621"/>
      <c r="KAA568" s="621"/>
      <c r="KAE568" s="621"/>
      <c r="KAI568" s="621"/>
      <c r="KAM568" s="621"/>
      <c r="KAQ568" s="621"/>
      <c r="KAU568" s="621"/>
      <c r="KAY568" s="621"/>
      <c r="KBC568" s="621"/>
      <c r="KBG568" s="621"/>
      <c r="KBK568" s="621"/>
      <c r="KBO568" s="621"/>
      <c r="KBS568" s="621"/>
      <c r="KBW568" s="621"/>
      <c r="KCA568" s="621"/>
      <c r="KCE568" s="621"/>
      <c r="KCI568" s="621"/>
      <c r="KCM568" s="621"/>
      <c r="KCQ568" s="621"/>
      <c r="KCU568" s="621"/>
      <c r="KCY568" s="621"/>
      <c r="KDC568" s="621"/>
      <c r="KDG568" s="621"/>
      <c r="KDK568" s="621"/>
      <c r="KDO568" s="621"/>
      <c r="KDS568" s="621"/>
      <c r="KDW568" s="621"/>
      <c r="KEA568" s="621"/>
      <c r="KEE568" s="621"/>
      <c r="KEI568" s="621"/>
      <c r="KEM568" s="621"/>
      <c r="KEQ568" s="621"/>
      <c r="KEU568" s="621"/>
      <c r="KEY568" s="621"/>
      <c r="KFC568" s="621"/>
      <c r="KFG568" s="621"/>
      <c r="KFK568" s="621"/>
      <c r="KFO568" s="621"/>
      <c r="KFS568" s="621"/>
      <c r="KFW568" s="621"/>
      <c r="KGA568" s="621"/>
      <c r="KGE568" s="621"/>
      <c r="KGI568" s="621"/>
      <c r="KGM568" s="621"/>
      <c r="KGQ568" s="621"/>
      <c r="KGU568" s="621"/>
      <c r="KGY568" s="621"/>
      <c r="KHC568" s="621"/>
      <c r="KHG568" s="621"/>
      <c r="KHK568" s="621"/>
      <c r="KHO568" s="621"/>
      <c r="KHS568" s="621"/>
      <c r="KHW568" s="621"/>
      <c r="KIA568" s="621"/>
      <c r="KIE568" s="621"/>
      <c r="KII568" s="621"/>
      <c r="KIM568" s="621"/>
      <c r="KIQ568" s="621"/>
      <c r="KIU568" s="621"/>
      <c r="KIY568" s="621"/>
      <c r="KJC568" s="621"/>
      <c r="KJG568" s="621"/>
      <c r="KJK568" s="621"/>
      <c r="KJO568" s="621"/>
      <c r="KJS568" s="621"/>
      <c r="KJW568" s="621"/>
      <c r="KKA568" s="621"/>
      <c r="KKE568" s="621"/>
      <c r="KKI568" s="621"/>
      <c r="KKM568" s="621"/>
      <c r="KKQ568" s="621"/>
      <c r="KKU568" s="621"/>
      <c r="KKY568" s="621"/>
      <c r="KLC568" s="621"/>
      <c r="KLG568" s="621"/>
      <c r="KLK568" s="621"/>
      <c r="KLO568" s="621"/>
      <c r="KLS568" s="621"/>
      <c r="KLW568" s="621"/>
      <c r="KMA568" s="621"/>
      <c r="KME568" s="621"/>
      <c r="KMI568" s="621"/>
      <c r="KMM568" s="621"/>
      <c r="KMQ568" s="621"/>
      <c r="KMU568" s="621"/>
      <c r="KMY568" s="621"/>
      <c r="KNC568" s="621"/>
      <c r="KNG568" s="621"/>
      <c r="KNK568" s="621"/>
      <c r="KNO568" s="621"/>
      <c r="KNS568" s="621"/>
      <c r="KNW568" s="621"/>
      <c r="KOA568" s="621"/>
      <c r="KOE568" s="621"/>
      <c r="KOI568" s="621"/>
      <c r="KOM568" s="621"/>
      <c r="KOQ568" s="621"/>
      <c r="KOU568" s="621"/>
      <c r="KOY568" s="621"/>
      <c r="KPC568" s="621"/>
      <c r="KPG568" s="621"/>
      <c r="KPK568" s="621"/>
      <c r="KPO568" s="621"/>
      <c r="KPS568" s="621"/>
      <c r="KPW568" s="621"/>
      <c r="KQA568" s="621"/>
      <c r="KQE568" s="621"/>
      <c r="KQI568" s="621"/>
      <c r="KQM568" s="621"/>
      <c r="KQQ568" s="621"/>
      <c r="KQU568" s="621"/>
      <c r="KQY568" s="621"/>
      <c r="KRC568" s="621"/>
      <c r="KRG568" s="621"/>
      <c r="KRK568" s="621"/>
      <c r="KRO568" s="621"/>
      <c r="KRS568" s="621"/>
      <c r="KRW568" s="621"/>
      <c r="KSA568" s="621"/>
      <c r="KSE568" s="621"/>
      <c r="KSI568" s="621"/>
      <c r="KSM568" s="621"/>
      <c r="KSQ568" s="621"/>
      <c r="KSU568" s="621"/>
      <c r="KSY568" s="621"/>
      <c r="KTC568" s="621"/>
      <c r="KTG568" s="621"/>
      <c r="KTK568" s="621"/>
      <c r="KTO568" s="621"/>
      <c r="KTS568" s="621"/>
      <c r="KTW568" s="621"/>
      <c r="KUA568" s="621"/>
      <c r="KUE568" s="621"/>
      <c r="KUI568" s="621"/>
      <c r="KUM568" s="621"/>
      <c r="KUQ568" s="621"/>
      <c r="KUU568" s="621"/>
      <c r="KUY568" s="621"/>
      <c r="KVC568" s="621"/>
      <c r="KVG568" s="621"/>
      <c r="KVK568" s="621"/>
      <c r="KVO568" s="621"/>
      <c r="KVS568" s="621"/>
      <c r="KVW568" s="621"/>
      <c r="KWA568" s="621"/>
      <c r="KWE568" s="621"/>
      <c r="KWI568" s="621"/>
      <c r="KWM568" s="621"/>
      <c r="KWQ568" s="621"/>
      <c r="KWU568" s="621"/>
      <c r="KWY568" s="621"/>
      <c r="KXC568" s="621"/>
      <c r="KXG568" s="621"/>
      <c r="KXK568" s="621"/>
      <c r="KXO568" s="621"/>
      <c r="KXS568" s="621"/>
      <c r="KXW568" s="621"/>
      <c r="KYA568" s="621"/>
      <c r="KYE568" s="621"/>
      <c r="KYI568" s="621"/>
      <c r="KYM568" s="621"/>
      <c r="KYQ568" s="621"/>
      <c r="KYU568" s="621"/>
      <c r="KYY568" s="621"/>
      <c r="KZC568" s="621"/>
      <c r="KZG568" s="621"/>
      <c r="KZK568" s="621"/>
      <c r="KZO568" s="621"/>
      <c r="KZS568" s="621"/>
      <c r="KZW568" s="621"/>
      <c r="LAA568" s="621"/>
      <c r="LAE568" s="621"/>
      <c r="LAI568" s="621"/>
      <c r="LAM568" s="621"/>
      <c r="LAQ568" s="621"/>
      <c r="LAU568" s="621"/>
      <c r="LAY568" s="621"/>
      <c r="LBC568" s="621"/>
      <c r="LBG568" s="621"/>
      <c r="LBK568" s="621"/>
      <c r="LBO568" s="621"/>
      <c r="LBS568" s="621"/>
      <c r="LBW568" s="621"/>
      <c r="LCA568" s="621"/>
      <c r="LCE568" s="621"/>
      <c r="LCI568" s="621"/>
      <c r="LCM568" s="621"/>
      <c r="LCQ568" s="621"/>
      <c r="LCU568" s="621"/>
      <c r="LCY568" s="621"/>
      <c r="LDC568" s="621"/>
      <c r="LDG568" s="621"/>
      <c r="LDK568" s="621"/>
      <c r="LDO568" s="621"/>
      <c r="LDS568" s="621"/>
      <c r="LDW568" s="621"/>
      <c r="LEA568" s="621"/>
      <c r="LEE568" s="621"/>
      <c r="LEI568" s="621"/>
      <c r="LEM568" s="621"/>
      <c r="LEQ568" s="621"/>
      <c r="LEU568" s="621"/>
      <c r="LEY568" s="621"/>
      <c r="LFC568" s="621"/>
      <c r="LFG568" s="621"/>
      <c r="LFK568" s="621"/>
      <c r="LFO568" s="621"/>
      <c r="LFS568" s="621"/>
      <c r="LFW568" s="621"/>
      <c r="LGA568" s="621"/>
      <c r="LGE568" s="621"/>
      <c r="LGI568" s="621"/>
      <c r="LGM568" s="621"/>
      <c r="LGQ568" s="621"/>
      <c r="LGU568" s="621"/>
      <c r="LGY568" s="621"/>
      <c r="LHC568" s="621"/>
      <c r="LHG568" s="621"/>
      <c r="LHK568" s="621"/>
      <c r="LHO568" s="621"/>
      <c r="LHS568" s="621"/>
      <c r="LHW568" s="621"/>
      <c r="LIA568" s="621"/>
      <c r="LIE568" s="621"/>
      <c r="LII568" s="621"/>
      <c r="LIM568" s="621"/>
      <c r="LIQ568" s="621"/>
      <c r="LIU568" s="621"/>
      <c r="LIY568" s="621"/>
      <c r="LJC568" s="621"/>
      <c r="LJG568" s="621"/>
      <c r="LJK568" s="621"/>
      <c r="LJO568" s="621"/>
      <c r="LJS568" s="621"/>
      <c r="LJW568" s="621"/>
      <c r="LKA568" s="621"/>
      <c r="LKE568" s="621"/>
      <c r="LKI568" s="621"/>
      <c r="LKM568" s="621"/>
      <c r="LKQ568" s="621"/>
      <c r="LKU568" s="621"/>
      <c r="LKY568" s="621"/>
      <c r="LLC568" s="621"/>
      <c r="LLG568" s="621"/>
      <c r="LLK568" s="621"/>
      <c r="LLO568" s="621"/>
      <c r="LLS568" s="621"/>
      <c r="LLW568" s="621"/>
      <c r="LMA568" s="621"/>
      <c r="LME568" s="621"/>
      <c r="LMI568" s="621"/>
      <c r="LMM568" s="621"/>
      <c r="LMQ568" s="621"/>
      <c r="LMU568" s="621"/>
      <c r="LMY568" s="621"/>
      <c r="LNC568" s="621"/>
      <c r="LNG568" s="621"/>
      <c r="LNK568" s="621"/>
      <c r="LNO568" s="621"/>
      <c r="LNS568" s="621"/>
      <c r="LNW568" s="621"/>
      <c r="LOA568" s="621"/>
      <c r="LOE568" s="621"/>
      <c r="LOI568" s="621"/>
      <c r="LOM568" s="621"/>
      <c r="LOQ568" s="621"/>
      <c r="LOU568" s="621"/>
      <c r="LOY568" s="621"/>
      <c r="LPC568" s="621"/>
      <c r="LPG568" s="621"/>
      <c r="LPK568" s="621"/>
      <c r="LPO568" s="621"/>
      <c r="LPS568" s="621"/>
      <c r="LPW568" s="621"/>
      <c r="LQA568" s="621"/>
      <c r="LQE568" s="621"/>
      <c r="LQI568" s="621"/>
      <c r="LQM568" s="621"/>
      <c r="LQQ568" s="621"/>
      <c r="LQU568" s="621"/>
      <c r="LQY568" s="621"/>
      <c r="LRC568" s="621"/>
      <c r="LRG568" s="621"/>
      <c r="LRK568" s="621"/>
      <c r="LRO568" s="621"/>
      <c r="LRS568" s="621"/>
      <c r="LRW568" s="621"/>
      <c r="LSA568" s="621"/>
      <c r="LSE568" s="621"/>
      <c r="LSI568" s="621"/>
      <c r="LSM568" s="621"/>
      <c r="LSQ568" s="621"/>
      <c r="LSU568" s="621"/>
      <c r="LSY568" s="621"/>
      <c r="LTC568" s="621"/>
      <c r="LTG568" s="621"/>
      <c r="LTK568" s="621"/>
      <c r="LTO568" s="621"/>
      <c r="LTS568" s="621"/>
      <c r="LTW568" s="621"/>
      <c r="LUA568" s="621"/>
      <c r="LUE568" s="621"/>
      <c r="LUI568" s="621"/>
      <c r="LUM568" s="621"/>
      <c r="LUQ568" s="621"/>
      <c r="LUU568" s="621"/>
      <c r="LUY568" s="621"/>
      <c r="LVC568" s="621"/>
      <c r="LVG568" s="621"/>
      <c r="LVK568" s="621"/>
      <c r="LVO568" s="621"/>
      <c r="LVS568" s="621"/>
      <c r="LVW568" s="621"/>
      <c r="LWA568" s="621"/>
      <c r="LWE568" s="621"/>
      <c r="LWI568" s="621"/>
      <c r="LWM568" s="621"/>
      <c r="LWQ568" s="621"/>
      <c r="LWU568" s="621"/>
      <c r="LWY568" s="621"/>
      <c r="LXC568" s="621"/>
      <c r="LXG568" s="621"/>
      <c r="LXK568" s="621"/>
      <c r="LXO568" s="621"/>
      <c r="LXS568" s="621"/>
      <c r="LXW568" s="621"/>
      <c r="LYA568" s="621"/>
      <c r="LYE568" s="621"/>
      <c r="LYI568" s="621"/>
      <c r="LYM568" s="621"/>
      <c r="LYQ568" s="621"/>
      <c r="LYU568" s="621"/>
      <c r="LYY568" s="621"/>
      <c r="LZC568" s="621"/>
      <c r="LZG568" s="621"/>
      <c r="LZK568" s="621"/>
      <c r="LZO568" s="621"/>
      <c r="LZS568" s="621"/>
      <c r="LZW568" s="621"/>
      <c r="MAA568" s="621"/>
      <c r="MAE568" s="621"/>
      <c r="MAI568" s="621"/>
      <c r="MAM568" s="621"/>
      <c r="MAQ568" s="621"/>
      <c r="MAU568" s="621"/>
      <c r="MAY568" s="621"/>
      <c r="MBC568" s="621"/>
      <c r="MBG568" s="621"/>
      <c r="MBK568" s="621"/>
      <c r="MBO568" s="621"/>
      <c r="MBS568" s="621"/>
      <c r="MBW568" s="621"/>
      <c r="MCA568" s="621"/>
      <c r="MCE568" s="621"/>
      <c r="MCI568" s="621"/>
      <c r="MCM568" s="621"/>
      <c r="MCQ568" s="621"/>
      <c r="MCU568" s="621"/>
      <c r="MCY568" s="621"/>
      <c r="MDC568" s="621"/>
      <c r="MDG568" s="621"/>
      <c r="MDK568" s="621"/>
      <c r="MDO568" s="621"/>
      <c r="MDS568" s="621"/>
      <c r="MDW568" s="621"/>
      <c r="MEA568" s="621"/>
      <c r="MEE568" s="621"/>
      <c r="MEI568" s="621"/>
      <c r="MEM568" s="621"/>
      <c r="MEQ568" s="621"/>
      <c r="MEU568" s="621"/>
      <c r="MEY568" s="621"/>
      <c r="MFC568" s="621"/>
      <c r="MFG568" s="621"/>
      <c r="MFK568" s="621"/>
      <c r="MFO568" s="621"/>
      <c r="MFS568" s="621"/>
      <c r="MFW568" s="621"/>
      <c r="MGA568" s="621"/>
      <c r="MGE568" s="621"/>
      <c r="MGI568" s="621"/>
      <c r="MGM568" s="621"/>
      <c r="MGQ568" s="621"/>
      <c r="MGU568" s="621"/>
      <c r="MGY568" s="621"/>
      <c r="MHC568" s="621"/>
      <c r="MHG568" s="621"/>
      <c r="MHK568" s="621"/>
      <c r="MHO568" s="621"/>
      <c r="MHS568" s="621"/>
      <c r="MHW568" s="621"/>
      <c r="MIA568" s="621"/>
      <c r="MIE568" s="621"/>
      <c r="MII568" s="621"/>
      <c r="MIM568" s="621"/>
      <c r="MIQ568" s="621"/>
      <c r="MIU568" s="621"/>
      <c r="MIY568" s="621"/>
      <c r="MJC568" s="621"/>
      <c r="MJG568" s="621"/>
      <c r="MJK568" s="621"/>
      <c r="MJO568" s="621"/>
      <c r="MJS568" s="621"/>
      <c r="MJW568" s="621"/>
      <c r="MKA568" s="621"/>
      <c r="MKE568" s="621"/>
      <c r="MKI568" s="621"/>
      <c r="MKM568" s="621"/>
      <c r="MKQ568" s="621"/>
      <c r="MKU568" s="621"/>
      <c r="MKY568" s="621"/>
      <c r="MLC568" s="621"/>
      <c r="MLG568" s="621"/>
      <c r="MLK568" s="621"/>
      <c r="MLO568" s="621"/>
      <c r="MLS568" s="621"/>
      <c r="MLW568" s="621"/>
      <c r="MMA568" s="621"/>
      <c r="MME568" s="621"/>
      <c r="MMI568" s="621"/>
      <c r="MMM568" s="621"/>
      <c r="MMQ568" s="621"/>
      <c r="MMU568" s="621"/>
      <c r="MMY568" s="621"/>
      <c r="MNC568" s="621"/>
      <c r="MNG568" s="621"/>
      <c r="MNK568" s="621"/>
      <c r="MNO568" s="621"/>
      <c r="MNS568" s="621"/>
      <c r="MNW568" s="621"/>
      <c r="MOA568" s="621"/>
      <c r="MOE568" s="621"/>
      <c r="MOI568" s="621"/>
      <c r="MOM568" s="621"/>
      <c r="MOQ568" s="621"/>
      <c r="MOU568" s="621"/>
      <c r="MOY568" s="621"/>
      <c r="MPC568" s="621"/>
      <c r="MPG568" s="621"/>
      <c r="MPK568" s="621"/>
      <c r="MPO568" s="621"/>
      <c r="MPS568" s="621"/>
      <c r="MPW568" s="621"/>
      <c r="MQA568" s="621"/>
      <c r="MQE568" s="621"/>
      <c r="MQI568" s="621"/>
      <c r="MQM568" s="621"/>
      <c r="MQQ568" s="621"/>
      <c r="MQU568" s="621"/>
      <c r="MQY568" s="621"/>
      <c r="MRC568" s="621"/>
      <c r="MRG568" s="621"/>
      <c r="MRK568" s="621"/>
      <c r="MRO568" s="621"/>
      <c r="MRS568" s="621"/>
      <c r="MRW568" s="621"/>
      <c r="MSA568" s="621"/>
      <c r="MSE568" s="621"/>
      <c r="MSI568" s="621"/>
      <c r="MSM568" s="621"/>
      <c r="MSQ568" s="621"/>
      <c r="MSU568" s="621"/>
      <c r="MSY568" s="621"/>
      <c r="MTC568" s="621"/>
      <c r="MTG568" s="621"/>
      <c r="MTK568" s="621"/>
      <c r="MTO568" s="621"/>
      <c r="MTS568" s="621"/>
      <c r="MTW568" s="621"/>
      <c r="MUA568" s="621"/>
      <c r="MUE568" s="621"/>
      <c r="MUI568" s="621"/>
      <c r="MUM568" s="621"/>
      <c r="MUQ568" s="621"/>
      <c r="MUU568" s="621"/>
      <c r="MUY568" s="621"/>
      <c r="MVC568" s="621"/>
      <c r="MVG568" s="621"/>
      <c r="MVK568" s="621"/>
      <c r="MVO568" s="621"/>
      <c r="MVS568" s="621"/>
      <c r="MVW568" s="621"/>
      <c r="MWA568" s="621"/>
      <c r="MWE568" s="621"/>
      <c r="MWI568" s="621"/>
      <c r="MWM568" s="621"/>
      <c r="MWQ568" s="621"/>
      <c r="MWU568" s="621"/>
      <c r="MWY568" s="621"/>
      <c r="MXC568" s="621"/>
      <c r="MXG568" s="621"/>
      <c r="MXK568" s="621"/>
      <c r="MXO568" s="621"/>
      <c r="MXS568" s="621"/>
      <c r="MXW568" s="621"/>
      <c r="MYA568" s="621"/>
      <c r="MYE568" s="621"/>
      <c r="MYI568" s="621"/>
      <c r="MYM568" s="621"/>
      <c r="MYQ568" s="621"/>
      <c r="MYU568" s="621"/>
      <c r="MYY568" s="621"/>
      <c r="MZC568" s="621"/>
      <c r="MZG568" s="621"/>
      <c r="MZK568" s="621"/>
      <c r="MZO568" s="621"/>
      <c r="MZS568" s="621"/>
      <c r="MZW568" s="621"/>
      <c r="NAA568" s="621"/>
      <c r="NAE568" s="621"/>
      <c r="NAI568" s="621"/>
      <c r="NAM568" s="621"/>
      <c r="NAQ568" s="621"/>
      <c r="NAU568" s="621"/>
      <c r="NAY568" s="621"/>
      <c r="NBC568" s="621"/>
      <c r="NBG568" s="621"/>
      <c r="NBK568" s="621"/>
      <c r="NBO568" s="621"/>
      <c r="NBS568" s="621"/>
      <c r="NBW568" s="621"/>
      <c r="NCA568" s="621"/>
      <c r="NCE568" s="621"/>
      <c r="NCI568" s="621"/>
      <c r="NCM568" s="621"/>
      <c r="NCQ568" s="621"/>
      <c r="NCU568" s="621"/>
      <c r="NCY568" s="621"/>
      <c r="NDC568" s="621"/>
      <c r="NDG568" s="621"/>
      <c r="NDK568" s="621"/>
      <c r="NDO568" s="621"/>
      <c r="NDS568" s="621"/>
      <c r="NDW568" s="621"/>
      <c r="NEA568" s="621"/>
      <c r="NEE568" s="621"/>
      <c r="NEI568" s="621"/>
      <c r="NEM568" s="621"/>
      <c r="NEQ568" s="621"/>
      <c r="NEU568" s="621"/>
      <c r="NEY568" s="621"/>
      <c r="NFC568" s="621"/>
      <c r="NFG568" s="621"/>
      <c r="NFK568" s="621"/>
      <c r="NFO568" s="621"/>
      <c r="NFS568" s="621"/>
      <c r="NFW568" s="621"/>
      <c r="NGA568" s="621"/>
      <c r="NGE568" s="621"/>
      <c r="NGI568" s="621"/>
      <c r="NGM568" s="621"/>
      <c r="NGQ568" s="621"/>
      <c r="NGU568" s="621"/>
      <c r="NGY568" s="621"/>
      <c r="NHC568" s="621"/>
      <c r="NHG568" s="621"/>
      <c r="NHK568" s="621"/>
      <c r="NHO568" s="621"/>
      <c r="NHS568" s="621"/>
      <c r="NHW568" s="621"/>
      <c r="NIA568" s="621"/>
      <c r="NIE568" s="621"/>
      <c r="NII568" s="621"/>
      <c r="NIM568" s="621"/>
      <c r="NIQ568" s="621"/>
      <c r="NIU568" s="621"/>
      <c r="NIY568" s="621"/>
      <c r="NJC568" s="621"/>
      <c r="NJG568" s="621"/>
      <c r="NJK568" s="621"/>
      <c r="NJO568" s="621"/>
      <c r="NJS568" s="621"/>
      <c r="NJW568" s="621"/>
      <c r="NKA568" s="621"/>
      <c r="NKE568" s="621"/>
      <c r="NKI568" s="621"/>
      <c r="NKM568" s="621"/>
      <c r="NKQ568" s="621"/>
      <c r="NKU568" s="621"/>
      <c r="NKY568" s="621"/>
      <c r="NLC568" s="621"/>
      <c r="NLG568" s="621"/>
      <c r="NLK568" s="621"/>
      <c r="NLO568" s="621"/>
      <c r="NLS568" s="621"/>
      <c r="NLW568" s="621"/>
      <c r="NMA568" s="621"/>
      <c r="NME568" s="621"/>
      <c r="NMI568" s="621"/>
      <c r="NMM568" s="621"/>
      <c r="NMQ568" s="621"/>
      <c r="NMU568" s="621"/>
      <c r="NMY568" s="621"/>
      <c r="NNC568" s="621"/>
      <c r="NNG568" s="621"/>
      <c r="NNK568" s="621"/>
      <c r="NNO568" s="621"/>
      <c r="NNS568" s="621"/>
      <c r="NNW568" s="621"/>
      <c r="NOA568" s="621"/>
      <c r="NOE568" s="621"/>
      <c r="NOI568" s="621"/>
      <c r="NOM568" s="621"/>
      <c r="NOQ568" s="621"/>
      <c r="NOU568" s="621"/>
      <c r="NOY568" s="621"/>
      <c r="NPC568" s="621"/>
      <c r="NPG568" s="621"/>
      <c r="NPK568" s="621"/>
      <c r="NPO568" s="621"/>
      <c r="NPS568" s="621"/>
      <c r="NPW568" s="621"/>
      <c r="NQA568" s="621"/>
      <c r="NQE568" s="621"/>
      <c r="NQI568" s="621"/>
      <c r="NQM568" s="621"/>
      <c r="NQQ568" s="621"/>
      <c r="NQU568" s="621"/>
      <c r="NQY568" s="621"/>
      <c r="NRC568" s="621"/>
      <c r="NRG568" s="621"/>
      <c r="NRK568" s="621"/>
      <c r="NRO568" s="621"/>
      <c r="NRS568" s="621"/>
      <c r="NRW568" s="621"/>
      <c r="NSA568" s="621"/>
      <c r="NSE568" s="621"/>
      <c r="NSI568" s="621"/>
      <c r="NSM568" s="621"/>
      <c r="NSQ568" s="621"/>
      <c r="NSU568" s="621"/>
      <c r="NSY568" s="621"/>
      <c r="NTC568" s="621"/>
      <c r="NTG568" s="621"/>
      <c r="NTK568" s="621"/>
      <c r="NTO568" s="621"/>
      <c r="NTS568" s="621"/>
      <c r="NTW568" s="621"/>
      <c r="NUA568" s="621"/>
      <c r="NUE568" s="621"/>
      <c r="NUI568" s="621"/>
      <c r="NUM568" s="621"/>
      <c r="NUQ568" s="621"/>
      <c r="NUU568" s="621"/>
      <c r="NUY568" s="621"/>
      <c r="NVC568" s="621"/>
      <c r="NVG568" s="621"/>
      <c r="NVK568" s="621"/>
      <c r="NVO568" s="621"/>
      <c r="NVS568" s="621"/>
      <c r="NVW568" s="621"/>
      <c r="NWA568" s="621"/>
      <c r="NWE568" s="621"/>
      <c r="NWI568" s="621"/>
      <c r="NWM568" s="621"/>
      <c r="NWQ568" s="621"/>
      <c r="NWU568" s="621"/>
      <c r="NWY568" s="621"/>
      <c r="NXC568" s="621"/>
      <c r="NXG568" s="621"/>
      <c r="NXK568" s="621"/>
      <c r="NXO568" s="621"/>
      <c r="NXS568" s="621"/>
      <c r="NXW568" s="621"/>
      <c r="NYA568" s="621"/>
      <c r="NYE568" s="621"/>
      <c r="NYI568" s="621"/>
      <c r="NYM568" s="621"/>
      <c r="NYQ568" s="621"/>
      <c r="NYU568" s="621"/>
      <c r="NYY568" s="621"/>
      <c r="NZC568" s="621"/>
      <c r="NZG568" s="621"/>
      <c r="NZK568" s="621"/>
      <c r="NZO568" s="621"/>
      <c r="NZS568" s="621"/>
      <c r="NZW568" s="621"/>
      <c r="OAA568" s="621"/>
      <c r="OAE568" s="621"/>
      <c r="OAI568" s="621"/>
      <c r="OAM568" s="621"/>
      <c r="OAQ568" s="621"/>
      <c r="OAU568" s="621"/>
      <c r="OAY568" s="621"/>
      <c r="OBC568" s="621"/>
      <c r="OBG568" s="621"/>
      <c r="OBK568" s="621"/>
      <c r="OBO568" s="621"/>
      <c r="OBS568" s="621"/>
      <c r="OBW568" s="621"/>
      <c r="OCA568" s="621"/>
      <c r="OCE568" s="621"/>
      <c r="OCI568" s="621"/>
      <c r="OCM568" s="621"/>
      <c r="OCQ568" s="621"/>
      <c r="OCU568" s="621"/>
      <c r="OCY568" s="621"/>
      <c r="ODC568" s="621"/>
      <c r="ODG568" s="621"/>
      <c r="ODK568" s="621"/>
      <c r="ODO568" s="621"/>
      <c r="ODS568" s="621"/>
      <c r="ODW568" s="621"/>
      <c r="OEA568" s="621"/>
      <c r="OEE568" s="621"/>
      <c r="OEI568" s="621"/>
      <c r="OEM568" s="621"/>
      <c r="OEQ568" s="621"/>
      <c r="OEU568" s="621"/>
      <c r="OEY568" s="621"/>
      <c r="OFC568" s="621"/>
      <c r="OFG568" s="621"/>
      <c r="OFK568" s="621"/>
      <c r="OFO568" s="621"/>
      <c r="OFS568" s="621"/>
      <c r="OFW568" s="621"/>
      <c r="OGA568" s="621"/>
      <c r="OGE568" s="621"/>
      <c r="OGI568" s="621"/>
      <c r="OGM568" s="621"/>
      <c r="OGQ568" s="621"/>
      <c r="OGU568" s="621"/>
      <c r="OGY568" s="621"/>
      <c r="OHC568" s="621"/>
      <c r="OHG568" s="621"/>
      <c r="OHK568" s="621"/>
      <c r="OHO568" s="621"/>
      <c r="OHS568" s="621"/>
      <c r="OHW568" s="621"/>
      <c r="OIA568" s="621"/>
      <c r="OIE568" s="621"/>
      <c r="OII568" s="621"/>
      <c r="OIM568" s="621"/>
      <c r="OIQ568" s="621"/>
      <c r="OIU568" s="621"/>
      <c r="OIY568" s="621"/>
      <c r="OJC568" s="621"/>
      <c r="OJG568" s="621"/>
      <c r="OJK568" s="621"/>
      <c r="OJO568" s="621"/>
      <c r="OJS568" s="621"/>
      <c r="OJW568" s="621"/>
      <c r="OKA568" s="621"/>
      <c r="OKE568" s="621"/>
      <c r="OKI568" s="621"/>
      <c r="OKM568" s="621"/>
      <c r="OKQ568" s="621"/>
      <c r="OKU568" s="621"/>
      <c r="OKY568" s="621"/>
      <c r="OLC568" s="621"/>
      <c r="OLG568" s="621"/>
      <c r="OLK568" s="621"/>
      <c r="OLO568" s="621"/>
      <c r="OLS568" s="621"/>
      <c r="OLW568" s="621"/>
      <c r="OMA568" s="621"/>
      <c r="OME568" s="621"/>
      <c r="OMI568" s="621"/>
      <c r="OMM568" s="621"/>
      <c r="OMQ568" s="621"/>
      <c r="OMU568" s="621"/>
      <c r="OMY568" s="621"/>
      <c r="ONC568" s="621"/>
      <c r="ONG568" s="621"/>
      <c r="ONK568" s="621"/>
      <c r="ONO568" s="621"/>
      <c r="ONS568" s="621"/>
      <c r="ONW568" s="621"/>
      <c r="OOA568" s="621"/>
      <c r="OOE568" s="621"/>
      <c r="OOI568" s="621"/>
      <c r="OOM568" s="621"/>
      <c r="OOQ568" s="621"/>
      <c r="OOU568" s="621"/>
      <c r="OOY568" s="621"/>
      <c r="OPC568" s="621"/>
      <c r="OPG568" s="621"/>
      <c r="OPK568" s="621"/>
      <c r="OPO568" s="621"/>
      <c r="OPS568" s="621"/>
      <c r="OPW568" s="621"/>
      <c r="OQA568" s="621"/>
      <c r="OQE568" s="621"/>
      <c r="OQI568" s="621"/>
      <c r="OQM568" s="621"/>
      <c r="OQQ568" s="621"/>
      <c r="OQU568" s="621"/>
      <c r="OQY568" s="621"/>
      <c r="ORC568" s="621"/>
      <c r="ORG568" s="621"/>
      <c r="ORK568" s="621"/>
      <c r="ORO568" s="621"/>
      <c r="ORS568" s="621"/>
      <c r="ORW568" s="621"/>
      <c r="OSA568" s="621"/>
      <c r="OSE568" s="621"/>
      <c r="OSI568" s="621"/>
      <c r="OSM568" s="621"/>
      <c r="OSQ568" s="621"/>
      <c r="OSU568" s="621"/>
      <c r="OSY568" s="621"/>
      <c r="OTC568" s="621"/>
      <c r="OTG568" s="621"/>
      <c r="OTK568" s="621"/>
      <c r="OTO568" s="621"/>
      <c r="OTS568" s="621"/>
      <c r="OTW568" s="621"/>
      <c r="OUA568" s="621"/>
      <c r="OUE568" s="621"/>
      <c r="OUI568" s="621"/>
      <c r="OUM568" s="621"/>
      <c r="OUQ568" s="621"/>
      <c r="OUU568" s="621"/>
      <c r="OUY568" s="621"/>
      <c r="OVC568" s="621"/>
      <c r="OVG568" s="621"/>
      <c r="OVK568" s="621"/>
      <c r="OVO568" s="621"/>
      <c r="OVS568" s="621"/>
      <c r="OVW568" s="621"/>
      <c r="OWA568" s="621"/>
      <c r="OWE568" s="621"/>
      <c r="OWI568" s="621"/>
      <c r="OWM568" s="621"/>
      <c r="OWQ568" s="621"/>
      <c r="OWU568" s="621"/>
      <c r="OWY568" s="621"/>
      <c r="OXC568" s="621"/>
      <c r="OXG568" s="621"/>
      <c r="OXK568" s="621"/>
      <c r="OXO568" s="621"/>
      <c r="OXS568" s="621"/>
      <c r="OXW568" s="621"/>
      <c r="OYA568" s="621"/>
      <c r="OYE568" s="621"/>
      <c r="OYI568" s="621"/>
      <c r="OYM568" s="621"/>
      <c r="OYQ568" s="621"/>
      <c r="OYU568" s="621"/>
      <c r="OYY568" s="621"/>
      <c r="OZC568" s="621"/>
      <c r="OZG568" s="621"/>
      <c r="OZK568" s="621"/>
      <c r="OZO568" s="621"/>
      <c r="OZS568" s="621"/>
      <c r="OZW568" s="621"/>
      <c r="PAA568" s="621"/>
      <c r="PAE568" s="621"/>
      <c r="PAI568" s="621"/>
      <c r="PAM568" s="621"/>
      <c r="PAQ568" s="621"/>
      <c r="PAU568" s="621"/>
      <c r="PAY568" s="621"/>
      <c r="PBC568" s="621"/>
      <c r="PBG568" s="621"/>
      <c r="PBK568" s="621"/>
      <c r="PBO568" s="621"/>
      <c r="PBS568" s="621"/>
      <c r="PBW568" s="621"/>
      <c r="PCA568" s="621"/>
      <c r="PCE568" s="621"/>
      <c r="PCI568" s="621"/>
      <c r="PCM568" s="621"/>
      <c r="PCQ568" s="621"/>
      <c r="PCU568" s="621"/>
      <c r="PCY568" s="621"/>
      <c r="PDC568" s="621"/>
      <c r="PDG568" s="621"/>
      <c r="PDK568" s="621"/>
      <c r="PDO568" s="621"/>
      <c r="PDS568" s="621"/>
      <c r="PDW568" s="621"/>
      <c r="PEA568" s="621"/>
      <c r="PEE568" s="621"/>
      <c r="PEI568" s="621"/>
      <c r="PEM568" s="621"/>
      <c r="PEQ568" s="621"/>
      <c r="PEU568" s="621"/>
      <c r="PEY568" s="621"/>
      <c r="PFC568" s="621"/>
      <c r="PFG568" s="621"/>
      <c r="PFK568" s="621"/>
      <c r="PFO568" s="621"/>
      <c r="PFS568" s="621"/>
      <c r="PFW568" s="621"/>
      <c r="PGA568" s="621"/>
      <c r="PGE568" s="621"/>
      <c r="PGI568" s="621"/>
      <c r="PGM568" s="621"/>
      <c r="PGQ568" s="621"/>
      <c r="PGU568" s="621"/>
      <c r="PGY568" s="621"/>
      <c r="PHC568" s="621"/>
      <c r="PHG568" s="621"/>
      <c r="PHK568" s="621"/>
      <c r="PHO568" s="621"/>
      <c r="PHS568" s="621"/>
      <c r="PHW568" s="621"/>
      <c r="PIA568" s="621"/>
      <c r="PIE568" s="621"/>
      <c r="PII568" s="621"/>
      <c r="PIM568" s="621"/>
      <c r="PIQ568" s="621"/>
      <c r="PIU568" s="621"/>
      <c r="PIY568" s="621"/>
      <c r="PJC568" s="621"/>
      <c r="PJG568" s="621"/>
      <c r="PJK568" s="621"/>
      <c r="PJO568" s="621"/>
      <c r="PJS568" s="621"/>
      <c r="PJW568" s="621"/>
      <c r="PKA568" s="621"/>
      <c r="PKE568" s="621"/>
      <c r="PKI568" s="621"/>
      <c r="PKM568" s="621"/>
      <c r="PKQ568" s="621"/>
      <c r="PKU568" s="621"/>
      <c r="PKY568" s="621"/>
      <c r="PLC568" s="621"/>
      <c r="PLG568" s="621"/>
      <c r="PLK568" s="621"/>
      <c r="PLO568" s="621"/>
      <c r="PLS568" s="621"/>
      <c r="PLW568" s="621"/>
      <c r="PMA568" s="621"/>
      <c r="PME568" s="621"/>
      <c r="PMI568" s="621"/>
      <c r="PMM568" s="621"/>
      <c r="PMQ568" s="621"/>
      <c r="PMU568" s="621"/>
      <c r="PMY568" s="621"/>
      <c r="PNC568" s="621"/>
      <c r="PNG568" s="621"/>
      <c r="PNK568" s="621"/>
      <c r="PNO568" s="621"/>
      <c r="PNS568" s="621"/>
      <c r="PNW568" s="621"/>
      <c r="POA568" s="621"/>
      <c r="POE568" s="621"/>
      <c r="POI568" s="621"/>
      <c r="POM568" s="621"/>
      <c r="POQ568" s="621"/>
      <c r="POU568" s="621"/>
      <c r="POY568" s="621"/>
      <c r="PPC568" s="621"/>
      <c r="PPG568" s="621"/>
      <c r="PPK568" s="621"/>
      <c r="PPO568" s="621"/>
      <c r="PPS568" s="621"/>
      <c r="PPW568" s="621"/>
      <c r="PQA568" s="621"/>
      <c r="PQE568" s="621"/>
      <c r="PQI568" s="621"/>
      <c r="PQM568" s="621"/>
      <c r="PQQ568" s="621"/>
      <c r="PQU568" s="621"/>
      <c r="PQY568" s="621"/>
      <c r="PRC568" s="621"/>
      <c r="PRG568" s="621"/>
      <c r="PRK568" s="621"/>
      <c r="PRO568" s="621"/>
      <c r="PRS568" s="621"/>
      <c r="PRW568" s="621"/>
      <c r="PSA568" s="621"/>
      <c r="PSE568" s="621"/>
      <c r="PSI568" s="621"/>
      <c r="PSM568" s="621"/>
      <c r="PSQ568" s="621"/>
      <c r="PSU568" s="621"/>
      <c r="PSY568" s="621"/>
      <c r="PTC568" s="621"/>
      <c r="PTG568" s="621"/>
      <c r="PTK568" s="621"/>
      <c r="PTO568" s="621"/>
      <c r="PTS568" s="621"/>
      <c r="PTW568" s="621"/>
      <c r="PUA568" s="621"/>
      <c r="PUE568" s="621"/>
      <c r="PUI568" s="621"/>
      <c r="PUM568" s="621"/>
      <c r="PUQ568" s="621"/>
      <c r="PUU568" s="621"/>
      <c r="PUY568" s="621"/>
      <c r="PVC568" s="621"/>
      <c r="PVG568" s="621"/>
      <c r="PVK568" s="621"/>
      <c r="PVO568" s="621"/>
      <c r="PVS568" s="621"/>
      <c r="PVW568" s="621"/>
      <c r="PWA568" s="621"/>
      <c r="PWE568" s="621"/>
      <c r="PWI568" s="621"/>
      <c r="PWM568" s="621"/>
      <c r="PWQ568" s="621"/>
      <c r="PWU568" s="621"/>
      <c r="PWY568" s="621"/>
      <c r="PXC568" s="621"/>
      <c r="PXG568" s="621"/>
      <c r="PXK568" s="621"/>
      <c r="PXO568" s="621"/>
      <c r="PXS568" s="621"/>
      <c r="PXW568" s="621"/>
      <c r="PYA568" s="621"/>
      <c r="PYE568" s="621"/>
      <c r="PYI568" s="621"/>
      <c r="PYM568" s="621"/>
      <c r="PYQ568" s="621"/>
      <c r="PYU568" s="621"/>
      <c r="PYY568" s="621"/>
      <c r="PZC568" s="621"/>
      <c r="PZG568" s="621"/>
      <c r="PZK568" s="621"/>
      <c r="PZO568" s="621"/>
      <c r="PZS568" s="621"/>
      <c r="PZW568" s="621"/>
      <c r="QAA568" s="621"/>
      <c r="QAE568" s="621"/>
      <c r="QAI568" s="621"/>
      <c r="QAM568" s="621"/>
      <c r="QAQ568" s="621"/>
      <c r="QAU568" s="621"/>
      <c r="QAY568" s="621"/>
      <c r="QBC568" s="621"/>
      <c r="QBG568" s="621"/>
      <c r="QBK568" s="621"/>
      <c r="QBO568" s="621"/>
      <c r="QBS568" s="621"/>
      <c r="QBW568" s="621"/>
      <c r="QCA568" s="621"/>
      <c r="QCE568" s="621"/>
      <c r="QCI568" s="621"/>
      <c r="QCM568" s="621"/>
      <c r="QCQ568" s="621"/>
      <c r="QCU568" s="621"/>
      <c r="QCY568" s="621"/>
      <c r="QDC568" s="621"/>
      <c r="QDG568" s="621"/>
      <c r="QDK568" s="621"/>
      <c r="QDO568" s="621"/>
      <c r="QDS568" s="621"/>
      <c r="QDW568" s="621"/>
      <c r="QEA568" s="621"/>
      <c r="QEE568" s="621"/>
      <c r="QEI568" s="621"/>
      <c r="QEM568" s="621"/>
      <c r="QEQ568" s="621"/>
      <c r="QEU568" s="621"/>
      <c r="QEY568" s="621"/>
      <c r="QFC568" s="621"/>
      <c r="QFG568" s="621"/>
      <c r="QFK568" s="621"/>
      <c r="QFO568" s="621"/>
      <c r="QFS568" s="621"/>
      <c r="QFW568" s="621"/>
      <c r="QGA568" s="621"/>
      <c r="QGE568" s="621"/>
      <c r="QGI568" s="621"/>
      <c r="QGM568" s="621"/>
      <c r="QGQ568" s="621"/>
      <c r="QGU568" s="621"/>
      <c r="QGY568" s="621"/>
      <c r="QHC568" s="621"/>
      <c r="QHG568" s="621"/>
      <c r="QHK568" s="621"/>
      <c r="QHO568" s="621"/>
      <c r="QHS568" s="621"/>
      <c r="QHW568" s="621"/>
      <c r="QIA568" s="621"/>
      <c r="QIE568" s="621"/>
      <c r="QII568" s="621"/>
      <c r="QIM568" s="621"/>
      <c r="QIQ568" s="621"/>
      <c r="QIU568" s="621"/>
      <c r="QIY568" s="621"/>
      <c r="QJC568" s="621"/>
      <c r="QJG568" s="621"/>
      <c r="QJK568" s="621"/>
      <c r="QJO568" s="621"/>
      <c r="QJS568" s="621"/>
      <c r="QJW568" s="621"/>
      <c r="QKA568" s="621"/>
      <c r="QKE568" s="621"/>
      <c r="QKI568" s="621"/>
      <c r="QKM568" s="621"/>
      <c r="QKQ568" s="621"/>
      <c r="QKU568" s="621"/>
      <c r="QKY568" s="621"/>
      <c r="QLC568" s="621"/>
      <c r="QLG568" s="621"/>
      <c r="QLK568" s="621"/>
      <c r="QLO568" s="621"/>
      <c r="QLS568" s="621"/>
      <c r="QLW568" s="621"/>
      <c r="QMA568" s="621"/>
      <c r="QME568" s="621"/>
      <c r="QMI568" s="621"/>
      <c r="QMM568" s="621"/>
      <c r="QMQ568" s="621"/>
      <c r="QMU568" s="621"/>
      <c r="QMY568" s="621"/>
      <c r="QNC568" s="621"/>
      <c r="QNG568" s="621"/>
      <c r="QNK568" s="621"/>
      <c r="QNO568" s="621"/>
      <c r="QNS568" s="621"/>
      <c r="QNW568" s="621"/>
      <c r="QOA568" s="621"/>
      <c r="QOE568" s="621"/>
      <c r="QOI568" s="621"/>
      <c r="QOM568" s="621"/>
      <c r="QOQ568" s="621"/>
      <c r="QOU568" s="621"/>
      <c r="QOY568" s="621"/>
      <c r="QPC568" s="621"/>
      <c r="QPG568" s="621"/>
      <c r="QPK568" s="621"/>
      <c r="QPO568" s="621"/>
      <c r="QPS568" s="621"/>
      <c r="QPW568" s="621"/>
      <c r="QQA568" s="621"/>
      <c r="QQE568" s="621"/>
      <c r="QQI568" s="621"/>
      <c r="QQM568" s="621"/>
      <c r="QQQ568" s="621"/>
      <c r="QQU568" s="621"/>
      <c r="QQY568" s="621"/>
      <c r="QRC568" s="621"/>
      <c r="QRG568" s="621"/>
      <c r="QRK568" s="621"/>
      <c r="QRO568" s="621"/>
      <c r="QRS568" s="621"/>
      <c r="QRW568" s="621"/>
      <c r="QSA568" s="621"/>
      <c r="QSE568" s="621"/>
      <c r="QSI568" s="621"/>
      <c r="QSM568" s="621"/>
      <c r="QSQ568" s="621"/>
      <c r="QSU568" s="621"/>
      <c r="QSY568" s="621"/>
      <c r="QTC568" s="621"/>
      <c r="QTG568" s="621"/>
      <c r="QTK568" s="621"/>
      <c r="QTO568" s="621"/>
      <c r="QTS568" s="621"/>
      <c r="QTW568" s="621"/>
      <c r="QUA568" s="621"/>
      <c r="QUE568" s="621"/>
      <c r="QUI568" s="621"/>
      <c r="QUM568" s="621"/>
      <c r="QUQ568" s="621"/>
      <c r="QUU568" s="621"/>
      <c r="QUY568" s="621"/>
      <c r="QVC568" s="621"/>
      <c r="QVG568" s="621"/>
      <c r="QVK568" s="621"/>
      <c r="QVO568" s="621"/>
      <c r="QVS568" s="621"/>
      <c r="QVW568" s="621"/>
      <c r="QWA568" s="621"/>
      <c r="QWE568" s="621"/>
      <c r="QWI568" s="621"/>
      <c r="QWM568" s="621"/>
      <c r="QWQ568" s="621"/>
      <c r="QWU568" s="621"/>
      <c r="QWY568" s="621"/>
      <c r="QXC568" s="621"/>
      <c r="QXG568" s="621"/>
      <c r="QXK568" s="621"/>
      <c r="QXO568" s="621"/>
      <c r="QXS568" s="621"/>
      <c r="QXW568" s="621"/>
      <c r="QYA568" s="621"/>
      <c r="QYE568" s="621"/>
      <c r="QYI568" s="621"/>
      <c r="QYM568" s="621"/>
      <c r="QYQ568" s="621"/>
      <c r="QYU568" s="621"/>
      <c r="QYY568" s="621"/>
      <c r="QZC568" s="621"/>
      <c r="QZG568" s="621"/>
      <c r="QZK568" s="621"/>
      <c r="QZO568" s="621"/>
      <c r="QZS568" s="621"/>
      <c r="QZW568" s="621"/>
      <c r="RAA568" s="621"/>
      <c r="RAE568" s="621"/>
      <c r="RAI568" s="621"/>
      <c r="RAM568" s="621"/>
      <c r="RAQ568" s="621"/>
      <c r="RAU568" s="621"/>
      <c r="RAY568" s="621"/>
      <c r="RBC568" s="621"/>
      <c r="RBG568" s="621"/>
      <c r="RBK568" s="621"/>
      <c r="RBO568" s="621"/>
      <c r="RBS568" s="621"/>
      <c r="RBW568" s="621"/>
      <c r="RCA568" s="621"/>
      <c r="RCE568" s="621"/>
      <c r="RCI568" s="621"/>
      <c r="RCM568" s="621"/>
      <c r="RCQ568" s="621"/>
      <c r="RCU568" s="621"/>
      <c r="RCY568" s="621"/>
      <c r="RDC568" s="621"/>
      <c r="RDG568" s="621"/>
      <c r="RDK568" s="621"/>
      <c r="RDO568" s="621"/>
      <c r="RDS568" s="621"/>
      <c r="RDW568" s="621"/>
      <c r="REA568" s="621"/>
      <c r="REE568" s="621"/>
      <c r="REI568" s="621"/>
      <c r="REM568" s="621"/>
      <c r="REQ568" s="621"/>
      <c r="REU568" s="621"/>
      <c r="REY568" s="621"/>
      <c r="RFC568" s="621"/>
      <c r="RFG568" s="621"/>
      <c r="RFK568" s="621"/>
      <c r="RFO568" s="621"/>
      <c r="RFS568" s="621"/>
      <c r="RFW568" s="621"/>
      <c r="RGA568" s="621"/>
      <c r="RGE568" s="621"/>
      <c r="RGI568" s="621"/>
      <c r="RGM568" s="621"/>
      <c r="RGQ568" s="621"/>
      <c r="RGU568" s="621"/>
      <c r="RGY568" s="621"/>
      <c r="RHC568" s="621"/>
      <c r="RHG568" s="621"/>
      <c r="RHK568" s="621"/>
      <c r="RHO568" s="621"/>
      <c r="RHS568" s="621"/>
      <c r="RHW568" s="621"/>
      <c r="RIA568" s="621"/>
      <c r="RIE568" s="621"/>
      <c r="RII568" s="621"/>
      <c r="RIM568" s="621"/>
      <c r="RIQ568" s="621"/>
      <c r="RIU568" s="621"/>
      <c r="RIY568" s="621"/>
      <c r="RJC568" s="621"/>
      <c r="RJG568" s="621"/>
      <c r="RJK568" s="621"/>
      <c r="RJO568" s="621"/>
      <c r="RJS568" s="621"/>
      <c r="RJW568" s="621"/>
      <c r="RKA568" s="621"/>
      <c r="RKE568" s="621"/>
      <c r="RKI568" s="621"/>
      <c r="RKM568" s="621"/>
      <c r="RKQ568" s="621"/>
      <c r="RKU568" s="621"/>
      <c r="RKY568" s="621"/>
      <c r="RLC568" s="621"/>
      <c r="RLG568" s="621"/>
      <c r="RLK568" s="621"/>
      <c r="RLO568" s="621"/>
      <c r="RLS568" s="621"/>
      <c r="RLW568" s="621"/>
      <c r="RMA568" s="621"/>
      <c r="RME568" s="621"/>
      <c r="RMI568" s="621"/>
      <c r="RMM568" s="621"/>
      <c r="RMQ568" s="621"/>
      <c r="RMU568" s="621"/>
      <c r="RMY568" s="621"/>
      <c r="RNC568" s="621"/>
      <c r="RNG568" s="621"/>
      <c r="RNK568" s="621"/>
      <c r="RNO568" s="621"/>
      <c r="RNS568" s="621"/>
      <c r="RNW568" s="621"/>
      <c r="ROA568" s="621"/>
      <c r="ROE568" s="621"/>
      <c r="ROI568" s="621"/>
      <c r="ROM568" s="621"/>
      <c r="ROQ568" s="621"/>
      <c r="ROU568" s="621"/>
      <c r="ROY568" s="621"/>
      <c r="RPC568" s="621"/>
      <c r="RPG568" s="621"/>
      <c r="RPK568" s="621"/>
      <c r="RPO568" s="621"/>
      <c r="RPS568" s="621"/>
      <c r="RPW568" s="621"/>
      <c r="RQA568" s="621"/>
      <c r="RQE568" s="621"/>
      <c r="RQI568" s="621"/>
      <c r="RQM568" s="621"/>
      <c r="RQQ568" s="621"/>
      <c r="RQU568" s="621"/>
      <c r="RQY568" s="621"/>
      <c r="RRC568" s="621"/>
      <c r="RRG568" s="621"/>
      <c r="RRK568" s="621"/>
      <c r="RRO568" s="621"/>
      <c r="RRS568" s="621"/>
      <c r="RRW568" s="621"/>
      <c r="RSA568" s="621"/>
      <c r="RSE568" s="621"/>
      <c r="RSI568" s="621"/>
      <c r="RSM568" s="621"/>
      <c r="RSQ568" s="621"/>
      <c r="RSU568" s="621"/>
      <c r="RSY568" s="621"/>
      <c r="RTC568" s="621"/>
      <c r="RTG568" s="621"/>
      <c r="RTK568" s="621"/>
      <c r="RTO568" s="621"/>
      <c r="RTS568" s="621"/>
      <c r="RTW568" s="621"/>
      <c r="RUA568" s="621"/>
      <c r="RUE568" s="621"/>
      <c r="RUI568" s="621"/>
      <c r="RUM568" s="621"/>
      <c r="RUQ568" s="621"/>
      <c r="RUU568" s="621"/>
      <c r="RUY568" s="621"/>
      <c r="RVC568" s="621"/>
      <c r="RVG568" s="621"/>
      <c r="RVK568" s="621"/>
      <c r="RVO568" s="621"/>
      <c r="RVS568" s="621"/>
      <c r="RVW568" s="621"/>
      <c r="RWA568" s="621"/>
      <c r="RWE568" s="621"/>
      <c r="RWI568" s="621"/>
      <c r="RWM568" s="621"/>
      <c r="RWQ568" s="621"/>
      <c r="RWU568" s="621"/>
      <c r="RWY568" s="621"/>
      <c r="RXC568" s="621"/>
      <c r="RXG568" s="621"/>
      <c r="RXK568" s="621"/>
      <c r="RXO568" s="621"/>
      <c r="RXS568" s="621"/>
      <c r="RXW568" s="621"/>
      <c r="RYA568" s="621"/>
      <c r="RYE568" s="621"/>
      <c r="RYI568" s="621"/>
      <c r="RYM568" s="621"/>
      <c r="RYQ568" s="621"/>
      <c r="RYU568" s="621"/>
      <c r="RYY568" s="621"/>
      <c r="RZC568" s="621"/>
      <c r="RZG568" s="621"/>
      <c r="RZK568" s="621"/>
      <c r="RZO568" s="621"/>
      <c r="RZS568" s="621"/>
      <c r="RZW568" s="621"/>
      <c r="SAA568" s="621"/>
      <c r="SAE568" s="621"/>
      <c r="SAI568" s="621"/>
      <c r="SAM568" s="621"/>
      <c r="SAQ568" s="621"/>
      <c r="SAU568" s="621"/>
      <c r="SAY568" s="621"/>
      <c r="SBC568" s="621"/>
      <c r="SBG568" s="621"/>
      <c r="SBK568" s="621"/>
      <c r="SBO568" s="621"/>
      <c r="SBS568" s="621"/>
      <c r="SBW568" s="621"/>
      <c r="SCA568" s="621"/>
      <c r="SCE568" s="621"/>
      <c r="SCI568" s="621"/>
      <c r="SCM568" s="621"/>
      <c r="SCQ568" s="621"/>
      <c r="SCU568" s="621"/>
      <c r="SCY568" s="621"/>
      <c r="SDC568" s="621"/>
      <c r="SDG568" s="621"/>
      <c r="SDK568" s="621"/>
      <c r="SDO568" s="621"/>
      <c r="SDS568" s="621"/>
      <c r="SDW568" s="621"/>
      <c r="SEA568" s="621"/>
      <c r="SEE568" s="621"/>
      <c r="SEI568" s="621"/>
      <c r="SEM568" s="621"/>
      <c r="SEQ568" s="621"/>
      <c r="SEU568" s="621"/>
      <c r="SEY568" s="621"/>
      <c r="SFC568" s="621"/>
      <c r="SFG568" s="621"/>
      <c r="SFK568" s="621"/>
      <c r="SFO568" s="621"/>
      <c r="SFS568" s="621"/>
      <c r="SFW568" s="621"/>
      <c r="SGA568" s="621"/>
      <c r="SGE568" s="621"/>
      <c r="SGI568" s="621"/>
      <c r="SGM568" s="621"/>
      <c r="SGQ568" s="621"/>
      <c r="SGU568" s="621"/>
      <c r="SGY568" s="621"/>
      <c r="SHC568" s="621"/>
      <c r="SHG568" s="621"/>
      <c r="SHK568" s="621"/>
      <c r="SHO568" s="621"/>
      <c r="SHS568" s="621"/>
      <c r="SHW568" s="621"/>
      <c r="SIA568" s="621"/>
      <c r="SIE568" s="621"/>
      <c r="SII568" s="621"/>
      <c r="SIM568" s="621"/>
      <c r="SIQ568" s="621"/>
      <c r="SIU568" s="621"/>
      <c r="SIY568" s="621"/>
      <c r="SJC568" s="621"/>
      <c r="SJG568" s="621"/>
      <c r="SJK568" s="621"/>
      <c r="SJO568" s="621"/>
      <c r="SJS568" s="621"/>
      <c r="SJW568" s="621"/>
      <c r="SKA568" s="621"/>
      <c r="SKE568" s="621"/>
      <c r="SKI568" s="621"/>
      <c r="SKM568" s="621"/>
      <c r="SKQ568" s="621"/>
      <c r="SKU568" s="621"/>
      <c r="SKY568" s="621"/>
      <c r="SLC568" s="621"/>
      <c r="SLG568" s="621"/>
      <c r="SLK568" s="621"/>
      <c r="SLO568" s="621"/>
      <c r="SLS568" s="621"/>
      <c r="SLW568" s="621"/>
      <c r="SMA568" s="621"/>
      <c r="SME568" s="621"/>
      <c r="SMI568" s="621"/>
      <c r="SMM568" s="621"/>
      <c r="SMQ568" s="621"/>
      <c r="SMU568" s="621"/>
      <c r="SMY568" s="621"/>
      <c r="SNC568" s="621"/>
      <c r="SNG568" s="621"/>
      <c r="SNK568" s="621"/>
      <c r="SNO568" s="621"/>
      <c r="SNS568" s="621"/>
      <c r="SNW568" s="621"/>
      <c r="SOA568" s="621"/>
      <c r="SOE568" s="621"/>
      <c r="SOI568" s="621"/>
      <c r="SOM568" s="621"/>
      <c r="SOQ568" s="621"/>
      <c r="SOU568" s="621"/>
      <c r="SOY568" s="621"/>
      <c r="SPC568" s="621"/>
      <c r="SPG568" s="621"/>
      <c r="SPK568" s="621"/>
      <c r="SPO568" s="621"/>
      <c r="SPS568" s="621"/>
      <c r="SPW568" s="621"/>
      <c r="SQA568" s="621"/>
      <c r="SQE568" s="621"/>
      <c r="SQI568" s="621"/>
      <c r="SQM568" s="621"/>
      <c r="SQQ568" s="621"/>
      <c r="SQU568" s="621"/>
      <c r="SQY568" s="621"/>
      <c r="SRC568" s="621"/>
      <c r="SRG568" s="621"/>
      <c r="SRK568" s="621"/>
      <c r="SRO568" s="621"/>
      <c r="SRS568" s="621"/>
      <c r="SRW568" s="621"/>
      <c r="SSA568" s="621"/>
      <c r="SSE568" s="621"/>
      <c r="SSI568" s="621"/>
      <c r="SSM568" s="621"/>
      <c r="SSQ568" s="621"/>
      <c r="SSU568" s="621"/>
      <c r="SSY568" s="621"/>
      <c r="STC568" s="621"/>
      <c r="STG568" s="621"/>
      <c r="STK568" s="621"/>
      <c r="STO568" s="621"/>
      <c r="STS568" s="621"/>
      <c r="STW568" s="621"/>
      <c r="SUA568" s="621"/>
      <c r="SUE568" s="621"/>
      <c r="SUI568" s="621"/>
      <c r="SUM568" s="621"/>
      <c r="SUQ568" s="621"/>
      <c r="SUU568" s="621"/>
      <c r="SUY568" s="621"/>
      <c r="SVC568" s="621"/>
      <c r="SVG568" s="621"/>
      <c r="SVK568" s="621"/>
      <c r="SVO568" s="621"/>
      <c r="SVS568" s="621"/>
      <c r="SVW568" s="621"/>
      <c r="SWA568" s="621"/>
      <c r="SWE568" s="621"/>
      <c r="SWI568" s="621"/>
      <c r="SWM568" s="621"/>
      <c r="SWQ568" s="621"/>
      <c r="SWU568" s="621"/>
      <c r="SWY568" s="621"/>
      <c r="SXC568" s="621"/>
      <c r="SXG568" s="621"/>
      <c r="SXK568" s="621"/>
      <c r="SXO568" s="621"/>
      <c r="SXS568" s="621"/>
      <c r="SXW568" s="621"/>
      <c r="SYA568" s="621"/>
      <c r="SYE568" s="621"/>
      <c r="SYI568" s="621"/>
      <c r="SYM568" s="621"/>
      <c r="SYQ568" s="621"/>
      <c r="SYU568" s="621"/>
      <c r="SYY568" s="621"/>
      <c r="SZC568" s="621"/>
      <c r="SZG568" s="621"/>
      <c r="SZK568" s="621"/>
      <c r="SZO568" s="621"/>
      <c r="SZS568" s="621"/>
      <c r="SZW568" s="621"/>
      <c r="TAA568" s="621"/>
      <c r="TAE568" s="621"/>
      <c r="TAI568" s="621"/>
      <c r="TAM568" s="621"/>
      <c r="TAQ568" s="621"/>
      <c r="TAU568" s="621"/>
      <c r="TAY568" s="621"/>
      <c r="TBC568" s="621"/>
      <c r="TBG568" s="621"/>
      <c r="TBK568" s="621"/>
      <c r="TBO568" s="621"/>
      <c r="TBS568" s="621"/>
      <c r="TBW568" s="621"/>
      <c r="TCA568" s="621"/>
      <c r="TCE568" s="621"/>
      <c r="TCI568" s="621"/>
      <c r="TCM568" s="621"/>
      <c r="TCQ568" s="621"/>
      <c r="TCU568" s="621"/>
      <c r="TCY568" s="621"/>
      <c r="TDC568" s="621"/>
      <c r="TDG568" s="621"/>
      <c r="TDK568" s="621"/>
      <c r="TDO568" s="621"/>
      <c r="TDS568" s="621"/>
      <c r="TDW568" s="621"/>
      <c r="TEA568" s="621"/>
      <c r="TEE568" s="621"/>
      <c r="TEI568" s="621"/>
      <c r="TEM568" s="621"/>
      <c r="TEQ568" s="621"/>
      <c r="TEU568" s="621"/>
      <c r="TEY568" s="621"/>
      <c r="TFC568" s="621"/>
      <c r="TFG568" s="621"/>
      <c r="TFK568" s="621"/>
      <c r="TFO568" s="621"/>
      <c r="TFS568" s="621"/>
      <c r="TFW568" s="621"/>
      <c r="TGA568" s="621"/>
      <c r="TGE568" s="621"/>
      <c r="TGI568" s="621"/>
      <c r="TGM568" s="621"/>
      <c r="TGQ568" s="621"/>
      <c r="TGU568" s="621"/>
      <c r="TGY568" s="621"/>
      <c r="THC568" s="621"/>
      <c r="THG568" s="621"/>
      <c r="THK568" s="621"/>
      <c r="THO568" s="621"/>
      <c r="THS568" s="621"/>
      <c r="THW568" s="621"/>
      <c r="TIA568" s="621"/>
      <c r="TIE568" s="621"/>
      <c r="TII568" s="621"/>
      <c r="TIM568" s="621"/>
      <c r="TIQ568" s="621"/>
      <c r="TIU568" s="621"/>
      <c r="TIY568" s="621"/>
      <c r="TJC568" s="621"/>
      <c r="TJG568" s="621"/>
      <c r="TJK568" s="621"/>
      <c r="TJO568" s="621"/>
      <c r="TJS568" s="621"/>
      <c r="TJW568" s="621"/>
      <c r="TKA568" s="621"/>
      <c r="TKE568" s="621"/>
      <c r="TKI568" s="621"/>
      <c r="TKM568" s="621"/>
      <c r="TKQ568" s="621"/>
      <c r="TKU568" s="621"/>
      <c r="TKY568" s="621"/>
      <c r="TLC568" s="621"/>
      <c r="TLG568" s="621"/>
      <c r="TLK568" s="621"/>
      <c r="TLO568" s="621"/>
      <c r="TLS568" s="621"/>
      <c r="TLW568" s="621"/>
      <c r="TMA568" s="621"/>
      <c r="TME568" s="621"/>
      <c r="TMI568" s="621"/>
      <c r="TMM568" s="621"/>
      <c r="TMQ568" s="621"/>
      <c r="TMU568" s="621"/>
      <c r="TMY568" s="621"/>
      <c r="TNC568" s="621"/>
      <c r="TNG568" s="621"/>
      <c r="TNK568" s="621"/>
      <c r="TNO568" s="621"/>
      <c r="TNS568" s="621"/>
      <c r="TNW568" s="621"/>
      <c r="TOA568" s="621"/>
      <c r="TOE568" s="621"/>
      <c r="TOI568" s="621"/>
      <c r="TOM568" s="621"/>
      <c r="TOQ568" s="621"/>
      <c r="TOU568" s="621"/>
      <c r="TOY568" s="621"/>
      <c r="TPC568" s="621"/>
      <c r="TPG568" s="621"/>
      <c r="TPK568" s="621"/>
      <c r="TPO568" s="621"/>
      <c r="TPS568" s="621"/>
      <c r="TPW568" s="621"/>
      <c r="TQA568" s="621"/>
      <c r="TQE568" s="621"/>
      <c r="TQI568" s="621"/>
      <c r="TQM568" s="621"/>
      <c r="TQQ568" s="621"/>
      <c r="TQU568" s="621"/>
      <c r="TQY568" s="621"/>
      <c r="TRC568" s="621"/>
      <c r="TRG568" s="621"/>
      <c r="TRK568" s="621"/>
      <c r="TRO568" s="621"/>
      <c r="TRS568" s="621"/>
      <c r="TRW568" s="621"/>
      <c r="TSA568" s="621"/>
      <c r="TSE568" s="621"/>
      <c r="TSI568" s="621"/>
      <c r="TSM568" s="621"/>
      <c r="TSQ568" s="621"/>
      <c r="TSU568" s="621"/>
      <c r="TSY568" s="621"/>
      <c r="TTC568" s="621"/>
      <c r="TTG568" s="621"/>
      <c r="TTK568" s="621"/>
      <c r="TTO568" s="621"/>
      <c r="TTS568" s="621"/>
      <c r="TTW568" s="621"/>
      <c r="TUA568" s="621"/>
      <c r="TUE568" s="621"/>
      <c r="TUI568" s="621"/>
      <c r="TUM568" s="621"/>
      <c r="TUQ568" s="621"/>
      <c r="TUU568" s="621"/>
      <c r="TUY568" s="621"/>
      <c r="TVC568" s="621"/>
      <c r="TVG568" s="621"/>
      <c r="TVK568" s="621"/>
      <c r="TVO568" s="621"/>
      <c r="TVS568" s="621"/>
      <c r="TVW568" s="621"/>
      <c r="TWA568" s="621"/>
      <c r="TWE568" s="621"/>
      <c r="TWI568" s="621"/>
      <c r="TWM568" s="621"/>
      <c r="TWQ568" s="621"/>
      <c r="TWU568" s="621"/>
      <c r="TWY568" s="621"/>
      <c r="TXC568" s="621"/>
      <c r="TXG568" s="621"/>
      <c r="TXK568" s="621"/>
      <c r="TXO568" s="621"/>
      <c r="TXS568" s="621"/>
      <c r="TXW568" s="621"/>
      <c r="TYA568" s="621"/>
      <c r="TYE568" s="621"/>
      <c r="TYI568" s="621"/>
      <c r="TYM568" s="621"/>
      <c r="TYQ568" s="621"/>
      <c r="TYU568" s="621"/>
      <c r="TYY568" s="621"/>
      <c r="TZC568" s="621"/>
      <c r="TZG568" s="621"/>
      <c r="TZK568" s="621"/>
      <c r="TZO568" s="621"/>
      <c r="TZS568" s="621"/>
      <c r="TZW568" s="621"/>
      <c r="UAA568" s="621"/>
      <c r="UAE568" s="621"/>
      <c r="UAI568" s="621"/>
      <c r="UAM568" s="621"/>
      <c r="UAQ568" s="621"/>
      <c r="UAU568" s="621"/>
      <c r="UAY568" s="621"/>
      <c r="UBC568" s="621"/>
      <c r="UBG568" s="621"/>
      <c r="UBK568" s="621"/>
      <c r="UBO568" s="621"/>
      <c r="UBS568" s="621"/>
      <c r="UBW568" s="621"/>
      <c r="UCA568" s="621"/>
      <c r="UCE568" s="621"/>
      <c r="UCI568" s="621"/>
      <c r="UCM568" s="621"/>
      <c r="UCQ568" s="621"/>
      <c r="UCU568" s="621"/>
      <c r="UCY568" s="621"/>
      <c r="UDC568" s="621"/>
      <c r="UDG568" s="621"/>
      <c r="UDK568" s="621"/>
      <c r="UDO568" s="621"/>
      <c r="UDS568" s="621"/>
      <c r="UDW568" s="621"/>
      <c r="UEA568" s="621"/>
      <c r="UEE568" s="621"/>
      <c r="UEI568" s="621"/>
      <c r="UEM568" s="621"/>
      <c r="UEQ568" s="621"/>
      <c r="UEU568" s="621"/>
      <c r="UEY568" s="621"/>
      <c r="UFC568" s="621"/>
      <c r="UFG568" s="621"/>
      <c r="UFK568" s="621"/>
      <c r="UFO568" s="621"/>
      <c r="UFS568" s="621"/>
      <c r="UFW568" s="621"/>
      <c r="UGA568" s="621"/>
      <c r="UGE568" s="621"/>
      <c r="UGI568" s="621"/>
      <c r="UGM568" s="621"/>
      <c r="UGQ568" s="621"/>
      <c r="UGU568" s="621"/>
      <c r="UGY568" s="621"/>
      <c r="UHC568" s="621"/>
      <c r="UHG568" s="621"/>
      <c r="UHK568" s="621"/>
      <c r="UHO568" s="621"/>
      <c r="UHS568" s="621"/>
      <c r="UHW568" s="621"/>
      <c r="UIA568" s="621"/>
      <c r="UIE568" s="621"/>
      <c r="UII568" s="621"/>
      <c r="UIM568" s="621"/>
      <c r="UIQ568" s="621"/>
      <c r="UIU568" s="621"/>
      <c r="UIY568" s="621"/>
      <c r="UJC568" s="621"/>
      <c r="UJG568" s="621"/>
      <c r="UJK568" s="621"/>
      <c r="UJO568" s="621"/>
      <c r="UJS568" s="621"/>
      <c r="UJW568" s="621"/>
      <c r="UKA568" s="621"/>
      <c r="UKE568" s="621"/>
      <c r="UKI568" s="621"/>
      <c r="UKM568" s="621"/>
      <c r="UKQ568" s="621"/>
      <c r="UKU568" s="621"/>
      <c r="UKY568" s="621"/>
      <c r="ULC568" s="621"/>
      <c r="ULG568" s="621"/>
      <c r="ULK568" s="621"/>
      <c r="ULO568" s="621"/>
      <c r="ULS568" s="621"/>
      <c r="ULW568" s="621"/>
      <c r="UMA568" s="621"/>
      <c r="UME568" s="621"/>
      <c r="UMI568" s="621"/>
      <c r="UMM568" s="621"/>
      <c r="UMQ568" s="621"/>
      <c r="UMU568" s="621"/>
      <c r="UMY568" s="621"/>
      <c r="UNC568" s="621"/>
      <c r="UNG568" s="621"/>
      <c r="UNK568" s="621"/>
      <c r="UNO568" s="621"/>
      <c r="UNS568" s="621"/>
      <c r="UNW568" s="621"/>
      <c r="UOA568" s="621"/>
      <c r="UOE568" s="621"/>
      <c r="UOI568" s="621"/>
      <c r="UOM568" s="621"/>
      <c r="UOQ568" s="621"/>
      <c r="UOU568" s="621"/>
      <c r="UOY568" s="621"/>
      <c r="UPC568" s="621"/>
      <c r="UPG568" s="621"/>
      <c r="UPK568" s="621"/>
      <c r="UPO568" s="621"/>
      <c r="UPS568" s="621"/>
      <c r="UPW568" s="621"/>
      <c r="UQA568" s="621"/>
      <c r="UQE568" s="621"/>
      <c r="UQI568" s="621"/>
      <c r="UQM568" s="621"/>
      <c r="UQQ568" s="621"/>
      <c r="UQU568" s="621"/>
      <c r="UQY568" s="621"/>
      <c r="URC568" s="621"/>
      <c r="URG568" s="621"/>
      <c r="URK568" s="621"/>
      <c r="URO568" s="621"/>
      <c r="URS568" s="621"/>
      <c r="URW568" s="621"/>
      <c r="USA568" s="621"/>
      <c r="USE568" s="621"/>
      <c r="USI568" s="621"/>
      <c r="USM568" s="621"/>
      <c r="USQ568" s="621"/>
      <c r="USU568" s="621"/>
      <c r="USY568" s="621"/>
      <c r="UTC568" s="621"/>
      <c r="UTG568" s="621"/>
      <c r="UTK568" s="621"/>
      <c r="UTO568" s="621"/>
      <c r="UTS568" s="621"/>
      <c r="UTW568" s="621"/>
      <c r="UUA568" s="621"/>
      <c r="UUE568" s="621"/>
      <c r="UUI568" s="621"/>
      <c r="UUM568" s="621"/>
      <c r="UUQ568" s="621"/>
      <c r="UUU568" s="621"/>
      <c r="UUY568" s="621"/>
      <c r="UVC568" s="621"/>
      <c r="UVG568" s="621"/>
      <c r="UVK568" s="621"/>
      <c r="UVO568" s="621"/>
      <c r="UVS568" s="621"/>
      <c r="UVW568" s="621"/>
      <c r="UWA568" s="621"/>
      <c r="UWE568" s="621"/>
      <c r="UWI568" s="621"/>
      <c r="UWM568" s="621"/>
      <c r="UWQ568" s="621"/>
      <c r="UWU568" s="621"/>
      <c r="UWY568" s="621"/>
      <c r="UXC568" s="621"/>
      <c r="UXG568" s="621"/>
      <c r="UXK568" s="621"/>
      <c r="UXO568" s="621"/>
      <c r="UXS568" s="621"/>
      <c r="UXW568" s="621"/>
      <c r="UYA568" s="621"/>
      <c r="UYE568" s="621"/>
      <c r="UYI568" s="621"/>
      <c r="UYM568" s="621"/>
      <c r="UYQ568" s="621"/>
      <c r="UYU568" s="621"/>
      <c r="UYY568" s="621"/>
      <c r="UZC568" s="621"/>
      <c r="UZG568" s="621"/>
      <c r="UZK568" s="621"/>
      <c r="UZO568" s="621"/>
      <c r="UZS568" s="621"/>
      <c r="UZW568" s="621"/>
      <c r="VAA568" s="621"/>
      <c r="VAE568" s="621"/>
      <c r="VAI568" s="621"/>
      <c r="VAM568" s="621"/>
      <c r="VAQ568" s="621"/>
      <c r="VAU568" s="621"/>
      <c r="VAY568" s="621"/>
      <c r="VBC568" s="621"/>
      <c r="VBG568" s="621"/>
      <c r="VBK568" s="621"/>
      <c r="VBO568" s="621"/>
      <c r="VBS568" s="621"/>
      <c r="VBW568" s="621"/>
      <c r="VCA568" s="621"/>
      <c r="VCE568" s="621"/>
      <c r="VCI568" s="621"/>
      <c r="VCM568" s="621"/>
      <c r="VCQ568" s="621"/>
      <c r="VCU568" s="621"/>
      <c r="VCY568" s="621"/>
      <c r="VDC568" s="621"/>
      <c r="VDG568" s="621"/>
      <c r="VDK568" s="621"/>
      <c r="VDO568" s="621"/>
      <c r="VDS568" s="621"/>
      <c r="VDW568" s="621"/>
      <c r="VEA568" s="621"/>
      <c r="VEE568" s="621"/>
      <c r="VEI568" s="621"/>
      <c r="VEM568" s="621"/>
      <c r="VEQ568" s="621"/>
      <c r="VEU568" s="621"/>
      <c r="VEY568" s="621"/>
      <c r="VFC568" s="621"/>
      <c r="VFG568" s="621"/>
      <c r="VFK568" s="621"/>
      <c r="VFO568" s="621"/>
      <c r="VFS568" s="621"/>
      <c r="VFW568" s="621"/>
      <c r="VGA568" s="621"/>
      <c r="VGE568" s="621"/>
      <c r="VGI568" s="621"/>
      <c r="VGM568" s="621"/>
      <c r="VGQ568" s="621"/>
      <c r="VGU568" s="621"/>
      <c r="VGY568" s="621"/>
      <c r="VHC568" s="621"/>
      <c r="VHG568" s="621"/>
      <c r="VHK568" s="621"/>
      <c r="VHO568" s="621"/>
      <c r="VHS568" s="621"/>
      <c r="VHW568" s="621"/>
      <c r="VIA568" s="621"/>
      <c r="VIE568" s="621"/>
      <c r="VII568" s="621"/>
      <c r="VIM568" s="621"/>
      <c r="VIQ568" s="621"/>
      <c r="VIU568" s="621"/>
      <c r="VIY568" s="621"/>
      <c r="VJC568" s="621"/>
      <c r="VJG568" s="621"/>
      <c r="VJK568" s="621"/>
      <c r="VJO568" s="621"/>
      <c r="VJS568" s="621"/>
      <c r="VJW568" s="621"/>
      <c r="VKA568" s="621"/>
      <c r="VKE568" s="621"/>
      <c r="VKI568" s="621"/>
      <c r="VKM568" s="621"/>
      <c r="VKQ568" s="621"/>
      <c r="VKU568" s="621"/>
      <c r="VKY568" s="621"/>
      <c r="VLC568" s="621"/>
      <c r="VLG568" s="621"/>
      <c r="VLK568" s="621"/>
      <c r="VLO568" s="621"/>
      <c r="VLS568" s="621"/>
      <c r="VLW568" s="621"/>
      <c r="VMA568" s="621"/>
      <c r="VME568" s="621"/>
      <c r="VMI568" s="621"/>
      <c r="VMM568" s="621"/>
      <c r="VMQ568" s="621"/>
      <c r="VMU568" s="621"/>
      <c r="VMY568" s="621"/>
      <c r="VNC568" s="621"/>
      <c r="VNG568" s="621"/>
      <c r="VNK568" s="621"/>
      <c r="VNO568" s="621"/>
      <c r="VNS568" s="621"/>
      <c r="VNW568" s="621"/>
      <c r="VOA568" s="621"/>
      <c r="VOE568" s="621"/>
      <c r="VOI568" s="621"/>
      <c r="VOM568" s="621"/>
      <c r="VOQ568" s="621"/>
      <c r="VOU568" s="621"/>
      <c r="VOY568" s="621"/>
      <c r="VPC568" s="621"/>
      <c r="VPG568" s="621"/>
      <c r="VPK568" s="621"/>
      <c r="VPO568" s="621"/>
      <c r="VPS568" s="621"/>
      <c r="VPW568" s="621"/>
      <c r="VQA568" s="621"/>
      <c r="VQE568" s="621"/>
      <c r="VQI568" s="621"/>
      <c r="VQM568" s="621"/>
      <c r="VQQ568" s="621"/>
      <c r="VQU568" s="621"/>
      <c r="VQY568" s="621"/>
      <c r="VRC568" s="621"/>
      <c r="VRG568" s="621"/>
      <c r="VRK568" s="621"/>
      <c r="VRO568" s="621"/>
      <c r="VRS568" s="621"/>
      <c r="VRW568" s="621"/>
      <c r="VSA568" s="621"/>
      <c r="VSE568" s="621"/>
      <c r="VSI568" s="621"/>
      <c r="VSM568" s="621"/>
      <c r="VSQ568" s="621"/>
      <c r="VSU568" s="621"/>
      <c r="VSY568" s="621"/>
      <c r="VTC568" s="621"/>
      <c r="VTG568" s="621"/>
      <c r="VTK568" s="621"/>
      <c r="VTO568" s="621"/>
      <c r="VTS568" s="621"/>
      <c r="VTW568" s="621"/>
      <c r="VUA568" s="621"/>
      <c r="VUE568" s="621"/>
      <c r="VUI568" s="621"/>
      <c r="VUM568" s="621"/>
      <c r="VUQ568" s="621"/>
      <c r="VUU568" s="621"/>
      <c r="VUY568" s="621"/>
      <c r="VVC568" s="621"/>
      <c r="VVG568" s="621"/>
      <c r="VVK568" s="621"/>
      <c r="VVO568" s="621"/>
      <c r="VVS568" s="621"/>
      <c r="VVW568" s="621"/>
      <c r="VWA568" s="621"/>
      <c r="VWE568" s="621"/>
      <c r="VWI568" s="621"/>
      <c r="VWM568" s="621"/>
      <c r="VWQ568" s="621"/>
      <c r="VWU568" s="621"/>
      <c r="VWY568" s="621"/>
      <c r="VXC568" s="621"/>
      <c r="VXG568" s="621"/>
      <c r="VXK568" s="621"/>
      <c r="VXO568" s="621"/>
      <c r="VXS568" s="621"/>
      <c r="VXW568" s="621"/>
      <c r="VYA568" s="621"/>
      <c r="VYE568" s="621"/>
      <c r="VYI568" s="621"/>
      <c r="VYM568" s="621"/>
      <c r="VYQ568" s="621"/>
      <c r="VYU568" s="621"/>
      <c r="VYY568" s="621"/>
      <c r="VZC568" s="621"/>
      <c r="VZG568" s="621"/>
      <c r="VZK568" s="621"/>
      <c r="VZO568" s="621"/>
      <c r="VZS568" s="621"/>
      <c r="VZW568" s="621"/>
      <c r="WAA568" s="621"/>
      <c r="WAE568" s="621"/>
      <c r="WAI568" s="621"/>
      <c r="WAM568" s="621"/>
      <c r="WAQ568" s="621"/>
      <c r="WAU568" s="621"/>
      <c r="WAY568" s="621"/>
      <c r="WBC568" s="621"/>
      <c r="WBG568" s="621"/>
      <c r="WBK568" s="621"/>
      <c r="WBO568" s="621"/>
      <c r="WBS568" s="621"/>
      <c r="WBW568" s="621"/>
      <c r="WCA568" s="621"/>
      <c r="WCE568" s="621"/>
      <c r="WCI568" s="621"/>
      <c r="WCM568" s="621"/>
      <c r="WCQ568" s="621"/>
      <c r="WCU568" s="621"/>
      <c r="WCY568" s="621"/>
      <c r="WDC568" s="621"/>
      <c r="WDG568" s="621"/>
      <c r="WDK568" s="621"/>
      <c r="WDO568" s="621"/>
      <c r="WDS568" s="621"/>
      <c r="WDW568" s="621"/>
      <c r="WEA568" s="621"/>
      <c r="WEE568" s="621"/>
      <c r="WEI568" s="621"/>
      <c r="WEM568" s="621"/>
      <c r="WEQ568" s="621"/>
      <c r="WEU568" s="621"/>
      <c r="WEY568" s="621"/>
      <c r="WFC568" s="621"/>
      <c r="WFG568" s="621"/>
      <c r="WFK568" s="621"/>
      <c r="WFO568" s="621"/>
      <c r="WFS568" s="621"/>
      <c r="WFW568" s="621"/>
      <c r="WGA568" s="621"/>
      <c r="WGE568" s="621"/>
      <c r="WGI568" s="621"/>
      <c r="WGM568" s="621"/>
      <c r="WGQ568" s="621"/>
      <c r="WGU568" s="621"/>
      <c r="WGY568" s="621"/>
      <c r="WHC568" s="621"/>
      <c r="WHG568" s="621"/>
      <c r="WHK568" s="621"/>
      <c r="WHO568" s="621"/>
      <c r="WHS568" s="621"/>
      <c r="WHW568" s="621"/>
      <c r="WIA568" s="621"/>
      <c r="WIE568" s="621"/>
      <c r="WII568" s="621"/>
      <c r="WIM568" s="621"/>
      <c r="WIQ568" s="621"/>
      <c r="WIU568" s="621"/>
      <c r="WIY568" s="621"/>
      <c r="WJC568" s="621"/>
      <c r="WJG568" s="621"/>
      <c r="WJK568" s="621"/>
      <c r="WJO568" s="621"/>
      <c r="WJS568" s="621"/>
      <c r="WJW568" s="621"/>
      <c r="WKA568" s="621"/>
      <c r="WKE568" s="621"/>
      <c r="WKI568" s="621"/>
      <c r="WKM568" s="621"/>
      <c r="WKQ568" s="621"/>
      <c r="WKU568" s="621"/>
      <c r="WKY568" s="621"/>
      <c r="WLC568" s="621"/>
      <c r="WLG568" s="621"/>
      <c r="WLK568" s="621"/>
      <c r="WLO568" s="621"/>
      <c r="WLS568" s="621"/>
      <c r="WLW568" s="621"/>
      <c r="WMA568" s="621"/>
      <c r="WME568" s="621"/>
      <c r="WMI568" s="621"/>
      <c r="WMM568" s="621"/>
      <c r="WMQ568" s="621"/>
      <c r="WMU568" s="621"/>
      <c r="WMY568" s="621"/>
      <c r="WNC568" s="621"/>
      <c r="WNG568" s="621"/>
      <c r="WNK568" s="621"/>
      <c r="WNO568" s="621"/>
      <c r="WNS568" s="621"/>
      <c r="WNW568" s="621"/>
      <c r="WOA568" s="621"/>
      <c r="WOE568" s="621"/>
      <c r="WOI568" s="621"/>
      <c r="WOM568" s="621"/>
      <c r="WOQ568" s="621"/>
      <c r="WOU568" s="621"/>
      <c r="WOY568" s="621"/>
      <c r="WPC568" s="621"/>
      <c r="WPG568" s="621"/>
      <c r="WPK568" s="621"/>
      <c r="WPO568" s="621"/>
      <c r="WPS568" s="621"/>
      <c r="WPW568" s="621"/>
      <c r="WQA568" s="621"/>
      <c r="WQE568" s="621"/>
      <c r="WQI568" s="621"/>
      <c r="WQM568" s="621"/>
      <c r="WQQ568" s="621"/>
      <c r="WQU568" s="621"/>
      <c r="WQY568" s="621"/>
      <c r="WRC568" s="621"/>
      <c r="WRG568" s="621"/>
      <c r="WRK568" s="621"/>
      <c r="WRO568" s="621"/>
      <c r="WRS568" s="621"/>
      <c r="WRW568" s="621"/>
      <c r="WSA568" s="621"/>
      <c r="WSE568" s="621"/>
      <c r="WSI568" s="621"/>
      <c r="WSM568" s="621"/>
      <c r="WSQ568" s="621"/>
      <c r="WSU568" s="621"/>
      <c r="WSY568" s="621"/>
      <c r="WTC568" s="621"/>
      <c r="WTG568" s="621"/>
      <c r="WTK568" s="621"/>
      <c r="WTO568" s="621"/>
      <c r="WTS568" s="621"/>
      <c r="WTW568" s="621"/>
      <c r="WUA568" s="621"/>
      <c r="WUE568" s="621"/>
      <c r="WUI568" s="621"/>
      <c r="WUM568" s="621"/>
      <c r="WUQ568" s="621"/>
      <c r="WUU568" s="621"/>
      <c r="WUY568" s="621"/>
      <c r="WVC568" s="621"/>
      <c r="WVG568" s="621"/>
      <c r="WVK568" s="621"/>
      <c r="WVO568" s="621"/>
      <c r="WVS568" s="621"/>
      <c r="WVW568" s="621"/>
      <c r="WWA568" s="621"/>
      <c r="WWE568" s="621"/>
      <c r="WWI568" s="621"/>
      <c r="WWM568" s="621"/>
      <c r="WWQ568" s="621"/>
      <c r="WWU568" s="621"/>
      <c r="WWY568" s="621"/>
      <c r="WXC568" s="621"/>
      <c r="WXG568" s="621"/>
      <c r="WXK568" s="621"/>
      <c r="WXO568" s="621"/>
      <c r="WXS568" s="621"/>
      <c r="WXW568" s="621"/>
      <c r="WYA568" s="621"/>
      <c r="WYE568" s="621"/>
      <c r="WYI568" s="621"/>
      <c r="WYM568" s="621"/>
      <c r="WYQ568" s="621"/>
      <c r="WYU568" s="621"/>
      <c r="WYY568" s="621"/>
      <c r="WZC568" s="621"/>
      <c r="WZG568" s="621"/>
      <c r="WZK568" s="621"/>
      <c r="WZO568" s="621"/>
      <c r="WZS568" s="621"/>
      <c r="WZW568" s="621"/>
      <c r="XAA568" s="621"/>
      <c r="XAE568" s="621"/>
      <c r="XAI568" s="621"/>
      <c r="XAM568" s="621"/>
      <c r="XAQ568" s="621"/>
      <c r="XAU568" s="621"/>
      <c r="XAY568" s="621"/>
      <c r="XBC568" s="621"/>
      <c r="XBG568" s="621"/>
      <c r="XBK568" s="621"/>
      <c r="XBO568" s="621"/>
      <c r="XBS568" s="621"/>
      <c r="XBW568" s="621"/>
      <c r="XCA568" s="621"/>
      <c r="XCE568" s="621"/>
      <c r="XCI568" s="621"/>
      <c r="XCM568" s="621"/>
      <c r="XCQ568" s="621"/>
      <c r="XCU568" s="621"/>
      <c r="XCY568" s="621"/>
      <c r="XDC568" s="621"/>
      <c r="XDG568" s="621"/>
      <c r="XDK568" s="621"/>
      <c r="XDO568" s="621"/>
      <c r="XDS568" s="621"/>
      <c r="XDW568" s="621"/>
      <c r="XEA568" s="621"/>
      <c r="XEE568" s="621"/>
      <c r="XEI568" s="621"/>
      <c r="XEM568" s="621"/>
      <c r="XEQ568" s="621"/>
      <c r="XEU568" s="621"/>
      <c r="XEY568" s="621"/>
    </row>
    <row r="569" spans="1:16382" s="622" customFormat="1" ht="15" customHeight="1">
      <c r="A569" s="663"/>
      <c r="B569" s="667"/>
      <c r="C569" s="621"/>
      <c r="D569" s="618"/>
      <c r="E569" s="619"/>
      <c r="F569"/>
      <c r="G569" s="186"/>
      <c r="H569"/>
      <c r="I569"/>
      <c r="J569"/>
      <c r="K569"/>
      <c r="L569"/>
      <c r="M569" s="617" t="s">
        <v>2264</v>
      </c>
      <c r="N569"/>
      <c r="O569" s="621"/>
      <c r="P569"/>
      <c r="S569" s="621"/>
      <c r="W569" s="621"/>
      <c r="AA569" s="621"/>
      <c r="AE569" s="621"/>
      <c r="AI569" s="621"/>
      <c r="AM569" s="621"/>
      <c r="AQ569" s="621"/>
      <c r="AU569" s="621"/>
      <c r="AY569" s="621"/>
      <c r="BC569" s="621"/>
      <c r="BG569" s="621"/>
      <c r="BK569" s="621"/>
      <c r="BO569" s="621"/>
      <c r="BS569" s="621"/>
      <c r="BW569" s="621"/>
      <c r="CA569" s="621"/>
      <c r="CE569" s="621"/>
      <c r="CI569" s="621"/>
      <c r="CM569" s="621"/>
      <c r="CQ569" s="621"/>
      <c r="CU569" s="621"/>
      <c r="CY569" s="621"/>
      <c r="DC569" s="621"/>
      <c r="DG569" s="621"/>
      <c r="DK569" s="621"/>
      <c r="DO569" s="621"/>
      <c r="DS569" s="621"/>
      <c r="DW569" s="621"/>
      <c r="EA569" s="621"/>
      <c r="EE569" s="621"/>
      <c r="EI569" s="621"/>
      <c r="EM569" s="621"/>
      <c r="EQ569" s="621"/>
      <c r="EU569" s="621"/>
      <c r="EY569" s="621"/>
      <c r="FC569" s="621"/>
      <c r="FG569" s="621"/>
      <c r="FK569" s="621"/>
      <c r="FO569" s="621"/>
      <c r="FS569" s="621"/>
      <c r="FW569" s="621"/>
      <c r="GA569" s="621"/>
      <c r="GE569" s="621"/>
      <c r="GI569" s="621"/>
      <c r="GM569" s="621"/>
      <c r="GQ569" s="621"/>
      <c r="GU569" s="621"/>
      <c r="GY569" s="621"/>
      <c r="HC569" s="621"/>
      <c r="HG569" s="621"/>
      <c r="HK569" s="621"/>
      <c r="HO569" s="621"/>
      <c r="HS569" s="621"/>
      <c r="HW569" s="621"/>
      <c r="IA569" s="621"/>
      <c r="IE569" s="621"/>
      <c r="II569" s="621"/>
      <c r="IM569" s="621"/>
      <c r="IQ569" s="621"/>
      <c r="IU569" s="621"/>
      <c r="IY569" s="621"/>
      <c r="JC569" s="621"/>
      <c r="JG569" s="621"/>
      <c r="JK569" s="621"/>
      <c r="JO569" s="621"/>
      <c r="JS569" s="621"/>
      <c r="JW569" s="621"/>
      <c r="KA569" s="621"/>
      <c r="KE569" s="621"/>
      <c r="KI569" s="621"/>
      <c r="KM569" s="621"/>
      <c r="KQ569" s="621"/>
      <c r="KU569" s="621"/>
      <c r="KY569" s="621"/>
      <c r="LC569" s="621"/>
      <c r="LG569" s="621"/>
      <c r="LK569" s="621"/>
      <c r="LO569" s="621"/>
      <c r="LS569" s="621"/>
      <c r="LW569" s="621"/>
      <c r="MA569" s="621"/>
      <c r="ME569" s="621"/>
      <c r="MI569" s="621"/>
      <c r="MM569" s="621"/>
      <c r="MQ569" s="621"/>
      <c r="MU569" s="621"/>
      <c r="MY569" s="621"/>
      <c r="NC569" s="621"/>
      <c r="NG569" s="621"/>
      <c r="NK569" s="621"/>
      <c r="NO569" s="621"/>
      <c r="NS569" s="621"/>
      <c r="NW569" s="621"/>
      <c r="OA569" s="621"/>
      <c r="OE569" s="621"/>
      <c r="OI569" s="621"/>
      <c r="OM569" s="621"/>
      <c r="OQ569" s="621"/>
      <c r="OU569" s="621"/>
      <c r="OY569" s="621"/>
      <c r="PC569" s="621"/>
      <c r="PG569" s="621"/>
      <c r="PK569" s="621"/>
      <c r="PO569" s="621"/>
      <c r="PS569" s="621"/>
      <c r="PW569" s="621"/>
      <c r="QA569" s="621"/>
      <c r="QE569" s="621"/>
      <c r="QI569" s="621"/>
      <c r="QM569" s="621"/>
      <c r="QQ569" s="621"/>
      <c r="QU569" s="621"/>
      <c r="QY569" s="621"/>
      <c r="RC569" s="621"/>
      <c r="RG569" s="621"/>
      <c r="RK569" s="621"/>
      <c r="RO569" s="621"/>
      <c r="RS569" s="621"/>
      <c r="RW569" s="621"/>
      <c r="SA569" s="621"/>
      <c r="SE569" s="621"/>
      <c r="SI569" s="621"/>
      <c r="SM569" s="621"/>
      <c r="SQ569" s="621"/>
      <c r="SU569" s="621"/>
      <c r="SY569" s="621"/>
      <c r="TC569" s="621"/>
      <c r="TG569" s="621"/>
      <c r="TK569" s="621"/>
      <c r="TO569" s="621"/>
      <c r="TS569" s="621"/>
      <c r="TW569" s="621"/>
      <c r="UA569" s="621"/>
      <c r="UE569" s="621"/>
      <c r="UI569" s="621"/>
      <c r="UM569" s="621"/>
      <c r="UQ569" s="621"/>
      <c r="UU569" s="621"/>
      <c r="UY569" s="621"/>
      <c r="VC569" s="621"/>
      <c r="VG569" s="621"/>
      <c r="VK569" s="621"/>
      <c r="VO569" s="621"/>
      <c r="VS569" s="621"/>
      <c r="VW569" s="621"/>
      <c r="WA569" s="621"/>
      <c r="WE569" s="621"/>
      <c r="WI569" s="621"/>
      <c r="WM569" s="621"/>
      <c r="WQ569" s="621"/>
      <c r="WU569" s="621"/>
      <c r="WY569" s="621"/>
      <c r="XC569" s="621"/>
      <c r="XG569" s="621"/>
      <c r="XK569" s="621"/>
      <c r="XO569" s="621"/>
      <c r="XS569" s="621"/>
      <c r="XW569" s="621"/>
      <c r="YA569" s="621"/>
      <c r="YE569" s="621"/>
      <c r="YI569" s="621"/>
      <c r="YM569" s="621"/>
      <c r="YQ569" s="621"/>
      <c r="YU569" s="621"/>
      <c r="YY569" s="621"/>
      <c r="ZC569" s="621"/>
      <c r="ZG569" s="621"/>
      <c r="ZK569" s="621"/>
      <c r="ZO569" s="621"/>
      <c r="ZS569" s="621"/>
      <c r="ZW569" s="621"/>
      <c r="AAA569" s="621"/>
      <c r="AAE569" s="621"/>
      <c r="AAI569" s="621"/>
      <c r="AAM569" s="621"/>
      <c r="AAQ569" s="621"/>
      <c r="AAU569" s="621"/>
      <c r="AAY569" s="621"/>
      <c r="ABC569" s="621"/>
      <c r="ABG569" s="621"/>
      <c r="ABK569" s="621"/>
      <c r="ABO569" s="621"/>
      <c r="ABS569" s="621"/>
      <c r="ABW569" s="621"/>
      <c r="ACA569" s="621"/>
      <c r="ACE569" s="621"/>
      <c r="ACI569" s="621"/>
      <c r="ACM569" s="621"/>
      <c r="ACQ569" s="621"/>
      <c r="ACU569" s="621"/>
      <c r="ACY569" s="621"/>
      <c r="ADC569" s="621"/>
      <c r="ADG569" s="621"/>
      <c r="ADK569" s="621"/>
      <c r="ADO569" s="621"/>
      <c r="ADS569" s="621"/>
      <c r="ADW569" s="621"/>
      <c r="AEA569" s="621"/>
      <c r="AEE569" s="621"/>
      <c r="AEI569" s="621"/>
      <c r="AEM569" s="621"/>
      <c r="AEQ569" s="621"/>
      <c r="AEU569" s="621"/>
      <c r="AEY569" s="621"/>
      <c r="AFC569" s="621"/>
      <c r="AFG569" s="621"/>
      <c r="AFK569" s="621"/>
      <c r="AFO569" s="621"/>
      <c r="AFS569" s="621"/>
      <c r="AFW569" s="621"/>
      <c r="AGA569" s="621"/>
      <c r="AGE569" s="621"/>
      <c r="AGI569" s="621"/>
      <c r="AGM569" s="621"/>
      <c r="AGQ569" s="621"/>
      <c r="AGU569" s="621"/>
      <c r="AGY569" s="621"/>
      <c r="AHC569" s="621"/>
      <c r="AHG569" s="621"/>
      <c r="AHK569" s="621"/>
      <c r="AHO569" s="621"/>
      <c r="AHS569" s="621"/>
      <c r="AHW569" s="621"/>
      <c r="AIA569" s="621"/>
      <c r="AIE569" s="621"/>
      <c r="AII569" s="621"/>
      <c r="AIM569" s="621"/>
      <c r="AIQ569" s="621"/>
      <c r="AIU569" s="621"/>
      <c r="AIY569" s="621"/>
      <c r="AJC569" s="621"/>
      <c r="AJG569" s="621"/>
      <c r="AJK569" s="621"/>
      <c r="AJO569" s="621"/>
      <c r="AJS569" s="621"/>
      <c r="AJW569" s="621"/>
      <c r="AKA569" s="621"/>
      <c r="AKE569" s="621"/>
      <c r="AKI569" s="621"/>
      <c r="AKM569" s="621"/>
      <c r="AKQ569" s="621"/>
      <c r="AKU569" s="621"/>
      <c r="AKY569" s="621"/>
      <c r="ALC569" s="621"/>
      <c r="ALG569" s="621"/>
      <c r="ALK569" s="621"/>
      <c r="ALO569" s="621"/>
      <c r="ALS569" s="621"/>
      <c r="ALW569" s="621"/>
      <c r="AMA569" s="621"/>
      <c r="AME569" s="621"/>
      <c r="AMI569" s="621"/>
      <c r="AMM569" s="621"/>
      <c r="AMQ569" s="621"/>
      <c r="AMU569" s="621"/>
      <c r="AMY569" s="621"/>
      <c r="ANC569" s="621"/>
      <c r="ANG569" s="621"/>
      <c r="ANK569" s="621"/>
      <c r="ANO569" s="621"/>
      <c r="ANS569" s="621"/>
      <c r="ANW569" s="621"/>
      <c r="AOA569" s="621"/>
      <c r="AOE569" s="621"/>
      <c r="AOI569" s="621"/>
      <c r="AOM569" s="621"/>
      <c r="AOQ569" s="621"/>
      <c r="AOU569" s="621"/>
      <c r="AOY569" s="621"/>
      <c r="APC569" s="621"/>
      <c r="APG569" s="621"/>
      <c r="APK569" s="621"/>
      <c r="APO569" s="621"/>
      <c r="APS569" s="621"/>
      <c r="APW569" s="621"/>
      <c r="AQA569" s="621"/>
      <c r="AQE569" s="621"/>
      <c r="AQI569" s="621"/>
      <c r="AQM569" s="621"/>
      <c r="AQQ569" s="621"/>
      <c r="AQU569" s="621"/>
      <c r="AQY569" s="621"/>
      <c r="ARC569" s="621"/>
      <c r="ARG569" s="621"/>
      <c r="ARK569" s="621"/>
      <c r="ARO569" s="621"/>
      <c r="ARS569" s="621"/>
      <c r="ARW569" s="621"/>
      <c r="ASA569" s="621"/>
      <c r="ASE569" s="621"/>
      <c r="ASI569" s="621"/>
      <c r="ASM569" s="621"/>
      <c r="ASQ569" s="621"/>
      <c r="ASU569" s="621"/>
      <c r="ASY569" s="621"/>
      <c r="ATC569" s="621"/>
      <c r="ATG569" s="621"/>
      <c r="ATK569" s="621"/>
      <c r="ATO569" s="621"/>
      <c r="ATS569" s="621"/>
      <c r="ATW569" s="621"/>
      <c r="AUA569" s="621"/>
      <c r="AUE569" s="621"/>
      <c r="AUI569" s="621"/>
      <c r="AUM569" s="621"/>
      <c r="AUQ569" s="621"/>
      <c r="AUU569" s="621"/>
      <c r="AUY569" s="621"/>
      <c r="AVC569" s="621"/>
      <c r="AVG569" s="621"/>
      <c r="AVK569" s="621"/>
      <c r="AVO569" s="621"/>
      <c r="AVS569" s="621"/>
      <c r="AVW569" s="621"/>
      <c r="AWA569" s="621"/>
      <c r="AWE569" s="621"/>
      <c r="AWI569" s="621"/>
      <c r="AWM569" s="621"/>
      <c r="AWQ569" s="621"/>
      <c r="AWU569" s="621"/>
      <c r="AWY569" s="621"/>
      <c r="AXC569" s="621"/>
      <c r="AXG569" s="621"/>
      <c r="AXK569" s="621"/>
      <c r="AXO569" s="621"/>
      <c r="AXS569" s="621"/>
      <c r="AXW569" s="621"/>
      <c r="AYA569" s="621"/>
      <c r="AYE569" s="621"/>
      <c r="AYI569" s="621"/>
      <c r="AYM569" s="621"/>
      <c r="AYQ569" s="621"/>
      <c r="AYU569" s="621"/>
      <c r="AYY569" s="621"/>
      <c r="AZC569" s="621"/>
      <c r="AZG569" s="621"/>
      <c r="AZK569" s="621"/>
      <c r="AZO569" s="621"/>
      <c r="AZS569" s="621"/>
      <c r="AZW569" s="621"/>
      <c r="BAA569" s="621"/>
      <c r="BAE569" s="621"/>
      <c r="BAI569" s="621"/>
      <c r="BAM569" s="621"/>
      <c r="BAQ569" s="621"/>
      <c r="BAU569" s="621"/>
      <c r="BAY569" s="621"/>
      <c r="BBC569" s="621"/>
      <c r="BBG569" s="621"/>
      <c r="BBK569" s="621"/>
      <c r="BBO569" s="621"/>
      <c r="BBS569" s="621"/>
      <c r="BBW569" s="621"/>
      <c r="BCA569" s="621"/>
      <c r="BCE569" s="621"/>
      <c r="BCI569" s="621"/>
      <c r="BCM569" s="621"/>
      <c r="BCQ569" s="621"/>
      <c r="BCU569" s="621"/>
      <c r="BCY569" s="621"/>
      <c r="BDC569" s="621"/>
      <c r="BDG569" s="621"/>
      <c r="BDK569" s="621"/>
      <c r="BDO569" s="621"/>
      <c r="BDS569" s="621"/>
      <c r="BDW569" s="621"/>
      <c r="BEA569" s="621"/>
      <c r="BEE569" s="621"/>
      <c r="BEI569" s="621"/>
      <c r="BEM569" s="621"/>
      <c r="BEQ569" s="621"/>
      <c r="BEU569" s="621"/>
      <c r="BEY569" s="621"/>
      <c r="BFC569" s="621"/>
      <c r="BFG569" s="621"/>
      <c r="BFK569" s="621"/>
      <c r="BFO569" s="621"/>
      <c r="BFS569" s="621"/>
      <c r="BFW569" s="621"/>
      <c r="BGA569" s="621"/>
      <c r="BGE569" s="621"/>
      <c r="BGI569" s="621"/>
      <c r="BGM569" s="621"/>
      <c r="BGQ569" s="621"/>
      <c r="BGU569" s="621"/>
      <c r="BGY569" s="621"/>
      <c r="BHC569" s="621"/>
      <c r="BHG569" s="621"/>
      <c r="BHK569" s="621"/>
      <c r="BHO569" s="621"/>
      <c r="BHS569" s="621"/>
      <c r="BHW569" s="621"/>
      <c r="BIA569" s="621"/>
      <c r="BIE569" s="621"/>
      <c r="BII569" s="621"/>
      <c r="BIM569" s="621"/>
      <c r="BIQ569" s="621"/>
      <c r="BIU569" s="621"/>
      <c r="BIY569" s="621"/>
      <c r="BJC569" s="621"/>
      <c r="BJG569" s="621"/>
      <c r="BJK569" s="621"/>
      <c r="BJO569" s="621"/>
      <c r="BJS569" s="621"/>
      <c r="BJW569" s="621"/>
      <c r="BKA569" s="621"/>
      <c r="BKE569" s="621"/>
      <c r="BKI569" s="621"/>
      <c r="BKM569" s="621"/>
      <c r="BKQ569" s="621"/>
      <c r="BKU569" s="621"/>
      <c r="BKY569" s="621"/>
      <c r="BLC569" s="621"/>
      <c r="BLG569" s="621"/>
      <c r="BLK569" s="621"/>
      <c r="BLO569" s="621"/>
      <c r="BLS569" s="621"/>
      <c r="BLW569" s="621"/>
      <c r="BMA569" s="621"/>
      <c r="BME569" s="621"/>
      <c r="BMI569" s="621"/>
      <c r="BMM569" s="621"/>
      <c r="BMQ569" s="621"/>
      <c r="BMU569" s="621"/>
      <c r="BMY569" s="621"/>
      <c r="BNC569" s="621"/>
      <c r="BNG569" s="621"/>
      <c r="BNK569" s="621"/>
      <c r="BNO569" s="621"/>
      <c r="BNS569" s="621"/>
      <c r="BNW569" s="621"/>
      <c r="BOA569" s="621"/>
      <c r="BOE569" s="621"/>
      <c r="BOI569" s="621"/>
      <c r="BOM569" s="621"/>
      <c r="BOQ569" s="621"/>
      <c r="BOU569" s="621"/>
      <c r="BOY569" s="621"/>
      <c r="BPC569" s="621"/>
      <c r="BPG569" s="621"/>
      <c r="BPK569" s="621"/>
      <c r="BPO569" s="621"/>
      <c r="BPS569" s="621"/>
      <c r="BPW569" s="621"/>
      <c r="BQA569" s="621"/>
      <c r="BQE569" s="621"/>
      <c r="BQI569" s="621"/>
      <c r="BQM569" s="621"/>
      <c r="BQQ569" s="621"/>
      <c r="BQU569" s="621"/>
      <c r="BQY569" s="621"/>
      <c r="BRC569" s="621"/>
      <c r="BRG569" s="621"/>
      <c r="BRK569" s="621"/>
      <c r="BRO569" s="621"/>
      <c r="BRS569" s="621"/>
      <c r="BRW569" s="621"/>
      <c r="BSA569" s="621"/>
      <c r="BSE569" s="621"/>
      <c r="BSI569" s="621"/>
      <c r="BSM569" s="621"/>
      <c r="BSQ569" s="621"/>
      <c r="BSU569" s="621"/>
      <c r="BSY569" s="621"/>
      <c r="BTC569" s="621"/>
      <c r="BTG569" s="621"/>
      <c r="BTK569" s="621"/>
      <c r="BTO569" s="621"/>
      <c r="BTS569" s="621"/>
      <c r="BTW569" s="621"/>
      <c r="BUA569" s="621"/>
      <c r="BUE569" s="621"/>
      <c r="BUI569" s="621"/>
      <c r="BUM569" s="621"/>
      <c r="BUQ569" s="621"/>
      <c r="BUU569" s="621"/>
      <c r="BUY569" s="621"/>
      <c r="BVC569" s="621"/>
      <c r="BVG569" s="621"/>
      <c r="BVK569" s="621"/>
      <c r="BVO569" s="621"/>
      <c r="BVS569" s="621"/>
      <c r="BVW569" s="621"/>
      <c r="BWA569" s="621"/>
      <c r="BWE569" s="621"/>
      <c r="BWI569" s="621"/>
      <c r="BWM569" s="621"/>
      <c r="BWQ569" s="621"/>
      <c r="BWU569" s="621"/>
      <c r="BWY569" s="621"/>
      <c r="BXC569" s="621"/>
      <c r="BXG569" s="621"/>
      <c r="BXK569" s="621"/>
      <c r="BXO569" s="621"/>
      <c r="BXS569" s="621"/>
      <c r="BXW569" s="621"/>
      <c r="BYA569" s="621"/>
      <c r="BYE569" s="621"/>
      <c r="BYI569" s="621"/>
      <c r="BYM569" s="621"/>
      <c r="BYQ569" s="621"/>
      <c r="BYU569" s="621"/>
      <c r="BYY569" s="621"/>
      <c r="BZC569" s="621"/>
      <c r="BZG569" s="621"/>
      <c r="BZK569" s="621"/>
      <c r="BZO569" s="621"/>
      <c r="BZS569" s="621"/>
      <c r="BZW569" s="621"/>
      <c r="CAA569" s="621"/>
      <c r="CAE569" s="621"/>
      <c r="CAI569" s="621"/>
      <c r="CAM569" s="621"/>
      <c r="CAQ569" s="621"/>
      <c r="CAU569" s="621"/>
      <c r="CAY569" s="621"/>
      <c r="CBC569" s="621"/>
      <c r="CBG569" s="621"/>
      <c r="CBK569" s="621"/>
      <c r="CBO569" s="621"/>
      <c r="CBS569" s="621"/>
      <c r="CBW569" s="621"/>
      <c r="CCA569" s="621"/>
      <c r="CCE569" s="621"/>
      <c r="CCI569" s="621"/>
      <c r="CCM569" s="621"/>
      <c r="CCQ569" s="621"/>
      <c r="CCU569" s="621"/>
      <c r="CCY569" s="621"/>
      <c r="CDC569" s="621"/>
      <c r="CDG569" s="621"/>
      <c r="CDK569" s="621"/>
      <c r="CDO569" s="621"/>
      <c r="CDS569" s="621"/>
      <c r="CDW569" s="621"/>
      <c r="CEA569" s="621"/>
      <c r="CEE569" s="621"/>
      <c r="CEI569" s="621"/>
      <c r="CEM569" s="621"/>
      <c r="CEQ569" s="621"/>
      <c r="CEU569" s="621"/>
      <c r="CEY569" s="621"/>
      <c r="CFC569" s="621"/>
      <c r="CFG569" s="621"/>
      <c r="CFK569" s="621"/>
      <c r="CFO569" s="621"/>
      <c r="CFS569" s="621"/>
      <c r="CFW569" s="621"/>
      <c r="CGA569" s="621"/>
      <c r="CGE569" s="621"/>
      <c r="CGI569" s="621"/>
      <c r="CGM569" s="621"/>
      <c r="CGQ569" s="621"/>
      <c r="CGU569" s="621"/>
      <c r="CGY569" s="621"/>
      <c r="CHC569" s="621"/>
      <c r="CHG569" s="621"/>
      <c r="CHK569" s="621"/>
      <c r="CHO569" s="621"/>
      <c r="CHS569" s="621"/>
      <c r="CHW569" s="621"/>
      <c r="CIA569" s="621"/>
      <c r="CIE569" s="621"/>
      <c r="CII569" s="621"/>
      <c r="CIM569" s="621"/>
      <c r="CIQ569" s="621"/>
      <c r="CIU569" s="621"/>
      <c r="CIY569" s="621"/>
      <c r="CJC569" s="621"/>
      <c r="CJG569" s="621"/>
      <c r="CJK569" s="621"/>
      <c r="CJO569" s="621"/>
      <c r="CJS569" s="621"/>
      <c r="CJW569" s="621"/>
      <c r="CKA569" s="621"/>
      <c r="CKE569" s="621"/>
      <c r="CKI569" s="621"/>
      <c r="CKM569" s="621"/>
      <c r="CKQ569" s="621"/>
      <c r="CKU569" s="621"/>
      <c r="CKY569" s="621"/>
      <c r="CLC569" s="621"/>
      <c r="CLG569" s="621"/>
      <c r="CLK569" s="621"/>
      <c r="CLO569" s="621"/>
      <c r="CLS569" s="621"/>
      <c r="CLW569" s="621"/>
      <c r="CMA569" s="621"/>
      <c r="CME569" s="621"/>
      <c r="CMI569" s="621"/>
      <c r="CMM569" s="621"/>
      <c r="CMQ569" s="621"/>
      <c r="CMU569" s="621"/>
      <c r="CMY569" s="621"/>
      <c r="CNC569" s="621"/>
      <c r="CNG569" s="621"/>
      <c r="CNK569" s="621"/>
      <c r="CNO569" s="621"/>
      <c r="CNS569" s="621"/>
      <c r="CNW569" s="621"/>
      <c r="COA569" s="621"/>
      <c r="COE569" s="621"/>
      <c r="COI569" s="621"/>
      <c r="COM569" s="621"/>
      <c r="COQ569" s="621"/>
      <c r="COU569" s="621"/>
      <c r="COY569" s="621"/>
      <c r="CPC569" s="621"/>
      <c r="CPG569" s="621"/>
      <c r="CPK569" s="621"/>
      <c r="CPO569" s="621"/>
      <c r="CPS569" s="621"/>
      <c r="CPW569" s="621"/>
      <c r="CQA569" s="621"/>
      <c r="CQE569" s="621"/>
      <c r="CQI569" s="621"/>
      <c r="CQM569" s="621"/>
      <c r="CQQ569" s="621"/>
      <c r="CQU569" s="621"/>
      <c r="CQY569" s="621"/>
      <c r="CRC569" s="621"/>
      <c r="CRG569" s="621"/>
      <c r="CRK569" s="621"/>
      <c r="CRO569" s="621"/>
      <c r="CRS569" s="621"/>
      <c r="CRW569" s="621"/>
      <c r="CSA569" s="621"/>
      <c r="CSE569" s="621"/>
      <c r="CSI569" s="621"/>
      <c r="CSM569" s="621"/>
      <c r="CSQ569" s="621"/>
      <c r="CSU569" s="621"/>
      <c r="CSY569" s="621"/>
      <c r="CTC569" s="621"/>
      <c r="CTG569" s="621"/>
      <c r="CTK569" s="621"/>
      <c r="CTO569" s="621"/>
      <c r="CTS569" s="621"/>
      <c r="CTW569" s="621"/>
      <c r="CUA569" s="621"/>
      <c r="CUE569" s="621"/>
      <c r="CUI569" s="621"/>
      <c r="CUM569" s="621"/>
      <c r="CUQ569" s="621"/>
      <c r="CUU569" s="621"/>
      <c r="CUY569" s="621"/>
      <c r="CVC569" s="621"/>
      <c r="CVG569" s="621"/>
      <c r="CVK569" s="621"/>
      <c r="CVO569" s="621"/>
      <c r="CVS569" s="621"/>
      <c r="CVW569" s="621"/>
      <c r="CWA569" s="621"/>
      <c r="CWE569" s="621"/>
      <c r="CWI569" s="621"/>
      <c r="CWM569" s="621"/>
      <c r="CWQ569" s="621"/>
      <c r="CWU569" s="621"/>
      <c r="CWY569" s="621"/>
      <c r="CXC569" s="621"/>
      <c r="CXG569" s="621"/>
      <c r="CXK569" s="621"/>
      <c r="CXO569" s="621"/>
      <c r="CXS569" s="621"/>
      <c r="CXW569" s="621"/>
      <c r="CYA569" s="621"/>
      <c r="CYE569" s="621"/>
      <c r="CYI569" s="621"/>
      <c r="CYM569" s="621"/>
      <c r="CYQ569" s="621"/>
      <c r="CYU569" s="621"/>
      <c r="CYY569" s="621"/>
      <c r="CZC569" s="621"/>
      <c r="CZG569" s="621"/>
      <c r="CZK569" s="621"/>
      <c r="CZO569" s="621"/>
      <c r="CZS569" s="621"/>
      <c r="CZW569" s="621"/>
      <c r="DAA569" s="621"/>
      <c r="DAE569" s="621"/>
      <c r="DAI569" s="621"/>
      <c r="DAM569" s="621"/>
      <c r="DAQ569" s="621"/>
      <c r="DAU569" s="621"/>
      <c r="DAY569" s="621"/>
      <c r="DBC569" s="621"/>
      <c r="DBG569" s="621"/>
      <c r="DBK569" s="621"/>
      <c r="DBO569" s="621"/>
      <c r="DBS569" s="621"/>
      <c r="DBW569" s="621"/>
      <c r="DCA569" s="621"/>
      <c r="DCE569" s="621"/>
      <c r="DCI569" s="621"/>
      <c r="DCM569" s="621"/>
      <c r="DCQ569" s="621"/>
      <c r="DCU569" s="621"/>
      <c r="DCY569" s="621"/>
      <c r="DDC569" s="621"/>
      <c r="DDG569" s="621"/>
      <c r="DDK569" s="621"/>
      <c r="DDO569" s="621"/>
      <c r="DDS569" s="621"/>
      <c r="DDW569" s="621"/>
      <c r="DEA569" s="621"/>
      <c r="DEE569" s="621"/>
      <c r="DEI569" s="621"/>
      <c r="DEM569" s="621"/>
      <c r="DEQ569" s="621"/>
      <c r="DEU569" s="621"/>
      <c r="DEY569" s="621"/>
      <c r="DFC569" s="621"/>
      <c r="DFG569" s="621"/>
      <c r="DFK569" s="621"/>
      <c r="DFO569" s="621"/>
      <c r="DFS569" s="621"/>
      <c r="DFW569" s="621"/>
      <c r="DGA569" s="621"/>
      <c r="DGE569" s="621"/>
      <c r="DGI569" s="621"/>
      <c r="DGM569" s="621"/>
      <c r="DGQ569" s="621"/>
      <c r="DGU569" s="621"/>
      <c r="DGY569" s="621"/>
      <c r="DHC569" s="621"/>
      <c r="DHG569" s="621"/>
      <c r="DHK569" s="621"/>
      <c r="DHO569" s="621"/>
      <c r="DHS569" s="621"/>
      <c r="DHW569" s="621"/>
      <c r="DIA569" s="621"/>
      <c r="DIE569" s="621"/>
      <c r="DII569" s="621"/>
      <c r="DIM569" s="621"/>
      <c r="DIQ569" s="621"/>
      <c r="DIU569" s="621"/>
      <c r="DIY569" s="621"/>
      <c r="DJC569" s="621"/>
      <c r="DJG569" s="621"/>
      <c r="DJK569" s="621"/>
      <c r="DJO569" s="621"/>
      <c r="DJS569" s="621"/>
      <c r="DJW569" s="621"/>
      <c r="DKA569" s="621"/>
      <c r="DKE569" s="621"/>
      <c r="DKI569" s="621"/>
      <c r="DKM569" s="621"/>
      <c r="DKQ569" s="621"/>
      <c r="DKU569" s="621"/>
      <c r="DKY569" s="621"/>
      <c r="DLC569" s="621"/>
      <c r="DLG569" s="621"/>
      <c r="DLK569" s="621"/>
      <c r="DLO569" s="621"/>
      <c r="DLS569" s="621"/>
      <c r="DLW569" s="621"/>
      <c r="DMA569" s="621"/>
      <c r="DME569" s="621"/>
      <c r="DMI569" s="621"/>
      <c r="DMM569" s="621"/>
      <c r="DMQ569" s="621"/>
      <c r="DMU569" s="621"/>
      <c r="DMY569" s="621"/>
      <c r="DNC569" s="621"/>
      <c r="DNG569" s="621"/>
      <c r="DNK569" s="621"/>
      <c r="DNO569" s="621"/>
      <c r="DNS569" s="621"/>
      <c r="DNW569" s="621"/>
      <c r="DOA569" s="621"/>
      <c r="DOE569" s="621"/>
      <c r="DOI569" s="621"/>
      <c r="DOM569" s="621"/>
      <c r="DOQ569" s="621"/>
      <c r="DOU569" s="621"/>
      <c r="DOY569" s="621"/>
      <c r="DPC569" s="621"/>
      <c r="DPG569" s="621"/>
      <c r="DPK569" s="621"/>
      <c r="DPO569" s="621"/>
      <c r="DPS569" s="621"/>
      <c r="DPW569" s="621"/>
      <c r="DQA569" s="621"/>
      <c r="DQE569" s="621"/>
      <c r="DQI569" s="621"/>
      <c r="DQM569" s="621"/>
      <c r="DQQ569" s="621"/>
      <c r="DQU569" s="621"/>
      <c r="DQY569" s="621"/>
      <c r="DRC569" s="621"/>
      <c r="DRG569" s="621"/>
      <c r="DRK569" s="621"/>
      <c r="DRO569" s="621"/>
      <c r="DRS569" s="621"/>
      <c r="DRW569" s="621"/>
      <c r="DSA569" s="621"/>
      <c r="DSE569" s="621"/>
      <c r="DSI569" s="621"/>
      <c r="DSM569" s="621"/>
      <c r="DSQ569" s="621"/>
      <c r="DSU569" s="621"/>
      <c r="DSY569" s="621"/>
      <c r="DTC569" s="621"/>
      <c r="DTG569" s="621"/>
      <c r="DTK569" s="621"/>
      <c r="DTO569" s="621"/>
      <c r="DTS569" s="621"/>
      <c r="DTW569" s="621"/>
      <c r="DUA569" s="621"/>
      <c r="DUE569" s="621"/>
      <c r="DUI569" s="621"/>
      <c r="DUM569" s="621"/>
      <c r="DUQ569" s="621"/>
      <c r="DUU569" s="621"/>
      <c r="DUY569" s="621"/>
      <c r="DVC569" s="621"/>
      <c r="DVG569" s="621"/>
      <c r="DVK569" s="621"/>
      <c r="DVO569" s="621"/>
      <c r="DVS569" s="621"/>
      <c r="DVW569" s="621"/>
      <c r="DWA569" s="621"/>
      <c r="DWE569" s="621"/>
      <c r="DWI569" s="621"/>
      <c r="DWM569" s="621"/>
      <c r="DWQ569" s="621"/>
      <c r="DWU569" s="621"/>
      <c r="DWY569" s="621"/>
      <c r="DXC569" s="621"/>
      <c r="DXG569" s="621"/>
      <c r="DXK569" s="621"/>
      <c r="DXO569" s="621"/>
      <c r="DXS569" s="621"/>
      <c r="DXW569" s="621"/>
      <c r="DYA569" s="621"/>
      <c r="DYE569" s="621"/>
      <c r="DYI569" s="621"/>
      <c r="DYM569" s="621"/>
      <c r="DYQ569" s="621"/>
      <c r="DYU569" s="621"/>
      <c r="DYY569" s="621"/>
      <c r="DZC569" s="621"/>
      <c r="DZG569" s="621"/>
      <c r="DZK569" s="621"/>
      <c r="DZO569" s="621"/>
      <c r="DZS569" s="621"/>
      <c r="DZW569" s="621"/>
      <c r="EAA569" s="621"/>
      <c r="EAE569" s="621"/>
      <c r="EAI569" s="621"/>
      <c r="EAM569" s="621"/>
      <c r="EAQ569" s="621"/>
      <c r="EAU569" s="621"/>
      <c r="EAY569" s="621"/>
      <c r="EBC569" s="621"/>
      <c r="EBG569" s="621"/>
      <c r="EBK569" s="621"/>
      <c r="EBO569" s="621"/>
      <c r="EBS569" s="621"/>
      <c r="EBW569" s="621"/>
      <c r="ECA569" s="621"/>
      <c r="ECE569" s="621"/>
      <c r="ECI569" s="621"/>
      <c r="ECM569" s="621"/>
      <c r="ECQ569" s="621"/>
      <c r="ECU569" s="621"/>
      <c r="ECY569" s="621"/>
      <c r="EDC569" s="621"/>
      <c r="EDG569" s="621"/>
      <c r="EDK569" s="621"/>
      <c r="EDO569" s="621"/>
      <c r="EDS569" s="621"/>
      <c r="EDW569" s="621"/>
      <c r="EEA569" s="621"/>
      <c r="EEE569" s="621"/>
      <c r="EEI569" s="621"/>
      <c r="EEM569" s="621"/>
      <c r="EEQ569" s="621"/>
      <c r="EEU569" s="621"/>
      <c r="EEY569" s="621"/>
      <c r="EFC569" s="621"/>
      <c r="EFG569" s="621"/>
      <c r="EFK569" s="621"/>
      <c r="EFO569" s="621"/>
      <c r="EFS569" s="621"/>
      <c r="EFW569" s="621"/>
      <c r="EGA569" s="621"/>
      <c r="EGE569" s="621"/>
      <c r="EGI569" s="621"/>
      <c r="EGM569" s="621"/>
      <c r="EGQ569" s="621"/>
      <c r="EGU569" s="621"/>
      <c r="EGY569" s="621"/>
      <c r="EHC569" s="621"/>
      <c r="EHG569" s="621"/>
      <c r="EHK569" s="621"/>
      <c r="EHO569" s="621"/>
      <c r="EHS569" s="621"/>
      <c r="EHW569" s="621"/>
      <c r="EIA569" s="621"/>
      <c r="EIE569" s="621"/>
      <c r="EII569" s="621"/>
      <c r="EIM569" s="621"/>
      <c r="EIQ569" s="621"/>
      <c r="EIU569" s="621"/>
      <c r="EIY569" s="621"/>
      <c r="EJC569" s="621"/>
      <c r="EJG569" s="621"/>
      <c r="EJK569" s="621"/>
      <c r="EJO569" s="621"/>
      <c r="EJS569" s="621"/>
      <c r="EJW569" s="621"/>
      <c r="EKA569" s="621"/>
      <c r="EKE569" s="621"/>
      <c r="EKI569" s="621"/>
      <c r="EKM569" s="621"/>
      <c r="EKQ569" s="621"/>
      <c r="EKU569" s="621"/>
      <c r="EKY569" s="621"/>
      <c r="ELC569" s="621"/>
      <c r="ELG569" s="621"/>
      <c r="ELK569" s="621"/>
      <c r="ELO569" s="621"/>
      <c r="ELS569" s="621"/>
      <c r="ELW569" s="621"/>
      <c r="EMA569" s="621"/>
      <c r="EME569" s="621"/>
      <c r="EMI569" s="621"/>
      <c r="EMM569" s="621"/>
      <c r="EMQ569" s="621"/>
      <c r="EMU569" s="621"/>
      <c r="EMY569" s="621"/>
      <c r="ENC569" s="621"/>
      <c r="ENG569" s="621"/>
      <c r="ENK569" s="621"/>
      <c r="ENO569" s="621"/>
      <c r="ENS569" s="621"/>
      <c r="ENW569" s="621"/>
      <c r="EOA569" s="621"/>
      <c r="EOE569" s="621"/>
      <c r="EOI569" s="621"/>
      <c r="EOM569" s="621"/>
      <c r="EOQ569" s="621"/>
      <c r="EOU569" s="621"/>
      <c r="EOY569" s="621"/>
      <c r="EPC569" s="621"/>
      <c r="EPG569" s="621"/>
      <c r="EPK569" s="621"/>
      <c r="EPO569" s="621"/>
      <c r="EPS569" s="621"/>
      <c r="EPW569" s="621"/>
      <c r="EQA569" s="621"/>
      <c r="EQE569" s="621"/>
      <c r="EQI569" s="621"/>
      <c r="EQM569" s="621"/>
      <c r="EQQ569" s="621"/>
      <c r="EQU569" s="621"/>
      <c r="EQY569" s="621"/>
      <c r="ERC569" s="621"/>
      <c r="ERG569" s="621"/>
      <c r="ERK569" s="621"/>
      <c r="ERO569" s="621"/>
      <c r="ERS569" s="621"/>
      <c r="ERW569" s="621"/>
      <c r="ESA569" s="621"/>
      <c r="ESE569" s="621"/>
      <c r="ESI569" s="621"/>
      <c r="ESM569" s="621"/>
      <c r="ESQ569" s="621"/>
      <c r="ESU569" s="621"/>
      <c r="ESY569" s="621"/>
      <c r="ETC569" s="621"/>
      <c r="ETG569" s="621"/>
      <c r="ETK569" s="621"/>
      <c r="ETO569" s="621"/>
      <c r="ETS569" s="621"/>
      <c r="ETW569" s="621"/>
      <c r="EUA569" s="621"/>
      <c r="EUE569" s="621"/>
      <c r="EUI569" s="621"/>
      <c r="EUM569" s="621"/>
      <c r="EUQ569" s="621"/>
      <c r="EUU569" s="621"/>
      <c r="EUY569" s="621"/>
      <c r="EVC569" s="621"/>
      <c r="EVG569" s="621"/>
      <c r="EVK569" s="621"/>
      <c r="EVO569" s="621"/>
      <c r="EVS569" s="621"/>
      <c r="EVW569" s="621"/>
      <c r="EWA569" s="621"/>
      <c r="EWE569" s="621"/>
      <c r="EWI569" s="621"/>
      <c r="EWM569" s="621"/>
      <c r="EWQ569" s="621"/>
      <c r="EWU569" s="621"/>
      <c r="EWY569" s="621"/>
      <c r="EXC569" s="621"/>
      <c r="EXG569" s="621"/>
      <c r="EXK569" s="621"/>
      <c r="EXO569" s="621"/>
      <c r="EXS569" s="621"/>
      <c r="EXW569" s="621"/>
      <c r="EYA569" s="621"/>
      <c r="EYE569" s="621"/>
      <c r="EYI569" s="621"/>
      <c r="EYM569" s="621"/>
      <c r="EYQ569" s="621"/>
      <c r="EYU569" s="621"/>
      <c r="EYY569" s="621"/>
      <c r="EZC569" s="621"/>
      <c r="EZG569" s="621"/>
      <c r="EZK569" s="621"/>
      <c r="EZO569" s="621"/>
      <c r="EZS569" s="621"/>
      <c r="EZW569" s="621"/>
      <c r="FAA569" s="621"/>
      <c r="FAE569" s="621"/>
      <c r="FAI569" s="621"/>
      <c r="FAM569" s="621"/>
      <c r="FAQ569" s="621"/>
      <c r="FAU569" s="621"/>
      <c r="FAY569" s="621"/>
      <c r="FBC569" s="621"/>
      <c r="FBG569" s="621"/>
      <c r="FBK569" s="621"/>
      <c r="FBO569" s="621"/>
      <c r="FBS569" s="621"/>
      <c r="FBW569" s="621"/>
      <c r="FCA569" s="621"/>
      <c r="FCE569" s="621"/>
      <c r="FCI569" s="621"/>
      <c r="FCM569" s="621"/>
      <c r="FCQ569" s="621"/>
      <c r="FCU569" s="621"/>
      <c r="FCY569" s="621"/>
      <c r="FDC569" s="621"/>
      <c r="FDG569" s="621"/>
      <c r="FDK569" s="621"/>
      <c r="FDO569" s="621"/>
      <c r="FDS569" s="621"/>
      <c r="FDW569" s="621"/>
      <c r="FEA569" s="621"/>
      <c r="FEE569" s="621"/>
      <c r="FEI569" s="621"/>
      <c r="FEM569" s="621"/>
      <c r="FEQ569" s="621"/>
      <c r="FEU569" s="621"/>
      <c r="FEY569" s="621"/>
      <c r="FFC569" s="621"/>
      <c r="FFG569" s="621"/>
      <c r="FFK569" s="621"/>
      <c r="FFO569" s="621"/>
      <c r="FFS569" s="621"/>
      <c r="FFW569" s="621"/>
      <c r="FGA569" s="621"/>
      <c r="FGE569" s="621"/>
      <c r="FGI569" s="621"/>
      <c r="FGM569" s="621"/>
      <c r="FGQ569" s="621"/>
      <c r="FGU569" s="621"/>
      <c r="FGY569" s="621"/>
      <c r="FHC569" s="621"/>
      <c r="FHG569" s="621"/>
      <c r="FHK569" s="621"/>
      <c r="FHO569" s="621"/>
      <c r="FHS569" s="621"/>
      <c r="FHW569" s="621"/>
      <c r="FIA569" s="621"/>
      <c r="FIE569" s="621"/>
      <c r="FII569" s="621"/>
      <c r="FIM569" s="621"/>
      <c r="FIQ569" s="621"/>
      <c r="FIU569" s="621"/>
      <c r="FIY569" s="621"/>
      <c r="FJC569" s="621"/>
      <c r="FJG569" s="621"/>
      <c r="FJK569" s="621"/>
      <c r="FJO569" s="621"/>
      <c r="FJS569" s="621"/>
      <c r="FJW569" s="621"/>
      <c r="FKA569" s="621"/>
      <c r="FKE569" s="621"/>
      <c r="FKI569" s="621"/>
      <c r="FKM569" s="621"/>
      <c r="FKQ569" s="621"/>
      <c r="FKU569" s="621"/>
      <c r="FKY569" s="621"/>
      <c r="FLC569" s="621"/>
      <c r="FLG569" s="621"/>
      <c r="FLK569" s="621"/>
      <c r="FLO569" s="621"/>
      <c r="FLS569" s="621"/>
      <c r="FLW569" s="621"/>
      <c r="FMA569" s="621"/>
      <c r="FME569" s="621"/>
      <c r="FMI569" s="621"/>
      <c r="FMM569" s="621"/>
      <c r="FMQ569" s="621"/>
      <c r="FMU569" s="621"/>
      <c r="FMY569" s="621"/>
      <c r="FNC569" s="621"/>
      <c r="FNG569" s="621"/>
      <c r="FNK569" s="621"/>
      <c r="FNO569" s="621"/>
      <c r="FNS569" s="621"/>
      <c r="FNW569" s="621"/>
      <c r="FOA569" s="621"/>
      <c r="FOE569" s="621"/>
      <c r="FOI569" s="621"/>
      <c r="FOM569" s="621"/>
      <c r="FOQ569" s="621"/>
      <c r="FOU569" s="621"/>
      <c r="FOY569" s="621"/>
      <c r="FPC569" s="621"/>
      <c r="FPG569" s="621"/>
      <c r="FPK569" s="621"/>
      <c r="FPO569" s="621"/>
      <c r="FPS569" s="621"/>
      <c r="FPW569" s="621"/>
      <c r="FQA569" s="621"/>
      <c r="FQE569" s="621"/>
      <c r="FQI569" s="621"/>
      <c r="FQM569" s="621"/>
      <c r="FQQ569" s="621"/>
      <c r="FQU569" s="621"/>
      <c r="FQY569" s="621"/>
      <c r="FRC569" s="621"/>
      <c r="FRG569" s="621"/>
      <c r="FRK569" s="621"/>
      <c r="FRO569" s="621"/>
      <c r="FRS569" s="621"/>
      <c r="FRW569" s="621"/>
      <c r="FSA569" s="621"/>
      <c r="FSE569" s="621"/>
      <c r="FSI569" s="621"/>
      <c r="FSM569" s="621"/>
      <c r="FSQ569" s="621"/>
      <c r="FSU569" s="621"/>
      <c r="FSY569" s="621"/>
      <c r="FTC569" s="621"/>
      <c r="FTG569" s="621"/>
      <c r="FTK569" s="621"/>
      <c r="FTO569" s="621"/>
      <c r="FTS569" s="621"/>
      <c r="FTW569" s="621"/>
      <c r="FUA569" s="621"/>
      <c r="FUE569" s="621"/>
      <c r="FUI569" s="621"/>
      <c r="FUM569" s="621"/>
      <c r="FUQ569" s="621"/>
      <c r="FUU569" s="621"/>
      <c r="FUY569" s="621"/>
      <c r="FVC569" s="621"/>
      <c r="FVG569" s="621"/>
      <c r="FVK569" s="621"/>
      <c r="FVO569" s="621"/>
      <c r="FVS569" s="621"/>
      <c r="FVW569" s="621"/>
      <c r="FWA569" s="621"/>
      <c r="FWE569" s="621"/>
      <c r="FWI569" s="621"/>
      <c r="FWM569" s="621"/>
      <c r="FWQ569" s="621"/>
      <c r="FWU569" s="621"/>
      <c r="FWY569" s="621"/>
      <c r="FXC569" s="621"/>
      <c r="FXG569" s="621"/>
      <c r="FXK569" s="621"/>
      <c r="FXO569" s="621"/>
      <c r="FXS569" s="621"/>
      <c r="FXW569" s="621"/>
      <c r="FYA569" s="621"/>
      <c r="FYE569" s="621"/>
      <c r="FYI569" s="621"/>
      <c r="FYM569" s="621"/>
      <c r="FYQ569" s="621"/>
      <c r="FYU569" s="621"/>
      <c r="FYY569" s="621"/>
      <c r="FZC569" s="621"/>
      <c r="FZG569" s="621"/>
      <c r="FZK569" s="621"/>
      <c r="FZO569" s="621"/>
      <c r="FZS569" s="621"/>
      <c r="FZW569" s="621"/>
      <c r="GAA569" s="621"/>
      <c r="GAE569" s="621"/>
      <c r="GAI569" s="621"/>
      <c r="GAM569" s="621"/>
      <c r="GAQ569" s="621"/>
      <c r="GAU569" s="621"/>
      <c r="GAY569" s="621"/>
      <c r="GBC569" s="621"/>
      <c r="GBG569" s="621"/>
      <c r="GBK569" s="621"/>
      <c r="GBO569" s="621"/>
      <c r="GBS569" s="621"/>
      <c r="GBW569" s="621"/>
      <c r="GCA569" s="621"/>
      <c r="GCE569" s="621"/>
      <c r="GCI569" s="621"/>
      <c r="GCM569" s="621"/>
      <c r="GCQ569" s="621"/>
      <c r="GCU569" s="621"/>
      <c r="GCY569" s="621"/>
      <c r="GDC569" s="621"/>
      <c r="GDG569" s="621"/>
      <c r="GDK569" s="621"/>
      <c r="GDO569" s="621"/>
      <c r="GDS569" s="621"/>
      <c r="GDW569" s="621"/>
      <c r="GEA569" s="621"/>
      <c r="GEE569" s="621"/>
      <c r="GEI569" s="621"/>
      <c r="GEM569" s="621"/>
      <c r="GEQ569" s="621"/>
      <c r="GEU569" s="621"/>
      <c r="GEY569" s="621"/>
      <c r="GFC569" s="621"/>
      <c r="GFG569" s="621"/>
      <c r="GFK569" s="621"/>
      <c r="GFO569" s="621"/>
      <c r="GFS569" s="621"/>
      <c r="GFW569" s="621"/>
      <c r="GGA569" s="621"/>
      <c r="GGE569" s="621"/>
      <c r="GGI569" s="621"/>
      <c r="GGM569" s="621"/>
      <c r="GGQ569" s="621"/>
      <c r="GGU569" s="621"/>
      <c r="GGY569" s="621"/>
      <c r="GHC569" s="621"/>
      <c r="GHG569" s="621"/>
      <c r="GHK569" s="621"/>
      <c r="GHO569" s="621"/>
      <c r="GHS569" s="621"/>
      <c r="GHW569" s="621"/>
      <c r="GIA569" s="621"/>
      <c r="GIE569" s="621"/>
      <c r="GII569" s="621"/>
      <c r="GIM569" s="621"/>
      <c r="GIQ569" s="621"/>
      <c r="GIU569" s="621"/>
      <c r="GIY569" s="621"/>
      <c r="GJC569" s="621"/>
      <c r="GJG569" s="621"/>
      <c r="GJK569" s="621"/>
      <c r="GJO569" s="621"/>
      <c r="GJS569" s="621"/>
      <c r="GJW569" s="621"/>
      <c r="GKA569" s="621"/>
      <c r="GKE569" s="621"/>
      <c r="GKI569" s="621"/>
      <c r="GKM569" s="621"/>
      <c r="GKQ569" s="621"/>
      <c r="GKU569" s="621"/>
      <c r="GKY569" s="621"/>
      <c r="GLC569" s="621"/>
      <c r="GLG569" s="621"/>
      <c r="GLK569" s="621"/>
      <c r="GLO569" s="621"/>
      <c r="GLS569" s="621"/>
      <c r="GLW569" s="621"/>
      <c r="GMA569" s="621"/>
      <c r="GME569" s="621"/>
      <c r="GMI569" s="621"/>
      <c r="GMM569" s="621"/>
      <c r="GMQ569" s="621"/>
      <c r="GMU569" s="621"/>
      <c r="GMY569" s="621"/>
      <c r="GNC569" s="621"/>
      <c r="GNG569" s="621"/>
      <c r="GNK569" s="621"/>
      <c r="GNO569" s="621"/>
      <c r="GNS569" s="621"/>
      <c r="GNW569" s="621"/>
      <c r="GOA569" s="621"/>
      <c r="GOE569" s="621"/>
      <c r="GOI569" s="621"/>
      <c r="GOM569" s="621"/>
      <c r="GOQ569" s="621"/>
      <c r="GOU569" s="621"/>
      <c r="GOY569" s="621"/>
      <c r="GPC569" s="621"/>
      <c r="GPG569" s="621"/>
      <c r="GPK569" s="621"/>
      <c r="GPO569" s="621"/>
      <c r="GPS569" s="621"/>
      <c r="GPW569" s="621"/>
      <c r="GQA569" s="621"/>
      <c r="GQE569" s="621"/>
      <c r="GQI569" s="621"/>
      <c r="GQM569" s="621"/>
      <c r="GQQ569" s="621"/>
      <c r="GQU569" s="621"/>
      <c r="GQY569" s="621"/>
      <c r="GRC569" s="621"/>
      <c r="GRG569" s="621"/>
      <c r="GRK569" s="621"/>
      <c r="GRO569" s="621"/>
      <c r="GRS569" s="621"/>
      <c r="GRW569" s="621"/>
      <c r="GSA569" s="621"/>
      <c r="GSE569" s="621"/>
      <c r="GSI569" s="621"/>
      <c r="GSM569" s="621"/>
      <c r="GSQ569" s="621"/>
      <c r="GSU569" s="621"/>
      <c r="GSY569" s="621"/>
      <c r="GTC569" s="621"/>
      <c r="GTG569" s="621"/>
      <c r="GTK569" s="621"/>
      <c r="GTO569" s="621"/>
      <c r="GTS569" s="621"/>
      <c r="GTW569" s="621"/>
      <c r="GUA569" s="621"/>
      <c r="GUE569" s="621"/>
      <c r="GUI569" s="621"/>
      <c r="GUM569" s="621"/>
      <c r="GUQ569" s="621"/>
      <c r="GUU569" s="621"/>
      <c r="GUY569" s="621"/>
      <c r="GVC569" s="621"/>
      <c r="GVG569" s="621"/>
      <c r="GVK569" s="621"/>
      <c r="GVO569" s="621"/>
      <c r="GVS569" s="621"/>
      <c r="GVW569" s="621"/>
      <c r="GWA569" s="621"/>
      <c r="GWE569" s="621"/>
      <c r="GWI569" s="621"/>
      <c r="GWM569" s="621"/>
      <c r="GWQ569" s="621"/>
      <c r="GWU569" s="621"/>
      <c r="GWY569" s="621"/>
      <c r="GXC569" s="621"/>
      <c r="GXG569" s="621"/>
      <c r="GXK569" s="621"/>
      <c r="GXO569" s="621"/>
      <c r="GXS569" s="621"/>
      <c r="GXW569" s="621"/>
      <c r="GYA569" s="621"/>
      <c r="GYE569" s="621"/>
      <c r="GYI569" s="621"/>
      <c r="GYM569" s="621"/>
      <c r="GYQ569" s="621"/>
      <c r="GYU569" s="621"/>
      <c r="GYY569" s="621"/>
      <c r="GZC569" s="621"/>
      <c r="GZG569" s="621"/>
      <c r="GZK569" s="621"/>
      <c r="GZO569" s="621"/>
      <c r="GZS569" s="621"/>
      <c r="GZW569" s="621"/>
      <c r="HAA569" s="621"/>
      <c r="HAE569" s="621"/>
      <c r="HAI569" s="621"/>
      <c r="HAM569" s="621"/>
      <c r="HAQ569" s="621"/>
      <c r="HAU569" s="621"/>
      <c r="HAY569" s="621"/>
      <c r="HBC569" s="621"/>
      <c r="HBG569" s="621"/>
      <c r="HBK569" s="621"/>
      <c r="HBO569" s="621"/>
      <c r="HBS569" s="621"/>
      <c r="HBW569" s="621"/>
      <c r="HCA569" s="621"/>
      <c r="HCE569" s="621"/>
      <c r="HCI569" s="621"/>
      <c r="HCM569" s="621"/>
      <c r="HCQ569" s="621"/>
      <c r="HCU569" s="621"/>
      <c r="HCY569" s="621"/>
      <c r="HDC569" s="621"/>
      <c r="HDG569" s="621"/>
      <c r="HDK569" s="621"/>
      <c r="HDO569" s="621"/>
      <c r="HDS569" s="621"/>
      <c r="HDW569" s="621"/>
      <c r="HEA569" s="621"/>
      <c r="HEE569" s="621"/>
      <c r="HEI569" s="621"/>
      <c r="HEM569" s="621"/>
      <c r="HEQ569" s="621"/>
      <c r="HEU569" s="621"/>
      <c r="HEY569" s="621"/>
      <c r="HFC569" s="621"/>
      <c r="HFG569" s="621"/>
      <c r="HFK569" s="621"/>
      <c r="HFO569" s="621"/>
      <c r="HFS569" s="621"/>
      <c r="HFW569" s="621"/>
      <c r="HGA569" s="621"/>
      <c r="HGE569" s="621"/>
      <c r="HGI569" s="621"/>
      <c r="HGM569" s="621"/>
      <c r="HGQ569" s="621"/>
      <c r="HGU569" s="621"/>
      <c r="HGY569" s="621"/>
      <c r="HHC569" s="621"/>
      <c r="HHG569" s="621"/>
      <c r="HHK569" s="621"/>
      <c r="HHO569" s="621"/>
      <c r="HHS569" s="621"/>
      <c r="HHW569" s="621"/>
      <c r="HIA569" s="621"/>
      <c r="HIE569" s="621"/>
      <c r="HII569" s="621"/>
      <c r="HIM569" s="621"/>
      <c r="HIQ569" s="621"/>
      <c r="HIU569" s="621"/>
      <c r="HIY569" s="621"/>
      <c r="HJC569" s="621"/>
      <c r="HJG569" s="621"/>
      <c r="HJK569" s="621"/>
      <c r="HJO569" s="621"/>
      <c r="HJS569" s="621"/>
      <c r="HJW569" s="621"/>
      <c r="HKA569" s="621"/>
      <c r="HKE569" s="621"/>
      <c r="HKI569" s="621"/>
      <c r="HKM569" s="621"/>
      <c r="HKQ569" s="621"/>
      <c r="HKU569" s="621"/>
      <c r="HKY569" s="621"/>
      <c r="HLC569" s="621"/>
      <c r="HLG569" s="621"/>
      <c r="HLK569" s="621"/>
      <c r="HLO569" s="621"/>
      <c r="HLS569" s="621"/>
      <c r="HLW569" s="621"/>
      <c r="HMA569" s="621"/>
      <c r="HME569" s="621"/>
      <c r="HMI569" s="621"/>
      <c r="HMM569" s="621"/>
      <c r="HMQ569" s="621"/>
      <c r="HMU569" s="621"/>
      <c r="HMY569" s="621"/>
      <c r="HNC569" s="621"/>
      <c r="HNG569" s="621"/>
      <c r="HNK569" s="621"/>
      <c r="HNO569" s="621"/>
      <c r="HNS569" s="621"/>
      <c r="HNW569" s="621"/>
      <c r="HOA569" s="621"/>
      <c r="HOE569" s="621"/>
      <c r="HOI569" s="621"/>
      <c r="HOM569" s="621"/>
      <c r="HOQ569" s="621"/>
      <c r="HOU569" s="621"/>
      <c r="HOY569" s="621"/>
      <c r="HPC569" s="621"/>
      <c r="HPG569" s="621"/>
      <c r="HPK569" s="621"/>
      <c r="HPO569" s="621"/>
      <c r="HPS569" s="621"/>
      <c r="HPW569" s="621"/>
      <c r="HQA569" s="621"/>
      <c r="HQE569" s="621"/>
      <c r="HQI569" s="621"/>
      <c r="HQM569" s="621"/>
      <c r="HQQ569" s="621"/>
      <c r="HQU569" s="621"/>
      <c r="HQY569" s="621"/>
      <c r="HRC569" s="621"/>
      <c r="HRG569" s="621"/>
      <c r="HRK569" s="621"/>
      <c r="HRO569" s="621"/>
      <c r="HRS569" s="621"/>
      <c r="HRW569" s="621"/>
      <c r="HSA569" s="621"/>
      <c r="HSE569" s="621"/>
      <c r="HSI569" s="621"/>
      <c r="HSM569" s="621"/>
      <c r="HSQ569" s="621"/>
      <c r="HSU569" s="621"/>
      <c r="HSY569" s="621"/>
      <c r="HTC569" s="621"/>
      <c r="HTG569" s="621"/>
      <c r="HTK569" s="621"/>
      <c r="HTO569" s="621"/>
      <c r="HTS569" s="621"/>
      <c r="HTW569" s="621"/>
      <c r="HUA569" s="621"/>
      <c r="HUE569" s="621"/>
      <c r="HUI569" s="621"/>
      <c r="HUM569" s="621"/>
      <c r="HUQ569" s="621"/>
      <c r="HUU569" s="621"/>
      <c r="HUY569" s="621"/>
      <c r="HVC569" s="621"/>
      <c r="HVG569" s="621"/>
      <c r="HVK569" s="621"/>
      <c r="HVO569" s="621"/>
      <c r="HVS569" s="621"/>
      <c r="HVW569" s="621"/>
      <c r="HWA569" s="621"/>
      <c r="HWE569" s="621"/>
      <c r="HWI569" s="621"/>
      <c r="HWM569" s="621"/>
      <c r="HWQ569" s="621"/>
      <c r="HWU569" s="621"/>
      <c r="HWY569" s="621"/>
      <c r="HXC569" s="621"/>
      <c r="HXG569" s="621"/>
      <c r="HXK569" s="621"/>
      <c r="HXO569" s="621"/>
      <c r="HXS569" s="621"/>
      <c r="HXW569" s="621"/>
      <c r="HYA569" s="621"/>
      <c r="HYE569" s="621"/>
      <c r="HYI569" s="621"/>
      <c r="HYM569" s="621"/>
      <c r="HYQ569" s="621"/>
      <c r="HYU569" s="621"/>
      <c r="HYY569" s="621"/>
      <c r="HZC569" s="621"/>
      <c r="HZG569" s="621"/>
      <c r="HZK569" s="621"/>
      <c r="HZO569" s="621"/>
      <c r="HZS569" s="621"/>
      <c r="HZW569" s="621"/>
      <c r="IAA569" s="621"/>
      <c r="IAE569" s="621"/>
      <c r="IAI569" s="621"/>
      <c r="IAM569" s="621"/>
      <c r="IAQ569" s="621"/>
      <c r="IAU569" s="621"/>
      <c r="IAY569" s="621"/>
      <c r="IBC569" s="621"/>
      <c r="IBG569" s="621"/>
      <c r="IBK569" s="621"/>
      <c r="IBO569" s="621"/>
      <c r="IBS569" s="621"/>
      <c r="IBW569" s="621"/>
      <c r="ICA569" s="621"/>
      <c r="ICE569" s="621"/>
      <c r="ICI569" s="621"/>
      <c r="ICM569" s="621"/>
      <c r="ICQ569" s="621"/>
      <c r="ICU569" s="621"/>
      <c r="ICY569" s="621"/>
      <c r="IDC569" s="621"/>
      <c r="IDG569" s="621"/>
      <c r="IDK569" s="621"/>
      <c r="IDO569" s="621"/>
      <c r="IDS569" s="621"/>
      <c r="IDW569" s="621"/>
      <c r="IEA569" s="621"/>
      <c r="IEE569" s="621"/>
      <c r="IEI569" s="621"/>
      <c r="IEM569" s="621"/>
      <c r="IEQ569" s="621"/>
      <c r="IEU569" s="621"/>
      <c r="IEY569" s="621"/>
      <c r="IFC569" s="621"/>
      <c r="IFG569" s="621"/>
      <c r="IFK569" s="621"/>
      <c r="IFO569" s="621"/>
      <c r="IFS569" s="621"/>
      <c r="IFW569" s="621"/>
      <c r="IGA569" s="621"/>
      <c r="IGE569" s="621"/>
      <c r="IGI569" s="621"/>
      <c r="IGM569" s="621"/>
      <c r="IGQ569" s="621"/>
      <c r="IGU569" s="621"/>
      <c r="IGY569" s="621"/>
      <c r="IHC569" s="621"/>
      <c r="IHG569" s="621"/>
      <c r="IHK569" s="621"/>
      <c r="IHO569" s="621"/>
      <c r="IHS569" s="621"/>
      <c r="IHW569" s="621"/>
      <c r="IIA569" s="621"/>
      <c r="IIE569" s="621"/>
      <c r="III569" s="621"/>
      <c r="IIM569" s="621"/>
      <c r="IIQ569" s="621"/>
      <c r="IIU569" s="621"/>
      <c r="IIY569" s="621"/>
      <c r="IJC569" s="621"/>
      <c r="IJG569" s="621"/>
      <c r="IJK569" s="621"/>
      <c r="IJO569" s="621"/>
      <c r="IJS569" s="621"/>
      <c r="IJW569" s="621"/>
      <c r="IKA569" s="621"/>
      <c r="IKE569" s="621"/>
      <c r="IKI569" s="621"/>
      <c r="IKM569" s="621"/>
      <c r="IKQ569" s="621"/>
      <c r="IKU569" s="621"/>
      <c r="IKY569" s="621"/>
      <c r="ILC569" s="621"/>
      <c r="ILG569" s="621"/>
      <c r="ILK569" s="621"/>
      <c r="ILO569" s="621"/>
      <c r="ILS569" s="621"/>
      <c r="ILW569" s="621"/>
      <c r="IMA569" s="621"/>
      <c r="IME569" s="621"/>
      <c r="IMI569" s="621"/>
      <c r="IMM569" s="621"/>
      <c r="IMQ569" s="621"/>
      <c r="IMU569" s="621"/>
      <c r="IMY569" s="621"/>
      <c r="INC569" s="621"/>
      <c r="ING569" s="621"/>
      <c r="INK569" s="621"/>
      <c r="INO569" s="621"/>
      <c r="INS569" s="621"/>
      <c r="INW569" s="621"/>
      <c r="IOA569" s="621"/>
      <c r="IOE569" s="621"/>
      <c r="IOI569" s="621"/>
      <c r="IOM569" s="621"/>
      <c r="IOQ569" s="621"/>
      <c r="IOU569" s="621"/>
      <c r="IOY569" s="621"/>
      <c r="IPC569" s="621"/>
      <c r="IPG569" s="621"/>
      <c r="IPK569" s="621"/>
      <c r="IPO569" s="621"/>
      <c r="IPS569" s="621"/>
      <c r="IPW569" s="621"/>
      <c r="IQA569" s="621"/>
      <c r="IQE569" s="621"/>
      <c r="IQI569" s="621"/>
      <c r="IQM569" s="621"/>
      <c r="IQQ569" s="621"/>
      <c r="IQU569" s="621"/>
      <c r="IQY569" s="621"/>
      <c r="IRC569" s="621"/>
      <c r="IRG569" s="621"/>
      <c r="IRK569" s="621"/>
      <c r="IRO569" s="621"/>
      <c r="IRS569" s="621"/>
      <c r="IRW569" s="621"/>
      <c r="ISA569" s="621"/>
      <c r="ISE569" s="621"/>
      <c r="ISI569" s="621"/>
      <c r="ISM569" s="621"/>
      <c r="ISQ569" s="621"/>
      <c r="ISU569" s="621"/>
      <c r="ISY569" s="621"/>
      <c r="ITC569" s="621"/>
      <c r="ITG569" s="621"/>
      <c r="ITK569" s="621"/>
      <c r="ITO569" s="621"/>
      <c r="ITS569" s="621"/>
      <c r="ITW569" s="621"/>
      <c r="IUA569" s="621"/>
      <c r="IUE569" s="621"/>
      <c r="IUI569" s="621"/>
      <c r="IUM569" s="621"/>
      <c r="IUQ569" s="621"/>
      <c r="IUU569" s="621"/>
      <c r="IUY569" s="621"/>
      <c r="IVC569" s="621"/>
      <c r="IVG569" s="621"/>
      <c r="IVK569" s="621"/>
      <c r="IVO569" s="621"/>
      <c r="IVS569" s="621"/>
      <c r="IVW569" s="621"/>
      <c r="IWA569" s="621"/>
      <c r="IWE569" s="621"/>
      <c r="IWI569" s="621"/>
      <c r="IWM569" s="621"/>
      <c r="IWQ569" s="621"/>
      <c r="IWU569" s="621"/>
      <c r="IWY569" s="621"/>
      <c r="IXC569" s="621"/>
      <c r="IXG569" s="621"/>
      <c r="IXK569" s="621"/>
      <c r="IXO569" s="621"/>
      <c r="IXS569" s="621"/>
      <c r="IXW569" s="621"/>
      <c r="IYA569" s="621"/>
      <c r="IYE569" s="621"/>
      <c r="IYI569" s="621"/>
      <c r="IYM569" s="621"/>
      <c r="IYQ569" s="621"/>
      <c r="IYU569" s="621"/>
      <c r="IYY569" s="621"/>
      <c r="IZC569" s="621"/>
      <c r="IZG569" s="621"/>
      <c r="IZK569" s="621"/>
      <c r="IZO569" s="621"/>
      <c r="IZS569" s="621"/>
      <c r="IZW569" s="621"/>
      <c r="JAA569" s="621"/>
      <c r="JAE569" s="621"/>
      <c r="JAI569" s="621"/>
      <c r="JAM569" s="621"/>
      <c r="JAQ569" s="621"/>
      <c r="JAU569" s="621"/>
      <c r="JAY569" s="621"/>
      <c r="JBC569" s="621"/>
      <c r="JBG569" s="621"/>
      <c r="JBK569" s="621"/>
      <c r="JBO569" s="621"/>
      <c r="JBS569" s="621"/>
      <c r="JBW569" s="621"/>
      <c r="JCA569" s="621"/>
      <c r="JCE569" s="621"/>
      <c r="JCI569" s="621"/>
      <c r="JCM569" s="621"/>
      <c r="JCQ569" s="621"/>
      <c r="JCU569" s="621"/>
      <c r="JCY569" s="621"/>
      <c r="JDC569" s="621"/>
      <c r="JDG569" s="621"/>
      <c r="JDK569" s="621"/>
      <c r="JDO569" s="621"/>
      <c r="JDS569" s="621"/>
      <c r="JDW569" s="621"/>
      <c r="JEA569" s="621"/>
      <c r="JEE569" s="621"/>
      <c r="JEI569" s="621"/>
      <c r="JEM569" s="621"/>
      <c r="JEQ569" s="621"/>
      <c r="JEU569" s="621"/>
      <c r="JEY569" s="621"/>
      <c r="JFC569" s="621"/>
      <c r="JFG569" s="621"/>
      <c r="JFK569" s="621"/>
      <c r="JFO569" s="621"/>
      <c r="JFS569" s="621"/>
      <c r="JFW569" s="621"/>
      <c r="JGA569" s="621"/>
      <c r="JGE569" s="621"/>
      <c r="JGI569" s="621"/>
      <c r="JGM569" s="621"/>
      <c r="JGQ569" s="621"/>
      <c r="JGU569" s="621"/>
      <c r="JGY569" s="621"/>
      <c r="JHC569" s="621"/>
      <c r="JHG569" s="621"/>
      <c r="JHK569" s="621"/>
      <c r="JHO569" s="621"/>
      <c r="JHS569" s="621"/>
      <c r="JHW569" s="621"/>
      <c r="JIA569" s="621"/>
      <c r="JIE569" s="621"/>
      <c r="JII569" s="621"/>
      <c r="JIM569" s="621"/>
      <c r="JIQ569" s="621"/>
      <c r="JIU569" s="621"/>
      <c r="JIY569" s="621"/>
      <c r="JJC569" s="621"/>
      <c r="JJG569" s="621"/>
      <c r="JJK569" s="621"/>
      <c r="JJO569" s="621"/>
      <c r="JJS569" s="621"/>
      <c r="JJW569" s="621"/>
      <c r="JKA569" s="621"/>
      <c r="JKE569" s="621"/>
      <c r="JKI569" s="621"/>
      <c r="JKM569" s="621"/>
      <c r="JKQ569" s="621"/>
      <c r="JKU569" s="621"/>
      <c r="JKY569" s="621"/>
      <c r="JLC569" s="621"/>
      <c r="JLG569" s="621"/>
      <c r="JLK569" s="621"/>
      <c r="JLO569" s="621"/>
      <c r="JLS569" s="621"/>
      <c r="JLW569" s="621"/>
      <c r="JMA569" s="621"/>
      <c r="JME569" s="621"/>
      <c r="JMI569" s="621"/>
      <c r="JMM569" s="621"/>
      <c r="JMQ569" s="621"/>
      <c r="JMU569" s="621"/>
      <c r="JMY569" s="621"/>
      <c r="JNC569" s="621"/>
      <c r="JNG569" s="621"/>
      <c r="JNK569" s="621"/>
      <c r="JNO569" s="621"/>
      <c r="JNS569" s="621"/>
      <c r="JNW569" s="621"/>
      <c r="JOA569" s="621"/>
      <c r="JOE569" s="621"/>
      <c r="JOI569" s="621"/>
      <c r="JOM569" s="621"/>
      <c r="JOQ569" s="621"/>
      <c r="JOU569" s="621"/>
      <c r="JOY569" s="621"/>
      <c r="JPC569" s="621"/>
      <c r="JPG569" s="621"/>
      <c r="JPK569" s="621"/>
      <c r="JPO569" s="621"/>
      <c r="JPS569" s="621"/>
      <c r="JPW569" s="621"/>
      <c r="JQA569" s="621"/>
      <c r="JQE569" s="621"/>
      <c r="JQI569" s="621"/>
      <c r="JQM569" s="621"/>
      <c r="JQQ569" s="621"/>
      <c r="JQU569" s="621"/>
      <c r="JQY569" s="621"/>
      <c r="JRC569" s="621"/>
      <c r="JRG569" s="621"/>
      <c r="JRK569" s="621"/>
      <c r="JRO569" s="621"/>
      <c r="JRS569" s="621"/>
      <c r="JRW569" s="621"/>
      <c r="JSA569" s="621"/>
      <c r="JSE569" s="621"/>
      <c r="JSI569" s="621"/>
      <c r="JSM569" s="621"/>
      <c r="JSQ569" s="621"/>
      <c r="JSU569" s="621"/>
      <c r="JSY569" s="621"/>
      <c r="JTC569" s="621"/>
      <c r="JTG569" s="621"/>
      <c r="JTK569" s="621"/>
      <c r="JTO569" s="621"/>
      <c r="JTS569" s="621"/>
      <c r="JTW569" s="621"/>
      <c r="JUA569" s="621"/>
      <c r="JUE569" s="621"/>
      <c r="JUI569" s="621"/>
      <c r="JUM569" s="621"/>
      <c r="JUQ569" s="621"/>
      <c r="JUU569" s="621"/>
      <c r="JUY569" s="621"/>
      <c r="JVC569" s="621"/>
      <c r="JVG569" s="621"/>
      <c r="JVK569" s="621"/>
      <c r="JVO569" s="621"/>
      <c r="JVS569" s="621"/>
      <c r="JVW569" s="621"/>
      <c r="JWA569" s="621"/>
      <c r="JWE569" s="621"/>
      <c r="JWI569" s="621"/>
      <c r="JWM569" s="621"/>
      <c r="JWQ569" s="621"/>
      <c r="JWU569" s="621"/>
      <c r="JWY569" s="621"/>
      <c r="JXC569" s="621"/>
      <c r="JXG569" s="621"/>
      <c r="JXK569" s="621"/>
      <c r="JXO569" s="621"/>
      <c r="JXS569" s="621"/>
      <c r="JXW569" s="621"/>
      <c r="JYA569" s="621"/>
      <c r="JYE569" s="621"/>
      <c r="JYI569" s="621"/>
      <c r="JYM569" s="621"/>
      <c r="JYQ569" s="621"/>
      <c r="JYU569" s="621"/>
      <c r="JYY569" s="621"/>
      <c r="JZC569" s="621"/>
      <c r="JZG569" s="621"/>
      <c r="JZK569" s="621"/>
      <c r="JZO569" s="621"/>
      <c r="JZS569" s="621"/>
      <c r="JZW569" s="621"/>
      <c r="KAA569" s="621"/>
      <c r="KAE569" s="621"/>
      <c r="KAI569" s="621"/>
      <c r="KAM569" s="621"/>
      <c r="KAQ569" s="621"/>
      <c r="KAU569" s="621"/>
      <c r="KAY569" s="621"/>
      <c r="KBC569" s="621"/>
      <c r="KBG569" s="621"/>
      <c r="KBK569" s="621"/>
      <c r="KBO569" s="621"/>
      <c r="KBS569" s="621"/>
      <c r="KBW569" s="621"/>
      <c r="KCA569" s="621"/>
      <c r="KCE569" s="621"/>
      <c r="KCI569" s="621"/>
      <c r="KCM569" s="621"/>
      <c r="KCQ569" s="621"/>
      <c r="KCU569" s="621"/>
      <c r="KCY569" s="621"/>
      <c r="KDC569" s="621"/>
      <c r="KDG569" s="621"/>
      <c r="KDK569" s="621"/>
      <c r="KDO569" s="621"/>
      <c r="KDS569" s="621"/>
      <c r="KDW569" s="621"/>
      <c r="KEA569" s="621"/>
      <c r="KEE569" s="621"/>
      <c r="KEI569" s="621"/>
      <c r="KEM569" s="621"/>
      <c r="KEQ569" s="621"/>
      <c r="KEU569" s="621"/>
      <c r="KEY569" s="621"/>
      <c r="KFC569" s="621"/>
      <c r="KFG569" s="621"/>
      <c r="KFK569" s="621"/>
      <c r="KFO569" s="621"/>
      <c r="KFS569" s="621"/>
      <c r="KFW569" s="621"/>
      <c r="KGA569" s="621"/>
      <c r="KGE569" s="621"/>
      <c r="KGI569" s="621"/>
      <c r="KGM569" s="621"/>
      <c r="KGQ569" s="621"/>
      <c r="KGU569" s="621"/>
      <c r="KGY569" s="621"/>
      <c r="KHC569" s="621"/>
      <c r="KHG569" s="621"/>
      <c r="KHK569" s="621"/>
      <c r="KHO569" s="621"/>
      <c r="KHS569" s="621"/>
      <c r="KHW569" s="621"/>
      <c r="KIA569" s="621"/>
      <c r="KIE569" s="621"/>
      <c r="KII569" s="621"/>
      <c r="KIM569" s="621"/>
      <c r="KIQ569" s="621"/>
      <c r="KIU569" s="621"/>
      <c r="KIY569" s="621"/>
      <c r="KJC569" s="621"/>
      <c r="KJG569" s="621"/>
      <c r="KJK569" s="621"/>
      <c r="KJO569" s="621"/>
      <c r="KJS569" s="621"/>
      <c r="KJW569" s="621"/>
      <c r="KKA569" s="621"/>
      <c r="KKE569" s="621"/>
      <c r="KKI569" s="621"/>
      <c r="KKM569" s="621"/>
      <c r="KKQ569" s="621"/>
      <c r="KKU569" s="621"/>
      <c r="KKY569" s="621"/>
      <c r="KLC569" s="621"/>
      <c r="KLG569" s="621"/>
      <c r="KLK569" s="621"/>
      <c r="KLO569" s="621"/>
      <c r="KLS569" s="621"/>
      <c r="KLW569" s="621"/>
      <c r="KMA569" s="621"/>
      <c r="KME569" s="621"/>
      <c r="KMI569" s="621"/>
      <c r="KMM569" s="621"/>
      <c r="KMQ569" s="621"/>
      <c r="KMU569" s="621"/>
      <c r="KMY569" s="621"/>
      <c r="KNC569" s="621"/>
      <c r="KNG569" s="621"/>
      <c r="KNK569" s="621"/>
      <c r="KNO569" s="621"/>
      <c r="KNS569" s="621"/>
      <c r="KNW569" s="621"/>
      <c r="KOA569" s="621"/>
      <c r="KOE569" s="621"/>
      <c r="KOI569" s="621"/>
      <c r="KOM569" s="621"/>
      <c r="KOQ569" s="621"/>
      <c r="KOU569" s="621"/>
      <c r="KOY569" s="621"/>
      <c r="KPC569" s="621"/>
      <c r="KPG569" s="621"/>
      <c r="KPK569" s="621"/>
      <c r="KPO569" s="621"/>
      <c r="KPS569" s="621"/>
      <c r="KPW569" s="621"/>
      <c r="KQA569" s="621"/>
      <c r="KQE569" s="621"/>
      <c r="KQI569" s="621"/>
      <c r="KQM569" s="621"/>
      <c r="KQQ569" s="621"/>
      <c r="KQU569" s="621"/>
      <c r="KQY569" s="621"/>
      <c r="KRC569" s="621"/>
      <c r="KRG569" s="621"/>
      <c r="KRK569" s="621"/>
      <c r="KRO569" s="621"/>
      <c r="KRS569" s="621"/>
      <c r="KRW569" s="621"/>
      <c r="KSA569" s="621"/>
      <c r="KSE569" s="621"/>
      <c r="KSI569" s="621"/>
      <c r="KSM569" s="621"/>
      <c r="KSQ569" s="621"/>
      <c r="KSU569" s="621"/>
      <c r="KSY569" s="621"/>
      <c r="KTC569" s="621"/>
      <c r="KTG569" s="621"/>
      <c r="KTK569" s="621"/>
      <c r="KTO569" s="621"/>
      <c r="KTS569" s="621"/>
      <c r="KTW569" s="621"/>
      <c r="KUA569" s="621"/>
      <c r="KUE569" s="621"/>
      <c r="KUI569" s="621"/>
      <c r="KUM569" s="621"/>
      <c r="KUQ569" s="621"/>
      <c r="KUU569" s="621"/>
      <c r="KUY569" s="621"/>
      <c r="KVC569" s="621"/>
      <c r="KVG569" s="621"/>
      <c r="KVK569" s="621"/>
      <c r="KVO569" s="621"/>
      <c r="KVS569" s="621"/>
      <c r="KVW569" s="621"/>
      <c r="KWA569" s="621"/>
      <c r="KWE569" s="621"/>
      <c r="KWI569" s="621"/>
      <c r="KWM569" s="621"/>
      <c r="KWQ569" s="621"/>
      <c r="KWU569" s="621"/>
      <c r="KWY569" s="621"/>
      <c r="KXC569" s="621"/>
      <c r="KXG569" s="621"/>
      <c r="KXK569" s="621"/>
      <c r="KXO569" s="621"/>
      <c r="KXS569" s="621"/>
      <c r="KXW569" s="621"/>
      <c r="KYA569" s="621"/>
      <c r="KYE569" s="621"/>
      <c r="KYI569" s="621"/>
      <c r="KYM569" s="621"/>
      <c r="KYQ569" s="621"/>
      <c r="KYU569" s="621"/>
      <c r="KYY569" s="621"/>
      <c r="KZC569" s="621"/>
      <c r="KZG569" s="621"/>
      <c r="KZK569" s="621"/>
      <c r="KZO569" s="621"/>
      <c r="KZS569" s="621"/>
      <c r="KZW569" s="621"/>
      <c r="LAA569" s="621"/>
      <c r="LAE569" s="621"/>
      <c r="LAI569" s="621"/>
      <c r="LAM569" s="621"/>
      <c r="LAQ569" s="621"/>
      <c r="LAU569" s="621"/>
      <c r="LAY569" s="621"/>
      <c r="LBC569" s="621"/>
      <c r="LBG569" s="621"/>
      <c r="LBK569" s="621"/>
      <c r="LBO569" s="621"/>
      <c r="LBS569" s="621"/>
      <c r="LBW569" s="621"/>
      <c r="LCA569" s="621"/>
      <c r="LCE569" s="621"/>
      <c r="LCI569" s="621"/>
      <c r="LCM569" s="621"/>
      <c r="LCQ569" s="621"/>
      <c r="LCU569" s="621"/>
      <c r="LCY569" s="621"/>
      <c r="LDC569" s="621"/>
      <c r="LDG569" s="621"/>
      <c r="LDK569" s="621"/>
      <c r="LDO569" s="621"/>
      <c r="LDS569" s="621"/>
      <c r="LDW569" s="621"/>
      <c r="LEA569" s="621"/>
      <c r="LEE569" s="621"/>
      <c r="LEI569" s="621"/>
      <c r="LEM569" s="621"/>
      <c r="LEQ569" s="621"/>
      <c r="LEU569" s="621"/>
      <c r="LEY569" s="621"/>
      <c r="LFC569" s="621"/>
      <c r="LFG569" s="621"/>
      <c r="LFK569" s="621"/>
      <c r="LFO569" s="621"/>
      <c r="LFS569" s="621"/>
      <c r="LFW569" s="621"/>
      <c r="LGA569" s="621"/>
      <c r="LGE569" s="621"/>
      <c r="LGI569" s="621"/>
      <c r="LGM569" s="621"/>
      <c r="LGQ569" s="621"/>
      <c r="LGU569" s="621"/>
      <c r="LGY569" s="621"/>
      <c r="LHC569" s="621"/>
      <c r="LHG569" s="621"/>
      <c r="LHK569" s="621"/>
      <c r="LHO569" s="621"/>
      <c r="LHS569" s="621"/>
      <c r="LHW569" s="621"/>
      <c r="LIA569" s="621"/>
      <c r="LIE569" s="621"/>
      <c r="LII569" s="621"/>
      <c r="LIM569" s="621"/>
      <c r="LIQ569" s="621"/>
      <c r="LIU569" s="621"/>
      <c r="LIY569" s="621"/>
      <c r="LJC569" s="621"/>
      <c r="LJG569" s="621"/>
      <c r="LJK569" s="621"/>
      <c r="LJO569" s="621"/>
      <c r="LJS569" s="621"/>
      <c r="LJW569" s="621"/>
      <c r="LKA569" s="621"/>
      <c r="LKE569" s="621"/>
      <c r="LKI569" s="621"/>
      <c r="LKM569" s="621"/>
      <c r="LKQ569" s="621"/>
      <c r="LKU569" s="621"/>
      <c r="LKY569" s="621"/>
      <c r="LLC569" s="621"/>
      <c r="LLG569" s="621"/>
      <c r="LLK569" s="621"/>
      <c r="LLO569" s="621"/>
      <c r="LLS569" s="621"/>
      <c r="LLW569" s="621"/>
      <c r="LMA569" s="621"/>
      <c r="LME569" s="621"/>
      <c r="LMI569" s="621"/>
      <c r="LMM569" s="621"/>
      <c r="LMQ569" s="621"/>
      <c r="LMU569" s="621"/>
      <c r="LMY569" s="621"/>
      <c r="LNC569" s="621"/>
      <c r="LNG569" s="621"/>
      <c r="LNK569" s="621"/>
      <c r="LNO569" s="621"/>
      <c r="LNS569" s="621"/>
      <c r="LNW569" s="621"/>
      <c r="LOA569" s="621"/>
      <c r="LOE569" s="621"/>
      <c r="LOI569" s="621"/>
      <c r="LOM569" s="621"/>
      <c r="LOQ569" s="621"/>
      <c r="LOU569" s="621"/>
      <c r="LOY569" s="621"/>
      <c r="LPC569" s="621"/>
      <c r="LPG569" s="621"/>
      <c r="LPK569" s="621"/>
      <c r="LPO569" s="621"/>
      <c r="LPS569" s="621"/>
      <c r="LPW569" s="621"/>
      <c r="LQA569" s="621"/>
      <c r="LQE569" s="621"/>
      <c r="LQI569" s="621"/>
      <c r="LQM569" s="621"/>
      <c r="LQQ569" s="621"/>
      <c r="LQU569" s="621"/>
      <c r="LQY569" s="621"/>
      <c r="LRC569" s="621"/>
      <c r="LRG569" s="621"/>
      <c r="LRK569" s="621"/>
      <c r="LRO569" s="621"/>
      <c r="LRS569" s="621"/>
      <c r="LRW569" s="621"/>
      <c r="LSA569" s="621"/>
      <c r="LSE569" s="621"/>
      <c r="LSI569" s="621"/>
      <c r="LSM569" s="621"/>
      <c r="LSQ569" s="621"/>
      <c r="LSU569" s="621"/>
      <c r="LSY569" s="621"/>
      <c r="LTC569" s="621"/>
      <c r="LTG569" s="621"/>
      <c r="LTK569" s="621"/>
      <c r="LTO569" s="621"/>
      <c r="LTS569" s="621"/>
      <c r="LTW569" s="621"/>
      <c r="LUA569" s="621"/>
      <c r="LUE569" s="621"/>
      <c r="LUI569" s="621"/>
      <c r="LUM569" s="621"/>
      <c r="LUQ569" s="621"/>
      <c r="LUU569" s="621"/>
      <c r="LUY569" s="621"/>
      <c r="LVC569" s="621"/>
      <c r="LVG569" s="621"/>
      <c r="LVK569" s="621"/>
      <c r="LVO569" s="621"/>
      <c r="LVS569" s="621"/>
      <c r="LVW569" s="621"/>
      <c r="LWA569" s="621"/>
      <c r="LWE569" s="621"/>
      <c r="LWI569" s="621"/>
      <c r="LWM569" s="621"/>
      <c r="LWQ569" s="621"/>
      <c r="LWU569" s="621"/>
      <c r="LWY569" s="621"/>
      <c r="LXC569" s="621"/>
      <c r="LXG569" s="621"/>
      <c r="LXK569" s="621"/>
      <c r="LXO569" s="621"/>
      <c r="LXS569" s="621"/>
      <c r="LXW569" s="621"/>
      <c r="LYA569" s="621"/>
      <c r="LYE569" s="621"/>
      <c r="LYI569" s="621"/>
      <c r="LYM569" s="621"/>
      <c r="LYQ569" s="621"/>
      <c r="LYU569" s="621"/>
      <c r="LYY569" s="621"/>
      <c r="LZC569" s="621"/>
      <c r="LZG569" s="621"/>
      <c r="LZK569" s="621"/>
      <c r="LZO569" s="621"/>
      <c r="LZS569" s="621"/>
      <c r="LZW569" s="621"/>
      <c r="MAA569" s="621"/>
      <c r="MAE569" s="621"/>
      <c r="MAI569" s="621"/>
      <c r="MAM569" s="621"/>
      <c r="MAQ569" s="621"/>
      <c r="MAU569" s="621"/>
      <c r="MAY569" s="621"/>
      <c r="MBC569" s="621"/>
      <c r="MBG569" s="621"/>
      <c r="MBK569" s="621"/>
      <c r="MBO569" s="621"/>
      <c r="MBS569" s="621"/>
      <c r="MBW569" s="621"/>
      <c r="MCA569" s="621"/>
      <c r="MCE569" s="621"/>
      <c r="MCI569" s="621"/>
      <c r="MCM569" s="621"/>
      <c r="MCQ569" s="621"/>
      <c r="MCU569" s="621"/>
      <c r="MCY569" s="621"/>
      <c r="MDC569" s="621"/>
      <c r="MDG569" s="621"/>
      <c r="MDK569" s="621"/>
      <c r="MDO569" s="621"/>
      <c r="MDS569" s="621"/>
      <c r="MDW569" s="621"/>
      <c r="MEA569" s="621"/>
      <c r="MEE569" s="621"/>
      <c r="MEI569" s="621"/>
      <c r="MEM569" s="621"/>
      <c r="MEQ569" s="621"/>
      <c r="MEU569" s="621"/>
      <c r="MEY569" s="621"/>
      <c r="MFC569" s="621"/>
      <c r="MFG569" s="621"/>
      <c r="MFK569" s="621"/>
      <c r="MFO569" s="621"/>
      <c r="MFS569" s="621"/>
      <c r="MFW569" s="621"/>
      <c r="MGA569" s="621"/>
      <c r="MGE569" s="621"/>
      <c r="MGI569" s="621"/>
      <c r="MGM569" s="621"/>
      <c r="MGQ569" s="621"/>
      <c r="MGU569" s="621"/>
      <c r="MGY569" s="621"/>
      <c r="MHC569" s="621"/>
      <c r="MHG569" s="621"/>
      <c r="MHK569" s="621"/>
      <c r="MHO569" s="621"/>
      <c r="MHS569" s="621"/>
      <c r="MHW569" s="621"/>
      <c r="MIA569" s="621"/>
      <c r="MIE569" s="621"/>
      <c r="MII569" s="621"/>
      <c r="MIM569" s="621"/>
      <c r="MIQ569" s="621"/>
      <c r="MIU569" s="621"/>
      <c r="MIY569" s="621"/>
      <c r="MJC569" s="621"/>
      <c r="MJG569" s="621"/>
      <c r="MJK569" s="621"/>
      <c r="MJO569" s="621"/>
      <c r="MJS569" s="621"/>
      <c r="MJW569" s="621"/>
      <c r="MKA569" s="621"/>
      <c r="MKE569" s="621"/>
      <c r="MKI569" s="621"/>
      <c r="MKM569" s="621"/>
      <c r="MKQ569" s="621"/>
      <c r="MKU569" s="621"/>
      <c r="MKY569" s="621"/>
      <c r="MLC569" s="621"/>
      <c r="MLG569" s="621"/>
      <c r="MLK569" s="621"/>
      <c r="MLO569" s="621"/>
      <c r="MLS569" s="621"/>
      <c r="MLW569" s="621"/>
      <c r="MMA569" s="621"/>
      <c r="MME569" s="621"/>
      <c r="MMI569" s="621"/>
      <c r="MMM569" s="621"/>
      <c r="MMQ569" s="621"/>
      <c r="MMU569" s="621"/>
      <c r="MMY569" s="621"/>
      <c r="MNC569" s="621"/>
      <c r="MNG569" s="621"/>
      <c r="MNK569" s="621"/>
      <c r="MNO569" s="621"/>
      <c r="MNS569" s="621"/>
      <c r="MNW569" s="621"/>
      <c r="MOA569" s="621"/>
      <c r="MOE569" s="621"/>
      <c r="MOI569" s="621"/>
      <c r="MOM569" s="621"/>
      <c r="MOQ569" s="621"/>
      <c r="MOU569" s="621"/>
      <c r="MOY569" s="621"/>
      <c r="MPC569" s="621"/>
      <c r="MPG569" s="621"/>
      <c r="MPK569" s="621"/>
      <c r="MPO569" s="621"/>
      <c r="MPS569" s="621"/>
      <c r="MPW569" s="621"/>
      <c r="MQA569" s="621"/>
      <c r="MQE569" s="621"/>
      <c r="MQI569" s="621"/>
      <c r="MQM569" s="621"/>
      <c r="MQQ569" s="621"/>
      <c r="MQU569" s="621"/>
      <c r="MQY569" s="621"/>
      <c r="MRC569" s="621"/>
      <c r="MRG569" s="621"/>
      <c r="MRK569" s="621"/>
      <c r="MRO569" s="621"/>
      <c r="MRS569" s="621"/>
      <c r="MRW569" s="621"/>
      <c r="MSA569" s="621"/>
      <c r="MSE569" s="621"/>
      <c r="MSI569" s="621"/>
      <c r="MSM569" s="621"/>
      <c r="MSQ569" s="621"/>
      <c r="MSU569" s="621"/>
      <c r="MSY569" s="621"/>
      <c r="MTC569" s="621"/>
      <c r="MTG569" s="621"/>
      <c r="MTK569" s="621"/>
      <c r="MTO569" s="621"/>
      <c r="MTS569" s="621"/>
      <c r="MTW569" s="621"/>
      <c r="MUA569" s="621"/>
      <c r="MUE569" s="621"/>
      <c r="MUI569" s="621"/>
      <c r="MUM569" s="621"/>
      <c r="MUQ569" s="621"/>
      <c r="MUU569" s="621"/>
      <c r="MUY569" s="621"/>
      <c r="MVC569" s="621"/>
      <c r="MVG569" s="621"/>
      <c r="MVK569" s="621"/>
      <c r="MVO569" s="621"/>
      <c r="MVS569" s="621"/>
      <c r="MVW569" s="621"/>
      <c r="MWA569" s="621"/>
      <c r="MWE569" s="621"/>
      <c r="MWI569" s="621"/>
      <c r="MWM569" s="621"/>
      <c r="MWQ569" s="621"/>
      <c r="MWU569" s="621"/>
      <c r="MWY569" s="621"/>
      <c r="MXC569" s="621"/>
      <c r="MXG569" s="621"/>
      <c r="MXK569" s="621"/>
      <c r="MXO569" s="621"/>
      <c r="MXS569" s="621"/>
      <c r="MXW569" s="621"/>
      <c r="MYA569" s="621"/>
      <c r="MYE569" s="621"/>
      <c r="MYI569" s="621"/>
      <c r="MYM569" s="621"/>
      <c r="MYQ569" s="621"/>
      <c r="MYU569" s="621"/>
      <c r="MYY569" s="621"/>
      <c r="MZC569" s="621"/>
      <c r="MZG569" s="621"/>
      <c r="MZK569" s="621"/>
      <c r="MZO569" s="621"/>
      <c r="MZS569" s="621"/>
      <c r="MZW569" s="621"/>
      <c r="NAA569" s="621"/>
      <c r="NAE569" s="621"/>
      <c r="NAI569" s="621"/>
      <c r="NAM569" s="621"/>
      <c r="NAQ569" s="621"/>
      <c r="NAU569" s="621"/>
      <c r="NAY569" s="621"/>
      <c r="NBC569" s="621"/>
      <c r="NBG569" s="621"/>
      <c r="NBK569" s="621"/>
      <c r="NBO569" s="621"/>
      <c r="NBS569" s="621"/>
      <c r="NBW569" s="621"/>
      <c r="NCA569" s="621"/>
      <c r="NCE569" s="621"/>
      <c r="NCI569" s="621"/>
      <c r="NCM569" s="621"/>
      <c r="NCQ569" s="621"/>
      <c r="NCU569" s="621"/>
      <c r="NCY569" s="621"/>
      <c r="NDC569" s="621"/>
      <c r="NDG569" s="621"/>
      <c r="NDK569" s="621"/>
      <c r="NDO569" s="621"/>
      <c r="NDS569" s="621"/>
      <c r="NDW569" s="621"/>
      <c r="NEA569" s="621"/>
      <c r="NEE569" s="621"/>
      <c r="NEI569" s="621"/>
      <c r="NEM569" s="621"/>
      <c r="NEQ569" s="621"/>
      <c r="NEU569" s="621"/>
      <c r="NEY569" s="621"/>
      <c r="NFC569" s="621"/>
      <c r="NFG569" s="621"/>
      <c r="NFK569" s="621"/>
      <c r="NFO569" s="621"/>
      <c r="NFS569" s="621"/>
      <c r="NFW569" s="621"/>
      <c r="NGA569" s="621"/>
      <c r="NGE569" s="621"/>
      <c r="NGI569" s="621"/>
      <c r="NGM569" s="621"/>
      <c r="NGQ569" s="621"/>
      <c r="NGU569" s="621"/>
      <c r="NGY569" s="621"/>
      <c r="NHC569" s="621"/>
      <c r="NHG569" s="621"/>
      <c r="NHK569" s="621"/>
      <c r="NHO569" s="621"/>
      <c r="NHS569" s="621"/>
      <c r="NHW569" s="621"/>
      <c r="NIA569" s="621"/>
      <c r="NIE569" s="621"/>
      <c r="NII569" s="621"/>
      <c r="NIM569" s="621"/>
      <c r="NIQ569" s="621"/>
      <c r="NIU569" s="621"/>
      <c r="NIY569" s="621"/>
      <c r="NJC569" s="621"/>
      <c r="NJG569" s="621"/>
      <c r="NJK569" s="621"/>
      <c r="NJO569" s="621"/>
      <c r="NJS569" s="621"/>
      <c r="NJW569" s="621"/>
      <c r="NKA569" s="621"/>
      <c r="NKE569" s="621"/>
      <c r="NKI569" s="621"/>
      <c r="NKM569" s="621"/>
      <c r="NKQ569" s="621"/>
      <c r="NKU569" s="621"/>
      <c r="NKY569" s="621"/>
      <c r="NLC569" s="621"/>
      <c r="NLG569" s="621"/>
      <c r="NLK569" s="621"/>
      <c r="NLO569" s="621"/>
      <c r="NLS569" s="621"/>
      <c r="NLW569" s="621"/>
      <c r="NMA569" s="621"/>
      <c r="NME569" s="621"/>
      <c r="NMI569" s="621"/>
      <c r="NMM569" s="621"/>
      <c r="NMQ569" s="621"/>
      <c r="NMU569" s="621"/>
      <c r="NMY569" s="621"/>
      <c r="NNC569" s="621"/>
      <c r="NNG569" s="621"/>
      <c r="NNK569" s="621"/>
      <c r="NNO569" s="621"/>
      <c r="NNS569" s="621"/>
      <c r="NNW569" s="621"/>
      <c r="NOA569" s="621"/>
      <c r="NOE569" s="621"/>
      <c r="NOI569" s="621"/>
      <c r="NOM569" s="621"/>
      <c r="NOQ569" s="621"/>
      <c r="NOU569" s="621"/>
      <c r="NOY569" s="621"/>
      <c r="NPC569" s="621"/>
      <c r="NPG569" s="621"/>
      <c r="NPK569" s="621"/>
      <c r="NPO569" s="621"/>
      <c r="NPS569" s="621"/>
      <c r="NPW569" s="621"/>
      <c r="NQA569" s="621"/>
      <c r="NQE569" s="621"/>
      <c r="NQI569" s="621"/>
      <c r="NQM569" s="621"/>
      <c r="NQQ569" s="621"/>
      <c r="NQU569" s="621"/>
      <c r="NQY569" s="621"/>
      <c r="NRC569" s="621"/>
      <c r="NRG569" s="621"/>
      <c r="NRK569" s="621"/>
      <c r="NRO569" s="621"/>
      <c r="NRS569" s="621"/>
      <c r="NRW569" s="621"/>
      <c r="NSA569" s="621"/>
      <c r="NSE569" s="621"/>
      <c r="NSI569" s="621"/>
      <c r="NSM569" s="621"/>
      <c r="NSQ569" s="621"/>
      <c r="NSU569" s="621"/>
      <c r="NSY569" s="621"/>
      <c r="NTC569" s="621"/>
      <c r="NTG569" s="621"/>
      <c r="NTK569" s="621"/>
      <c r="NTO569" s="621"/>
      <c r="NTS569" s="621"/>
      <c r="NTW569" s="621"/>
      <c r="NUA569" s="621"/>
      <c r="NUE569" s="621"/>
      <c r="NUI569" s="621"/>
      <c r="NUM569" s="621"/>
      <c r="NUQ569" s="621"/>
      <c r="NUU569" s="621"/>
      <c r="NUY569" s="621"/>
      <c r="NVC569" s="621"/>
      <c r="NVG569" s="621"/>
      <c r="NVK569" s="621"/>
      <c r="NVO569" s="621"/>
      <c r="NVS569" s="621"/>
      <c r="NVW569" s="621"/>
      <c r="NWA569" s="621"/>
      <c r="NWE569" s="621"/>
      <c r="NWI569" s="621"/>
      <c r="NWM569" s="621"/>
      <c r="NWQ569" s="621"/>
      <c r="NWU569" s="621"/>
      <c r="NWY569" s="621"/>
      <c r="NXC569" s="621"/>
      <c r="NXG569" s="621"/>
      <c r="NXK569" s="621"/>
      <c r="NXO569" s="621"/>
      <c r="NXS569" s="621"/>
      <c r="NXW569" s="621"/>
      <c r="NYA569" s="621"/>
      <c r="NYE569" s="621"/>
      <c r="NYI569" s="621"/>
      <c r="NYM569" s="621"/>
      <c r="NYQ569" s="621"/>
      <c r="NYU569" s="621"/>
      <c r="NYY569" s="621"/>
      <c r="NZC569" s="621"/>
      <c r="NZG569" s="621"/>
      <c r="NZK569" s="621"/>
      <c r="NZO569" s="621"/>
      <c r="NZS569" s="621"/>
      <c r="NZW569" s="621"/>
      <c r="OAA569" s="621"/>
      <c r="OAE569" s="621"/>
      <c r="OAI569" s="621"/>
      <c r="OAM569" s="621"/>
      <c r="OAQ569" s="621"/>
      <c r="OAU569" s="621"/>
      <c r="OAY569" s="621"/>
      <c r="OBC569" s="621"/>
      <c r="OBG569" s="621"/>
      <c r="OBK569" s="621"/>
      <c r="OBO569" s="621"/>
      <c r="OBS569" s="621"/>
      <c r="OBW569" s="621"/>
      <c r="OCA569" s="621"/>
      <c r="OCE569" s="621"/>
      <c r="OCI569" s="621"/>
      <c r="OCM569" s="621"/>
      <c r="OCQ569" s="621"/>
      <c r="OCU569" s="621"/>
      <c r="OCY569" s="621"/>
      <c r="ODC569" s="621"/>
      <c r="ODG569" s="621"/>
      <c r="ODK569" s="621"/>
      <c r="ODO569" s="621"/>
      <c r="ODS569" s="621"/>
      <c r="ODW569" s="621"/>
      <c r="OEA569" s="621"/>
      <c r="OEE569" s="621"/>
      <c r="OEI569" s="621"/>
      <c r="OEM569" s="621"/>
      <c r="OEQ569" s="621"/>
      <c r="OEU569" s="621"/>
      <c r="OEY569" s="621"/>
      <c r="OFC569" s="621"/>
      <c r="OFG569" s="621"/>
      <c r="OFK569" s="621"/>
      <c r="OFO569" s="621"/>
      <c r="OFS569" s="621"/>
      <c r="OFW569" s="621"/>
      <c r="OGA569" s="621"/>
      <c r="OGE569" s="621"/>
      <c r="OGI569" s="621"/>
      <c r="OGM569" s="621"/>
      <c r="OGQ569" s="621"/>
      <c r="OGU569" s="621"/>
      <c r="OGY569" s="621"/>
      <c r="OHC569" s="621"/>
      <c r="OHG569" s="621"/>
      <c r="OHK569" s="621"/>
      <c r="OHO569" s="621"/>
      <c r="OHS569" s="621"/>
      <c r="OHW569" s="621"/>
      <c r="OIA569" s="621"/>
      <c r="OIE569" s="621"/>
      <c r="OII569" s="621"/>
      <c r="OIM569" s="621"/>
      <c r="OIQ569" s="621"/>
      <c r="OIU569" s="621"/>
      <c r="OIY569" s="621"/>
      <c r="OJC569" s="621"/>
      <c r="OJG569" s="621"/>
      <c r="OJK569" s="621"/>
      <c r="OJO569" s="621"/>
      <c r="OJS569" s="621"/>
      <c r="OJW569" s="621"/>
      <c r="OKA569" s="621"/>
      <c r="OKE569" s="621"/>
      <c r="OKI569" s="621"/>
      <c r="OKM569" s="621"/>
      <c r="OKQ569" s="621"/>
      <c r="OKU569" s="621"/>
      <c r="OKY569" s="621"/>
      <c r="OLC569" s="621"/>
      <c r="OLG569" s="621"/>
      <c r="OLK569" s="621"/>
      <c r="OLO569" s="621"/>
      <c r="OLS569" s="621"/>
      <c r="OLW569" s="621"/>
      <c r="OMA569" s="621"/>
      <c r="OME569" s="621"/>
      <c r="OMI569" s="621"/>
      <c r="OMM569" s="621"/>
      <c r="OMQ569" s="621"/>
      <c r="OMU569" s="621"/>
      <c r="OMY569" s="621"/>
      <c r="ONC569" s="621"/>
      <c r="ONG569" s="621"/>
      <c r="ONK569" s="621"/>
      <c r="ONO569" s="621"/>
      <c r="ONS569" s="621"/>
      <c r="ONW569" s="621"/>
      <c r="OOA569" s="621"/>
      <c r="OOE569" s="621"/>
      <c r="OOI569" s="621"/>
      <c r="OOM569" s="621"/>
      <c r="OOQ569" s="621"/>
      <c r="OOU569" s="621"/>
      <c r="OOY569" s="621"/>
      <c r="OPC569" s="621"/>
      <c r="OPG569" s="621"/>
      <c r="OPK569" s="621"/>
      <c r="OPO569" s="621"/>
      <c r="OPS569" s="621"/>
      <c r="OPW569" s="621"/>
      <c r="OQA569" s="621"/>
      <c r="OQE569" s="621"/>
      <c r="OQI569" s="621"/>
      <c r="OQM569" s="621"/>
      <c r="OQQ569" s="621"/>
      <c r="OQU569" s="621"/>
      <c r="OQY569" s="621"/>
      <c r="ORC569" s="621"/>
      <c r="ORG569" s="621"/>
      <c r="ORK569" s="621"/>
      <c r="ORO569" s="621"/>
      <c r="ORS569" s="621"/>
      <c r="ORW569" s="621"/>
      <c r="OSA569" s="621"/>
      <c r="OSE569" s="621"/>
      <c r="OSI569" s="621"/>
      <c r="OSM569" s="621"/>
      <c r="OSQ569" s="621"/>
      <c r="OSU569" s="621"/>
      <c r="OSY569" s="621"/>
      <c r="OTC569" s="621"/>
      <c r="OTG569" s="621"/>
      <c r="OTK569" s="621"/>
      <c r="OTO569" s="621"/>
      <c r="OTS569" s="621"/>
      <c r="OTW569" s="621"/>
      <c r="OUA569" s="621"/>
      <c r="OUE569" s="621"/>
      <c r="OUI569" s="621"/>
      <c r="OUM569" s="621"/>
      <c r="OUQ569" s="621"/>
      <c r="OUU569" s="621"/>
      <c r="OUY569" s="621"/>
      <c r="OVC569" s="621"/>
      <c r="OVG569" s="621"/>
      <c r="OVK569" s="621"/>
      <c r="OVO569" s="621"/>
      <c r="OVS569" s="621"/>
      <c r="OVW569" s="621"/>
      <c r="OWA569" s="621"/>
      <c r="OWE569" s="621"/>
      <c r="OWI569" s="621"/>
      <c r="OWM569" s="621"/>
      <c r="OWQ569" s="621"/>
      <c r="OWU569" s="621"/>
      <c r="OWY569" s="621"/>
      <c r="OXC569" s="621"/>
      <c r="OXG569" s="621"/>
      <c r="OXK569" s="621"/>
      <c r="OXO569" s="621"/>
      <c r="OXS569" s="621"/>
      <c r="OXW569" s="621"/>
      <c r="OYA569" s="621"/>
      <c r="OYE569" s="621"/>
      <c r="OYI569" s="621"/>
      <c r="OYM569" s="621"/>
      <c r="OYQ569" s="621"/>
      <c r="OYU569" s="621"/>
      <c r="OYY569" s="621"/>
      <c r="OZC569" s="621"/>
      <c r="OZG569" s="621"/>
      <c r="OZK569" s="621"/>
      <c r="OZO569" s="621"/>
      <c r="OZS569" s="621"/>
      <c r="OZW569" s="621"/>
      <c r="PAA569" s="621"/>
      <c r="PAE569" s="621"/>
      <c r="PAI569" s="621"/>
      <c r="PAM569" s="621"/>
      <c r="PAQ569" s="621"/>
      <c r="PAU569" s="621"/>
      <c r="PAY569" s="621"/>
      <c r="PBC569" s="621"/>
      <c r="PBG569" s="621"/>
      <c r="PBK569" s="621"/>
      <c r="PBO569" s="621"/>
      <c r="PBS569" s="621"/>
      <c r="PBW569" s="621"/>
      <c r="PCA569" s="621"/>
      <c r="PCE569" s="621"/>
      <c r="PCI569" s="621"/>
      <c r="PCM569" s="621"/>
      <c r="PCQ569" s="621"/>
      <c r="PCU569" s="621"/>
      <c r="PCY569" s="621"/>
      <c r="PDC569" s="621"/>
      <c r="PDG569" s="621"/>
      <c r="PDK569" s="621"/>
      <c r="PDO569" s="621"/>
      <c r="PDS569" s="621"/>
      <c r="PDW569" s="621"/>
      <c r="PEA569" s="621"/>
      <c r="PEE569" s="621"/>
      <c r="PEI569" s="621"/>
      <c r="PEM569" s="621"/>
      <c r="PEQ569" s="621"/>
      <c r="PEU569" s="621"/>
      <c r="PEY569" s="621"/>
      <c r="PFC569" s="621"/>
      <c r="PFG569" s="621"/>
      <c r="PFK569" s="621"/>
      <c r="PFO569" s="621"/>
      <c r="PFS569" s="621"/>
      <c r="PFW569" s="621"/>
      <c r="PGA569" s="621"/>
      <c r="PGE569" s="621"/>
      <c r="PGI569" s="621"/>
      <c r="PGM569" s="621"/>
      <c r="PGQ569" s="621"/>
      <c r="PGU569" s="621"/>
      <c r="PGY569" s="621"/>
      <c r="PHC569" s="621"/>
      <c r="PHG569" s="621"/>
      <c r="PHK569" s="621"/>
      <c r="PHO569" s="621"/>
      <c r="PHS569" s="621"/>
      <c r="PHW569" s="621"/>
      <c r="PIA569" s="621"/>
      <c r="PIE569" s="621"/>
      <c r="PII569" s="621"/>
      <c r="PIM569" s="621"/>
      <c r="PIQ569" s="621"/>
      <c r="PIU569" s="621"/>
      <c r="PIY569" s="621"/>
      <c r="PJC569" s="621"/>
      <c r="PJG569" s="621"/>
      <c r="PJK569" s="621"/>
      <c r="PJO569" s="621"/>
      <c r="PJS569" s="621"/>
      <c r="PJW569" s="621"/>
      <c r="PKA569" s="621"/>
      <c r="PKE569" s="621"/>
      <c r="PKI569" s="621"/>
      <c r="PKM569" s="621"/>
      <c r="PKQ569" s="621"/>
      <c r="PKU569" s="621"/>
      <c r="PKY569" s="621"/>
      <c r="PLC569" s="621"/>
      <c r="PLG569" s="621"/>
      <c r="PLK569" s="621"/>
      <c r="PLO569" s="621"/>
      <c r="PLS569" s="621"/>
      <c r="PLW569" s="621"/>
      <c r="PMA569" s="621"/>
      <c r="PME569" s="621"/>
      <c r="PMI569" s="621"/>
      <c r="PMM569" s="621"/>
      <c r="PMQ569" s="621"/>
      <c r="PMU569" s="621"/>
      <c r="PMY569" s="621"/>
      <c r="PNC569" s="621"/>
      <c r="PNG569" s="621"/>
      <c r="PNK569" s="621"/>
      <c r="PNO569" s="621"/>
      <c r="PNS569" s="621"/>
      <c r="PNW569" s="621"/>
      <c r="POA569" s="621"/>
      <c r="POE569" s="621"/>
      <c r="POI569" s="621"/>
      <c r="POM569" s="621"/>
      <c r="POQ569" s="621"/>
      <c r="POU569" s="621"/>
      <c r="POY569" s="621"/>
      <c r="PPC569" s="621"/>
      <c r="PPG569" s="621"/>
      <c r="PPK569" s="621"/>
      <c r="PPO569" s="621"/>
      <c r="PPS569" s="621"/>
      <c r="PPW569" s="621"/>
      <c r="PQA569" s="621"/>
      <c r="PQE569" s="621"/>
      <c r="PQI569" s="621"/>
      <c r="PQM569" s="621"/>
      <c r="PQQ569" s="621"/>
      <c r="PQU569" s="621"/>
      <c r="PQY569" s="621"/>
      <c r="PRC569" s="621"/>
      <c r="PRG569" s="621"/>
      <c r="PRK569" s="621"/>
      <c r="PRO569" s="621"/>
      <c r="PRS569" s="621"/>
      <c r="PRW569" s="621"/>
      <c r="PSA569" s="621"/>
      <c r="PSE569" s="621"/>
      <c r="PSI569" s="621"/>
      <c r="PSM569" s="621"/>
      <c r="PSQ569" s="621"/>
      <c r="PSU569" s="621"/>
      <c r="PSY569" s="621"/>
      <c r="PTC569" s="621"/>
      <c r="PTG569" s="621"/>
      <c r="PTK569" s="621"/>
      <c r="PTO569" s="621"/>
      <c r="PTS569" s="621"/>
      <c r="PTW569" s="621"/>
      <c r="PUA569" s="621"/>
      <c r="PUE569" s="621"/>
      <c r="PUI569" s="621"/>
      <c r="PUM569" s="621"/>
      <c r="PUQ569" s="621"/>
      <c r="PUU569" s="621"/>
      <c r="PUY569" s="621"/>
      <c r="PVC569" s="621"/>
      <c r="PVG569" s="621"/>
      <c r="PVK569" s="621"/>
      <c r="PVO569" s="621"/>
      <c r="PVS569" s="621"/>
      <c r="PVW569" s="621"/>
      <c r="PWA569" s="621"/>
      <c r="PWE569" s="621"/>
      <c r="PWI569" s="621"/>
      <c r="PWM569" s="621"/>
      <c r="PWQ569" s="621"/>
      <c r="PWU569" s="621"/>
      <c r="PWY569" s="621"/>
      <c r="PXC569" s="621"/>
      <c r="PXG569" s="621"/>
      <c r="PXK569" s="621"/>
      <c r="PXO569" s="621"/>
      <c r="PXS569" s="621"/>
      <c r="PXW569" s="621"/>
      <c r="PYA569" s="621"/>
      <c r="PYE569" s="621"/>
      <c r="PYI569" s="621"/>
      <c r="PYM569" s="621"/>
      <c r="PYQ569" s="621"/>
      <c r="PYU569" s="621"/>
      <c r="PYY569" s="621"/>
      <c r="PZC569" s="621"/>
      <c r="PZG569" s="621"/>
      <c r="PZK569" s="621"/>
      <c r="PZO569" s="621"/>
      <c r="PZS569" s="621"/>
      <c r="PZW569" s="621"/>
      <c r="QAA569" s="621"/>
      <c r="QAE569" s="621"/>
      <c r="QAI569" s="621"/>
      <c r="QAM569" s="621"/>
      <c r="QAQ569" s="621"/>
      <c r="QAU569" s="621"/>
      <c r="QAY569" s="621"/>
      <c r="QBC569" s="621"/>
      <c r="QBG569" s="621"/>
      <c r="QBK569" s="621"/>
      <c r="QBO569" s="621"/>
      <c r="QBS569" s="621"/>
      <c r="QBW569" s="621"/>
      <c r="QCA569" s="621"/>
      <c r="QCE569" s="621"/>
      <c r="QCI569" s="621"/>
      <c r="QCM569" s="621"/>
      <c r="QCQ569" s="621"/>
      <c r="QCU569" s="621"/>
      <c r="QCY569" s="621"/>
      <c r="QDC569" s="621"/>
      <c r="QDG569" s="621"/>
      <c r="QDK569" s="621"/>
      <c r="QDO569" s="621"/>
      <c r="QDS569" s="621"/>
      <c r="QDW569" s="621"/>
      <c r="QEA569" s="621"/>
      <c r="QEE569" s="621"/>
      <c r="QEI569" s="621"/>
      <c r="QEM569" s="621"/>
      <c r="QEQ569" s="621"/>
      <c r="QEU569" s="621"/>
      <c r="QEY569" s="621"/>
      <c r="QFC569" s="621"/>
      <c r="QFG569" s="621"/>
      <c r="QFK569" s="621"/>
      <c r="QFO569" s="621"/>
      <c r="QFS569" s="621"/>
      <c r="QFW569" s="621"/>
      <c r="QGA569" s="621"/>
      <c r="QGE569" s="621"/>
      <c r="QGI569" s="621"/>
      <c r="QGM569" s="621"/>
      <c r="QGQ569" s="621"/>
      <c r="QGU569" s="621"/>
      <c r="QGY569" s="621"/>
      <c r="QHC569" s="621"/>
      <c r="QHG569" s="621"/>
      <c r="QHK569" s="621"/>
      <c r="QHO569" s="621"/>
      <c r="QHS569" s="621"/>
      <c r="QHW569" s="621"/>
      <c r="QIA569" s="621"/>
      <c r="QIE569" s="621"/>
      <c r="QII569" s="621"/>
      <c r="QIM569" s="621"/>
      <c r="QIQ569" s="621"/>
      <c r="QIU569" s="621"/>
      <c r="QIY569" s="621"/>
      <c r="QJC569" s="621"/>
      <c r="QJG569" s="621"/>
      <c r="QJK569" s="621"/>
      <c r="QJO569" s="621"/>
      <c r="QJS569" s="621"/>
      <c r="QJW569" s="621"/>
      <c r="QKA569" s="621"/>
      <c r="QKE569" s="621"/>
      <c r="QKI569" s="621"/>
      <c r="QKM569" s="621"/>
      <c r="QKQ569" s="621"/>
      <c r="QKU569" s="621"/>
      <c r="QKY569" s="621"/>
      <c r="QLC569" s="621"/>
      <c r="QLG569" s="621"/>
      <c r="QLK569" s="621"/>
      <c r="QLO569" s="621"/>
      <c r="QLS569" s="621"/>
      <c r="QLW569" s="621"/>
      <c r="QMA569" s="621"/>
      <c r="QME569" s="621"/>
      <c r="QMI569" s="621"/>
      <c r="QMM569" s="621"/>
      <c r="QMQ569" s="621"/>
      <c r="QMU569" s="621"/>
      <c r="QMY569" s="621"/>
      <c r="QNC569" s="621"/>
      <c r="QNG569" s="621"/>
      <c r="QNK569" s="621"/>
      <c r="QNO569" s="621"/>
      <c r="QNS569" s="621"/>
      <c r="QNW569" s="621"/>
      <c r="QOA569" s="621"/>
      <c r="QOE569" s="621"/>
      <c r="QOI569" s="621"/>
      <c r="QOM569" s="621"/>
      <c r="QOQ569" s="621"/>
      <c r="QOU569" s="621"/>
      <c r="QOY569" s="621"/>
      <c r="QPC569" s="621"/>
      <c r="QPG569" s="621"/>
      <c r="QPK569" s="621"/>
      <c r="QPO569" s="621"/>
      <c r="QPS569" s="621"/>
      <c r="QPW569" s="621"/>
      <c r="QQA569" s="621"/>
      <c r="QQE569" s="621"/>
      <c r="QQI569" s="621"/>
      <c r="QQM569" s="621"/>
      <c r="QQQ569" s="621"/>
      <c r="QQU569" s="621"/>
      <c r="QQY569" s="621"/>
      <c r="QRC569" s="621"/>
      <c r="QRG569" s="621"/>
      <c r="QRK569" s="621"/>
      <c r="QRO569" s="621"/>
      <c r="QRS569" s="621"/>
      <c r="QRW569" s="621"/>
      <c r="QSA569" s="621"/>
      <c r="QSE569" s="621"/>
      <c r="QSI569" s="621"/>
      <c r="QSM569" s="621"/>
      <c r="QSQ569" s="621"/>
      <c r="QSU569" s="621"/>
      <c r="QSY569" s="621"/>
      <c r="QTC569" s="621"/>
      <c r="QTG569" s="621"/>
      <c r="QTK569" s="621"/>
      <c r="QTO569" s="621"/>
      <c r="QTS569" s="621"/>
      <c r="QTW569" s="621"/>
      <c r="QUA569" s="621"/>
      <c r="QUE569" s="621"/>
      <c r="QUI569" s="621"/>
      <c r="QUM569" s="621"/>
      <c r="QUQ569" s="621"/>
      <c r="QUU569" s="621"/>
      <c r="QUY569" s="621"/>
      <c r="QVC569" s="621"/>
      <c r="QVG569" s="621"/>
      <c r="QVK569" s="621"/>
      <c r="QVO569" s="621"/>
      <c r="QVS569" s="621"/>
      <c r="QVW569" s="621"/>
      <c r="QWA569" s="621"/>
      <c r="QWE569" s="621"/>
      <c r="QWI569" s="621"/>
      <c r="QWM569" s="621"/>
      <c r="QWQ569" s="621"/>
      <c r="QWU569" s="621"/>
      <c r="QWY569" s="621"/>
      <c r="QXC569" s="621"/>
      <c r="QXG569" s="621"/>
      <c r="QXK569" s="621"/>
      <c r="QXO569" s="621"/>
      <c r="QXS569" s="621"/>
      <c r="QXW569" s="621"/>
      <c r="QYA569" s="621"/>
      <c r="QYE569" s="621"/>
      <c r="QYI569" s="621"/>
      <c r="QYM569" s="621"/>
      <c r="QYQ569" s="621"/>
      <c r="QYU569" s="621"/>
      <c r="QYY569" s="621"/>
      <c r="QZC569" s="621"/>
      <c r="QZG569" s="621"/>
      <c r="QZK569" s="621"/>
      <c r="QZO569" s="621"/>
      <c r="QZS569" s="621"/>
      <c r="QZW569" s="621"/>
      <c r="RAA569" s="621"/>
      <c r="RAE569" s="621"/>
      <c r="RAI569" s="621"/>
      <c r="RAM569" s="621"/>
      <c r="RAQ569" s="621"/>
      <c r="RAU569" s="621"/>
      <c r="RAY569" s="621"/>
      <c r="RBC569" s="621"/>
      <c r="RBG569" s="621"/>
      <c r="RBK569" s="621"/>
      <c r="RBO569" s="621"/>
      <c r="RBS569" s="621"/>
      <c r="RBW569" s="621"/>
      <c r="RCA569" s="621"/>
      <c r="RCE569" s="621"/>
      <c r="RCI569" s="621"/>
      <c r="RCM569" s="621"/>
      <c r="RCQ569" s="621"/>
      <c r="RCU569" s="621"/>
      <c r="RCY569" s="621"/>
      <c r="RDC569" s="621"/>
      <c r="RDG569" s="621"/>
      <c r="RDK569" s="621"/>
      <c r="RDO569" s="621"/>
      <c r="RDS569" s="621"/>
      <c r="RDW569" s="621"/>
      <c r="REA569" s="621"/>
      <c r="REE569" s="621"/>
      <c r="REI569" s="621"/>
      <c r="REM569" s="621"/>
      <c r="REQ569" s="621"/>
      <c r="REU569" s="621"/>
      <c r="REY569" s="621"/>
      <c r="RFC569" s="621"/>
      <c r="RFG569" s="621"/>
      <c r="RFK569" s="621"/>
      <c r="RFO569" s="621"/>
      <c r="RFS569" s="621"/>
      <c r="RFW569" s="621"/>
      <c r="RGA569" s="621"/>
      <c r="RGE569" s="621"/>
      <c r="RGI569" s="621"/>
      <c r="RGM569" s="621"/>
      <c r="RGQ569" s="621"/>
      <c r="RGU569" s="621"/>
      <c r="RGY569" s="621"/>
      <c r="RHC569" s="621"/>
      <c r="RHG569" s="621"/>
      <c r="RHK569" s="621"/>
      <c r="RHO569" s="621"/>
      <c r="RHS569" s="621"/>
      <c r="RHW569" s="621"/>
      <c r="RIA569" s="621"/>
      <c r="RIE569" s="621"/>
      <c r="RII569" s="621"/>
      <c r="RIM569" s="621"/>
      <c r="RIQ569" s="621"/>
      <c r="RIU569" s="621"/>
      <c r="RIY569" s="621"/>
      <c r="RJC569" s="621"/>
      <c r="RJG569" s="621"/>
      <c r="RJK569" s="621"/>
      <c r="RJO569" s="621"/>
      <c r="RJS569" s="621"/>
      <c r="RJW569" s="621"/>
      <c r="RKA569" s="621"/>
      <c r="RKE569" s="621"/>
      <c r="RKI569" s="621"/>
      <c r="RKM569" s="621"/>
      <c r="RKQ569" s="621"/>
      <c r="RKU569" s="621"/>
      <c r="RKY569" s="621"/>
      <c r="RLC569" s="621"/>
      <c r="RLG569" s="621"/>
      <c r="RLK569" s="621"/>
      <c r="RLO569" s="621"/>
      <c r="RLS569" s="621"/>
      <c r="RLW569" s="621"/>
      <c r="RMA569" s="621"/>
      <c r="RME569" s="621"/>
      <c r="RMI569" s="621"/>
      <c r="RMM569" s="621"/>
      <c r="RMQ569" s="621"/>
      <c r="RMU569" s="621"/>
      <c r="RMY569" s="621"/>
      <c r="RNC569" s="621"/>
      <c r="RNG569" s="621"/>
      <c r="RNK569" s="621"/>
      <c r="RNO569" s="621"/>
      <c r="RNS569" s="621"/>
      <c r="RNW569" s="621"/>
      <c r="ROA569" s="621"/>
      <c r="ROE569" s="621"/>
      <c r="ROI569" s="621"/>
      <c r="ROM569" s="621"/>
      <c r="ROQ569" s="621"/>
      <c r="ROU569" s="621"/>
      <c r="ROY569" s="621"/>
      <c r="RPC569" s="621"/>
      <c r="RPG569" s="621"/>
      <c r="RPK569" s="621"/>
      <c r="RPO569" s="621"/>
      <c r="RPS569" s="621"/>
      <c r="RPW569" s="621"/>
      <c r="RQA569" s="621"/>
      <c r="RQE569" s="621"/>
      <c r="RQI569" s="621"/>
      <c r="RQM569" s="621"/>
      <c r="RQQ569" s="621"/>
      <c r="RQU569" s="621"/>
      <c r="RQY569" s="621"/>
      <c r="RRC569" s="621"/>
      <c r="RRG569" s="621"/>
      <c r="RRK569" s="621"/>
      <c r="RRO569" s="621"/>
      <c r="RRS569" s="621"/>
      <c r="RRW569" s="621"/>
      <c r="RSA569" s="621"/>
      <c r="RSE569" s="621"/>
      <c r="RSI569" s="621"/>
      <c r="RSM569" s="621"/>
      <c r="RSQ569" s="621"/>
      <c r="RSU569" s="621"/>
      <c r="RSY569" s="621"/>
      <c r="RTC569" s="621"/>
      <c r="RTG569" s="621"/>
      <c r="RTK569" s="621"/>
      <c r="RTO569" s="621"/>
      <c r="RTS569" s="621"/>
      <c r="RTW569" s="621"/>
      <c r="RUA569" s="621"/>
      <c r="RUE569" s="621"/>
      <c r="RUI569" s="621"/>
      <c r="RUM569" s="621"/>
      <c r="RUQ569" s="621"/>
      <c r="RUU569" s="621"/>
      <c r="RUY569" s="621"/>
      <c r="RVC569" s="621"/>
      <c r="RVG569" s="621"/>
      <c r="RVK569" s="621"/>
      <c r="RVO569" s="621"/>
      <c r="RVS569" s="621"/>
      <c r="RVW569" s="621"/>
      <c r="RWA569" s="621"/>
      <c r="RWE569" s="621"/>
      <c r="RWI569" s="621"/>
      <c r="RWM569" s="621"/>
      <c r="RWQ569" s="621"/>
      <c r="RWU569" s="621"/>
      <c r="RWY569" s="621"/>
      <c r="RXC569" s="621"/>
      <c r="RXG569" s="621"/>
      <c r="RXK569" s="621"/>
      <c r="RXO569" s="621"/>
      <c r="RXS569" s="621"/>
      <c r="RXW569" s="621"/>
      <c r="RYA569" s="621"/>
      <c r="RYE569" s="621"/>
      <c r="RYI569" s="621"/>
      <c r="RYM569" s="621"/>
      <c r="RYQ569" s="621"/>
      <c r="RYU569" s="621"/>
      <c r="RYY569" s="621"/>
      <c r="RZC569" s="621"/>
      <c r="RZG569" s="621"/>
      <c r="RZK569" s="621"/>
      <c r="RZO569" s="621"/>
      <c r="RZS569" s="621"/>
      <c r="RZW569" s="621"/>
      <c r="SAA569" s="621"/>
      <c r="SAE569" s="621"/>
      <c r="SAI569" s="621"/>
      <c r="SAM569" s="621"/>
      <c r="SAQ569" s="621"/>
      <c r="SAU569" s="621"/>
      <c r="SAY569" s="621"/>
      <c r="SBC569" s="621"/>
      <c r="SBG569" s="621"/>
      <c r="SBK569" s="621"/>
      <c r="SBO569" s="621"/>
      <c r="SBS569" s="621"/>
      <c r="SBW569" s="621"/>
      <c r="SCA569" s="621"/>
      <c r="SCE569" s="621"/>
      <c r="SCI569" s="621"/>
      <c r="SCM569" s="621"/>
      <c r="SCQ569" s="621"/>
      <c r="SCU569" s="621"/>
      <c r="SCY569" s="621"/>
      <c r="SDC569" s="621"/>
      <c r="SDG569" s="621"/>
      <c r="SDK569" s="621"/>
      <c r="SDO569" s="621"/>
      <c r="SDS569" s="621"/>
      <c r="SDW569" s="621"/>
      <c r="SEA569" s="621"/>
      <c r="SEE569" s="621"/>
      <c r="SEI569" s="621"/>
      <c r="SEM569" s="621"/>
      <c r="SEQ569" s="621"/>
      <c r="SEU569" s="621"/>
      <c r="SEY569" s="621"/>
      <c r="SFC569" s="621"/>
      <c r="SFG569" s="621"/>
      <c r="SFK569" s="621"/>
      <c r="SFO569" s="621"/>
      <c r="SFS569" s="621"/>
      <c r="SFW569" s="621"/>
      <c r="SGA569" s="621"/>
      <c r="SGE569" s="621"/>
      <c r="SGI569" s="621"/>
      <c r="SGM569" s="621"/>
      <c r="SGQ569" s="621"/>
      <c r="SGU569" s="621"/>
      <c r="SGY569" s="621"/>
      <c r="SHC569" s="621"/>
      <c r="SHG569" s="621"/>
      <c r="SHK569" s="621"/>
      <c r="SHO569" s="621"/>
      <c r="SHS569" s="621"/>
      <c r="SHW569" s="621"/>
      <c r="SIA569" s="621"/>
      <c r="SIE569" s="621"/>
      <c r="SII569" s="621"/>
      <c r="SIM569" s="621"/>
      <c r="SIQ569" s="621"/>
      <c r="SIU569" s="621"/>
      <c r="SIY569" s="621"/>
      <c r="SJC569" s="621"/>
      <c r="SJG569" s="621"/>
      <c r="SJK569" s="621"/>
      <c r="SJO569" s="621"/>
      <c r="SJS569" s="621"/>
      <c r="SJW569" s="621"/>
      <c r="SKA569" s="621"/>
      <c r="SKE569" s="621"/>
      <c r="SKI569" s="621"/>
      <c r="SKM569" s="621"/>
      <c r="SKQ569" s="621"/>
      <c r="SKU569" s="621"/>
      <c r="SKY569" s="621"/>
      <c r="SLC569" s="621"/>
      <c r="SLG569" s="621"/>
      <c r="SLK569" s="621"/>
      <c r="SLO569" s="621"/>
      <c r="SLS569" s="621"/>
      <c r="SLW569" s="621"/>
      <c r="SMA569" s="621"/>
      <c r="SME569" s="621"/>
      <c r="SMI569" s="621"/>
      <c r="SMM569" s="621"/>
      <c r="SMQ569" s="621"/>
      <c r="SMU569" s="621"/>
      <c r="SMY569" s="621"/>
      <c r="SNC569" s="621"/>
      <c r="SNG569" s="621"/>
      <c r="SNK569" s="621"/>
      <c r="SNO569" s="621"/>
      <c r="SNS569" s="621"/>
      <c r="SNW569" s="621"/>
      <c r="SOA569" s="621"/>
      <c r="SOE569" s="621"/>
      <c r="SOI569" s="621"/>
      <c r="SOM569" s="621"/>
      <c r="SOQ569" s="621"/>
      <c r="SOU569" s="621"/>
      <c r="SOY569" s="621"/>
      <c r="SPC569" s="621"/>
      <c r="SPG569" s="621"/>
      <c r="SPK569" s="621"/>
      <c r="SPO569" s="621"/>
      <c r="SPS569" s="621"/>
      <c r="SPW569" s="621"/>
      <c r="SQA569" s="621"/>
      <c r="SQE569" s="621"/>
      <c r="SQI569" s="621"/>
      <c r="SQM569" s="621"/>
      <c r="SQQ569" s="621"/>
      <c r="SQU569" s="621"/>
      <c r="SQY569" s="621"/>
      <c r="SRC569" s="621"/>
      <c r="SRG569" s="621"/>
      <c r="SRK569" s="621"/>
      <c r="SRO569" s="621"/>
      <c r="SRS569" s="621"/>
      <c r="SRW569" s="621"/>
      <c r="SSA569" s="621"/>
      <c r="SSE569" s="621"/>
      <c r="SSI569" s="621"/>
      <c r="SSM569" s="621"/>
      <c r="SSQ569" s="621"/>
      <c r="SSU569" s="621"/>
      <c r="SSY569" s="621"/>
      <c r="STC569" s="621"/>
      <c r="STG569" s="621"/>
      <c r="STK569" s="621"/>
      <c r="STO569" s="621"/>
      <c r="STS569" s="621"/>
      <c r="STW569" s="621"/>
      <c r="SUA569" s="621"/>
      <c r="SUE569" s="621"/>
      <c r="SUI569" s="621"/>
      <c r="SUM569" s="621"/>
      <c r="SUQ569" s="621"/>
      <c r="SUU569" s="621"/>
      <c r="SUY569" s="621"/>
      <c r="SVC569" s="621"/>
      <c r="SVG569" s="621"/>
      <c r="SVK569" s="621"/>
      <c r="SVO569" s="621"/>
      <c r="SVS569" s="621"/>
      <c r="SVW569" s="621"/>
      <c r="SWA569" s="621"/>
      <c r="SWE569" s="621"/>
      <c r="SWI569" s="621"/>
      <c r="SWM569" s="621"/>
      <c r="SWQ569" s="621"/>
      <c r="SWU569" s="621"/>
      <c r="SWY569" s="621"/>
      <c r="SXC569" s="621"/>
      <c r="SXG569" s="621"/>
      <c r="SXK569" s="621"/>
      <c r="SXO569" s="621"/>
      <c r="SXS569" s="621"/>
      <c r="SXW569" s="621"/>
      <c r="SYA569" s="621"/>
      <c r="SYE569" s="621"/>
      <c r="SYI569" s="621"/>
      <c r="SYM569" s="621"/>
      <c r="SYQ569" s="621"/>
      <c r="SYU569" s="621"/>
      <c r="SYY569" s="621"/>
      <c r="SZC569" s="621"/>
      <c r="SZG569" s="621"/>
      <c r="SZK569" s="621"/>
      <c r="SZO569" s="621"/>
      <c r="SZS569" s="621"/>
      <c r="SZW569" s="621"/>
      <c r="TAA569" s="621"/>
      <c r="TAE569" s="621"/>
      <c r="TAI569" s="621"/>
      <c r="TAM569" s="621"/>
      <c r="TAQ569" s="621"/>
      <c r="TAU569" s="621"/>
      <c r="TAY569" s="621"/>
      <c r="TBC569" s="621"/>
      <c r="TBG569" s="621"/>
      <c r="TBK569" s="621"/>
      <c r="TBO569" s="621"/>
      <c r="TBS569" s="621"/>
      <c r="TBW569" s="621"/>
      <c r="TCA569" s="621"/>
      <c r="TCE569" s="621"/>
      <c r="TCI569" s="621"/>
      <c r="TCM569" s="621"/>
      <c r="TCQ569" s="621"/>
      <c r="TCU569" s="621"/>
      <c r="TCY569" s="621"/>
      <c r="TDC569" s="621"/>
      <c r="TDG569" s="621"/>
      <c r="TDK569" s="621"/>
      <c r="TDO569" s="621"/>
      <c r="TDS569" s="621"/>
      <c r="TDW569" s="621"/>
      <c r="TEA569" s="621"/>
      <c r="TEE569" s="621"/>
      <c r="TEI569" s="621"/>
      <c r="TEM569" s="621"/>
      <c r="TEQ569" s="621"/>
      <c r="TEU569" s="621"/>
      <c r="TEY569" s="621"/>
      <c r="TFC569" s="621"/>
      <c r="TFG569" s="621"/>
      <c r="TFK569" s="621"/>
      <c r="TFO569" s="621"/>
      <c r="TFS569" s="621"/>
      <c r="TFW569" s="621"/>
      <c r="TGA569" s="621"/>
      <c r="TGE569" s="621"/>
      <c r="TGI569" s="621"/>
      <c r="TGM569" s="621"/>
      <c r="TGQ569" s="621"/>
      <c r="TGU569" s="621"/>
      <c r="TGY569" s="621"/>
      <c r="THC569" s="621"/>
      <c r="THG569" s="621"/>
      <c r="THK569" s="621"/>
      <c r="THO569" s="621"/>
      <c r="THS569" s="621"/>
      <c r="THW569" s="621"/>
      <c r="TIA569" s="621"/>
      <c r="TIE569" s="621"/>
      <c r="TII569" s="621"/>
      <c r="TIM569" s="621"/>
      <c r="TIQ569" s="621"/>
      <c r="TIU569" s="621"/>
      <c r="TIY569" s="621"/>
      <c r="TJC569" s="621"/>
      <c r="TJG569" s="621"/>
      <c r="TJK569" s="621"/>
      <c r="TJO569" s="621"/>
      <c r="TJS569" s="621"/>
      <c r="TJW569" s="621"/>
      <c r="TKA569" s="621"/>
      <c r="TKE569" s="621"/>
      <c r="TKI569" s="621"/>
      <c r="TKM569" s="621"/>
      <c r="TKQ569" s="621"/>
      <c r="TKU569" s="621"/>
      <c r="TKY569" s="621"/>
      <c r="TLC569" s="621"/>
      <c r="TLG569" s="621"/>
      <c r="TLK569" s="621"/>
      <c r="TLO569" s="621"/>
      <c r="TLS569" s="621"/>
      <c r="TLW569" s="621"/>
      <c r="TMA569" s="621"/>
      <c r="TME569" s="621"/>
      <c r="TMI569" s="621"/>
      <c r="TMM569" s="621"/>
      <c r="TMQ569" s="621"/>
      <c r="TMU569" s="621"/>
      <c r="TMY569" s="621"/>
      <c r="TNC569" s="621"/>
      <c r="TNG569" s="621"/>
      <c r="TNK569" s="621"/>
      <c r="TNO569" s="621"/>
      <c r="TNS569" s="621"/>
      <c r="TNW569" s="621"/>
      <c r="TOA569" s="621"/>
      <c r="TOE569" s="621"/>
      <c r="TOI569" s="621"/>
      <c r="TOM569" s="621"/>
      <c r="TOQ569" s="621"/>
      <c r="TOU569" s="621"/>
      <c r="TOY569" s="621"/>
      <c r="TPC569" s="621"/>
      <c r="TPG569" s="621"/>
      <c r="TPK569" s="621"/>
      <c r="TPO569" s="621"/>
      <c r="TPS569" s="621"/>
      <c r="TPW569" s="621"/>
      <c r="TQA569" s="621"/>
      <c r="TQE569" s="621"/>
      <c r="TQI569" s="621"/>
      <c r="TQM569" s="621"/>
      <c r="TQQ569" s="621"/>
      <c r="TQU569" s="621"/>
      <c r="TQY569" s="621"/>
      <c r="TRC569" s="621"/>
      <c r="TRG569" s="621"/>
      <c r="TRK569" s="621"/>
      <c r="TRO569" s="621"/>
      <c r="TRS569" s="621"/>
      <c r="TRW569" s="621"/>
      <c r="TSA569" s="621"/>
      <c r="TSE569" s="621"/>
      <c r="TSI569" s="621"/>
      <c r="TSM569" s="621"/>
      <c r="TSQ569" s="621"/>
      <c r="TSU569" s="621"/>
      <c r="TSY569" s="621"/>
      <c r="TTC569" s="621"/>
      <c r="TTG569" s="621"/>
      <c r="TTK569" s="621"/>
      <c r="TTO569" s="621"/>
      <c r="TTS569" s="621"/>
      <c r="TTW569" s="621"/>
      <c r="TUA569" s="621"/>
      <c r="TUE569" s="621"/>
      <c r="TUI569" s="621"/>
      <c r="TUM569" s="621"/>
      <c r="TUQ569" s="621"/>
      <c r="TUU569" s="621"/>
      <c r="TUY569" s="621"/>
      <c r="TVC569" s="621"/>
      <c r="TVG569" s="621"/>
      <c r="TVK569" s="621"/>
      <c r="TVO569" s="621"/>
      <c r="TVS569" s="621"/>
      <c r="TVW569" s="621"/>
      <c r="TWA569" s="621"/>
      <c r="TWE569" s="621"/>
      <c r="TWI569" s="621"/>
      <c r="TWM569" s="621"/>
      <c r="TWQ569" s="621"/>
      <c r="TWU569" s="621"/>
      <c r="TWY569" s="621"/>
      <c r="TXC569" s="621"/>
      <c r="TXG569" s="621"/>
      <c r="TXK569" s="621"/>
      <c r="TXO569" s="621"/>
      <c r="TXS569" s="621"/>
      <c r="TXW569" s="621"/>
      <c r="TYA569" s="621"/>
      <c r="TYE569" s="621"/>
      <c r="TYI569" s="621"/>
      <c r="TYM569" s="621"/>
      <c r="TYQ569" s="621"/>
      <c r="TYU569" s="621"/>
      <c r="TYY569" s="621"/>
      <c r="TZC569" s="621"/>
      <c r="TZG569" s="621"/>
      <c r="TZK569" s="621"/>
      <c r="TZO569" s="621"/>
      <c r="TZS569" s="621"/>
      <c r="TZW569" s="621"/>
      <c r="UAA569" s="621"/>
      <c r="UAE569" s="621"/>
      <c r="UAI569" s="621"/>
      <c r="UAM569" s="621"/>
      <c r="UAQ569" s="621"/>
      <c r="UAU569" s="621"/>
      <c r="UAY569" s="621"/>
      <c r="UBC569" s="621"/>
      <c r="UBG569" s="621"/>
      <c r="UBK569" s="621"/>
      <c r="UBO569" s="621"/>
      <c r="UBS569" s="621"/>
      <c r="UBW569" s="621"/>
      <c r="UCA569" s="621"/>
      <c r="UCE569" s="621"/>
      <c r="UCI569" s="621"/>
      <c r="UCM569" s="621"/>
      <c r="UCQ569" s="621"/>
      <c r="UCU569" s="621"/>
      <c r="UCY569" s="621"/>
      <c r="UDC569" s="621"/>
      <c r="UDG569" s="621"/>
      <c r="UDK569" s="621"/>
      <c r="UDO569" s="621"/>
      <c r="UDS569" s="621"/>
      <c r="UDW569" s="621"/>
      <c r="UEA569" s="621"/>
      <c r="UEE569" s="621"/>
      <c r="UEI569" s="621"/>
      <c r="UEM569" s="621"/>
      <c r="UEQ569" s="621"/>
      <c r="UEU569" s="621"/>
      <c r="UEY569" s="621"/>
      <c r="UFC569" s="621"/>
      <c r="UFG569" s="621"/>
      <c r="UFK569" s="621"/>
      <c r="UFO569" s="621"/>
      <c r="UFS569" s="621"/>
      <c r="UFW569" s="621"/>
      <c r="UGA569" s="621"/>
      <c r="UGE569" s="621"/>
      <c r="UGI569" s="621"/>
      <c r="UGM569" s="621"/>
      <c r="UGQ569" s="621"/>
      <c r="UGU569" s="621"/>
      <c r="UGY569" s="621"/>
      <c r="UHC569" s="621"/>
      <c r="UHG569" s="621"/>
      <c r="UHK569" s="621"/>
      <c r="UHO569" s="621"/>
      <c r="UHS569" s="621"/>
      <c r="UHW569" s="621"/>
      <c r="UIA569" s="621"/>
      <c r="UIE569" s="621"/>
      <c r="UII569" s="621"/>
      <c r="UIM569" s="621"/>
      <c r="UIQ569" s="621"/>
      <c r="UIU569" s="621"/>
      <c r="UIY569" s="621"/>
      <c r="UJC569" s="621"/>
      <c r="UJG569" s="621"/>
      <c r="UJK569" s="621"/>
      <c r="UJO569" s="621"/>
      <c r="UJS569" s="621"/>
      <c r="UJW569" s="621"/>
      <c r="UKA569" s="621"/>
      <c r="UKE569" s="621"/>
      <c r="UKI569" s="621"/>
      <c r="UKM569" s="621"/>
      <c r="UKQ569" s="621"/>
      <c r="UKU569" s="621"/>
      <c r="UKY569" s="621"/>
      <c r="ULC569" s="621"/>
      <c r="ULG569" s="621"/>
      <c r="ULK569" s="621"/>
      <c r="ULO569" s="621"/>
      <c r="ULS569" s="621"/>
      <c r="ULW569" s="621"/>
      <c r="UMA569" s="621"/>
      <c r="UME569" s="621"/>
      <c r="UMI569" s="621"/>
      <c r="UMM569" s="621"/>
      <c r="UMQ569" s="621"/>
      <c r="UMU569" s="621"/>
      <c r="UMY569" s="621"/>
      <c r="UNC569" s="621"/>
      <c r="UNG569" s="621"/>
      <c r="UNK569" s="621"/>
      <c r="UNO569" s="621"/>
      <c r="UNS569" s="621"/>
      <c r="UNW569" s="621"/>
      <c r="UOA569" s="621"/>
      <c r="UOE569" s="621"/>
      <c r="UOI569" s="621"/>
      <c r="UOM569" s="621"/>
      <c r="UOQ569" s="621"/>
      <c r="UOU569" s="621"/>
      <c r="UOY569" s="621"/>
      <c r="UPC569" s="621"/>
      <c r="UPG569" s="621"/>
      <c r="UPK569" s="621"/>
      <c r="UPO569" s="621"/>
      <c r="UPS569" s="621"/>
      <c r="UPW569" s="621"/>
      <c r="UQA569" s="621"/>
      <c r="UQE569" s="621"/>
      <c r="UQI569" s="621"/>
      <c r="UQM569" s="621"/>
      <c r="UQQ569" s="621"/>
      <c r="UQU569" s="621"/>
      <c r="UQY569" s="621"/>
      <c r="URC569" s="621"/>
      <c r="URG569" s="621"/>
      <c r="URK569" s="621"/>
      <c r="URO569" s="621"/>
      <c r="URS569" s="621"/>
      <c r="URW569" s="621"/>
      <c r="USA569" s="621"/>
      <c r="USE569" s="621"/>
      <c r="USI569" s="621"/>
      <c r="USM569" s="621"/>
      <c r="USQ569" s="621"/>
      <c r="USU569" s="621"/>
      <c r="USY569" s="621"/>
      <c r="UTC569" s="621"/>
      <c r="UTG569" s="621"/>
      <c r="UTK569" s="621"/>
      <c r="UTO569" s="621"/>
      <c r="UTS569" s="621"/>
      <c r="UTW569" s="621"/>
      <c r="UUA569" s="621"/>
      <c r="UUE569" s="621"/>
      <c r="UUI569" s="621"/>
      <c r="UUM569" s="621"/>
      <c r="UUQ569" s="621"/>
      <c r="UUU569" s="621"/>
      <c r="UUY569" s="621"/>
      <c r="UVC569" s="621"/>
      <c r="UVG569" s="621"/>
      <c r="UVK569" s="621"/>
      <c r="UVO569" s="621"/>
      <c r="UVS569" s="621"/>
      <c r="UVW569" s="621"/>
      <c r="UWA569" s="621"/>
      <c r="UWE569" s="621"/>
      <c r="UWI569" s="621"/>
      <c r="UWM569" s="621"/>
      <c r="UWQ569" s="621"/>
      <c r="UWU569" s="621"/>
      <c r="UWY569" s="621"/>
      <c r="UXC569" s="621"/>
      <c r="UXG569" s="621"/>
      <c r="UXK569" s="621"/>
      <c r="UXO569" s="621"/>
      <c r="UXS569" s="621"/>
      <c r="UXW569" s="621"/>
      <c r="UYA569" s="621"/>
      <c r="UYE569" s="621"/>
      <c r="UYI569" s="621"/>
      <c r="UYM569" s="621"/>
      <c r="UYQ569" s="621"/>
      <c r="UYU569" s="621"/>
      <c r="UYY569" s="621"/>
      <c r="UZC569" s="621"/>
      <c r="UZG569" s="621"/>
      <c r="UZK569" s="621"/>
      <c r="UZO569" s="621"/>
      <c r="UZS569" s="621"/>
      <c r="UZW569" s="621"/>
      <c r="VAA569" s="621"/>
      <c r="VAE569" s="621"/>
      <c r="VAI569" s="621"/>
      <c r="VAM569" s="621"/>
      <c r="VAQ569" s="621"/>
      <c r="VAU569" s="621"/>
      <c r="VAY569" s="621"/>
      <c r="VBC569" s="621"/>
      <c r="VBG569" s="621"/>
      <c r="VBK569" s="621"/>
      <c r="VBO569" s="621"/>
      <c r="VBS569" s="621"/>
      <c r="VBW569" s="621"/>
      <c r="VCA569" s="621"/>
      <c r="VCE569" s="621"/>
      <c r="VCI569" s="621"/>
      <c r="VCM569" s="621"/>
      <c r="VCQ569" s="621"/>
      <c r="VCU569" s="621"/>
      <c r="VCY569" s="621"/>
      <c r="VDC569" s="621"/>
      <c r="VDG569" s="621"/>
      <c r="VDK569" s="621"/>
      <c r="VDO569" s="621"/>
      <c r="VDS569" s="621"/>
      <c r="VDW569" s="621"/>
      <c r="VEA569" s="621"/>
      <c r="VEE569" s="621"/>
      <c r="VEI569" s="621"/>
      <c r="VEM569" s="621"/>
      <c r="VEQ569" s="621"/>
      <c r="VEU569" s="621"/>
      <c r="VEY569" s="621"/>
      <c r="VFC569" s="621"/>
      <c r="VFG569" s="621"/>
      <c r="VFK569" s="621"/>
      <c r="VFO569" s="621"/>
      <c r="VFS569" s="621"/>
      <c r="VFW569" s="621"/>
      <c r="VGA569" s="621"/>
      <c r="VGE569" s="621"/>
      <c r="VGI569" s="621"/>
      <c r="VGM569" s="621"/>
      <c r="VGQ569" s="621"/>
      <c r="VGU569" s="621"/>
      <c r="VGY569" s="621"/>
      <c r="VHC569" s="621"/>
      <c r="VHG569" s="621"/>
      <c r="VHK569" s="621"/>
      <c r="VHO569" s="621"/>
      <c r="VHS569" s="621"/>
      <c r="VHW569" s="621"/>
      <c r="VIA569" s="621"/>
      <c r="VIE569" s="621"/>
      <c r="VII569" s="621"/>
      <c r="VIM569" s="621"/>
      <c r="VIQ569" s="621"/>
      <c r="VIU569" s="621"/>
      <c r="VIY569" s="621"/>
      <c r="VJC569" s="621"/>
      <c r="VJG569" s="621"/>
      <c r="VJK569" s="621"/>
      <c r="VJO569" s="621"/>
      <c r="VJS569" s="621"/>
      <c r="VJW569" s="621"/>
      <c r="VKA569" s="621"/>
      <c r="VKE569" s="621"/>
      <c r="VKI569" s="621"/>
      <c r="VKM569" s="621"/>
      <c r="VKQ569" s="621"/>
      <c r="VKU569" s="621"/>
      <c r="VKY569" s="621"/>
      <c r="VLC569" s="621"/>
      <c r="VLG569" s="621"/>
      <c r="VLK569" s="621"/>
      <c r="VLO569" s="621"/>
      <c r="VLS569" s="621"/>
      <c r="VLW569" s="621"/>
      <c r="VMA569" s="621"/>
      <c r="VME569" s="621"/>
      <c r="VMI569" s="621"/>
      <c r="VMM569" s="621"/>
      <c r="VMQ569" s="621"/>
      <c r="VMU569" s="621"/>
      <c r="VMY569" s="621"/>
      <c r="VNC569" s="621"/>
      <c r="VNG569" s="621"/>
      <c r="VNK569" s="621"/>
      <c r="VNO569" s="621"/>
      <c r="VNS569" s="621"/>
      <c r="VNW569" s="621"/>
      <c r="VOA569" s="621"/>
      <c r="VOE569" s="621"/>
      <c r="VOI569" s="621"/>
      <c r="VOM569" s="621"/>
      <c r="VOQ569" s="621"/>
      <c r="VOU569" s="621"/>
      <c r="VOY569" s="621"/>
      <c r="VPC569" s="621"/>
      <c r="VPG569" s="621"/>
      <c r="VPK569" s="621"/>
      <c r="VPO569" s="621"/>
      <c r="VPS569" s="621"/>
      <c r="VPW569" s="621"/>
      <c r="VQA569" s="621"/>
      <c r="VQE569" s="621"/>
      <c r="VQI569" s="621"/>
      <c r="VQM569" s="621"/>
      <c r="VQQ569" s="621"/>
      <c r="VQU569" s="621"/>
      <c r="VQY569" s="621"/>
      <c r="VRC569" s="621"/>
      <c r="VRG569" s="621"/>
      <c r="VRK569" s="621"/>
      <c r="VRO569" s="621"/>
      <c r="VRS569" s="621"/>
      <c r="VRW569" s="621"/>
      <c r="VSA569" s="621"/>
      <c r="VSE569" s="621"/>
      <c r="VSI569" s="621"/>
      <c r="VSM569" s="621"/>
      <c r="VSQ569" s="621"/>
      <c r="VSU569" s="621"/>
      <c r="VSY569" s="621"/>
      <c r="VTC569" s="621"/>
      <c r="VTG569" s="621"/>
      <c r="VTK569" s="621"/>
      <c r="VTO569" s="621"/>
      <c r="VTS569" s="621"/>
      <c r="VTW569" s="621"/>
      <c r="VUA569" s="621"/>
      <c r="VUE569" s="621"/>
      <c r="VUI569" s="621"/>
      <c r="VUM569" s="621"/>
      <c r="VUQ569" s="621"/>
      <c r="VUU569" s="621"/>
      <c r="VUY569" s="621"/>
      <c r="VVC569" s="621"/>
      <c r="VVG569" s="621"/>
      <c r="VVK569" s="621"/>
      <c r="VVO569" s="621"/>
      <c r="VVS569" s="621"/>
      <c r="VVW569" s="621"/>
      <c r="VWA569" s="621"/>
      <c r="VWE569" s="621"/>
      <c r="VWI569" s="621"/>
      <c r="VWM569" s="621"/>
      <c r="VWQ569" s="621"/>
      <c r="VWU569" s="621"/>
      <c r="VWY569" s="621"/>
      <c r="VXC569" s="621"/>
      <c r="VXG569" s="621"/>
      <c r="VXK569" s="621"/>
      <c r="VXO569" s="621"/>
      <c r="VXS569" s="621"/>
      <c r="VXW569" s="621"/>
      <c r="VYA569" s="621"/>
      <c r="VYE569" s="621"/>
      <c r="VYI569" s="621"/>
      <c r="VYM569" s="621"/>
      <c r="VYQ569" s="621"/>
      <c r="VYU569" s="621"/>
      <c r="VYY569" s="621"/>
      <c r="VZC569" s="621"/>
      <c r="VZG569" s="621"/>
      <c r="VZK569" s="621"/>
      <c r="VZO569" s="621"/>
      <c r="VZS569" s="621"/>
      <c r="VZW569" s="621"/>
      <c r="WAA569" s="621"/>
      <c r="WAE569" s="621"/>
      <c r="WAI569" s="621"/>
      <c r="WAM569" s="621"/>
      <c r="WAQ569" s="621"/>
      <c r="WAU569" s="621"/>
      <c r="WAY569" s="621"/>
      <c r="WBC569" s="621"/>
      <c r="WBG569" s="621"/>
      <c r="WBK569" s="621"/>
      <c r="WBO569" s="621"/>
      <c r="WBS569" s="621"/>
      <c r="WBW569" s="621"/>
      <c r="WCA569" s="621"/>
      <c r="WCE569" s="621"/>
      <c r="WCI569" s="621"/>
      <c r="WCM569" s="621"/>
      <c r="WCQ569" s="621"/>
      <c r="WCU569" s="621"/>
      <c r="WCY569" s="621"/>
      <c r="WDC569" s="621"/>
      <c r="WDG569" s="621"/>
      <c r="WDK569" s="621"/>
      <c r="WDO569" s="621"/>
      <c r="WDS569" s="621"/>
      <c r="WDW569" s="621"/>
      <c r="WEA569" s="621"/>
      <c r="WEE569" s="621"/>
      <c r="WEI569" s="621"/>
      <c r="WEM569" s="621"/>
      <c r="WEQ569" s="621"/>
      <c r="WEU569" s="621"/>
      <c r="WEY569" s="621"/>
      <c r="WFC569" s="621"/>
      <c r="WFG569" s="621"/>
      <c r="WFK569" s="621"/>
      <c r="WFO569" s="621"/>
      <c r="WFS569" s="621"/>
      <c r="WFW569" s="621"/>
      <c r="WGA569" s="621"/>
      <c r="WGE569" s="621"/>
      <c r="WGI569" s="621"/>
      <c r="WGM569" s="621"/>
      <c r="WGQ569" s="621"/>
      <c r="WGU569" s="621"/>
      <c r="WGY569" s="621"/>
      <c r="WHC569" s="621"/>
      <c r="WHG569" s="621"/>
      <c r="WHK569" s="621"/>
      <c r="WHO569" s="621"/>
      <c r="WHS569" s="621"/>
      <c r="WHW569" s="621"/>
      <c r="WIA569" s="621"/>
      <c r="WIE569" s="621"/>
      <c r="WII569" s="621"/>
      <c r="WIM569" s="621"/>
      <c r="WIQ569" s="621"/>
      <c r="WIU569" s="621"/>
      <c r="WIY569" s="621"/>
      <c r="WJC569" s="621"/>
      <c r="WJG569" s="621"/>
      <c r="WJK569" s="621"/>
      <c r="WJO569" s="621"/>
      <c r="WJS569" s="621"/>
      <c r="WJW569" s="621"/>
      <c r="WKA569" s="621"/>
      <c r="WKE569" s="621"/>
      <c r="WKI569" s="621"/>
      <c r="WKM569" s="621"/>
      <c r="WKQ569" s="621"/>
      <c r="WKU569" s="621"/>
      <c r="WKY569" s="621"/>
      <c r="WLC569" s="621"/>
      <c r="WLG569" s="621"/>
      <c r="WLK569" s="621"/>
      <c r="WLO569" s="621"/>
      <c r="WLS569" s="621"/>
      <c r="WLW569" s="621"/>
      <c r="WMA569" s="621"/>
      <c r="WME569" s="621"/>
      <c r="WMI569" s="621"/>
      <c r="WMM569" s="621"/>
      <c r="WMQ569" s="621"/>
      <c r="WMU569" s="621"/>
      <c r="WMY569" s="621"/>
      <c r="WNC569" s="621"/>
      <c r="WNG569" s="621"/>
      <c r="WNK569" s="621"/>
      <c r="WNO569" s="621"/>
      <c r="WNS569" s="621"/>
      <c r="WNW569" s="621"/>
      <c r="WOA569" s="621"/>
      <c r="WOE569" s="621"/>
      <c r="WOI569" s="621"/>
      <c r="WOM569" s="621"/>
      <c r="WOQ569" s="621"/>
      <c r="WOU569" s="621"/>
      <c r="WOY569" s="621"/>
      <c r="WPC569" s="621"/>
      <c r="WPG569" s="621"/>
      <c r="WPK569" s="621"/>
      <c r="WPO569" s="621"/>
      <c r="WPS569" s="621"/>
      <c r="WPW569" s="621"/>
      <c r="WQA569" s="621"/>
      <c r="WQE569" s="621"/>
      <c r="WQI569" s="621"/>
      <c r="WQM569" s="621"/>
      <c r="WQQ569" s="621"/>
      <c r="WQU569" s="621"/>
      <c r="WQY569" s="621"/>
      <c r="WRC569" s="621"/>
      <c r="WRG569" s="621"/>
      <c r="WRK569" s="621"/>
      <c r="WRO569" s="621"/>
      <c r="WRS569" s="621"/>
      <c r="WRW569" s="621"/>
      <c r="WSA569" s="621"/>
      <c r="WSE569" s="621"/>
      <c r="WSI569" s="621"/>
      <c r="WSM569" s="621"/>
      <c r="WSQ569" s="621"/>
      <c r="WSU569" s="621"/>
      <c r="WSY569" s="621"/>
      <c r="WTC569" s="621"/>
      <c r="WTG569" s="621"/>
      <c r="WTK569" s="621"/>
      <c r="WTO569" s="621"/>
      <c r="WTS569" s="621"/>
      <c r="WTW569" s="621"/>
      <c r="WUA569" s="621"/>
      <c r="WUE569" s="621"/>
      <c r="WUI569" s="621"/>
      <c r="WUM569" s="621"/>
      <c r="WUQ569" s="621"/>
      <c r="WUU569" s="621"/>
      <c r="WUY569" s="621"/>
      <c r="WVC569" s="621"/>
      <c r="WVG569" s="621"/>
      <c r="WVK569" s="621"/>
      <c r="WVO569" s="621"/>
      <c r="WVS569" s="621"/>
      <c r="WVW569" s="621"/>
      <c r="WWA569" s="621"/>
      <c r="WWE569" s="621"/>
      <c r="WWI569" s="621"/>
      <c r="WWM569" s="621"/>
      <c r="WWQ569" s="621"/>
      <c r="WWU569" s="621"/>
      <c r="WWY569" s="621"/>
      <c r="WXC569" s="621"/>
      <c r="WXG569" s="621"/>
      <c r="WXK569" s="621"/>
      <c r="WXO569" s="621"/>
      <c r="WXS569" s="621"/>
      <c r="WXW569" s="621"/>
      <c r="WYA569" s="621"/>
      <c r="WYE569" s="621"/>
      <c r="WYI569" s="621"/>
      <c r="WYM569" s="621"/>
      <c r="WYQ569" s="621"/>
      <c r="WYU569" s="621"/>
      <c r="WYY569" s="621"/>
      <c r="WZC569" s="621"/>
      <c r="WZG569" s="621"/>
      <c r="WZK569" s="621"/>
      <c r="WZO569" s="621"/>
      <c r="WZS569" s="621"/>
      <c r="WZW569" s="621"/>
      <c r="XAA569" s="621"/>
      <c r="XAE569" s="621"/>
      <c r="XAI569" s="621"/>
      <c r="XAM569" s="621"/>
      <c r="XAQ569" s="621"/>
      <c r="XAU569" s="621"/>
      <c r="XAY569" s="621"/>
      <c r="XBC569" s="621"/>
      <c r="XBG569" s="621"/>
      <c r="XBK569" s="621"/>
      <c r="XBO569" s="621"/>
      <c r="XBS569" s="621"/>
      <c r="XBW569" s="621"/>
      <c r="XCA569" s="621"/>
      <c r="XCE569" s="621"/>
      <c r="XCI569" s="621"/>
      <c r="XCM569" s="621"/>
      <c r="XCQ569" s="621"/>
      <c r="XCU569" s="621"/>
      <c r="XCY569" s="621"/>
      <c r="XDC569" s="621"/>
      <c r="XDG569" s="621"/>
      <c r="XDK569" s="621"/>
      <c r="XDO569" s="621"/>
      <c r="XDS569" s="621"/>
      <c r="XDW569" s="621"/>
      <c r="XEA569" s="621"/>
      <c r="XEE569" s="621"/>
      <c r="XEI569" s="621"/>
      <c r="XEM569" s="621"/>
      <c r="XEQ569" s="621"/>
      <c r="XEU569" s="621"/>
      <c r="XEY569" s="621"/>
    </row>
    <row r="570" spans="1:16382" customFormat="1" ht="15" customHeight="1">
      <c r="A570" s="663"/>
      <c r="B570" s="667"/>
      <c r="D570" s="618"/>
      <c r="E570" s="611" t="s">
        <v>2376</v>
      </c>
      <c r="F570" s="611">
        <v>2018</v>
      </c>
      <c r="G570" s="611">
        <v>2020</v>
      </c>
      <c r="H570" s="626">
        <v>2025</v>
      </c>
      <c r="I570" s="626">
        <v>2030</v>
      </c>
      <c r="J570" s="626">
        <v>2035</v>
      </c>
      <c r="K570" s="626">
        <v>2040</v>
      </c>
      <c r="L570" s="626">
        <v>2045</v>
      </c>
      <c r="M570" s="626">
        <v>2050</v>
      </c>
      <c r="O570" s="620"/>
      <c r="P570" s="622"/>
      <c r="R570" s="614"/>
    </row>
    <row r="571" spans="1:16382" customFormat="1" ht="15" customHeight="1">
      <c r="A571" s="663"/>
      <c r="B571" s="667"/>
      <c r="D571" s="618"/>
      <c r="E571" s="625" t="s">
        <v>889</v>
      </c>
      <c r="F571" s="1048" cm="1">
        <f t="array" ref="F571:M571">INDEX(SF_TRANSPORTE_URBANO_FACTOR_ACTIVIDAD,1,0)*INDEX(ST_TRANSPORTE_URBANO_DISTRIBUCION_TECNOLOGIA,VEHICULO_COMBUSTION_CONVENCIONAL_GASOLINA,0)</f>
        <v>120854111.1659174</v>
      </c>
      <c r="G571" s="1049">
        <v>155402539.25031516</v>
      </c>
      <c r="H571" s="1050">
        <v>191585255.04457515</v>
      </c>
      <c r="I571" s="1050">
        <v>172175747.35271665</v>
      </c>
      <c r="J571" s="1050">
        <v>179692016.80251673</v>
      </c>
      <c r="K571" s="1050">
        <v>201464470.23088807</v>
      </c>
      <c r="L571" s="1050">
        <v>217700385.39025632</v>
      </c>
      <c r="M571" s="1050">
        <v>246843481.38575798</v>
      </c>
      <c r="O571" s="620"/>
      <c r="R571" s="614"/>
    </row>
    <row r="572" spans="1:16382" customFormat="1" ht="15" customHeight="1">
      <c r="A572" s="663"/>
      <c r="B572" s="667"/>
      <c r="C572" s="612"/>
      <c r="D572" s="618"/>
      <c r="E572" s="625" t="s">
        <v>890</v>
      </c>
      <c r="F572" s="1048" cm="1">
        <f t="array" ref="F572:M572">INDEX(SF_TRANSPORTE_URBANO_FACTOR_ACTIVIDAD,1,0)*INDEX(ST_TRANSPORTE_URBANO_DISTRIBUCION_TECNOLOGIA,VEHICULO_COMBUSTION_CONVENCIONAL_DIESEL,0)</f>
        <v>36927864.307799086</v>
      </c>
      <c r="G572" s="1049">
        <v>48211674.920582458</v>
      </c>
      <c r="H572" s="1048">
        <v>64543186.477850296</v>
      </c>
      <c r="I572" s="1048">
        <v>82267255.056201741</v>
      </c>
      <c r="J572" s="1048">
        <v>102426594.86623488</v>
      </c>
      <c r="K572" s="1048">
        <v>126212009.45403884</v>
      </c>
      <c r="L572" s="1048">
        <v>137621609.27921113</v>
      </c>
      <c r="M572" s="1048">
        <v>156120660.90888911</v>
      </c>
      <c r="R572" s="614"/>
    </row>
    <row r="573" spans="1:16382" customFormat="1" ht="15" customHeight="1">
      <c r="A573" s="663"/>
      <c r="B573" s="667"/>
      <c r="C573" s="612"/>
      <c r="D573" s="618"/>
      <c r="E573" s="625" t="s">
        <v>2379</v>
      </c>
      <c r="F573" s="1048" cm="1">
        <f t="array" ref="F573:M573">INDEX(SF_TRANSPORTE_URBANO_FACTOR_ACTIVIDAD,1,0)*INDEX(ST_TRANSPORTE_URBANO_DISTRIBUCION_TECNOLOGIA,GN_COMPRIMIDO,0)</f>
        <v>0</v>
      </c>
      <c r="G573" s="1049">
        <v>41215.366463417362</v>
      </c>
      <c r="H573" s="1048">
        <v>55176.906585039796</v>
      </c>
      <c r="I573" s="1048">
        <v>70328.920757599277</v>
      </c>
      <c r="J573" s="1048">
        <v>87562.808178016581</v>
      </c>
      <c r="K573" s="1048">
        <v>107896.56717592551</v>
      </c>
      <c r="L573" s="1048">
        <v>117650.4460604498</v>
      </c>
      <c r="M573" s="1048">
        <v>133464.98047351069</v>
      </c>
      <c r="R573" s="614"/>
    </row>
    <row r="574" spans="1:16382" customFormat="1" ht="15" customHeight="1">
      <c r="A574" s="663"/>
      <c r="B574" s="667"/>
      <c r="C574" s="612"/>
      <c r="D574" s="618"/>
      <c r="E574" s="625" t="s">
        <v>2270</v>
      </c>
      <c r="F574" s="1048" cm="1">
        <f t="array" ref="F574:M574">INDEX(SF_TRANSPORTE_URBANO_FACTOR_ACTIVIDAD,1,0)*INDEX(ST_TRANSPORTE_URBANO_DISTRIBUCION_TECNOLOGIA,GN_LICUADO,0)</f>
        <v>0</v>
      </c>
      <c r="G574" s="1049">
        <v>0</v>
      </c>
      <c r="H574" s="1048">
        <v>0</v>
      </c>
      <c r="I574" s="1048">
        <v>0</v>
      </c>
      <c r="J574" s="1048">
        <v>0</v>
      </c>
      <c r="K574" s="1048">
        <v>0</v>
      </c>
      <c r="L574" s="1048">
        <v>0</v>
      </c>
      <c r="M574" s="1048">
        <v>0</v>
      </c>
      <c r="R574" s="614"/>
    </row>
    <row r="575" spans="1:16382" customFormat="1" ht="15" customHeight="1">
      <c r="A575" s="663"/>
      <c r="B575" s="667"/>
      <c r="C575" s="612"/>
      <c r="D575" s="618"/>
      <c r="E575" s="625" t="s">
        <v>498</v>
      </c>
      <c r="F575" s="1048" cm="1">
        <f t="array" ref="F575:M575">INDEX(SF_TRANSPORTE_URBANO_FACTOR_ACTIVIDAD,1,0)*INDEX(ST_TRANSPORTE_URBANO_DISTRIBUCION_TECNOLOGIA,VEHICULO_GLP,0)</f>
        <v>0</v>
      </c>
      <c r="G575" s="1049">
        <v>0</v>
      </c>
      <c r="H575" s="1048">
        <v>96559.586523819642</v>
      </c>
      <c r="I575" s="1048">
        <v>2187229.435561337</v>
      </c>
      <c r="J575" s="1048">
        <v>23847730.807282813</v>
      </c>
      <c r="K575" s="1048">
        <v>49341100.169550724</v>
      </c>
      <c r="L575" s="1048">
        <v>55778076.477259248</v>
      </c>
      <c r="M575" s="1048">
        <v>63395865.724917568</v>
      </c>
      <c r="R575" s="614"/>
    </row>
    <row r="576" spans="1:16382" customFormat="1" ht="15" customHeight="1">
      <c r="A576" s="663"/>
      <c r="B576" s="667"/>
      <c r="C576" s="612"/>
      <c r="D576" s="618"/>
      <c r="E576" s="625" t="s">
        <v>908</v>
      </c>
      <c r="F576" s="1048" cm="1">
        <f t="array" ref="F576:M576">INDEX(SF_TRANSPORTE_URBANO_FACTOR_ACTIVIDAD,1,0)*INDEX(ST_TRANSPORTE_URBANO_DISTRIBUCION_TECNOLOGIA,VEHICULO_HIBRIDO_GASOLINA,0)</f>
        <v>0</v>
      </c>
      <c r="G576" s="1049">
        <v>0</v>
      </c>
      <c r="H576" s="1048">
        <v>0</v>
      </c>
      <c r="I576" s="1048">
        <v>0</v>
      </c>
      <c r="J576" s="1048">
        <v>0</v>
      </c>
      <c r="K576" s="1048">
        <v>0</v>
      </c>
      <c r="L576" s="1048">
        <v>0</v>
      </c>
      <c r="M576" s="1048">
        <v>0</v>
      </c>
      <c r="R576" s="614"/>
    </row>
    <row r="577" spans="1:1023 1027:2047 2051:3071 3075:4095 4099:5119 5123:6143 6147:7167 7171:8191 8195:9215 9219:10239 10243:11263 11267:12287 12291:13311 13315:14335 14339:15359 15363:16379" customFormat="1" ht="15" customHeight="1">
      <c r="A577" s="663"/>
      <c r="B577" s="667"/>
      <c r="C577" s="612"/>
      <c r="D577" s="618"/>
      <c r="E577" s="625" t="s">
        <v>909</v>
      </c>
      <c r="F577" s="1048" cm="1">
        <f t="array" ref="F577:M577">INDEX(SF_TRANSPORTE_URBANO_FACTOR_ACTIVIDAD,1,0)*INDEX(ST_TRANSPORTE_URBANO_DISTRIBUCION_TECNOLOGIA,VEHICULO_HIBRIDO_DIESEL,0)</f>
        <v>0</v>
      </c>
      <c r="G577" s="1049">
        <v>0</v>
      </c>
      <c r="H577" s="1048">
        <v>0</v>
      </c>
      <c r="I577" s="1048">
        <v>0</v>
      </c>
      <c r="J577" s="1048">
        <v>0</v>
      </c>
      <c r="K577" s="1048">
        <v>0</v>
      </c>
      <c r="L577" s="1048">
        <v>0</v>
      </c>
      <c r="M577" s="1048">
        <v>0</v>
      </c>
      <c r="R577" s="614"/>
    </row>
    <row r="578" spans="1:1023 1027:2047 2051:3071 3075:4095 4099:5119 5123:6143 6147:7167 7171:8191 8195:9215 9219:10239 10243:11263 11267:12287 12291:13311 13315:14335 14339:15359 15363:16379" customFormat="1" ht="15" customHeight="1">
      <c r="A578" s="663"/>
      <c r="B578" s="667"/>
      <c r="C578" s="612"/>
      <c r="E578" s="625" t="s">
        <v>894</v>
      </c>
      <c r="F578" s="1048" cm="1">
        <f t="array" ref="F578:M578">INDEX(SF_TRANSPORTE_URBANO_FACTOR_ACTIVIDAD,1,0)*INDEX(ST_TRANSPORTE_URBANO_DISTRIBUCION_TECNOLOGIA,VEHICULO_ELECTRICO,0)</f>
        <v>0</v>
      </c>
      <c r="G578" s="1049">
        <v>175165.30746952377</v>
      </c>
      <c r="H578" s="1048">
        <v>5832199.0260387063</v>
      </c>
      <c r="I578" s="1048">
        <v>98358512.125540465</v>
      </c>
      <c r="J578" s="1048">
        <v>143449770.49763566</v>
      </c>
      <c r="K578" s="1048">
        <v>177996966.87012428</v>
      </c>
      <c r="L578" s="1048">
        <v>194123235.99974215</v>
      </c>
      <c r="M578" s="1048">
        <v>220217217.78129262</v>
      </c>
      <c r="R578" s="614"/>
    </row>
    <row r="579" spans="1:1023 1027:2047 2051:3071 3075:4095 4099:5119 5123:6143 6147:7167 7171:8191 8195:9215 9219:10239 10243:11263 11267:12287 12291:13311 13315:14335 14339:15359 15363:16379" customFormat="1" ht="15" customHeight="1">
      <c r="A579" s="663"/>
      <c r="B579" s="667"/>
      <c r="C579" s="612"/>
      <c r="D579" s="613"/>
      <c r="E579" s="625" t="s">
        <v>603</v>
      </c>
      <c r="F579" s="1048" cm="1">
        <f t="array" ref="F579:M579">INDEX(SF_TRANSPORTE_URBANO_FACTOR_ACTIVIDAD,1,0)*INDEX(ST_TRANSPORTE_URBANO_DISTRIBUCION_TECNOLOGIA,VEHICULO_HIDROGENO,0)</f>
        <v>0</v>
      </c>
      <c r="G579" s="1049">
        <v>0</v>
      </c>
      <c r="H579" s="1048">
        <v>0</v>
      </c>
      <c r="I579" s="1048">
        <v>0</v>
      </c>
      <c r="J579" s="1048">
        <v>0</v>
      </c>
      <c r="K579" s="1048">
        <v>0</v>
      </c>
      <c r="L579" s="1048">
        <v>0</v>
      </c>
      <c r="M579" s="1048">
        <v>0</v>
      </c>
      <c r="Q579" s="1045"/>
      <c r="R579" s="614"/>
    </row>
    <row r="580" spans="1:1023 1027:2047 2051:3071 3075:4095 4099:5119 5123:6143 6147:7167 7171:8191 8195:9215 9219:10239 10243:11263 11267:12287 12291:13311 13315:14335 14339:15359 15363:16379" customFormat="1" ht="15" customHeight="1">
      <c r="A580" s="663"/>
      <c r="B580" s="667"/>
      <c r="C580" s="612"/>
      <c r="D580" s="613"/>
      <c r="E580" s="625"/>
      <c r="F580" s="630"/>
      <c r="G580" s="631"/>
      <c r="H580" s="630"/>
      <c r="I580" s="630"/>
      <c r="J580" s="630"/>
      <c r="K580" s="630"/>
      <c r="L580" s="630"/>
      <c r="M580" s="630"/>
      <c r="R580" s="614"/>
    </row>
    <row r="581" spans="1:1023 1027:2047 2051:3071 3075:4095 4099:5119 5123:6143 6147:7167 7171:8191 8195:9215 9219:10239 10243:11263 11267:12287 12291:13311 13315:14335 14339:15359 15363:16379" customFormat="1" ht="15" customHeight="1">
      <c r="A581" s="663"/>
      <c r="B581" s="667"/>
      <c r="C581" s="612"/>
      <c r="D581" s="613"/>
      <c r="E581" s="625"/>
      <c r="F581" s="630"/>
      <c r="G581" s="631"/>
      <c r="H581" s="630"/>
      <c r="I581" s="630"/>
      <c r="J581" s="630"/>
      <c r="K581" s="630"/>
      <c r="L581" s="630"/>
      <c r="M581" s="630"/>
      <c r="R581" s="614"/>
    </row>
    <row r="582" spans="1:1023 1027:2047 2051:3071 3075:4095 4099:5119 5123:6143 6147:7167 7171:8191 8195:9215 9219:10239 10243:11263 11267:12287 12291:13311 13315:14335 14339:15359 15363:16379" customFormat="1" ht="15" customHeight="1">
      <c r="A582" s="663"/>
      <c r="B582" s="667"/>
      <c r="C582" s="612"/>
      <c r="D582" s="613"/>
      <c r="E582" s="1700" t="s">
        <v>2399</v>
      </c>
      <c r="F582" s="630"/>
      <c r="G582" s="631"/>
      <c r="H582" s="630"/>
      <c r="I582" s="630"/>
      <c r="J582" s="630"/>
      <c r="K582" s="630"/>
      <c r="L582" s="630"/>
      <c r="M582" s="630"/>
      <c r="Q582" s="1045"/>
      <c r="R582" s="614"/>
    </row>
    <row r="583" spans="1:1023 1027:2047 2051:3071 3075:4095 4099:5119 5123:6143 6147:7167 7171:8191 8195:9215 9219:10239 10243:11263 11267:12287 12291:13311 13315:14335 14339:15359 15363:16379" s="622" customFormat="1" ht="15" customHeight="1">
      <c r="A583" s="663"/>
      <c r="B583" s="667"/>
      <c r="C583"/>
      <c r="D583" s="617" t="s">
        <v>2401</v>
      </c>
      <c r="E583" s="619" t="s">
        <v>2402</v>
      </c>
      <c r="F583"/>
      <c r="G583" s="186"/>
      <c r="H583"/>
      <c r="I583"/>
      <c r="J583"/>
      <c r="K583"/>
      <c r="L583"/>
      <c r="M583" s="617" t="s">
        <v>2264</v>
      </c>
      <c r="N583"/>
      <c r="O583" s="620"/>
      <c r="P583"/>
      <c r="S583" s="621"/>
      <c r="W583" s="621"/>
      <c r="AA583" s="621"/>
      <c r="AE583" s="621"/>
      <c r="AI583" s="621"/>
      <c r="AM583" s="621"/>
      <c r="AQ583" s="621"/>
      <c r="AU583" s="621"/>
      <c r="AY583" s="621"/>
      <c r="BC583" s="621"/>
      <c r="BG583" s="621"/>
      <c r="BK583" s="621"/>
      <c r="BO583" s="621"/>
      <c r="BS583" s="621"/>
      <c r="BW583" s="621"/>
      <c r="CA583" s="621"/>
      <c r="CE583" s="621"/>
      <c r="CI583" s="621"/>
      <c r="CM583" s="621"/>
      <c r="CQ583" s="621"/>
      <c r="CU583" s="621"/>
      <c r="CY583" s="621"/>
      <c r="DC583" s="621"/>
      <c r="DG583" s="621"/>
      <c r="DK583" s="621"/>
      <c r="DO583" s="621"/>
      <c r="DS583" s="621"/>
      <c r="DW583" s="621"/>
      <c r="EA583" s="621"/>
      <c r="EE583" s="621"/>
      <c r="EI583" s="621"/>
      <c r="EM583" s="621"/>
      <c r="EQ583" s="621"/>
      <c r="EU583" s="621"/>
      <c r="EY583" s="621"/>
      <c r="FC583" s="621"/>
      <c r="FG583" s="621"/>
      <c r="FK583" s="621"/>
      <c r="FO583" s="621"/>
      <c r="FS583" s="621"/>
      <c r="FW583" s="621"/>
      <c r="GA583" s="621"/>
      <c r="GE583" s="621"/>
      <c r="GI583" s="621"/>
      <c r="GM583" s="621"/>
      <c r="GQ583" s="621"/>
      <c r="GU583" s="621"/>
      <c r="GY583" s="621"/>
      <c r="HC583" s="621"/>
      <c r="HG583" s="621"/>
      <c r="HK583" s="621"/>
      <c r="HO583" s="621"/>
      <c r="HS583" s="621"/>
      <c r="HW583" s="621"/>
      <c r="IA583" s="621"/>
      <c r="IE583" s="621"/>
      <c r="II583" s="621"/>
      <c r="IM583" s="621"/>
      <c r="IQ583" s="621"/>
      <c r="IU583" s="621"/>
      <c r="IY583" s="621"/>
      <c r="JC583" s="621"/>
      <c r="JG583" s="621"/>
      <c r="JK583" s="621"/>
      <c r="JO583" s="621"/>
      <c r="JS583" s="621"/>
      <c r="JW583" s="621"/>
      <c r="KA583" s="621"/>
      <c r="KE583" s="621"/>
      <c r="KI583" s="621"/>
      <c r="KM583" s="621"/>
      <c r="KQ583" s="621"/>
      <c r="KU583" s="621"/>
      <c r="KY583" s="621"/>
      <c r="LC583" s="621"/>
      <c r="LG583" s="621"/>
      <c r="LK583" s="621"/>
      <c r="LO583" s="621"/>
      <c r="LS583" s="621"/>
      <c r="LW583" s="621"/>
      <c r="MA583" s="621"/>
      <c r="ME583" s="621"/>
      <c r="MI583" s="621"/>
      <c r="MM583" s="621"/>
      <c r="MQ583" s="621"/>
      <c r="MU583" s="621"/>
      <c r="MY583" s="621"/>
      <c r="NC583" s="621"/>
      <c r="NG583" s="621"/>
      <c r="NK583" s="621"/>
      <c r="NO583" s="621"/>
      <c r="NS583" s="621"/>
      <c r="NW583" s="621"/>
      <c r="OA583" s="621"/>
      <c r="OE583" s="621"/>
      <c r="OI583" s="621"/>
      <c r="OM583" s="621"/>
      <c r="OQ583" s="621"/>
      <c r="OU583" s="621"/>
      <c r="OY583" s="621"/>
      <c r="PC583" s="621"/>
      <c r="PG583" s="621"/>
      <c r="PK583" s="621"/>
      <c r="PO583" s="621"/>
      <c r="PS583" s="621"/>
      <c r="PW583" s="621"/>
      <c r="QA583" s="621"/>
      <c r="QE583" s="621"/>
      <c r="QI583" s="621"/>
      <c r="QM583" s="621"/>
      <c r="QQ583" s="621"/>
      <c r="QU583" s="621"/>
      <c r="QY583" s="621"/>
      <c r="RC583" s="621"/>
      <c r="RG583" s="621"/>
      <c r="RK583" s="621"/>
      <c r="RO583" s="621"/>
      <c r="RS583" s="621"/>
      <c r="RW583" s="621"/>
      <c r="SA583" s="621"/>
      <c r="SE583" s="621"/>
      <c r="SI583" s="621"/>
      <c r="SM583" s="621"/>
      <c r="SQ583" s="621"/>
      <c r="SU583" s="621"/>
      <c r="SY583" s="621"/>
      <c r="TC583" s="621"/>
      <c r="TG583" s="621"/>
      <c r="TK583" s="621"/>
      <c r="TO583" s="621"/>
      <c r="TS583" s="621"/>
      <c r="TW583" s="621"/>
      <c r="UA583" s="621"/>
      <c r="UE583" s="621"/>
      <c r="UI583" s="621"/>
      <c r="UM583" s="621"/>
      <c r="UQ583" s="621"/>
      <c r="UU583" s="621"/>
      <c r="UY583" s="621"/>
      <c r="VC583" s="621"/>
      <c r="VG583" s="621"/>
      <c r="VK583" s="621"/>
      <c r="VO583" s="621"/>
      <c r="VS583" s="621"/>
      <c r="VW583" s="621"/>
      <c r="WA583" s="621"/>
      <c r="WE583" s="621"/>
      <c r="WI583" s="621"/>
      <c r="WM583" s="621"/>
      <c r="WQ583" s="621"/>
      <c r="WU583" s="621"/>
      <c r="WY583" s="621"/>
      <c r="XC583" s="621"/>
      <c r="XG583" s="621"/>
      <c r="XK583" s="621"/>
      <c r="XO583" s="621"/>
      <c r="XS583" s="621"/>
      <c r="XW583" s="621"/>
      <c r="YA583" s="621"/>
      <c r="YE583" s="621"/>
      <c r="YI583" s="621"/>
      <c r="YM583" s="621"/>
      <c r="YQ583" s="621"/>
      <c r="YU583" s="621"/>
      <c r="YY583" s="621"/>
      <c r="ZC583" s="621"/>
      <c r="ZG583" s="621"/>
      <c r="ZK583" s="621"/>
      <c r="ZO583" s="621"/>
      <c r="ZS583" s="621"/>
      <c r="ZW583" s="621"/>
      <c r="AAA583" s="621"/>
      <c r="AAE583" s="621"/>
      <c r="AAI583" s="621"/>
      <c r="AAM583" s="621"/>
      <c r="AAQ583" s="621"/>
      <c r="AAU583" s="621"/>
      <c r="AAY583" s="621"/>
      <c r="ABC583" s="621"/>
      <c r="ABG583" s="621"/>
      <c r="ABK583" s="621"/>
      <c r="ABO583" s="621"/>
      <c r="ABS583" s="621"/>
      <c r="ABW583" s="621"/>
      <c r="ACA583" s="621"/>
      <c r="ACE583" s="621"/>
      <c r="ACI583" s="621"/>
      <c r="ACM583" s="621"/>
      <c r="ACQ583" s="621"/>
      <c r="ACU583" s="621"/>
      <c r="ACY583" s="621"/>
      <c r="ADC583" s="621"/>
      <c r="ADG583" s="621"/>
      <c r="ADK583" s="621"/>
      <c r="ADO583" s="621"/>
      <c r="ADS583" s="621"/>
      <c r="ADW583" s="621"/>
      <c r="AEA583" s="621"/>
      <c r="AEE583" s="621"/>
      <c r="AEI583" s="621"/>
      <c r="AEM583" s="621"/>
      <c r="AEQ583" s="621"/>
      <c r="AEU583" s="621"/>
      <c r="AEY583" s="621"/>
      <c r="AFC583" s="621"/>
      <c r="AFG583" s="621"/>
      <c r="AFK583" s="621"/>
      <c r="AFO583" s="621"/>
      <c r="AFS583" s="621"/>
      <c r="AFW583" s="621"/>
      <c r="AGA583" s="621"/>
      <c r="AGE583" s="621"/>
      <c r="AGI583" s="621"/>
      <c r="AGM583" s="621"/>
      <c r="AGQ583" s="621"/>
      <c r="AGU583" s="621"/>
      <c r="AGY583" s="621"/>
      <c r="AHC583" s="621"/>
      <c r="AHG583" s="621"/>
      <c r="AHK583" s="621"/>
      <c r="AHO583" s="621"/>
      <c r="AHS583" s="621"/>
      <c r="AHW583" s="621"/>
      <c r="AIA583" s="621"/>
      <c r="AIE583" s="621"/>
      <c r="AII583" s="621"/>
      <c r="AIM583" s="621"/>
      <c r="AIQ583" s="621"/>
      <c r="AIU583" s="621"/>
      <c r="AIY583" s="621"/>
      <c r="AJC583" s="621"/>
      <c r="AJG583" s="621"/>
      <c r="AJK583" s="621"/>
      <c r="AJO583" s="621"/>
      <c r="AJS583" s="621"/>
      <c r="AJW583" s="621"/>
      <c r="AKA583" s="621"/>
      <c r="AKE583" s="621"/>
      <c r="AKI583" s="621"/>
      <c r="AKM583" s="621"/>
      <c r="AKQ583" s="621"/>
      <c r="AKU583" s="621"/>
      <c r="AKY583" s="621"/>
      <c r="ALC583" s="621"/>
      <c r="ALG583" s="621"/>
      <c r="ALK583" s="621"/>
      <c r="ALO583" s="621"/>
      <c r="ALS583" s="621"/>
      <c r="ALW583" s="621"/>
      <c r="AMA583" s="621"/>
      <c r="AME583" s="621"/>
      <c r="AMI583" s="621"/>
      <c r="AMM583" s="621"/>
      <c r="AMQ583" s="621"/>
      <c r="AMU583" s="621"/>
      <c r="AMY583" s="621"/>
      <c r="ANC583" s="621"/>
      <c r="ANG583" s="621"/>
      <c r="ANK583" s="621"/>
      <c r="ANO583" s="621"/>
      <c r="ANS583" s="621"/>
      <c r="ANW583" s="621"/>
      <c r="AOA583" s="621"/>
      <c r="AOE583" s="621"/>
      <c r="AOI583" s="621"/>
      <c r="AOM583" s="621"/>
      <c r="AOQ583" s="621"/>
      <c r="AOU583" s="621"/>
      <c r="AOY583" s="621"/>
      <c r="APC583" s="621"/>
      <c r="APG583" s="621"/>
      <c r="APK583" s="621"/>
      <c r="APO583" s="621"/>
      <c r="APS583" s="621"/>
      <c r="APW583" s="621"/>
      <c r="AQA583" s="621"/>
      <c r="AQE583" s="621"/>
      <c r="AQI583" s="621"/>
      <c r="AQM583" s="621"/>
      <c r="AQQ583" s="621"/>
      <c r="AQU583" s="621"/>
      <c r="AQY583" s="621"/>
      <c r="ARC583" s="621"/>
      <c r="ARG583" s="621"/>
      <c r="ARK583" s="621"/>
      <c r="ARO583" s="621"/>
      <c r="ARS583" s="621"/>
      <c r="ARW583" s="621"/>
      <c r="ASA583" s="621"/>
      <c r="ASE583" s="621"/>
      <c r="ASI583" s="621"/>
      <c r="ASM583" s="621"/>
      <c r="ASQ583" s="621"/>
      <c r="ASU583" s="621"/>
      <c r="ASY583" s="621"/>
      <c r="ATC583" s="621"/>
      <c r="ATG583" s="621"/>
      <c r="ATK583" s="621"/>
      <c r="ATO583" s="621"/>
      <c r="ATS583" s="621"/>
      <c r="ATW583" s="621"/>
      <c r="AUA583" s="621"/>
      <c r="AUE583" s="621"/>
      <c r="AUI583" s="621"/>
      <c r="AUM583" s="621"/>
      <c r="AUQ583" s="621"/>
      <c r="AUU583" s="621"/>
      <c r="AUY583" s="621"/>
      <c r="AVC583" s="621"/>
      <c r="AVG583" s="621"/>
      <c r="AVK583" s="621"/>
      <c r="AVO583" s="621"/>
      <c r="AVS583" s="621"/>
      <c r="AVW583" s="621"/>
      <c r="AWA583" s="621"/>
      <c r="AWE583" s="621"/>
      <c r="AWI583" s="621"/>
      <c r="AWM583" s="621"/>
      <c r="AWQ583" s="621"/>
      <c r="AWU583" s="621"/>
      <c r="AWY583" s="621"/>
      <c r="AXC583" s="621"/>
      <c r="AXG583" s="621"/>
      <c r="AXK583" s="621"/>
      <c r="AXO583" s="621"/>
      <c r="AXS583" s="621"/>
      <c r="AXW583" s="621"/>
      <c r="AYA583" s="621"/>
      <c r="AYE583" s="621"/>
      <c r="AYI583" s="621"/>
      <c r="AYM583" s="621"/>
      <c r="AYQ583" s="621"/>
      <c r="AYU583" s="621"/>
      <c r="AYY583" s="621"/>
      <c r="AZC583" s="621"/>
      <c r="AZG583" s="621"/>
      <c r="AZK583" s="621"/>
      <c r="AZO583" s="621"/>
      <c r="AZS583" s="621"/>
      <c r="AZW583" s="621"/>
      <c r="BAA583" s="621"/>
      <c r="BAE583" s="621"/>
      <c r="BAI583" s="621"/>
      <c r="BAM583" s="621"/>
      <c r="BAQ583" s="621"/>
      <c r="BAU583" s="621"/>
      <c r="BAY583" s="621"/>
      <c r="BBC583" s="621"/>
      <c r="BBG583" s="621"/>
      <c r="BBK583" s="621"/>
      <c r="BBO583" s="621"/>
      <c r="BBS583" s="621"/>
      <c r="BBW583" s="621"/>
      <c r="BCA583" s="621"/>
      <c r="BCE583" s="621"/>
      <c r="BCI583" s="621"/>
      <c r="BCM583" s="621"/>
      <c r="BCQ583" s="621"/>
      <c r="BCU583" s="621"/>
      <c r="BCY583" s="621"/>
      <c r="BDC583" s="621"/>
      <c r="BDG583" s="621"/>
      <c r="BDK583" s="621"/>
      <c r="BDO583" s="621"/>
      <c r="BDS583" s="621"/>
      <c r="BDW583" s="621"/>
      <c r="BEA583" s="621"/>
      <c r="BEE583" s="621"/>
      <c r="BEI583" s="621"/>
      <c r="BEM583" s="621"/>
      <c r="BEQ583" s="621"/>
      <c r="BEU583" s="621"/>
      <c r="BEY583" s="621"/>
      <c r="BFC583" s="621"/>
      <c r="BFG583" s="621"/>
      <c r="BFK583" s="621"/>
      <c r="BFO583" s="621"/>
      <c r="BFS583" s="621"/>
      <c r="BFW583" s="621"/>
      <c r="BGA583" s="621"/>
      <c r="BGE583" s="621"/>
      <c r="BGI583" s="621"/>
      <c r="BGM583" s="621"/>
      <c r="BGQ583" s="621"/>
      <c r="BGU583" s="621"/>
      <c r="BGY583" s="621"/>
      <c r="BHC583" s="621"/>
      <c r="BHG583" s="621"/>
      <c r="BHK583" s="621"/>
      <c r="BHO583" s="621"/>
      <c r="BHS583" s="621"/>
      <c r="BHW583" s="621"/>
      <c r="BIA583" s="621"/>
      <c r="BIE583" s="621"/>
      <c r="BII583" s="621"/>
      <c r="BIM583" s="621"/>
      <c r="BIQ583" s="621"/>
      <c r="BIU583" s="621"/>
      <c r="BIY583" s="621"/>
      <c r="BJC583" s="621"/>
      <c r="BJG583" s="621"/>
      <c r="BJK583" s="621"/>
      <c r="BJO583" s="621"/>
      <c r="BJS583" s="621"/>
      <c r="BJW583" s="621"/>
      <c r="BKA583" s="621"/>
      <c r="BKE583" s="621"/>
      <c r="BKI583" s="621"/>
      <c r="BKM583" s="621"/>
      <c r="BKQ583" s="621"/>
      <c r="BKU583" s="621"/>
      <c r="BKY583" s="621"/>
      <c r="BLC583" s="621"/>
      <c r="BLG583" s="621"/>
      <c r="BLK583" s="621"/>
      <c r="BLO583" s="621"/>
      <c r="BLS583" s="621"/>
      <c r="BLW583" s="621"/>
      <c r="BMA583" s="621"/>
      <c r="BME583" s="621"/>
      <c r="BMI583" s="621"/>
      <c r="BMM583" s="621"/>
      <c r="BMQ583" s="621"/>
      <c r="BMU583" s="621"/>
      <c r="BMY583" s="621"/>
      <c r="BNC583" s="621"/>
      <c r="BNG583" s="621"/>
      <c r="BNK583" s="621"/>
      <c r="BNO583" s="621"/>
      <c r="BNS583" s="621"/>
      <c r="BNW583" s="621"/>
      <c r="BOA583" s="621"/>
      <c r="BOE583" s="621"/>
      <c r="BOI583" s="621"/>
      <c r="BOM583" s="621"/>
      <c r="BOQ583" s="621"/>
      <c r="BOU583" s="621"/>
      <c r="BOY583" s="621"/>
      <c r="BPC583" s="621"/>
      <c r="BPG583" s="621"/>
      <c r="BPK583" s="621"/>
      <c r="BPO583" s="621"/>
      <c r="BPS583" s="621"/>
      <c r="BPW583" s="621"/>
      <c r="BQA583" s="621"/>
      <c r="BQE583" s="621"/>
      <c r="BQI583" s="621"/>
      <c r="BQM583" s="621"/>
      <c r="BQQ583" s="621"/>
      <c r="BQU583" s="621"/>
      <c r="BQY583" s="621"/>
      <c r="BRC583" s="621"/>
      <c r="BRG583" s="621"/>
      <c r="BRK583" s="621"/>
      <c r="BRO583" s="621"/>
      <c r="BRS583" s="621"/>
      <c r="BRW583" s="621"/>
      <c r="BSA583" s="621"/>
      <c r="BSE583" s="621"/>
      <c r="BSI583" s="621"/>
      <c r="BSM583" s="621"/>
      <c r="BSQ583" s="621"/>
      <c r="BSU583" s="621"/>
      <c r="BSY583" s="621"/>
      <c r="BTC583" s="621"/>
      <c r="BTG583" s="621"/>
      <c r="BTK583" s="621"/>
      <c r="BTO583" s="621"/>
      <c r="BTS583" s="621"/>
      <c r="BTW583" s="621"/>
      <c r="BUA583" s="621"/>
      <c r="BUE583" s="621"/>
      <c r="BUI583" s="621"/>
      <c r="BUM583" s="621"/>
      <c r="BUQ583" s="621"/>
      <c r="BUU583" s="621"/>
      <c r="BUY583" s="621"/>
      <c r="BVC583" s="621"/>
      <c r="BVG583" s="621"/>
      <c r="BVK583" s="621"/>
      <c r="BVO583" s="621"/>
      <c r="BVS583" s="621"/>
      <c r="BVW583" s="621"/>
      <c r="BWA583" s="621"/>
      <c r="BWE583" s="621"/>
      <c r="BWI583" s="621"/>
      <c r="BWM583" s="621"/>
      <c r="BWQ583" s="621"/>
      <c r="BWU583" s="621"/>
      <c r="BWY583" s="621"/>
      <c r="BXC583" s="621"/>
      <c r="BXG583" s="621"/>
      <c r="BXK583" s="621"/>
      <c r="BXO583" s="621"/>
      <c r="BXS583" s="621"/>
      <c r="BXW583" s="621"/>
      <c r="BYA583" s="621"/>
      <c r="BYE583" s="621"/>
      <c r="BYI583" s="621"/>
      <c r="BYM583" s="621"/>
      <c r="BYQ583" s="621"/>
      <c r="BYU583" s="621"/>
      <c r="BYY583" s="621"/>
      <c r="BZC583" s="621"/>
      <c r="BZG583" s="621"/>
      <c r="BZK583" s="621"/>
      <c r="BZO583" s="621"/>
      <c r="BZS583" s="621"/>
      <c r="BZW583" s="621"/>
      <c r="CAA583" s="621"/>
      <c r="CAE583" s="621"/>
      <c r="CAI583" s="621"/>
      <c r="CAM583" s="621"/>
      <c r="CAQ583" s="621"/>
      <c r="CAU583" s="621"/>
      <c r="CAY583" s="621"/>
      <c r="CBC583" s="621"/>
      <c r="CBG583" s="621"/>
      <c r="CBK583" s="621"/>
      <c r="CBO583" s="621"/>
      <c r="CBS583" s="621"/>
      <c r="CBW583" s="621"/>
      <c r="CCA583" s="621"/>
      <c r="CCE583" s="621"/>
      <c r="CCI583" s="621"/>
      <c r="CCM583" s="621"/>
      <c r="CCQ583" s="621"/>
      <c r="CCU583" s="621"/>
      <c r="CCY583" s="621"/>
      <c r="CDC583" s="621"/>
      <c r="CDG583" s="621"/>
      <c r="CDK583" s="621"/>
      <c r="CDO583" s="621"/>
      <c r="CDS583" s="621"/>
      <c r="CDW583" s="621"/>
      <c r="CEA583" s="621"/>
      <c r="CEE583" s="621"/>
      <c r="CEI583" s="621"/>
      <c r="CEM583" s="621"/>
      <c r="CEQ583" s="621"/>
      <c r="CEU583" s="621"/>
      <c r="CEY583" s="621"/>
      <c r="CFC583" s="621"/>
      <c r="CFG583" s="621"/>
      <c r="CFK583" s="621"/>
      <c r="CFO583" s="621"/>
      <c r="CFS583" s="621"/>
      <c r="CFW583" s="621"/>
      <c r="CGA583" s="621"/>
      <c r="CGE583" s="621"/>
      <c r="CGI583" s="621"/>
      <c r="CGM583" s="621"/>
      <c r="CGQ583" s="621"/>
      <c r="CGU583" s="621"/>
      <c r="CGY583" s="621"/>
      <c r="CHC583" s="621"/>
      <c r="CHG583" s="621"/>
      <c r="CHK583" s="621"/>
      <c r="CHO583" s="621"/>
      <c r="CHS583" s="621"/>
      <c r="CHW583" s="621"/>
      <c r="CIA583" s="621"/>
      <c r="CIE583" s="621"/>
      <c r="CII583" s="621"/>
      <c r="CIM583" s="621"/>
      <c r="CIQ583" s="621"/>
      <c r="CIU583" s="621"/>
      <c r="CIY583" s="621"/>
      <c r="CJC583" s="621"/>
      <c r="CJG583" s="621"/>
      <c r="CJK583" s="621"/>
      <c r="CJO583" s="621"/>
      <c r="CJS583" s="621"/>
      <c r="CJW583" s="621"/>
      <c r="CKA583" s="621"/>
      <c r="CKE583" s="621"/>
      <c r="CKI583" s="621"/>
      <c r="CKM583" s="621"/>
      <c r="CKQ583" s="621"/>
      <c r="CKU583" s="621"/>
      <c r="CKY583" s="621"/>
      <c r="CLC583" s="621"/>
      <c r="CLG583" s="621"/>
      <c r="CLK583" s="621"/>
      <c r="CLO583" s="621"/>
      <c r="CLS583" s="621"/>
      <c r="CLW583" s="621"/>
      <c r="CMA583" s="621"/>
      <c r="CME583" s="621"/>
      <c r="CMI583" s="621"/>
      <c r="CMM583" s="621"/>
      <c r="CMQ583" s="621"/>
      <c r="CMU583" s="621"/>
      <c r="CMY583" s="621"/>
      <c r="CNC583" s="621"/>
      <c r="CNG583" s="621"/>
      <c r="CNK583" s="621"/>
      <c r="CNO583" s="621"/>
      <c r="CNS583" s="621"/>
      <c r="CNW583" s="621"/>
      <c r="COA583" s="621"/>
      <c r="COE583" s="621"/>
      <c r="COI583" s="621"/>
      <c r="COM583" s="621"/>
      <c r="COQ583" s="621"/>
      <c r="COU583" s="621"/>
      <c r="COY583" s="621"/>
      <c r="CPC583" s="621"/>
      <c r="CPG583" s="621"/>
      <c r="CPK583" s="621"/>
      <c r="CPO583" s="621"/>
      <c r="CPS583" s="621"/>
      <c r="CPW583" s="621"/>
      <c r="CQA583" s="621"/>
      <c r="CQE583" s="621"/>
      <c r="CQI583" s="621"/>
      <c r="CQM583" s="621"/>
      <c r="CQQ583" s="621"/>
      <c r="CQU583" s="621"/>
      <c r="CQY583" s="621"/>
      <c r="CRC583" s="621"/>
      <c r="CRG583" s="621"/>
      <c r="CRK583" s="621"/>
      <c r="CRO583" s="621"/>
      <c r="CRS583" s="621"/>
      <c r="CRW583" s="621"/>
      <c r="CSA583" s="621"/>
      <c r="CSE583" s="621"/>
      <c r="CSI583" s="621"/>
      <c r="CSM583" s="621"/>
      <c r="CSQ583" s="621"/>
      <c r="CSU583" s="621"/>
      <c r="CSY583" s="621"/>
      <c r="CTC583" s="621"/>
      <c r="CTG583" s="621"/>
      <c r="CTK583" s="621"/>
      <c r="CTO583" s="621"/>
      <c r="CTS583" s="621"/>
      <c r="CTW583" s="621"/>
      <c r="CUA583" s="621"/>
      <c r="CUE583" s="621"/>
      <c r="CUI583" s="621"/>
      <c r="CUM583" s="621"/>
      <c r="CUQ583" s="621"/>
      <c r="CUU583" s="621"/>
      <c r="CUY583" s="621"/>
      <c r="CVC583" s="621"/>
      <c r="CVG583" s="621"/>
      <c r="CVK583" s="621"/>
      <c r="CVO583" s="621"/>
      <c r="CVS583" s="621"/>
      <c r="CVW583" s="621"/>
      <c r="CWA583" s="621"/>
      <c r="CWE583" s="621"/>
      <c r="CWI583" s="621"/>
      <c r="CWM583" s="621"/>
      <c r="CWQ583" s="621"/>
      <c r="CWU583" s="621"/>
      <c r="CWY583" s="621"/>
      <c r="CXC583" s="621"/>
      <c r="CXG583" s="621"/>
      <c r="CXK583" s="621"/>
      <c r="CXO583" s="621"/>
      <c r="CXS583" s="621"/>
      <c r="CXW583" s="621"/>
      <c r="CYA583" s="621"/>
      <c r="CYE583" s="621"/>
      <c r="CYI583" s="621"/>
      <c r="CYM583" s="621"/>
      <c r="CYQ583" s="621"/>
      <c r="CYU583" s="621"/>
      <c r="CYY583" s="621"/>
      <c r="CZC583" s="621"/>
      <c r="CZG583" s="621"/>
      <c r="CZK583" s="621"/>
      <c r="CZO583" s="621"/>
      <c r="CZS583" s="621"/>
      <c r="CZW583" s="621"/>
      <c r="DAA583" s="621"/>
      <c r="DAE583" s="621"/>
      <c r="DAI583" s="621"/>
      <c r="DAM583" s="621"/>
      <c r="DAQ583" s="621"/>
      <c r="DAU583" s="621"/>
      <c r="DAY583" s="621"/>
      <c r="DBC583" s="621"/>
      <c r="DBG583" s="621"/>
      <c r="DBK583" s="621"/>
      <c r="DBO583" s="621"/>
      <c r="DBS583" s="621"/>
      <c r="DBW583" s="621"/>
      <c r="DCA583" s="621"/>
      <c r="DCE583" s="621"/>
      <c r="DCI583" s="621"/>
      <c r="DCM583" s="621"/>
      <c r="DCQ583" s="621"/>
      <c r="DCU583" s="621"/>
      <c r="DCY583" s="621"/>
      <c r="DDC583" s="621"/>
      <c r="DDG583" s="621"/>
      <c r="DDK583" s="621"/>
      <c r="DDO583" s="621"/>
      <c r="DDS583" s="621"/>
      <c r="DDW583" s="621"/>
      <c r="DEA583" s="621"/>
      <c r="DEE583" s="621"/>
      <c r="DEI583" s="621"/>
      <c r="DEM583" s="621"/>
      <c r="DEQ583" s="621"/>
      <c r="DEU583" s="621"/>
      <c r="DEY583" s="621"/>
      <c r="DFC583" s="621"/>
      <c r="DFG583" s="621"/>
      <c r="DFK583" s="621"/>
      <c r="DFO583" s="621"/>
      <c r="DFS583" s="621"/>
      <c r="DFW583" s="621"/>
      <c r="DGA583" s="621"/>
      <c r="DGE583" s="621"/>
      <c r="DGI583" s="621"/>
      <c r="DGM583" s="621"/>
      <c r="DGQ583" s="621"/>
      <c r="DGU583" s="621"/>
      <c r="DGY583" s="621"/>
      <c r="DHC583" s="621"/>
      <c r="DHG583" s="621"/>
      <c r="DHK583" s="621"/>
      <c r="DHO583" s="621"/>
      <c r="DHS583" s="621"/>
      <c r="DHW583" s="621"/>
      <c r="DIA583" s="621"/>
      <c r="DIE583" s="621"/>
      <c r="DII583" s="621"/>
      <c r="DIM583" s="621"/>
      <c r="DIQ583" s="621"/>
      <c r="DIU583" s="621"/>
      <c r="DIY583" s="621"/>
      <c r="DJC583" s="621"/>
      <c r="DJG583" s="621"/>
      <c r="DJK583" s="621"/>
      <c r="DJO583" s="621"/>
      <c r="DJS583" s="621"/>
      <c r="DJW583" s="621"/>
      <c r="DKA583" s="621"/>
      <c r="DKE583" s="621"/>
      <c r="DKI583" s="621"/>
      <c r="DKM583" s="621"/>
      <c r="DKQ583" s="621"/>
      <c r="DKU583" s="621"/>
      <c r="DKY583" s="621"/>
      <c r="DLC583" s="621"/>
      <c r="DLG583" s="621"/>
      <c r="DLK583" s="621"/>
      <c r="DLO583" s="621"/>
      <c r="DLS583" s="621"/>
      <c r="DLW583" s="621"/>
      <c r="DMA583" s="621"/>
      <c r="DME583" s="621"/>
      <c r="DMI583" s="621"/>
      <c r="DMM583" s="621"/>
      <c r="DMQ583" s="621"/>
      <c r="DMU583" s="621"/>
      <c r="DMY583" s="621"/>
      <c r="DNC583" s="621"/>
      <c r="DNG583" s="621"/>
      <c r="DNK583" s="621"/>
      <c r="DNO583" s="621"/>
      <c r="DNS583" s="621"/>
      <c r="DNW583" s="621"/>
      <c r="DOA583" s="621"/>
      <c r="DOE583" s="621"/>
      <c r="DOI583" s="621"/>
      <c r="DOM583" s="621"/>
      <c r="DOQ583" s="621"/>
      <c r="DOU583" s="621"/>
      <c r="DOY583" s="621"/>
      <c r="DPC583" s="621"/>
      <c r="DPG583" s="621"/>
      <c r="DPK583" s="621"/>
      <c r="DPO583" s="621"/>
      <c r="DPS583" s="621"/>
      <c r="DPW583" s="621"/>
      <c r="DQA583" s="621"/>
      <c r="DQE583" s="621"/>
      <c r="DQI583" s="621"/>
      <c r="DQM583" s="621"/>
      <c r="DQQ583" s="621"/>
      <c r="DQU583" s="621"/>
      <c r="DQY583" s="621"/>
      <c r="DRC583" s="621"/>
      <c r="DRG583" s="621"/>
      <c r="DRK583" s="621"/>
      <c r="DRO583" s="621"/>
      <c r="DRS583" s="621"/>
      <c r="DRW583" s="621"/>
      <c r="DSA583" s="621"/>
      <c r="DSE583" s="621"/>
      <c r="DSI583" s="621"/>
      <c r="DSM583" s="621"/>
      <c r="DSQ583" s="621"/>
      <c r="DSU583" s="621"/>
      <c r="DSY583" s="621"/>
      <c r="DTC583" s="621"/>
      <c r="DTG583" s="621"/>
      <c r="DTK583" s="621"/>
      <c r="DTO583" s="621"/>
      <c r="DTS583" s="621"/>
      <c r="DTW583" s="621"/>
      <c r="DUA583" s="621"/>
      <c r="DUE583" s="621"/>
      <c r="DUI583" s="621"/>
      <c r="DUM583" s="621"/>
      <c r="DUQ583" s="621"/>
      <c r="DUU583" s="621"/>
      <c r="DUY583" s="621"/>
      <c r="DVC583" s="621"/>
      <c r="DVG583" s="621"/>
      <c r="DVK583" s="621"/>
      <c r="DVO583" s="621"/>
      <c r="DVS583" s="621"/>
      <c r="DVW583" s="621"/>
      <c r="DWA583" s="621"/>
      <c r="DWE583" s="621"/>
      <c r="DWI583" s="621"/>
      <c r="DWM583" s="621"/>
      <c r="DWQ583" s="621"/>
      <c r="DWU583" s="621"/>
      <c r="DWY583" s="621"/>
      <c r="DXC583" s="621"/>
      <c r="DXG583" s="621"/>
      <c r="DXK583" s="621"/>
      <c r="DXO583" s="621"/>
      <c r="DXS583" s="621"/>
      <c r="DXW583" s="621"/>
      <c r="DYA583" s="621"/>
      <c r="DYE583" s="621"/>
      <c r="DYI583" s="621"/>
      <c r="DYM583" s="621"/>
      <c r="DYQ583" s="621"/>
      <c r="DYU583" s="621"/>
      <c r="DYY583" s="621"/>
      <c r="DZC583" s="621"/>
      <c r="DZG583" s="621"/>
      <c r="DZK583" s="621"/>
      <c r="DZO583" s="621"/>
      <c r="DZS583" s="621"/>
      <c r="DZW583" s="621"/>
      <c r="EAA583" s="621"/>
      <c r="EAE583" s="621"/>
      <c r="EAI583" s="621"/>
      <c r="EAM583" s="621"/>
      <c r="EAQ583" s="621"/>
      <c r="EAU583" s="621"/>
      <c r="EAY583" s="621"/>
      <c r="EBC583" s="621"/>
      <c r="EBG583" s="621"/>
      <c r="EBK583" s="621"/>
      <c r="EBO583" s="621"/>
      <c r="EBS583" s="621"/>
      <c r="EBW583" s="621"/>
      <c r="ECA583" s="621"/>
      <c r="ECE583" s="621"/>
      <c r="ECI583" s="621"/>
      <c r="ECM583" s="621"/>
      <c r="ECQ583" s="621"/>
      <c r="ECU583" s="621"/>
      <c r="ECY583" s="621"/>
      <c r="EDC583" s="621"/>
      <c r="EDG583" s="621"/>
      <c r="EDK583" s="621"/>
      <c r="EDO583" s="621"/>
      <c r="EDS583" s="621"/>
      <c r="EDW583" s="621"/>
      <c r="EEA583" s="621"/>
      <c r="EEE583" s="621"/>
      <c r="EEI583" s="621"/>
      <c r="EEM583" s="621"/>
      <c r="EEQ583" s="621"/>
      <c r="EEU583" s="621"/>
      <c r="EEY583" s="621"/>
      <c r="EFC583" s="621"/>
      <c r="EFG583" s="621"/>
      <c r="EFK583" s="621"/>
      <c r="EFO583" s="621"/>
      <c r="EFS583" s="621"/>
      <c r="EFW583" s="621"/>
      <c r="EGA583" s="621"/>
      <c r="EGE583" s="621"/>
      <c r="EGI583" s="621"/>
      <c r="EGM583" s="621"/>
      <c r="EGQ583" s="621"/>
      <c r="EGU583" s="621"/>
      <c r="EGY583" s="621"/>
      <c r="EHC583" s="621"/>
      <c r="EHG583" s="621"/>
      <c r="EHK583" s="621"/>
      <c r="EHO583" s="621"/>
      <c r="EHS583" s="621"/>
      <c r="EHW583" s="621"/>
      <c r="EIA583" s="621"/>
      <c r="EIE583" s="621"/>
      <c r="EII583" s="621"/>
      <c r="EIM583" s="621"/>
      <c r="EIQ583" s="621"/>
      <c r="EIU583" s="621"/>
      <c r="EIY583" s="621"/>
      <c r="EJC583" s="621"/>
      <c r="EJG583" s="621"/>
      <c r="EJK583" s="621"/>
      <c r="EJO583" s="621"/>
      <c r="EJS583" s="621"/>
      <c r="EJW583" s="621"/>
      <c r="EKA583" s="621"/>
      <c r="EKE583" s="621"/>
      <c r="EKI583" s="621"/>
      <c r="EKM583" s="621"/>
      <c r="EKQ583" s="621"/>
      <c r="EKU583" s="621"/>
      <c r="EKY583" s="621"/>
      <c r="ELC583" s="621"/>
      <c r="ELG583" s="621"/>
      <c r="ELK583" s="621"/>
      <c r="ELO583" s="621"/>
      <c r="ELS583" s="621"/>
      <c r="ELW583" s="621"/>
      <c r="EMA583" s="621"/>
      <c r="EME583" s="621"/>
      <c r="EMI583" s="621"/>
      <c r="EMM583" s="621"/>
      <c r="EMQ583" s="621"/>
      <c r="EMU583" s="621"/>
      <c r="EMY583" s="621"/>
      <c r="ENC583" s="621"/>
      <c r="ENG583" s="621"/>
      <c r="ENK583" s="621"/>
      <c r="ENO583" s="621"/>
      <c r="ENS583" s="621"/>
      <c r="ENW583" s="621"/>
      <c r="EOA583" s="621"/>
      <c r="EOE583" s="621"/>
      <c r="EOI583" s="621"/>
      <c r="EOM583" s="621"/>
      <c r="EOQ583" s="621"/>
      <c r="EOU583" s="621"/>
      <c r="EOY583" s="621"/>
      <c r="EPC583" s="621"/>
      <c r="EPG583" s="621"/>
      <c r="EPK583" s="621"/>
      <c r="EPO583" s="621"/>
      <c r="EPS583" s="621"/>
      <c r="EPW583" s="621"/>
      <c r="EQA583" s="621"/>
      <c r="EQE583" s="621"/>
      <c r="EQI583" s="621"/>
      <c r="EQM583" s="621"/>
      <c r="EQQ583" s="621"/>
      <c r="EQU583" s="621"/>
      <c r="EQY583" s="621"/>
      <c r="ERC583" s="621"/>
      <c r="ERG583" s="621"/>
      <c r="ERK583" s="621"/>
      <c r="ERO583" s="621"/>
      <c r="ERS583" s="621"/>
      <c r="ERW583" s="621"/>
      <c r="ESA583" s="621"/>
      <c r="ESE583" s="621"/>
      <c r="ESI583" s="621"/>
      <c r="ESM583" s="621"/>
      <c r="ESQ583" s="621"/>
      <c r="ESU583" s="621"/>
      <c r="ESY583" s="621"/>
      <c r="ETC583" s="621"/>
      <c r="ETG583" s="621"/>
      <c r="ETK583" s="621"/>
      <c r="ETO583" s="621"/>
      <c r="ETS583" s="621"/>
      <c r="ETW583" s="621"/>
      <c r="EUA583" s="621"/>
      <c r="EUE583" s="621"/>
      <c r="EUI583" s="621"/>
      <c r="EUM583" s="621"/>
      <c r="EUQ583" s="621"/>
      <c r="EUU583" s="621"/>
      <c r="EUY583" s="621"/>
      <c r="EVC583" s="621"/>
      <c r="EVG583" s="621"/>
      <c r="EVK583" s="621"/>
      <c r="EVO583" s="621"/>
      <c r="EVS583" s="621"/>
      <c r="EVW583" s="621"/>
      <c r="EWA583" s="621"/>
      <c r="EWE583" s="621"/>
      <c r="EWI583" s="621"/>
      <c r="EWM583" s="621"/>
      <c r="EWQ583" s="621"/>
      <c r="EWU583" s="621"/>
      <c r="EWY583" s="621"/>
      <c r="EXC583" s="621"/>
      <c r="EXG583" s="621"/>
      <c r="EXK583" s="621"/>
      <c r="EXO583" s="621"/>
      <c r="EXS583" s="621"/>
      <c r="EXW583" s="621"/>
      <c r="EYA583" s="621"/>
      <c r="EYE583" s="621"/>
      <c r="EYI583" s="621"/>
      <c r="EYM583" s="621"/>
      <c r="EYQ583" s="621"/>
      <c r="EYU583" s="621"/>
      <c r="EYY583" s="621"/>
      <c r="EZC583" s="621"/>
      <c r="EZG583" s="621"/>
      <c r="EZK583" s="621"/>
      <c r="EZO583" s="621"/>
      <c r="EZS583" s="621"/>
      <c r="EZW583" s="621"/>
      <c r="FAA583" s="621"/>
      <c r="FAE583" s="621"/>
      <c r="FAI583" s="621"/>
      <c r="FAM583" s="621"/>
      <c r="FAQ583" s="621"/>
      <c r="FAU583" s="621"/>
      <c r="FAY583" s="621"/>
      <c r="FBC583" s="621"/>
      <c r="FBG583" s="621"/>
      <c r="FBK583" s="621"/>
      <c r="FBO583" s="621"/>
      <c r="FBS583" s="621"/>
      <c r="FBW583" s="621"/>
      <c r="FCA583" s="621"/>
      <c r="FCE583" s="621"/>
      <c r="FCI583" s="621"/>
      <c r="FCM583" s="621"/>
      <c r="FCQ583" s="621"/>
      <c r="FCU583" s="621"/>
      <c r="FCY583" s="621"/>
      <c r="FDC583" s="621"/>
      <c r="FDG583" s="621"/>
      <c r="FDK583" s="621"/>
      <c r="FDO583" s="621"/>
      <c r="FDS583" s="621"/>
      <c r="FDW583" s="621"/>
      <c r="FEA583" s="621"/>
      <c r="FEE583" s="621"/>
      <c r="FEI583" s="621"/>
      <c r="FEM583" s="621"/>
      <c r="FEQ583" s="621"/>
      <c r="FEU583" s="621"/>
      <c r="FEY583" s="621"/>
      <c r="FFC583" s="621"/>
      <c r="FFG583" s="621"/>
      <c r="FFK583" s="621"/>
      <c r="FFO583" s="621"/>
      <c r="FFS583" s="621"/>
      <c r="FFW583" s="621"/>
      <c r="FGA583" s="621"/>
      <c r="FGE583" s="621"/>
      <c r="FGI583" s="621"/>
      <c r="FGM583" s="621"/>
      <c r="FGQ583" s="621"/>
      <c r="FGU583" s="621"/>
      <c r="FGY583" s="621"/>
      <c r="FHC583" s="621"/>
      <c r="FHG583" s="621"/>
      <c r="FHK583" s="621"/>
      <c r="FHO583" s="621"/>
      <c r="FHS583" s="621"/>
      <c r="FHW583" s="621"/>
      <c r="FIA583" s="621"/>
      <c r="FIE583" s="621"/>
      <c r="FII583" s="621"/>
      <c r="FIM583" s="621"/>
      <c r="FIQ583" s="621"/>
      <c r="FIU583" s="621"/>
      <c r="FIY583" s="621"/>
      <c r="FJC583" s="621"/>
      <c r="FJG583" s="621"/>
      <c r="FJK583" s="621"/>
      <c r="FJO583" s="621"/>
      <c r="FJS583" s="621"/>
      <c r="FJW583" s="621"/>
      <c r="FKA583" s="621"/>
      <c r="FKE583" s="621"/>
      <c r="FKI583" s="621"/>
      <c r="FKM583" s="621"/>
      <c r="FKQ583" s="621"/>
      <c r="FKU583" s="621"/>
      <c r="FKY583" s="621"/>
      <c r="FLC583" s="621"/>
      <c r="FLG583" s="621"/>
      <c r="FLK583" s="621"/>
      <c r="FLO583" s="621"/>
      <c r="FLS583" s="621"/>
      <c r="FLW583" s="621"/>
      <c r="FMA583" s="621"/>
      <c r="FME583" s="621"/>
      <c r="FMI583" s="621"/>
      <c r="FMM583" s="621"/>
      <c r="FMQ583" s="621"/>
      <c r="FMU583" s="621"/>
      <c r="FMY583" s="621"/>
      <c r="FNC583" s="621"/>
      <c r="FNG583" s="621"/>
      <c r="FNK583" s="621"/>
      <c r="FNO583" s="621"/>
      <c r="FNS583" s="621"/>
      <c r="FNW583" s="621"/>
      <c r="FOA583" s="621"/>
      <c r="FOE583" s="621"/>
      <c r="FOI583" s="621"/>
      <c r="FOM583" s="621"/>
      <c r="FOQ583" s="621"/>
      <c r="FOU583" s="621"/>
      <c r="FOY583" s="621"/>
      <c r="FPC583" s="621"/>
      <c r="FPG583" s="621"/>
      <c r="FPK583" s="621"/>
      <c r="FPO583" s="621"/>
      <c r="FPS583" s="621"/>
      <c r="FPW583" s="621"/>
      <c r="FQA583" s="621"/>
      <c r="FQE583" s="621"/>
      <c r="FQI583" s="621"/>
      <c r="FQM583" s="621"/>
      <c r="FQQ583" s="621"/>
      <c r="FQU583" s="621"/>
      <c r="FQY583" s="621"/>
      <c r="FRC583" s="621"/>
      <c r="FRG583" s="621"/>
      <c r="FRK583" s="621"/>
      <c r="FRO583" s="621"/>
      <c r="FRS583" s="621"/>
      <c r="FRW583" s="621"/>
      <c r="FSA583" s="621"/>
      <c r="FSE583" s="621"/>
      <c r="FSI583" s="621"/>
      <c r="FSM583" s="621"/>
      <c r="FSQ583" s="621"/>
      <c r="FSU583" s="621"/>
      <c r="FSY583" s="621"/>
      <c r="FTC583" s="621"/>
      <c r="FTG583" s="621"/>
      <c r="FTK583" s="621"/>
      <c r="FTO583" s="621"/>
      <c r="FTS583" s="621"/>
      <c r="FTW583" s="621"/>
      <c r="FUA583" s="621"/>
      <c r="FUE583" s="621"/>
      <c r="FUI583" s="621"/>
      <c r="FUM583" s="621"/>
      <c r="FUQ583" s="621"/>
      <c r="FUU583" s="621"/>
      <c r="FUY583" s="621"/>
      <c r="FVC583" s="621"/>
      <c r="FVG583" s="621"/>
      <c r="FVK583" s="621"/>
      <c r="FVO583" s="621"/>
      <c r="FVS583" s="621"/>
      <c r="FVW583" s="621"/>
      <c r="FWA583" s="621"/>
      <c r="FWE583" s="621"/>
      <c r="FWI583" s="621"/>
      <c r="FWM583" s="621"/>
      <c r="FWQ583" s="621"/>
      <c r="FWU583" s="621"/>
      <c r="FWY583" s="621"/>
      <c r="FXC583" s="621"/>
      <c r="FXG583" s="621"/>
      <c r="FXK583" s="621"/>
      <c r="FXO583" s="621"/>
      <c r="FXS583" s="621"/>
      <c r="FXW583" s="621"/>
      <c r="FYA583" s="621"/>
      <c r="FYE583" s="621"/>
      <c r="FYI583" s="621"/>
      <c r="FYM583" s="621"/>
      <c r="FYQ583" s="621"/>
      <c r="FYU583" s="621"/>
      <c r="FYY583" s="621"/>
      <c r="FZC583" s="621"/>
      <c r="FZG583" s="621"/>
      <c r="FZK583" s="621"/>
      <c r="FZO583" s="621"/>
      <c r="FZS583" s="621"/>
      <c r="FZW583" s="621"/>
      <c r="GAA583" s="621"/>
      <c r="GAE583" s="621"/>
      <c r="GAI583" s="621"/>
      <c r="GAM583" s="621"/>
      <c r="GAQ583" s="621"/>
      <c r="GAU583" s="621"/>
      <c r="GAY583" s="621"/>
      <c r="GBC583" s="621"/>
      <c r="GBG583" s="621"/>
      <c r="GBK583" s="621"/>
      <c r="GBO583" s="621"/>
      <c r="GBS583" s="621"/>
      <c r="GBW583" s="621"/>
      <c r="GCA583" s="621"/>
      <c r="GCE583" s="621"/>
      <c r="GCI583" s="621"/>
      <c r="GCM583" s="621"/>
      <c r="GCQ583" s="621"/>
      <c r="GCU583" s="621"/>
      <c r="GCY583" s="621"/>
      <c r="GDC583" s="621"/>
      <c r="GDG583" s="621"/>
      <c r="GDK583" s="621"/>
      <c r="GDO583" s="621"/>
      <c r="GDS583" s="621"/>
      <c r="GDW583" s="621"/>
      <c r="GEA583" s="621"/>
      <c r="GEE583" s="621"/>
      <c r="GEI583" s="621"/>
      <c r="GEM583" s="621"/>
      <c r="GEQ583" s="621"/>
      <c r="GEU583" s="621"/>
      <c r="GEY583" s="621"/>
      <c r="GFC583" s="621"/>
      <c r="GFG583" s="621"/>
      <c r="GFK583" s="621"/>
      <c r="GFO583" s="621"/>
      <c r="GFS583" s="621"/>
      <c r="GFW583" s="621"/>
      <c r="GGA583" s="621"/>
      <c r="GGE583" s="621"/>
      <c r="GGI583" s="621"/>
      <c r="GGM583" s="621"/>
      <c r="GGQ583" s="621"/>
      <c r="GGU583" s="621"/>
      <c r="GGY583" s="621"/>
      <c r="GHC583" s="621"/>
      <c r="GHG583" s="621"/>
      <c r="GHK583" s="621"/>
      <c r="GHO583" s="621"/>
      <c r="GHS583" s="621"/>
      <c r="GHW583" s="621"/>
      <c r="GIA583" s="621"/>
      <c r="GIE583" s="621"/>
      <c r="GII583" s="621"/>
      <c r="GIM583" s="621"/>
      <c r="GIQ583" s="621"/>
      <c r="GIU583" s="621"/>
      <c r="GIY583" s="621"/>
      <c r="GJC583" s="621"/>
      <c r="GJG583" s="621"/>
      <c r="GJK583" s="621"/>
      <c r="GJO583" s="621"/>
      <c r="GJS583" s="621"/>
      <c r="GJW583" s="621"/>
      <c r="GKA583" s="621"/>
      <c r="GKE583" s="621"/>
      <c r="GKI583" s="621"/>
      <c r="GKM583" s="621"/>
      <c r="GKQ583" s="621"/>
      <c r="GKU583" s="621"/>
      <c r="GKY583" s="621"/>
      <c r="GLC583" s="621"/>
      <c r="GLG583" s="621"/>
      <c r="GLK583" s="621"/>
      <c r="GLO583" s="621"/>
      <c r="GLS583" s="621"/>
      <c r="GLW583" s="621"/>
      <c r="GMA583" s="621"/>
      <c r="GME583" s="621"/>
      <c r="GMI583" s="621"/>
      <c r="GMM583" s="621"/>
      <c r="GMQ583" s="621"/>
      <c r="GMU583" s="621"/>
      <c r="GMY583" s="621"/>
      <c r="GNC583" s="621"/>
      <c r="GNG583" s="621"/>
      <c r="GNK583" s="621"/>
      <c r="GNO583" s="621"/>
      <c r="GNS583" s="621"/>
      <c r="GNW583" s="621"/>
      <c r="GOA583" s="621"/>
      <c r="GOE583" s="621"/>
      <c r="GOI583" s="621"/>
      <c r="GOM583" s="621"/>
      <c r="GOQ583" s="621"/>
      <c r="GOU583" s="621"/>
      <c r="GOY583" s="621"/>
      <c r="GPC583" s="621"/>
      <c r="GPG583" s="621"/>
      <c r="GPK583" s="621"/>
      <c r="GPO583" s="621"/>
      <c r="GPS583" s="621"/>
      <c r="GPW583" s="621"/>
      <c r="GQA583" s="621"/>
      <c r="GQE583" s="621"/>
      <c r="GQI583" s="621"/>
      <c r="GQM583" s="621"/>
      <c r="GQQ583" s="621"/>
      <c r="GQU583" s="621"/>
      <c r="GQY583" s="621"/>
      <c r="GRC583" s="621"/>
      <c r="GRG583" s="621"/>
      <c r="GRK583" s="621"/>
      <c r="GRO583" s="621"/>
      <c r="GRS583" s="621"/>
      <c r="GRW583" s="621"/>
      <c r="GSA583" s="621"/>
      <c r="GSE583" s="621"/>
      <c r="GSI583" s="621"/>
      <c r="GSM583" s="621"/>
      <c r="GSQ583" s="621"/>
      <c r="GSU583" s="621"/>
      <c r="GSY583" s="621"/>
      <c r="GTC583" s="621"/>
      <c r="GTG583" s="621"/>
      <c r="GTK583" s="621"/>
      <c r="GTO583" s="621"/>
      <c r="GTS583" s="621"/>
      <c r="GTW583" s="621"/>
      <c r="GUA583" s="621"/>
      <c r="GUE583" s="621"/>
      <c r="GUI583" s="621"/>
      <c r="GUM583" s="621"/>
      <c r="GUQ583" s="621"/>
      <c r="GUU583" s="621"/>
      <c r="GUY583" s="621"/>
      <c r="GVC583" s="621"/>
      <c r="GVG583" s="621"/>
      <c r="GVK583" s="621"/>
      <c r="GVO583" s="621"/>
      <c r="GVS583" s="621"/>
      <c r="GVW583" s="621"/>
      <c r="GWA583" s="621"/>
      <c r="GWE583" s="621"/>
      <c r="GWI583" s="621"/>
      <c r="GWM583" s="621"/>
      <c r="GWQ583" s="621"/>
      <c r="GWU583" s="621"/>
      <c r="GWY583" s="621"/>
      <c r="GXC583" s="621"/>
      <c r="GXG583" s="621"/>
      <c r="GXK583" s="621"/>
      <c r="GXO583" s="621"/>
      <c r="GXS583" s="621"/>
      <c r="GXW583" s="621"/>
      <c r="GYA583" s="621"/>
      <c r="GYE583" s="621"/>
      <c r="GYI583" s="621"/>
      <c r="GYM583" s="621"/>
      <c r="GYQ583" s="621"/>
      <c r="GYU583" s="621"/>
      <c r="GYY583" s="621"/>
      <c r="GZC583" s="621"/>
      <c r="GZG583" s="621"/>
      <c r="GZK583" s="621"/>
      <c r="GZO583" s="621"/>
      <c r="GZS583" s="621"/>
      <c r="GZW583" s="621"/>
      <c r="HAA583" s="621"/>
      <c r="HAE583" s="621"/>
      <c r="HAI583" s="621"/>
      <c r="HAM583" s="621"/>
      <c r="HAQ583" s="621"/>
      <c r="HAU583" s="621"/>
      <c r="HAY583" s="621"/>
      <c r="HBC583" s="621"/>
      <c r="HBG583" s="621"/>
      <c r="HBK583" s="621"/>
      <c r="HBO583" s="621"/>
      <c r="HBS583" s="621"/>
      <c r="HBW583" s="621"/>
      <c r="HCA583" s="621"/>
      <c r="HCE583" s="621"/>
      <c r="HCI583" s="621"/>
      <c r="HCM583" s="621"/>
      <c r="HCQ583" s="621"/>
      <c r="HCU583" s="621"/>
      <c r="HCY583" s="621"/>
      <c r="HDC583" s="621"/>
      <c r="HDG583" s="621"/>
      <c r="HDK583" s="621"/>
      <c r="HDO583" s="621"/>
      <c r="HDS583" s="621"/>
      <c r="HDW583" s="621"/>
      <c r="HEA583" s="621"/>
      <c r="HEE583" s="621"/>
      <c r="HEI583" s="621"/>
      <c r="HEM583" s="621"/>
      <c r="HEQ583" s="621"/>
      <c r="HEU583" s="621"/>
      <c r="HEY583" s="621"/>
      <c r="HFC583" s="621"/>
      <c r="HFG583" s="621"/>
      <c r="HFK583" s="621"/>
      <c r="HFO583" s="621"/>
      <c r="HFS583" s="621"/>
      <c r="HFW583" s="621"/>
      <c r="HGA583" s="621"/>
      <c r="HGE583" s="621"/>
      <c r="HGI583" s="621"/>
      <c r="HGM583" s="621"/>
      <c r="HGQ583" s="621"/>
      <c r="HGU583" s="621"/>
      <c r="HGY583" s="621"/>
      <c r="HHC583" s="621"/>
      <c r="HHG583" s="621"/>
      <c r="HHK583" s="621"/>
      <c r="HHO583" s="621"/>
      <c r="HHS583" s="621"/>
      <c r="HHW583" s="621"/>
      <c r="HIA583" s="621"/>
      <c r="HIE583" s="621"/>
      <c r="HII583" s="621"/>
      <c r="HIM583" s="621"/>
      <c r="HIQ583" s="621"/>
      <c r="HIU583" s="621"/>
      <c r="HIY583" s="621"/>
      <c r="HJC583" s="621"/>
      <c r="HJG583" s="621"/>
      <c r="HJK583" s="621"/>
      <c r="HJO583" s="621"/>
      <c r="HJS583" s="621"/>
      <c r="HJW583" s="621"/>
      <c r="HKA583" s="621"/>
      <c r="HKE583" s="621"/>
      <c r="HKI583" s="621"/>
      <c r="HKM583" s="621"/>
      <c r="HKQ583" s="621"/>
      <c r="HKU583" s="621"/>
      <c r="HKY583" s="621"/>
      <c r="HLC583" s="621"/>
      <c r="HLG583" s="621"/>
      <c r="HLK583" s="621"/>
      <c r="HLO583" s="621"/>
      <c r="HLS583" s="621"/>
      <c r="HLW583" s="621"/>
      <c r="HMA583" s="621"/>
      <c r="HME583" s="621"/>
      <c r="HMI583" s="621"/>
      <c r="HMM583" s="621"/>
      <c r="HMQ583" s="621"/>
      <c r="HMU583" s="621"/>
      <c r="HMY583" s="621"/>
      <c r="HNC583" s="621"/>
      <c r="HNG583" s="621"/>
      <c r="HNK583" s="621"/>
      <c r="HNO583" s="621"/>
      <c r="HNS583" s="621"/>
      <c r="HNW583" s="621"/>
      <c r="HOA583" s="621"/>
      <c r="HOE583" s="621"/>
      <c r="HOI583" s="621"/>
      <c r="HOM583" s="621"/>
      <c r="HOQ583" s="621"/>
      <c r="HOU583" s="621"/>
      <c r="HOY583" s="621"/>
      <c r="HPC583" s="621"/>
      <c r="HPG583" s="621"/>
      <c r="HPK583" s="621"/>
      <c r="HPO583" s="621"/>
      <c r="HPS583" s="621"/>
      <c r="HPW583" s="621"/>
      <c r="HQA583" s="621"/>
      <c r="HQE583" s="621"/>
      <c r="HQI583" s="621"/>
      <c r="HQM583" s="621"/>
      <c r="HQQ583" s="621"/>
      <c r="HQU583" s="621"/>
      <c r="HQY583" s="621"/>
      <c r="HRC583" s="621"/>
      <c r="HRG583" s="621"/>
      <c r="HRK583" s="621"/>
      <c r="HRO583" s="621"/>
      <c r="HRS583" s="621"/>
      <c r="HRW583" s="621"/>
      <c r="HSA583" s="621"/>
      <c r="HSE583" s="621"/>
      <c r="HSI583" s="621"/>
      <c r="HSM583" s="621"/>
      <c r="HSQ583" s="621"/>
      <c r="HSU583" s="621"/>
      <c r="HSY583" s="621"/>
      <c r="HTC583" s="621"/>
      <c r="HTG583" s="621"/>
      <c r="HTK583" s="621"/>
      <c r="HTO583" s="621"/>
      <c r="HTS583" s="621"/>
      <c r="HTW583" s="621"/>
      <c r="HUA583" s="621"/>
      <c r="HUE583" s="621"/>
      <c r="HUI583" s="621"/>
      <c r="HUM583" s="621"/>
      <c r="HUQ583" s="621"/>
      <c r="HUU583" s="621"/>
      <c r="HUY583" s="621"/>
      <c r="HVC583" s="621"/>
      <c r="HVG583" s="621"/>
      <c r="HVK583" s="621"/>
      <c r="HVO583" s="621"/>
      <c r="HVS583" s="621"/>
      <c r="HVW583" s="621"/>
      <c r="HWA583" s="621"/>
      <c r="HWE583" s="621"/>
      <c r="HWI583" s="621"/>
      <c r="HWM583" s="621"/>
      <c r="HWQ583" s="621"/>
      <c r="HWU583" s="621"/>
      <c r="HWY583" s="621"/>
      <c r="HXC583" s="621"/>
      <c r="HXG583" s="621"/>
      <c r="HXK583" s="621"/>
      <c r="HXO583" s="621"/>
      <c r="HXS583" s="621"/>
      <c r="HXW583" s="621"/>
      <c r="HYA583" s="621"/>
      <c r="HYE583" s="621"/>
      <c r="HYI583" s="621"/>
      <c r="HYM583" s="621"/>
      <c r="HYQ583" s="621"/>
      <c r="HYU583" s="621"/>
      <c r="HYY583" s="621"/>
      <c r="HZC583" s="621"/>
      <c r="HZG583" s="621"/>
      <c r="HZK583" s="621"/>
      <c r="HZO583" s="621"/>
      <c r="HZS583" s="621"/>
      <c r="HZW583" s="621"/>
      <c r="IAA583" s="621"/>
      <c r="IAE583" s="621"/>
      <c r="IAI583" s="621"/>
      <c r="IAM583" s="621"/>
      <c r="IAQ583" s="621"/>
      <c r="IAU583" s="621"/>
      <c r="IAY583" s="621"/>
      <c r="IBC583" s="621"/>
      <c r="IBG583" s="621"/>
      <c r="IBK583" s="621"/>
      <c r="IBO583" s="621"/>
      <c r="IBS583" s="621"/>
      <c r="IBW583" s="621"/>
      <c r="ICA583" s="621"/>
      <c r="ICE583" s="621"/>
      <c r="ICI583" s="621"/>
      <c r="ICM583" s="621"/>
      <c r="ICQ583" s="621"/>
      <c r="ICU583" s="621"/>
      <c r="ICY583" s="621"/>
      <c r="IDC583" s="621"/>
      <c r="IDG583" s="621"/>
      <c r="IDK583" s="621"/>
      <c r="IDO583" s="621"/>
      <c r="IDS583" s="621"/>
      <c r="IDW583" s="621"/>
      <c r="IEA583" s="621"/>
      <c r="IEE583" s="621"/>
      <c r="IEI583" s="621"/>
      <c r="IEM583" s="621"/>
      <c r="IEQ583" s="621"/>
      <c r="IEU583" s="621"/>
      <c r="IEY583" s="621"/>
      <c r="IFC583" s="621"/>
      <c r="IFG583" s="621"/>
      <c r="IFK583" s="621"/>
      <c r="IFO583" s="621"/>
      <c r="IFS583" s="621"/>
      <c r="IFW583" s="621"/>
      <c r="IGA583" s="621"/>
      <c r="IGE583" s="621"/>
      <c r="IGI583" s="621"/>
      <c r="IGM583" s="621"/>
      <c r="IGQ583" s="621"/>
      <c r="IGU583" s="621"/>
      <c r="IGY583" s="621"/>
      <c r="IHC583" s="621"/>
      <c r="IHG583" s="621"/>
      <c r="IHK583" s="621"/>
      <c r="IHO583" s="621"/>
      <c r="IHS583" s="621"/>
      <c r="IHW583" s="621"/>
      <c r="IIA583" s="621"/>
      <c r="IIE583" s="621"/>
      <c r="III583" s="621"/>
      <c r="IIM583" s="621"/>
      <c r="IIQ583" s="621"/>
      <c r="IIU583" s="621"/>
      <c r="IIY583" s="621"/>
      <c r="IJC583" s="621"/>
      <c r="IJG583" s="621"/>
      <c r="IJK583" s="621"/>
      <c r="IJO583" s="621"/>
      <c r="IJS583" s="621"/>
      <c r="IJW583" s="621"/>
      <c r="IKA583" s="621"/>
      <c r="IKE583" s="621"/>
      <c r="IKI583" s="621"/>
      <c r="IKM583" s="621"/>
      <c r="IKQ583" s="621"/>
      <c r="IKU583" s="621"/>
      <c r="IKY583" s="621"/>
      <c r="ILC583" s="621"/>
      <c r="ILG583" s="621"/>
      <c r="ILK583" s="621"/>
      <c r="ILO583" s="621"/>
      <c r="ILS583" s="621"/>
      <c r="ILW583" s="621"/>
      <c r="IMA583" s="621"/>
      <c r="IME583" s="621"/>
      <c r="IMI583" s="621"/>
      <c r="IMM583" s="621"/>
      <c r="IMQ583" s="621"/>
      <c r="IMU583" s="621"/>
      <c r="IMY583" s="621"/>
      <c r="INC583" s="621"/>
      <c r="ING583" s="621"/>
      <c r="INK583" s="621"/>
      <c r="INO583" s="621"/>
      <c r="INS583" s="621"/>
      <c r="INW583" s="621"/>
      <c r="IOA583" s="621"/>
      <c r="IOE583" s="621"/>
      <c r="IOI583" s="621"/>
      <c r="IOM583" s="621"/>
      <c r="IOQ583" s="621"/>
      <c r="IOU583" s="621"/>
      <c r="IOY583" s="621"/>
      <c r="IPC583" s="621"/>
      <c r="IPG583" s="621"/>
      <c r="IPK583" s="621"/>
      <c r="IPO583" s="621"/>
      <c r="IPS583" s="621"/>
      <c r="IPW583" s="621"/>
      <c r="IQA583" s="621"/>
      <c r="IQE583" s="621"/>
      <c r="IQI583" s="621"/>
      <c r="IQM583" s="621"/>
      <c r="IQQ583" s="621"/>
      <c r="IQU583" s="621"/>
      <c r="IQY583" s="621"/>
      <c r="IRC583" s="621"/>
      <c r="IRG583" s="621"/>
      <c r="IRK583" s="621"/>
      <c r="IRO583" s="621"/>
      <c r="IRS583" s="621"/>
      <c r="IRW583" s="621"/>
      <c r="ISA583" s="621"/>
      <c r="ISE583" s="621"/>
      <c r="ISI583" s="621"/>
      <c r="ISM583" s="621"/>
      <c r="ISQ583" s="621"/>
      <c r="ISU583" s="621"/>
      <c r="ISY583" s="621"/>
      <c r="ITC583" s="621"/>
      <c r="ITG583" s="621"/>
      <c r="ITK583" s="621"/>
      <c r="ITO583" s="621"/>
      <c r="ITS583" s="621"/>
      <c r="ITW583" s="621"/>
      <c r="IUA583" s="621"/>
      <c r="IUE583" s="621"/>
      <c r="IUI583" s="621"/>
      <c r="IUM583" s="621"/>
      <c r="IUQ583" s="621"/>
      <c r="IUU583" s="621"/>
      <c r="IUY583" s="621"/>
      <c r="IVC583" s="621"/>
      <c r="IVG583" s="621"/>
      <c r="IVK583" s="621"/>
      <c r="IVO583" s="621"/>
      <c r="IVS583" s="621"/>
      <c r="IVW583" s="621"/>
      <c r="IWA583" s="621"/>
      <c r="IWE583" s="621"/>
      <c r="IWI583" s="621"/>
      <c r="IWM583" s="621"/>
      <c r="IWQ583" s="621"/>
      <c r="IWU583" s="621"/>
      <c r="IWY583" s="621"/>
      <c r="IXC583" s="621"/>
      <c r="IXG583" s="621"/>
      <c r="IXK583" s="621"/>
      <c r="IXO583" s="621"/>
      <c r="IXS583" s="621"/>
      <c r="IXW583" s="621"/>
      <c r="IYA583" s="621"/>
      <c r="IYE583" s="621"/>
      <c r="IYI583" s="621"/>
      <c r="IYM583" s="621"/>
      <c r="IYQ583" s="621"/>
      <c r="IYU583" s="621"/>
      <c r="IYY583" s="621"/>
      <c r="IZC583" s="621"/>
      <c r="IZG583" s="621"/>
      <c r="IZK583" s="621"/>
      <c r="IZO583" s="621"/>
      <c r="IZS583" s="621"/>
      <c r="IZW583" s="621"/>
      <c r="JAA583" s="621"/>
      <c r="JAE583" s="621"/>
      <c r="JAI583" s="621"/>
      <c r="JAM583" s="621"/>
      <c r="JAQ583" s="621"/>
      <c r="JAU583" s="621"/>
      <c r="JAY583" s="621"/>
      <c r="JBC583" s="621"/>
      <c r="JBG583" s="621"/>
      <c r="JBK583" s="621"/>
      <c r="JBO583" s="621"/>
      <c r="JBS583" s="621"/>
      <c r="JBW583" s="621"/>
      <c r="JCA583" s="621"/>
      <c r="JCE583" s="621"/>
      <c r="JCI583" s="621"/>
      <c r="JCM583" s="621"/>
      <c r="JCQ583" s="621"/>
      <c r="JCU583" s="621"/>
      <c r="JCY583" s="621"/>
      <c r="JDC583" s="621"/>
      <c r="JDG583" s="621"/>
      <c r="JDK583" s="621"/>
      <c r="JDO583" s="621"/>
      <c r="JDS583" s="621"/>
      <c r="JDW583" s="621"/>
      <c r="JEA583" s="621"/>
      <c r="JEE583" s="621"/>
      <c r="JEI583" s="621"/>
      <c r="JEM583" s="621"/>
      <c r="JEQ583" s="621"/>
      <c r="JEU583" s="621"/>
      <c r="JEY583" s="621"/>
      <c r="JFC583" s="621"/>
      <c r="JFG583" s="621"/>
      <c r="JFK583" s="621"/>
      <c r="JFO583" s="621"/>
      <c r="JFS583" s="621"/>
      <c r="JFW583" s="621"/>
      <c r="JGA583" s="621"/>
      <c r="JGE583" s="621"/>
      <c r="JGI583" s="621"/>
      <c r="JGM583" s="621"/>
      <c r="JGQ583" s="621"/>
      <c r="JGU583" s="621"/>
      <c r="JGY583" s="621"/>
      <c r="JHC583" s="621"/>
      <c r="JHG583" s="621"/>
      <c r="JHK583" s="621"/>
      <c r="JHO583" s="621"/>
      <c r="JHS583" s="621"/>
      <c r="JHW583" s="621"/>
      <c r="JIA583" s="621"/>
      <c r="JIE583" s="621"/>
      <c r="JII583" s="621"/>
      <c r="JIM583" s="621"/>
      <c r="JIQ583" s="621"/>
      <c r="JIU583" s="621"/>
      <c r="JIY583" s="621"/>
      <c r="JJC583" s="621"/>
      <c r="JJG583" s="621"/>
      <c r="JJK583" s="621"/>
      <c r="JJO583" s="621"/>
      <c r="JJS583" s="621"/>
      <c r="JJW583" s="621"/>
      <c r="JKA583" s="621"/>
      <c r="JKE583" s="621"/>
      <c r="JKI583" s="621"/>
      <c r="JKM583" s="621"/>
      <c r="JKQ583" s="621"/>
      <c r="JKU583" s="621"/>
      <c r="JKY583" s="621"/>
      <c r="JLC583" s="621"/>
      <c r="JLG583" s="621"/>
      <c r="JLK583" s="621"/>
      <c r="JLO583" s="621"/>
      <c r="JLS583" s="621"/>
      <c r="JLW583" s="621"/>
      <c r="JMA583" s="621"/>
      <c r="JME583" s="621"/>
      <c r="JMI583" s="621"/>
      <c r="JMM583" s="621"/>
      <c r="JMQ583" s="621"/>
      <c r="JMU583" s="621"/>
      <c r="JMY583" s="621"/>
      <c r="JNC583" s="621"/>
      <c r="JNG583" s="621"/>
      <c r="JNK583" s="621"/>
      <c r="JNO583" s="621"/>
      <c r="JNS583" s="621"/>
      <c r="JNW583" s="621"/>
      <c r="JOA583" s="621"/>
      <c r="JOE583" s="621"/>
      <c r="JOI583" s="621"/>
      <c r="JOM583" s="621"/>
      <c r="JOQ583" s="621"/>
      <c r="JOU583" s="621"/>
      <c r="JOY583" s="621"/>
      <c r="JPC583" s="621"/>
      <c r="JPG583" s="621"/>
      <c r="JPK583" s="621"/>
      <c r="JPO583" s="621"/>
      <c r="JPS583" s="621"/>
      <c r="JPW583" s="621"/>
      <c r="JQA583" s="621"/>
      <c r="JQE583" s="621"/>
      <c r="JQI583" s="621"/>
      <c r="JQM583" s="621"/>
      <c r="JQQ583" s="621"/>
      <c r="JQU583" s="621"/>
      <c r="JQY583" s="621"/>
      <c r="JRC583" s="621"/>
      <c r="JRG583" s="621"/>
      <c r="JRK583" s="621"/>
      <c r="JRO583" s="621"/>
      <c r="JRS583" s="621"/>
      <c r="JRW583" s="621"/>
      <c r="JSA583" s="621"/>
      <c r="JSE583" s="621"/>
      <c r="JSI583" s="621"/>
      <c r="JSM583" s="621"/>
      <c r="JSQ583" s="621"/>
      <c r="JSU583" s="621"/>
      <c r="JSY583" s="621"/>
      <c r="JTC583" s="621"/>
      <c r="JTG583" s="621"/>
      <c r="JTK583" s="621"/>
      <c r="JTO583" s="621"/>
      <c r="JTS583" s="621"/>
      <c r="JTW583" s="621"/>
      <c r="JUA583" s="621"/>
      <c r="JUE583" s="621"/>
      <c r="JUI583" s="621"/>
      <c r="JUM583" s="621"/>
      <c r="JUQ583" s="621"/>
      <c r="JUU583" s="621"/>
      <c r="JUY583" s="621"/>
      <c r="JVC583" s="621"/>
      <c r="JVG583" s="621"/>
      <c r="JVK583" s="621"/>
      <c r="JVO583" s="621"/>
      <c r="JVS583" s="621"/>
      <c r="JVW583" s="621"/>
      <c r="JWA583" s="621"/>
      <c r="JWE583" s="621"/>
      <c r="JWI583" s="621"/>
      <c r="JWM583" s="621"/>
      <c r="JWQ583" s="621"/>
      <c r="JWU583" s="621"/>
      <c r="JWY583" s="621"/>
      <c r="JXC583" s="621"/>
      <c r="JXG583" s="621"/>
      <c r="JXK583" s="621"/>
      <c r="JXO583" s="621"/>
      <c r="JXS583" s="621"/>
      <c r="JXW583" s="621"/>
      <c r="JYA583" s="621"/>
      <c r="JYE583" s="621"/>
      <c r="JYI583" s="621"/>
      <c r="JYM583" s="621"/>
      <c r="JYQ583" s="621"/>
      <c r="JYU583" s="621"/>
      <c r="JYY583" s="621"/>
      <c r="JZC583" s="621"/>
      <c r="JZG583" s="621"/>
      <c r="JZK583" s="621"/>
      <c r="JZO583" s="621"/>
      <c r="JZS583" s="621"/>
      <c r="JZW583" s="621"/>
      <c r="KAA583" s="621"/>
      <c r="KAE583" s="621"/>
      <c r="KAI583" s="621"/>
      <c r="KAM583" s="621"/>
      <c r="KAQ583" s="621"/>
      <c r="KAU583" s="621"/>
      <c r="KAY583" s="621"/>
      <c r="KBC583" s="621"/>
      <c r="KBG583" s="621"/>
      <c r="KBK583" s="621"/>
      <c r="KBO583" s="621"/>
      <c r="KBS583" s="621"/>
      <c r="KBW583" s="621"/>
      <c r="KCA583" s="621"/>
      <c r="KCE583" s="621"/>
      <c r="KCI583" s="621"/>
      <c r="KCM583" s="621"/>
      <c r="KCQ583" s="621"/>
      <c r="KCU583" s="621"/>
      <c r="KCY583" s="621"/>
      <c r="KDC583" s="621"/>
      <c r="KDG583" s="621"/>
      <c r="KDK583" s="621"/>
      <c r="KDO583" s="621"/>
      <c r="KDS583" s="621"/>
      <c r="KDW583" s="621"/>
      <c r="KEA583" s="621"/>
      <c r="KEE583" s="621"/>
      <c r="KEI583" s="621"/>
      <c r="KEM583" s="621"/>
      <c r="KEQ583" s="621"/>
      <c r="KEU583" s="621"/>
      <c r="KEY583" s="621"/>
      <c r="KFC583" s="621"/>
      <c r="KFG583" s="621"/>
      <c r="KFK583" s="621"/>
      <c r="KFO583" s="621"/>
      <c r="KFS583" s="621"/>
      <c r="KFW583" s="621"/>
      <c r="KGA583" s="621"/>
      <c r="KGE583" s="621"/>
      <c r="KGI583" s="621"/>
      <c r="KGM583" s="621"/>
      <c r="KGQ583" s="621"/>
      <c r="KGU583" s="621"/>
      <c r="KGY583" s="621"/>
      <c r="KHC583" s="621"/>
      <c r="KHG583" s="621"/>
      <c r="KHK583" s="621"/>
      <c r="KHO583" s="621"/>
      <c r="KHS583" s="621"/>
      <c r="KHW583" s="621"/>
      <c r="KIA583" s="621"/>
      <c r="KIE583" s="621"/>
      <c r="KII583" s="621"/>
      <c r="KIM583" s="621"/>
      <c r="KIQ583" s="621"/>
      <c r="KIU583" s="621"/>
      <c r="KIY583" s="621"/>
      <c r="KJC583" s="621"/>
      <c r="KJG583" s="621"/>
      <c r="KJK583" s="621"/>
      <c r="KJO583" s="621"/>
      <c r="KJS583" s="621"/>
      <c r="KJW583" s="621"/>
      <c r="KKA583" s="621"/>
      <c r="KKE583" s="621"/>
      <c r="KKI583" s="621"/>
      <c r="KKM583" s="621"/>
      <c r="KKQ583" s="621"/>
      <c r="KKU583" s="621"/>
      <c r="KKY583" s="621"/>
      <c r="KLC583" s="621"/>
      <c r="KLG583" s="621"/>
      <c r="KLK583" s="621"/>
      <c r="KLO583" s="621"/>
      <c r="KLS583" s="621"/>
      <c r="KLW583" s="621"/>
      <c r="KMA583" s="621"/>
      <c r="KME583" s="621"/>
      <c r="KMI583" s="621"/>
      <c r="KMM583" s="621"/>
      <c r="KMQ583" s="621"/>
      <c r="KMU583" s="621"/>
      <c r="KMY583" s="621"/>
      <c r="KNC583" s="621"/>
      <c r="KNG583" s="621"/>
      <c r="KNK583" s="621"/>
      <c r="KNO583" s="621"/>
      <c r="KNS583" s="621"/>
      <c r="KNW583" s="621"/>
      <c r="KOA583" s="621"/>
      <c r="KOE583" s="621"/>
      <c r="KOI583" s="621"/>
      <c r="KOM583" s="621"/>
      <c r="KOQ583" s="621"/>
      <c r="KOU583" s="621"/>
      <c r="KOY583" s="621"/>
      <c r="KPC583" s="621"/>
      <c r="KPG583" s="621"/>
      <c r="KPK583" s="621"/>
      <c r="KPO583" s="621"/>
      <c r="KPS583" s="621"/>
      <c r="KPW583" s="621"/>
      <c r="KQA583" s="621"/>
      <c r="KQE583" s="621"/>
      <c r="KQI583" s="621"/>
      <c r="KQM583" s="621"/>
      <c r="KQQ583" s="621"/>
      <c r="KQU583" s="621"/>
      <c r="KQY583" s="621"/>
      <c r="KRC583" s="621"/>
      <c r="KRG583" s="621"/>
      <c r="KRK583" s="621"/>
      <c r="KRO583" s="621"/>
      <c r="KRS583" s="621"/>
      <c r="KRW583" s="621"/>
      <c r="KSA583" s="621"/>
      <c r="KSE583" s="621"/>
      <c r="KSI583" s="621"/>
      <c r="KSM583" s="621"/>
      <c r="KSQ583" s="621"/>
      <c r="KSU583" s="621"/>
      <c r="KSY583" s="621"/>
      <c r="KTC583" s="621"/>
      <c r="KTG583" s="621"/>
      <c r="KTK583" s="621"/>
      <c r="KTO583" s="621"/>
      <c r="KTS583" s="621"/>
      <c r="KTW583" s="621"/>
      <c r="KUA583" s="621"/>
      <c r="KUE583" s="621"/>
      <c r="KUI583" s="621"/>
      <c r="KUM583" s="621"/>
      <c r="KUQ583" s="621"/>
      <c r="KUU583" s="621"/>
      <c r="KUY583" s="621"/>
      <c r="KVC583" s="621"/>
      <c r="KVG583" s="621"/>
      <c r="KVK583" s="621"/>
      <c r="KVO583" s="621"/>
      <c r="KVS583" s="621"/>
      <c r="KVW583" s="621"/>
      <c r="KWA583" s="621"/>
      <c r="KWE583" s="621"/>
      <c r="KWI583" s="621"/>
      <c r="KWM583" s="621"/>
      <c r="KWQ583" s="621"/>
      <c r="KWU583" s="621"/>
      <c r="KWY583" s="621"/>
      <c r="KXC583" s="621"/>
      <c r="KXG583" s="621"/>
      <c r="KXK583" s="621"/>
      <c r="KXO583" s="621"/>
      <c r="KXS583" s="621"/>
      <c r="KXW583" s="621"/>
      <c r="KYA583" s="621"/>
      <c r="KYE583" s="621"/>
      <c r="KYI583" s="621"/>
      <c r="KYM583" s="621"/>
      <c r="KYQ583" s="621"/>
      <c r="KYU583" s="621"/>
      <c r="KYY583" s="621"/>
      <c r="KZC583" s="621"/>
      <c r="KZG583" s="621"/>
      <c r="KZK583" s="621"/>
      <c r="KZO583" s="621"/>
      <c r="KZS583" s="621"/>
      <c r="KZW583" s="621"/>
      <c r="LAA583" s="621"/>
      <c r="LAE583" s="621"/>
      <c r="LAI583" s="621"/>
      <c r="LAM583" s="621"/>
      <c r="LAQ583" s="621"/>
      <c r="LAU583" s="621"/>
      <c r="LAY583" s="621"/>
      <c r="LBC583" s="621"/>
      <c r="LBG583" s="621"/>
      <c r="LBK583" s="621"/>
      <c r="LBO583" s="621"/>
      <c r="LBS583" s="621"/>
      <c r="LBW583" s="621"/>
      <c r="LCA583" s="621"/>
      <c r="LCE583" s="621"/>
      <c r="LCI583" s="621"/>
      <c r="LCM583" s="621"/>
      <c r="LCQ583" s="621"/>
      <c r="LCU583" s="621"/>
      <c r="LCY583" s="621"/>
      <c r="LDC583" s="621"/>
      <c r="LDG583" s="621"/>
      <c r="LDK583" s="621"/>
      <c r="LDO583" s="621"/>
      <c r="LDS583" s="621"/>
      <c r="LDW583" s="621"/>
      <c r="LEA583" s="621"/>
      <c r="LEE583" s="621"/>
      <c r="LEI583" s="621"/>
      <c r="LEM583" s="621"/>
      <c r="LEQ583" s="621"/>
      <c r="LEU583" s="621"/>
      <c r="LEY583" s="621"/>
      <c r="LFC583" s="621"/>
      <c r="LFG583" s="621"/>
      <c r="LFK583" s="621"/>
      <c r="LFO583" s="621"/>
      <c r="LFS583" s="621"/>
      <c r="LFW583" s="621"/>
      <c r="LGA583" s="621"/>
      <c r="LGE583" s="621"/>
      <c r="LGI583" s="621"/>
      <c r="LGM583" s="621"/>
      <c r="LGQ583" s="621"/>
      <c r="LGU583" s="621"/>
      <c r="LGY583" s="621"/>
      <c r="LHC583" s="621"/>
      <c r="LHG583" s="621"/>
      <c r="LHK583" s="621"/>
      <c r="LHO583" s="621"/>
      <c r="LHS583" s="621"/>
      <c r="LHW583" s="621"/>
      <c r="LIA583" s="621"/>
      <c r="LIE583" s="621"/>
      <c r="LII583" s="621"/>
      <c r="LIM583" s="621"/>
      <c r="LIQ583" s="621"/>
      <c r="LIU583" s="621"/>
      <c r="LIY583" s="621"/>
      <c r="LJC583" s="621"/>
      <c r="LJG583" s="621"/>
      <c r="LJK583" s="621"/>
      <c r="LJO583" s="621"/>
      <c r="LJS583" s="621"/>
      <c r="LJW583" s="621"/>
      <c r="LKA583" s="621"/>
      <c r="LKE583" s="621"/>
      <c r="LKI583" s="621"/>
      <c r="LKM583" s="621"/>
      <c r="LKQ583" s="621"/>
      <c r="LKU583" s="621"/>
      <c r="LKY583" s="621"/>
      <c r="LLC583" s="621"/>
      <c r="LLG583" s="621"/>
      <c r="LLK583" s="621"/>
      <c r="LLO583" s="621"/>
      <c r="LLS583" s="621"/>
      <c r="LLW583" s="621"/>
      <c r="LMA583" s="621"/>
      <c r="LME583" s="621"/>
      <c r="LMI583" s="621"/>
      <c r="LMM583" s="621"/>
      <c r="LMQ583" s="621"/>
      <c r="LMU583" s="621"/>
      <c r="LMY583" s="621"/>
      <c r="LNC583" s="621"/>
      <c r="LNG583" s="621"/>
      <c r="LNK583" s="621"/>
      <c r="LNO583" s="621"/>
      <c r="LNS583" s="621"/>
      <c r="LNW583" s="621"/>
      <c r="LOA583" s="621"/>
      <c r="LOE583" s="621"/>
      <c r="LOI583" s="621"/>
      <c r="LOM583" s="621"/>
      <c r="LOQ583" s="621"/>
      <c r="LOU583" s="621"/>
      <c r="LOY583" s="621"/>
      <c r="LPC583" s="621"/>
      <c r="LPG583" s="621"/>
      <c r="LPK583" s="621"/>
      <c r="LPO583" s="621"/>
      <c r="LPS583" s="621"/>
      <c r="LPW583" s="621"/>
      <c r="LQA583" s="621"/>
      <c r="LQE583" s="621"/>
      <c r="LQI583" s="621"/>
      <c r="LQM583" s="621"/>
      <c r="LQQ583" s="621"/>
      <c r="LQU583" s="621"/>
      <c r="LQY583" s="621"/>
      <c r="LRC583" s="621"/>
      <c r="LRG583" s="621"/>
      <c r="LRK583" s="621"/>
      <c r="LRO583" s="621"/>
      <c r="LRS583" s="621"/>
      <c r="LRW583" s="621"/>
      <c r="LSA583" s="621"/>
      <c r="LSE583" s="621"/>
      <c r="LSI583" s="621"/>
      <c r="LSM583" s="621"/>
      <c r="LSQ583" s="621"/>
      <c r="LSU583" s="621"/>
      <c r="LSY583" s="621"/>
      <c r="LTC583" s="621"/>
      <c r="LTG583" s="621"/>
      <c r="LTK583" s="621"/>
      <c r="LTO583" s="621"/>
      <c r="LTS583" s="621"/>
      <c r="LTW583" s="621"/>
      <c r="LUA583" s="621"/>
      <c r="LUE583" s="621"/>
      <c r="LUI583" s="621"/>
      <c r="LUM583" s="621"/>
      <c r="LUQ583" s="621"/>
      <c r="LUU583" s="621"/>
      <c r="LUY583" s="621"/>
      <c r="LVC583" s="621"/>
      <c r="LVG583" s="621"/>
      <c r="LVK583" s="621"/>
      <c r="LVO583" s="621"/>
      <c r="LVS583" s="621"/>
      <c r="LVW583" s="621"/>
      <c r="LWA583" s="621"/>
      <c r="LWE583" s="621"/>
      <c r="LWI583" s="621"/>
      <c r="LWM583" s="621"/>
      <c r="LWQ583" s="621"/>
      <c r="LWU583" s="621"/>
      <c r="LWY583" s="621"/>
      <c r="LXC583" s="621"/>
      <c r="LXG583" s="621"/>
      <c r="LXK583" s="621"/>
      <c r="LXO583" s="621"/>
      <c r="LXS583" s="621"/>
      <c r="LXW583" s="621"/>
      <c r="LYA583" s="621"/>
      <c r="LYE583" s="621"/>
      <c r="LYI583" s="621"/>
      <c r="LYM583" s="621"/>
      <c r="LYQ583" s="621"/>
      <c r="LYU583" s="621"/>
      <c r="LYY583" s="621"/>
      <c r="LZC583" s="621"/>
      <c r="LZG583" s="621"/>
      <c r="LZK583" s="621"/>
      <c r="LZO583" s="621"/>
      <c r="LZS583" s="621"/>
      <c r="LZW583" s="621"/>
      <c r="MAA583" s="621"/>
      <c r="MAE583" s="621"/>
      <c r="MAI583" s="621"/>
      <c r="MAM583" s="621"/>
      <c r="MAQ583" s="621"/>
      <c r="MAU583" s="621"/>
      <c r="MAY583" s="621"/>
      <c r="MBC583" s="621"/>
      <c r="MBG583" s="621"/>
      <c r="MBK583" s="621"/>
      <c r="MBO583" s="621"/>
      <c r="MBS583" s="621"/>
      <c r="MBW583" s="621"/>
      <c r="MCA583" s="621"/>
      <c r="MCE583" s="621"/>
      <c r="MCI583" s="621"/>
      <c r="MCM583" s="621"/>
      <c r="MCQ583" s="621"/>
      <c r="MCU583" s="621"/>
      <c r="MCY583" s="621"/>
      <c r="MDC583" s="621"/>
      <c r="MDG583" s="621"/>
      <c r="MDK583" s="621"/>
      <c r="MDO583" s="621"/>
      <c r="MDS583" s="621"/>
      <c r="MDW583" s="621"/>
      <c r="MEA583" s="621"/>
      <c r="MEE583" s="621"/>
      <c r="MEI583" s="621"/>
      <c r="MEM583" s="621"/>
      <c r="MEQ583" s="621"/>
      <c r="MEU583" s="621"/>
      <c r="MEY583" s="621"/>
      <c r="MFC583" s="621"/>
      <c r="MFG583" s="621"/>
      <c r="MFK583" s="621"/>
      <c r="MFO583" s="621"/>
      <c r="MFS583" s="621"/>
      <c r="MFW583" s="621"/>
      <c r="MGA583" s="621"/>
      <c r="MGE583" s="621"/>
      <c r="MGI583" s="621"/>
      <c r="MGM583" s="621"/>
      <c r="MGQ583" s="621"/>
      <c r="MGU583" s="621"/>
      <c r="MGY583" s="621"/>
      <c r="MHC583" s="621"/>
      <c r="MHG583" s="621"/>
      <c r="MHK583" s="621"/>
      <c r="MHO583" s="621"/>
      <c r="MHS583" s="621"/>
      <c r="MHW583" s="621"/>
      <c r="MIA583" s="621"/>
      <c r="MIE583" s="621"/>
      <c r="MII583" s="621"/>
      <c r="MIM583" s="621"/>
      <c r="MIQ583" s="621"/>
      <c r="MIU583" s="621"/>
      <c r="MIY583" s="621"/>
      <c r="MJC583" s="621"/>
      <c r="MJG583" s="621"/>
      <c r="MJK583" s="621"/>
      <c r="MJO583" s="621"/>
      <c r="MJS583" s="621"/>
      <c r="MJW583" s="621"/>
      <c r="MKA583" s="621"/>
      <c r="MKE583" s="621"/>
      <c r="MKI583" s="621"/>
      <c r="MKM583" s="621"/>
      <c r="MKQ583" s="621"/>
      <c r="MKU583" s="621"/>
      <c r="MKY583" s="621"/>
      <c r="MLC583" s="621"/>
      <c r="MLG583" s="621"/>
      <c r="MLK583" s="621"/>
      <c r="MLO583" s="621"/>
      <c r="MLS583" s="621"/>
      <c r="MLW583" s="621"/>
      <c r="MMA583" s="621"/>
      <c r="MME583" s="621"/>
      <c r="MMI583" s="621"/>
      <c r="MMM583" s="621"/>
      <c r="MMQ583" s="621"/>
      <c r="MMU583" s="621"/>
      <c r="MMY583" s="621"/>
      <c r="MNC583" s="621"/>
      <c r="MNG583" s="621"/>
      <c r="MNK583" s="621"/>
      <c r="MNO583" s="621"/>
      <c r="MNS583" s="621"/>
      <c r="MNW583" s="621"/>
      <c r="MOA583" s="621"/>
      <c r="MOE583" s="621"/>
      <c r="MOI583" s="621"/>
      <c r="MOM583" s="621"/>
      <c r="MOQ583" s="621"/>
      <c r="MOU583" s="621"/>
      <c r="MOY583" s="621"/>
      <c r="MPC583" s="621"/>
      <c r="MPG583" s="621"/>
      <c r="MPK583" s="621"/>
      <c r="MPO583" s="621"/>
      <c r="MPS583" s="621"/>
      <c r="MPW583" s="621"/>
      <c r="MQA583" s="621"/>
      <c r="MQE583" s="621"/>
      <c r="MQI583" s="621"/>
      <c r="MQM583" s="621"/>
      <c r="MQQ583" s="621"/>
      <c r="MQU583" s="621"/>
      <c r="MQY583" s="621"/>
      <c r="MRC583" s="621"/>
      <c r="MRG583" s="621"/>
      <c r="MRK583" s="621"/>
      <c r="MRO583" s="621"/>
      <c r="MRS583" s="621"/>
      <c r="MRW583" s="621"/>
      <c r="MSA583" s="621"/>
      <c r="MSE583" s="621"/>
      <c r="MSI583" s="621"/>
      <c r="MSM583" s="621"/>
      <c r="MSQ583" s="621"/>
      <c r="MSU583" s="621"/>
      <c r="MSY583" s="621"/>
      <c r="MTC583" s="621"/>
      <c r="MTG583" s="621"/>
      <c r="MTK583" s="621"/>
      <c r="MTO583" s="621"/>
      <c r="MTS583" s="621"/>
      <c r="MTW583" s="621"/>
      <c r="MUA583" s="621"/>
      <c r="MUE583" s="621"/>
      <c r="MUI583" s="621"/>
      <c r="MUM583" s="621"/>
      <c r="MUQ583" s="621"/>
      <c r="MUU583" s="621"/>
      <c r="MUY583" s="621"/>
      <c r="MVC583" s="621"/>
      <c r="MVG583" s="621"/>
      <c r="MVK583" s="621"/>
      <c r="MVO583" s="621"/>
      <c r="MVS583" s="621"/>
      <c r="MVW583" s="621"/>
      <c r="MWA583" s="621"/>
      <c r="MWE583" s="621"/>
      <c r="MWI583" s="621"/>
      <c r="MWM583" s="621"/>
      <c r="MWQ583" s="621"/>
      <c r="MWU583" s="621"/>
      <c r="MWY583" s="621"/>
      <c r="MXC583" s="621"/>
      <c r="MXG583" s="621"/>
      <c r="MXK583" s="621"/>
      <c r="MXO583" s="621"/>
      <c r="MXS583" s="621"/>
      <c r="MXW583" s="621"/>
      <c r="MYA583" s="621"/>
      <c r="MYE583" s="621"/>
      <c r="MYI583" s="621"/>
      <c r="MYM583" s="621"/>
      <c r="MYQ583" s="621"/>
      <c r="MYU583" s="621"/>
      <c r="MYY583" s="621"/>
      <c r="MZC583" s="621"/>
      <c r="MZG583" s="621"/>
      <c r="MZK583" s="621"/>
      <c r="MZO583" s="621"/>
      <c r="MZS583" s="621"/>
      <c r="MZW583" s="621"/>
      <c r="NAA583" s="621"/>
      <c r="NAE583" s="621"/>
      <c r="NAI583" s="621"/>
      <c r="NAM583" s="621"/>
      <c r="NAQ583" s="621"/>
      <c r="NAU583" s="621"/>
      <c r="NAY583" s="621"/>
      <c r="NBC583" s="621"/>
      <c r="NBG583" s="621"/>
      <c r="NBK583" s="621"/>
      <c r="NBO583" s="621"/>
      <c r="NBS583" s="621"/>
      <c r="NBW583" s="621"/>
      <c r="NCA583" s="621"/>
      <c r="NCE583" s="621"/>
      <c r="NCI583" s="621"/>
      <c r="NCM583" s="621"/>
      <c r="NCQ583" s="621"/>
      <c r="NCU583" s="621"/>
      <c r="NCY583" s="621"/>
      <c r="NDC583" s="621"/>
      <c r="NDG583" s="621"/>
      <c r="NDK583" s="621"/>
      <c r="NDO583" s="621"/>
      <c r="NDS583" s="621"/>
      <c r="NDW583" s="621"/>
      <c r="NEA583" s="621"/>
      <c r="NEE583" s="621"/>
      <c r="NEI583" s="621"/>
      <c r="NEM583" s="621"/>
      <c r="NEQ583" s="621"/>
      <c r="NEU583" s="621"/>
      <c r="NEY583" s="621"/>
      <c r="NFC583" s="621"/>
      <c r="NFG583" s="621"/>
      <c r="NFK583" s="621"/>
      <c r="NFO583" s="621"/>
      <c r="NFS583" s="621"/>
      <c r="NFW583" s="621"/>
      <c r="NGA583" s="621"/>
      <c r="NGE583" s="621"/>
      <c r="NGI583" s="621"/>
      <c r="NGM583" s="621"/>
      <c r="NGQ583" s="621"/>
      <c r="NGU583" s="621"/>
      <c r="NGY583" s="621"/>
      <c r="NHC583" s="621"/>
      <c r="NHG583" s="621"/>
      <c r="NHK583" s="621"/>
      <c r="NHO583" s="621"/>
      <c r="NHS583" s="621"/>
      <c r="NHW583" s="621"/>
      <c r="NIA583" s="621"/>
      <c r="NIE583" s="621"/>
      <c r="NII583" s="621"/>
      <c r="NIM583" s="621"/>
      <c r="NIQ583" s="621"/>
      <c r="NIU583" s="621"/>
      <c r="NIY583" s="621"/>
      <c r="NJC583" s="621"/>
      <c r="NJG583" s="621"/>
      <c r="NJK583" s="621"/>
      <c r="NJO583" s="621"/>
      <c r="NJS583" s="621"/>
      <c r="NJW583" s="621"/>
      <c r="NKA583" s="621"/>
      <c r="NKE583" s="621"/>
      <c r="NKI583" s="621"/>
      <c r="NKM583" s="621"/>
      <c r="NKQ583" s="621"/>
      <c r="NKU583" s="621"/>
      <c r="NKY583" s="621"/>
      <c r="NLC583" s="621"/>
      <c r="NLG583" s="621"/>
      <c r="NLK583" s="621"/>
      <c r="NLO583" s="621"/>
      <c r="NLS583" s="621"/>
      <c r="NLW583" s="621"/>
      <c r="NMA583" s="621"/>
      <c r="NME583" s="621"/>
      <c r="NMI583" s="621"/>
      <c r="NMM583" s="621"/>
      <c r="NMQ583" s="621"/>
      <c r="NMU583" s="621"/>
      <c r="NMY583" s="621"/>
      <c r="NNC583" s="621"/>
      <c r="NNG583" s="621"/>
      <c r="NNK583" s="621"/>
      <c r="NNO583" s="621"/>
      <c r="NNS583" s="621"/>
      <c r="NNW583" s="621"/>
      <c r="NOA583" s="621"/>
      <c r="NOE583" s="621"/>
      <c r="NOI583" s="621"/>
      <c r="NOM583" s="621"/>
      <c r="NOQ583" s="621"/>
      <c r="NOU583" s="621"/>
      <c r="NOY583" s="621"/>
      <c r="NPC583" s="621"/>
      <c r="NPG583" s="621"/>
      <c r="NPK583" s="621"/>
      <c r="NPO583" s="621"/>
      <c r="NPS583" s="621"/>
      <c r="NPW583" s="621"/>
      <c r="NQA583" s="621"/>
      <c r="NQE583" s="621"/>
      <c r="NQI583" s="621"/>
      <c r="NQM583" s="621"/>
      <c r="NQQ583" s="621"/>
      <c r="NQU583" s="621"/>
      <c r="NQY583" s="621"/>
      <c r="NRC583" s="621"/>
      <c r="NRG583" s="621"/>
      <c r="NRK583" s="621"/>
      <c r="NRO583" s="621"/>
      <c r="NRS583" s="621"/>
      <c r="NRW583" s="621"/>
      <c r="NSA583" s="621"/>
      <c r="NSE583" s="621"/>
      <c r="NSI583" s="621"/>
      <c r="NSM583" s="621"/>
      <c r="NSQ583" s="621"/>
      <c r="NSU583" s="621"/>
      <c r="NSY583" s="621"/>
      <c r="NTC583" s="621"/>
      <c r="NTG583" s="621"/>
      <c r="NTK583" s="621"/>
      <c r="NTO583" s="621"/>
      <c r="NTS583" s="621"/>
      <c r="NTW583" s="621"/>
      <c r="NUA583" s="621"/>
      <c r="NUE583" s="621"/>
      <c r="NUI583" s="621"/>
      <c r="NUM583" s="621"/>
      <c r="NUQ583" s="621"/>
      <c r="NUU583" s="621"/>
      <c r="NUY583" s="621"/>
      <c r="NVC583" s="621"/>
      <c r="NVG583" s="621"/>
      <c r="NVK583" s="621"/>
      <c r="NVO583" s="621"/>
      <c r="NVS583" s="621"/>
      <c r="NVW583" s="621"/>
      <c r="NWA583" s="621"/>
      <c r="NWE583" s="621"/>
      <c r="NWI583" s="621"/>
      <c r="NWM583" s="621"/>
      <c r="NWQ583" s="621"/>
      <c r="NWU583" s="621"/>
      <c r="NWY583" s="621"/>
      <c r="NXC583" s="621"/>
      <c r="NXG583" s="621"/>
      <c r="NXK583" s="621"/>
      <c r="NXO583" s="621"/>
      <c r="NXS583" s="621"/>
      <c r="NXW583" s="621"/>
      <c r="NYA583" s="621"/>
      <c r="NYE583" s="621"/>
      <c r="NYI583" s="621"/>
      <c r="NYM583" s="621"/>
      <c r="NYQ583" s="621"/>
      <c r="NYU583" s="621"/>
      <c r="NYY583" s="621"/>
      <c r="NZC583" s="621"/>
      <c r="NZG583" s="621"/>
      <c r="NZK583" s="621"/>
      <c r="NZO583" s="621"/>
      <c r="NZS583" s="621"/>
      <c r="NZW583" s="621"/>
      <c r="OAA583" s="621"/>
      <c r="OAE583" s="621"/>
      <c r="OAI583" s="621"/>
      <c r="OAM583" s="621"/>
      <c r="OAQ583" s="621"/>
      <c r="OAU583" s="621"/>
      <c r="OAY583" s="621"/>
      <c r="OBC583" s="621"/>
      <c r="OBG583" s="621"/>
      <c r="OBK583" s="621"/>
      <c r="OBO583" s="621"/>
      <c r="OBS583" s="621"/>
      <c r="OBW583" s="621"/>
      <c r="OCA583" s="621"/>
      <c r="OCE583" s="621"/>
      <c r="OCI583" s="621"/>
      <c r="OCM583" s="621"/>
      <c r="OCQ583" s="621"/>
      <c r="OCU583" s="621"/>
      <c r="OCY583" s="621"/>
      <c r="ODC583" s="621"/>
      <c r="ODG583" s="621"/>
      <c r="ODK583" s="621"/>
      <c r="ODO583" s="621"/>
      <c r="ODS583" s="621"/>
      <c r="ODW583" s="621"/>
      <c r="OEA583" s="621"/>
      <c r="OEE583" s="621"/>
      <c r="OEI583" s="621"/>
      <c r="OEM583" s="621"/>
      <c r="OEQ583" s="621"/>
      <c r="OEU583" s="621"/>
      <c r="OEY583" s="621"/>
      <c r="OFC583" s="621"/>
      <c r="OFG583" s="621"/>
      <c r="OFK583" s="621"/>
      <c r="OFO583" s="621"/>
      <c r="OFS583" s="621"/>
      <c r="OFW583" s="621"/>
      <c r="OGA583" s="621"/>
      <c r="OGE583" s="621"/>
      <c r="OGI583" s="621"/>
      <c r="OGM583" s="621"/>
      <c r="OGQ583" s="621"/>
      <c r="OGU583" s="621"/>
      <c r="OGY583" s="621"/>
      <c r="OHC583" s="621"/>
      <c r="OHG583" s="621"/>
      <c r="OHK583" s="621"/>
      <c r="OHO583" s="621"/>
      <c r="OHS583" s="621"/>
      <c r="OHW583" s="621"/>
      <c r="OIA583" s="621"/>
      <c r="OIE583" s="621"/>
      <c r="OII583" s="621"/>
      <c r="OIM583" s="621"/>
      <c r="OIQ583" s="621"/>
      <c r="OIU583" s="621"/>
      <c r="OIY583" s="621"/>
      <c r="OJC583" s="621"/>
      <c r="OJG583" s="621"/>
      <c r="OJK583" s="621"/>
      <c r="OJO583" s="621"/>
      <c r="OJS583" s="621"/>
      <c r="OJW583" s="621"/>
      <c r="OKA583" s="621"/>
      <c r="OKE583" s="621"/>
      <c r="OKI583" s="621"/>
      <c r="OKM583" s="621"/>
      <c r="OKQ583" s="621"/>
      <c r="OKU583" s="621"/>
      <c r="OKY583" s="621"/>
      <c r="OLC583" s="621"/>
      <c r="OLG583" s="621"/>
      <c r="OLK583" s="621"/>
      <c r="OLO583" s="621"/>
      <c r="OLS583" s="621"/>
      <c r="OLW583" s="621"/>
      <c r="OMA583" s="621"/>
      <c r="OME583" s="621"/>
      <c r="OMI583" s="621"/>
      <c r="OMM583" s="621"/>
      <c r="OMQ583" s="621"/>
      <c r="OMU583" s="621"/>
      <c r="OMY583" s="621"/>
      <c r="ONC583" s="621"/>
      <c r="ONG583" s="621"/>
      <c r="ONK583" s="621"/>
      <c r="ONO583" s="621"/>
      <c r="ONS583" s="621"/>
      <c r="ONW583" s="621"/>
      <c r="OOA583" s="621"/>
      <c r="OOE583" s="621"/>
      <c r="OOI583" s="621"/>
      <c r="OOM583" s="621"/>
      <c r="OOQ583" s="621"/>
      <c r="OOU583" s="621"/>
      <c r="OOY583" s="621"/>
      <c r="OPC583" s="621"/>
      <c r="OPG583" s="621"/>
      <c r="OPK583" s="621"/>
      <c r="OPO583" s="621"/>
      <c r="OPS583" s="621"/>
      <c r="OPW583" s="621"/>
      <c r="OQA583" s="621"/>
      <c r="OQE583" s="621"/>
      <c r="OQI583" s="621"/>
      <c r="OQM583" s="621"/>
      <c r="OQQ583" s="621"/>
      <c r="OQU583" s="621"/>
      <c r="OQY583" s="621"/>
      <c r="ORC583" s="621"/>
      <c r="ORG583" s="621"/>
      <c r="ORK583" s="621"/>
      <c r="ORO583" s="621"/>
      <c r="ORS583" s="621"/>
      <c r="ORW583" s="621"/>
      <c r="OSA583" s="621"/>
      <c r="OSE583" s="621"/>
      <c r="OSI583" s="621"/>
      <c r="OSM583" s="621"/>
      <c r="OSQ583" s="621"/>
      <c r="OSU583" s="621"/>
      <c r="OSY583" s="621"/>
      <c r="OTC583" s="621"/>
      <c r="OTG583" s="621"/>
      <c r="OTK583" s="621"/>
      <c r="OTO583" s="621"/>
      <c r="OTS583" s="621"/>
      <c r="OTW583" s="621"/>
      <c r="OUA583" s="621"/>
      <c r="OUE583" s="621"/>
      <c r="OUI583" s="621"/>
      <c r="OUM583" s="621"/>
      <c r="OUQ583" s="621"/>
      <c r="OUU583" s="621"/>
      <c r="OUY583" s="621"/>
      <c r="OVC583" s="621"/>
      <c r="OVG583" s="621"/>
      <c r="OVK583" s="621"/>
      <c r="OVO583" s="621"/>
      <c r="OVS583" s="621"/>
      <c r="OVW583" s="621"/>
      <c r="OWA583" s="621"/>
      <c r="OWE583" s="621"/>
      <c r="OWI583" s="621"/>
      <c r="OWM583" s="621"/>
      <c r="OWQ583" s="621"/>
      <c r="OWU583" s="621"/>
      <c r="OWY583" s="621"/>
      <c r="OXC583" s="621"/>
      <c r="OXG583" s="621"/>
      <c r="OXK583" s="621"/>
      <c r="OXO583" s="621"/>
      <c r="OXS583" s="621"/>
      <c r="OXW583" s="621"/>
      <c r="OYA583" s="621"/>
      <c r="OYE583" s="621"/>
      <c r="OYI583" s="621"/>
      <c r="OYM583" s="621"/>
      <c r="OYQ583" s="621"/>
      <c r="OYU583" s="621"/>
      <c r="OYY583" s="621"/>
      <c r="OZC583" s="621"/>
      <c r="OZG583" s="621"/>
      <c r="OZK583" s="621"/>
      <c r="OZO583" s="621"/>
      <c r="OZS583" s="621"/>
      <c r="OZW583" s="621"/>
      <c r="PAA583" s="621"/>
      <c r="PAE583" s="621"/>
      <c r="PAI583" s="621"/>
      <c r="PAM583" s="621"/>
      <c r="PAQ583" s="621"/>
      <c r="PAU583" s="621"/>
      <c r="PAY583" s="621"/>
      <c r="PBC583" s="621"/>
      <c r="PBG583" s="621"/>
      <c r="PBK583" s="621"/>
      <c r="PBO583" s="621"/>
      <c r="PBS583" s="621"/>
      <c r="PBW583" s="621"/>
      <c r="PCA583" s="621"/>
      <c r="PCE583" s="621"/>
      <c r="PCI583" s="621"/>
      <c r="PCM583" s="621"/>
      <c r="PCQ583" s="621"/>
      <c r="PCU583" s="621"/>
      <c r="PCY583" s="621"/>
      <c r="PDC583" s="621"/>
      <c r="PDG583" s="621"/>
      <c r="PDK583" s="621"/>
      <c r="PDO583" s="621"/>
      <c r="PDS583" s="621"/>
      <c r="PDW583" s="621"/>
      <c r="PEA583" s="621"/>
      <c r="PEE583" s="621"/>
      <c r="PEI583" s="621"/>
      <c r="PEM583" s="621"/>
      <c r="PEQ583" s="621"/>
      <c r="PEU583" s="621"/>
      <c r="PEY583" s="621"/>
      <c r="PFC583" s="621"/>
      <c r="PFG583" s="621"/>
      <c r="PFK583" s="621"/>
      <c r="PFO583" s="621"/>
      <c r="PFS583" s="621"/>
      <c r="PFW583" s="621"/>
      <c r="PGA583" s="621"/>
      <c r="PGE583" s="621"/>
      <c r="PGI583" s="621"/>
      <c r="PGM583" s="621"/>
      <c r="PGQ583" s="621"/>
      <c r="PGU583" s="621"/>
      <c r="PGY583" s="621"/>
      <c r="PHC583" s="621"/>
      <c r="PHG583" s="621"/>
      <c r="PHK583" s="621"/>
      <c r="PHO583" s="621"/>
      <c r="PHS583" s="621"/>
      <c r="PHW583" s="621"/>
      <c r="PIA583" s="621"/>
      <c r="PIE583" s="621"/>
      <c r="PII583" s="621"/>
      <c r="PIM583" s="621"/>
      <c r="PIQ583" s="621"/>
      <c r="PIU583" s="621"/>
      <c r="PIY583" s="621"/>
      <c r="PJC583" s="621"/>
      <c r="PJG583" s="621"/>
      <c r="PJK583" s="621"/>
      <c r="PJO583" s="621"/>
      <c r="PJS583" s="621"/>
      <c r="PJW583" s="621"/>
      <c r="PKA583" s="621"/>
      <c r="PKE583" s="621"/>
      <c r="PKI583" s="621"/>
      <c r="PKM583" s="621"/>
      <c r="PKQ583" s="621"/>
      <c r="PKU583" s="621"/>
      <c r="PKY583" s="621"/>
      <c r="PLC583" s="621"/>
      <c r="PLG583" s="621"/>
      <c r="PLK583" s="621"/>
      <c r="PLO583" s="621"/>
      <c r="PLS583" s="621"/>
      <c r="PLW583" s="621"/>
      <c r="PMA583" s="621"/>
      <c r="PME583" s="621"/>
      <c r="PMI583" s="621"/>
      <c r="PMM583" s="621"/>
      <c r="PMQ583" s="621"/>
      <c r="PMU583" s="621"/>
      <c r="PMY583" s="621"/>
      <c r="PNC583" s="621"/>
      <c r="PNG583" s="621"/>
      <c r="PNK583" s="621"/>
      <c r="PNO583" s="621"/>
      <c r="PNS583" s="621"/>
      <c r="PNW583" s="621"/>
      <c r="POA583" s="621"/>
      <c r="POE583" s="621"/>
      <c r="POI583" s="621"/>
      <c r="POM583" s="621"/>
      <c r="POQ583" s="621"/>
      <c r="POU583" s="621"/>
      <c r="POY583" s="621"/>
      <c r="PPC583" s="621"/>
      <c r="PPG583" s="621"/>
      <c r="PPK583" s="621"/>
      <c r="PPO583" s="621"/>
      <c r="PPS583" s="621"/>
      <c r="PPW583" s="621"/>
      <c r="PQA583" s="621"/>
      <c r="PQE583" s="621"/>
      <c r="PQI583" s="621"/>
      <c r="PQM583" s="621"/>
      <c r="PQQ583" s="621"/>
      <c r="PQU583" s="621"/>
      <c r="PQY583" s="621"/>
      <c r="PRC583" s="621"/>
      <c r="PRG583" s="621"/>
      <c r="PRK583" s="621"/>
      <c r="PRO583" s="621"/>
      <c r="PRS583" s="621"/>
      <c r="PRW583" s="621"/>
      <c r="PSA583" s="621"/>
      <c r="PSE583" s="621"/>
      <c r="PSI583" s="621"/>
      <c r="PSM583" s="621"/>
      <c r="PSQ583" s="621"/>
      <c r="PSU583" s="621"/>
      <c r="PSY583" s="621"/>
      <c r="PTC583" s="621"/>
      <c r="PTG583" s="621"/>
      <c r="PTK583" s="621"/>
      <c r="PTO583" s="621"/>
      <c r="PTS583" s="621"/>
      <c r="PTW583" s="621"/>
      <c r="PUA583" s="621"/>
      <c r="PUE583" s="621"/>
      <c r="PUI583" s="621"/>
      <c r="PUM583" s="621"/>
      <c r="PUQ583" s="621"/>
      <c r="PUU583" s="621"/>
      <c r="PUY583" s="621"/>
      <c r="PVC583" s="621"/>
      <c r="PVG583" s="621"/>
      <c r="PVK583" s="621"/>
      <c r="PVO583" s="621"/>
      <c r="PVS583" s="621"/>
      <c r="PVW583" s="621"/>
      <c r="PWA583" s="621"/>
      <c r="PWE583" s="621"/>
      <c r="PWI583" s="621"/>
      <c r="PWM583" s="621"/>
      <c r="PWQ583" s="621"/>
      <c r="PWU583" s="621"/>
      <c r="PWY583" s="621"/>
      <c r="PXC583" s="621"/>
      <c r="PXG583" s="621"/>
      <c r="PXK583" s="621"/>
      <c r="PXO583" s="621"/>
      <c r="PXS583" s="621"/>
      <c r="PXW583" s="621"/>
      <c r="PYA583" s="621"/>
      <c r="PYE583" s="621"/>
      <c r="PYI583" s="621"/>
      <c r="PYM583" s="621"/>
      <c r="PYQ583" s="621"/>
      <c r="PYU583" s="621"/>
      <c r="PYY583" s="621"/>
      <c r="PZC583" s="621"/>
      <c r="PZG583" s="621"/>
      <c r="PZK583" s="621"/>
      <c r="PZO583" s="621"/>
      <c r="PZS583" s="621"/>
      <c r="PZW583" s="621"/>
      <c r="QAA583" s="621"/>
      <c r="QAE583" s="621"/>
      <c r="QAI583" s="621"/>
      <c r="QAM583" s="621"/>
      <c r="QAQ583" s="621"/>
      <c r="QAU583" s="621"/>
      <c r="QAY583" s="621"/>
      <c r="QBC583" s="621"/>
      <c r="QBG583" s="621"/>
      <c r="QBK583" s="621"/>
      <c r="QBO583" s="621"/>
      <c r="QBS583" s="621"/>
      <c r="QBW583" s="621"/>
      <c r="QCA583" s="621"/>
      <c r="QCE583" s="621"/>
      <c r="QCI583" s="621"/>
      <c r="QCM583" s="621"/>
      <c r="QCQ583" s="621"/>
      <c r="QCU583" s="621"/>
      <c r="QCY583" s="621"/>
      <c r="QDC583" s="621"/>
      <c r="QDG583" s="621"/>
      <c r="QDK583" s="621"/>
      <c r="QDO583" s="621"/>
      <c r="QDS583" s="621"/>
      <c r="QDW583" s="621"/>
      <c r="QEA583" s="621"/>
      <c r="QEE583" s="621"/>
      <c r="QEI583" s="621"/>
      <c r="QEM583" s="621"/>
      <c r="QEQ583" s="621"/>
      <c r="QEU583" s="621"/>
      <c r="QEY583" s="621"/>
      <c r="QFC583" s="621"/>
      <c r="QFG583" s="621"/>
      <c r="QFK583" s="621"/>
      <c r="QFO583" s="621"/>
      <c r="QFS583" s="621"/>
      <c r="QFW583" s="621"/>
      <c r="QGA583" s="621"/>
      <c r="QGE583" s="621"/>
      <c r="QGI583" s="621"/>
      <c r="QGM583" s="621"/>
      <c r="QGQ583" s="621"/>
      <c r="QGU583" s="621"/>
      <c r="QGY583" s="621"/>
      <c r="QHC583" s="621"/>
      <c r="QHG583" s="621"/>
      <c r="QHK583" s="621"/>
      <c r="QHO583" s="621"/>
      <c r="QHS583" s="621"/>
      <c r="QHW583" s="621"/>
      <c r="QIA583" s="621"/>
      <c r="QIE583" s="621"/>
      <c r="QII583" s="621"/>
      <c r="QIM583" s="621"/>
      <c r="QIQ583" s="621"/>
      <c r="QIU583" s="621"/>
      <c r="QIY583" s="621"/>
      <c r="QJC583" s="621"/>
      <c r="QJG583" s="621"/>
      <c r="QJK583" s="621"/>
      <c r="QJO583" s="621"/>
      <c r="QJS583" s="621"/>
      <c r="QJW583" s="621"/>
      <c r="QKA583" s="621"/>
      <c r="QKE583" s="621"/>
      <c r="QKI583" s="621"/>
      <c r="QKM583" s="621"/>
      <c r="QKQ583" s="621"/>
      <c r="QKU583" s="621"/>
      <c r="QKY583" s="621"/>
      <c r="QLC583" s="621"/>
      <c r="QLG583" s="621"/>
      <c r="QLK583" s="621"/>
      <c r="QLO583" s="621"/>
      <c r="QLS583" s="621"/>
      <c r="QLW583" s="621"/>
      <c r="QMA583" s="621"/>
      <c r="QME583" s="621"/>
      <c r="QMI583" s="621"/>
      <c r="QMM583" s="621"/>
      <c r="QMQ583" s="621"/>
      <c r="QMU583" s="621"/>
      <c r="QMY583" s="621"/>
      <c r="QNC583" s="621"/>
      <c r="QNG583" s="621"/>
      <c r="QNK583" s="621"/>
      <c r="QNO583" s="621"/>
      <c r="QNS583" s="621"/>
      <c r="QNW583" s="621"/>
      <c r="QOA583" s="621"/>
      <c r="QOE583" s="621"/>
      <c r="QOI583" s="621"/>
      <c r="QOM583" s="621"/>
      <c r="QOQ583" s="621"/>
      <c r="QOU583" s="621"/>
      <c r="QOY583" s="621"/>
      <c r="QPC583" s="621"/>
      <c r="QPG583" s="621"/>
      <c r="QPK583" s="621"/>
      <c r="QPO583" s="621"/>
      <c r="QPS583" s="621"/>
      <c r="QPW583" s="621"/>
      <c r="QQA583" s="621"/>
      <c r="QQE583" s="621"/>
      <c r="QQI583" s="621"/>
      <c r="QQM583" s="621"/>
      <c r="QQQ583" s="621"/>
      <c r="QQU583" s="621"/>
      <c r="QQY583" s="621"/>
      <c r="QRC583" s="621"/>
      <c r="QRG583" s="621"/>
      <c r="QRK583" s="621"/>
      <c r="QRO583" s="621"/>
      <c r="QRS583" s="621"/>
      <c r="QRW583" s="621"/>
      <c r="QSA583" s="621"/>
      <c r="QSE583" s="621"/>
      <c r="QSI583" s="621"/>
      <c r="QSM583" s="621"/>
      <c r="QSQ583" s="621"/>
      <c r="QSU583" s="621"/>
      <c r="QSY583" s="621"/>
      <c r="QTC583" s="621"/>
      <c r="QTG583" s="621"/>
      <c r="QTK583" s="621"/>
      <c r="QTO583" s="621"/>
      <c r="QTS583" s="621"/>
      <c r="QTW583" s="621"/>
      <c r="QUA583" s="621"/>
      <c r="QUE583" s="621"/>
      <c r="QUI583" s="621"/>
      <c r="QUM583" s="621"/>
      <c r="QUQ583" s="621"/>
      <c r="QUU583" s="621"/>
      <c r="QUY583" s="621"/>
      <c r="QVC583" s="621"/>
      <c r="QVG583" s="621"/>
      <c r="QVK583" s="621"/>
      <c r="QVO583" s="621"/>
      <c r="QVS583" s="621"/>
      <c r="QVW583" s="621"/>
      <c r="QWA583" s="621"/>
      <c r="QWE583" s="621"/>
      <c r="QWI583" s="621"/>
      <c r="QWM583" s="621"/>
      <c r="QWQ583" s="621"/>
      <c r="QWU583" s="621"/>
      <c r="QWY583" s="621"/>
      <c r="QXC583" s="621"/>
      <c r="QXG583" s="621"/>
      <c r="QXK583" s="621"/>
      <c r="QXO583" s="621"/>
      <c r="QXS583" s="621"/>
      <c r="QXW583" s="621"/>
      <c r="QYA583" s="621"/>
      <c r="QYE583" s="621"/>
      <c r="QYI583" s="621"/>
      <c r="QYM583" s="621"/>
      <c r="QYQ583" s="621"/>
      <c r="QYU583" s="621"/>
      <c r="QYY583" s="621"/>
      <c r="QZC583" s="621"/>
      <c r="QZG583" s="621"/>
      <c r="QZK583" s="621"/>
      <c r="QZO583" s="621"/>
      <c r="QZS583" s="621"/>
      <c r="QZW583" s="621"/>
      <c r="RAA583" s="621"/>
      <c r="RAE583" s="621"/>
      <c r="RAI583" s="621"/>
      <c r="RAM583" s="621"/>
      <c r="RAQ583" s="621"/>
      <c r="RAU583" s="621"/>
      <c r="RAY583" s="621"/>
      <c r="RBC583" s="621"/>
      <c r="RBG583" s="621"/>
      <c r="RBK583" s="621"/>
      <c r="RBO583" s="621"/>
      <c r="RBS583" s="621"/>
      <c r="RBW583" s="621"/>
      <c r="RCA583" s="621"/>
      <c r="RCE583" s="621"/>
      <c r="RCI583" s="621"/>
      <c r="RCM583" s="621"/>
      <c r="RCQ583" s="621"/>
      <c r="RCU583" s="621"/>
      <c r="RCY583" s="621"/>
      <c r="RDC583" s="621"/>
      <c r="RDG583" s="621"/>
      <c r="RDK583" s="621"/>
      <c r="RDO583" s="621"/>
      <c r="RDS583" s="621"/>
      <c r="RDW583" s="621"/>
      <c r="REA583" s="621"/>
      <c r="REE583" s="621"/>
      <c r="REI583" s="621"/>
      <c r="REM583" s="621"/>
      <c r="REQ583" s="621"/>
      <c r="REU583" s="621"/>
      <c r="REY583" s="621"/>
      <c r="RFC583" s="621"/>
      <c r="RFG583" s="621"/>
      <c r="RFK583" s="621"/>
      <c r="RFO583" s="621"/>
      <c r="RFS583" s="621"/>
      <c r="RFW583" s="621"/>
      <c r="RGA583" s="621"/>
      <c r="RGE583" s="621"/>
      <c r="RGI583" s="621"/>
      <c r="RGM583" s="621"/>
      <c r="RGQ583" s="621"/>
      <c r="RGU583" s="621"/>
      <c r="RGY583" s="621"/>
      <c r="RHC583" s="621"/>
      <c r="RHG583" s="621"/>
      <c r="RHK583" s="621"/>
      <c r="RHO583" s="621"/>
      <c r="RHS583" s="621"/>
      <c r="RHW583" s="621"/>
      <c r="RIA583" s="621"/>
      <c r="RIE583" s="621"/>
      <c r="RII583" s="621"/>
      <c r="RIM583" s="621"/>
      <c r="RIQ583" s="621"/>
      <c r="RIU583" s="621"/>
      <c r="RIY583" s="621"/>
      <c r="RJC583" s="621"/>
      <c r="RJG583" s="621"/>
      <c r="RJK583" s="621"/>
      <c r="RJO583" s="621"/>
      <c r="RJS583" s="621"/>
      <c r="RJW583" s="621"/>
      <c r="RKA583" s="621"/>
      <c r="RKE583" s="621"/>
      <c r="RKI583" s="621"/>
      <c r="RKM583" s="621"/>
      <c r="RKQ583" s="621"/>
      <c r="RKU583" s="621"/>
      <c r="RKY583" s="621"/>
      <c r="RLC583" s="621"/>
      <c r="RLG583" s="621"/>
      <c r="RLK583" s="621"/>
      <c r="RLO583" s="621"/>
      <c r="RLS583" s="621"/>
      <c r="RLW583" s="621"/>
      <c r="RMA583" s="621"/>
      <c r="RME583" s="621"/>
      <c r="RMI583" s="621"/>
      <c r="RMM583" s="621"/>
      <c r="RMQ583" s="621"/>
      <c r="RMU583" s="621"/>
      <c r="RMY583" s="621"/>
      <c r="RNC583" s="621"/>
      <c r="RNG583" s="621"/>
      <c r="RNK583" s="621"/>
      <c r="RNO583" s="621"/>
      <c r="RNS583" s="621"/>
      <c r="RNW583" s="621"/>
      <c r="ROA583" s="621"/>
      <c r="ROE583" s="621"/>
      <c r="ROI583" s="621"/>
      <c r="ROM583" s="621"/>
      <c r="ROQ583" s="621"/>
      <c r="ROU583" s="621"/>
      <c r="ROY583" s="621"/>
      <c r="RPC583" s="621"/>
      <c r="RPG583" s="621"/>
      <c r="RPK583" s="621"/>
      <c r="RPO583" s="621"/>
      <c r="RPS583" s="621"/>
      <c r="RPW583" s="621"/>
      <c r="RQA583" s="621"/>
      <c r="RQE583" s="621"/>
      <c r="RQI583" s="621"/>
      <c r="RQM583" s="621"/>
      <c r="RQQ583" s="621"/>
      <c r="RQU583" s="621"/>
      <c r="RQY583" s="621"/>
      <c r="RRC583" s="621"/>
      <c r="RRG583" s="621"/>
      <c r="RRK583" s="621"/>
      <c r="RRO583" s="621"/>
      <c r="RRS583" s="621"/>
      <c r="RRW583" s="621"/>
      <c r="RSA583" s="621"/>
      <c r="RSE583" s="621"/>
      <c r="RSI583" s="621"/>
      <c r="RSM583" s="621"/>
      <c r="RSQ583" s="621"/>
      <c r="RSU583" s="621"/>
      <c r="RSY583" s="621"/>
      <c r="RTC583" s="621"/>
      <c r="RTG583" s="621"/>
      <c r="RTK583" s="621"/>
      <c r="RTO583" s="621"/>
      <c r="RTS583" s="621"/>
      <c r="RTW583" s="621"/>
      <c r="RUA583" s="621"/>
      <c r="RUE583" s="621"/>
      <c r="RUI583" s="621"/>
      <c r="RUM583" s="621"/>
      <c r="RUQ583" s="621"/>
      <c r="RUU583" s="621"/>
      <c r="RUY583" s="621"/>
      <c r="RVC583" s="621"/>
      <c r="RVG583" s="621"/>
      <c r="RVK583" s="621"/>
      <c r="RVO583" s="621"/>
      <c r="RVS583" s="621"/>
      <c r="RVW583" s="621"/>
      <c r="RWA583" s="621"/>
      <c r="RWE583" s="621"/>
      <c r="RWI583" s="621"/>
      <c r="RWM583" s="621"/>
      <c r="RWQ583" s="621"/>
      <c r="RWU583" s="621"/>
      <c r="RWY583" s="621"/>
      <c r="RXC583" s="621"/>
      <c r="RXG583" s="621"/>
      <c r="RXK583" s="621"/>
      <c r="RXO583" s="621"/>
      <c r="RXS583" s="621"/>
      <c r="RXW583" s="621"/>
      <c r="RYA583" s="621"/>
      <c r="RYE583" s="621"/>
      <c r="RYI583" s="621"/>
      <c r="RYM583" s="621"/>
      <c r="RYQ583" s="621"/>
      <c r="RYU583" s="621"/>
      <c r="RYY583" s="621"/>
      <c r="RZC583" s="621"/>
      <c r="RZG583" s="621"/>
      <c r="RZK583" s="621"/>
      <c r="RZO583" s="621"/>
      <c r="RZS583" s="621"/>
      <c r="RZW583" s="621"/>
      <c r="SAA583" s="621"/>
      <c r="SAE583" s="621"/>
      <c r="SAI583" s="621"/>
      <c r="SAM583" s="621"/>
      <c r="SAQ583" s="621"/>
      <c r="SAU583" s="621"/>
      <c r="SAY583" s="621"/>
      <c r="SBC583" s="621"/>
      <c r="SBG583" s="621"/>
      <c r="SBK583" s="621"/>
      <c r="SBO583" s="621"/>
      <c r="SBS583" s="621"/>
      <c r="SBW583" s="621"/>
      <c r="SCA583" s="621"/>
      <c r="SCE583" s="621"/>
      <c r="SCI583" s="621"/>
      <c r="SCM583" s="621"/>
      <c r="SCQ583" s="621"/>
      <c r="SCU583" s="621"/>
      <c r="SCY583" s="621"/>
      <c r="SDC583" s="621"/>
      <c r="SDG583" s="621"/>
      <c r="SDK583" s="621"/>
      <c r="SDO583" s="621"/>
      <c r="SDS583" s="621"/>
      <c r="SDW583" s="621"/>
      <c r="SEA583" s="621"/>
      <c r="SEE583" s="621"/>
      <c r="SEI583" s="621"/>
      <c r="SEM583" s="621"/>
      <c r="SEQ583" s="621"/>
      <c r="SEU583" s="621"/>
      <c r="SEY583" s="621"/>
      <c r="SFC583" s="621"/>
      <c r="SFG583" s="621"/>
      <c r="SFK583" s="621"/>
      <c r="SFO583" s="621"/>
      <c r="SFS583" s="621"/>
      <c r="SFW583" s="621"/>
      <c r="SGA583" s="621"/>
      <c r="SGE583" s="621"/>
      <c r="SGI583" s="621"/>
      <c r="SGM583" s="621"/>
      <c r="SGQ583" s="621"/>
      <c r="SGU583" s="621"/>
      <c r="SGY583" s="621"/>
      <c r="SHC583" s="621"/>
      <c r="SHG583" s="621"/>
      <c r="SHK583" s="621"/>
      <c r="SHO583" s="621"/>
      <c r="SHS583" s="621"/>
      <c r="SHW583" s="621"/>
      <c r="SIA583" s="621"/>
      <c r="SIE583" s="621"/>
      <c r="SII583" s="621"/>
      <c r="SIM583" s="621"/>
      <c r="SIQ583" s="621"/>
      <c r="SIU583" s="621"/>
      <c r="SIY583" s="621"/>
      <c r="SJC583" s="621"/>
      <c r="SJG583" s="621"/>
      <c r="SJK583" s="621"/>
      <c r="SJO583" s="621"/>
      <c r="SJS583" s="621"/>
      <c r="SJW583" s="621"/>
      <c r="SKA583" s="621"/>
      <c r="SKE583" s="621"/>
      <c r="SKI583" s="621"/>
      <c r="SKM583" s="621"/>
      <c r="SKQ583" s="621"/>
      <c r="SKU583" s="621"/>
      <c r="SKY583" s="621"/>
      <c r="SLC583" s="621"/>
      <c r="SLG583" s="621"/>
      <c r="SLK583" s="621"/>
      <c r="SLO583" s="621"/>
      <c r="SLS583" s="621"/>
      <c r="SLW583" s="621"/>
      <c r="SMA583" s="621"/>
      <c r="SME583" s="621"/>
      <c r="SMI583" s="621"/>
      <c r="SMM583" s="621"/>
      <c r="SMQ583" s="621"/>
      <c r="SMU583" s="621"/>
      <c r="SMY583" s="621"/>
      <c r="SNC583" s="621"/>
      <c r="SNG583" s="621"/>
      <c r="SNK583" s="621"/>
      <c r="SNO583" s="621"/>
      <c r="SNS583" s="621"/>
      <c r="SNW583" s="621"/>
      <c r="SOA583" s="621"/>
      <c r="SOE583" s="621"/>
      <c r="SOI583" s="621"/>
      <c r="SOM583" s="621"/>
      <c r="SOQ583" s="621"/>
      <c r="SOU583" s="621"/>
      <c r="SOY583" s="621"/>
      <c r="SPC583" s="621"/>
      <c r="SPG583" s="621"/>
      <c r="SPK583" s="621"/>
      <c r="SPO583" s="621"/>
      <c r="SPS583" s="621"/>
      <c r="SPW583" s="621"/>
      <c r="SQA583" s="621"/>
      <c r="SQE583" s="621"/>
      <c r="SQI583" s="621"/>
      <c r="SQM583" s="621"/>
      <c r="SQQ583" s="621"/>
      <c r="SQU583" s="621"/>
      <c r="SQY583" s="621"/>
      <c r="SRC583" s="621"/>
      <c r="SRG583" s="621"/>
      <c r="SRK583" s="621"/>
      <c r="SRO583" s="621"/>
      <c r="SRS583" s="621"/>
      <c r="SRW583" s="621"/>
      <c r="SSA583" s="621"/>
      <c r="SSE583" s="621"/>
      <c r="SSI583" s="621"/>
      <c r="SSM583" s="621"/>
      <c r="SSQ583" s="621"/>
      <c r="SSU583" s="621"/>
      <c r="SSY583" s="621"/>
      <c r="STC583" s="621"/>
      <c r="STG583" s="621"/>
      <c r="STK583" s="621"/>
      <c r="STO583" s="621"/>
      <c r="STS583" s="621"/>
      <c r="STW583" s="621"/>
      <c r="SUA583" s="621"/>
      <c r="SUE583" s="621"/>
      <c r="SUI583" s="621"/>
      <c r="SUM583" s="621"/>
      <c r="SUQ583" s="621"/>
      <c r="SUU583" s="621"/>
      <c r="SUY583" s="621"/>
      <c r="SVC583" s="621"/>
      <c r="SVG583" s="621"/>
      <c r="SVK583" s="621"/>
      <c r="SVO583" s="621"/>
      <c r="SVS583" s="621"/>
      <c r="SVW583" s="621"/>
      <c r="SWA583" s="621"/>
      <c r="SWE583" s="621"/>
      <c r="SWI583" s="621"/>
      <c r="SWM583" s="621"/>
      <c r="SWQ583" s="621"/>
      <c r="SWU583" s="621"/>
      <c r="SWY583" s="621"/>
      <c r="SXC583" s="621"/>
      <c r="SXG583" s="621"/>
      <c r="SXK583" s="621"/>
      <c r="SXO583" s="621"/>
      <c r="SXS583" s="621"/>
      <c r="SXW583" s="621"/>
      <c r="SYA583" s="621"/>
      <c r="SYE583" s="621"/>
      <c r="SYI583" s="621"/>
      <c r="SYM583" s="621"/>
      <c r="SYQ583" s="621"/>
      <c r="SYU583" s="621"/>
      <c r="SYY583" s="621"/>
      <c r="SZC583" s="621"/>
      <c r="SZG583" s="621"/>
      <c r="SZK583" s="621"/>
      <c r="SZO583" s="621"/>
      <c r="SZS583" s="621"/>
      <c r="SZW583" s="621"/>
      <c r="TAA583" s="621"/>
      <c r="TAE583" s="621"/>
      <c r="TAI583" s="621"/>
      <c r="TAM583" s="621"/>
      <c r="TAQ583" s="621"/>
      <c r="TAU583" s="621"/>
      <c r="TAY583" s="621"/>
      <c r="TBC583" s="621"/>
      <c r="TBG583" s="621"/>
      <c r="TBK583" s="621"/>
      <c r="TBO583" s="621"/>
      <c r="TBS583" s="621"/>
      <c r="TBW583" s="621"/>
      <c r="TCA583" s="621"/>
      <c r="TCE583" s="621"/>
      <c r="TCI583" s="621"/>
      <c r="TCM583" s="621"/>
      <c r="TCQ583" s="621"/>
      <c r="TCU583" s="621"/>
      <c r="TCY583" s="621"/>
      <c r="TDC583" s="621"/>
      <c r="TDG583" s="621"/>
      <c r="TDK583" s="621"/>
      <c r="TDO583" s="621"/>
      <c r="TDS583" s="621"/>
      <c r="TDW583" s="621"/>
      <c r="TEA583" s="621"/>
      <c r="TEE583" s="621"/>
      <c r="TEI583" s="621"/>
      <c r="TEM583" s="621"/>
      <c r="TEQ583" s="621"/>
      <c r="TEU583" s="621"/>
      <c r="TEY583" s="621"/>
      <c r="TFC583" s="621"/>
      <c r="TFG583" s="621"/>
      <c r="TFK583" s="621"/>
      <c r="TFO583" s="621"/>
      <c r="TFS583" s="621"/>
      <c r="TFW583" s="621"/>
      <c r="TGA583" s="621"/>
      <c r="TGE583" s="621"/>
      <c r="TGI583" s="621"/>
      <c r="TGM583" s="621"/>
      <c r="TGQ583" s="621"/>
      <c r="TGU583" s="621"/>
      <c r="TGY583" s="621"/>
      <c r="THC583" s="621"/>
      <c r="THG583" s="621"/>
      <c r="THK583" s="621"/>
      <c r="THO583" s="621"/>
      <c r="THS583" s="621"/>
      <c r="THW583" s="621"/>
      <c r="TIA583" s="621"/>
      <c r="TIE583" s="621"/>
      <c r="TII583" s="621"/>
      <c r="TIM583" s="621"/>
      <c r="TIQ583" s="621"/>
      <c r="TIU583" s="621"/>
      <c r="TIY583" s="621"/>
      <c r="TJC583" s="621"/>
      <c r="TJG583" s="621"/>
      <c r="TJK583" s="621"/>
      <c r="TJO583" s="621"/>
      <c r="TJS583" s="621"/>
      <c r="TJW583" s="621"/>
      <c r="TKA583" s="621"/>
      <c r="TKE583" s="621"/>
      <c r="TKI583" s="621"/>
      <c r="TKM583" s="621"/>
      <c r="TKQ583" s="621"/>
      <c r="TKU583" s="621"/>
      <c r="TKY583" s="621"/>
      <c r="TLC583" s="621"/>
      <c r="TLG583" s="621"/>
      <c r="TLK583" s="621"/>
      <c r="TLO583" s="621"/>
      <c r="TLS583" s="621"/>
      <c r="TLW583" s="621"/>
      <c r="TMA583" s="621"/>
      <c r="TME583" s="621"/>
      <c r="TMI583" s="621"/>
      <c r="TMM583" s="621"/>
      <c r="TMQ583" s="621"/>
      <c r="TMU583" s="621"/>
      <c r="TMY583" s="621"/>
      <c r="TNC583" s="621"/>
      <c r="TNG583" s="621"/>
      <c r="TNK583" s="621"/>
      <c r="TNO583" s="621"/>
      <c r="TNS583" s="621"/>
      <c r="TNW583" s="621"/>
      <c r="TOA583" s="621"/>
      <c r="TOE583" s="621"/>
      <c r="TOI583" s="621"/>
      <c r="TOM583" s="621"/>
      <c r="TOQ583" s="621"/>
      <c r="TOU583" s="621"/>
      <c r="TOY583" s="621"/>
      <c r="TPC583" s="621"/>
      <c r="TPG583" s="621"/>
      <c r="TPK583" s="621"/>
      <c r="TPO583" s="621"/>
      <c r="TPS583" s="621"/>
      <c r="TPW583" s="621"/>
      <c r="TQA583" s="621"/>
      <c r="TQE583" s="621"/>
      <c r="TQI583" s="621"/>
      <c r="TQM583" s="621"/>
      <c r="TQQ583" s="621"/>
      <c r="TQU583" s="621"/>
      <c r="TQY583" s="621"/>
      <c r="TRC583" s="621"/>
      <c r="TRG583" s="621"/>
      <c r="TRK583" s="621"/>
      <c r="TRO583" s="621"/>
      <c r="TRS583" s="621"/>
      <c r="TRW583" s="621"/>
      <c r="TSA583" s="621"/>
      <c r="TSE583" s="621"/>
      <c r="TSI583" s="621"/>
      <c r="TSM583" s="621"/>
      <c r="TSQ583" s="621"/>
      <c r="TSU583" s="621"/>
      <c r="TSY583" s="621"/>
      <c r="TTC583" s="621"/>
      <c r="TTG583" s="621"/>
      <c r="TTK583" s="621"/>
      <c r="TTO583" s="621"/>
      <c r="TTS583" s="621"/>
      <c r="TTW583" s="621"/>
      <c r="TUA583" s="621"/>
      <c r="TUE583" s="621"/>
      <c r="TUI583" s="621"/>
      <c r="TUM583" s="621"/>
      <c r="TUQ583" s="621"/>
      <c r="TUU583" s="621"/>
      <c r="TUY583" s="621"/>
      <c r="TVC583" s="621"/>
      <c r="TVG583" s="621"/>
      <c r="TVK583" s="621"/>
      <c r="TVO583" s="621"/>
      <c r="TVS583" s="621"/>
      <c r="TVW583" s="621"/>
      <c r="TWA583" s="621"/>
      <c r="TWE583" s="621"/>
      <c r="TWI583" s="621"/>
      <c r="TWM583" s="621"/>
      <c r="TWQ583" s="621"/>
      <c r="TWU583" s="621"/>
      <c r="TWY583" s="621"/>
      <c r="TXC583" s="621"/>
      <c r="TXG583" s="621"/>
      <c r="TXK583" s="621"/>
      <c r="TXO583" s="621"/>
      <c r="TXS583" s="621"/>
      <c r="TXW583" s="621"/>
      <c r="TYA583" s="621"/>
      <c r="TYE583" s="621"/>
      <c r="TYI583" s="621"/>
      <c r="TYM583" s="621"/>
      <c r="TYQ583" s="621"/>
      <c r="TYU583" s="621"/>
      <c r="TYY583" s="621"/>
      <c r="TZC583" s="621"/>
      <c r="TZG583" s="621"/>
      <c r="TZK583" s="621"/>
      <c r="TZO583" s="621"/>
      <c r="TZS583" s="621"/>
      <c r="TZW583" s="621"/>
      <c r="UAA583" s="621"/>
      <c r="UAE583" s="621"/>
      <c r="UAI583" s="621"/>
      <c r="UAM583" s="621"/>
      <c r="UAQ583" s="621"/>
      <c r="UAU583" s="621"/>
      <c r="UAY583" s="621"/>
      <c r="UBC583" s="621"/>
      <c r="UBG583" s="621"/>
      <c r="UBK583" s="621"/>
      <c r="UBO583" s="621"/>
      <c r="UBS583" s="621"/>
      <c r="UBW583" s="621"/>
      <c r="UCA583" s="621"/>
      <c r="UCE583" s="621"/>
      <c r="UCI583" s="621"/>
      <c r="UCM583" s="621"/>
      <c r="UCQ583" s="621"/>
      <c r="UCU583" s="621"/>
      <c r="UCY583" s="621"/>
      <c r="UDC583" s="621"/>
      <c r="UDG583" s="621"/>
      <c r="UDK583" s="621"/>
      <c r="UDO583" s="621"/>
      <c r="UDS583" s="621"/>
      <c r="UDW583" s="621"/>
      <c r="UEA583" s="621"/>
      <c r="UEE583" s="621"/>
      <c r="UEI583" s="621"/>
      <c r="UEM583" s="621"/>
      <c r="UEQ583" s="621"/>
      <c r="UEU583" s="621"/>
      <c r="UEY583" s="621"/>
      <c r="UFC583" s="621"/>
      <c r="UFG583" s="621"/>
      <c r="UFK583" s="621"/>
      <c r="UFO583" s="621"/>
      <c r="UFS583" s="621"/>
      <c r="UFW583" s="621"/>
      <c r="UGA583" s="621"/>
      <c r="UGE583" s="621"/>
      <c r="UGI583" s="621"/>
      <c r="UGM583" s="621"/>
      <c r="UGQ583" s="621"/>
      <c r="UGU583" s="621"/>
      <c r="UGY583" s="621"/>
      <c r="UHC583" s="621"/>
      <c r="UHG583" s="621"/>
      <c r="UHK583" s="621"/>
      <c r="UHO583" s="621"/>
      <c r="UHS583" s="621"/>
      <c r="UHW583" s="621"/>
      <c r="UIA583" s="621"/>
      <c r="UIE583" s="621"/>
      <c r="UII583" s="621"/>
      <c r="UIM583" s="621"/>
      <c r="UIQ583" s="621"/>
      <c r="UIU583" s="621"/>
      <c r="UIY583" s="621"/>
      <c r="UJC583" s="621"/>
      <c r="UJG583" s="621"/>
      <c r="UJK583" s="621"/>
      <c r="UJO583" s="621"/>
      <c r="UJS583" s="621"/>
      <c r="UJW583" s="621"/>
      <c r="UKA583" s="621"/>
      <c r="UKE583" s="621"/>
      <c r="UKI583" s="621"/>
      <c r="UKM583" s="621"/>
      <c r="UKQ583" s="621"/>
      <c r="UKU583" s="621"/>
      <c r="UKY583" s="621"/>
      <c r="ULC583" s="621"/>
      <c r="ULG583" s="621"/>
      <c r="ULK583" s="621"/>
      <c r="ULO583" s="621"/>
      <c r="ULS583" s="621"/>
      <c r="ULW583" s="621"/>
      <c r="UMA583" s="621"/>
      <c r="UME583" s="621"/>
      <c r="UMI583" s="621"/>
      <c r="UMM583" s="621"/>
      <c r="UMQ583" s="621"/>
      <c r="UMU583" s="621"/>
      <c r="UMY583" s="621"/>
      <c r="UNC583" s="621"/>
      <c r="UNG583" s="621"/>
      <c r="UNK583" s="621"/>
      <c r="UNO583" s="621"/>
      <c r="UNS583" s="621"/>
      <c r="UNW583" s="621"/>
      <c r="UOA583" s="621"/>
      <c r="UOE583" s="621"/>
      <c r="UOI583" s="621"/>
      <c r="UOM583" s="621"/>
      <c r="UOQ583" s="621"/>
      <c r="UOU583" s="621"/>
      <c r="UOY583" s="621"/>
      <c r="UPC583" s="621"/>
      <c r="UPG583" s="621"/>
      <c r="UPK583" s="621"/>
      <c r="UPO583" s="621"/>
      <c r="UPS583" s="621"/>
      <c r="UPW583" s="621"/>
      <c r="UQA583" s="621"/>
      <c r="UQE583" s="621"/>
      <c r="UQI583" s="621"/>
      <c r="UQM583" s="621"/>
      <c r="UQQ583" s="621"/>
      <c r="UQU583" s="621"/>
      <c r="UQY583" s="621"/>
      <c r="URC583" s="621"/>
      <c r="URG583" s="621"/>
      <c r="URK583" s="621"/>
      <c r="URO583" s="621"/>
      <c r="URS583" s="621"/>
      <c r="URW583" s="621"/>
      <c r="USA583" s="621"/>
      <c r="USE583" s="621"/>
      <c r="USI583" s="621"/>
      <c r="USM583" s="621"/>
      <c r="USQ583" s="621"/>
      <c r="USU583" s="621"/>
      <c r="USY583" s="621"/>
      <c r="UTC583" s="621"/>
      <c r="UTG583" s="621"/>
      <c r="UTK583" s="621"/>
      <c r="UTO583" s="621"/>
      <c r="UTS583" s="621"/>
      <c r="UTW583" s="621"/>
      <c r="UUA583" s="621"/>
      <c r="UUE583" s="621"/>
      <c r="UUI583" s="621"/>
      <c r="UUM583" s="621"/>
      <c r="UUQ583" s="621"/>
      <c r="UUU583" s="621"/>
      <c r="UUY583" s="621"/>
      <c r="UVC583" s="621"/>
      <c r="UVG583" s="621"/>
      <c r="UVK583" s="621"/>
      <c r="UVO583" s="621"/>
      <c r="UVS583" s="621"/>
      <c r="UVW583" s="621"/>
      <c r="UWA583" s="621"/>
      <c r="UWE583" s="621"/>
      <c r="UWI583" s="621"/>
      <c r="UWM583" s="621"/>
      <c r="UWQ583" s="621"/>
      <c r="UWU583" s="621"/>
      <c r="UWY583" s="621"/>
      <c r="UXC583" s="621"/>
      <c r="UXG583" s="621"/>
      <c r="UXK583" s="621"/>
      <c r="UXO583" s="621"/>
      <c r="UXS583" s="621"/>
      <c r="UXW583" s="621"/>
      <c r="UYA583" s="621"/>
      <c r="UYE583" s="621"/>
      <c r="UYI583" s="621"/>
      <c r="UYM583" s="621"/>
      <c r="UYQ583" s="621"/>
      <c r="UYU583" s="621"/>
      <c r="UYY583" s="621"/>
      <c r="UZC583" s="621"/>
      <c r="UZG583" s="621"/>
      <c r="UZK583" s="621"/>
      <c r="UZO583" s="621"/>
      <c r="UZS583" s="621"/>
      <c r="UZW583" s="621"/>
      <c r="VAA583" s="621"/>
      <c r="VAE583" s="621"/>
      <c r="VAI583" s="621"/>
      <c r="VAM583" s="621"/>
      <c r="VAQ583" s="621"/>
      <c r="VAU583" s="621"/>
      <c r="VAY583" s="621"/>
      <c r="VBC583" s="621"/>
      <c r="VBG583" s="621"/>
      <c r="VBK583" s="621"/>
      <c r="VBO583" s="621"/>
      <c r="VBS583" s="621"/>
      <c r="VBW583" s="621"/>
      <c r="VCA583" s="621"/>
      <c r="VCE583" s="621"/>
      <c r="VCI583" s="621"/>
      <c r="VCM583" s="621"/>
      <c r="VCQ583" s="621"/>
      <c r="VCU583" s="621"/>
      <c r="VCY583" s="621"/>
      <c r="VDC583" s="621"/>
      <c r="VDG583" s="621"/>
      <c r="VDK583" s="621"/>
      <c r="VDO583" s="621"/>
      <c r="VDS583" s="621"/>
      <c r="VDW583" s="621"/>
      <c r="VEA583" s="621"/>
      <c r="VEE583" s="621"/>
      <c r="VEI583" s="621"/>
      <c r="VEM583" s="621"/>
      <c r="VEQ583" s="621"/>
      <c r="VEU583" s="621"/>
      <c r="VEY583" s="621"/>
      <c r="VFC583" s="621"/>
      <c r="VFG583" s="621"/>
      <c r="VFK583" s="621"/>
      <c r="VFO583" s="621"/>
      <c r="VFS583" s="621"/>
      <c r="VFW583" s="621"/>
      <c r="VGA583" s="621"/>
      <c r="VGE583" s="621"/>
      <c r="VGI583" s="621"/>
      <c r="VGM583" s="621"/>
      <c r="VGQ583" s="621"/>
      <c r="VGU583" s="621"/>
      <c r="VGY583" s="621"/>
      <c r="VHC583" s="621"/>
      <c r="VHG583" s="621"/>
      <c r="VHK583" s="621"/>
      <c r="VHO583" s="621"/>
      <c r="VHS583" s="621"/>
      <c r="VHW583" s="621"/>
      <c r="VIA583" s="621"/>
      <c r="VIE583" s="621"/>
      <c r="VII583" s="621"/>
      <c r="VIM583" s="621"/>
      <c r="VIQ583" s="621"/>
      <c r="VIU583" s="621"/>
      <c r="VIY583" s="621"/>
      <c r="VJC583" s="621"/>
      <c r="VJG583" s="621"/>
      <c r="VJK583" s="621"/>
      <c r="VJO583" s="621"/>
      <c r="VJS583" s="621"/>
      <c r="VJW583" s="621"/>
      <c r="VKA583" s="621"/>
      <c r="VKE583" s="621"/>
      <c r="VKI583" s="621"/>
      <c r="VKM583" s="621"/>
      <c r="VKQ583" s="621"/>
      <c r="VKU583" s="621"/>
      <c r="VKY583" s="621"/>
      <c r="VLC583" s="621"/>
      <c r="VLG583" s="621"/>
      <c r="VLK583" s="621"/>
      <c r="VLO583" s="621"/>
      <c r="VLS583" s="621"/>
      <c r="VLW583" s="621"/>
      <c r="VMA583" s="621"/>
      <c r="VME583" s="621"/>
      <c r="VMI583" s="621"/>
      <c r="VMM583" s="621"/>
      <c r="VMQ583" s="621"/>
      <c r="VMU583" s="621"/>
      <c r="VMY583" s="621"/>
      <c r="VNC583" s="621"/>
      <c r="VNG583" s="621"/>
      <c r="VNK583" s="621"/>
      <c r="VNO583" s="621"/>
      <c r="VNS583" s="621"/>
      <c r="VNW583" s="621"/>
      <c r="VOA583" s="621"/>
      <c r="VOE583" s="621"/>
      <c r="VOI583" s="621"/>
      <c r="VOM583" s="621"/>
      <c r="VOQ583" s="621"/>
      <c r="VOU583" s="621"/>
      <c r="VOY583" s="621"/>
      <c r="VPC583" s="621"/>
      <c r="VPG583" s="621"/>
      <c r="VPK583" s="621"/>
      <c r="VPO583" s="621"/>
      <c r="VPS583" s="621"/>
      <c r="VPW583" s="621"/>
      <c r="VQA583" s="621"/>
      <c r="VQE583" s="621"/>
      <c r="VQI583" s="621"/>
      <c r="VQM583" s="621"/>
      <c r="VQQ583" s="621"/>
      <c r="VQU583" s="621"/>
      <c r="VQY583" s="621"/>
      <c r="VRC583" s="621"/>
      <c r="VRG583" s="621"/>
      <c r="VRK583" s="621"/>
      <c r="VRO583" s="621"/>
      <c r="VRS583" s="621"/>
      <c r="VRW583" s="621"/>
      <c r="VSA583" s="621"/>
      <c r="VSE583" s="621"/>
      <c r="VSI583" s="621"/>
      <c r="VSM583" s="621"/>
      <c r="VSQ583" s="621"/>
      <c r="VSU583" s="621"/>
      <c r="VSY583" s="621"/>
      <c r="VTC583" s="621"/>
      <c r="VTG583" s="621"/>
      <c r="VTK583" s="621"/>
      <c r="VTO583" s="621"/>
      <c r="VTS583" s="621"/>
      <c r="VTW583" s="621"/>
      <c r="VUA583" s="621"/>
      <c r="VUE583" s="621"/>
      <c r="VUI583" s="621"/>
      <c r="VUM583" s="621"/>
      <c r="VUQ583" s="621"/>
      <c r="VUU583" s="621"/>
      <c r="VUY583" s="621"/>
      <c r="VVC583" s="621"/>
      <c r="VVG583" s="621"/>
      <c r="VVK583" s="621"/>
      <c r="VVO583" s="621"/>
      <c r="VVS583" s="621"/>
      <c r="VVW583" s="621"/>
      <c r="VWA583" s="621"/>
      <c r="VWE583" s="621"/>
      <c r="VWI583" s="621"/>
      <c r="VWM583" s="621"/>
      <c r="VWQ583" s="621"/>
      <c r="VWU583" s="621"/>
      <c r="VWY583" s="621"/>
      <c r="VXC583" s="621"/>
      <c r="VXG583" s="621"/>
      <c r="VXK583" s="621"/>
      <c r="VXO583" s="621"/>
      <c r="VXS583" s="621"/>
      <c r="VXW583" s="621"/>
      <c r="VYA583" s="621"/>
      <c r="VYE583" s="621"/>
      <c r="VYI583" s="621"/>
      <c r="VYM583" s="621"/>
      <c r="VYQ583" s="621"/>
      <c r="VYU583" s="621"/>
      <c r="VYY583" s="621"/>
      <c r="VZC583" s="621"/>
      <c r="VZG583" s="621"/>
      <c r="VZK583" s="621"/>
      <c r="VZO583" s="621"/>
      <c r="VZS583" s="621"/>
      <c r="VZW583" s="621"/>
      <c r="WAA583" s="621"/>
      <c r="WAE583" s="621"/>
      <c r="WAI583" s="621"/>
      <c r="WAM583" s="621"/>
      <c r="WAQ583" s="621"/>
      <c r="WAU583" s="621"/>
      <c r="WAY583" s="621"/>
      <c r="WBC583" s="621"/>
      <c r="WBG583" s="621"/>
      <c r="WBK583" s="621"/>
      <c r="WBO583" s="621"/>
      <c r="WBS583" s="621"/>
      <c r="WBW583" s="621"/>
      <c r="WCA583" s="621"/>
      <c r="WCE583" s="621"/>
      <c r="WCI583" s="621"/>
      <c r="WCM583" s="621"/>
      <c r="WCQ583" s="621"/>
      <c r="WCU583" s="621"/>
      <c r="WCY583" s="621"/>
      <c r="WDC583" s="621"/>
      <c r="WDG583" s="621"/>
      <c r="WDK583" s="621"/>
      <c r="WDO583" s="621"/>
      <c r="WDS583" s="621"/>
      <c r="WDW583" s="621"/>
      <c r="WEA583" s="621"/>
      <c r="WEE583" s="621"/>
      <c r="WEI583" s="621"/>
      <c r="WEM583" s="621"/>
      <c r="WEQ583" s="621"/>
      <c r="WEU583" s="621"/>
      <c r="WEY583" s="621"/>
      <c r="WFC583" s="621"/>
      <c r="WFG583" s="621"/>
      <c r="WFK583" s="621"/>
      <c r="WFO583" s="621"/>
      <c r="WFS583" s="621"/>
      <c r="WFW583" s="621"/>
      <c r="WGA583" s="621"/>
      <c r="WGE583" s="621"/>
      <c r="WGI583" s="621"/>
      <c r="WGM583" s="621"/>
      <c r="WGQ583" s="621"/>
      <c r="WGU583" s="621"/>
      <c r="WGY583" s="621"/>
      <c r="WHC583" s="621"/>
      <c r="WHG583" s="621"/>
      <c r="WHK583" s="621"/>
      <c r="WHO583" s="621"/>
      <c r="WHS583" s="621"/>
      <c r="WHW583" s="621"/>
      <c r="WIA583" s="621"/>
      <c r="WIE583" s="621"/>
      <c r="WII583" s="621"/>
      <c r="WIM583" s="621"/>
      <c r="WIQ583" s="621"/>
      <c r="WIU583" s="621"/>
      <c r="WIY583" s="621"/>
      <c r="WJC583" s="621"/>
      <c r="WJG583" s="621"/>
      <c r="WJK583" s="621"/>
      <c r="WJO583" s="621"/>
      <c r="WJS583" s="621"/>
      <c r="WJW583" s="621"/>
      <c r="WKA583" s="621"/>
      <c r="WKE583" s="621"/>
      <c r="WKI583" s="621"/>
      <c r="WKM583" s="621"/>
      <c r="WKQ583" s="621"/>
      <c r="WKU583" s="621"/>
      <c r="WKY583" s="621"/>
      <c r="WLC583" s="621"/>
      <c r="WLG583" s="621"/>
      <c r="WLK583" s="621"/>
      <c r="WLO583" s="621"/>
      <c r="WLS583" s="621"/>
      <c r="WLW583" s="621"/>
      <c r="WMA583" s="621"/>
      <c r="WME583" s="621"/>
      <c r="WMI583" s="621"/>
      <c r="WMM583" s="621"/>
      <c r="WMQ583" s="621"/>
      <c r="WMU583" s="621"/>
      <c r="WMY583" s="621"/>
      <c r="WNC583" s="621"/>
      <c r="WNG583" s="621"/>
      <c r="WNK583" s="621"/>
      <c r="WNO583" s="621"/>
      <c r="WNS583" s="621"/>
      <c r="WNW583" s="621"/>
      <c r="WOA583" s="621"/>
      <c r="WOE583" s="621"/>
      <c r="WOI583" s="621"/>
      <c r="WOM583" s="621"/>
      <c r="WOQ583" s="621"/>
      <c r="WOU583" s="621"/>
      <c r="WOY583" s="621"/>
      <c r="WPC583" s="621"/>
      <c r="WPG583" s="621"/>
      <c r="WPK583" s="621"/>
      <c r="WPO583" s="621"/>
      <c r="WPS583" s="621"/>
      <c r="WPW583" s="621"/>
      <c r="WQA583" s="621"/>
      <c r="WQE583" s="621"/>
      <c r="WQI583" s="621"/>
      <c r="WQM583" s="621"/>
      <c r="WQQ583" s="621"/>
      <c r="WQU583" s="621"/>
      <c r="WQY583" s="621"/>
      <c r="WRC583" s="621"/>
      <c r="WRG583" s="621"/>
      <c r="WRK583" s="621"/>
      <c r="WRO583" s="621"/>
      <c r="WRS583" s="621"/>
      <c r="WRW583" s="621"/>
      <c r="WSA583" s="621"/>
      <c r="WSE583" s="621"/>
      <c r="WSI583" s="621"/>
      <c r="WSM583" s="621"/>
      <c r="WSQ583" s="621"/>
      <c r="WSU583" s="621"/>
      <c r="WSY583" s="621"/>
      <c r="WTC583" s="621"/>
      <c r="WTG583" s="621"/>
      <c r="WTK583" s="621"/>
      <c r="WTO583" s="621"/>
      <c r="WTS583" s="621"/>
      <c r="WTW583" s="621"/>
      <c r="WUA583" s="621"/>
      <c r="WUE583" s="621"/>
      <c r="WUI583" s="621"/>
      <c r="WUM583" s="621"/>
      <c r="WUQ583" s="621"/>
      <c r="WUU583" s="621"/>
      <c r="WUY583" s="621"/>
      <c r="WVC583" s="621"/>
      <c r="WVG583" s="621"/>
      <c r="WVK583" s="621"/>
      <c r="WVO583" s="621"/>
      <c r="WVS583" s="621"/>
      <c r="WVW583" s="621"/>
      <c r="WWA583" s="621"/>
      <c r="WWE583" s="621"/>
      <c r="WWI583" s="621"/>
      <c r="WWM583" s="621"/>
      <c r="WWQ583" s="621"/>
      <c r="WWU583" s="621"/>
      <c r="WWY583" s="621"/>
      <c r="WXC583" s="621"/>
      <c r="WXG583" s="621"/>
      <c r="WXK583" s="621"/>
      <c r="WXO583" s="621"/>
      <c r="WXS583" s="621"/>
      <c r="WXW583" s="621"/>
      <c r="WYA583" s="621"/>
      <c r="WYE583" s="621"/>
      <c r="WYI583" s="621"/>
      <c r="WYM583" s="621"/>
      <c r="WYQ583" s="621"/>
      <c r="WYU583" s="621"/>
      <c r="WYY583" s="621"/>
      <c r="WZC583" s="621"/>
      <c r="WZG583" s="621"/>
      <c r="WZK583" s="621"/>
      <c r="WZO583" s="621"/>
      <c r="WZS583" s="621"/>
      <c r="WZW583" s="621"/>
      <c r="XAA583" s="621"/>
      <c r="XAE583" s="621"/>
      <c r="XAI583" s="621"/>
      <c r="XAM583" s="621"/>
      <c r="XAQ583" s="621"/>
      <c r="XAU583" s="621"/>
      <c r="XAY583" s="621"/>
      <c r="XBC583" s="621"/>
      <c r="XBG583" s="621"/>
      <c r="XBK583" s="621"/>
      <c r="XBO583" s="621"/>
      <c r="XBS583" s="621"/>
      <c r="XBW583" s="621"/>
      <c r="XCA583" s="621"/>
      <c r="XCE583" s="621"/>
      <c r="XCI583" s="621"/>
      <c r="XCM583" s="621"/>
      <c r="XCQ583" s="621"/>
      <c r="XCU583" s="621"/>
      <c r="XCY583" s="621"/>
      <c r="XDC583" s="621"/>
      <c r="XDG583" s="621"/>
      <c r="XDK583" s="621"/>
      <c r="XDO583" s="621"/>
      <c r="XDS583" s="621"/>
      <c r="XDW583" s="621"/>
      <c r="XEA583" s="621"/>
      <c r="XEE583" s="621"/>
      <c r="XEI583" s="621"/>
      <c r="XEM583" s="621"/>
      <c r="XEQ583" s="621"/>
      <c r="XEU583" s="621"/>
      <c r="XEY583" s="621"/>
    </row>
    <row r="584" spans="1:1023 1027:2047 2051:3071 3075:4095 4099:5119 5123:6143 6147:7167 7171:8191 8195:9215 9219:10239 10243:11263 11267:12287 12291:13311 13315:14335 14339:15359 15363:16379" customFormat="1" ht="15" customHeight="1">
      <c r="A584" s="663"/>
      <c r="B584" s="667"/>
      <c r="C584" s="612"/>
      <c r="D584" s="618"/>
      <c r="E584" s="626" t="s">
        <v>2376</v>
      </c>
      <c r="F584" s="626">
        <v>2018</v>
      </c>
      <c r="G584" s="626">
        <v>2020</v>
      </c>
      <c r="H584" s="626">
        <v>2025</v>
      </c>
      <c r="I584" s="626">
        <v>2030</v>
      </c>
      <c r="J584" s="626">
        <v>2035</v>
      </c>
      <c r="K584" s="626">
        <v>2040</v>
      </c>
      <c r="L584" s="626">
        <v>2045</v>
      </c>
      <c r="M584" s="626">
        <v>2050</v>
      </c>
      <c r="R584" s="614"/>
    </row>
    <row r="585" spans="1:1023 1027:2047 2051:3071 3075:4095 4099:5119 5123:6143 6147:7167 7171:8191 8195:9215 9219:10239 10243:11263 11267:12287 12291:13311 13315:14335 14339:15359 15363:16379" customFormat="1" ht="15" customHeight="1">
      <c r="A585" s="663"/>
      <c r="B585" s="667"/>
      <c r="C585" s="612"/>
      <c r="D585" s="618"/>
      <c r="E585" s="627" t="s">
        <v>889</v>
      </c>
      <c r="F585" s="1050" cm="1">
        <f t="array" ref="F585:M585">INDEX(ST_TRANSPORTE_INTERURBANO_DISTANCIA_TRANSPORTE_CARRETERO,1,0)*INDEX(ST_TRANSPORTE_INTERURBANO_DISTRIBUCION_TECNOLOGIA_CARRETERO,VEHICULO_COMBUSTION_CONVENCIONAL_GASOLINA,0)</f>
        <v>138001085.12406567</v>
      </c>
      <c r="G585" s="1051">
        <v>113190916.56393106</v>
      </c>
      <c r="H585" s="1050">
        <v>151533885.67020467</v>
      </c>
      <c r="I585" s="1050">
        <v>193146287.04249391</v>
      </c>
      <c r="J585" s="1050">
        <v>240476195.28941137</v>
      </c>
      <c r="K585" s="1050">
        <v>296319367.76747996</v>
      </c>
      <c r="L585" s="1050">
        <v>364540476.49065602</v>
      </c>
      <c r="M585" s="1050">
        <v>448113246.64760101</v>
      </c>
      <c r="R585" s="614"/>
    </row>
    <row r="586" spans="1:1023 1027:2047 2051:3071 3075:4095 4099:5119 5123:6143 6147:7167 7171:8191 8195:9215 9219:10239 10243:11263 11267:12287 12291:13311 13315:14335 14339:15359 15363:16379" customFormat="1" ht="15" customHeight="1">
      <c r="A586" s="663"/>
      <c r="B586" s="667"/>
      <c r="C586" s="612"/>
      <c r="D586" s="618"/>
      <c r="E586" s="625" t="s">
        <v>890</v>
      </c>
      <c r="F586" s="1048" cm="1">
        <f t="array" ref="F586:M586">INDEX(ST_TRANSPORTE_INTERURBANO_DISTANCIA_TRANSPORTE_CARRETERO,1,0)*INDEX(ST_TRANSPORTE_INTERURBANO_DISTRIBUCION_TECNOLOGIA_CARRETERO,VEHICULO_COMBUSTION_CONVENCIONAL_DIESEL,0)</f>
        <v>414868290.98818046</v>
      </c>
      <c r="G586" s="1052">
        <v>600895493.04703426</v>
      </c>
      <c r="H586" s="1053">
        <v>792448576.68427837</v>
      </c>
      <c r="I586" s="1053">
        <v>963269705.90224016</v>
      </c>
      <c r="J586" s="1053">
        <v>1082313154.833776</v>
      </c>
      <c r="K586" s="1053">
        <v>1153204022.9269514</v>
      </c>
      <c r="L586" s="1053">
        <v>1286873640.2308223</v>
      </c>
      <c r="M586" s="1053">
        <v>1520628385.381285</v>
      </c>
      <c r="R586" s="614"/>
    </row>
    <row r="587" spans="1:1023 1027:2047 2051:3071 3075:4095 4099:5119 5123:6143 6147:7167 7171:8191 8195:9215 9219:10239 10243:11263 11267:12287 12291:13311 13315:14335 14339:15359 15363:16379" customFormat="1" ht="15" customHeight="1">
      <c r="A587" s="663"/>
      <c r="B587" s="667"/>
      <c r="D587" s="618"/>
      <c r="E587" s="625" t="s">
        <v>2379</v>
      </c>
      <c r="F587" s="1048" cm="1">
        <f t="array" ref="F587:M587">INDEX(ST_TRANSPORTE_INTERURBANO_DISTANCIA_TRANSPORTE_CARRETERO,1,0)*INDEX(ST_TRANSPORTE_INTERURBANO_DISTRIBUCION_TECNOLOGIA_CARRETERO,GN_COMPRIMIDO,0)</f>
        <v>4640497.5141304461</v>
      </c>
      <c r="G587" s="1052">
        <v>7275257.8171281097</v>
      </c>
      <c r="H587" s="1053">
        <v>9739722.2299130596</v>
      </c>
      <c r="I587" s="1053">
        <v>12414326.849818487</v>
      </c>
      <c r="J587" s="1053">
        <v>15456419.76160137</v>
      </c>
      <c r="K587" s="1053">
        <v>19045696.087275751</v>
      </c>
      <c r="L587" s="1053">
        <v>23430554.604178954</v>
      </c>
      <c r="M587" s="1053">
        <v>28802129.177832615</v>
      </c>
      <c r="O587" s="620"/>
      <c r="R587" s="614"/>
    </row>
    <row r="588" spans="1:1023 1027:2047 2051:3071 3075:4095 4099:5119 5123:6143 6147:7167 7171:8191 8195:9215 9219:10239 10243:11263 11267:12287 12291:13311 13315:14335 14339:15359 15363:16379" customFormat="1" ht="15" customHeight="1">
      <c r="A588" s="663"/>
      <c r="B588" s="667"/>
      <c r="D588" s="618"/>
      <c r="E588" s="625" t="s">
        <v>2270</v>
      </c>
      <c r="F588" s="1048" cm="1">
        <f t="array" ref="F588:M588">INDEX(ST_TRANSPORTE_INTERURBANO_DISTANCIA_TRANSPORTE_CARRETERO,1,0)*INDEX(ST_TRANSPORTE_INTERURBANO_DISTRIBUCION_TECNOLOGIA_CARRETERO,GN_LICUADO,0)</f>
        <v>0</v>
      </c>
      <c r="G588" s="1052">
        <v>0</v>
      </c>
      <c r="H588" s="1053">
        <v>12061258.424924884</v>
      </c>
      <c r="I588" s="1053">
        <v>49943265.854502603</v>
      </c>
      <c r="J588" s="1053">
        <v>160957288.61405212</v>
      </c>
      <c r="K588" s="1053">
        <v>350108915.05452818</v>
      </c>
      <c r="L588" s="1053">
        <v>544393742.152879</v>
      </c>
      <c r="M588" s="1053">
        <v>721134931.84358072</v>
      </c>
      <c r="O588" s="620"/>
      <c r="R588" s="614"/>
    </row>
    <row r="589" spans="1:1023 1027:2047 2051:3071 3075:4095 4099:5119 5123:6143 6147:7167 7171:8191 8195:9215 9219:10239 10243:11263 11267:12287 12291:13311 13315:14335 14339:15359 15363:16379" customFormat="1" ht="15" customHeight="1">
      <c r="A589" s="663"/>
      <c r="B589" s="667"/>
      <c r="D589" s="618"/>
      <c r="E589" s="625" t="s">
        <v>498</v>
      </c>
      <c r="F589" s="1048" cm="1">
        <f t="array" ref="F589:M589">INDEX(ST_TRANSPORTE_INTERURBANO_DISTANCIA_TRANSPORTE_CARRETERO,1,0)*INDEX(ST_TRANSPORTE_INTERURBANO_DISTRIBUCION_TECNOLOGIA_CARRETERO,VEHICULO_GLP,0)</f>
        <v>0</v>
      </c>
      <c r="G589" s="1052">
        <v>0</v>
      </c>
      <c r="H589" s="1053">
        <v>82912.006964708082</v>
      </c>
      <c r="I589" s="1053">
        <v>994638.10514319362</v>
      </c>
      <c r="J589" s="1053">
        <v>6493708.6529712314</v>
      </c>
      <c r="K589" s="1053">
        <v>13323403.822696155</v>
      </c>
      <c r="L589" s="1053">
        <v>17481986.159352351</v>
      </c>
      <c r="M589" s="1053">
        <v>21634047.95530742</v>
      </c>
      <c r="O589" s="620"/>
      <c r="R589" s="614"/>
    </row>
    <row r="590" spans="1:1023 1027:2047 2051:3071 3075:4095 4099:5119 5123:6143 6147:7167 7171:8191 8195:9215 9219:10239 10243:11263 11267:12287 12291:13311 13315:14335 14339:15359 15363:16379" customFormat="1" ht="15" customHeight="1">
      <c r="A590" s="663"/>
      <c r="B590" s="667"/>
      <c r="E590" s="625" t="s">
        <v>908</v>
      </c>
      <c r="F590" s="1048" cm="1">
        <f t="array" ref="F590:M590">INDEX(ST_TRANSPORTE_INTERURBANO_DISTANCIA_TRANSPORTE_CARRETERO,1,0)*INDEX(ST_TRANSPORTE_INTERURBANO_DISTRIBUCION_TECNOLOGIA_CARRETERO,VEHICULO_HIBRIDO_GASOLINA,0)</f>
        <v>0</v>
      </c>
      <c r="G590" s="1052">
        <v>0</v>
      </c>
      <c r="H590" s="1053">
        <v>0</v>
      </c>
      <c r="I590" s="1053">
        <v>0</v>
      </c>
      <c r="J590" s="1053">
        <v>0</v>
      </c>
      <c r="K590" s="1053">
        <v>0</v>
      </c>
      <c r="L590" s="1053">
        <v>0</v>
      </c>
      <c r="M590" s="1053">
        <v>0</v>
      </c>
      <c r="O590" s="620"/>
      <c r="R590" s="614"/>
    </row>
    <row r="591" spans="1:1023 1027:2047 2051:3071 3075:4095 4099:5119 5123:6143 6147:7167 7171:8191 8195:9215 9219:10239 10243:11263 11267:12287 12291:13311 13315:14335 14339:15359 15363:16379" customFormat="1" ht="15" customHeight="1">
      <c r="A591" s="663"/>
      <c r="B591" s="667"/>
      <c r="C591" s="612"/>
      <c r="D591" s="613"/>
      <c r="E591" s="625" t="s">
        <v>909</v>
      </c>
      <c r="F591" s="1048" cm="1">
        <f t="array" ref="F591:M591">INDEX(ST_TRANSPORTE_INTERURBANO_DISTANCIA_TRANSPORTE_CARRETERO,1,0)*INDEX(ST_TRANSPORTE_INTERURBANO_DISTRIBUCION_TECNOLOGIA_CARRETERO,VEHICULO_HIBRIDO_DIESEL,0)</f>
        <v>0</v>
      </c>
      <c r="G591" s="1052">
        <v>0</v>
      </c>
      <c r="H591" s="1053">
        <v>0</v>
      </c>
      <c r="I591" s="1053">
        <v>0</v>
      </c>
      <c r="J591" s="1053">
        <v>0</v>
      </c>
      <c r="K591" s="1053">
        <v>0</v>
      </c>
      <c r="L591" s="1053">
        <v>0</v>
      </c>
      <c r="M591" s="1053">
        <v>0</v>
      </c>
      <c r="R591" s="614"/>
    </row>
    <row r="592" spans="1:1023 1027:2047 2051:3071 3075:4095 4099:5119 5123:6143 6147:7167 7171:8191 8195:9215 9219:10239 10243:11263 11267:12287 12291:13311 13315:14335 14339:15359 15363:16379" customFormat="1" ht="15" customHeight="1">
      <c r="A592" s="663"/>
      <c r="B592" s="667"/>
      <c r="C592" s="612"/>
      <c r="D592" s="613"/>
      <c r="E592" s="625" t="s">
        <v>894</v>
      </c>
      <c r="F592" s="1048" cm="1">
        <f t="array" ref="F592:M592">INDEX(ST_TRANSPORTE_INTERURBANO_DISTANCIA_TRANSPORTE_CARRETERO,1,0)*INDEX(ST_TRANSPORTE_INTERURBANO_DISTRIBUCION_TECNOLOGIA_CARRETERO,VEHICULO_ELECTRICO,0)</f>
        <v>577620.55647925579</v>
      </c>
      <c r="G592" s="1052">
        <v>2215000.8777235309</v>
      </c>
      <c r="H592" s="1053">
        <v>9573898.2159836441</v>
      </c>
      <c r="I592" s="1053">
        <v>23529407.674793676</v>
      </c>
      <c r="J592" s="1053">
        <v>42274894.710999839</v>
      </c>
      <c r="K592" s="1053">
        <v>75438886.354707658</v>
      </c>
      <c r="L592" s="1053">
        <v>109854923.76511145</v>
      </c>
      <c r="M592" s="1053">
        <v>144226986.36871615</v>
      </c>
      <c r="R592" s="614"/>
    </row>
    <row r="593" spans="1:18" customFormat="1" ht="15" customHeight="1">
      <c r="A593" s="663"/>
      <c r="B593" s="667"/>
      <c r="C593" s="612"/>
      <c r="D593" s="613"/>
      <c r="E593" s="625" t="s">
        <v>603</v>
      </c>
      <c r="F593" s="1048" cm="1">
        <f t="array" ref="F593:M593">INDEX(ST_TRANSPORTE_INTERURBANO_DISTANCIA_TRANSPORTE_CARRETERO,1,0)*INDEX(ST_TRANSPORTE_INTERURBANO_DISTRIBUCION_TECNOLOGIA_CARRETERO,VEHICULO_HIDROGENO,0)</f>
        <v>0</v>
      </c>
      <c r="G593" s="1052">
        <v>0</v>
      </c>
      <c r="H593" s="1053">
        <v>0</v>
      </c>
      <c r="I593" s="1053">
        <v>0</v>
      </c>
      <c r="J593" s="1053">
        <v>0</v>
      </c>
      <c r="K593" s="1053">
        <v>0</v>
      </c>
      <c r="L593" s="1053">
        <v>0</v>
      </c>
      <c r="M593" s="1053">
        <v>0</v>
      </c>
      <c r="R593" s="614"/>
    </row>
    <row r="594" spans="1:18" customFormat="1" ht="15" customHeight="1">
      <c r="A594" s="663"/>
      <c r="B594" s="667"/>
      <c r="D594" s="613"/>
      <c r="E594" s="625"/>
      <c r="F594" s="1048"/>
      <c r="G594" s="1052"/>
      <c r="H594" s="1053"/>
      <c r="I594" s="1053"/>
      <c r="J594" s="1053"/>
      <c r="K594" s="1053"/>
      <c r="L594" s="1053"/>
      <c r="M594" s="1053"/>
      <c r="O594" s="620"/>
      <c r="R594" s="614"/>
    </row>
    <row r="595" spans="1:18" customFormat="1" ht="15" customHeight="1">
      <c r="A595" s="663"/>
      <c r="B595" s="667"/>
      <c r="D595" s="613"/>
      <c r="E595" s="625"/>
      <c r="G595" s="186"/>
      <c r="M595" s="617" t="s">
        <v>2264</v>
      </c>
      <c r="O595" s="620"/>
      <c r="R595" s="614"/>
    </row>
    <row r="596" spans="1:18" customFormat="1" ht="15" customHeight="1">
      <c r="A596" s="663"/>
      <c r="B596" s="667"/>
      <c r="C596" s="612"/>
      <c r="D596" s="618"/>
      <c r="E596" s="626" t="s">
        <v>2375</v>
      </c>
      <c r="F596" s="626">
        <v>2018</v>
      </c>
      <c r="G596" s="626">
        <v>2020</v>
      </c>
      <c r="H596" s="626">
        <v>2025</v>
      </c>
      <c r="I596" s="626">
        <v>2030</v>
      </c>
      <c r="J596" s="626">
        <v>2035</v>
      </c>
      <c r="K596" s="626">
        <v>2040</v>
      </c>
      <c r="L596" s="626">
        <v>2045</v>
      </c>
      <c r="M596" s="626">
        <v>2050</v>
      </c>
      <c r="O596" s="620"/>
      <c r="R596" s="614"/>
    </row>
    <row r="597" spans="1:18" customFormat="1" ht="15" customHeight="1">
      <c r="A597" s="663"/>
      <c r="B597" s="667"/>
      <c r="C597" s="612"/>
      <c r="D597" s="618"/>
      <c r="E597" s="627" t="s">
        <v>2380</v>
      </c>
      <c r="F597" s="628" cm="1">
        <f t="array" ref="F597:M597">INDEX(ST_DISTANCIA_MODO_FERREO,1,0)*INDEX(ST_TRANSPORTE_INTERURBANO_DISTRIBUCION_TECNOLOGIA_FERREO,TREN_COMBUSTION_CONVENCIONAL_DIESEL,0)</f>
        <v>1</v>
      </c>
      <c r="G597" s="629">
        <v>1</v>
      </c>
      <c r="H597" s="628">
        <v>1</v>
      </c>
      <c r="I597" s="628">
        <v>1</v>
      </c>
      <c r="J597" s="628">
        <v>0.95</v>
      </c>
      <c r="K597" s="628">
        <v>0.9</v>
      </c>
      <c r="L597" s="628">
        <v>0.85</v>
      </c>
      <c r="M597" s="628">
        <v>0.8</v>
      </c>
      <c r="O597" s="620"/>
      <c r="R597" s="614"/>
    </row>
    <row r="598" spans="1:18" customFormat="1" ht="15" customHeight="1">
      <c r="A598" s="663"/>
      <c r="B598" s="667"/>
      <c r="C598" s="621"/>
      <c r="D598" s="618"/>
      <c r="E598" s="1090" t="s">
        <v>2381</v>
      </c>
      <c r="F598" s="1091" cm="1">
        <f t="array" ref="F598:M598">INDEX(ST_DISTANCIA_MODO_FERREO,1,0)*INDEX(ST_TRANSPORTE_INTERURBANO_DISTRIBUCION_TECNOLOGIA_FERREO,TREN_ELECTRICO,0)</f>
        <v>0.01</v>
      </c>
      <c r="G598" s="1558">
        <v>0.01</v>
      </c>
      <c r="H598" s="1091">
        <v>0.01</v>
      </c>
      <c r="I598" s="1091">
        <v>0.01</v>
      </c>
      <c r="J598" s="1091">
        <v>0.05</v>
      </c>
      <c r="K598" s="1091">
        <v>0.1</v>
      </c>
      <c r="L598" s="1091">
        <v>0.15</v>
      </c>
      <c r="M598" s="1091">
        <v>0.2</v>
      </c>
      <c r="O598" s="620"/>
      <c r="R598" s="614"/>
    </row>
    <row r="599" spans="1:18" customFormat="1" ht="15" customHeight="1">
      <c r="A599" s="663"/>
      <c r="B599" s="667"/>
      <c r="C599" s="621"/>
      <c r="E599" s="186"/>
      <c r="G599" s="186"/>
      <c r="O599" s="620"/>
      <c r="R599" s="614"/>
    </row>
    <row r="600" spans="1:18" customFormat="1" ht="15" customHeight="1">
      <c r="A600" s="663"/>
      <c r="B600" s="667"/>
      <c r="C600" s="621"/>
      <c r="D600" s="621">
        <v>2</v>
      </c>
      <c r="E600" s="3933" t="s">
        <v>2403</v>
      </c>
      <c r="F600" s="3933"/>
      <c r="G600" s="3933"/>
      <c r="H600" s="3933"/>
      <c r="I600" s="3933"/>
      <c r="J600" s="3933"/>
      <c r="K600" s="621"/>
      <c r="L600" s="3933"/>
      <c r="M600" s="3933"/>
      <c r="N600" s="3933"/>
      <c r="O600" s="620"/>
      <c r="R600" s="614"/>
    </row>
    <row r="601" spans="1:18" customFormat="1" ht="15" customHeight="1">
      <c r="A601" s="663"/>
      <c r="B601" s="667"/>
      <c r="C601" s="612"/>
      <c r="D601" s="621"/>
      <c r="E601" s="622"/>
      <c r="F601" s="622"/>
      <c r="G601" s="622"/>
      <c r="H601" s="622"/>
      <c r="I601" s="622"/>
      <c r="J601" s="622"/>
      <c r="K601" s="621"/>
      <c r="L601" s="622"/>
      <c r="M601" s="622"/>
      <c r="N601" s="622"/>
      <c r="O601" s="620"/>
      <c r="R601" s="614"/>
    </row>
    <row r="602" spans="1:18" customFormat="1" ht="15" customHeight="1">
      <c r="A602" s="663"/>
      <c r="B602" s="667"/>
      <c r="C602" s="612"/>
      <c r="D602" s="621"/>
      <c r="E602" s="632" t="s">
        <v>2404</v>
      </c>
      <c r="F602" s="622"/>
      <c r="G602" s="622"/>
      <c r="H602" s="622"/>
      <c r="I602" s="622"/>
      <c r="J602" s="622"/>
      <c r="K602" s="621"/>
      <c r="L602" s="622"/>
      <c r="M602" s="622"/>
      <c r="N602" s="622"/>
      <c r="O602" s="620"/>
      <c r="R602" s="614"/>
    </row>
    <row r="603" spans="1:18" customFormat="1" ht="15" customHeight="1">
      <c r="A603" s="663"/>
      <c r="B603" s="667"/>
      <c r="C603" s="612"/>
      <c r="D603" s="621" t="s">
        <v>2235</v>
      </c>
      <c r="E603" s="622" t="s">
        <v>2405</v>
      </c>
      <c r="G603" s="617"/>
      <c r="H603" s="620"/>
      <c r="I603" s="620"/>
      <c r="J603" s="620"/>
      <c r="K603" s="620"/>
      <c r="L603" s="620"/>
      <c r="M603" s="620"/>
      <c r="N603" s="620"/>
      <c r="O603" s="620"/>
      <c r="R603" s="614"/>
    </row>
    <row r="604" spans="1:18" customFormat="1" ht="15" customHeight="1">
      <c r="A604" s="663"/>
      <c r="B604" s="667"/>
      <c r="C604" s="612"/>
      <c r="D604" s="621"/>
      <c r="E604" s="622"/>
      <c r="G604" s="617"/>
      <c r="H604" s="620"/>
      <c r="I604" s="620"/>
      <c r="J604" s="620"/>
      <c r="K604" s="620"/>
      <c r="L604" s="620"/>
      <c r="M604" s="617"/>
      <c r="N604" s="620"/>
      <c r="O604" s="620"/>
      <c r="R604" s="614"/>
    </row>
    <row r="605" spans="1:18" customFormat="1" ht="15" customHeight="1">
      <c r="A605" s="663"/>
      <c r="B605" s="667"/>
      <c r="C605" s="612"/>
      <c r="D605" s="618"/>
      <c r="E605" s="626" t="s">
        <v>2376</v>
      </c>
      <c r="F605" s="626">
        <v>2018</v>
      </c>
      <c r="G605" s="626">
        <v>2020</v>
      </c>
      <c r="H605" s="626">
        <v>2025</v>
      </c>
      <c r="I605" s="626">
        <v>2030</v>
      </c>
      <c r="J605" s="626">
        <v>2035</v>
      </c>
      <c r="K605" s="626">
        <v>2040</v>
      </c>
      <c r="L605" s="626">
        <v>2045</v>
      </c>
      <c r="M605" s="626">
        <v>2050</v>
      </c>
      <c r="N605" s="1059" t="s">
        <v>698</v>
      </c>
      <c r="O605" s="620"/>
      <c r="R605" s="614"/>
    </row>
    <row r="606" spans="1:18" customFormat="1" ht="15" customHeight="1">
      <c r="A606" s="663"/>
      <c r="B606" s="667"/>
      <c r="C606" s="612"/>
      <c r="D606" s="618"/>
      <c r="E606" s="627" t="str">
        <f t="shared" ref="E606:E614" si="32">E243</f>
        <v>Vehículo de combustión convencional -Gasolina [km/gal]</v>
      </c>
      <c r="F606" s="1050" cm="1">
        <f t="array" ref="F606:M606">INDEX(FACTOR_ACTIVIDAD_CARGA_URBANA_POR_TECNOLOGIA,VEHICULO_COMBUSTION_CONVENCIONAL_GASOLINA,0)/INDEX(SF_RENDIMIENTO_MODO_CARRETERO_URBANO,VEHICULO_COMBUSTION_CONVENCIONAL_GASOLINA,0)</f>
        <v>18311228.964532942</v>
      </c>
      <c r="G606" s="1051">
        <v>23545839.280350782</v>
      </c>
      <c r="H606" s="1050">
        <v>29028068.946147751</v>
      </c>
      <c r="I606" s="1050">
        <v>26087234.447381314</v>
      </c>
      <c r="J606" s="1050">
        <v>27226063.151896477</v>
      </c>
      <c r="K606" s="1050">
        <v>30524919.731952738</v>
      </c>
      <c r="L606" s="1050">
        <v>32984906.877311565</v>
      </c>
      <c r="M606" s="1050">
        <v>37400527.482690603</v>
      </c>
      <c r="N606" s="1051" t="s">
        <v>690</v>
      </c>
      <c r="O606" s="620"/>
      <c r="R606" s="614"/>
    </row>
    <row r="607" spans="1:18" customFormat="1" ht="15" customHeight="1">
      <c r="A607" s="663"/>
      <c r="B607" s="667"/>
      <c r="C607" s="612"/>
      <c r="D607" s="618"/>
      <c r="E607" s="625" t="str">
        <f t="shared" si="32"/>
        <v>Vehículo de combustión convencional -Diesel [km/gal]</v>
      </c>
      <c r="F607" s="1048" cm="1">
        <f t="array" ref="F607:M607">INDEX(FACTOR_ACTIVIDAD_CARGA_URBANA_POR_TECNOLOGIA,VEHICULO_COMBUSTION_CONVENCIONAL_DIESEL,0)/INDEX(SF_RENDIMIENTO_MODO_CARRETERO_URBANO,VEHICULO_COMBUSTION_CONVENCIONAL_DIESEL,0)</f>
        <v>3887143.6113472721</v>
      </c>
      <c r="G607" s="1049">
        <v>5074913.1495349957</v>
      </c>
      <c r="H607" s="1048">
        <v>6794019.6292474</v>
      </c>
      <c r="I607" s="1048">
        <v>8659711.0585475508</v>
      </c>
      <c r="J607" s="1048">
        <v>10781746.828024724</v>
      </c>
      <c r="K607" s="1048">
        <v>13285474.67937251</v>
      </c>
      <c r="L607" s="1048">
        <v>14486485.187285382</v>
      </c>
      <c r="M607" s="1048">
        <v>16433753.779883064</v>
      </c>
      <c r="N607" s="1049" t="s">
        <v>690</v>
      </c>
      <c r="O607" s="620"/>
      <c r="R607" s="614"/>
    </row>
    <row r="608" spans="1:18" customFormat="1" ht="15" customHeight="1">
      <c r="A608" s="663"/>
      <c r="B608" s="667"/>
      <c r="C608" s="612"/>
      <c r="D608" s="618"/>
      <c r="E608" s="625" t="str">
        <f t="shared" si="32"/>
        <v>GN Comprimido [km/lb]</v>
      </c>
      <c r="F608" s="1048" cm="1">
        <f t="array" ref="F608:M608">INDEX(FACTOR_ACTIVIDAD_CARGA_URBANA_POR_TECNOLOGIA,GN_COMPRIMIDO,0)/INDEX(SF_RENDIMIENTO_MODO_CARRETERO_URBANO,GN_COMPRIMIDO,0)</f>
        <v>0</v>
      </c>
      <c r="G608" s="1049">
        <v>27476.910975611576</v>
      </c>
      <c r="H608" s="1048">
        <v>36784.604390026529</v>
      </c>
      <c r="I608" s="1048">
        <v>46885.947171732849</v>
      </c>
      <c r="J608" s="1048">
        <v>58375.205452011054</v>
      </c>
      <c r="K608" s="1048">
        <v>71931.044783950332</v>
      </c>
      <c r="L608" s="1048">
        <v>78433.630706966534</v>
      </c>
      <c r="M608" s="1048">
        <v>88976.65364900713</v>
      </c>
      <c r="N608" s="1049" t="s">
        <v>2406</v>
      </c>
      <c r="R608" s="614"/>
    </row>
    <row r="609" spans="1:16382" customFormat="1" ht="15" customHeight="1">
      <c r="A609" s="663"/>
      <c r="B609" s="667"/>
      <c r="C609" s="612"/>
      <c r="D609" s="618"/>
      <c r="E609" s="625" t="str">
        <f t="shared" si="32"/>
        <v>GN Licuado [kg/km]</v>
      </c>
      <c r="F609" s="1053" cm="1">
        <f t="array" ref="F609:M609">INDEX(FACTOR_ACTIVIDAD_CARGA_URBANA_POR_TECNOLOGIA,GN_LICUADO,0)*INDEX(SF_RENDIMIENTO_MODO_CARRETERO_URBANO,GN_LICUADO,0)</f>
        <v>0</v>
      </c>
      <c r="G609" s="1052">
        <v>0</v>
      </c>
      <c r="H609" s="1053">
        <v>0</v>
      </c>
      <c r="I609" s="1053">
        <v>0</v>
      </c>
      <c r="J609" s="1053">
        <v>0</v>
      </c>
      <c r="K609" s="1053">
        <v>0</v>
      </c>
      <c r="L609" s="1053">
        <v>0</v>
      </c>
      <c r="M609" s="1053">
        <v>0</v>
      </c>
      <c r="N609" s="1052" t="s">
        <v>2407</v>
      </c>
      <c r="R609" s="614"/>
    </row>
    <row r="610" spans="1:16382" customFormat="1" ht="15" customHeight="1">
      <c r="A610" s="663"/>
      <c r="B610" s="667"/>
      <c r="C610" s="612"/>
      <c r="D610" s="618"/>
      <c r="E610" s="625" t="str">
        <f t="shared" si="32"/>
        <v>GLP</v>
      </c>
      <c r="F610" s="1053" cm="1">
        <f t="array" ref="F610:M610">IFERROR(INDEX(FACTOR_ACTIVIDAD_CARGA_URBANA_POR_TECNOLOGIA,VEHICULO_GLP,0)/INDEX(SF_RENDIMIENTO_MODO_CARRETERO_URBANO,VEHICULO_GLP,0),0)</f>
        <v>0</v>
      </c>
      <c r="G610" s="1052">
        <v>0</v>
      </c>
      <c r="H610" s="1053">
        <v>0</v>
      </c>
      <c r="I610" s="1053">
        <v>0</v>
      </c>
      <c r="J610" s="1053">
        <v>0</v>
      </c>
      <c r="K610" s="1053">
        <v>0</v>
      </c>
      <c r="L610" s="1053">
        <v>0</v>
      </c>
      <c r="M610" s="1053">
        <v>0</v>
      </c>
      <c r="N610" s="1052"/>
      <c r="R610" s="614"/>
    </row>
    <row r="611" spans="1:16382" customFormat="1" ht="15" customHeight="1">
      <c r="A611" s="663"/>
      <c r="B611" s="667"/>
      <c r="C611" s="612"/>
      <c r="E611" s="625" t="str">
        <f t="shared" si="32"/>
        <v>Vehículo Hibrido- Gasolina</v>
      </c>
      <c r="F611" s="1053" cm="1">
        <f t="array" ref="F611:M611">IFERROR(INDEX(FACTOR_ACTIVIDAD_CARGA_URBANA_POR_TECNOLOGIA,VEHICULO_HIBRIDO_GASOLINA,0)/INDEX(SF_RENDIMIENTO_MODO_CARRETERO_URBANO,VEHICULO_HIBRIDO_GASOLINA,0),0)</f>
        <v>0</v>
      </c>
      <c r="G611" s="1052">
        <v>0</v>
      </c>
      <c r="H611" s="1053">
        <v>0</v>
      </c>
      <c r="I611" s="1053">
        <v>0</v>
      </c>
      <c r="J611" s="1053">
        <v>0</v>
      </c>
      <c r="K611" s="1053">
        <v>0</v>
      </c>
      <c r="L611" s="1053">
        <v>0</v>
      </c>
      <c r="M611" s="1053">
        <v>0</v>
      </c>
      <c r="N611" s="1052" t="s">
        <v>690</v>
      </c>
      <c r="R611" s="614"/>
    </row>
    <row r="612" spans="1:16382" customFormat="1" ht="15" customHeight="1">
      <c r="A612" s="663"/>
      <c r="B612" s="667"/>
      <c r="D612" s="613"/>
      <c r="E612" s="625" t="str">
        <f t="shared" si="32"/>
        <v>Vehículo hibrido- Diesel</v>
      </c>
      <c r="F612" s="1053" cm="1">
        <f t="array" ref="F612:M612">IFERROR(INDEX(FACTOR_ACTIVIDAD_CARGA_URBANA_POR_TECNOLOGIA,VEHICULO_HIBRIDO_DIESEL,0)/INDEX(SF_RENDIMIENTO_MODO_CARRETERO_URBANO,VEHICULO_HIBRIDO_DIESEL,0),0)</f>
        <v>0</v>
      </c>
      <c r="G612" s="1052">
        <v>0</v>
      </c>
      <c r="H612" s="1053">
        <v>0</v>
      </c>
      <c r="I612" s="1053">
        <v>0</v>
      </c>
      <c r="J612" s="1053">
        <v>0</v>
      </c>
      <c r="K612" s="1053">
        <v>0</v>
      </c>
      <c r="L612" s="1053">
        <v>0</v>
      </c>
      <c r="M612" s="1053">
        <v>0</v>
      </c>
      <c r="N612" s="1052" t="s">
        <v>690</v>
      </c>
      <c r="O612" s="620"/>
      <c r="Q612" s="633"/>
      <c r="R612" s="633"/>
      <c r="S612" s="621"/>
      <c r="T612" s="3933"/>
      <c r="U612" s="3933"/>
      <c r="V612" s="3933"/>
      <c r="W612" s="621"/>
      <c r="X612" s="3933"/>
      <c r="Y612" s="3933"/>
      <c r="Z612" s="3933"/>
      <c r="AA612" s="621"/>
      <c r="AB612" s="3933"/>
      <c r="AC612" s="3933"/>
      <c r="AD612" s="3933"/>
      <c r="AE612" s="621"/>
      <c r="AF612" s="3933"/>
      <c r="AG612" s="3933"/>
      <c r="AH612" s="3933"/>
      <c r="AI612" s="621"/>
      <c r="AJ612" s="3933"/>
      <c r="AK612" s="3933"/>
      <c r="AL612" s="3933"/>
      <c r="AM612" s="621"/>
      <c r="AN612" s="3933"/>
      <c r="AO612" s="3933"/>
      <c r="AP612" s="3933"/>
      <c r="AQ612" s="621"/>
      <c r="AR612" s="3933"/>
      <c r="AS612" s="3933"/>
      <c r="AT612" s="3933"/>
      <c r="AU612" s="621"/>
      <c r="AV612" s="3933"/>
      <c r="AW612" s="3933"/>
      <c r="AX612" s="3933"/>
      <c r="AY612" s="621"/>
      <c r="AZ612" s="3933"/>
      <c r="BA612" s="3933"/>
      <c r="BB612" s="3933"/>
      <c r="BC612" s="621"/>
      <c r="BD612" s="3933"/>
      <c r="BE612" s="3933"/>
      <c r="BF612" s="3933"/>
      <c r="BG612" s="621"/>
      <c r="BH612" s="3933"/>
      <c r="BI612" s="3933"/>
      <c r="BJ612" s="3933"/>
      <c r="BK612" s="621"/>
      <c r="BL612" s="3933"/>
      <c r="BM612" s="3933"/>
      <c r="BN612" s="3933"/>
      <c r="BO612" s="621"/>
      <c r="BP612" s="3933"/>
      <c r="BQ612" s="3933"/>
      <c r="BR612" s="3933"/>
      <c r="BS612" s="621"/>
      <c r="BT612" s="3933"/>
      <c r="BU612" s="3933"/>
      <c r="BV612" s="3933"/>
      <c r="BW612" s="621"/>
      <c r="BX612" s="3933"/>
      <c r="BY612" s="3933"/>
      <c r="BZ612" s="3933"/>
      <c r="CA612" s="621"/>
      <c r="CB612" s="3933"/>
      <c r="CC612" s="3933"/>
      <c r="CD612" s="3933"/>
      <c r="CE612" s="621"/>
      <c r="CF612" s="3933"/>
      <c r="CG612" s="3933"/>
      <c r="CH612" s="3933"/>
      <c r="CI612" s="621"/>
      <c r="CJ612" s="3933"/>
      <c r="CK612" s="3933"/>
      <c r="CL612" s="3933"/>
      <c r="CM612" s="621"/>
      <c r="CN612" s="3933"/>
      <c r="CO612" s="3933"/>
      <c r="CP612" s="3933"/>
      <c r="CQ612" s="621"/>
      <c r="CR612" s="3933"/>
      <c r="CS612" s="3933"/>
      <c r="CT612" s="3933"/>
      <c r="CU612" s="621"/>
      <c r="CV612" s="3933"/>
      <c r="CW612" s="3933"/>
      <c r="CX612" s="3933"/>
      <c r="CY612" s="621"/>
      <c r="CZ612" s="3933"/>
      <c r="DA612" s="3933"/>
      <c r="DB612" s="3933"/>
      <c r="DC612" s="621"/>
      <c r="DD612" s="3933"/>
      <c r="DE612" s="3933"/>
      <c r="DF612" s="3933"/>
      <c r="DG612" s="621"/>
      <c r="DH612" s="3933"/>
      <c r="DI612" s="3933"/>
      <c r="DJ612" s="3933"/>
      <c r="DK612" s="621"/>
      <c r="DL612" s="3933"/>
      <c r="DM612" s="3933"/>
      <c r="DN612" s="3933"/>
      <c r="DO612" s="621"/>
      <c r="DP612" s="3933"/>
      <c r="DQ612" s="3933"/>
      <c r="DR612" s="3933"/>
      <c r="DS612" s="621"/>
      <c r="DT612" s="3933"/>
      <c r="DU612" s="3933"/>
      <c r="DV612" s="3933"/>
      <c r="DW612" s="621"/>
      <c r="DX612" s="3933"/>
      <c r="DY612" s="3933"/>
      <c r="DZ612" s="3933"/>
      <c r="EA612" s="621"/>
      <c r="EB612" s="3933"/>
      <c r="EC612" s="3933"/>
      <c r="ED612" s="3933"/>
      <c r="EE612" s="621"/>
      <c r="EF612" s="3933"/>
      <c r="EG612" s="3933"/>
      <c r="EH612" s="3933"/>
      <c r="EI612" s="621"/>
      <c r="EJ612" s="3933"/>
      <c r="EK612" s="3933"/>
      <c r="EL612" s="3933"/>
      <c r="EM612" s="621"/>
      <c r="EN612" s="3933"/>
      <c r="EO612" s="3933"/>
      <c r="EP612" s="3933"/>
      <c r="EQ612" s="621"/>
      <c r="ER612" s="3933"/>
      <c r="ES612" s="3933"/>
      <c r="ET612" s="3933"/>
      <c r="EU612" s="621"/>
      <c r="EV612" s="3933"/>
      <c r="EW612" s="3933"/>
      <c r="EX612" s="3933"/>
      <c r="EY612" s="621"/>
      <c r="EZ612" s="3933"/>
      <c r="FA612" s="3933"/>
      <c r="FB612" s="3933"/>
      <c r="FC612" s="621"/>
      <c r="FD612" s="3933"/>
      <c r="FE612" s="3933"/>
      <c r="FF612" s="3933"/>
      <c r="FG612" s="621"/>
      <c r="FH612" s="3933"/>
      <c r="FI612" s="3933"/>
      <c r="FJ612" s="3933"/>
      <c r="FK612" s="621"/>
      <c r="FL612" s="3933"/>
      <c r="FM612" s="3933"/>
      <c r="FN612" s="3933"/>
      <c r="FO612" s="621"/>
      <c r="FP612" s="3933"/>
      <c r="FQ612" s="3933"/>
      <c r="FR612" s="3933"/>
      <c r="FS612" s="621"/>
      <c r="FT612" s="3933"/>
      <c r="FU612" s="3933"/>
      <c r="FV612" s="3933"/>
      <c r="FW612" s="621"/>
      <c r="FX612" s="3933"/>
      <c r="FY612" s="3933"/>
      <c r="FZ612" s="3933"/>
      <c r="GA612" s="621"/>
      <c r="GB612" s="3933"/>
      <c r="GC612" s="3933"/>
      <c r="GD612" s="3933"/>
      <c r="GE612" s="621"/>
      <c r="GF612" s="3933"/>
      <c r="GG612" s="3933"/>
      <c r="GH612" s="3933"/>
      <c r="GI612" s="621"/>
      <c r="GJ612" s="3933"/>
      <c r="GK612" s="3933"/>
      <c r="GL612" s="3933"/>
      <c r="GM612" s="621"/>
      <c r="GN612" s="3933"/>
      <c r="GO612" s="3933"/>
      <c r="GP612" s="3933"/>
      <c r="GQ612" s="621"/>
      <c r="GR612" s="3933"/>
      <c r="GS612" s="3933"/>
      <c r="GT612" s="3933"/>
      <c r="GU612" s="621"/>
      <c r="GV612" s="3933"/>
      <c r="GW612" s="3933"/>
      <c r="GX612" s="3933"/>
      <c r="GY612" s="621"/>
      <c r="GZ612" s="3933"/>
      <c r="HA612" s="3933"/>
      <c r="HB612" s="3933"/>
      <c r="HC612" s="621"/>
      <c r="HD612" s="3933"/>
      <c r="HE612" s="3933"/>
      <c r="HF612" s="3933"/>
      <c r="HG612" s="621"/>
      <c r="HH612" s="3933"/>
      <c r="HI612" s="3933"/>
      <c r="HJ612" s="3933"/>
      <c r="HK612" s="621"/>
      <c r="HL612" s="3933"/>
      <c r="HM612" s="3933"/>
      <c r="HN612" s="3933"/>
      <c r="HO612" s="621"/>
      <c r="HP612" s="3933"/>
      <c r="HQ612" s="3933"/>
      <c r="HR612" s="3933"/>
      <c r="HS612" s="621"/>
      <c r="HT612" s="3933"/>
      <c r="HU612" s="3933"/>
      <c r="HV612" s="3933"/>
      <c r="HW612" s="621"/>
      <c r="HX612" s="3933"/>
      <c r="HY612" s="3933"/>
      <c r="HZ612" s="3933"/>
      <c r="IA612" s="621"/>
      <c r="IB612" s="3933"/>
      <c r="IC612" s="3933"/>
      <c r="ID612" s="3933"/>
      <c r="IE612" s="621"/>
      <c r="IF612" s="3933"/>
      <c r="IG612" s="3933"/>
      <c r="IH612" s="3933"/>
      <c r="II612" s="621"/>
      <c r="IJ612" s="3933"/>
      <c r="IK612" s="3933"/>
      <c r="IL612" s="3933"/>
      <c r="IM612" s="621"/>
      <c r="IN612" s="3933"/>
      <c r="IO612" s="3933"/>
      <c r="IP612" s="3933"/>
      <c r="IQ612" s="621"/>
      <c r="IR612" s="3933"/>
      <c r="IS612" s="3933"/>
      <c r="IT612" s="3933"/>
      <c r="IU612" s="621"/>
      <c r="IV612" s="3933"/>
      <c r="IW612" s="3933"/>
      <c r="IX612" s="3933"/>
      <c r="IY612" s="621"/>
      <c r="IZ612" s="3933"/>
      <c r="JA612" s="3933"/>
      <c r="JB612" s="3933"/>
      <c r="JC612" s="621"/>
      <c r="JD612" s="3933"/>
      <c r="JE612" s="3933"/>
      <c r="JF612" s="3933"/>
      <c r="JG612" s="621"/>
      <c r="JH612" s="3933"/>
      <c r="JI612" s="3933"/>
      <c r="JJ612" s="3933"/>
      <c r="JK612" s="621"/>
      <c r="JL612" s="3933"/>
      <c r="JM612" s="3933"/>
      <c r="JN612" s="3933"/>
      <c r="JO612" s="621"/>
      <c r="JP612" s="3933"/>
      <c r="JQ612" s="3933"/>
      <c r="JR612" s="3933"/>
      <c r="JS612" s="621"/>
      <c r="JT612" s="3933"/>
      <c r="JU612" s="3933"/>
      <c r="JV612" s="3933"/>
      <c r="JW612" s="621"/>
      <c r="JX612" s="3933"/>
      <c r="JY612" s="3933"/>
      <c r="JZ612" s="3933"/>
      <c r="KA612" s="621"/>
      <c r="KB612" s="3933"/>
      <c r="KC612" s="3933"/>
      <c r="KD612" s="3933"/>
      <c r="KE612" s="621"/>
      <c r="KF612" s="3933"/>
      <c r="KG612" s="3933"/>
      <c r="KH612" s="3933"/>
      <c r="KI612" s="621"/>
      <c r="KJ612" s="3933"/>
      <c r="KK612" s="3933"/>
      <c r="KL612" s="3933"/>
      <c r="KM612" s="621"/>
      <c r="KN612" s="3933"/>
      <c r="KO612" s="3933"/>
      <c r="KP612" s="3933"/>
      <c r="KQ612" s="621"/>
      <c r="KR612" s="3933"/>
      <c r="KS612" s="3933"/>
      <c r="KT612" s="3933"/>
      <c r="KU612" s="621"/>
      <c r="KV612" s="3933"/>
      <c r="KW612" s="3933"/>
      <c r="KX612" s="3933"/>
      <c r="KY612" s="621"/>
      <c r="KZ612" s="3933"/>
      <c r="LA612" s="3933"/>
      <c r="LB612" s="3933"/>
      <c r="LC612" s="621"/>
      <c r="LD612" s="3933"/>
      <c r="LE612" s="3933"/>
      <c r="LF612" s="3933"/>
      <c r="LG612" s="621"/>
      <c r="LH612" s="3933"/>
      <c r="LI612" s="3933"/>
      <c r="LJ612" s="3933"/>
      <c r="LK612" s="621"/>
      <c r="LL612" s="3933"/>
      <c r="LM612" s="3933"/>
      <c r="LN612" s="3933"/>
      <c r="LO612" s="621"/>
      <c r="LP612" s="3933"/>
      <c r="LQ612" s="3933"/>
      <c r="LR612" s="3933"/>
      <c r="LS612" s="621"/>
      <c r="LT612" s="3933"/>
      <c r="LU612" s="3933"/>
      <c r="LV612" s="3933"/>
      <c r="LW612" s="621"/>
      <c r="LX612" s="3933"/>
      <c r="LY612" s="3933"/>
      <c r="LZ612" s="3933"/>
      <c r="MA612" s="621"/>
      <c r="MB612" s="3933"/>
      <c r="MC612" s="3933"/>
      <c r="MD612" s="3933"/>
      <c r="ME612" s="621"/>
      <c r="MF612" s="3933"/>
      <c r="MG612" s="3933"/>
      <c r="MH612" s="3933"/>
      <c r="MI612" s="621"/>
      <c r="MJ612" s="3933"/>
      <c r="MK612" s="3933"/>
      <c r="ML612" s="3933"/>
      <c r="MM612" s="621"/>
      <c r="MN612" s="3933"/>
      <c r="MO612" s="3933"/>
      <c r="MP612" s="3933"/>
      <c r="MQ612" s="621"/>
      <c r="MR612" s="3933"/>
      <c r="MS612" s="3933"/>
      <c r="MT612" s="3933"/>
      <c r="MU612" s="621"/>
      <c r="MV612" s="3933"/>
      <c r="MW612" s="3933"/>
      <c r="MX612" s="3933"/>
      <c r="MY612" s="621"/>
      <c r="MZ612" s="3933"/>
      <c r="NA612" s="3933"/>
      <c r="NB612" s="3933"/>
      <c r="NC612" s="621"/>
      <c r="ND612" s="3933"/>
      <c r="NE612" s="3933"/>
      <c r="NF612" s="3933"/>
      <c r="NG612" s="621"/>
      <c r="NH612" s="3933"/>
      <c r="NI612" s="3933"/>
      <c r="NJ612" s="3933"/>
      <c r="NK612" s="621"/>
      <c r="NL612" s="3933"/>
      <c r="NM612" s="3933"/>
      <c r="NN612" s="3933"/>
      <c r="NO612" s="621"/>
      <c r="NP612" s="3933"/>
      <c r="NQ612" s="3933"/>
      <c r="NR612" s="3933"/>
      <c r="NS612" s="621"/>
      <c r="NT612" s="3933"/>
      <c r="NU612" s="3933"/>
      <c r="NV612" s="3933"/>
      <c r="NW612" s="621"/>
      <c r="NX612" s="3933"/>
      <c r="NY612" s="3933"/>
      <c r="NZ612" s="3933"/>
      <c r="OA612" s="621"/>
      <c r="OB612" s="3933"/>
      <c r="OC612" s="3933"/>
      <c r="OD612" s="3933"/>
      <c r="OE612" s="621"/>
      <c r="OF612" s="3933"/>
      <c r="OG612" s="3933"/>
      <c r="OH612" s="3933"/>
      <c r="OI612" s="621"/>
      <c r="OJ612" s="3933"/>
      <c r="OK612" s="3933"/>
      <c r="OL612" s="3933"/>
      <c r="OM612" s="621"/>
      <c r="ON612" s="3933"/>
      <c r="OO612" s="3933"/>
      <c r="OP612" s="3933"/>
      <c r="OQ612" s="621"/>
      <c r="OR612" s="3933"/>
      <c r="OS612" s="3933"/>
      <c r="OT612" s="3933"/>
      <c r="OU612" s="621"/>
      <c r="OV612" s="3933"/>
      <c r="OW612" s="3933"/>
      <c r="OX612" s="3933"/>
      <c r="OY612" s="621"/>
      <c r="OZ612" s="3933"/>
      <c r="PA612" s="3933"/>
      <c r="PB612" s="3933"/>
      <c r="PC612" s="621"/>
      <c r="PD612" s="3933"/>
      <c r="PE612" s="3933"/>
      <c r="PF612" s="3933"/>
      <c r="PG612" s="621"/>
      <c r="PH612" s="3933"/>
      <c r="PI612" s="3933"/>
      <c r="PJ612" s="3933"/>
      <c r="PK612" s="621"/>
      <c r="PL612" s="3933"/>
      <c r="PM612" s="3933"/>
      <c r="PN612" s="3933"/>
      <c r="PO612" s="621"/>
      <c r="PP612" s="3933"/>
      <c r="PQ612" s="3933"/>
      <c r="PR612" s="3933"/>
      <c r="PS612" s="621"/>
      <c r="PT612" s="3933"/>
      <c r="PU612" s="3933"/>
      <c r="PV612" s="3933"/>
      <c r="PW612" s="621"/>
      <c r="PX612" s="3933"/>
      <c r="PY612" s="3933"/>
      <c r="PZ612" s="3933"/>
      <c r="QA612" s="621"/>
      <c r="QB612" s="3933"/>
      <c r="QC612" s="3933"/>
      <c r="QD612" s="3933"/>
      <c r="QE612" s="621"/>
      <c r="QF612" s="3933"/>
      <c r="QG612" s="3933"/>
      <c r="QH612" s="3933"/>
      <c r="QI612" s="621"/>
      <c r="QJ612" s="3933"/>
      <c r="QK612" s="3933"/>
      <c r="QL612" s="3933"/>
      <c r="QM612" s="621"/>
      <c r="QN612" s="3933"/>
      <c r="QO612" s="3933"/>
      <c r="QP612" s="3933"/>
      <c r="QQ612" s="621"/>
      <c r="QR612" s="3933"/>
      <c r="QS612" s="3933"/>
      <c r="QT612" s="3933"/>
      <c r="QU612" s="621"/>
      <c r="QV612" s="3933"/>
      <c r="QW612" s="3933"/>
      <c r="QX612" s="3933"/>
      <c r="QY612" s="621"/>
      <c r="QZ612" s="3933"/>
      <c r="RA612" s="3933"/>
      <c r="RB612" s="3933"/>
      <c r="RC612" s="621"/>
      <c r="RD612" s="3933"/>
      <c r="RE612" s="3933"/>
      <c r="RF612" s="3933"/>
      <c r="RG612" s="621"/>
      <c r="RH612" s="3933"/>
      <c r="RI612" s="3933"/>
      <c r="RJ612" s="3933"/>
      <c r="RK612" s="621"/>
      <c r="RL612" s="3933"/>
      <c r="RM612" s="3933"/>
      <c r="RN612" s="3933"/>
      <c r="RO612" s="621"/>
      <c r="RP612" s="3933"/>
      <c r="RQ612" s="3933"/>
      <c r="RR612" s="3933"/>
      <c r="RS612" s="621"/>
      <c r="RT612" s="3933"/>
      <c r="RU612" s="3933"/>
      <c r="RV612" s="3933"/>
      <c r="RW612" s="621"/>
      <c r="RX612" s="3933"/>
      <c r="RY612" s="3933"/>
      <c r="RZ612" s="3933"/>
      <c r="SA612" s="621"/>
      <c r="SB612" s="3933"/>
      <c r="SC612" s="3933"/>
      <c r="SD612" s="3933"/>
      <c r="SE612" s="621"/>
      <c r="SF612" s="3933"/>
      <c r="SG612" s="3933"/>
      <c r="SH612" s="3933"/>
      <c r="SI612" s="621"/>
      <c r="SJ612" s="3933"/>
      <c r="SK612" s="3933"/>
      <c r="SL612" s="3933"/>
      <c r="SM612" s="621"/>
      <c r="SN612" s="3933"/>
      <c r="SO612" s="3933"/>
      <c r="SP612" s="3933"/>
      <c r="SQ612" s="621"/>
      <c r="SR612" s="3933"/>
      <c r="SS612" s="3933"/>
      <c r="ST612" s="3933"/>
      <c r="SU612" s="621"/>
      <c r="SV612" s="3933"/>
      <c r="SW612" s="3933"/>
      <c r="SX612" s="3933"/>
      <c r="SY612" s="621"/>
      <c r="SZ612" s="3933"/>
      <c r="TA612" s="3933"/>
      <c r="TB612" s="3933"/>
      <c r="TC612" s="621"/>
      <c r="TD612" s="3933"/>
      <c r="TE612" s="3933"/>
      <c r="TF612" s="3933"/>
      <c r="TG612" s="621"/>
      <c r="TH612" s="3933"/>
      <c r="TI612" s="3933"/>
      <c r="TJ612" s="3933"/>
      <c r="TK612" s="621"/>
      <c r="TL612" s="3933"/>
      <c r="TM612" s="3933"/>
      <c r="TN612" s="3933"/>
      <c r="TO612" s="621"/>
      <c r="TP612" s="3933"/>
      <c r="TQ612" s="3933"/>
      <c r="TR612" s="3933"/>
      <c r="TS612" s="621"/>
      <c r="TT612" s="3933"/>
      <c r="TU612" s="3933"/>
      <c r="TV612" s="3933"/>
      <c r="TW612" s="621"/>
      <c r="TX612" s="3933"/>
      <c r="TY612" s="3933"/>
      <c r="TZ612" s="3933"/>
      <c r="UA612" s="621"/>
      <c r="UB612" s="3933"/>
      <c r="UC612" s="3933"/>
      <c r="UD612" s="3933"/>
      <c r="UE612" s="621"/>
      <c r="UF612" s="3933"/>
      <c r="UG612" s="3933"/>
      <c r="UH612" s="3933"/>
      <c r="UI612" s="621"/>
      <c r="UJ612" s="3933"/>
      <c r="UK612" s="3933"/>
      <c r="UL612" s="3933"/>
      <c r="UM612" s="621"/>
      <c r="UN612" s="3933"/>
      <c r="UO612" s="3933"/>
      <c r="UP612" s="3933"/>
      <c r="UQ612" s="621"/>
      <c r="UR612" s="3933"/>
      <c r="US612" s="3933"/>
      <c r="UT612" s="3933"/>
      <c r="UU612" s="621"/>
      <c r="UV612" s="3933"/>
      <c r="UW612" s="3933"/>
      <c r="UX612" s="3933"/>
      <c r="UY612" s="621"/>
      <c r="UZ612" s="3933"/>
      <c r="VA612" s="3933"/>
      <c r="VB612" s="3933"/>
      <c r="VC612" s="621"/>
      <c r="VD612" s="3933"/>
      <c r="VE612" s="3933"/>
      <c r="VF612" s="3933"/>
      <c r="VG612" s="621"/>
      <c r="VH612" s="3933"/>
      <c r="VI612" s="3933"/>
      <c r="VJ612" s="3933"/>
      <c r="VK612" s="621"/>
      <c r="VL612" s="3933"/>
      <c r="VM612" s="3933"/>
      <c r="VN612" s="3933"/>
      <c r="VO612" s="621"/>
      <c r="VP612" s="3933"/>
      <c r="VQ612" s="3933"/>
      <c r="VR612" s="3933"/>
      <c r="VS612" s="621"/>
      <c r="VT612" s="3933"/>
      <c r="VU612" s="3933"/>
      <c r="VV612" s="3933"/>
      <c r="VW612" s="621"/>
      <c r="VX612" s="3933"/>
      <c r="VY612" s="3933"/>
      <c r="VZ612" s="3933"/>
      <c r="WA612" s="621"/>
      <c r="WB612" s="3933"/>
      <c r="WC612" s="3933"/>
      <c r="WD612" s="3933"/>
      <c r="WE612" s="621"/>
      <c r="WF612" s="3933"/>
      <c r="WG612" s="3933"/>
      <c r="WH612" s="3933"/>
      <c r="WI612" s="621"/>
      <c r="WJ612" s="3933"/>
      <c r="WK612" s="3933"/>
      <c r="WL612" s="3933"/>
      <c r="WM612" s="621"/>
      <c r="WN612" s="3933"/>
      <c r="WO612" s="3933"/>
      <c r="WP612" s="3933"/>
      <c r="WQ612" s="621"/>
      <c r="WR612" s="3933"/>
      <c r="WS612" s="3933"/>
      <c r="WT612" s="3933"/>
      <c r="WU612" s="621"/>
      <c r="WV612" s="3933"/>
      <c r="WW612" s="3933"/>
      <c r="WX612" s="3933"/>
      <c r="WY612" s="621"/>
      <c r="WZ612" s="3933"/>
      <c r="XA612" s="3933"/>
      <c r="XB612" s="3933"/>
      <c r="XC612" s="621"/>
      <c r="XD612" s="3933"/>
      <c r="XE612" s="3933"/>
      <c r="XF612" s="3933"/>
      <c r="XG612" s="621"/>
      <c r="XH612" s="3933"/>
      <c r="XI612" s="3933"/>
      <c r="XJ612" s="3933"/>
      <c r="XK612" s="621"/>
      <c r="XL612" s="3933"/>
      <c r="XM612" s="3933"/>
      <c r="XN612" s="3933"/>
      <c r="XO612" s="621"/>
      <c r="XP612" s="3933"/>
      <c r="XQ612" s="3933"/>
      <c r="XR612" s="3933"/>
      <c r="XS612" s="621"/>
      <c r="XT612" s="3933"/>
      <c r="XU612" s="3933"/>
      <c r="XV612" s="3933"/>
      <c r="XW612" s="621"/>
      <c r="XX612" s="3933"/>
      <c r="XY612" s="3933"/>
      <c r="XZ612" s="3933"/>
      <c r="YA612" s="621"/>
      <c r="YB612" s="3933"/>
      <c r="YC612" s="3933"/>
      <c r="YD612" s="3933"/>
      <c r="YE612" s="621"/>
      <c r="YF612" s="3933"/>
      <c r="YG612" s="3933"/>
      <c r="YH612" s="3933"/>
      <c r="YI612" s="621"/>
      <c r="YJ612" s="3933"/>
      <c r="YK612" s="3933"/>
      <c r="YL612" s="3933"/>
      <c r="YM612" s="621"/>
      <c r="YN612" s="3933"/>
      <c r="YO612" s="3933"/>
      <c r="YP612" s="3933"/>
      <c r="YQ612" s="621"/>
      <c r="YR612" s="3933"/>
      <c r="YS612" s="3933"/>
      <c r="YT612" s="3933"/>
      <c r="YU612" s="621"/>
      <c r="YV612" s="3933"/>
      <c r="YW612" s="3933"/>
      <c r="YX612" s="3933"/>
      <c r="YY612" s="621"/>
      <c r="YZ612" s="3933"/>
      <c r="ZA612" s="3933"/>
      <c r="ZB612" s="3933"/>
      <c r="ZC612" s="621"/>
      <c r="ZD612" s="3933"/>
      <c r="ZE612" s="3933"/>
      <c r="ZF612" s="3933"/>
      <c r="ZG612" s="621"/>
      <c r="ZH612" s="3933"/>
      <c r="ZI612" s="3933"/>
      <c r="ZJ612" s="3933"/>
      <c r="ZK612" s="621"/>
      <c r="ZL612" s="3933"/>
      <c r="ZM612" s="3933"/>
      <c r="ZN612" s="3933"/>
      <c r="ZO612" s="621"/>
      <c r="ZP612" s="3933"/>
      <c r="ZQ612" s="3933"/>
      <c r="ZR612" s="3933"/>
      <c r="ZS612" s="621"/>
      <c r="ZT612" s="3933"/>
      <c r="ZU612" s="3933"/>
      <c r="ZV612" s="3933"/>
      <c r="ZW612" s="621"/>
      <c r="ZX612" s="3933"/>
      <c r="ZY612" s="3933"/>
      <c r="ZZ612" s="3933"/>
      <c r="AAA612" s="621"/>
      <c r="AAB612" s="3933"/>
      <c r="AAC612" s="3933"/>
      <c r="AAD612" s="3933"/>
      <c r="AAE612" s="621"/>
      <c r="AAF612" s="3933"/>
      <c r="AAG612" s="3933"/>
      <c r="AAH612" s="3933"/>
      <c r="AAI612" s="621"/>
      <c r="AAJ612" s="3933"/>
      <c r="AAK612" s="3933"/>
      <c r="AAL612" s="3933"/>
      <c r="AAM612" s="621"/>
      <c r="AAN612" s="3933"/>
      <c r="AAO612" s="3933"/>
      <c r="AAP612" s="3933"/>
      <c r="AAQ612" s="621"/>
      <c r="AAR612" s="3933"/>
      <c r="AAS612" s="3933"/>
      <c r="AAT612" s="3933"/>
      <c r="AAU612" s="621"/>
      <c r="AAV612" s="3933"/>
      <c r="AAW612" s="3933"/>
      <c r="AAX612" s="3933"/>
      <c r="AAY612" s="621"/>
      <c r="AAZ612" s="3933"/>
      <c r="ABA612" s="3933"/>
      <c r="ABB612" s="3933"/>
      <c r="ABC612" s="621"/>
      <c r="ABD612" s="3933"/>
      <c r="ABE612" s="3933"/>
      <c r="ABF612" s="3933"/>
      <c r="ABG612" s="621"/>
      <c r="ABH612" s="3933"/>
      <c r="ABI612" s="3933"/>
      <c r="ABJ612" s="3933"/>
      <c r="ABK612" s="621"/>
      <c r="ABL612" s="3933"/>
      <c r="ABM612" s="3933"/>
      <c r="ABN612" s="3933"/>
      <c r="ABO612" s="621"/>
      <c r="ABP612" s="3933"/>
      <c r="ABQ612" s="3933"/>
      <c r="ABR612" s="3933"/>
      <c r="ABS612" s="621"/>
      <c r="ABT612" s="3933"/>
      <c r="ABU612" s="3933"/>
      <c r="ABV612" s="3933"/>
      <c r="ABW612" s="621"/>
      <c r="ABX612" s="3933"/>
      <c r="ABY612" s="3933"/>
      <c r="ABZ612" s="3933"/>
      <c r="ACA612" s="621"/>
      <c r="ACB612" s="3933"/>
      <c r="ACC612" s="3933"/>
      <c r="ACD612" s="3933"/>
      <c r="ACE612" s="621"/>
      <c r="ACF612" s="3933"/>
      <c r="ACG612" s="3933"/>
      <c r="ACH612" s="3933"/>
      <c r="ACI612" s="621"/>
      <c r="ACJ612" s="3933"/>
      <c r="ACK612" s="3933"/>
      <c r="ACL612" s="3933"/>
      <c r="ACM612" s="621"/>
      <c r="ACN612" s="3933"/>
      <c r="ACO612" s="3933"/>
      <c r="ACP612" s="3933"/>
      <c r="ACQ612" s="621"/>
      <c r="ACR612" s="3933"/>
      <c r="ACS612" s="3933"/>
      <c r="ACT612" s="3933"/>
      <c r="ACU612" s="621"/>
      <c r="ACV612" s="3933"/>
      <c r="ACW612" s="3933"/>
      <c r="ACX612" s="3933"/>
      <c r="ACY612" s="621"/>
      <c r="ACZ612" s="3933"/>
      <c r="ADA612" s="3933"/>
      <c r="ADB612" s="3933"/>
      <c r="ADC612" s="621"/>
      <c r="ADD612" s="3933"/>
      <c r="ADE612" s="3933"/>
      <c r="ADF612" s="3933"/>
      <c r="ADG612" s="621"/>
      <c r="ADH612" s="3933"/>
      <c r="ADI612" s="3933"/>
      <c r="ADJ612" s="3933"/>
      <c r="ADK612" s="621"/>
      <c r="ADL612" s="3933"/>
      <c r="ADM612" s="3933"/>
      <c r="ADN612" s="3933"/>
      <c r="ADO612" s="621"/>
      <c r="ADP612" s="3933"/>
      <c r="ADQ612" s="3933"/>
      <c r="ADR612" s="3933"/>
      <c r="ADS612" s="621"/>
      <c r="ADT612" s="3933"/>
      <c r="ADU612" s="3933"/>
      <c r="ADV612" s="3933"/>
      <c r="ADW612" s="621"/>
      <c r="ADX612" s="3933"/>
      <c r="ADY612" s="3933"/>
      <c r="ADZ612" s="3933"/>
      <c r="AEA612" s="621"/>
      <c r="AEB612" s="3933"/>
      <c r="AEC612" s="3933"/>
      <c r="AED612" s="3933"/>
      <c r="AEE612" s="621"/>
      <c r="AEF612" s="3933"/>
      <c r="AEG612" s="3933"/>
      <c r="AEH612" s="3933"/>
      <c r="AEI612" s="621"/>
      <c r="AEJ612" s="3933"/>
      <c r="AEK612" s="3933"/>
      <c r="AEL612" s="3933"/>
      <c r="AEM612" s="621"/>
      <c r="AEN612" s="3933"/>
      <c r="AEO612" s="3933"/>
      <c r="AEP612" s="3933"/>
      <c r="AEQ612" s="621"/>
      <c r="AER612" s="3933"/>
      <c r="AES612" s="3933"/>
      <c r="AET612" s="3933"/>
      <c r="AEU612" s="621"/>
      <c r="AEV612" s="3933"/>
      <c r="AEW612" s="3933"/>
      <c r="AEX612" s="3933"/>
      <c r="AEY612" s="621"/>
      <c r="AEZ612" s="3933"/>
      <c r="AFA612" s="3933"/>
      <c r="AFB612" s="3933"/>
      <c r="AFC612" s="621"/>
      <c r="AFD612" s="3933"/>
      <c r="AFE612" s="3933"/>
      <c r="AFF612" s="3933"/>
      <c r="AFG612" s="621"/>
      <c r="AFH612" s="3933"/>
      <c r="AFI612" s="3933"/>
      <c r="AFJ612" s="3933"/>
      <c r="AFK612" s="621"/>
      <c r="AFL612" s="3933"/>
      <c r="AFM612" s="3933"/>
      <c r="AFN612" s="3933"/>
      <c r="AFO612" s="621"/>
      <c r="AFP612" s="3933"/>
      <c r="AFQ612" s="3933"/>
      <c r="AFR612" s="3933"/>
      <c r="AFS612" s="621"/>
      <c r="AFT612" s="3933"/>
      <c r="AFU612" s="3933"/>
      <c r="AFV612" s="3933"/>
      <c r="AFW612" s="621"/>
      <c r="AFX612" s="3933"/>
      <c r="AFY612" s="3933"/>
      <c r="AFZ612" s="3933"/>
      <c r="AGA612" s="621"/>
      <c r="AGB612" s="3933"/>
      <c r="AGC612" s="3933"/>
      <c r="AGD612" s="3933"/>
      <c r="AGE612" s="621"/>
      <c r="AGF612" s="3933"/>
      <c r="AGG612" s="3933"/>
      <c r="AGH612" s="3933"/>
      <c r="AGI612" s="621"/>
      <c r="AGJ612" s="3933"/>
      <c r="AGK612" s="3933"/>
      <c r="AGL612" s="3933"/>
      <c r="AGM612" s="621"/>
      <c r="AGN612" s="3933"/>
      <c r="AGO612" s="3933"/>
      <c r="AGP612" s="3933"/>
      <c r="AGQ612" s="621"/>
      <c r="AGR612" s="3933"/>
      <c r="AGS612" s="3933"/>
      <c r="AGT612" s="3933"/>
      <c r="AGU612" s="621"/>
      <c r="AGV612" s="3933"/>
      <c r="AGW612" s="3933"/>
      <c r="AGX612" s="3933"/>
      <c r="AGY612" s="621"/>
      <c r="AGZ612" s="3933"/>
      <c r="AHA612" s="3933"/>
      <c r="AHB612" s="3933"/>
      <c r="AHC612" s="621"/>
      <c r="AHD612" s="3933"/>
      <c r="AHE612" s="3933"/>
      <c r="AHF612" s="3933"/>
      <c r="AHG612" s="621"/>
      <c r="AHH612" s="3933"/>
      <c r="AHI612" s="3933"/>
      <c r="AHJ612" s="3933"/>
      <c r="AHK612" s="621"/>
      <c r="AHL612" s="3933"/>
      <c r="AHM612" s="3933"/>
      <c r="AHN612" s="3933"/>
      <c r="AHO612" s="621"/>
      <c r="AHP612" s="3933"/>
      <c r="AHQ612" s="3933"/>
      <c r="AHR612" s="3933"/>
      <c r="AHS612" s="621"/>
      <c r="AHT612" s="3933"/>
      <c r="AHU612" s="3933"/>
      <c r="AHV612" s="3933"/>
      <c r="AHW612" s="621"/>
      <c r="AHX612" s="3933"/>
      <c r="AHY612" s="3933"/>
      <c r="AHZ612" s="3933"/>
      <c r="AIA612" s="621"/>
      <c r="AIB612" s="3933"/>
      <c r="AIC612" s="3933"/>
      <c r="AID612" s="3933"/>
      <c r="AIE612" s="621"/>
      <c r="AIF612" s="3933"/>
      <c r="AIG612" s="3933"/>
      <c r="AIH612" s="3933"/>
      <c r="AII612" s="621"/>
      <c r="AIJ612" s="3933"/>
      <c r="AIK612" s="3933"/>
      <c r="AIL612" s="3933"/>
      <c r="AIM612" s="621"/>
      <c r="AIN612" s="3933"/>
      <c r="AIO612" s="3933"/>
      <c r="AIP612" s="3933"/>
      <c r="AIQ612" s="621"/>
      <c r="AIR612" s="3933"/>
      <c r="AIS612" s="3933"/>
      <c r="AIT612" s="3933"/>
      <c r="AIU612" s="621"/>
      <c r="AIV612" s="3933"/>
      <c r="AIW612" s="3933"/>
      <c r="AIX612" s="3933"/>
      <c r="AIY612" s="621"/>
      <c r="AIZ612" s="3933"/>
      <c r="AJA612" s="3933"/>
      <c r="AJB612" s="3933"/>
      <c r="AJC612" s="621"/>
      <c r="AJD612" s="3933"/>
      <c r="AJE612" s="3933"/>
      <c r="AJF612" s="3933"/>
      <c r="AJG612" s="621"/>
      <c r="AJH612" s="3933"/>
      <c r="AJI612" s="3933"/>
      <c r="AJJ612" s="3933"/>
      <c r="AJK612" s="621"/>
      <c r="AJL612" s="3933"/>
      <c r="AJM612" s="3933"/>
      <c r="AJN612" s="3933"/>
      <c r="AJO612" s="621"/>
      <c r="AJP612" s="3933"/>
      <c r="AJQ612" s="3933"/>
      <c r="AJR612" s="3933"/>
      <c r="AJS612" s="621"/>
      <c r="AJT612" s="3933"/>
      <c r="AJU612" s="3933"/>
      <c r="AJV612" s="3933"/>
      <c r="AJW612" s="621"/>
      <c r="AJX612" s="3933"/>
      <c r="AJY612" s="3933"/>
      <c r="AJZ612" s="3933"/>
      <c r="AKA612" s="621"/>
      <c r="AKB612" s="3933"/>
      <c r="AKC612" s="3933"/>
      <c r="AKD612" s="3933"/>
      <c r="AKE612" s="621"/>
      <c r="AKF612" s="3933"/>
      <c r="AKG612" s="3933"/>
      <c r="AKH612" s="3933"/>
      <c r="AKI612" s="621"/>
      <c r="AKJ612" s="3933"/>
      <c r="AKK612" s="3933"/>
      <c r="AKL612" s="3933"/>
      <c r="AKM612" s="621"/>
      <c r="AKN612" s="3933"/>
      <c r="AKO612" s="3933"/>
      <c r="AKP612" s="3933"/>
      <c r="AKQ612" s="621"/>
      <c r="AKR612" s="3933"/>
      <c r="AKS612" s="3933"/>
      <c r="AKT612" s="3933"/>
      <c r="AKU612" s="621"/>
      <c r="AKV612" s="3933"/>
      <c r="AKW612" s="3933"/>
      <c r="AKX612" s="3933"/>
      <c r="AKY612" s="621"/>
      <c r="AKZ612" s="3933"/>
      <c r="ALA612" s="3933"/>
      <c r="ALB612" s="3933"/>
      <c r="ALC612" s="621"/>
      <c r="ALD612" s="3933"/>
      <c r="ALE612" s="3933"/>
      <c r="ALF612" s="3933"/>
      <c r="ALG612" s="621"/>
      <c r="ALH612" s="3933"/>
      <c r="ALI612" s="3933"/>
      <c r="ALJ612" s="3933"/>
      <c r="ALK612" s="621"/>
      <c r="ALL612" s="3933"/>
      <c r="ALM612" s="3933"/>
      <c r="ALN612" s="3933"/>
      <c r="ALO612" s="621"/>
      <c r="ALP612" s="3933"/>
      <c r="ALQ612" s="3933"/>
      <c r="ALR612" s="3933"/>
      <c r="ALS612" s="621"/>
      <c r="ALT612" s="3933"/>
      <c r="ALU612" s="3933"/>
      <c r="ALV612" s="3933"/>
      <c r="ALW612" s="621"/>
      <c r="ALX612" s="3933"/>
      <c r="ALY612" s="3933"/>
      <c r="ALZ612" s="3933"/>
      <c r="AMA612" s="621"/>
      <c r="AMB612" s="3933"/>
      <c r="AMC612" s="3933"/>
      <c r="AMD612" s="3933"/>
      <c r="AME612" s="621"/>
      <c r="AMF612" s="3933"/>
      <c r="AMG612" s="3933"/>
      <c r="AMH612" s="3933"/>
      <c r="AMI612" s="621"/>
      <c r="AMJ612" s="3933"/>
      <c r="AMK612" s="3933"/>
      <c r="AML612" s="3933"/>
      <c r="AMM612" s="621"/>
      <c r="AMN612" s="3933"/>
      <c r="AMO612" s="3933"/>
      <c r="AMP612" s="3933"/>
      <c r="AMQ612" s="621"/>
      <c r="AMR612" s="3933"/>
      <c r="AMS612" s="3933"/>
      <c r="AMT612" s="3933"/>
      <c r="AMU612" s="621"/>
      <c r="AMV612" s="3933"/>
      <c r="AMW612" s="3933"/>
      <c r="AMX612" s="3933"/>
      <c r="AMY612" s="621"/>
      <c r="AMZ612" s="3933"/>
      <c r="ANA612" s="3933"/>
      <c r="ANB612" s="3933"/>
      <c r="ANC612" s="621"/>
      <c r="AND612" s="3933"/>
      <c r="ANE612" s="3933"/>
      <c r="ANF612" s="3933"/>
      <c r="ANG612" s="621"/>
      <c r="ANH612" s="3933"/>
      <c r="ANI612" s="3933"/>
      <c r="ANJ612" s="3933"/>
      <c r="ANK612" s="621"/>
      <c r="ANL612" s="3933"/>
      <c r="ANM612" s="3933"/>
      <c r="ANN612" s="3933"/>
      <c r="ANO612" s="621"/>
      <c r="ANP612" s="3933"/>
      <c r="ANQ612" s="3933"/>
      <c r="ANR612" s="3933"/>
      <c r="ANS612" s="621"/>
      <c r="ANT612" s="3933"/>
      <c r="ANU612" s="3933"/>
      <c r="ANV612" s="3933"/>
      <c r="ANW612" s="621"/>
      <c r="ANX612" s="3933"/>
      <c r="ANY612" s="3933"/>
      <c r="ANZ612" s="3933"/>
      <c r="AOA612" s="621"/>
      <c r="AOB612" s="3933"/>
      <c r="AOC612" s="3933"/>
      <c r="AOD612" s="3933"/>
      <c r="AOE612" s="621"/>
      <c r="AOF612" s="3933"/>
      <c r="AOG612" s="3933"/>
      <c r="AOH612" s="3933"/>
      <c r="AOI612" s="621"/>
      <c r="AOJ612" s="3933"/>
      <c r="AOK612" s="3933"/>
      <c r="AOL612" s="3933"/>
      <c r="AOM612" s="621"/>
      <c r="AON612" s="3933"/>
      <c r="AOO612" s="3933"/>
      <c r="AOP612" s="3933"/>
      <c r="AOQ612" s="621"/>
      <c r="AOR612" s="3933"/>
      <c r="AOS612" s="3933"/>
      <c r="AOT612" s="3933"/>
      <c r="AOU612" s="621"/>
      <c r="AOV612" s="3933"/>
      <c r="AOW612" s="3933"/>
      <c r="AOX612" s="3933"/>
      <c r="AOY612" s="621"/>
      <c r="AOZ612" s="3933"/>
      <c r="APA612" s="3933"/>
      <c r="APB612" s="3933"/>
      <c r="APC612" s="621"/>
      <c r="APD612" s="3933"/>
      <c r="APE612" s="3933"/>
      <c r="APF612" s="3933"/>
      <c r="APG612" s="621"/>
      <c r="APH612" s="3933"/>
      <c r="API612" s="3933"/>
      <c r="APJ612" s="3933"/>
      <c r="APK612" s="621"/>
      <c r="APL612" s="3933"/>
      <c r="APM612" s="3933"/>
      <c r="APN612" s="3933"/>
      <c r="APO612" s="621"/>
      <c r="APP612" s="3933"/>
      <c r="APQ612" s="3933"/>
      <c r="APR612" s="3933"/>
      <c r="APS612" s="621"/>
      <c r="APT612" s="3933"/>
      <c r="APU612" s="3933"/>
      <c r="APV612" s="3933"/>
      <c r="APW612" s="621"/>
      <c r="APX612" s="3933"/>
      <c r="APY612" s="3933"/>
      <c r="APZ612" s="3933"/>
      <c r="AQA612" s="621"/>
      <c r="AQB612" s="3933"/>
      <c r="AQC612" s="3933"/>
      <c r="AQD612" s="3933"/>
      <c r="AQE612" s="621"/>
      <c r="AQF612" s="3933"/>
      <c r="AQG612" s="3933"/>
      <c r="AQH612" s="3933"/>
      <c r="AQI612" s="621"/>
      <c r="AQJ612" s="3933"/>
      <c r="AQK612" s="3933"/>
      <c r="AQL612" s="3933"/>
      <c r="AQM612" s="621"/>
      <c r="AQN612" s="3933"/>
      <c r="AQO612" s="3933"/>
      <c r="AQP612" s="3933"/>
      <c r="AQQ612" s="621"/>
      <c r="AQR612" s="3933"/>
      <c r="AQS612" s="3933"/>
      <c r="AQT612" s="3933"/>
      <c r="AQU612" s="621"/>
      <c r="AQV612" s="3933"/>
      <c r="AQW612" s="3933"/>
      <c r="AQX612" s="3933"/>
      <c r="AQY612" s="621"/>
      <c r="AQZ612" s="3933"/>
      <c r="ARA612" s="3933"/>
      <c r="ARB612" s="3933"/>
      <c r="ARC612" s="621"/>
      <c r="ARD612" s="3933"/>
      <c r="ARE612" s="3933"/>
      <c r="ARF612" s="3933"/>
      <c r="ARG612" s="621"/>
      <c r="ARH612" s="3933"/>
      <c r="ARI612" s="3933"/>
      <c r="ARJ612" s="3933"/>
      <c r="ARK612" s="621"/>
      <c r="ARL612" s="3933"/>
      <c r="ARM612" s="3933"/>
      <c r="ARN612" s="3933"/>
      <c r="ARO612" s="621"/>
      <c r="ARP612" s="3933"/>
      <c r="ARQ612" s="3933"/>
      <c r="ARR612" s="3933"/>
      <c r="ARS612" s="621"/>
      <c r="ART612" s="3933"/>
      <c r="ARU612" s="3933"/>
      <c r="ARV612" s="3933"/>
      <c r="ARW612" s="621"/>
      <c r="ARX612" s="3933"/>
      <c r="ARY612" s="3933"/>
      <c r="ARZ612" s="3933"/>
      <c r="ASA612" s="621"/>
      <c r="ASB612" s="3933"/>
      <c r="ASC612" s="3933"/>
      <c r="ASD612" s="3933"/>
      <c r="ASE612" s="621"/>
      <c r="ASF612" s="3933"/>
      <c r="ASG612" s="3933"/>
      <c r="ASH612" s="3933"/>
      <c r="ASI612" s="621"/>
      <c r="ASJ612" s="3933"/>
      <c r="ASK612" s="3933"/>
      <c r="ASL612" s="3933"/>
      <c r="ASM612" s="621"/>
      <c r="ASN612" s="3933"/>
      <c r="ASO612" s="3933"/>
      <c r="ASP612" s="3933"/>
      <c r="ASQ612" s="621"/>
      <c r="ASR612" s="3933"/>
      <c r="ASS612" s="3933"/>
      <c r="AST612" s="3933"/>
      <c r="ASU612" s="621"/>
      <c r="ASV612" s="3933"/>
      <c r="ASW612" s="3933"/>
      <c r="ASX612" s="3933"/>
      <c r="ASY612" s="621"/>
      <c r="ASZ612" s="3933"/>
      <c r="ATA612" s="3933"/>
      <c r="ATB612" s="3933"/>
      <c r="ATC612" s="621"/>
      <c r="ATD612" s="3933"/>
      <c r="ATE612" s="3933"/>
      <c r="ATF612" s="3933"/>
      <c r="ATG612" s="621"/>
      <c r="ATH612" s="3933"/>
      <c r="ATI612" s="3933"/>
      <c r="ATJ612" s="3933"/>
      <c r="ATK612" s="621"/>
      <c r="ATL612" s="3933"/>
      <c r="ATM612" s="3933"/>
      <c r="ATN612" s="3933"/>
      <c r="ATO612" s="621"/>
      <c r="ATP612" s="3933"/>
      <c r="ATQ612" s="3933"/>
      <c r="ATR612" s="3933"/>
      <c r="ATS612" s="621"/>
      <c r="ATT612" s="3933"/>
      <c r="ATU612" s="3933"/>
      <c r="ATV612" s="3933"/>
      <c r="ATW612" s="621"/>
      <c r="ATX612" s="3933"/>
      <c r="ATY612" s="3933"/>
      <c r="ATZ612" s="3933"/>
      <c r="AUA612" s="621"/>
      <c r="AUB612" s="3933"/>
      <c r="AUC612" s="3933"/>
      <c r="AUD612" s="3933"/>
      <c r="AUE612" s="621"/>
      <c r="AUF612" s="3933"/>
      <c r="AUG612" s="3933"/>
      <c r="AUH612" s="3933"/>
      <c r="AUI612" s="621"/>
      <c r="AUJ612" s="3933"/>
      <c r="AUK612" s="3933"/>
      <c r="AUL612" s="3933"/>
      <c r="AUM612" s="621"/>
      <c r="AUN612" s="3933"/>
      <c r="AUO612" s="3933"/>
      <c r="AUP612" s="3933"/>
      <c r="AUQ612" s="621"/>
      <c r="AUR612" s="3933"/>
      <c r="AUS612" s="3933"/>
      <c r="AUT612" s="3933"/>
      <c r="AUU612" s="621"/>
      <c r="AUV612" s="3933"/>
      <c r="AUW612" s="3933"/>
      <c r="AUX612" s="3933"/>
      <c r="AUY612" s="621"/>
      <c r="AUZ612" s="3933"/>
      <c r="AVA612" s="3933"/>
      <c r="AVB612" s="3933"/>
      <c r="AVC612" s="621"/>
      <c r="AVD612" s="3933"/>
      <c r="AVE612" s="3933"/>
      <c r="AVF612" s="3933"/>
      <c r="AVG612" s="621"/>
      <c r="AVH612" s="3933"/>
      <c r="AVI612" s="3933"/>
      <c r="AVJ612" s="3933"/>
      <c r="AVK612" s="621"/>
      <c r="AVL612" s="3933"/>
      <c r="AVM612" s="3933"/>
      <c r="AVN612" s="3933"/>
      <c r="AVO612" s="621"/>
      <c r="AVP612" s="3933"/>
      <c r="AVQ612" s="3933"/>
      <c r="AVR612" s="3933"/>
      <c r="AVS612" s="621"/>
      <c r="AVT612" s="3933"/>
      <c r="AVU612" s="3933"/>
      <c r="AVV612" s="3933"/>
      <c r="AVW612" s="621"/>
      <c r="AVX612" s="3933"/>
      <c r="AVY612" s="3933"/>
      <c r="AVZ612" s="3933"/>
      <c r="AWA612" s="621"/>
      <c r="AWB612" s="3933"/>
      <c r="AWC612" s="3933"/>
      <c r="AWD612" s="3933"/>
      <c r="AWE612" s="621"/>
      <c r="AWF612" s="3933"/>
      <c r="AWG612" s="3933"/>
      <c r="AWH612" s="3933"/>
      <c r="AWI612" s="621"/>
      <c r="AWJ612" s="3933"/>
      <c r="AWK612" s="3933"/>
      <c r="AWL612" s="3933"/>
      <c r="AWM612" s="621"/>
      <c r="AWN612" s="3933"/>
      <c r="AWO612" s="3933"/>
      <c r="AWP612" s="3933"/>
      <c r="AWQ612" s="621"/>
      <c r="AWR612" s="3933"/>
      <c r="AWS612" s="3933"/>
      <c r="AWT612" s="3933"/>
      <c r="AWU612" s="621"/>
      <c r="AWV612" s="3933"/>
      <c r="AWW612" s="3933"/>
      <c r="AWX612" s="3933"/>
      <c r="AWY612" s="621"/>
      <c r="AWZ612" s="3933"/>
      <c r="AXA612" s="3933"/>
      <c r="AXB612" s="3933"/>
      <c r="AXC612" s="621"/>
      <c r="AXD612" s="3933"/>
      <c r="AXE612" s="3933"/>
      <c r="AXF612" s="3933"/>
      <c r="AXG612" s="621"/>
      <c r="AXH612" s="3933"/>
      <c r="AXI612" s="3933"/>
      <c r="AXJ612" s="3933"/>
      <c r="AXK612" s="621"/>
      <c r="AXL612" s="3933"/>
      <c r="AXM612" s="3933"/>
      <c r="AXN612" s="3933"/>
      <c r="AXO612" s="621"/>
      <c r="AXP612" s="3933"/>
      <c r="AXQ612" s="3933"/>
      <c r="AXR612" s="3933"/>
      <c r="AXS612" s="621"/>
      <c r="AXT612" s="3933"/>
      <c r="AXU612" s="3933"/>
      <c r="AXV612" s="3933"/>
      <c r="AXW612" s="621"/>
      <c r="AXX612" s="3933"/>
      <c r="AXY612" s="3933"/>
      <c r="AXZ612" s="3933"/>
      <c r="AYA612" s="621"/>
      <c r="AYB612" s="3933"/>
      <c r="AYC612" s="3933"/>
      <c r="AYD612" s="3933"/>
      <c r="AYE612" s="621"/>
      <c r="AYF612" s="3933"/>
      <c r="AYG612" s="3933"/>
      <c r="AYH612" s="3933"/>
      <c r="AYI612" s="621"/>
      <c r="AYJ612" s="3933"/>
      <c r="AYK612" s="3933"/>
      <c r="AYL612" s="3933"/>
      <c r="AYM612" s="621"/>
      <c r="AYN612" s="3933"/>
      <c r="AYO612" s="3933"/>
      <c r="AYP612" s="3933"/>
      <c r="AYQ612" s="621"/>
      <c r="AYR612" s="3933"/>
      <c r="AYS612" s="3933"/>
      <c r="AYT612" s="3933"/>
      <c r="AYU612" s="621"/>
      <c r="AYV612" s="3933"/>
      <c r="AYW612" s="3933"/>
      <c r="AYX612" s="3933"/>
      <c r="AYY612" s="621"/>
      <c r="AYZ612" s="3933"/>
      <c r="AZA612" s="3933"/>
      <c r="AZB612" s="3933"/>
      <c r="AZC612" s="621"/>
      <c r="AZD612" s="3933"/>
      <c r="AZE612" s="3933"/>
      <c r="AZF612" s="3933"/>
      <c r="AZG612" s="621"/>
      <c r="AZH612" s="3933"/>
      <c r="AZI612" s="3933"/>
      <c r="AZJ612" s="3933"/>
      <c r="AZK612" s="621"/>
      <c r="AZL612" s="3933"/>
      <c r="AZM612" s="3933"/>
      <c r="AZN612" s="3933"/>
      <c r="AZO612" s="621"/>
      <c r="AZP612" s="3933"/>
      <c r="AZQ612" s="3933"/>
      <c r="AZR612" s="3933"/>
      <c r="AZS612" s="621"/>
      <c r="AZT612" s="3933"/>
      <c r="AZU612" s="3933"/>
      <c r="AZV612" s="3933"/>
      <c r="AZW612" s="621"/>
      <c r="AZX612" s="3933"/>
      <c r="AZY612" s="3933"/>
      <c r="AZZ612" s="3933"/>
      <c r="BAA612" s="621"/>
      <c r="BAB612" s="3933"/>
      <c r="BAC612" s="3933"/>
      <c r="BAD612" s="3933"/>
      <c r="BAE612" s="621"/>
      <c r="BAF612" s="3933"/>
      <c r="BAG612" s="3933"/>
      <c r="BAH612" s="3933"/>
      <c r="BAI612" s="621"/>
      <c r="BAJ612" s="3933"/>
      <c r="BAK612" s="3933"/>
      <c r="BAL612" s="3933"/>
      <c r="BAM612" s="621"/>
      <c r="BAN612" s="3933"/>
      <c r="BAO612" s="3933"/>
      <c r="BAP612" s="3933"/>
      <c r="BAQ612" s="621"/>
      <c r="BAR612" s="3933"/>
      <c r="BAS612" s="3933"/>
      <c r="BAT612" s="3933"/>
      <c r="BAU612" s="621"/>
      <c r="BAV612" s="3933"/>
      <c r="BAW612" s="3933"/>
      <c r="BAX612" s="3933"/>
      <c r="BAY612" s="621"/>
      <c r="BAZ612" s="3933"/>
      <c r="BBA612" s="3933"/>
      <c r="BBB612" s="3933"/>
      <c r="BBC612" s="621"/>
      <c r="BBD612" s="3933"/>
      <c r="BBE612" s="3933"/>
      <c r="BBF612" s="3933"/>
      <c r="BBG612" s="621"/>
      <c r="BBH612" s="3933"/>
      <c r="BBI612" s="3933"/>
      <c r="BBJ612" s="3933"/>
      <c r="BBK612" s="621"/>
      <c r="BBL612" s="3933"/>
      <c r="BBM612" s="3933"/>
      <c r="BBN612" s="3933"/>
      <c r="BBO612" s="621"/>
      <c r="BBP612" s="3933"/>
      <c r="BBQ612" s="3933"/>
      <c r="BBR612" s="3933"/>
      <c r="BBS612" s="621"/>
      <c r="BBT612" s="3933"/>
      <c r="BBU612" s="3933"/>
      <c r="BBV612" s="3933"/>
      <c r="BBW612" s="621"/>
      <c r="BBX612" s="3933"/>
      <c r="BBY612" s="3933"/>
      <c r="BBZ612" s="3933"/>
      <c r="BCA612" s="621"/>
      <c r="BCB612" s="3933"/>
      <c r="BCC612" s="3933"/>
      <c r="BCD612" s="3933"/>
      <c r="BCE612" s="621"/>
      <c r="BCF612" s="3933"/>
      <c r="BCG612" s="3933"/>
      <c r="BCH612" s="3933"/>
      <c r="BCI612" s="621"/>
      <c r="BCJ612" s="3933"/>
      <c r="BCK612" s="3933"/>
      <c r="BCL612" s="3933"/>
      <c r="BCM612" s="621"/>
      <c r="BCN612" s="3933"/>
      <c r="BCO612" s="3933"/>
      <c r="BCP612" s="3933"/>
      <c r="BCQ612" s="621"/>
      <c r="BCR612" s="3933"/>
      <c r="BCS612" s="3933"/>
      <c r="BCT612" s="3933"/>
      <c r="BCU612" s="621"/>
      <c r="BCV612" s="3933"/>
      <c r="BCW612" s="3933"/>
      <c r="BCX612" s="3933"/>
      <c r="BCY612" s="621"/>
      <c r="BCZ612" s="3933"/>
      <c r="BDA612" s="3933"/>
      <c r="BDB612" s="3933"/>
      <c r="BDC612" s="621"/>
      <c r="BDD612" s="3933"/>
      <c r="BDE612" s="3933"/>
      <c r="BDF612" s="3933"/>
      <c r="BDG612" s="621"/>
      <c r="BDH612" s="3933"/>
      <c r="BDI612" s="3933"/>
      <c r="BDJ612" s="3933"/>
      <c r="BDK612" s="621"/>
      <c r="BDL612" s="3933"/>
      <c r="BDM612" s="3933"/>
      <c r="BDN612" s="3933"/>
      <c r="BDO612" s="621"/>
      <c r="BDP612" s="3933"/>
      <c r="BDQ612" s="3933"/>
      <c r="BDR612" s="3933"/>
      <c r="BDS612" s="621"/>
      <c r="BDT612" s="3933"/>
      <c r="BDU612" s="3933"/>
      <c r="BDV612" s="3933"/>
      <c r="BDW612" s="621"/>
      <c r="BDX612" s="3933"/>
      <c r="BDY612" s="3933"/>
      <c r="BDZ612" s="3933"/>
      <c r="BEA612" s="621"/>
      <c r="BEB612" s="3933"/>
      <c r="BEC612" s="3933"/>
      <c r="BED612" s="3933"/>
      <c r="BEE612" s="621"/>
      <c r="BEF612" s="3933"/>
      <c r="BEG612" s="3933"/>
      <c r="BEH612" s="3933"/>
      <c r="BEI612" s="621"/>
      <c r="BEJ612" s="3933"/>
      <c r="BEK612" s="3933"/>
      <c r="BEL612" s="3933"/>
      <c r="BEM612" s="621"/>
      <c r="BEN612" s="3933"/>
      <c r="BEO612" s="3933"/>
      <c r="BEP612" s="3933"/>
      <c r="BEQ612" s="621"/>
      <c r="BER612" s="3933"/>
      <c r="BES612" s="3933"/>
      <c r="BET612" s="3933"/>
      <c r="BEU612" s="621"/>
      <c r="BEV612" s="3933"/>
      <c r="BEW612" s="3933"/>
      <c r="BEX612" s="3933"/>
      <c r="BEY612" s="621"/>
      <c r="BEZ612" s="3933"/>
      <c r="BFA612" s="3933"/>
      <c r="BFB612" s="3933"/>
      <c r="BFC612" s="621"/>
      <c r="BFD612" s="3933"/>
      <c r="BFE612" s="3933"/>
      <c r="BFF612" s="3933"/>
      <c r="BFG612" s="621"/>
      <c r="BFH612" s="3933"/>
      <c r="BFI612" s="3933"/>
      <c r="BFJ612" s="3933"/>
      <c r="BFK612" s="621"/>
      <c r="BFL612" s="3933"/>
      <c r="BFM612" s="3933"/>
      <c r="BFN612" s="3933"/>
      <c r="BFO612" s="621"/>
      <c r="BFP612" s="3933"/>
      <c r="BFQ612" s="3933"/>
      <c r="BFR612" s="3933"/>
      <c r="BFS612" s="621"/>
      <c r="BFT612" s="3933"/>
      <c r="BFU612" s="3933"/>
      <c r="BFV612" s="3933"/>
      <c r="BFW612" s="621"/>
      <c r="BFX612" s="3933"/>
      <c r="BFY612" s="3933"/>
      <c r="BFZ612" s="3933"/>
      <c r="BGA612" s="621"/>
      <c r="BGB612" s="3933"/>
      <c r="BGC612" s="3933"/>
      <c r="BGD612" s="3933"/>
      <c r="BGE612" s="621"/>
      <c r="BGF612" s="3933"/>
      <c r="BGG612" s="3933"/>
      <c r="BGH612" s="3933"/>
      <c r="BGI612" s="621"/>
      <c r="BGJ612" s="3933"/>
      <c r="BGK612" s="3933"/>
      <c r="BGL612" s="3933"/>
      <c r="BGM612" s="621"/>
      <c r="BGN612" s="3933"/>
      <c r="BGO612" s="3933"/>
      <c r="BGP612" s="3933"/>
      <c r="BGQ612" s="621"/>
      <c r="BGR612" s="3933"/>
      <c r="BGS612" s="3933"/>
      <c r="BGT612" s="3933"/>
      <c r="BGU612" s="621"/>
      <c r="BGV612" s="3933"/>
      <c r="BGW612" s="3933"/>
      <c r="BGX612" s="3933"/>
      <c r="BGY612" s="621"/>
      <c r="BGZ612" s="3933"/>
      <c r="BHA612" s="3933"/>
      <c r="BHB612" s="3933"/>
      <c r="BHC612" s="621"/>
      <c r="BHD612" s="3933"/>
      <c r="BHE612" s="3933"/>
      <c r="BHF612" s="3933"/>
      <c r="BHG612" s="621"/>
      <c r="BHH612" s="3933"/>
      <c r="BHI612" s="3933"/>
      <c r="BHJ612" s="3933"/>
      <c r="BHK612" s="621"/>
      <c r="BHL612" s="3933"/>
      <c r="BHM612" s="3933"/>
      <c r="BHN612" s="3933"/>
      <c r="BHO612" s="621"/>
      <c r="BHP612" s="3933"/>
      <c r="BHQ612" s="3933"/>
      <c r="BHR612" s="3933"/>
      <c r="BHS612" s="621"/>
      <c r="BHT612" s="3933"/>
      <c r="BHU612" s="3933"/>
      <c r="BHV612" s="3933"/>
      <c r="BHW612" s="621"/>
      <c r="BHX612" s="3933"/>
      <c r="BHY612" s="3933"/>
      <c r="BHZ612" s="3933"/>
      <c r="BIA612" s="621"/>
      <c r="BIB612" s="3933"/>
      <c r="BIC612" s="3933"/>
      <c r="BID612" s="3933"/>
      <c r="BIE612" s="621"/>
      <c r="BIF612" s="3933"/>
      <c r="BIG612" s="3933"/>
      <c r="BIH612" s="3933"/>
      <c r="BII612" s="621"/>
      <c r="BIJ612" s="3933"/>
      <c r="BIK612" s="3933"/>
      <c r="BIL612" s="3933"/>
      <c r="BIM612" s="621"/>
      <c r="BIN612" s="3933"/>
      <c r="BIO612" s="3933"/>
      <c r="BIP612" s="3933"/>
      <c r="BIQ612" s="621"/>
      <c r="BIR612" s="3933"/>
      <c r="BIS612" s="3933"/>
      <c r="BIT612" s="3933"/>
      <c r="BIU612" s="621"/>
      <c r="BIV612" s="3933"/>
      <c r="BIW612" s="3933"/>
      <c r="BIX612" s="3933"/>
      <c r="BIY612" s="621"/>
      <c r="BIZ612" s="3933"/>
      <c r="BJA612" s="3933"/>
      <c r="BJB612" s="3933"/>
      <c r="BJC612" s="621"/>
      <c r="BJD612" s="3933"/>
      <c r="BJE612" s="3933"/>
      <c r="BJF612" s="3933"/>
      <c r="BJG612" s="621"/>
      <c r="BJH612" s="3933"/>
      <c r="BJI612" s="3933"/>
      <c r="BJJ612" s="3933"/>
      <c r="BJK612" s="621"/>
      <c r="BJL612" s="3933"/>
      <c r="BJM612" s="3933"/>
      <c r="BJN612" s="3933"/>
      <c r="BJO612" s="621"/>
      <c r="BJP612" s="3933"/>
      <c r="BJQ612" s="3933"/>
      <c r="BJR612" s="3933"/>
      <c r="BJS612" s="621"/>
      <c r="BJT612" s="3933"/>
      <c r="BJU612" s="3933"/>
      <c r="BJV612" s="3933"/>
      <c r="BJW612" s="621"/>
      <c r="BJX612" s="3933"/>
      <c r="BJY612" s="3933"/>
      <c r="BJZ612" s="3933"/>
      <c r="BKA612" s="621"/>
      <c r="BKB612" s="3933"/>
      <c r="BKC612" s="3933"/>
      <c r="BKD612" s="3933"/>
      <c r="BKE612" s="621"/>
      <c r="BKF612" s="3933"/>
      <c r="BKG612" s="3933"/>
      <c r="BKH612" s="3933"/>
      <c r="BKI612" s="621"/>
      <c r="BKJ612" s="3933"/>
      <c r="BKK612" s="3933"/>
      <c r="BKL612" s="3933"/>
      <c r="BKM612" s="621"/>
      <c r="BKN612" s="3933"/>
      <c r="BKO612" s="3933"/>
      <c r="BKP612" s="3933"/>
      <c r="BKQ612" s="621"/>
      <c r="BKR612" s="3933"/>
      <c r="BKS612" s="3933"/>
      <c r="BKT612" s="3933"/>
      <c r="BKU612" s="621"/>
      <c r="BKV612" s="3933"/>
      <c r="BKW612" s="3933"/>
      <c r="BKX612" s="3933"/>
      <c r="BKY612" s="621"/>
      <c r="BKZ612" s="3933"/>
      <c r="BLA612" s="3933"/>
      <c r="BLB612" s="3933"/>
      <c r="BLC612" s="621"/>
      <c r="BLD612" s="3933"/>
      <c r="BLE612" s="3933"/>
      <c r="BLF612" s="3933"/>
      <c r="BLG612" s="621"/>
      <c r="BLH612" s="3933"/>
      <c r="BLI612" s="3933"/>
      <c r="BLJ612" s="3933"/>
      <c r="BLK612" s="621"/>
      <c r="BLL612" s="3933"/>
      <c r="BLM612" s="3933"/>
      <c r="BLN612" s="3933"/>
      <c r="BLO612" s="621"/>
      <c r="BLP612" s="3933"/>
      <c r="BLQ612" s="3933"/>
      <c r="BLR612" s="3933"/>
      <c r="BLS612" s="621"/>
      <c r="BLT612" s="3933"/>
      <c r="BLU612" s="3933"/>
      <c r="BLV612" s="3933"/>
      <c r="BLW612" s="621"/>
      <c r="BLX612" s="3933"/>
      <c r="BLY612" s="3933"/>
      <c r="BLZ612" s="3933"/>
      <c r="BMA612" s="621"/>
      <c r="BMB612" s="3933"/>
      <c r="BMC612" s="3933"/>
      <c r="BMD612" s="3933"/>
      <c r="BME612" s="621"/>
      <c r="BMF612" s="3933"/>
      <c r="BMG612" s="3933"/>
      <c r="BMH612" s="3933"/>
      <c r="BMI612" s="621"/>
      <c r="BMJ612" s="3933"/>
      <c r="BMK612" s="3933"/>
      <c r="BML612" s="3933"/>
      <c r="BMM612" s="621"/>
      <c r="BMN612" s="3933"/>
      <c r="BMO612" s="3933"/>
      <c r="BMP612" s="3933"/>
      <c r="BMQ612" s="621"/>
      <c r="BMR612" s="3933"/>
      <c r="BMS612" s="3933"/>
      <c r="BMT612" s="3933"/>
      <c r="BMU612" s="621"/>
      <c r="BMV612" s="3933"/>
      <c r="BMW612" s="3933"/>
      <c r="BMX612" s="3933"/>
      <c r="BMY612" s="621"/>
      <c r="BMZ612" s="3933"/>
      <c r="BNA612" s="3933"/>
      <c r="BNB612" s="3933"/>
      <c r="BNC612" s="621"/>
      <c r="BND612" s="3933"/>
      <c r="BNE612" s="3933"/>
      <c r="BNF612" s="3933"/>
      <c r="BNG612" s="621"/>
      <c r="BNH612" s="3933"/>
      <c r="BNI612" s="3933"/>
      <c r="BNJ612" s="3933"/>
      <c r="BNK612" s="621"/>
      <c r="BNL612" s="3933"/>
      <c r="BNM612" s="3933"/>
      <c r="BNN612" s="3933"/>
      <c r="BNO612" s="621"/>
      <c r="BNP612" s="3933"/>
      <c r="BNQ612" s="3933"/>
      <c r="BNR612" s="3933"/>
      <c r="BNS612" s="621"/>
      <c r="BNT612" s="3933"/>
      <c r="BNU612" s="3933"/>
      <c r="BNV612" s="3933"/>
      <c r="BNW612" s="621"/>
      <c r="BNX612" s="3933"/>
      <c r="BNY612" s="3933"/>
      <c r="BNZ612" s="3933"/>
      <c r="BOA612" s="621"/>
      <c r="BOB612" s="3933"/>
      <c r="BOC612" s="3933"/>
      <c r="BOD612" s="3933"/>
      <c r="BOE612" s="621"/>
      <c r="BOF612" s="3933"/>
      <c r="BOG612" s="3933"/>
      <c r="BOH612" s="3933"/>
      <c r="BOI612" s="621"/>
      <c r="BOJ612" s="3933"/>
      <c r="BOK612" s="3933"/>
      <c r="BOL612" s="3933"/>
      <c r="BOM612" s="621"/>
      <c r="BON612" s="3933"/>
      <c r="BOO612" s="3933"/>
      <c r="BOP612" s="3933"/>
      <c r="BOQ612" s="621"/>
      <c r="BOR612" s="3933"/>
      <c r="BOS612" s="3933"/>
      <c r="BOT612" s="3933"/>
      <c r="BOU612" s="621"/>
      <c r="BOV612" s="3933"/>
      <c r="BOW612" s="3933"/>
      <c r="BOX612" s="3933"/>
      <c r="BOY612" s="621"/>
      <c r="BOZ612" s="3933"/>
      <c r="BPA612" s="3933"/>
      <c r="BPB612" s="3933"/>
      <c r="BPC612" s="621"/>
      <c r="BPD612" s="3933"/>
      <c r="BPE612" s="3933"/>
      <c r="BPF612" s="3933"/>
      <c r="BPG612" s="621"/>
      <c r="BPH612" s="3933"/>
      <c r="BPI612" s="3933"/>
      <c r="BPJ612" s="3933"/>
      <c r="BPK612" s="621"/>
      <c r="BPL612" s="3933"/>
      <c r="BPM612" s="3933"/>
      <c r="BPN612" s="3933"/>
      <c r="BPO612" s="621"/>
      <c r="BPP612" s="3933"/>
      <c r="BPQ612" s="3933"/>
      <c r="BPR612" s="3933"/>
      <c r="BPS612" s="621"/>
      <c r="BPT612" s="3933"/>
      <c r="BPU612" s="3933"/>
      <c r="BPV612" s="3933"/>
      <c r="BPW612" s="621"/>
      <c r="BPX612" s="3933"/>
      <c r="BPY612" s="3933"/>
      <c r="BPZ612" s="3933"/>
      <c r="BQA612" s="621"/>
      <c r="BQB612" s="3933"/>
      <c r="BQC612" s="3933"/>
      <c r="BQD612" s="3933"/>
      <c r="BQE612" s="621"/>
      <c r="BQF612" s="3933"/>
      <c r="BQG612" s="3933"/>
      <c r="BQH612" s="3933"/>
      <c r="BQI612" s="621"/>
      <c r="BQJ612" s="3933"/>
      <c r="BQK612" s="3933"/>
      <c r="BQL612" s="3933"/>
      <c r="BQM612" s="621"/>
      <c r="BQN612" s="3933"/>
      <c r="BQO612" s="3933"/>
      <c r="BQP612" s="3933"/>
      <c r="BQQ612" s="621"/>
      <c r="BQR612" s="3933"/>
      <c r="BQS612" s="3933"/>
      <c r="BQT612" s="3933"/>
      <c r="BQU612" s="621"/>
      <c r="BQV612" s="3933"/>
      <c r="BQW612" s="3933"/>
      <c r="BQX612" s="3933"/>
      <c r="BQY612" s="621"/>
      <c r="BQZ612" s="3933"/>
      <c r="BRA612" s="3933"/>
      <c r="BRB612" s="3933"/>
      <c r="BRC612" s="621"/>
      <c r="BRD612" s="3933"/>
      <c r="BRE612" s="3933"/>
      <c r="BRF612" s="3933"/>
      <c r="BRG612" s="621"/>
      <c r="BRH612" s="3933"/>
      <c r="BRI612" s="3933"/>
      <c r="BRJ612" s="3933"/>
      <c r="BRK612" s="621"/>
      <c r="BRL612" s="3933"/>
      <c r="BRM612" s="3933"/>
      <c r="BRN612" s="3933"/>
      <c r="BRO612" s="621"/>
      <c r="BRP612" s="3933"/>
      <c r="BRQ612" s="3933"/>
      <c r="BRR612" s="3933"/>
      <c r="BRS612" s="621"/>
      <c r="BRT612" s="3933"/>
      <c r="BRU612" s="3933"/>
      <c r="BRV612" s="3933"/>
      <c r="BRW612" s="621"/>
      <c r="BRX612" s="3933"/>
      <c r="BRY612" s="3933"/>
      <c r="BRZ612" s="3933"/>
      <c r="BSA612" s="621"/>
      <c r="BSB612" s="3933"/>
      <c r="BSC612" s="3933"/>
      <c r="BSD612" s="3933"/>
      <c r="BSE612" s="621"/>
      <c r="BSF612" s="3933"/>
      <c r="BSG612" s="3933"/>
      <c r="BSH612" s="3933"/>
      <c r="BSI612" s="621"/>
      <c r="BSJ612" s="3933"/>
      <c r="BSK612" s="3933"/>
      <c r="BSL612" s="3933"/>
      <c r="BSM612" s="621"/>
      <c r="BSN612" s="3933"/>
      <c r="BSO612" s="3933"/>
      <c r="BSP612" s="3933"/>
      <c r="BSQ612" s="621"/>
      <c r="BSR612" s="3933"/>
      <c r="BSS612" s="3933"/>
      <c r="BST612" s="3933"/>
      <c r="BSU612" s="621"/>
      <c r="BSV612" s="3933"/>
      <c r="BSW612" s="3933"/>
      <c r="BSX612" s="3933"/>
      <c r="BSY612" s="621"/>
      <c r="BSZ612" s="3933"/>
      <c r="BTA612" s="3933"/>
      <c r="BTB612" s="3933"/>
      <c r="BTC612" s="621"/>
      <c r="BTD612" s="3933"/>
      <c r="BTE612" s="3933"/>
      <c r="BTF612" s="3933"/>
      <c r="BTG612" s="621"/>
      <c r="BTH612" s="3933"/>
      <c r="BTI612" s="3933"/>
      <c r="BTJ612" s="3933"/>
      <c r="BTK612" s="621"/>
      <c r="BTL612" s="3933"/>
      <c r="BTM612" s="3933"/>
      <c r="BTN612" s="3933"/>
      <c r="BTO612" s="621"/>
      <c r="BTP612" s="3933"/>
      <c r="BTQ612" s="3933"/>
      <c r="BTR612" s="3933"/>
      <c r="BTS612" s="621"/>
      <c r="BTT612" s="3933"/>
      <c r="BTU612" s="3933"/>
      <c r="BTV612" s="3933"/>
      <c r="BTW612" s="621"/>
      <c r="BTX612" s="3933"/>
      <c r="BTY612" s="3933"/>
      <c r="BTZ612" s="3933"/>
      <c r="BUA612" s="621"/>
      <c r="BUB612" s="3933"/>
      <c r="BUC612" s="3933"/>
      <c r="BUD612" s="3933"/>
      <c r="BUE612" s="621"/>
      <c r="BUF612" s="3933"/>
      <c r="BUG612" s="3933"/>
      <c r="BUH612" s="3933"/>
      <c r="BUI612" s="621"/>
      <c r="BUJ612" s="3933"/>
      <c r="BUK612" s="3933"/>
      <c r="BUL612" s="3933"/>
      <c r="BUM612" s="621"/>
      <c r="BUN612" s="3933"/>
      <c r="BUO612" s="3933"/>
      <c r="BUP612" s="3933"/>
      <c r="BUQ612" s="621"/>
      <c r="BUR612" s="3933"/>
      <c r="BUS612" s="3933"/>
      <c r="BUT612" s="3933"/>
      <c r="BUU612" s="621"/>
      <c r="BUV612" s="3933"/>
      <c r="BUW612" s="3933"/>
      <c r="BUX612" s="3933"/>
      <c r="BUY612" s="621"/>
      <c r="BUZ612" s="3933"/>
      <c r="BVA612" s="3933"/>
      <c r="BVB612" s="3933"/>
      <c r="BVC612" s="621"/>
      <c r="BVD612" s="3933"/>
      <c r="BVE612" s="3933"/>
      <c r="BVF612" s="3933"/>
      <c r="BVG612" s="621"/>
      <c r="BVH612" s="3933"/>
      <c r="BVI612" s="3933"/>
      <c r="BVJ612" s="3933"/>
      <c r="BVK612" s="621"/>
      <c r="BVL612" s="3933"/>
      <c r="BVM612" s="3933"/>
      <c r="BVN612" s="3933"/>
      <c r="BVO612" s="621"/>
      <c r="BVP612" s="3933"/>
      <c r="BVQ612" s="3933"/>
      <c r="BVR612" s="3933"/>
      <c r="BVS612" s="621"/>
      <c r="BVT612" s="3933"/>
      <c r="BVU612" s="3933"/>
      <c r="BVV612" s="3933"/>
      <c r="BVW612" s="621"/>
      <c r="BVX612" s="3933"/>
      <c r="BVY612" s="3933"/>
      <c r="BVZ612" s="3933"/>
      <c r="BWA612" s="621"/>
      <c r="BWB612" s="3933"/>
      <c r="BWC612" s="3933"/>
      <c r="BWD612" s="3933"/>
      <c r="BWE612" s="621"/>
      <c r="BWF612" s="3933"/>
      <c r="BWG612" s="3933"/>
      <c r="BWH612" s="3933"/>
      <c r="BWI612" s="621"/>
      <c r="BWJ612" s="3933"/>
      <c r="BWK612" s="3933"/>
      <c r="BWL612" s="3933"/>
      <c r="BWM612" s="621"/>
      <c r="BWN612" s="3933"/>
      <c r="BWO612" s="3933"/>
      <c r="BWP612" s="3933"/>
      <c r="BWQ612" s="621"/>
      <c r="BWR612" s="3933"/>
      <c r="BWS612" s="3933"/>
      <c r="BWT612" s="3933"/>
      <c r="BWU612" s="621"/>
      <c r="BWV612" s="3933"/>
      <c r="BWW612" s="3933"/>
      <c r="BWX612" s="3933"/>
      <c r="BWY612" s="621"/>
      <c r="BWZ612" s="3933"/>
      <c r="BXA612" s="3933"/>
      <c r="BXB612" s="3933"/>
      <c r="BXC612" s="621"/>
      <c r="BXD612" s="3933"/>
      <c r="BXE612" s="3933"/>
      <c r="BXF612" s="3933"/>
      <c r="BXG612" s="621"/>
      <c r="BXH612" s="3933"/>
      <c r="BXI612" s="3933"/>
      <c r="BXJ612" s="3933"/>
      <c r="BXK612" s="621"/>
      <c r="BXL612" s="3933"/>
      <c r="BXM612" s="3933"/>
      <c r="BXN612" s="3933"/>
      <c r="BXO612" s="621"/>
      <c r="BXP612" s="3933"/>
      <c r="BXQ612" s="3933"/>
      <c r="BXR612" s="3933"/>
      <c r="BXS612" s="621"/>
      <c r="BXT612" s="3933"/>
      <c r="BXU612" s="3933"/>
      <c r="BXV612" s="3933"/>
      <c r="BXW612" s="621"/>
      <c r="BXX612" s="3933"/>
      <c r="BXY612" s="3933"/>
      <c r="BXZ612" s="3933"/>
      <c r="BYA612" s="621"/>
      <c r="BYB612" s="3933"/>
      <c r="BYC612" s="3933"/>
      <c r="BYD612" s="3933"/>
      <c r="BYE612" s="621"/>
      <c r="BYF612" s="3933"/>
      <c r="BYG612" s="3933"/>
      <c r="BYH612" s="3933"/>
      <c r="BYI612" s="621"/>
      <c r="BYJ612" s="3933"/>
      <c r="BYK612" s="3933"/>
      <c r="BYL612" s="3933"/>
      <c r="BYM612" s="621"/>
      <c r="BYN612" s="3933"/>
      <c r="BYO612" s="3933"/>
      <c r="BYP612" s="3933"/>
      <c r="BYQ612" s="621"/>
      <c r="BYR612" s="3933"/>
      <c r="BYS612" s="3933"/>
      <c r="BYT612" s="3933"/>
      <c r="BYU612" s="621"/>
      <c r="BYV612" s="3933"/>
      <c r="BYW612" s="3933"/>
      <c r="BYX612" s="3933"/>
      <c r="BYY612" s="621"/>
      <c r="BYZ612" s="3933"/>
      <c r="BZA612" s="3933"/>
      <c r="BZB612" s="3933"/>
      <c r="BZC612" s="621"/>
      <c r="BZD612" s="3933"/>
      <c r="BZE612" s="3933"/>
      <c r="BZF612" s="3933"/>
      <c r="BZG612" s="621"/>
      <c r="BZH612" s="3933"/>
      <c r="BZI612" s="3933"/>
      <c r="BZJ612" s="3933"/>
      <c r="BZK612" s="621"/>
      <c r="BZL612" s="3933"/>
      <c r="BZM612" s="3933"/>
      <c r="BZN612" s="3933"/>
      <c r="BZO612" s="621"/>
      <c r="BZP612" s="3933"/>
      <c r="BZQ612" s="3933"/>
      <c r="BZR612" s="3933"/>
      <c r="BZS612" s="621"/>
      <c r="BZT612" s="3933"/>
      <c r="BZU612" s="3933"/>
      <c r="BZV612" s="3933"/>
      <c r="BZW612" s="621"/>
      <c r="BZX612" s="3933"/>
      <c r="BZY612" s="3933"/>
      <c r="BZZ612" s="3933"/>
      <c r="CAA612" s="621"/>
      <c r="CAB612" s="3933"/>
      <c r="CAC612" s="3933"/>
      <c r="CAD612" s="3933"/>
      <c r="CAE612" s="621"/>
      <c r="CAF612" s="3933"/>
      <c r="CAG612" s="3933"/>
      <c r="CAH612" s="3933"/>
      <c r="CAI612" s="621"/>
      <c r="CAJ612" s="3933"/>
      <c r="CAK612" s="3933"/>
      <c r="CAL612" s="3933"/>
      <c r="CAM612" s="621"/>
      <c r="CAN612" s="3933"/>
      <c r="CAO612" s="3933"/>
      <c r="CAP612" s="3933"/>
      <c r="CAQ612" s="621"/>
      <c r="CAR612" s="3933"/>
      <c r="CAS612" s="3933"/>
      <c r="CAT612" s="3933"/>
      <c r="CAU612" s="621"/>
      <c r="CAV612" s="3933"/>
      <c r="CAW612" s="3933"/>
      <c r="CAX612" s="3933"/>
      <c r="CAY612" s="621"/>
      <c r="CAZ612" s="3933"/>
      <c r="CBA612" s="3933"/>
      <c r="CBB612" s="3933"/>
      <c r="CBC612" s="621"/>
      <c r="CBD612" s="3933"/>
      <c r="CBE612" s="3933"/>
      <c r="CBF612" s="3933"/>
      <c r="CBG612" s="621"/>
      <c r="CBH612" s="3933"/>
      <c r="CBI612" s="3933"/>
      <c r="CBJ612" s="3933"/>
      <c r="CBK612" s="621"/>
      <c r="CBL612" s="3933"/>
      <c r="CBM612" s="3933"/>
      <c r="CBN612" s="3933"/>
      <c r="CBO612" s="621"/>
      <c r="CBP612" s="3933"/>
      <c r="CBQ612" s="3933"/>
      <c r="CBR612" s="3933"/>
      <c r="CBS612" s="621"/>
      <c r="CBT612" s="3933"/>
      <c r="CBU612" s="3933"/>
      <c r="CBV612" s="3933"/>
      <c r="CBW612" s="621"/>
      <c r="CBX612" s="3933"/>
      <c r="CBY612" s="3933"/>
      <c r="CBZ612" s="3933"/>
      <c r="CCA612" s="621"/>
      <c r="CCB612" s="3933"/>
      <c r="CCC612" s="3933"/>
      <c r="CCD612" s="3933"/>
      <c r="CCE612" s="621"/>
      <c r="CCF612" s="3933"/>
      <c r="CCG612" s="3933"/>
      <c r="CCH612" s="3933"/>
      <c r="CCI612" s="621"/>
      <c r="CCJ612" s="3933"/>
      <c r="CCK612" s="3933"/>
      <c r="CCL612" s="3933"/>
      <c r="CCM612" s="621"/>
      <c r="CCN612" s="3933"/>
      <c r="CCO612" s="3933"/>
      <c r="CCP612" s="3933"/>
      <c r="CCQ612" s="621"/>
      <c r="CCR612" s="3933"/>
      <c r="CCS612" s="3933"/>
      <c r="CCT612" s="3933"/>
      <c r="CCU612" s="621"/>
      <c r="CCV612" s="3933"/>
      <c r="CCW612" s="3933"/>
      <c r="CCX612" s="3933"/>
      <c r="CCY612" s="621"/>
      <c r="CCZ612" s="3933"/>
      <c r="CDA612" s="3933"/>
      <c r="CDB612" s="3933"/>
      <c r="CDC612" s="621"/>
      <c r="CDD612" s="3933"/>
      <c r="CDE612" s="3933"/>
      <c r="CDF612" s="3933"/>
      <c r="CDG612" s="621"/>
      <c r="CDH612" s="3933"/>
      <c r="CDI612" s="3933"/>
      <c r="CDJ612" s="3933"/>
      <c r="CDK612" s="621"/>
      <c r="CDL612" s="3933"/>
      <c r="CDM612" s="3933"/>
      <c r="CDN612" s="3933"/>
      <c r="CDO612" s="621"/>
      <c r="CDP612" s="3933"/>
      <c r="CDQ612" s="3933"/>
      <c r="CDR612" s="3933"/>
      <c r="CDS612" s="621"/>
      <c r="CDT612" s="3933"/>
      <c r="CDU612" s="3933"/>
      <c r="CDV612" s="3933"/>
      <c r="CDW612" s="621"/>
      <c r="CDX612" s="3933"/>
      <c r="CDY612" s="3933"/>
      <c r="CDZ612" s="3933"/>
      <c r="CEA612" s="621"/>
      <c r="CEB612" s="3933"/>
      <c r="CEC612" s="3933"/>
      <c r="CED612" s="3933"/>
      <c r="CEE612" s="621"/>
      <c r="CEF612" s="3933"/>
      <c r="CEG612" s="3933"/>
      <c r="CEH612" s="3933"/>
      <c r="CEI612" s="621"/>
      <c r="CEJ612" s="3933"/>
      <c r="CEK612" s="3933"/>
      <c r="CEL612" s="3933"/>
      <c r="CEM612" s="621"/>
      <c r="CEN612" s="3933"/>
      <c r="CEO612" s="3933"/>
      <c r="CEP612" s="3933"/>
      <c r="CEQ612" s="621"/>
      <c r="CER612" s="3933"/>
      <c r="CES612" s="3933"/>
      <c r="CET612" s="3933"/>
      <c r="CEU612" s="621"/>
      <c r="CEV612" s="3933"/>
      <c r="CEW612" s="3933"/>
      <c r="CEX612" s="3933"/>
      <c r="CEY612" s="621"/>
      <c r="CEZ612" s="3933"/>
      <c r="CFA612" s="3933"/>
      <c r="CFB612" s="3933"/>
      <c r="CFC612" s="621"/>
      <c r="CFD612" s="3933"/>
      <c r="CFE612" s="3933"/>
      <c r="CFF612" s="3933"/>
      <c r="CFG612" s="621"/>
      <c r="CFH612" s="3933"/>
      <c r="CFI612" s="3933"/>
      <c r="CFJ612" s="3933"/>
      <c r="CFK612" s="621"/>
      <c r="CFL612" s="3933"/>
      <c r="CFM612" s="3933"/>
      <c r="CFN612" s="3933"/>
      <c r="CFO612" s="621"/>
      <c r="CFP612" s="3933"/>
      <c r="CFQ612" s="3933"/>
      <c r="CFR612" s="3933"/>
      <c r="CFS612" s="621"/>
      <c r="CFT612" s="3933"/>
      <c r="CFU612" s="3933"/>
      <c r="CFV612" s="3933"/>
      <c r="CFW612" s="621"/>
      <c r="CFX612" s="3933"/>
      <c r="CFY612" s="3933"/>
      <c r="CFZ612" s="3933"/>
      <c r="CGA612" s="621"/>
      <c r="CGB612" s="3933"/>
      <c r="CGC612" s="3933"/>
      <c r="CGD612" s="3933"/>
      <c r="CGE612" s="621"/>
      <c r="CGF612" s="3933"/>
      <c r="CGG612" s="3933"/>
      <c r="CGH612" s="3933"/>
      <c r="CGI612" s="621"/>
      <c r="CGJ612" s="3933"/>
      <c r="CGK612" s="3933"/>
      <c r="CGL612" s="3933"/>
      <c r="CGM612" s="621"/>
      <c r="CGN612" s="3933"/>
      <c r="CGO612" s="3933"/>
      <c r="CGP612" s="3933"/>
      <c r="CGQ612" s="621"/>
      <c r="CGR612" s="3933"/>
      <c r="CGS612" s="3933"/>
      <c r="CGT612" s="3933"/>
      <c r="CGU612" s="621"/>
      <c r="CGV612" s="3933"/>
      <c r="CGW612" s="3933"/>
      <c r="CGX612" s="3933"/>
      <c r="CGY612" s="621"/>
      <c r="CGZ612" s="3933"/>
      <c r="CHA612" s="3933"/>
      <c r="CHB612" s="3933"/>
      <c r="CHC612" s="621"/>
      <c r="CHD612" s="3933"/>
      <c r="CHE612" s="3933"/>
      <c r="CHF612" s="3933"/>
      <c r="CHG612" s="621"/>
      <c r="CHH612" s="3933"/>
      <c r="CHI612" s="3933"/>
      <c r="CHJ612" s="3933"/>
      <c r="CHK612" s="621"/>
      <c r="CHL612" s="3933"/>
      <c r="CHM612" s="3933"/>
      <c r="CHN612" s="3933"/>
      <c r="CHO612" s="621"/>
      <c r="CHP612" s="3933"/>
      <c r="CHQ612" s="3933"/>
      <c r="CHR612" s="3933"/>
      <c r="CHS612" s="621"/>
      <c r="CHT612" s="3933"/>
      <c r="CHU612" s="3933"/>
      <c r="CHV612" s="3933"/>
      <c r="CHW612" s="621"/>
      <c r="CHX612" s="3933"/>
      <c r="CHY612" s="3933"/>
      <c r="CHZ612" s="3933"/>
      <c r="CIA612" s="621"/>
      <c r="CIB612" s="3933"/>
      <c r="CIC612" s="3933"/>
      <c r="CID612" s="3933"/>
      <c r="CIE612" s="621"/>
      <c r="CIF612" s="3933"/>
      <c r="CIG612" s="3933"/>
      <c r="CIH612" s="3933"/>
      <c r="CII612" s="621"/>
      <c r="CIJ612" s="3933"/>
      <c r="CIK612" s="3933"/>
      <c r="CIL612" s="3933"/>
      <c r="CIM612" s="621"/>
      <c r="CIN612" s="3933"/>
      <c r="CIO612" s="3933"/>
      <c r="CIP612" s="3933"/>
      <c r="CIQ612" s="621"/>
      <c r="CIR612" s="3933"/>
      <c r="CIS612" s="3933"/>
      <c r="CIT612" s="3933"/>
      <c r="CIU612" s="621"/>
      <c r="CIV612" s="3933"/>
      <c r="CIW612" s="3933"/>
      <c r="CIX612" s="3933"/>
      <c r="CIY612" s="621"/>
      <c r="CIZ612" s="3933"/>
      <c r="CJA612" s="3933"/>
      <c r="CJB612" s="3933"/>
      <c r="CJC612" s="621"/>
      <c r="CJD612" s="3933"/>
      <c r="CJE612" s="3933"/>
      <c r="CJF612" s="3933"/>
      <c r="CJG612" s="621"/>
      <c r="CJH612" s="3933"/>
      <c r="CJI612" s="3933"/>
      <c r="CJJ612" s="3933"/>
      <c r="CJK612" s="621"/>
      <c r="CJL612" s="3933"/>
      <c r="CJM612" s="3933"/>
      <c r="CJN612" s="3933"/>
      <c r="CJO612" s="621"/>
      <c r="CJP612" s="3933"/>
      <c r="CJQ612" s="3933"/>
      <c r="CJR612" s="3933"/>
      <c r="CJS612" s="621"/>
      <c r="CJT612" s="3933"/>
      <c r="CJU612" s="3933"/>
      <c r="CJV612" s="3933"/>
      <c r="CJW612" s="621"/>
      <c r="CJX612" s="3933"/>
      <c r="CJY612" s="3933"/>
      <c r="CJZ612" s="3933"/>
      <c r="CKA612" s="621"/>
      <c r="CKB612" s="3933"/>
      <c r="CKC612" s="3933"/>
      <c r="CKD612" s="3933"/>
      <c r="CKE612" s="621"/>
      <c r="CKF612" s="3933"/>
      <c r="CKG612" s="3933"/>
      <c r="CKH612" s="3933"/>
      <c r="CKI612" s="621"/>
      <c r="CKJ612" s="3933"/>
      <c r="CKK612" s="3933"/>
      <c r="CKL612" s="3933"/>
      <c r="CKM612" s="621"/>
      <c r="CKN612" s="3933"/>
      <c r="CKO612" s="3933"/>
      <c r="CKP612" s="3933"/>
      <c r="CKQ612" s="621"/>
      <c r="CKR612" s="3933"/>
      <c r="CKS612" s="3933"/>
      <c r="CKT612" s="3933"/>
      <c r="CKU612" s="621"/>
      <c r="CKV612" s="3933"/>
      <c r="CKW612" s="3933"/>
      <c r="CKX612" s="3933"/>
      <c r="CKY612" s="621"/>
      <c r="CKZ612" s="3933"/>
      <c r="CLA612" s="3933"/>
      <c r="CLB612" s="3933"/>
      <c r="CLC612" s="621"/>
      <c r="CLD612" s="3933"/>
      <c r="CLE612" s="3933"/>
      <c r="CLF612" s="3933"/>
      <c r="CLG612" s="621"/>
      <c r="CLH612" s="3933"/>
      <c r="CLI612" s="3933"/>
      <c r="CLJ612" s="3933"/>
      <c r="CLK612" s="621"/>
      <c r="CLL612" s="3933"/>
      <c r="CLM612" s="3933"/>
      <c r="CLN612" s="3933"/>
      <c r="CLO612" s="621"/>
      <c r="CLP612" s="3933"/>
      <c r="CLQ612" s="3933"/>
      <c r="CLR612" s="3933"/>
      <c r="CLS612" s="621"/>
      <c r="CLT612" s="3933"/>
      <c r="CLU612" s="3933"/>
      <c r="CLV612" s="3933"/>
      <c r="CLW612" s="621"/>
      <c r="CLX612" s="3933"/>
      <c r="CLY612" s="3933"/>
      <c r="CLZ612" s="3933"/>
      <c r="CMA612" s="621"/>
      <c r="CMB612" s="3933"/>
      <c r="CMC612" s="3933"/>
      <c r="CMD612" s="3933"/>
      <c r="CME612" s="621"/>
      <c r="CMF612" s="3933"/>
      <c r="CMG612" s="3933"/>
      <c r="CMH612" s="3933"/>
      <c r="CMI612" s="621"/>
      <c r="CMJ612" s="3933"/>
      <c r="CMK612" s="3933"/>
      <c r="CML612" s="3933"/>
      <c r="CMM612" s="621"/>
      <c r="CMN612" s="3933"/>
      <c r="CMO612" s="3933"/>
      <c r="CMP612" s="3933"/>
      <c r="CMQ612" s="621"/>
      <c r="CMR612" s="3933"/>
      <c r="CMS612" s="3933"/>
      <c r="CMT612" s="3933"/>
      <c r="CMU612" s="621"/>
      <c r="CMV612" s="3933"/>
      <c r="CMW612" s="3933"/>
      <c r="CMX612" s="3933"/>
      <c r="CMY612" s="621"/>
      <c r="CMZ612" s="3933"/>
      <c r="CNA612" s="3933"/>
      <c r="CNB612" s="3933"/>
      <c r="CNC612" s="621"/>
      <c r="CND612" s="3933"/>
      <c r="CNE612" s="3933"/>
      <c r="CNF612" s="3933"/>
      <c r="CNG612" s="621"/>
      <c r="CNH612" s="3933"/>
      <c r="CNI612" s="3933"/>
      <c r="CNJ612" s="3933"/>
      <c r="CNK612" s="621"/>
      <c r="CNL612" s="3933"/>
      <c r="CNM612" s="3933"/>
      <c r="CNN612" s="3933"/>
      <c r="CNO612" s="621"/>
      <c r="CNP612" s="3933"/>
      <c r="CNQ612" s="3933"/>
      <c r="CNR612" s="3933"/>
      <c r="CNS612" s="621"/>
      <c r="CNT612" s="3933"/>
      <c r="CNU612" s="3933"/>
      <c r="CNV612" s="3933"/>
      <c r="CNW612" s="621"/>
      <c r="CNX612" s="3933"/>
      <c r="CNY612" s="3933"/>
      <c r="CNZ612" s="3933"/>
      <c r="COA612" s="621"/>
      <c r="COB612" s="3933"/>
      <c r="COC612" s="3933"/>
      <c r="COD612" s="3933"/>
      <c r="COE612" s="621"/>
      <c r="COF612" s="3933"/>
      <c r="COG612" s="3933"/>
      <c r="COH612" s="3933"/>
      <c r="COI612" s="621"/>
      <c r="COJ612" s="3933"/>
      <c r="COK612" s="3933"/>
      <c r="COL612" s="3933"/>
      <c r="COM612" s="621"/>
      <c r="CON612" s="3933"/>
      <c r="COO612" s="3933"/>
      <c r="COP612" s="3933"/>
      <c r="COQ612" s="621"/>
      <c r="COR612" s="3933"/>
      <c r="COS612" s="3933"/>
      <c r="COT612" s="3933"/>
      <c r="COU612" s="621"/>
      <c r="COV612" s="3933"/>
      <c r="COW612" s="3933"/>
      <c r="COX612" s="3933"/>
      <c r="COY612" s="621"/>
      <c r="COZ612" s="3933"/>
      <c r="CPA612" s="3933"/>
      <c r="CPB612" s="3933"/>
      <c r="CPC612" s="621"/>
      <c r="CPD612" s="3933"/>
      <c r="CPE612" s="3933"/>
      <c r="CPF612" s="3933"/>
      <c r="CPG612" s="621"/>
      <c r="CPH612" s="3933"/>
      <c r="CPI612" s="3933"/>
      <c r="CPJ612" s="3933"/>
      <c r="CPK612" s="621"/>
      <c r="CPL612" s="3933"/>
      <c r="CPM612" s="3933"/>
      <c r="CPN612" s="3933"/>
      <c r="CPO612" s="621"/>
      <c r="CPP612" s="3933"/>
      <c r="CPQ612" s="3933"/>
      <c r="CPR612" s="3933"/>
      <c r="CPS612" s="621"/>
      <c r="CPT612" s="3933"/>
      <c r="CPU612" s="3933"/>
      <c r="CPV612" s="3933"/>
      <c r="CPW612" s="621"/>
      <c r="CPX612" s="3933"/>
      <c r="CPY612" s="3933"/>
      <c r="CPZ612" s="3933"/>
      <c r="CQA612" s="621"/>
      <c r="CQB612" s="3933"/>
      <c r="CQC612" s="3933"/>
      <c r="CQD612" s="3933"/>
      <c r="CQE612" s="621"/>
      <c r="CQF612" s="3933"/>
      <c r="CQG612" s="3933"/>
      <c r="CQH612" s="3933"/>
      <c r="CQI612" s="621"/>
      <c r="CQJ612" s="3933"/>
      <c r="CQK612" s="3933"/>
      <c r="CQL612" s="3933"/>
      <c r="CQM612" s="621"/>
      <c r="CQN612" s="3933"/>
      <c r="CQO612" s="3933"/>
      <c r="CQP612" s="3933"/>
      <c r="CQQ612" s="621"/>
      <c r="CQR612" s="3933"/>
      <c r="CQS612" s="3933"/>
      <c r="CQT612" s="3933"/>
      <c r="CQU612" s="621"/>
      <c r="CQV612" s="3933"/>
      <c r="CQW612" s="3933"/>
      <c r="CQX612" s="3933"/>
      <c r="CQY612" s="621"/>
      <c r="CQZ612" s="3933"/>
      <c r="CRA612" s="3933"/>
      <c r="CRB612" s="3933"/>
      <c r="CRC612" s="621"/>
      <c r="CRD612" s="3933"/>
      <c r="CRE612" s="3933"/>
      <c r="CRF612" s="3933"/>
      <c r="CRG612" s="621"/>
      <c r="CRH612" s="3933"/>
      <c r="CRI612" s="3933"/>
      <c r="CRJ612" s="3933"/>
      <c r="CRK612" s="621"/>
      <c r="CRL612" s="3933"/>
      <c r="CRM612" s="3933"/>
      <c r="CRN612" s="3933"/>
      <c r="CRO612" s="621"/>
      <c r="CRP612" s="3933"/>
      <c r="CRQ612" s="3933"/>
      <c r="CRR612" s="3933"/>
      <c r="CRS612" s="621"/>
      <c r="CRT612" s="3933"/>
      <c r="CRU612" s="3933"/>
      <c r="CRV612" s="3933"/>
      <c r="CRW612" s="621"/>
      <c r="CRX612" s="3933"/>
      <c r="CRY612" s="3933"/>
      <c r="CRZ612" s="3933"/>
      <c r="CSA612" s="621"/>
      <c r="CSB612" s="3933"/>
      <c r="CSC612" s="3933"/>
      <c r="CSD612" s="3933"/>
      <c r="CSE612" s="621"/>
      <c r="CSF612" s="3933"/>
      <c r="CSG612" s="3933"/>
      <c r="CSH612" s="3933"/>
      <c r="CSI612" s="621"/>
      <c r="CSJ612" s="3933"/>
      <c r="CSK612" s="3933"/>
      <c r="CSL612" s="3933"/>
      <c r="CSM612" s="621"/>
      <c r="CSN612" s="3933"/>
      <c r="CSO612" s="3933"/>
      <c r="CSP612" s="3933"/>
      <c r="CSQ612" s="621"/>
      <c r="CSR612" s="3933"/>
      <c r="CSS612" s="3933"/>
      <c r="CST612" s="3933"/>
      <c r="CSU612" s="621"/>
      <c r="CSV612" s="3933"/>
      <c r="CSW612" s="3933"/>
      <c r="CSX612" s="3933"/>
      <c r="CSY612" s="621"/>
      <c r="CSZ612" s="3933"/>
      <c r="CTA612" s="3933"/>
      <c r="CTB612" s="3933"/>
      <c r="CTC612" s="621"/>
      <c r="CTD612" s="3933"/>
      <c r="CTE612" s="3933"/>
      <c r="CTF612" s="3933"/>
      <c r="CTG612" s="621"/>
      <c r="CTH612" s="3933"/>
      <c r="CTI612" s="3933"/>
      <c r="CTJ612" s="3933"/>
      <c r="CTK612" s="621"/>
      <c r="CTL612" s="3933"/>
      <c r="CTM612" s="3933"/>
      <c r="CTN612" s="3933"/>
      <c r="CTO612" s="621"/>
      <c r="CTP612" s="3933"/>
      <c r="CTQ612" s="3933"/>
      <c r="CTR612" s="3933"/>
      <c r="CTS612" s="621"/>
      <c r="CTT612" s="3933"/>
      <c r="CTU612" s="3933"/>
      <c r="CTV612" s="3933"/>
      <c r="CTW612" s="621"/>
      <c r="CTX612" s="3933"/>
      <c r="CTY612" s="3933"/>
      <c r="CTZ612" s="3933"/>
      <c r="CUA612" s="621"/>
      <c r="CUB612" s="3933"/>
      <c r="CUC612" s="3933"/>
      <c r="CUD612" s="3933"/>
      <c r="CUE612" s="621"/>
      <c r="CUF612" s="3933"/>
      <c r="CUG612" s="3933"/>
      <c r="CUH612" s="3933"/>
      <c r="CUI612" s="621"/>
      <c r="CUJ612" s="3933"/>
      <c r="CUK612" s="3933"/>
      <c r="CUL612" s="3933"/>
      <c r="CUM612" s="621"/>
      <c r="CUN612" s="3933"/>
      <c r="CUO612" s="3933"/>
      <c r="CUP612" s="3933"/>
      <c r="CUQ612" s="621"/>
      <c r="CUR612" s="3933"/>
      <c r="CUS612" s="3933"/>
      <c r="CUT612" s="3933"/>
      <c r="CUU612" s="621"/>
      <c r="CUV612" s="3933"/>
      <c r="CUW612" s="3933"/>
      <c r="CUX612" s="3933"/>
      <c r="CUY612" s="621"/>
      <c r="CUZ612" s="3933"/>
      <c r="CVA612" s="3933"/>
      <c r="CVB612" s="3933"/>
      <c r="CVC612" s="621"/>
      <c r="CVD612" s="3933"/>
      <c r="CVE612" s="3933"/>
      <c r="CVF612" s="3933"/>
      <c r="CVG612" s="621"/>
      <c r="CVH612" s="3933"/>
      <c r="CVI612" s="3933"/>
      <c r="CVJ612" s="3933"/>
      <c r="CVK612" s="621"/>
      <c r="CVL612" s="3933"/>
      <c r="CVM612" s="3933"/>
      <c r="CVN612" s="3933"/>
      <c r="CVO612" s="621"/>
      <c r="CVP612" s="3933"/>
      <c r="CVQ612" s="3933"/>
      <c r="CVR612" s="3933"/>
      <c r="CVS612" s="621"/>
      <c r="CVT612" s="3933"/>
      <c r="CVU612" s="3933"/>
      <c r="CVV612" s="3933"/>
      <c r="CVW612" s="621"/>
      <c r="CVX612" s="3933"/>
      <c r="CVY612" s="3933"/>
      <c r="CVZ612" s="3933"/>
      <c r="CWA612" s="621"/>
      <c r="CWB612" s="3933"/>
      <c r="CWC612" s="3933"/>
      <c r="CWD612" s="3933"/>
      <c r="CWE612" s="621"/>
      <c r="CWF612" s="3933"/>
      <c r="CWG612" s="3933"/>
      <c r="CWH612" s="3933"/>
      <c r="CWI612" s="621"/>
      <c r="CWJ612" s="3933"/>
      <c r="CWK612" s="3933"/>
      <c r="CWL612" s="3933"/>
      <c r="CWM612" s="621"/>
      <c r="CWN612" s="3933"/>
      <c r="CWO612" s="3933"/>
      <c r="CWP612" s="3933"/>
      <c r="CWQ612" s="621"/>
      <c r="CWR612" s="3933"/>
      <c r="CWS612" s="3933"/>
      <c r="CWT612" s="3933"/>
      <c r="CWU612" s="621"/>
      <c r="CWV612" s="3933"/>
      <c r="CWW612" s="3933"/>
      <c r="CWX612" s="3933"/>
      <c r="CWY612" s="621"/>
      <c r="CWZ612" s="3933"/>
      <c r="CXA612" s="3933"/>
      <c r="CXB612" s="3933"/>
      <c r="CXC612" s="621"/>
      <c r="CXD612" s="3933"/>
      <c r="CXE612" s="3933"/>
      <c r="CXF612" s="3933"/>
      <c r="CXG612" s="621"/>
      <c r="CXH612" s="3933"/>
      <c r="CXI612" s="3933"/>
      <c r="CXJ612" s="3933"/>
      <c r="CXK612" s="621"/>
      <c r="CXL612" s="3933"/>
      <c r="CXM612" s="3933"/>
      <c r="CXN612" s="3933"/>
      <c r="CXO612" s="621"/>
      <c r="CXP612" s="3933"/>
      <c r="CXQ612" s="3933"/>
      <c r="CXR612" s="3933"/>
      <c r="CXS612" s="621"/>
      <c r="CXT612" s="3933"/>
      <c r="CXU612" s="3933"/>
      <c r="CXV612" s="3933"/>
      <c r="CXW612" s="621"/>
      <c r="CXX612" s="3933"/>
      <c r="CXY612" s="3933"/>
      <c r="CXZ612" s="3933"/>
      <c r="CYA612" s="621"/>
      <c r="CYB612" s="3933"/>
      <c r="CYC612" s="3933"/>
      <c r="CYD612" s="3933"/>
      <c r="CYE612" s="621"/>
      <c r="CYF612" s="3933"/>
      <c r="CYG612" s="3933"/>
      <c r="CYH612" s="3933"/>
      <c r="CYI612" s="621"/>
      <c r="CYJ612" s="3933"/>
      <c r="CYK612" s="3933"/>
      <c r="CYL612" s="3933"/>
      <c r="CYM612" s="621"/>
      <c r="CYN612" s="3933"/>
      <c r="CYO612" s="3933"/>
      <c r="CYP612" s="3933"/>
      <c r="CYQ612" s="621"/>
      <c r="CYR612" s="3933"/>
      <c r="CYS612" s="3933"/>
      <c r="CYT612" s="3933"/>
      <c r="CYU612" s="621"/>
      <c r="CYV612" s="3933"/>
      <c r="CYW612" s="3933"/>
      <c r="CYX612" s="3933"/>
      <c r="CYY612" s="621"/>
      <c r="CYZ612" s="3933"/>
      <c r="CZA612" s="3933"/>
      <c r="CZB612" s="3933"/>
      <c r="CZC612" s="621"/>
      <c r="CZD612" s="3933"/>
      <c r="CZE612" s="3933"/>
      <c r="CZF612" s="3933"/>
      <c r="CZG612" s="621"/>
      <c r="CZH612" s="3933"/>
      <c r="CZI612" s="3933"/>
      <c r="CZJ612" s="3933"/>
      <c r="CZK612" s="621"/>
      <c r="CZL612" s="3933"/>
      <c r="CZM612" s="3933"/>
      <c r="CZN612" s="3933"/>
      <c r="CZO612" s="621"/>
      <c r="CZP612" s="3933"/>
      <c r="CZQ612" s="3933"/>
      <c r="CZR612" s="3933"/>
      <c r="CZS612" s="621"/>
      <c r="CZT612" s="3933"/>
      <c r="CZU612" s="3933"/>
      <c r="CZV612" s="3933"/>
      <c r="CZW612" s="621"/>
      <c r="CZX612" s="3933"/>
      <c r="CZY612" s="3933"/>
      <c r="CZZ612" s="3933"/>
      <c r="DAA612" s="621"/>
      <c r="DAB612" s="3933"/>
      <c r="DAC612" s="3933"/>
      <c r="DAD612" s="3933"/>
      <c r="DAE612" s="621"/>
      <c r="DAF612" s="3933"/>
      <c r="DAG612" s="3933"/>
      <c r="DAH612" s="3933"/>
      <c r="DAI612" s="621"/>
      <c r="DAJ612" s="3933"/>
      <c r="DAK612" s="3933"/>
      <c r="DAL612" s="3933"/>
      <c r="DAM612" s="621"/>
      <c r="DAN612" s="3933"/>
      <c r="DAO612" s="3933"/>
      <c r="DAP612" s="3933"/>
      <c r="DAQ612" s="621"/>
      <c r="DAR612" s="3933"/>
      <c r="DAS612" s="3933"/>
      <c r="DAT612" s="3933"/>
      <c r="DAU612" s="621"/>
      <c r="DAV612" s="3933"/>
      <c r="DAW612" s="3933"/>
      <c r="DAX612" s="3933"/>
      <c r="DAY612" s="621"/>
      <c r="DAZ612" s="3933"/>
      <c r="DBA612" s="3933"/>
      <c r="DBB612" s="3933"/>
      <c r="DBC612" s="621"/>
      <c r="DBD612" s="3933"/>
      <c r="DBE612" s="3933"/>
      <c r="DBF612" s="3933"/>
      <c r="DBG612" s="621"/>
      <c r="DBH612" s="3933"/>
      <c r="DBI612" s="3933"/>
      <c r="DBJ612" s="3933"/>
      <c r="DBK612" s="621"/>
      <c r="DBL612" s="3933"/>
      <c r="DBM612" s="3933"/>
      <c r="DBN612" s="3933"/>
      <c r="DBO612" s="621"/>
      <c r="DBP612" s="3933"/>
      <c r="DBQ612" s="3933"/>
      <c r="DBR612" s="3933"/>
      <c r="DBS612" s="621"/>
      <c r="DBT612" s="3933"/>
      <c r="DBU612" s="3933"/>
      <c r="DBV612" s="3933"/>
      <c r="DBW612" s="621"/>
      <c r="DBX612" s="3933"/>
      <c r="DBY612" s="3933"/>
      <c r="DBZ612" s="3933"/>
      <c r="DCA612" s="621"/>
      <c r="DCB612" s="3933"/>
      <c r="DCC612" s="3933"/>
      <c r="DCD612" s="3933"/>
      <c r="DCE612" s="621"/>
      <c r="DCF612" s="3933"/>
      <c r="DCG612" s="3933"/>
      <c r="DCH612" s="3933"/>
      <c r="DCI612" s="621"/>
      <c r="DCJ612" s="3933"/>
      <c r="DCK612" s="3933"/>
      <c r="DCL612" s="3933"/>
      <c r="DCM612" s="621"/>
      <c r="DCN612" s="3933"/>
      <c r="DCO612" s="3933"/>
      <c r="DCP612" s="3933"/>
      <c r="DCQ612" s="621"/>
      <c r="DCR612" s="3933"/>
      <c r="DCS612" s="3933"/>
      <c r="DCT612" s="3933"/>
      <c r="DCU612" s="621"/>
      <c r="DCV612" s="3933"/>
      <c r="DCW612" s="3933"/>
      <c r="DCX612" s="3933"/>
      <c r="DCY612" s="621"/>
      <c r="DCZ612" s="3933"/>
      <c r="DDA612" s="3933"/>
      <c r="DDB612" s="3933"/>
      <c r="DDC612" s="621"/>
      <c r="DDD612" s="3933"/>
      <c r="DDE612" s="3933"/>
      <c r="DDF612" s="3933"/>
      <c r="DDG612" s="621"/>
      <c r="DDH612" s="3933"/>
      <c r="DDI612" s="3933"/>
      <c r="DDJ612" s="3933"/>
      <c r="DDK612" s="621"/>
      <c r="DDL612" s="3933"/>
      <c r="DDM612" s="3933"/>
      <c r="DDN612" s="3933"/>
      <c r="DDO612" s="621"/>
      <c r="DDP612" s="3933"/>
      <c r="DDQ612" s="3933"/>
      <c r="DDR612" s="3933"/>
      <c r="DDS612" s="621"/>
      <c r="DDT612" s="3933"/>
      <c r="DDU612" s="3933"/>
      <c r="DDV612" s="3933"/>
      <c r="DDW612" s="621"/>
      <c r="DDX612" s="3933"/>
      <c r="DDY612" s="3933"/>
      <c r="DDZ612" s="3933"/>
      <c r="DEA612" s="621"/>
      <c r="DEB612" s="3933"/>
      <c r="DEC612" s="3933"/>
      <c r="DED612" s="3933"/>
      <c r="DEE612" s="621"/>
      <c r="DEF612" s="3933"/>
      <c r="DEG612" s="3933"/>
      <c r="DEH612" s="3933"/>
      <c r="DEI612" s="621"/>
      <c r="DEJ612" s="3933"/>
      <c r="DEK612" s="3933"/>
      <c r="DEL612" s="3933"/>
      <c r="DEM612" s="621"/>
      <c r="DEN612" s="3933"/>
      <c r="DEO612" s="3933"/>
      <c r="DEP612" s="3933"/>
      <c r="DEQ612" s="621"/>
      <c r="DER612" s="3933"/>
      <c r="DES612" s="3933"/>
      <c r="DET612" s="3933"/>
      <c r="DEU612" s="621"/>
      <c r="DEV612" s="3933"/>
      <c r="DEW612" s="3933"/>
      <c r="DEX612" s="3933"/>
      <c r="DEY612" s="621"/>
      <c r="DEZ612" s="3933"/>
      <c r="DFA612" s="3933"/>
      <c r="DFB612" s="3933"/>
      <c r="DFC612" s="621"/>
      <c r="DFD612" s="3933"/>
      <c r="DFE612" s="3933"/>
      <c r="DFF612" s="3933"/>
      <c r="DFG612" s="621"/>
      <c r="DFH612" s="3933"/>
      <c r="DFI612" s="3933"/>
      <c r="DFJ612" s="3933"/>
      <c r="DFK612" s="621"/>
      <c r="DFL612" s="3933"/>
      <c r="DFM612" s="3933"/>
      <c r="DFN612" s="3933"/>
      <c r="DFO612" s="621"/>
      <c r="DFP612" s="3933"/>
      <c r="DFQ612" s="3933"/>
      <c r="DFR612" s="3933"/>
      <c r="DFS612" s="621"/>
      <c r="DFT612" s="3933"/>
      <c r="DFU612" s="3933"/>
      <c r="DFV612" s="3933"/>
      <c r="DFW612" s="621"/>
      <c r="DFX612" s="3933"/>
      <c r="DFY612" s="3933"/>
      <c r="DFZ612" s="3933"/>
      <c r="DGA612" s="621"/>
      <c r="DGB612" s="3933"/>
      <c r="DGC612" s="3933"/>
      <c r="DGD612" s="3933"/>
      <c r="DGE612" s="621"/>
      <c r="DGF612" s="3933"/>
      <c r="DGG612" s="3933"/>
      <c r="DGH612" s="3933"/>
      <c r="DGI612" s="621"/>
      <c r="DGJ612" s="3933"/>
      <c r="DGK612" s="3933"/>
      <c r="DGL612" s="3933"/>
      <c r="DGM612" s="621"/>
      <c r="DGN612" s="3933"/>
      <c r="DGO612" s="3933"/>
      <c r="DGP612" s="3933"/>
      <c r="DGQ612" s="621"/>
      <c r="DGR612" s="3933"/>
      <c r="DGS612" s="3933"/>
      <c r="DGT612" s="3933"/>
      <c r="DGU612" s="621"/>
      <c r="DGV612" s="3933"/>
      <c r="DGW612" s="3933"/>
      <c r="DGX612" s="3933"/>
      <c r="DGY612" s="621"/>
      <c r="DGZ612" s="3933"/>
      <c r="DHA612" s="3933"/>
      <c r="DHB612" s="3933"/>
      <c r="DHC612" s="621"/>
      <c r="DHD612" s="3933"/>
      <c r="DHE612" s="3933"/>
      <c r="DHF612" s="3933"/>
      <c r="DHG612" s="621"/>
      <c r="DHH612" s="3933"/>
      <c r="DHI612" s="3933"/>
      <c r="DHJ612" s="3933"/>
      <c r="DHK612" s="621"/>
      <c r="DHL612" s="3933"/>
      <c r="DHM612" s="3933"/>
      <c r="DHN612" s="3933"/>
      <c r="DHO612" s="621"/>
      <c r="DHP612" s="3933"/>
      <c r="DHQ612" s="3933"/>
      <c r="DHR612" s="3933"/>
      <c r="DHS612" s="621"/>
      <c r="DHT612" s="3933"/>
      <c r="DHU612" s="3933"/>
      <c r="DHV612" s="3933"/>
      <c r="DHW612" s="621"/>
      <c r="DHX612" s="3933"/>
      <c r="DHY612" s="3933"/>
      <c r="DHZ612" s="3933"/>
      <c r="DIA612" s="621"/>
      <c r="DIB612" s="3933"/>
      <c r="DIC612" s="3933"/>
      <c r="DID612" s="3933"/>
      <c r="DIE612" s="621"/>
      <c r="DIF612" s="3933"/>
      <c r="DIG612" s="3933"/>
      <c r="DIH612" s="3933"/>
      <c r="DII612" s="621"/>
      <c r="DIJ612" s="3933"/>
      <c r="DIK612" s="3933"/>
      <c r="DIL612" s="3933"/>
      <c r="DIM612" s="621"/>
      <c r="DIN612" s="3933"/>
      <c r="DIO612" s="3933"/>
      <c r="DIP612" s="3933"/>
      <c r="DIQ612" s="621"/>
      <c r="DIR612" s="3933"/>
      <c r="DIS612" s="3933"/>
      <c r="DIT612" s="3933"/>
      <c r="DIU612" s="621"/>
      <c r="DIV612" s="3933"/>
      <c r="DIW612" s="3933"/>
      <c r="DIX612" s="3933"/>
      <c r="DIY612" s="621"/>
      <c r="DIZ612" s="3933"/>
      <c r="DJA612" s="3933"/>
      <c r="DJB612" s="3933"/>
      <c r="DJC612" s="621"/>
      <c r="DJD612" s="3933"/>
      <c r="DJE612" s="3933"/>
      <c r="DJF612" s="3933"/>
      <c r="DJG612" s="621"/>
      <c r="DJH612" s="3933"/>
      <c r="DJI612" s="3933"/>
      <c r="DJJ612" s="3933"/>
      <c r="DJK612" s="621"/>
      <c r="DJL612" s="3933"/>
      <c r="DJM612" s="3933"/>
      <c r="DJN612" s="3933"/>
      <c r="DJO612" s="621"/>
      <c r="DJP612" s="3933"/>
      <c r="DJQ612" s="3933"/>
      <c r="DJR612" s="3933"/>
      <c r="DJS612" s="621"/>
      <c r="DJT612" s="3933"/>
      <c r="DJU612" s="3933"/>
      <c r="DJV612" s="3933"/>
      <c r="DJW612" s="621"/>
      <c r="DJX612" s="3933"/>
      <c r="DJY612" s="3933"/>
      <c r="DJZ612" s="3933"/>
      <c r="DKA612" s="621"/>
      <c r="DKB612" s="3933"/>
      <c r="DKC612" s="3933"/>
      <c r="DKD612" s="3933"/>
      <c r="DKE612" s="621"/>
      <c r="DKF612" s="3933"/>
      <c r="DKG612" s="3933"/>
      <c r="DKH612" s="3933"/>
      <c r="DKI612" s="621"/>
      <c r="DKJ612" s="3933"/>
      <c r="DKK612" s="3933"/>
      <c r="DKL612" s="3933"/>
      <c r="DKM612" s="621"/>
      <c r="DKN612" s="3933"/>
      <c r="DKO612" s="3933"/>
      <c r="DKP612" s="3933"/>
      <c r="DKQ612" s="621"/>
      <c r="DKR612" s="3933"/>
      <c r="DKS612" s="3933"/>
      <c r="DKT612" s="3933"/>
      <c r="DKU612" s="621"/>
      <c r="DKV612" s="3933"/>
      <c r="DKW612" s="3933"/>
      <c r="DKX612" s="3933"/>
      <c r="DKY612" s="621"/>
      <c r="DKZ612" s="3933"/>
      <c r="DLA612" s="3933"/>
      <c r="DLB612" s="3933"/>
      <c r="DLC612" s="621"/>
      <c r="DLD612" s="3933"/>
      <c r="DLE612" s="3933"/>
      <c r="DLF612" s="3933"/>
      <c r="DLG612" s="621"/>
      <c r="DLH612" s="3933"/>
      <c r="DLI612" s="3933"/>
      <c r="DLJ612" s="3933"/>
      <c r="DLK612" s="621"/>
      <c r="DLL612" s="3933"/>
      <c r="DLM612" s="3933"/>
      <c r="DLN612" s="3933"/>
      <c r="DLO612" s="621"/>
      <c r="DLP612" s="3933"/>
      <c r="DLQ612" s="3933"/>
      <c r="DLR612" s="3933"/>
      <c r="DLS612" s="621"/>
      <c r="DLT612" s="3933"/>
      <c r="DLU612" s="3933"/>
      <c r="DLV612" s="3933"/>
      <c r="DLW612" s="621"/>
      <c r="DLX612" s="3933"/>
      <c r="DLY612" s="3933"/>
      <c r="DLZ612" s="3933"/>
      <c r="DMA612" s="621"/>
      <c r="DMB612" s="3933"/>
      <c r="DMC612" s="3933"/>
      <c r="DMD612" s="3933"/>
      <c r="DME612" s="621"/>
      <c r="DMF612" s="3933"/>
      <c r="DMG612" s="3933"/>
      <c r="DMH612" s="3933"/>
      <c r="DMI612" s="621"/>
      <c r="DMJ612" s="3933"/>
      <c r="DMK612" s="3933"/>
      <c r="DML612" s="3933"/>
      <c r="DMM612" s="621"/>
      <c r="DMN612" s="3933"/>
      <c r="DMO612" s="3933"/>
      <c r="DMP612" s="3933"/>
      <c r="DMQ612" s="621"/>
      <c r="DMR612" s="3933"/>
      <c r="DMS612" s="3933"/>
      <c r="DMT612" s="3933"/>
      <c r="DMU612" s="621"/>
      <c r="DMV612" s="3933"/>
      <c r="DMW612" s="3933"/>
      <c r="DMX612" s="3933"/>
      <c r="DMY612" s="621"/>
      <c r="DMZ612" s="3933"/>
      <c r="DNA612" s="3933"/>
      <c r="DNB612" s="3933"/>
      <c r="DNC612" s="621"/>
      <c r="DND612" s="3933"/>
      <c r="DNE612" s="3933"/>
      <c r="DNF612" s="3933"/>
      <c r="DNG612" s="621"/>
      <c r="DNH612" s="3933"/>
      <c r="DNI612" s="3933"/>
      <c r="DNJ612" s="3933"/>
      <c r="DNK612" s="621"/>
      <c r="DNL612" s="3933"/>
      <c r="DNM612" s="3933"/>
      <c r="DNN612" s="3933"/>
      <c r="DNO612" s="621"/>
      <c r="DNP612" s="3933"/>
      <c r="DNQ612" s="3933"/>
      <c r="DNR612" s="3933"/>
      <c r="DNS612" s="621"/>
      <c r="DNT612" s="3933"/>
      <c r="DNU612" s="3933"/>
      <c r="DNV612" s="3933"/>
      <c r="DNW612" s="621"/>
      <c r="DNX612" s="3933"/>
      <c r="DNY612" s="3933"/>
      <c r="DNZ612" s="3933"/>
      <c r="DOA612" s="621"/>
      <c r="DOB612" s="3933"/>
      <c r="DOC612" s="3933"/>
      <c r="DOD612" s="3933"/>
      <c r="DOE612" s="621"/>
      <c r="DOF612" s="3933"/>
      <c r="DOG612" s="3933"/>
      <c r="DOH612" s="3933"/>
      <c r="DOI612" s="621"/>
      <c r="DOJ612" s="3933"/>
      <c r="DOK612" s="3933"/>
      <c r="DOL612" s="3933"/>
      <c r="DOM612" s="621"/>
      <c r="DON612" s="3933"/>
      <c r="DOO612" s="3933"/>
      <c r="DOP612" s="3933"/>
      <c r="DOQ612" s="621"/>
      <c r="DOR612" s="3933"/>
      <c r="DOS612" s="3933"/>
      <c r="DOT612" s="3933"/>
      <c r="DOU612" s="621"/>
      <c r="DOV612" s="3933"/>
      <c r="DOW612" s="3933"/>
      <c r="DOX612" s="3933"/>
      <c r="DOY612" s="621"/>
      <c r="DOZ612" s="3933"/>
      <c r="DPA612" s="3933"/>
      <c r="DPB612" s="3933"/>
      <c r="DPC612" s="621"/>
      <c r="DPD612" s="3933"/>
      <c r="DPE612" s="3933"/>
      <c r="DPF612" s="3933"/>
      <c r="DPG612" s="621"/>
      <c r="DPH612" s="3933"/>
      <c r="DPI612" s="3933"/>
      <c r="DPJ612" s="3933"/>
      <c r="DPK612" s="621"/>
      <c r="DPL612" s="3933"/>
      <c r="DPM612" s="3933"/>
      <c r="DPN612" s="3933"/>
      <c r="DPO612" s="621"/>
      <c r="DPP612" s="3933"/>
      <c r="DPQ612" s="3933"/>
      <c r="DPR612" s="3933"/>
      <c r="DPS612" s="621"/>
      <c r="DPT612" s="3933"/>
      <c r="DPU612" s="3933"/>
      <c r="DPV612" s="3933"/>
      <c r="DPW612" s="621"/>
      <c r="DPX612" s="3933"/>
      <c r="DPY612" s="3933"/>
      <c r="DPZ612" s="3933"/>
      <c r="DQA612" s="621"/>
      <c r="DQB612" s="3933"/>
      <c r="DQC612" s="3933"/>
      <c r="DQD612" s="3933"/>
      <c r="DQE612" s="621"/>
      <c r="DQF612" s="3933"/>
      <c r="DQG612" s="3933"/>
      <c r="DQH612" s="3933"/>
      <c r="DQI612" s="621"/>
      <c r="DQJ612" s="3933"/>
      <c r="DQK612" s="3933"/>
      <c r="DQL612" s="3933"/>
      <c r="DQM612" s="621"/>
      <c r="DQN612" s="3933"/>
      <c r="DQO612" s="3933"/>
      <c r="DQP612" s="3933"/>
      <c r="DQQ612" s="621"/>
      <c r="DQR612" s="3933"/>
      <c r="DQS612" s="3933"/>
      <c r="DQT612" s="3933"/>
      <c r="DQU612" s="621"/>
      <c r="DQV612" s="3933"/>
      <c r="DQW612" s="3933"/>
      <c r="DQX612" s="3933"/>
      <c r="DQY612" s="621"/>
      <c r="DQZ612" s="3933"/>
      <c r="DRA612" s="3933"/>
      <c r="DRB612" s="3933"/>
      <c r="DRC612" s="621"/>
      <c r="DRD612" s="3933"/>
      <c r="DRE612" s="3933"/>
      <c r="DRF612" s="3933"/>
      <c r="DRG612" s="621"/>
      <c r="DRH612" s="3933"/>
      <c r="DRI612" s="3933"/>
      <c r="DRJ612" s="3933"/>
      <c r="DRK612" s="621"/>
      <c r="DRL612" s="3933"/>
      <c r="DRM612" s="3933"/>
      <c r="DRN612" s="3933"/>
      <c r="DRO612" s="621"/>
      <c r="DRP612" s="3933"/>
      <c r="DRQ612" s="3933"/>
      <c r="DRR612" s="3933"/>
      <c r="DRS612" s="621"/>
      <c r="DRT612" s="3933"/>
      <c r="DRU612" s="3933"/>
      <c r="DRV612" s="3933"/>
      <c r="DRW612" s="621"/>
      <c r="DRX612" s="3933"/>
      <c r="DRY612" s="3933"/>
      <c r="DRZ612" s="3933"/>
      <c r="DSA612" s="621"/>
      <c r="DSB612" s="3933"/>
      <c r="DSC612" s="3933"/>
      <c r="DSD612" s="3933"/>
      <c r="DSE612" s="621"/>
      <c r="DSF612" s="3933"/>
      <c r="DSG612" s="3933"/>
      <c r="DSH612" s="3933"/>
      <c r="DSI612" s="621"/>
      <c r="DSJ612" s="3933"/>
      <c r="DSK612" s="3933"/>
      <c r="DSL612" s="3933"/>
      <c r="DSM612" s="621"/>
      <c r="DSN612" s="3933"/>
      <c r="DSO612" s="3933"/>
      <c r="DSP612" s="3933"/>
      <c r="DSQ612" s="621"/>
      <c r="DSR612" s="3933"/>
      <c r="DSS612" s="3933"/>
      <c r="DST612" s="3933"/>
      <c r="DSU612" s="621"/>
      <c r="DSV612" s="3933"/>
      <c r="DSW612" s="3933"/>
      <c r="DSX612" s="3933"/>
      <c r="DSY612" s="621"/>
      <c r="DSZ612" s="3933"/>
      <c r="DTA612" s="3933"/>
      <c r="DTB612" s="3933"/>
      <c r="DTC612" s="621"/>
      <c r="DTD612" s="3933"/>
      <c r="DTE612" s="3933"/>
      <c r="DTF612" s="3933"/>
      <c r="DTG612" s="621"/>
      <c r="DTH612" s="3933"/>
      <c r="DTI612" s="3933"/>
      <c r="DTJ612" s="3933"/>
      <c r="DTK612" s="621"/>
      <c r="DTL612" s="3933"/>
      <c r="DTM612" s="3933"/>
      <c r="DTN612" s="3933"/>
      <c r="DTO612" s="621"/>
      <c r="DTP612" s="3933"/>
      <c r="DTQ612" s="3933"/>
      <c r="DTR612" s="3933"/>
      <c r="DTS612" s="621"/>
      <c r="DTT612" s="3933"/>
      <c r="DTU612" s="3933"/>
      <c r="DTV612" s="3933"/>
      <c r="DTW612" s="621"/>
      <c r="DTX612" s="3933"/>
      <c r="DTY612" s="3933"/>
      <c r="DTZ612" s="3933"/>
      <c r="DUA612" s="621"/>
      <c r="DUB612" s="3933"/>
      <c r="DUC612" s="3933"/>
      <c r="DUD612" s="3933"/>
      <c r="DUE612" s="621"/>
      <c r="DUF612" s="3933"/>
      <c r="DUG612" s="3933"/>
      <c r="DUH612" s="3933"/>
      <c r="DUI612" s="621"/>
      <c r="DUJ612" s="3933"/>
      <c r="DUK612" s="3933"/>
      <c r="DUL612" s="3933"/>
      <c r="DUM612" s="621"/>
      <c r="DUN612" s="3933"/>
      <c r="DUO612" s="3933"/>
      <c r="DUP612" s="3933"/>
      <c r="DUQ612" s="621"/>
      <c r="DUR612" s="3933"/>
      <c r="DUS612" s="3933"/>
      <c r="DUT612" s="3933"/>
      <c r="DUU612" s="621"/>
      <c r="DUV612" s="3933"/>
      <c r="DUW612" s="3933"/>
      <c r="DUX612" s="3933"/>
      <c r="DUY612" s="621"/>
      <c r="DUZ612" s="3933"/>
      <c r="DVA612" s="3933"/>
      <c r="DVB612" s="3933"/>
      <c r="DVC612" s="621"/>
      <c r="DVD612" s="3933"/>
      <c r="DVE612" s="3933"/>
      <c r="DVF612" s="3933"/>
      <c r="DVG612" s="621"/>
      <c r="DVH612" s="3933"/>
      <c r="DVI612" s="3933"/>
      <c r="DVJ612" s="3933"/>
      <c r="DVK612" s="621"/>
      <c r="DVL612" s="3933"/>
      <c r="DVM612" s="3933"/>
      <c r="DVN612" s="3933"/>
      <c r="DVO612" s="621"/>
      <c r="DVP612" s="3933"/>
      <c r="DVQ612" s="3933"/>
      <c r="DVR612" s="3933"/>
      <c r="DVS612" s="621"/>
      <c r="DVT612" s="3933"/>
      <c r="DVU612" s="3933"/>
      <c r="DVV612" s="3933"/>
      <c r="DVW612" s="621"/>
      <c r="DVX612" s="3933"/>
      <c r="DVY612" s="3933"/>
      <c r="DVZ612" s="3933"/>
      <c r="DWA612" s="621"/>
      <c r="DWB612" s="3933"/>
      <c r="DWC612" s="3933"/>
      <c r="DWD612" s="3933"/>
      <c r="DWE612" s="621"/>
      <c r="DWF612" s="3933"/>
      <c r="DWG612" s="3933"/>
      <c r="DWH612" s="3933"/>
      <c r="DWI612" s="621"/>
      <c r="DWJ612" s="3933"/>
      <c r="DWK612" s="3933"/>
      <c r="DWL612" s="3933"/>
      <c r="DWM612" s="621"/>
      <c r="DWN612" s="3933"/>
      <c r="DWO612" s="3933"/>
      <c r="DWP612" s="3933"/>
      <c r="DWQ612" s="621"/>
      <c r="DWR612" s="3933"/>
      <c r="DWS612" s="3933"/>
      <c r="DWT612" s="3933"/>
      <c r="DWU612" s="621"/>
      <c r="DWV612" s="3933"/>
      <c r="DWW612" s="3933"/>
      <c r="DWX612" s="3933"/>
      <c r="DWY612" s="621"/>
      <c r="DWZ612" s="3933"/>
      <c r="DXA612" s="3933"/>
      <c r="DXB612" s="3933"/>
      <c r="DXC612" s="621"/>
      <c r="DXD612" s="3933"/>
      <c r="DXE612" s="3933"/>
      <c r="DXF612" s="3933"/>
      <c r="DXG612" s="621"/>
      <c r="DXH612" s="3933"/>
      <c r="DXI612" s="3933"/>
      <c r="DXJ612" s="3933"/>
      <c r="DXK612" s="621"/>
      <c r="DXL612" s="3933"/>
      <c r="DXM612" s="3933"/>
      <c r="DXN612" s="3933"/>
      <c r="DXO612" s="621"/>
      <c r="DXP612" s="3933"/>
      <c r="DXQ612" s="3933"/>
      <c r="DXR612" s="3933"/>
      <c r="DXS612" s="621"/>
      <c r="DXT612" s="3933"/>
      <c r="DXU612" s="3933"/>
      <c r="DXV612" s="3933"/>
      <c r="DXW612" s="621"/>
      <c r="DXX612" s="3933"/>
      <c r="DXY612" s="3933"/>
      <c r="DXZ612" s="3933"/>
      <c r="DYA612" s="621"/>
      <c r="DYB612" s="3933"/>
      <c r="DYC612" s="3933"/>
      <c r="DYD612" s="3933"/>
      <c r="DYE612" s="621"/>
      <c r="DYF612" s="3933"/>
      <c r="DYG612" s="3933"/>
      <c r="DYH612" s="3933"/>
      <c r="DYI612" s="621"/>
      <c r="DYJ612" s="3933"/>
      <c r="DYK612" s="3933"/>
      <c r="DYL612" s="3933"/>
      <c r="DYM612" s="621"/>
      <c r="DYN612" s="3933"/>
      <c r="DYO612" s="3933"/>
      <c r="DYP612" s="3933"/>
      <c r="DYQ612" s="621"/>
      <c r="DYR612" s="3933"/>
      <c r="DYS612" s="3933"/>
      <c r="DYT612" s="3933"/>
      <c r="DYU612" s="621"/>
      <c r="DYV612" s="3933"/>
      <c r="DYW612" s="3933"/>
      <c r="DYX612" s="3933"/>
      <c r="DYY612" s="621"/>
      <c r="DYZ612" s="3933"/>
      <c r="DZA612" s="3933"/>
      <c r="DZB612" s="3933"/>
      <c r="DZC612" s="621"/>
      <c r="DZD612" s="3933"/>
      <c r="DZE612" s="3933"/>
      <c r="DZF612" s="3933"/>
      <c r="DZG612" s="621"/>
      <c r="DZH612" s="3933"/>
      <c r="DZI612" s="3933"/>
      <c r="DZJ612" s="3933"/>
      <c r="DZK612" s="621"/>
      <c r="DZL612" s="3933"/>
      <c r="DZM612" s="3933"/>
      <c r="DZN612" s="3933"/>
      <c r="DZO612" s="621"/>
      <c r="DZP612" s="3933"/>
      <c r="DZQ612" s="3933"/>
      <c r="DZR612" s="3933"/>
      <c r="DZS612" s="621"/>
      <c r="DZT612" s="3933"/>
      <c r="DZU612" s="3933"/>
      <c r="DZV612" s="3933"/>
      <c r="DZW612" s="621"/>
      <c r="DZX612" s="3933"/>
      <c r="DZY612" s="3933"/>
      <c r="DZZ612" s="3933"/>
      <c r="EAA612" s="621"/>
      <c r="EAB612" s="3933"/>
      <c r="EAC612" s="3933"/>
      <c r="EAD612" s="3933"/>
      <c r="EAE612" s="621"/>
      <c r="EAF612" s="3933"/>
      <c r="EAG612" s="3933"/>
      <c r="EAH612" s="3933"/>
      <c r="EAI612" s="621"/>
      <c r="EAJ612" s="3933"/>
      <c r="EAK612" s="3933"/>
      <c r="EAL612" s="3933"/>
      <c r="EAM612" s="621"/>
      <c r="EAN612" s="3933"/>
      <c r="EAO612" s="3933"/>
      <c r="EAP612" s="3933"/>
      <c r="EAQ612" s="621"/>
      <c r="EAR612" s="3933"/>
      <c r="EAS612" s="3933"/>
      <c r="EAT612" s="3933"/>
      <c r="EAU612" s="621"/>
      <c r="EAV612" s="3933"/>
      <c r="EAW612" s="3933"/>
      <c r="EAX612" s="3933"/>
      <c r="EAY612" s="621"/>
      <c r="EAZ612" s="3933"/>
      <c r="EBA612" s="3933"/>
      <c r="EBB612" s="3933"/>
      <c r="EBC612" s="621"/>
      <c r="EBD612" s="3933"/>
      <c r="EBE612" s="3933"/>
      <c r="EBF612" s="3933"/>
      <c r="EBG612" s="621"/>
      <c r="EBH612" s="3933"/>
      <c r="EBI612" s="3933"/>
      <c r="EBJ612" s="3933"/>
      <c r="EBK612" s="621"/>
      <c r="EBL612" s="3933"/>
      <c r="EBM612" s="3933"/>
      <c r="EBN612" s="3933"/>
      <c r="EBO612" s="621"/>
      <c r="EBP612" s="3933"/>
      <c r="EBQ612" s="3933"/>
      <c r="EBR612" s="3933"/>
      <c r="EBS612" s="621"/>
      <c r="EBT612" s="3933"/>
      <c r="EBU612" s="3933"/>
      <c r="EBV612" s="3933"/>
      <c r="EBW612" s="621"/>
      <c r="EBX612" s="3933"/>
      <c r="EBY612" s="3933"/>
      <c r="EBZ612" s="3933"/>
      <c r="ECA612" s="621"/>
      <c r="ECB612" s="3933"/>
      <c r="ECC612" s="3933"/>
      <c r="ECD612" s="3933"/>
      <c r="ECE612" s="621"/>
      <c r="ECF612" s="3933"/>
      <c r="ECG612" s="3933"/>
      <c r="ECH612" s="3933"/>
      <c r="ECI612" s="621"/>
      <c r="ECJ612" s="3933"/>
      <c r="ECK612" s="3933"/>
      <c r="ECL612" s="3933"/>
      <c r="ECM612" s="621"/>
      <c r="ECN612" s="3933"/>
      <c r="ECO612" s="3933"/>
      <c r="ECP612" s="3933"/>
      <c r="ECQ612" s="621"/>
      <c r="ECR612" s="3933"/>
      <c r="ECS612" s="3933"/>
      <c r="ECT612" s="3933"/>
      <c r="ECU612" s="621"/>
      <c r="ECV612" s="3933"/>
      <c r="ECW612" s="3933"/>
      <c r="ECX612" s="3933"/>
      <c r="ECY612" s="621"/>
      <c r="ECZ612" s="3933"/>
      <c r="EDA612" s="3933"/>
      <c r="EDB612" s="3933"/>
      <c r="EDC612" s="621"/>
      <c r="EDD612" s="3933"/>
      <c r="EDE612" s="3933"/>
      <c r="EDF612" s="3933"/>
      <c r="EDG612" s="621"/>
      <c r="EDH612" s="3933"/>
      <c r="EDI612" s="3933"/>
      <c r="EDJ612" s="3933"/>
      <c r="EDK612" s="621"/>
      <c r="EDL612" s="3933"/>
      <c r="EDM612" s="3933"/>
      <c r="EDN612" s="3933"/>
      <c r="EDO612" s="621"/>
      <c r="EDP612" s="3933"/>
      <c r="EDQ612" s="3933"/>
      <c r="EDR612" s="3933"/>
      <c r="EDS612" s="621"/>
      <c r="EDT612" s="3933"/>
      <c r="EDU612" s="3933"/>
      <c r="EDV612" s="3933"/>
      <c r="EDW612" s="621"/>
      <c r="EDX612" s="3933"/>
      <c r="EDY612" s="3933"/>
      <c r="EDZ612" s="3933"/>
      <c r="EEA612" s="621"/>
      <c r="EEB612" s="3933"/>
      <c r="EEC612" s="3933"/>
      <c r="EED612" s="3933"/>
      <c r="EEE612" s="621"/>
      <c r="EEF612" s="3933"/>
      <c r="EEG612" s="3933"/>
      <c r="EEH612" s="3933"/>
      <c r="EEI612" s="621"/>
      <c r="EEJ612" s="3933"/>
      <c r="EEK612" s="3933"/>
      <c r="EEL612" s="3933"/>
      <c r="EEM612" s="621"/>
      <c r="EEN612" s="3933"/>
      <c r="EEO612" s="3933"/>
      <c r="EEP612" s="3933"/>
      <c r="EEQ612" s="621"/>
      <c r="EER612" s="3933"/>
      <c r="EES612" s="3933"/>
      <c r="EET612" s="3933"/>
      <c r="EEU612" s="621"/>
      <c r="EEV612" s="3933"/>
      <c r="EEW612" s="3933"/>
      <c r="EEX612" s="3933"/>
      <c r="EEY612" s="621"/>
      <c r="EEZ612" s="3933"/>
      <c r="EFA612" s="3933"/>
      <c r="EFB612" s="3933"/>
      <c r="EFC612" s="621"/>
      <c r="EFD612" s="3933"/>
      <c r="EFE612" s="3933"/>
      <c r="EFF612" s="3933"/>
      <c r="EFG612" s="621"/>
      <c r="EFH612" s="3933"/>
      <c r="EFI612" s="3933"/>
      <c r="EFJ612" s="3933"/>
      <c r="EFK612" s="621"/>
      <c r="EFL612" s="3933"/>
      <c r="EFM612" s="3933"/>
      <c r="EFN612" s="3933"/>
      <c r="EFO612" s="621"/>
      <c r="EFP612" s="3933"/>
      <c r="EFQ612" s="3933"/>
      <c r="EFR612" s="3933"/>
      <c r="EFS612" s="621"/>
      <c r="EFT612" s="3933"/>
      <c r="EFU612" s="3933"/>
      <c r="EFV612" s="3933"/>
      <c r="EFW612" s="621"/>
      <c r="EFX612" s="3933"/>
      <c r="EFY612" s="3933"/>
      <c r="EFZ612" s="3933"/>
      <c r="EGA612" s="621"/>
      <c r="EGB612" s="3933"/>
      <c r="EGC612" s="3933"/>
      <c r="EGD612" s="3933"/>
      <c r="EGE612" s="621"/>
      <c r="EGF612" s="3933"/>
      <c r="EGG612" s="3933"/>
      <c r="EGH612" s="3933"/>
      <c r="EGI612" s="621"/>
      <c r="EGJ612" s="3933"/>
      <c r="EGK612" s="3933"/>
      <c r="EGL612" s="3933"/>
      <c r="EGM612" s="621"/>
      <c r="EGN612" s="3933"/>
      <c r="EGO612" s="3933"/>
      <c r="EGP612" s="3933"/>
      <c r="EGQ612" s="621"/>
      <c r="EGR612" s="3933"/>
      <c r="EGS612" s="3933"/>
      <c r="EGT612" s="3933"/>
      <c r="EGU612" s="621"/>
      <c r="EGV612" s="3933"/>
      <c r="EGW612" s="3933"/>
      <c r="EGX612" s="3933"/>
      <c r="EGY612" s="621"/>
      <c r="EGZ612" s="3933"/>
      <c r="EHA612" s="3933"/>
      <c r="EHB612" s="3933"/>
      <c r="EHC612" s="621"/>
      <c r="EHD612" s="3933"/>
      <c r="EHE612" s="3933"/>
      <c r="EHF612" s="3933"/>
      <c r="EHG612" s="621"/>
      <c r="EHH612" s="3933"/>
      <c r="EHI612" s="3933"/>
      <c r="EHJ612" s="3933"/>
      <c r="EHK612" s="621"/>
      <c r="EHL612" s="3933"/>
      <c r="EHM612" s="3933"/>
      <c r="EHN612" s="3933"/>
      <c r="EHO612" s="621"/>
      <c r="EHP612" s="3933"/>
      <c r="EHQ612" s="3933"/>
      <c r="EHR612" s="3933"/>
      <c r="EHS612" s="621"/>
      <c r="EHT612" s="3933"/>
      <c r="EHU612" s="3933"/>
      <c r="EHV612" s="3933"/>
      <c r="EHW612" s="621"/>
      <c r="EHX612" s="3933"/>
      <c r="EHY612" s="3933"/>
      <c r="EHZ612" s="3933"/>
      <c r="EIA612" s="621"/>
      <c r="EIB612" s="3933"/>
      <c r="EIC612" s="3933"/>
      <c r="EID612" s="3933"/>
      <c r="EIE612" s="621"/>
      <c r="EIF612" s="3933"/>
      <c r="EIG612" s="3933"/>
      <c r="EIH612" s="3933"/>
      <c r="EII612" s="621"/>
      <c r="EIJ612" s="3933"/>
      <c r="EIK612" s="3933"/>
      <c r="EIL612" s="3933"/>
      <c r="EIM612" s="621"/>
      <c r="EIN612" s="3933"/>
      <c r="EIO612" s="3933"/>
      <c r="EIP612" s="3933"/>
      <c r="EIQ612" s="621"/>
      <c r="EIR612" s="3933"/>
      <c r="EIS612" s="3933"/>
      <c r="EIT612" s="3933"/>
      <c r="EIU612" s="621"/>
      <c r="EIV612" s="3933"/>
      <c r="EIW612" s="3933"/>
      <c r="EIX612" s="3933"/>
      <c r="EIY612" s="621"/>
      <c r="EIZ612" s="3933"/>
      <c r="EJA612" s="3933"/>
      <c r="EJB612" s="3933"/>
      <c r="EJC612" s="621"/>
      <c r="EJD612" s="3933"/>
      <c r="EJE612" s="3933"/>
      <c r="EJF612" s="3933"/>
      <c r="EJG612" s="621"/>
      <c r="EJH612" s="3933"/>
      <c r="EJI612" s="3933"/>
      <c r="EJJ612" s="3933"/>
      <c r="EJK612" s="621"/>
      <c r="EJL612" s="3933"/>
      <c r="EJM612" s="3933"/>
      <c r="EJN612" s="3933"/>
      <c r="EJO612" s="621"/>
      <c r="EJP612" s="3933"/>
      <c r="EJQ612" s="3933"/>
      <c r="EJR612" s="3933"/>
      <c r="EJS612" s="621"/>
      <c r="EJT612" s="3933"/>
      <c r="EJU612" s="3933"/>
      <c r="EJV612" s="3933"/>
      <c r="EJW612" s="621"/>
      <c r="EJX612" s="3933"/>
      <c r="EJY612" s="3933"/>
      <c r="EJZ612" s="3933"/>
      <c r="EKA612" s="621"/>
      <c r="EKB612" s="3933"/>
      <c r="EKC612" s="3933"/>
      <c r="EKD612" s="3933"/>
      <c r="EKE612" s="621"/>
      <c r="EKF612" s="3933"/>
      <c r="EKG612" s="3933"/>
      <c r="EKH612" s="3933"/>
      <c r="EKI612" s="621"/>
      <c r="EKJ612" s="3933"/>
      <c r="EKK612" s="3933"/>
      <c r="EKL612" s="3933"/>
      <c r="EKM612" s="621"/>
      <c r="EKN612" s="3933"/>
      <c r="EKO612" s="3933"/>
      <c r="EKP612" s="3933"/>
      <c r="EKQ612" s="621"/>
      <c r="EKR612" s="3933"/>
      <c r="EKS612" s="3933"/>
      <c r="EKT612" s="3933"/>
      <c r="EKU612" s="621"/>
      <c r="EKV612" s="3933"/>
      <c r="EKW612" s="3933"/>
      <c r="EKX612" s="3933"/>
      <c r="EKY612" s="621"/>
      <c r="EKZ612" s="3933"/>
      <c r="ELA612" s="3933"/>
      <c r="ELB612" s="3933"/>
      <c r="ELC612" s="621"/>
      <c r="ELD612" s="3933"/>
      <c r="ELE612" s="3933"/>
      <c r="ELF612" s="3933"/>
      <c r="ELG612" s="621"/>
      <c r="ELH612" s="3933"/>
      <c r="ELI612" s="3933"/>
      <c r="ELJ612" s="3933"/>
      <c r="ELK612" s="621"/>
      <c r="ELL612" s="3933"/>
      <c r="ELM612" s="3933"/>
      <c r="ELN612" s="3933"/>
      <c r="ELO612" s="621"/>
      <c r="ELP612" s="3933"/>
      <c r="ELQ612" s="3933"/>
      <c r="ELR612" s="3933"/>
      <c r="ELS612" s="621"/>
      <c r="ELT612" s="3933"/>
      <c r="ELU612" s="3933"/>
      <c r="ELV612" s="3933"/>
      <c r="ELW612" s="621"/>
      <c r="ELX612" s="3933"/>
      <c r="ELY612" s="3933"/>
      <c r="ELZ612" s="3933"/>
      <c r="EMA612" s="621"/>
      <c r="EMB612" s="3933"/>
      <c r="EMC612" s="3933"/>
      <c r="EMD612" s="3933"/>
      <c r="EME612" s="621"/>
      <c r="EMF612" s="3933"/>
      <c r="EMG612" s="3933"/>
      <c r="EMH612" s="3933"/>
      <c r="EMI612" s="621"/>
      <c r="EMJ612" s="3933"/>
      <c r="EMK612" s="3933"/>
      <c r="EML612" s="3933"/>
      <c r="EMM612" s="621"/>
      <c r="EMN612" s="3933"/>
      <c r="EMO612" s="3933"/>
      <c r="EMP612" s="3933"/>
      <c r="EMQ612" s="621"/>
      <c r="EMR612" s="3933"/>
      <c r="EMS612" s="3933"/>
      <c r="EMT612" s="3933"/>
      <c r="EMU612" s="621"/>
      <c r="EMV612" s="3933"/>
      <c r="EMW612" s="3933"/>
      <c r="EMX612" s="3933"/>
      <c r="EMY612" s="621"/>
      <c r="EMZ612" s="3933"/>
      <c r="ENA612" s="3933"/>
      <c r="ENB612" s="3933"/>
      <c r="ENC612" s="621"/>
      <c r="END612" s="3933"/>
      <c r="ENE612" s="3933"/>
      <c r="ENF612" s="3933"/>
      <c r="ENG612" s="621"/>
      <c r="ENH612" s="3933"/>
      <c r="ENI612" s="3933"/>
      <c r="ENJ612" s="3933"/>
      <c r="ENK612" s="621"/>
      <c r="ENL612" s="3933"/>
      <c r="ENM612" s="3933"/>
      <c r="ENN612" s="3933"/>
      <c r="ENO612" s="621"/>
      <c r="ENP612" s="3933"/>
      <c r="ENQ612" s="3933"/>
      <c r="ENR612" s="3933"/>
      <c r="ENS612" s="621"/>
      <c r="ENT612" s="3933"/>
      <c r="ENU612" s="3933"/>
      <c r="ENV612" s="3933"/>
      <c r="ENW612" s="621"/>
      <c r="ENX612" s="3933"/>
      <c r="ENY612" s="3933"/>
      <c r="ENZ612" s="3933"/>
      <c r="EOA612" s="621"/>
      <c r="EOB612" s="3933"/>
      <c r="EOC612" s="3933"/>
      <c r="EOD612" s="3933"/>
      <c r="EOE612" s="621"/>
      <c r="EOF612" s="3933"/>
      <c r="EOG612" s="3933"/>
      <c r="EOH612" s="3933"/>
      <c r="EOI612" s="621"/>
      <c r="EOJ612" s="3933"/>
      <c r="EOK612" s="3933"/>
      <c r="EOL612" s="3933"/>
      <c r="EOM612" s="621"/>
      <c r="EON612" s="3933"/>
      <c r="EOO612" s="3933"/>
      <c r="EOP612" s="3933"/>
      <c r="EOQ612" s="621"/>
      <c r="EOR612" s="3933"/>
      <c r="EOS612" s="3933"/>
      <c r="EOT612" s="3933"/>
      <c r="EOU612" s="621"/>
      <c r="EOV612" s="3933"/>
      <c r="EOW612" s="3933"/>
      <c r="EOX612" s="3933"/>
      <c r="EOY612" s="621"/>
      <c r="EOZ612" s="3933"/>
      <c r="EPA612" s="3933"/>
      <c r="EPB612" s="3933"/>
      <c r="EPC612" s="621"/>
      <c r="EPD612" s="3933"/>
      <c r="EPE612" s="3933"/>
      <c r="EPF612" s="3933"/>
      <c r="EPG612" s="621"/>
      <c r="EPH612" s="3933"/>
      <c r="EPI612" s="3933"/>
      <c r="EPJ612" s="3933"/>
      <c r="EPK612" s="621"/>
      <c r="EPL612" s="3933"/>
      <c r="EPM612" s="3933"/>
      <c r="EPN612" s="3933"/>
      <c r="EPO612" s="621"/>
      <c r="EPP612" s="3933"/>
      <c r="EPQ612" s="3933"/>
      <c r="EPR612" s="3933"/>
      <c r="EPS612" s="621"/>
      <c r="EPT612" s="3933"/>
      <c r="EPU612" s="3933"/>
      <c r="EPV612" s="3933"/>
      <c r="EPW612" s="621"/>
      <c r="EPX612" s="3933"/>
      <c r="EPY612" s="3933"/>
      <c r="EPZ612" s="3933"/>
      <c r="EQA612" s="621"/>
      <c r="EQB612" s="3933"/>
      <c r="EQC612" s="3933"/>
      <c r="EQD612" s="3933"/>
      <c r="EQE612" s="621"/>
      <c r="EQF612" s="3933"/>
      <c r="EQG612" s="3933"/>
      <c r="EQH612" s="3933"/>
      <c r="EQI612" s="621"/>
      <c r="EQJ612" s="3933"/>
      <c r="EQK612" s="3933"/>
      <c r="EQL612" s="3933"/>
      <c r="EQM612" s="621"/>
      <c r="EQN612" s="3933"/>
      <c r="EQO612" s="3933"/>
      <c r="EQP612" s="3933"/>
      <c r="EQQ612" s="621"/>
      <c r="EQR612" s="3933"/>
      <c r="EQS612" s="3933"/>
      <c r="EQT612" s="3933"/>
      <c r="EQU612" s="621"/>
      <c r="EQV612" s="3933"/>
      <c r="EQW612" s="3933"/>
      <c r="EQX612" s="3933"/>
      <c r="EQY612" s="621"/>
      <c r="EQZ612" s="3933"/>
      <c r="ERA612" s="3933"/>
      <c r="ERB612" s="3933"/>
      <c r="ERC612" s="621"/>
      <c r="ERD612" s="3933"/>
      <c r="ERE612" s="3933"/>
      <c r="ERF612" s="3933"/>
      <c r="ERG612" s="621"/>
      <c r="ERH612" s="3933"/>
      <c r="ERI612" s="3933"/>
      <c r="ERJ612" s="3933"/>
      <c r="ERK612" s="621"/>
      <c r="ERL612" s="3933"/>
      <c r="ERM612" s="3933"/>
      <c r="ERN612" s="3933"/>
      <c r="ERO612" s="621"/>
      <c r="ERP612" s="3933"/>
      <c r="ERQ612" s="3933"/>
      <c r="ERR612" s="3933"/>
      <c r="ERS612" s="621"/>
      <c r="ERT612" s="3933"/>
      <c r="ERU612" s="3933"/>
      <c r="ERV612" s="3933"/>
      <c r="ERW612" s="621"/>
      <c r="ERX612" s="3933"/>
      <c r="ERY612" s="3933"/>
      <c r="ERZ612" s="3933"/>
      <c r="ESA612" s="621"/>
      <c r="ESB612" s="3933"/>
      <c r="ESC612" s="3933"/>
      <c r="ESD612" s="3933"/>
      <c r="ESE612" s="621"/>
      <c r="ESF612" s="3933"/>
      <c r="ESG612" s="3933"/>
      <c r="ESH612" s="3933"/>
      <c r="ESI612" s="621"/>
      <c r="ESJ612" s="3933"/>
      <c r="ESK612" s="3933"/>
      <c r="ESL612" s="3933"/>
      <c r="ESM612" s="621"/>
      <c r="ESN612" s="3933"/>
      <c r="ESO612" s="3933"/>
      <c r="ESP612" s="3933"/>
      <c r="ESQ612" s="621"/>
      <c r="ESR612" s="3933"/>
      <c r="ESS612" s="3933"/>
      <c r="EST612" s="3933"/>
      <c r="ESU612" s="621"/>
      <c r="ESV612" s="3933"/>
      <c r="ESW612" s="3933"/>
      <c r="ESX612" s="3933"/>
      <c r="ESY612" s="621"/>
      <c r="ESZ612" s="3933"/>
      <c r="ETA612" s="3933"/>
      <c r="ETB612" s="3933"/>
      <c r="ETC612" s="621"/>
      <c r="ETD612" s="3933"/>
      <c r="ETE612" s="3933"/>
      <c r="ETF612" s="3933"/>
      <c r="ETG612" s="621"/>
      <c r="ETH612" s="3933"/>
      <c r="ETI612" s="3933"/>
      <c r="ETJ612" s="3933"/>
      <c r="ETK612" s="621"/>
      <c r="ETL612" s="3933"/>
      <c r="ETM612" s="3933"/>
      <c r="ETN612" s="3933"/>
      <c r="ETO612" s="621"/>
      <c r="ETP612" s="3933"/>
      <c r="ETQ612" s="3933"/>
      <c r="ETR612" s="3933"/>
      <c r="ETS612" s="621"/>
      <c r="ETT612" s="3933"/>
      <c r="ETU612" s="3933"/>
      <c r="ETV612" s="3933"/>
      <c r="ETW612" s="621"/>
      <c r="ETX612" s="3933"/>
      <c r="ETY612" s="3933"/>
      <c r="ETZ612" s="3933"/>
      <c r="EUA612" s="621"/>
      <c r="EUB612" s="3933"/>
      <c r="EUC612" s="3933"/>
      <c r="EUD612" s="3933"/>
      <c r="EUE612" s="621"/>
      <c r="EUF612" s="3933"/>
      <c r="EUG612" s="3933"/>
      <c r="EUH612" s="3933"/>
      <c r="EUI612" s="621"/>
      <c r="EUJ612" s="3933"/>
      <c r="EUK612" s="3933"/>
      <c r="EUL612" s="3933"/>
      <c r="EUM612" s="621"/>
      <c r="EUN612" s="3933"/>
      <c r="EUO612" s="3933"/>
      <c r="EUP612" s="3933"/>
      <c r="EUQ612" s="621"/>
      <c r="EUR612" s="3933"/>
      <c r="EUS612" s="3933"/>
      <c r="EUT612" s="3933"/>
      <c r="EUU612" s="621"/>
      <c r="EUV612" s="3933"/>
      <c r="EUW612" s="3933"/>
      <c r="EUX612" s="3933"/>
      <c r="EUY612" s="621"/>
      <c r="EUZ612" s="3933"/>
      <c r="EVA612" s="3933"/>
      <c r="EVB612" s="3933"/>
      <c r="EVC612" s="621"/>
      <c r="EVD612" s="3933"/>
      <c r="EVE612" s="3933"/>
      <c r="EVF612" s="3933"/>
      <c r="EVG612" s="621"/>
      <c r="EVH612" s="3933"/>
      <c r="EVI612" s="3933"/>
      <c r="EVJ612" s="3933"/>
      <c r="EVK612" s="621"/>
      <c r="EVL612" s="3933"/>
      <c r="EVM612" s="3933"/>
      <c r="EVN612" s="3933"/>
      <c r="EVO612" s="621"/>
      <c r="EVP612" s="3933"/>
      <c r="EVQ612" s="3933"/>
      <c r="EVR612" s="3933"/>
      <c r="EVS612" s="621"/>
      <c r="EVT612" s="3933"/>
      <c r="EVU612" s="3933"/>
      <c r="EVV612" s="3933"/>
      <c r="EVW612" s="621"/>
      <c r="EVX612" s="3933"/>
      <c r="EVY612" s="3933"/>
      <c r="EVZ612" s="3933"/>
      <c r="EWA612" s="621"/>
      <c r="EWB612" s="3933"/>
      <c r="EWC612" s="3933"/>
      <c r="EWD612" s="3933"/>
      <c r="EWE612" s="621"/>
      <c r="EWF612" s="3933"/>
      <c r="EWG612" s="3933"/>
      <c r="EWH612" s="3933"/>
      <c r="EWI612" s="621"/>
      <c r="EWJ612" s="3933"/>
      <c r="EWK612" s="3933"/>
      <c r="EWL612" s="3933"/>
      <c r="EWM612" s="621"/>
      <c r="EWN612" s="3933"/>
      <c r="EWO612" s="3933"/>
      <c r="EWP612" s="3933"/>
      <c r="EWQ612" s="621"/>
      <c r="EWR612" s="3933"/>
      <c r="EWS612" s="3933"/>
      <c r="EWT612" s="3933"/>
      <c r="EWU612" s="621"/>
      <c r="EWV612" s="3933"/>
      <c r="EWW612" s="3933"/>
      <c r="EWX612" s="3933"/>
      <c r="EWY612" s="621"/>
      <c r="EWZ612" s="3933"/>
      <c r="EXA612" s="3933"/>
      <c r="EXB612" s="3933"/>
      <c r="EXC612" s="621"/>
      <c r="EXD612" s="3933"/>
      <c r="EXE612" s="3933"/>
      <c r="EXF612" s="3933"/>
      <c r="EXG612" s="621"/>
      <c r="EXH612" s="3933"/>
      <c r="EXI612" s="3933"/>
      <c r="EXJ612" s="3933"/>
      <c r="EXK612" s="621"/>
      <c r="EXL612" s="3933"/>
      <c r="EXM612" s="3933"/>
      <c r="EXN612" s="3933"/>
      <c r="EXO612" s="621"/>
      <c r="EXP612" s="3933"/>
      <c r="EXQ612" s="3933"/>
      <c r="EXR612" s="3933"/>
      <c r="EXS612" s="621"/>
      <c r="EXT612" s="3933"/>
      <c r="EXU612" s="3933"/>
      <c r="EXV612" s="3933"/>
      <c r="EXW612" s="621"/>
      <c r="EXX612" s="3933"/>
      <c r="EXY612" s="3933"/>
      <c r="EXZ612" s="3933"/>
      <c r="EYA612" s="621"/>
      <c r="EYB612" s="3933"/>
      <c r="EYC612" s="3933"/>
      <c r="EYD612" s="3933"/>
      <c r="EYE612" s="621"/>
      <c r="EYF612" s="3933"/>
      <c r="EYG612" s="3933"/>
      <c r="EYH612" s="3933"/>
      <c r="EYI612" s="621"/>
      <c r="EYJ612" s="3933"/>
      <c r="EYK612" s="3933"/>
      <c r="EYL612" s="3933"/>
      <c r="EYM612" s="621"/>
      <c r="EYN612" s="3933"/>
      <c r="EYO612" s="3933"/>
      <c r="EYP612" s="3933"/>
      <c r="EYQ612" s="621"/>
      <c r="EYR612" s="3933"/>
      <c r="EYS612" s="3933"/>
      <c r="EYT612" s="3933"/>
      <c r="EYU612" s="621"/>
      <c r="EYV612" s="3933"/>
      <c r="EYW612" s="3933"/>
      <c r="EYX612" s="3933"/>
      <c r="EYY612" s="621"/>
      <c r="EYZ612" s="3933"/>
      <c r="EZA612" s="3933"/>
      <c r="EZB612" s="3933"/>
      <c r="EZC612" s="621"/>
      <c r="EZD612" s="3933"/>
      <c r="EZE612" s="3933"/>
      <c r="EZF612" s="3933"/>
      <c r="EZG612" s="621"/>
      <c r="EZH612" s="3933"/>
      <c r="EZI612" s="3933"/>
      <c r="EZJ612" s="3933"/>
      <c r="EZK612" s="621"/>
      <c r="EZL612" s="3933"/>
      <c r="EZM612" s="3933"/>
      <c r="EZN612" s="3933"/>
      <c r="EZO612" s="621"/>
      <c r="EZP612" s="3933"/>
      <c r="EZQ612" s="3933"/>
      <c r="EZR612" s="3933"/>
      <c r="EZS612" s="621"/>
      <c r="EZT612" s="3933"/>
      <c r="EZU612" s="3933"/>
      <c r="EZV612" s="3933"/>
      <c r="EZW612" s="621"/>
      <c r="EZX612" s="3933"/>
      <c r="EZY612" s="3933"/>
      <c r="EZZ612" s="3933"/>
      <c r="FAA612" s="621"/>
      <c r="FAB612" s="3933"/>
      <c r="FAC612" s="3933"/>
      <c r="FAD612" s="3933"/>
      <c r="FAE612" s="621"/>
      <c r="FAF612" s="3933"/>
      <c r="FAG612" s="3933"/>
      <c r="FAH612" s="3933"/>
      <c r="FAI612" s="621"/>
      <c r="FAJ612" s="3933"/>
      <c r="FAK612" s="3933"/>
      <c r="FAL612" s="3933"/>
      <c r="FAM612" s="621"/>
      <c r="FAN612" s="3933"/>
      <c r="FAO612" s="3933"/>
      <c r="FAP612" s="3933"/>
      <c r="FAQ612" s="621"/>
      <c r="FAR612" s="3933"/>
      <c r="FAS612" s="3933"/>
      <c r="FAT612" s="3933"/>
      <c r="FAU612" s="621"/>
      <c r="FAV612" s="3933"/>
      <c r="FAW612" s="3933"/>
      <c r="FAX612" s="3933"/>
      <c r="FAY612" s="621"/>
      <c r="FAZ612" s="3933"/>
      <c r="FBA612" s="3933"/>
      <c r="FBB612" s="3933"/>
      <c r="FBC612" s="621"/>
      <c r="FBD612" s="3933"/>
      <c r="FBE612" s="3933"/>
      <c r="FBF612" s="3933"/>
      <c r="FBG612" s="621"/>
      <c r="FBH612" s="3933"/>
      <c r="FBI612" s="3933"/>
      <c r="FBJ612" s="3933"/>
      <c r="FBK612" s="621"/>
      <c r="FBL612" s="3933"/>
      <c r="FBM612" s="3933"/>
      <c r="FBN612" s="3933"/>
      <c r="FBO612" s="621"/>
      <c r="FBP612" s="3933"/>
      <c r="FBQ612" s="3933"/>
      <c r="FBR612" s="3933"/>
      <c r="FBS612" s="621"/>
      <c r="FBT612" s="3933"/>
      <c r="FBU612" s="3933"/>
      <c r="FBV612" s="3933"/>
      <c r="FBW612" s="621"/>
      <c r="FBX612" s="3933"/>
      <c r="FBY612" s="3933"/>
      <c r="FBZ612" s="3933"/>
      <c r="FCA612" s="621"/>
      <c r="FCB612" s="3933"/>
      <c r="FCC612" s="3933"/>
      <c r="FCD612" s="3933"/>
      <c r="FCE612" s="621"/>
      <c r="FCF612" s="3933"/>
      <c r="FCG612" s="3933"/>
      <c r="FCH612" s="3933"/>
      <c r="FCI612" s="621"/>
      <c r="FCJ612" s="3933"/>
      <c r="FCK612" s="3933"/>
      <c r="FCL612" s="3933"/>
      <c r="FCM612" s="621"/>
      <c r="FCN612" s="3933"/>
      <c r="FCO612" s="3933"/>
      <c r="FCP612" s="3933"/>
      <c r="FCQ612" s="621"/>
      <c r="FCR612" s="3933"/>
      <c r="FCS612" s="3933"/>
      <c r="FCT612" s="3933"/>
      <c r="FCU612" s="621"/>
      <c r="FCV612" s="3933"/>
      <c r="FCW612" s="3933"/>
      <c r="FCX612" s="3933"/>
      <c r="FCY612" s="621"/>
      <c r="FCZ612" s="3933"/>
      <c r="FDA612" s="3933"/>
      <c r="FDB612" s="3933"/>
      <c r="FDC612" s="621"/>
      <c r="FDD612" s="3933"/>
      <c r="FDE612" s="3933"/>
      <c r="FDF612" s="3933"/>
      <c r="FDG612" s="621"/>
      <c r="FDH612" s="3933"/>
      <c r="FDI612" s="3933"/>
      <c r="FDJ612" s="3933"/>
      <c r="FDK612" s="621"/>
      <c r="FDL612" s="3933"/>
      <c r="FDM612" s="3933"/>
      <c r="FDN612" s="3933"/>
      <c r="FDO612" s="621"/>
      <c r="FDP612" s="3933"/>
      <c r="FDQ612" s="3933"/>
      <c r="FDR612" s="3933"/>
      <c r="FDS612" s="621"/>
      <c r="FDT612" s="3933"/>
      <c r="FDU612" s="3933"/>
      <c r="FDV612" s="3933"/>
      <c r="FDW612" s="621"/>
      <c r="FDX612" s="3933"/>
      <c r="FDY612" s="3933"/>
      <c r="FDZ612" s="3933"/>
      <c r="FEA612" s="621"/>
      <c r="FEB612" s="3933"/>
      <c r="FEC612" s="3933"/>
      <c r="FED612" s="3933"/>
      <c r="FEE612" s="621"/>
      <c r="FEF612" s="3933"/>
      <c r="FEG612" s="3933"/>
      <c r="FEH612" s="3933"/>
      <c r="FEI612" s="621"/>
      <c r="FEJ612" s="3933"/>
      <c r="FEK612" s="3933"/>
      <c r="FEL612" s="3933"/>
      <c r="FEM612" s="621"/>
      <c r="FEN612" s="3933"/>
      <c r="FEO612" s="3933"/>
      <c r="FEP612" s="3933"/>
      <c r="FEQ612" s="621"/>
      <c r="FER612" s="3933"/>
      <c r="FES612" s="3933"/>
      <c r="FET612" s="3933"/>
      <c r="FEU612" s="621"/>
      <c r="FEV612" s="3933"/>
      <c r="FEW612" s="3933"/>
      <c r="FEX612" s="3933"/>
      <c r="FEY612" s="621"/>
      <c r="FEZ612" s="3933"/>
      <c r="FFA612" s="3933"/>
      <c r="FFB612" s="3933"/>
      <c r="FFC612" s="621"/>
      <c r="FFD612" s="3933"/>
      <c r="FFE612" s="3933"/>
      <c r="FFF612" s="3933"/>
      <c r="FFG612" s="621"/>
      <c r="FFH612" s="3933"/>
      <c r="FFI612" s="3933"/>
      <c r="FFJ612" s="3933"/>
      <c r="FFK612" s="621"/>
      <c r="FFL612" s="3933"/>
      <c r="FFM612" s="3933"/>
      <c r="FFN612" s="3933"/>
      <c r="FFO612" s="621"/>
      <c r="FFP612" s="3933"/>
      <c r="FFQ612" s="3933"/>
      <c r="FFR612" s="3933"/>
      <c r="FFS612" s="621"/>
      <c r="FFT612" s="3933"/>
      <c r="FFU612" s="3933"/>
      <c r="FFV612" s="3933"/>
      <c r="FFW612" s="621"/>
      <c r="FFX612" s="3933"/>
      <c r="FFY612" s="3933"/>
      <c r="FFZ612" s="3933"/>
      <c r="FGA612" s="621"/>
      <c r="FGB612" s="3933"/>
      <c r="FGC612" s="3933"/>
      <c r="FGD612" s="3933"/>
      <c r="FGE612" s="621"/>
      <c r="FGF612" s="3933"/>
      <c r="FGG612" s="3933"/>
      <c r="FGH612" s="3933"/>
      <c r="FGI612" s="621"/>
      <c r="FGJ612" s="3933"/>
      <c r="FGK612" s="3933"/>
      <c r="FGL612" s="3933"/>
      <c r="FGM612" s="621"/>
      <c r="FGN612" s="3933"/>
      <c r="FGO612" s="3933"/>
      <c r="FGP612" s="3933"/>
      <c r="FGQ612" s="621"/>
      <c r="FGR612" s="3933"/>
      <c r="FGS612" s="3933"/>
      <c r="FGT612" s="3933"/>
      <c r="FGU612" s="621"/>
      <c r="FGV612" s="3933"/>
      <c r="FGW612" s="3933"/>
      <c r="FGX612" s="3933"/>
      <c r="FGY612" s="621"/>
      <c r="FGZ612" s="3933"/>
      <c r="FHA612" s="3933"/>
      <c r="FHB612" s="3933"/>
      <c r="FHC612" s="621"/>
      <c r="FHD612" s="3933"/>
      <c r="FHE612" s="3933"/>
      <c r="FHF612" s="3933"/>
      <c r="FHG612" s="621"/>
      <c r="FHH612" s="3933"/>
      <c r="FHI612" s="3933"/>
      <c r="FHJ612" s="3933"/>
      <c r="FHK612" s="621"/>
      <c r="FHL612" s="3933"/>
      <c r="FHM612" s="3933"/>
      <c r="FHN612" s="3933"/>
      <c r="FHO612" s="621"/>
      <c r="FHP612" s="3933"/>
      <c r="FHQ612" s="3933"/>
      <c r="FHR612" s="3933"/>
      <c r="FHS612" s="621"/>
      <c r="FHT612" s="3933"/>
      <c r="FHU612" s="3933"/>
      <c r="FHV612" s="3933"/>
      <c r="FHW612" s="621"/>
      <c r="FHX612" s="3933"/>
      <c r="FHY612" s="3933"/>
      <c r="FHZ612" s="3933"/>
      <c r="FIA612" s="621"/>
      <c r="FIB612" s="3933"/>
      <c r="FIC612" s="3933"/>
      <c r="FID612" s="3933"/>
      <c r="FIE612" s="621"/>
      <c r="FIF612" s="3933"/>
      <c r="FIG612" s="3933"/>
      <c r="FIH612" s="3933"/>
      <c r="FII612" s="621"/>
      <c r="FIJ612" s="3933"/>
      <c r="FIK612" s="3933"/>
      <c r="FIL612" s="3933"/>
      <c r="FIM612" s="621"/>
      <c r="FIN612" s="3933"/>
      <c r="FIO612" s="3933"/>
      <c r="FIP612" s="3933"/>
      <c r="FIQ612" s="621"/>
      <c r="FIR612" s="3933"/>
      <c r="FIS612" s="3933"/>
      <c r="FIT612" s="3933"/>
      <c r="FIU612" s="621"/>
      <c r="FIV612" s="3933"/>
      <c r="FIW612" s="3933"/>
      <c r="FIX612" s="3933"/>
      <c r="FIY612" s="621"/>
      <c r="FIZ612" s="3933"/>
      <c r="FJA612" s="3933"/>
      <c r="FJB612" s="3933"/>
      <c r="FJC612" s="621"/>
      <c r="FJD612" s="3933"/>
      <c r="FJE612" s="3933"/>
      <c r="FJF612" s="3933"/>
      <c r="FJG612" s="621"/>
      <c r="FJH612" s="3933"/>
      <c r="FJI612" s="3933"/>
      <c r="FJJ612" s="3933"/>
      <c r="FJK612" s="621"/>
      <c r="FJL612" s="3933"/>
      <c r="FJM612" s="3933"/>
      <c r="FJN612" s="3933"/>
      <c r="FJO612" s="621"/>
      <c r="FJP612" s="3933"/>
      <c r="FJQ612" s="3933"/>
      <c r="FJR612" s="3933"/>
      <c r="FJS612" s="621"/>
      <c r="FJT612" s="3933"/>
      <c r="FJU612" s="3933"/>
      <c r="FJV612" s="3933"/>
      <c r="FJW612" s="621"/>
      <c r="FJX612" s="3933"/>
      <c r="FJY612" s="3933"/>
      <c r="FJZ612" s="3933"/>
      <c r="FKA612" s="621"/>
      <c r="FKB612" s="3933"/>
      <c r="FKC612" s="3933"/>
      <c r="FKD612" s="3933"/>
      <c r="FKE612" s="621"/>
      <c r="FKF612" s="3933"/>
      <c r="FKG612" s="3933"/>
      <c r="FKH612" s="3933"/>
      <c r="FKI612" s="621"/>
      <c r="FKJ612" s="3933"/>
      <c r="FKK612" s="3933"/>
      <c r="FKL612" s="3933"/>
      <c r="FKM612" s="621"/>
      <c r="FKN612" s="3933"/>
      <c r="FKO612" s="3933"/>
      <c r="FKP612" s="3933"/>
      <c r="FKQ612" s="621"/>
      <c r="FKR612" s="3933"/>
      <c r="FKS612" s="3933"/>
      <c r="FKT612" s="3933"/>
      <c r="FKU612" s="621"/>
      <c r="FKV612" s="3933"/>
      <c r="FKW612" s="3933"/>
      <c r="FKX612" s="3933"/>
      <c r="FKY612" s="621"/>
      <c r="FKZ612" s="3933"/>
      <c r="FLA612" s="3933"/>
      <c r="FLB612" s="3933"/>
      <c r="FLC612" s="621"/>
      <c r="FLD612" s="3933"/>
      <c r="FLE612" s="3933"/>
      <c r="FLF612" s="3933"/>
      <c r="FLG612" s="621"/>
      <c r="FLH612" s="3933"/>
      <c r="FLI612" s="3933"/>
      <c r="FLJ612" s="3933"/>
      <c r="FLK612" s="621"/>
      <c r="FLL612" s="3933"/>
      <c r="FLM612" s="3933"/>
      <c r="FLN612" s="3933"/>
      <c r="FLO612" s="621"/>
      <c r="FLP612" s="3933"/>
      <c r="FLQ612" s="3933"/>
      <c r="FLR612" s="3933"/>
      <c r="FLS612" s="621"/>
      <c r="FLT612" s="3933"/>
      <c r="FLU612" s="3933"/>
      <c r="FLV612" s="3933"/>
      <c r="FLW612" s="621"/>
      <c r="FLX612" s="3933"/>
      <c r="FLY612" s="3933"/>
      <c r="FLZ612" s="3933"/>
      <c r="FMA612" s="621"/>
      <c r="FMB612" s="3933"/>
      <c r="FMC612" s="3933"/>
      <c r="FMD612" s="3933"/>
      <c r="FME612" s="621"/>
      <c r="FMF612" s="3933"/>
      <c r="FMG612" s="3933"/>
      <c r="FMH612" s="3933"/>
      <c r="FMI612" s="621"/>
      <c r="FMJ612" s="3933"/>
      <c r="FMK612" s="3933"/>
      <c r="FML612" s="3933"/>
      <c r="FMM612" s="621"/>
      <c r="FMN612" s="3933"/>
      <c r="FMO612" s="3933"/>
      <c r="FMP612" s="3933"/>
      <c r="FMQ612" s="621"/>
      <c r="FMR612" s="3933"/>
      <c r="FMS612" s="3933"/>
      <c r="FMT612" s="3933"/>
      <c r="FMU612" s="621"/>
      <c r="FMV612" s="3933"/>
      <c r="FMW612" s="3933"/>
      <c r="FMX612" s="3933"/>
      <c r="FMY612" s="621"/>
      <c r="FMZ612" s="3933"/>
      <c r="FNA612" s="3933"/>
      <c r="FNB612" s="3933"/>
      <c r="FNC612" s="621"/>
      <c r="FND612" s="3933"/>
      <c r="FNE612" s="3933"/>
      <c r="FNF612" s="3933"/>
      <c r="FNG612" s="621"/>
      <c r="FNH612" s="3933"/>
      <c r="FNI612" s="3933"/>
      <c r="FNJ612" s="3933"/>
      <c r="FNK612" s="621"/>
      <c r="FNL612" s="3933"/>
      <c r="FNM612" s="3933"/>
      <c r="FNN612" s="3933"/>
      <c r="FNO612" s="621"/>
      <c r="FNP612" s="3933"/>
      <c r="FNQ612" s="3933"/>
      <c r="FNR612" s="3933"/>
      <c r="FNS612" s="621"/>
      <c r="FNT612" s="3933"/>
      <c r="FNU612" s="3933"/>
      <c r="FNV612" s="3933"/>
      <c r="FNW612" s="621"/>
      <c r="FNX612" s="3933"/>
      <c r="FNY612" s="3933"/>
      <c r="FNZ612" s="3933"/>
      <c r="FOA612" s="621"/>
      <c r="FOB612" s="3933"/>
      <c r="FOC612" s="3933"/>
      <c r="FOD612" s="3933"/>
      <c r="FOE612" s="621"/>
      <c r="FOF612" s="3933"/>
      <c r="FOG612" s="3933"/>
      <c r="FOH612" s="3933"/>
      <c r="FOI612" s="621"/>
      <c r="FOJ612" s="3933"/>
      <c r="FOK612" s="3933"/>
      <c r="FOL612" s="3933"/>
      <c r="FOM612" s="621"/>
      <c r="FON612" s="3933"/>
      <c r="FOO612" s="3933"/>
      <c r="FOP612" s="3933"/>
      <c r="FOQ612" s="621"/>
      <c r="FOR612" s="3933"/>
      <c r="FOS612" s="3933"/>
      <c r="FOT612" s="3933"/>
      <c r="FOU612" s="621"/>
      <c r="FOV612" s="3933"/>
      <c r="FOW612" s="3933"/>
      <c r="FOX612" s="3933"/>
      <c r="FOY612" s="621"/>
      <c r="FOZ612" s="3933"/>
      <c r="FPA612" s="3933"/>
      <c r="FPB612" s="3933"/>
      <c r="FPC612" s="621"/>
      <c r="FPD612" s="3933"/>
      <c r="FPE612" s="3933"/>
      <c r="FPF612" s="3933"/>
      <c r="FPG612" s="621"/>
      <c r="FPH612" s="3933"/>
      <c r="FPI612" s="3933"/>
      <c r="FPJ612" s="3933"/>
      <c r="FPK612" s="621"/>
      <c r="FPL612" s="3933"/>
      <c r="FPM612" s="3933"/>
      <c r="FPN612" s="3933"/>
      <c r="FPO612" s="621"/>
      <c r="FPP612" s="3933"/>
      <c r="FPQ612" s="3933"/>
      <c r="FPR612" s="3933"/>
      <c r="FPS612" s="621"/>
      <c r="FPT612" s="3933"/>
      <c r="FPU612" s="3933"/>
      <c r="FPV612" s="3933"/>
      <c r="FPW612" s="621"/>
      <c r="FPX612" s="3933"/>
      <c r="FPY612" s="3933"/>
      <c r="FPZ612" s="3933"/>
      <c r="FQA612" s="621"/>
      <c r="FQB612" s="3933"/>
      <c r="FQC612" s="3933"/>
      <c r="FQD612" s="3933"/>
      <c r="FQE612" s="621"/>
      <c r="FQF612" s="3933"/>
      <c r="FQG612" s="3933"/>
      <c r="FQH612" s="3933"/>
      <c r="FQI612" s="621"/>
      <c r="FQJ612" s="3933"/>
      <c r="FQK612" s="3933"/>
      <c r="FQL612" s="3933"/>
      <c r="FQM612" s="621"/>
      <c r="FQN612" s="3933"/>
      <c r="FQO612" s="3933"/>
      <c r="FQP612" s="3933"/>
      <c r="FQQ612" s="621"/>
      <c r="FQR612" s="3933"/>
      <c r="FQS612" s="3933"/>
      <c r="FQT612" s="3933"/>
      <c r="FQU612" s="621"/>
      <c r="FQV612" s="3933"/>
      <c r="FQW612" s="3933"/>
      <c r="FQX612" s="3933"/>
      <c r="FQY612" s="621"/>
      <c r="FQZ612" s="3933"/>
      <c r="FRA612" s="3933"/>
      <c r="FRB612" s="3933"/>
      <c r="FRC612" s="621"/>
      <c r="FRD612" s="3933"/>
      <c r="FRE612" s="3933"/>
      <c r="FRF612" s="3933"/>
      <c r="FRG612" s="621"/>
      <c r="FRH612" s="3933"/>
      <c r="FRI612" s="3933"/>
      <c r="FRJ612" s="3933"/>
      <c r="FRK612" s="621"/>
      <c r="FRL612" s="3933"/>
      <c r="FRM612" s="3933"/>
      <c r="FRN612" s="3933"/>
      <c r="FRO612" s="621"/>
      <c r="FRP612" s="3933"/>
      <c r="FRQ612" s="3933"/>
      <c r="FRR612" s="3933"/>
      <c r="FRS612" s="621"/>
      <c r="FRT612" s="3933"/>
      <c r="FRU612" s="3933"/>
      <c r="FRV612" s="3933"/>
      <c r="FRW612" s="621"/>
      <c r="FRX612" s="3933"/>
      <c r="FRY612" s="3933"/>
      <c r="FRZ612" s="3933"/>
      <c r="FSA612" s="621"/>
      <c r="FSB612" s="3933"/>
      <c r="FSC612" s="3933"/>
      <c r="FSD612" s="3933"/>
      <c r="FSE612" s="621"/>
      <c r="FSF612" s="3933"/>
      <c r="FSG612" s="3933"/>
      <c r="FSH612" s="3933"/>
      <c r="FSI612" s="621"/>
      <c r="FSJ612" s="3933"/>
      <c r="FSK612" s="3933"/>
      <c r="FSL612" s="3933"/>
      <c r="FSM612" s="621"/>
      <c r="FSN612" s="3933"/>
      <c r="FSO612" s="3933"/>
      <c r="FSP612" s="3933"/>
      <c r="FSQ612" s="621"/>
      <c r="FSR612" s="3933"/>
      <c r="FSS612" s="3933"/>
      <c r="FST612" s="3933"/>
      <c r="FSU612" s="621"/>
      <c r="FSV612" s="3933"/>
      <c r="FSW612" s="3933"/>
      <c r="FSX612" s="3933"/>
      <c r="FSY612" s="621"/>
      <c r="FSZ612" s="3933"/>
      <c r="FTA612" s="3933"/>
      <c r="FTB612" s="3933"/>
      <c r="FTC612" s="621"/>
      <c r="FTD612" s="3933"/>
      <c r="FTE612" s="3933"/>
      <c r="FTF612" s="3933"/>
      <c r="FTG612" s="621"/>
      <c r="FTH612" s="3933"/>
      <c r="FTI612" s="3933"/>
      <c r="FTJ612" s="3933"/>
      <c r="FTK612" s="621"/>
      <c r="FTL612" s="3933"/>
      <c r="FTM612" s="3933"/>
      <c r="FTN612" s="3933"/>
      <c r="FTO612" s="621"/>
      <c r="FTP612" s="3933"/>
      <c r="FTQ612" s="3933"/>
      <c r="FTR612" s="3933"/>
      <c r="FTS612" s="621"/>
      <c r="FTT612" s="3933"/>
      <c r="FTU612" s="3933"/>
      <c r="FTV612" s="3933"/>
      <c r="FTW612" s="621"/>
      <c r="FTX612" s="3933"/>
      <c r="FTY612" s="3933"/>
      <c r="FTZ612" s="3933"/>
      <c r="FUA612" s="621"/>
      <c r="FUB612" s="3933"/>
      <c r="FUC612" s="3933"/>
      <c r="FUD612" s="3933"/>
      <c r="FUE612" s="621"/>
      <c r="FUF612" s="3933"/>
      <c r="FUG612" s="3933"/>
      <c r="FUH612" s="3933"/>
      <c r="FUI612" s="621"/>
      <c r="FUJ612" s="3933"/>
      <c r="FUK612" s="3933"/>
      <c r="FUL612" s="3933"/>
      <c r="FUM612" s="621"/>
      <c r="FUN612" s="3933"/>
      <c r="FUO612" s="3933"/>
      <c r="FUP612" s="3933"/>
      <c r="FUQ612" s="621"/>
      <c r="FUR612" s="3933"/>
      <c r="FUS612" s="3933"/>
      <c r="FUT612" s="3933"/>
      <c r="FUU612" s="621"/>
      <c r="FUV612" s="3933"/>
      <c r="FUW612" s="3933"/>
      <c r="FUX612" s="3933"/>
      <c r="FUY612" s="621"/>
      <c r="FUZ612" s="3933"/>
      <c r="FVA612" s="3933"/>
      <c r="FVB612" s="3933"/>
      <c r="FVC612" s="621"/>
      <c r="FVD612" s="3933"/>
      <c r="FVE612" s="3933"/>
      <c r="FVF612" s="3933"/>
      <c r="FVG612" s="621"/>
      <c r="FVH612" s="3933"/>
      <c r="FVI612" s="3933"/>
      <c r="FVJ612" s="3933"/>
      <c r="FVK612" s="621"/>
      <c r="FVL612" s="3933"/>
      <c r="FVM612" s="3933"/>
      <c r="FVN612" s="3933"/>
      <c r="FVO612" s="621"/>
      <c r="FVP612" s="3933"/>
      <c r="FVQ612" s="3933"/>
      <c r="FVR612" s="3933"/>
      <c r="FVS612" s="621"/>
      <c r="FVT612" s="3933"/>
      <c r="FVU612" s="3933"/>
      <c r="FVV612" s="3933"/>
      <c r="FVW612" s="621"/>
      <c r="FVX612" s="3933"/>
      <c r="FVY612" s="3933"/>
      <c r="FVZ612" s="3933"/>
      <c r="FWA612" s="621"/>
      <c r="FWB612" s="3933"/>
      <c r="FWC612" s="3933"/>
      <c r="FWD612" s="3933"/>
      <c r="FWE612" s="621"/>
      <c r="FWF612" s="3933"/>
      <c r="FWG612" s="3933"/>
      <c r="FWH612" s="3933"/>
      <c r="FWI612" s="621"/>
      <c r="FWJ612" s="3933"/>
      <c r="FWK612" s="3933"/>
      <c r="FWL612" s="3933"/>
      <c r="FWM612" s="621"/>
      <c r="FWN612" s="3933"/>
      <c r="FWO612" s="3933"/>
      <c r="FWP612" s="3933"/>
      <c r="FWQ612" s="621"/>
      <c r="FWR612" s="3933"/>
      <c r="FWS612" s="3933"/>
      <c r="FWT612" s="3933"/>
      <c r="FWU612" s="621"/>
      <c r="FWV612" s="3933"/>
      <c r="FWW612" s="3933"/>
      <c r="FWX612" s="3933"/>
      <c r="FWY612" s="621"/>
      <c r="FWZ612" s="3933"/>
      <c r="FXA612" s="3933"/>
      <c r="FXB612" s="3933"/>
      <c r="FXC612" s="621"/>
      <c r="FXD612" s="3933"/>
      <c r="FXE612" s="3933"/>
      <c r="FXF612" s="3933"/>
      <c r="FXG612" s="621"/>
      <c r="FXH612" s="3933"/>
      <c r="FXI612" s="3933"/>
      <c r="FXJ612" s="3933"/>
      <c r="FXK612" s="621"/>
      <c r="FXL612" s="3933"/>
      <c r="FXM612" s="3933"/>
      <c r="FXN612" s="3933"/>
      <c r="FXO612" s="621"/>
      <c r="FXP612" s="3933"/>
      <c r="FXQ612" s="3933"/>
      <c r="FXR612" s="3933"/>
      <c r="FXS612" s="621"/>
      <c r="FXT612" s="3933"/>
      <c r="FXU612" s="3933"/>
      <c r="FXV612" s="3933"/>
      <c r="FXW612" s="621"/>
      <c r="FXX612" s="3933"/>
      <c r="FXY612" s="3933"/>
      <c r="FXZ612" s="3933"/>
      <c r="FYA612" s="621"/>
      <c r="FYB612" s="3933"/>
      <c r="FYC612" s="3933"/>
      <c r="FYD612" s="3933"/>
      <c r="FYE612" s="621"/>
      <c r="FYF612" s="3933"/>
      <c r="FYG612" s="3933"/>
      <c r="FYH612" s="3933"/>
      <c r="FYI612" s="621"/>
      <c r="FYJ612" s="3933"/>
      <c r="FYK612" s="3933"/>
      <c r="FYL612" s="3933"/>
      <c r="FYM612" s="621"/>
      <c r="FYN612" s="3933"/>
      <c r="FYO612" s="3933"/>
      <c r="FYP612" s="3933"/>
      <c r="FYQ612" s="621"/>
      <c r="FYR612" s="3933"/>
      <c r="FYS612" s="3933"/>
      <c r="FYT612" s="3933"/>
      <c r="FYU612" s="621"/>
      <c r="FYV612" s="3933"/>
      <c r="FYW612" s="3933"/>
      <c r="FYX612" s="3933"/>
      <c r="FYY612" s="621"/>
      <c r="FYZ612" s="3933"/>
      <c r="FZA612" s="3933"/>
      <c r="FZB612" s="3933"/>
      <c r="FZC612" s="621"/>
      <c r="FZD612" s="3933"/>
      <c r="FZE612" s="3933"/>
      <c r="FZF612" s="3933"/>
      <c r="FZG612" s="621"/>
      <c r="FZH612" s="3933"/>
      <c r="FZI612" s="3933"/>
      <c r="FZJ612" s="3933"/>
      <c r="FZK612" s="621"/>
      <c r="FZL612" s="3933"/>
      <c r="FZM612" s="3933"/>
      <c r="FZN612" s="3933"/>
      <c r="FZO612" s="621"/>
      <c r="FZP612" s="3933"/>
      <c r="FZQ612" s="3933"/>
      <c r="FZR612" s="3933"/>
      <c r="FZS612" s="621"/>
      <c r="FZT612" s="3933"/>
      <c r="FZU612" s="3933"/>
      <c r="FZV612" s="3933"/>
      <c r="FZW612" s="621"/>
      <c r="FZX612" s="3933"/>
      <c r="FZY612" s="3933"/>
      <c r="FZZ612" s="3933"/>
      <c r="GAA612" s="621"/>
      <c r="GAB612" s="3933"/>
      <c r="GAC612" s="3933"/>
      <c r="GAD612" s="3933"/>
      <c r="GAE612" s="621"/>
      <c r="GAF612" s="3933"/>
      <c r="GAG612" s="3933"/>
      <c r="GAH612" s="3933"/>
      <c r="GAI612" s="621"/>
      <c r="GAJ612" s="3933"/>
      <c r="GAK612" s="3933"/>
      <c r="GAL612" s="3933"/>
      <c r="GAM612" s="621"/>
      <c r="GAN612" s="3933"/>
      <c r="GAO612" s="3933"/>
      <c r="GAP612" s="3933"/>
      <c r="GAQ612" s="621"/>
      <c r="GAR612" s="3933"/>
      <c r="GAS612" s="3933"/>
      <c r="GAT612" s="3933"/>
      <c r="GAU612" s="621"/>
      <c r="GAV612" s="3933"/>
      <c r="GAW612" s="3933"/>
      <c r="GAX612" s="3933"/>
      <c r="GAY612" s="621"/>
      <c r="GAZ612" s="3933"/>
      <c r="GBA612" s="3933"/>
      <c r="GBB612" s="3933"/>
      <c r="GBC612" s="621"/>
      <c r="GBD612" s="3933"/>
      <c r="GBE612" s="3933"/>
      <c r="GBF612" s="3933"/>
      <c r="GBG612" s="621"/>
      <c r="GBH612" s="3933"/>
      <c r="GBI612" s="3933"/>
      <c r="GBJ612" s="3933"/>
      <c r="GBK612" s="621"/>
      <c r="GBL612" s="3933"/>
      <c r="GBM612" s="3933"/>
      <c r="GBN612" s="3933"/>
      <c r="GBO612" s="621"/>
      <c r="GBP612" s="3933"/>
      <c r="GBQ612" s="3933"/>
      <c r="GBR612" s="3933"/>
      <c r="GBS612" s="621"/>
      <c r="GBT612" s="3933"/>
      <c r="GBU612" s="3933"/>
      <c r="GBV612" s="3933"/>
      <c r="GBW612" s="621"/>
      <c r="GBX612" s="3933"/>
      <c r="GBY612" s="3933"/>
      <c r="GBZ612" s="3933"/>
      <c r="GCA612" s="621"/>
      <c r="GCB612" s="3933"/>
      <c r="GCC612" s="3933"/>
      <c r="GCD612" s="3933"/>
      <c r="GCE612" s="621"/>
      <c r="GCF612" s="3933"/>
      <c r="GCG612" s="3933"/>
      <c r="GCH612" s="3933"/>
      <c r="GCI612" s="621"/>
      <c r="GCJ612" s="3933"/>
      <c r="GCK612" s="3933"/>
      <c r="GCL612" s="3933"/>
      <c r="GCM612" s="621"/>
      <c r="GCN612" s="3933"/>
      <c r="GCO612" s="3933"/>
      <c r="GCP612" s="3933"/>
      <c r="GCQ612" s="621"/>
      <c r="GCR612" s="3933"/>
      <c r="GCS612" s="3933"/>
      <c r="GCT612" s="3933"/>
      <c r="GCU612" s="621"/>
      <c r="GCV612" s="3933"/>
      <c r="GCW612" s="3933"/>
      <c r="GCX612" s="3933"/>
      <c r="GCY612" s="621"/>
      <c r="GCZ612" s="3933"/>
      <c r="GDA612" s="3933"/>
      <c r="GDB612" s="3933"/>
      <c r="GDC612" s="621"/>
      <c r="GDD612" s="3933"/>
      <c r="GDE612" s="3933"/>
      <c r="GDF612" s="3933"/>
      <c r="GDG612" s="621"/>
      <c r="GDH612" s="3933"/>
      <c r="GDI612" s="3933"/>
      <c r="GDJ612" s="3933"/>
      <c r="GDK612" s="621"/>
      <c r="GDL612" s="3933"/>
      <c r="GDM612" s="3933"/>
      <c r="GDN612" s="3933"/>
      <c r="GDO612" s="621"/>
      <c r="GDP612" s="3933"/>
      <c r="GDQ612" s="3933"/>
      <c r="GDR612" s="3933"/>
      <c r="GDS612" s="621"/>
      <c r="GDT612" s="3933"/>
      <c r="GDU612" s="3933"/>
      <c r="GDV612" s="3933"/>
      <c r="GDW612" s="621"/>
      <c r="GDX612" s="3933"/>
      <c r="GDY612" s="3933"/>
      <c r="GDZ612" s="3933"/>
      <c r="GEA612" s="621"/>
      <c r="GEB612" s="3933"/>
      <c r="GEC612" s="3933"/>
      <c r="GED612" s="3933"/>
      <c r="GEE612" s="621"/>
      <c r="GEF612" s="3933"/>
      <c r="GEG612" s="3933"/>
      <c r="GEH612" s="3933"/>
      <c r="GEI612" s="621"/>
      <c r="GEJ612" s="3933"/>
      <c r="GEK612" s="3933"/>
      <c r="GEL612" s="3933"/>
      <c r="GEM612" s="621"/>
      <c r="GEN612" s="3933"/>
      <c r="GEO612" s="3933"/>
      <c r="GEP612" s="3933"/>
      <c r="GEQ612" s="621"/>
      <c r="GER612" s="3933"/>
      <c r="GES612" s="3933"/>
      <c r="GET612" s="3933"/>
      <c r="GEU612" s="621"/>
      <c r="GEV612" s="3933"/>
      <c r="GEW612" s="3933"/>
      <c r="GEX612" s="3933"/>
      <c r="GEY612" s="621"/>
      <c r="GEZ612" s="3933"/>
      <c r="GFA612" s="3933"/>
      <c r="GFB612" s="3933"/>
      <c r="GFC612" s="621"/>
      <c r="GFD612" s="3933"/>
      <c r="GFE612" s="3933"/>
      <c r="GFF612" s="3933"/>
      <c r="GFG612" s="621"/>
      <c r="GFH612" s="3933"/>
      <c r="GFI612" s="3933"/>
      <c r="GFJ612" s="3933"/>
      <c r="GFK612" s="621"/>
      <c r="GFL612" s="3933"/>
      <c r="GFM612" s="3933"/>
      <c r="GFN612" s="3933"/>
      <c r="GFO612" s="621"/>
      <c r="GFP612" s="3933"/>
      <c r="GFQ612" s="3933"/>
      <c r="GFR612" s="3933"/>
      <c r="GFS612" s="621"/>
      <c r="GFT612" s="3933"/>
      <c r="GFU612" s="3933"/>
      <c r="GFV612" s="3933"/>
      <c r="GFW612" s="621"/>
      <c r="GFX612" s="3933"/>
      <c r="GFY612" s="3933"/>
      <c r="GFZ612" s="3933"/>
      <c r="GGA612" s="621"/>
      <c r="GGB612" s="3933"/>
      <c r="GGC612" s="3933"/>
      <c r="GGD612" s="3933"/>
      <c r="GGE612" s="621"/>
      <c r="GGF612" s="3933"/>
      <c r="GGG612" s="3933"/>
      <c r="GGH612" s="3933"/>
      <c r="GGI612" s="621"/>
      <c r="GGJ612" s="3933"/>
      <c r="GGK612" s="3933"/>
      <c r="GGL612" s="3933"/>
      <c r="GGM612" s="621"/>
      <c r="GGN612" s="3933"/>
      <c r="GGO612" s="3933"/>
      <c r="GGP612" s="3933"/>
      <c r="GGQ612" s="621"/>
      <c r="GGR612" s="3933"/>
      <c r="GGS612" s="3933"/>
      <c r="GGT612" s="3933"/>
      <c r="GGU612" s="621"/>
      <c r="GGV612" s="3933"/>
      <c r="GGW612" s="3933"/>
      <c r="GGX612" s="3933"/>
      <c r="GGY612" s="621"/>
      <c r="GGZ612" s="3933"/>
      <c r="GHA612" s="3933"/>
      <c r="GHB612" s="3933"/>
      <c r="GHC612" s="621"/>
      <c r="GHD612" s="3933"/>
      <c r="GHE612" s="3933"/>
      <c r="GHF612" s="3933"/>
      <c r="GHG612" s="621"/>
      <c r="GHH612" s="3933"/>
      <c r="GHI612" s="3933"/>
      <c r="GHJ612" s="3933"/>
      <c r="GHK612" s="621"/>
      <c r="GHL612" s="3933"/>
      <c r="GHM612" s="3933"/>
      <c r="GHN612" s="3933"/>
      <c r="GHO612" s="621"/>
      <c r="GHP612" s="3933"/>
      <c r="GHQ612" s="3933"/>
      <c r="GHR612" s="3933"/>
      <c r="GHS612" s="621"/>
      <c r="GHT612" s="3933"/>
      <c r="GHU612" s="3933"/>
      <c r="GHV612" s="3933"/>
      <c r="GHW612" s="621"/>
      <c r="GHX612" s="3933"/>
      <c r="GHY612" s="3933"/>
      <c r="GHZ612" s="3933"/>
      <c r="GIA612" s="621"/>
      <c r="GIB612" s="3933"/>
      <c r="GIC612" s="3933"/>
      <c r="GID612" s="3933"/>
      <c r="GIE612" s="621"/>
      <c r="GIF612" s="3933"/>
      <c r="GIG612" s="3933"/>
      <c r="GIH612" s="3933"/>
      <c r="GII612" s="621"/>
      <c r="GIJ612" s="3933"/>
      <c r="GIK612" s="3933"/>
      <c r="GIL612" s="3933"/>
      <c r="GIM612" s="621"/>
      <c r="GIN612" s="3933"/>
      <c r="GIO612" s="3933"/>
      <c r="GIP612" s="3933"/>
      <c r="GIQ612" s="621"/>
      <c r="GIR612" s="3933"/>
      <c r="GIS612" s="3933"/>
      <c r="GIT612" s="3933"/>
      <c r="GIU612" s="621"/>
      <c r="GIV612" s="3933"/>
      <c r="GIW612" s="3933"/>
      <c r="GIX612" s="3933"/>
      <c r="GIY612" s="621"/>
      <c r="GIZ612" s="3933"/>
      <c r="GJA612" s="3933"/>
      <c r="GJB612" s="3933"/>
      <c r="GJC612" s="621"/>
      <c r="GJD612" s="3933"/>
      <c r="GJE612" s="3933"/>
      <c r="GJF612" s="3933"/>
      <c r="GJG612" s="621"/>
      <c r="GJH612" s="3933"/>
      <c r="GJI612" s="3933"/>
      <c r="GJJ612" s="3933"/>
      <c r="GJK612" s="621"/>
      <c r="GJL612" s="3933"/>
      <c r="GJM612" s="3933"/>
      <c r="GJN612" s="3933"/>
      <c r="GJO612" s="621"/>
      <c r="GJP612" s="3933"/>
      <c r="GJQ612" s="3933"/>
      <c r="GJR612" s="3933"/>
      <c r="GJS612" s="621"/>
      <c r="GJT612" s="3933"/>
      <c r="GJU612" s="3933"/>
      <c r="GJV612" s="3933"/>
      <c r="GJW612" s="621"/>
      <c r="GJX612" s="3933"/>
      <c r="GJY612" s="3933"/>
      <c r="GJZ612" s="3933"/>
      <c r="GKA612" s="621"/>
      <c r="GKB612" s="3933"/>
      <c r="GKC612" s="3933"/>
      <c r="GKD612" s="3933"/>
      <c r="GKE612" s="621"/>
      <c r="GKF612" s="3933"/>
      <c r="GKG612" s="3933"/>
      <c r="GKH612" s="3933"/>
      <c r="GKI612" s="621"/>
      <c r="GKJ612" s="3933"/>
      <c r="GKK612" s="3933"/>
      <c r="GKL612" s="3933"/>
      <c r="GKM612" s="621"/>
      <c r="GKN612" s="3933"/>
      <c r="GKO612" s="3933"/>
      <c r="GKP612" s="3933"/>
      <c r="GKQ612" s="621"/>
      <c r="GKR612" s="3933"/>
      <c r="GKS612" s="3933"/>
      <c r="GKT612" s="3933"/>
      <c r="GKU612" s="621"/>
      <c r="GKV612" s="3933"/>
      <c r="GKW612" s="3933"/>
      <c r="GKX612" s="3933"/>
      <c r="GKY612" s="621"/>
      <c r="GKZ612" s="3933"/>
      <c r="GLA612" s="3933"/>
      <c r="GLB612" s="3933"/>
      <c r="GLC612" s="621"/>
      <c r="GLD612" s="3933"/>
      <c r="GLE612" s="3933"/>
      <c r="GLF612" s="3933"/>
      <c r="GLG612" s="621"/>
      <c r="GLH612" s="3933"/>
      <c r="GLI612" s="3933"/>
      <c r="GLJ612" s="3933"/>
      <c r="GLK612" s="621"/>
      <c r="GLL612" s="3933"/>
      <c r="GLM612" s="3933"/>
      <c r="GLN612" s="3933"/>
      <c r="GLO612" s="621"/>
      <c r="GLP612" s="3933"/>
      <c r="GLQ612" s="3933"/>
      <c r="GLR612" s="3933"/>
      <c r="GLS612" s="621"/>
      <c r="GLT612" s="3933"/>
      <c r="GLU612" s="3933"/>
      <c r="GLV612" s="3933"/>
      <c r="GLW612" s="621"/>
      <c r="GLX612" s="3933"/>
      <c r="GLY612" s="3933"/>
      <c r="GLZ612" s="3933"/>
      <c r="GMA612" s="621"/>
      <c r="GMB612" s="3933"/>
      <c r="GMC612" s="3933"/>
      <c r="GMD612" s="3933"/>
      <c r="GME612" s="621"/>
      <c r="GMF612" s="3933"/>
      <c r="GMG612" s="3933"/>
      <c r="GMH612" s="3933"/>
      <c r="GMI612" s="621"/>
      <c r="GMJ612" s="3933"/>
      <c r="GMK612" s="3933"/>
      <c r="GML612" s="3933"/>
      <c r="GMM612" s="621"/>
      <c r="GMN612" s="3933"/>
      <c r="GMO612" s="3933"/>
      <c r="GMP612" s="3933"/>
      <c r="GMQ612" s="621"/>
      <c r="GMR612" s="3933"/>
      <c r="GMS612" s="3933"/>
      <c r="GMT612" s="3933"/>
      <c r="GMU612" s="621"/>
      <c r="GMV612" s="3933"/>
      <c r="GMW612" s="3933"/>
      <c r="GMX612" s="3933"/>
      <c r="GMY612" s="621"/>
      <c r="GMZ612" s="3933"/>
      <c r="GNA612" s="3933"/>
      <c r="GNB612" s="3933"/>
      <c r="GNC612" s="621"/>
      <c r="GND612" s="3933"/>
      <c r="GNE612" s="3933"/>
      <c r="GNF612" s="3933"/>
      <c r="GNG612" s="621"/>
      <c r="GNH612" s="3933"/>
      <c r="GNI612" s="3933"/>
      <c r="GNJ612" s="3933"/>
      <c r="GNK612" s="621"/>
      <c r="GNL612" s="3933"/>
      <c r="GNM612" s="3933"/>
      <c r="GNN612" s="3933"/>
      <c r="GNO612" s="621"/>
      <c r="GNP612" s="3933"/>
      <c r="GNQ612" s="3933"/>
      <c r="GNR612" s="3933"/>
      <c r="GNS612" s="621"/>
      <c r="GNT612" s="3933"/>
      <c r="GNU612" s="3933"/>
      <c r="GNV612" s="3933"/>
      <c r="GNW612" s="621"/>
      <c r="GNX612" s="3933"/>
      <c r="GNY612" s="3933"/>
      <c r="GNZ612" s="3933"/>
      <c r="GOA612" s="621"/>
      <c r="GOB612" s="3933"/>
      <c r="GOC612" s="3933"/>
      <c r="GOD612" s="3933"/>
      <c r="GOE612" s="621"/>
      <c r="GOF612" s="3933"/>
      <c r="GOG612" s="3933"/>
      <c r="GOH612" s="3933"/>
      <c r="GOI612" s="621"/>
      <c r="GOJ612" s="3933"/>
      <c r="GOK612" s="3933"/>
      <c r="GOL612" s="3933"/>
      <c r="GOM612" s="621"/>
      <c r="GON612" s="3933"/>
      <c r="GOO612" s="3933"/>
      <c r="GOP612" s="3933"/>
      <c r="GOQ612" s="621"/>
      <c r="GOR612" s="3933"/>
      <c r="GOS612" s="3933"/>
      <c r="GOT612" s="3933"/>
      <c r="GOU612" s="621"/>
      <c r="GOV612" s="3933"/>
      <c r="GOW612" s="3933"/>
      <c r="GOX612" s="3933"/>
      <c r="GOY612" s="621"/>
      <c r="GOZ612" s="3933"/>
      <c r="GPA612" s="3933"/>
      <c r="GPB612" s="3933"/>
      <c r="GPC612" s="621"/>
      <c r="GPD612" s="3933"/>
      <c r="GPE612" s="3933"/>
      <c r="GPF612" s="3933"/>
      <c r="GPG612" s="621"/>
      <c r="GPH612" s="3933"/>
      <c r="GPI612" s="3933"/>
      <c r="GPJ612" s="3933"/>
      <c r="GPK612" s="621"/>
      <c r="GPL612" s="3933"/>
      <c r="GPM612" s="3933"/>
      <c r="GPN612" s="3933"/>
      <c r="GPO612" s="621"/>
      <c r="GPP612" s="3933"/>
      <c r="GPQ612" s="3933"/>
      <c r="GPR612" s="3933"/>
      <c r="GPS612" s="621"/>
      <c r="GPT612" s="3933"/>
      <c r="GPU612" s="3933"/>
      <c r="GPV612" s="3933"/>
      <c r="GPW612" s="621"/>
      <c r="GPX612" s="3933"/>
      <c r="GPY612" s="3933"/>
      <c r="GPZ612" s="3933"/>
      <c r="GQA612" s="621"/>
      <c r="GQB612" s="3933"/>
      <c r="GQC612" s="3933"/>
      <c r="GQD612" s="3933"/>
      <c r="GQE612" s="621"/>
      <c r="GQF612" s="3933"/>
      <c r="GQG612" s="3933"/>
      <c r="GQH612" s="3933"/>
      <c r="GQI612" s="621"/>
      <c r="GQJ612" s="3933"/>
      <c r="GQK612" s="3933"/>
      <c r="GQL612" s="3933"/>
      <c r="GQM612" s="621"/>
      <c r="GQN612" s="3933"/>
      <c r="GQO612" s="3933"/>
      <c r="GQP612" s="3933"/>
      <c r="GQQ612" s="621"/>
      <c r="GQR612" s="3933"/>
      <c r="GQS612" s="3933"/>
      <c r="GQT612" s="3933"/>
      <c r="GQU612" s="621"/>
      <c r="GQV612" s="3933"/>
      <c r="GQW612" s="3933"/>
      <c r="GQX612" s="3933"/>
      <c r="GQY612" s="621"/>
      <c r="GQZ612" s="3933"/>
      <c r="GRA612" s="3933"/>
      <c r="GRB612" s="3933"/>
      <c r="GRC612" s="621"/>
      <c r="GRD612" s="3933"/>
      <c r="GRE612" s="3933"/>
      <c r="GRF612" s="3933"/>
      <c r="GRG612" s="621"/>
      <c r="GRH612" s="3933"/>
      <c r="GRI612" s="3933"/>
      <c r="GRJ612" s="3933"/>
      <c r="GRK612" s="621"/>
      <c r="GRL612" s="3933"/>
      <c r="GRM612" s="3933"/>
      <c r="GRN612" s="3933"/>
      <c r="GRO612" s="621"/>
      <c r="GRP612" s="3933"/>
      <c r="GRQ612" s="3933"/>
      <c r="GRR612" s="3933"/>
      <c r="GRS612" s="621"/>
      <c r="GRT612" s="3933"/>
      <c r="GRU612" s="3933"/>
      <c r="GRV612" s="3933"/>
      <c r="GRW612" s="621"/>
      <c r="GRX612" s="3933"/>
      <c r="GRY612" s="3933"/>
      <c r="GRZ612" s="3933"/>
      <c r="GSA612" s="621"/>
      <c r="GSB612" s="3933"/>
      <c r="GSC612" s="3933"/>
      <c r="GSD612" s="3933"/>
      <c r="GSE612" s="621"/>
      <c r="GSF612" s="3933"/>
      <c r="GSG612" s="3933"/>
      <c r="GSH612" s="3933"/>
      <c r="GSI612" s="621"/>
      <c r="GSJ612" s="3933"/>
      <c r="GSK612" s="3933"/>
      <c r="GSL612" s="3933"/>
      <c r="GSM612" s="621"/>
      <c r="GSN612" s="3933"/>
      <c r="GSO612" s="3933"/>
      <c r="GSP612" s="3933"/>
      <c r="GSQ612" s="621"/>
      <c r="GSR612" s="3933"/>
      <c r="GSS612" s="3933"/>
      <c r="GST612" s="3933"/>
      <c r="GSU612" s="621"/>
      <c r="GSV612" s="3933"/>
      <c r="GSW612" s="3933"/>
      <c r="GSX612" s="3933"/>
      <c r="GSY612" s="621"/>
      <c r="GSZ612" s="3933"/>
      <c r="GTA612" s="3933"/>
      <c r="GTB612" s="3933"/>
      <c r="GTC612" s="621"/>
      <c r="GTD612" s="3933"/>
      <c r="GTE612" s="3933"/>
      <c r="GTF612" s="3933"/>
      <c r="GTG612" s="621"/>
      <c r="GTH612" s="3933"/>
      <c r="GTI612" s="3933"/>
      <c r="GTJ612" s="3933"/>
      <c r="GTK612" s="621"/>
      <c r="GTL612" s="3933"/>
      <c r="GTM612" s="3933"/>
      <c r="GTN612" s="3933"/>
      <c r="GTO612" s="621"/>
      <c r="GTP612" s="3933"/>
      <c r="GTQ612" s="3933"/>
      <c r="GTR612" s="3933"/>
      <c r="GTS612" s="621"/>
      <c r="GTT612" s="3933"/>
      <c r="GTU612" s="3933"/>
      <c r="GTV612" s="3933"/>
      <c r="GTW612" s="621"/>
      <c r="GTX612" s="3933"/>
      <c r="GTY612" s="3933"/>
      <c r="GTZ612" s="3933"/>
      <c r="GUA612" s="621"/>
      <c r="GUB612" s="3933"/>
      <c r="GUC612" s="3933"/>
      <c r="GUD612" s="3933"/>
      <c r="GUE612" s="621"/>
      <c r="GUF612" s="3933"/>
      <c r="GUG612" s="3933"/>
      <c r="GUH612" s="3933"/>
      <c r="GUI612" s="621"/>
      <c r="GUJ612" s="3933"/>
      <c r="GUK612" s="3933"/>
      <c r="GUL612" s="3933"/>
      <c r="GUM612" s="621"/>
      <c r="GUN612" s="3933"/>
      <c r="GUO612" s="3933"/>
      <c r="GUP612" s="3933"/>
      <c r="GUQ612" s="621"/>
      <c r="GUR612" s="3933"/>
      <c r="GUS612" s="3933"/>
      <c r="GUT612" s="3933"/>
      <c r="GUU612" s="621"/>
      <c r="GUV612" s="3933"/>
      <c r="GUW612" s="3933"/>
      <c r="GUX612" s="3933"/>
      <c r="GUY612" s="621"/>
      <c r="GUZ612" s="3933"/>
      <c r="GVA612" s="3933"/>
      <c r="GVB612" s="3933"/>
      <c r="GVC612" s="621"/>
      <c r="GVD612" s="3933"/>
      <c r="GVE612" s="3933"/>
      <c r="GVF612" s="3933"/>
      <c r="GVG612" s="621"/>
      <c r="GVH612" s="3933"/>
      <c r="GVI612" s="3933"/>
      <c r="GVJ612" s="3933"/>
      <c r="GVK612" s="621"/>
      <c r="GVL612" s="3933"/>
      <c r="GVM612" s="3933"/>
      <c r="GVN612" s="3933"/>
      <c r="GVO612" s="621"/>
      <c r="GVP612" s="3933"/>
      <c r="GVQ612" s="3933"/>
      <c r="GVR612" s="3933"/>
      <c r="GVS612" s="621"/>
      <c r="GVT612" s="3933"/>
      <c r="GVU612" s="3933"/>
      <c r="GVV612" s="3933"/>
      <c r="GVW612" s="621"/>
      <c r="GVX612" s="3933"/>
      <c r="GVY612" s="3933"/>
      <c r="GVZ612" s="3933"/>
      <c r="GWA612" s="621"/>
      <c r="GWB612" s="3933"/>
      <c r="GWC612" s="3933"/>
      <c r="GWD612" s="3933"/>
      <c r="GWE612" s="621"/>
      <c r="GWF612" s="3933"/>
      <c r="GWG612" s="3933"/>
      <c r="GWH612" s="3933"/>
      <c r="GWI612" s="621"/>
      <c r="GWJ612" s="3933"/>
      <c r="GWK612" s="3933"/>
      <c r="GWL612" s="3933"/>
      <c r="GWM612" s="621"/>
      <c r="GWN612" s="3933"/>
      <c r="GWO612" s="3933"/>
      <c r="GWP612" s="3933"/>
      <c r="GWQ612" s="621"/>
      <c r="GWR612" s="3933"/>
      <c r="GWS612" s="3933"/>
      <c r="GWT612" s="3933"/>
      <c r="GWU612" s="621"/>
      <c r="GWV612" s="3933"/>
      <c r="GWW612" s="3933"/>
      <c r="GWX612" s="3933"/>
      <c r="GWY612" s="621"/>
      <c r="GWZ612" s="3933"/>
      <c r="GXA612" s="3933"/>
      <c r="GXB612" s="3933"/>
      <c r="GXC612" s="621"/>
      <c r="GXD612" s="3933"/>
      <c r="GXE612" s="3933"/>
      <c r="GXF612" s="3933"/>
      <c r="GXG612" s="621"/>
      <c r="GXH612" s="3933"/>
      <c r="GXI612" s="3933"/>
      <c r="GXJ612" s="3933"/>
      <c r="GXK612" s="621"/>
      <c r="GXL612" s="3933"/>
      <c r="GXM612" s="3933"/>
      <c r="GXN612" s="3933"/>
      <c r="GXO612" s="621"/>
      <c r="GXP612" s="3933"/>
      <c r="GXQ612" s="3933"/>
      <c r="GXR612" s="3933"/>
      <c r="GXS612" s="621"/>
      <c r="GXT612" s="3933"/>
      <c r="GXU612" s="3933"/>
      <c r="GXV612" s="3933"/>
      <c r="GXW612" s="621"/>
      <c r="GXX612" s="3933"/>
      <c r="GXY612" s="3933"/>
      <c r="GXZ612" s="3933"/>
      <c r="GYA612" s="621"/>
      <c r="GYB612" s="3933"/>
      <c r="GYC612" s="3933"/>
      <c r="GYD612" s="3933"/>
      <c r="GYE612" s="621"/>
      <c r="GYF612" s="3933"/>
      <c r="GYG612" s="3933"/>
      <c r="GYH612" s="3933"/>
      <c r="GYI612" s="621"/>
      <c r="GYJ612" s="3933"/>
      <c r="GYK612" s="3933"/>
      <c r="GYL612" s="3933"/>
      <c r="GYM612" s="621"/>
      <c r="GYN612" s="3933"/>
      <c r="GYO612" s="3933"/>
      <c r="GYP612" s="3933"/>
      <c r="GYQ612" s="621"/>
      <c r="GYR612" s="3933"/>
      <c r="GYS612" s="3933"/>
      <c r="GYT612" s="3933"/>
      <c r="GYU612" s="621"/>
      <c r="GYV612" s="3933"/>
      <c r="GYW612" s="3933"/>
      <c r="GYX612" s="3933"/>
      <c r="GYY612" s="621"/>
      <c r="GYZ612" s="3933"/>
      <c r="GZA612" s="3933"/>
      <c r="GZB612" s="3933"/>
      <c r="GZC612" s="621"/>
      <c r="GZD612" s="3933"/>
      <c r="GZE612" s="3933"/>
      <c r="GZF612" s="3933"/>
      <c r="GZG612" s="621"/>
      <c r="GZH612" s="3933"/>
      <c r="GZI612" s="3933"/>
      <c r="GZJ612" s="3933"/>
      <c r="GZK612" s="621"/>
      <c r="GZL612" s="3933"/>
      <c r="GZM612" s="3933"/>
      <c r="GZN612" s="3933"/>
      <c r="GZO612" s="621"/>
      <c r="GZP612" s="3933"/>
      <c r="GZQ612" s="3933"/>
      <c r="GZR612" s="3933"/>
      <c r="GZS612" s="621"/>
      <c r="GZT612" s="3933"/>
      <c r="GZU612" s="3933"/>
      <c r="GZV612" s="3933"/>
      <c r="GZW612" s="621"/>
      <c r="GZX612" s="3933"/>
      <c r="GZY612" s="3933"/>
      <c r="GZZ612" s="3933"/>
      <c r="HAA612" s="621"/>
      <c r="HAB612" s="3933"/>
      <c r="HAC612" s="3933"/>
      <c r="HAD612" s="3933"/>
      <c r="HAE612" s="621"/>
      <c r="HAF612" s="3933"/>
      <c r="HAG612" s="3933"/>
      <c r="HAH612" s="3933"/>
      <c r="HAI612" s="621"/>
      <c r="HAJ612" s="3933"/>
      <c r="HAK612" s="3933"/>
      <c r="HAL612" s="3933"/>
      <c r="HAM612" s="621"/>
      <c r="HAN612" s="3933"/>
      <c r="HAO612" s="3933"/>
      <c r="HAP612" s="3933"/>
      <c r="HAQ612" s="621"/>
      <c r="HAR612" s="3933"/>
      <c r="HAS612" s="3933"/>
      <c r="HAT612" s="3933"/>
      <c r="HAU612" s="621"/>
      <c r="HAV612" s="3933"/>
      <c r="HAW612" s="3933"/>
      <c r="HAX612" s="3933"/>
      <c r="HAY612" s="621"/>
      <c r="HAZ612" s="3933"/>
      <c r="HBA612" s="3933"/>
      <c r="HBB612" s="3933"/>
      <c r="HBC612" s="621"/>
      <c r="HBD612" s="3933"/>
      <c r="HBE612" s="3933"/>
      <c r="HBF612" s="3933"/>
      <c r="HBG612" s="621"/>
      <c r="HBH612" s="3933"/>
      <c r="HBI612" s="3933"/>
      <c r="HBJ612" s="3933"/>
      <c r="HBK612" s="621"/>
      <c r="HBL612" s="3933"/>
      <c r="HBM612" s="3933"/>
      <c r="HBN612" s="3933"/>
      <c r="HBO612" s="621"/>
      <c r="HBP612" s="3933"/>
      <c r="HBQ612" s="3933"/>
      <c r="HBR612" s="3933"/>
      <c r="HBS612" s="621"/>
      <c r="HBT612" s="3933"/>
      <c r="HBU612" s="3933"/>
      <c r="HBV612" s="3933"/>
      <c r="HBW612" s="621"/>
      <c r="HBX612" s="3933"/>
      <c r="HBY612" s="3933"/>
      <c r="HBZ612" s="3933"/>
      <c r="HCA612" s="621"/>
      <c r="HCB612" s="3933"/>
      <c r="HCC612" s="3933"/>
      <c r="HCD612" s="3933"/>
      <c r="HCE612" s="621"/>
      <c r="HCF612" s="3933"/>
      <c r="HCG612" s="3933"/>
      <c r="HCH612" s="3933"/>
      <c r="HCI612" s="621"/>
      <c r="HCJ612" s="3933"/>
      <c r="HCK612" s="3933"/>
      <c r="HCL612" s="3933"/>
      <c r="HCM612" s="621"/>
      <c r="HCN612" s="3933"/>
      <c r="HCO612" s="3933"/>
      <c r="HCP612" s="3933"/>
      <c r="HCQ612" s="621"/>
      <c r="HCR612" s="3933"/>
      <c r="HCS612" s="3933"/>
      <c r="HCT612" s="3933"/>
      <c r="HCU612" s="621"/>
      <c r="HCV612" s="3933"/>
      <c r="HCW612" s="3933"/>
      <c r="HCX612" s="3933"/>
      <c r="HCY612" s="621"/>
      <c r="HCZ612" s="3933"/>
      <c r="HDA612" s="3933"/>
      <c r="HDB612" s="3933"/>
      <c r="HDC612" s="621"/>
      <c r="HDD612" s="3933"/>
      <c r="HDE612" s="3933"/>
      <c r="HDF612" s="3933"/>
      <c r="HDG612" s="621"/>
      <c r="HDH612" s="3933"/>
      <c r="HDI612" s="3933"/>
      <c r="HDJ612" s="3933"/>
      <c r="HDK612" s="621"/>
      <c r="HDL612" s="3933"/>
      <c r="HDM612" s="3933"/>
      <c r="HDN612" s="3933"/>
      <c r="HDO612" s="621"/>
      <c r="HDP612" s="3933"/>
      <c r="HDQ612" s="3933"/>
      <c r="HDR612" s="3933"/>
      <c r="HDS612" s="621"/>
      <c r="HDT612" s="3933"/>
      <c r="HDU612" s="3933"/>
      <c r="HDV612" s="3933"/>
      <c r="HDW612" s="621"/>
      <c r="HDX612" s="3933"/>
      <c r="HDY612" s="3933"/>
      <c r="HDZ612" s="3933"/>
      <c r="HEA612" s="621"/>
      <c r="HEB612" s="3933"/>
      <c r="HEC612" s="3933"/>
      <c r="HED612" s="3933"/>
      <c r="HEE612" s="621"/>
      <c r="HEF612" s="3933"/>
      <c r="HEG612" s="3933"/>
      <c r="HEH612" s="3933"/>
      <c r="HEI612" s="621"/>
      <c r="HEJ612" s="3933"/>
      <c r="HEK612" s="3933"/>
      <c r="HEL612" s="3933"/>
      <c r="HEM612" s="621"/>
      <c r="HEN612" s="3933"/>
      <c r="HEO612" s="3933"/>
      <c r="HEP612" s="3933"/>
      <c r="HEQ612" s="621"/>
      <c r="HER612" s="3933"/>
      <c r="HES612" s="3933"/>
      <c r="HET612" s="3933"/>
      <c r="HEU612" s="621"/>
      <c r="HEV612" s="3933"/>
      <c r="HEW612" s="3933"/>
      <c r="HEX612" s="3933"/>
      <c r="HEY612" s="621"/>
      <c r="HEZ612" s="3933"/>
      <c r="HFA612" s="3933"/>
      <c r="HFB612" s="3933"/>
      <c r="HFC612" s="621"/>
      <c r="HFD612" s="3933"/>
      <c r="HFE612" s="3933"/>
      <c r="HFF612" s="3933"/>
      <c r="HFG612" s="621"/>
      <c r="HFH612" s="3933"/>
      <c r="HFI612" s="3933"/>
      <c r="HFJ612" s="3933"/>
      <c r="HFK612" s="621"/>
      <c r="HFL612" s="3933"/>
      <c r="HFM612" s="3933"/>
      <c r="HFN612" s="3933"/>
      <c r="HFO612" s="621"/>
      <c r="HFP612" s="3933"/>
      <c r="HFQ612" s="3933"/>
      <c r="HFR612" s="3933"/>
      <c r="HFS612" s="621"/>
      <c r="HFT612" s="3933"/>
      <c r="HFU612" s="3933"/>
      <c r="HFV612" s="3933"/>
      <c r="HFW612" s="621"/>
      <c r="HFX612" s="3933"/>
      <c r="HFY612" s="3933"/>
      <c r="HFZ612" s="3933"/>
      <c r="HGA612" s="621"/>
      <c r="HGB612" s="3933"/>
      <c r="HGC612" s="3933"/>
      <c r="HGD612" s="3933"/>
      <c r="HGE612" s="621"/>
      <c r="HGF612" s="3933"/>
      <c r="HGG612" s="3933"/>
      <c r="HGH612" s="3933"/>
      <c r="HGI612" s="621"/>
      <c r="HGJ612" s="3933"/>
      <c r="HGK612" s="3933"/>
      <c r="HGL612" s="3933"/>
      <c r="HGM612" s="621"/>
      <c r="HGN612" s="3933"/>
      <c r="HGO612" s="3933"/>
      <c r="HGP612" s="3933"/>
      <c r="HGQ612" s="621"/>
      <c r="HGR612" s="3933"/>
      <c r="HGS612" s="3933"/>
      <c r="HGT612" s="3933"/>
      <c r="HGU612" s="621"/>
      <c r="HGV612" s="3933"/>
      <c r="HGW612" s="3933"/>
      <c r="HGX612" s="3933"/>
      <c r="HGY612" s="621"/>
      <c r="HGZ612" s="3933"/>
      <c r="HHA612" s="3933"/>
      <c r="HHB612" s="3933"/>
      <c r="HHC612" s="621"/>
      <c r="HHD612" s="3933"/>
      <c r="HHE612" s="3933"/>
      <c r="HHF612" s="3933"/>
      <c r="HHG612" s="621"/>
      <c r="HHH612" s="3933"/>
      <c r="HHI612" s="3933"/>
      <c r="HHJ612" s="3933"/>
      <c r="HHK612" s="621"/>
      <c r="HHL612" s="3933"/>
      <c r="HHM612" s="3933"/>
      <c r="HHN612" s="3933"/>
      <c r="HHO612" s="621"/>
      <c r="HHP612" s="3933"/>
      <c r="HHQ612" s="3933"/>
      <c r="HHR612" s="3933"/>
      <c r="HHS612" s="621"/>
      <c r="HHT612" s="3933"/>
      <c r="HHU612" s="3933"/>
      <c r="HHV612" s="3933"/>
      <c r="HHW612" s="621"/>
      <c r="HHX612" s="3933"/>
      <c r="HHY612" s="3933"/>
      <c r="HHZ612" s="3933"/>
      <c r="HIA612" s="621"/>
      <c r="HIB612" s="3933"/>
      <c r="HIC612" s="3933"/>
      <c r="HID612" s="3933"/>
      <c r="HIE612" s="621"/>
      <c r="HIF612" s="3933"/>
      <c r="HIG612" s="3933"/>
      <c r="HIH612" s="3933"/>
      <c r="HII612" s="621"/>
      <c r="HIJ612" s="3933"/>
      <c r="HIK612" s="3933"/>
      <c r="HIL612" s="3933"/>
      <c r="HIM612" s="621"/>
      <c r="HIN612" s="3933"/>
      <c r="HIO612" s="3933"/>
      <c r="HIP612" s="3933"/>
      <c r="HIQ612" s="621"/>
      <c r="HIR612" s="3933"/>
      <c r="HIS612" s="3933"/>
      <c r="HIT612" s="3933"/>
      <c r="HIU612" s="621"/>
      <c r="HIV612" s="3933"/>
      <c r="HIW612" s="3933"/>
      <c r="HIX612" s="3933"/>
      <c r="HIY612" s="621"/>
      <c r="HIZ612" s="3933"/>
      <c r="HJA612" s="3933"/>
      <c r="HJB612" s="3933"/>
      <c r="HJC612" s="621"/>
      <c r="HJD612" s="3933"/>
      <c r="HJE612" s="3933"/>
      <c r="HJF612" s="3933"/>
      <c r="HJG612" s="621"/>
      <c r="HJH612" s="3933"/>
      <c r="HJI612" s="3933"/>
      <c r="HJJ612" s="3933"/>
      <c r="HJK612" s="621"/>
      <c r="HJL612" s="3933"/>
      <c r="HJM612" s="3933"/>
      <c r="HJN612" s="3933"/>
      <c r="HJO612" s="621"/>
      <c r="HJP612" s="3933"/>
      <c r="HJQ612" s="3933"/>
      <c r="HJR612" s="3933"/>
      <c r="HJS612" s="621"/>
      <c r="HJT612" s="3933"/>
      <c r="HJU612" s="3933"/>
      <c r="HJV612" s="3933"/>
      <c r="HJW612" s="621"/>
      <c r="HJX612" s="3933"/>
      <c r="HJY612" s="3933"/>
      <c r="HJZ612" s="3933"/>
      <c r="HKA612" s="621"/>
      <c r="HKB612" s="3933"/>
      <c r="HKC612" s="3933"/>
      <c r="HKD612" s="3933"/>
      <c r="HKE612" s="621"/>
      <c r="HKF612" s="3933"/>
      <c r="HKG612" s="3933"/>
      <c r="HKH612" s="3933"/>
      <c r="HKI612" s="621"/>
      <c r="HKJ612" s="3933"/>
      <c r="HKK612" s="3933"/>
      <c r="HKL612" s="3933"/>
      <c r="HKM612" s="621"/>
      <c r="HKN612" s="3933"/>
      <c r="HKO612" s="3933"/>
      <c r="HKP612" s="3933"/>
      <c r="HKQ612" s="621"/>
      <c r="HKR612" s="3933"/>
      <c r="HKS612" s="3933"/>
      <c r="HKT612" s="3933"/>
      <c r="HKU612" s="621"/>
      <c r="HKV612" s="3933"/>
      <c r="HKW612" s="3933"/>
      <c r="HKX612" s="3933"/>
      <c r="HKY612" s="621"/>
      <c r="HKZ612" s="3933"/>
      <c r="HLA612" s="3933"/>
      <c r="HLB612" s="3933"/>
      <c r="HLC612" s="621"/>
      <c r="HLD612" s="3933"/>
      <c r="HLE612" s="3933"/>
      <c r="HLF612" s="3933"/>
      <c r="HLG612" s="621"/>
      <c r="HLH612" s="3933"/>
      <c r="HLI612" s="3933"/>
      <c r="HLJ612" s="3933"/>
      <c r="HLK612" s="621"/>
      <c r="HLL612" s="3933"/>
      <c r="HLM612" s="3933"/>
      <c r="HLN612" s="3933"/>
      <c r="HLO612" s="621"/>
      <c r="HLP612" s="3933"/>
      <c r="HLQ612" s="3933"/>
      <c r="HLR612" s="3933"/>
      <c r="HLS612" s="621"/>
      <c r="HLT612" s="3933"/>
      <c r="HLU612" s="3933"/>
      <c r="HLV612" s="3933"/>
      <c r="HLW612" s="621"/>
      <c r="HLX612" s="3933"/>
      <c r="HLY612" s="3933"/>
      <c r="HLZ612" s="3933"/>
      <c r="HMA612" s="621"/>
      <c r="HMB612" s="3933"/>
      <c r="HMC612" s="3933"/>
      <c r="HMD612" s="3933"/>
      <c r="HME612" s="621"/>
      <c r="HMF612" s="3933"/>
      <c r="HMG612" s="3933"/>
      <c r="HMH612" s="3933"/>
      <c r="HMI612" s="621"/>
      <c r="HMJ612" s="3933"/>
      <c r="HMK612" s="3933"/>
      <c r="HML612" s="3933"/>
      <c r="HMM612" s="621"/>
      <c r="HMN612" s="3933"/>
      <c r="HMO612" s="3933"/>
      <c r="HMP612" s="3933"/>
      <c r="HMQ612" s="621"/>
      <c r="HMR612" s="3933"/>
      <c r="HMS612" s="3933"/>
      <c r="HMT612" s="3933"/>
      <c r="HMU612" s="621"/>
      <c r="HMV612" s="3933"/>
      <c r="HMW612" s="3933"/>
      <c r="HMX612" s="3933"/>
      <c r="HMY612" s="621"/>
      <c r="HMZ612" s="3933"/>
      <c r="HNA612" s="3933"/>
      <c r="HNB612" s="3933"/>
      <c r="HNC612" s="621"/>
      <c r="HND612" s="3933"/>
      <c r="HNE612" s="3933"/>
      <c r="HNF612" s="3933"/>
      <c r="HNG612" s="621"/>
      <c r="HNH612" s="3933"/>
      <c r="HNI612" s="3933"/>
      <c r="HNJ612" s="3933"/>
      <c r="HNK612" s="621"/>
      <c r="HNL612" s="3933"/>
      <c r="HNM612" s="3933"/>
      <c r="HNN612" s="3933"/>
      <c r="HNO612" s="621"/>
      <c r="HNP612" s="3933"/>
      <c r="HNQ612" s="3933"/>
      <c r="HNR612" s="3933"/>
      <c r="HNS612" s="621"/>
      <c r="HNT612" s="3933"/>
      <c r="HNU612" s="3933"/>
      <c r="HNV612" s="3933"/>
      <c r="HNW612" s="621"/>
      <c r="HNX612" s="3933"/>
      <c r="HNY612" s="3933"/>
      <c r="HNZ612" s="3933"/>
      <c r="HOA612" s="621"/>
      <c r="HOB612" s="3933"/>
      <c r="HOC612" s="3933"/>
      <c r="HOD612" s="3933"/>
      <c r="HOE612" s="621"/>
      <c r="HOF612" s="3933"/>
      <c r="HOG612" s="3933"/>
      <c r="HOH612" s="3933"/>
      <c r="HOI612" s="621"/>
      <c r="HOJ612" s="3933"/>
      <c r="HOK612" s="3933"/>
      <c r="HOL612" s="3933"/>
      <c r="HOM612" s="621"/>
      <c r="HON612" s="3933"/>
      <c r="HOO612" s="3933"/>
      <c r="HOP612" s="3933"/>
      <c r="HOQ612" s="621"/>
      <c r="HOR612" s="3933"/>
      <c r="HOS612" s="3933"/>
      <c r="HOT612" s="3933"/>
      <c r="HOU612" s="621"/>
      <c r="HOV612" s="3933"/>
      <c r="HOW612" s="3933"/>
      <c r="HOX612" s="3933"/>
      <c r="HOY612" s="621"/>
      <c r="HOZ612" s="3933"/>
      <c r="HPA612" s="3933"/>
      <c r="HPB612" s="3933"/>
      <c r="HPC612" s="621"/>
      <c r="HPD612" s="3933"/>
      <c r="HPE612" s="3933"/>
      <c r="HPF612" s="3933"/>
      <c r="HPG612" s="621"/>
      <c r="HPH612" s="3933"/>
      <c r="HPI612" s="3933"/>
      <c r="HPJ612" s="3933"/>
      <c r="HPK612" s="621"/>
      <c r="HPL612" s="3933"/>
      <c r="HPM612" s="3933"/>
      <c r="HPN612" s="3933"/>
      <c r="HPO612" s="621"/>
      <c r="HPP612" s="3933"/>
      <c r="HPQ612" s="3933"/>
      <c r="HPR612" s="3933"/>
      <c r="HPS612" s="621"/>
      <c r="HPT612" s="3933"/>
      <c r="HPU612" s="3933"/>
      <c r="HPV612" s="3933"/>
      <c r="HPW612" s="621"/>
      <c r="HPX612" s="3933"/>
      <c r="HPY612" s="3933"/>
      <c r="HPZ612" s="3933"/>
      <c r="HQA612" s="621"/>
      <c r="HQB612" s="3933"/>
      <c r="HQC612" s="3933"/>
      <c r="HQD612" s="3933"/>
      <c r="HQE612" s="621"/>
      <c r="HQF612" s="3933"/>
      <c r="HQG612" s="3933"/>
      <c r="HQH612" s="3933"/>
      <c r="HQI612" s="621"/>
      <c r="HQJ612" s="3933"/>
      <c r="HQK612" s="3933"/>
      <c r="HQL612" s="3933"/>
      <c r="HQM612" s="621"/>
      <c r="HQN612" s="3933"/>
      <c r="HQO612" s="3933"/>
      <c r="HQP612" s="3933"/>
      <c r="HQQ612" s="621"/>
      <c r="HQR612" s="3933"/>
      <c r="HQS612" s="3933"/>
      <c r="HQT612" s="3933"/>
      <c r="HQU612" s="621"/>
      <c r="HQV612" s="3933"/>
      <c r="HQW612" s="3933"/>
      <c r="HQX612" s="3933"/>
      <c r="HQY612" s="621"/>
      <c r="HQZ612" s="3933"/>
      <c r="HRA612" s="3933"/>
      <c r="HRB612" s="3933"/>
      <c r="HRC612" s="621"/>
      <c r="HRD612" s="3933"/>
      <c r="HRE612" s="3933"/>
      <c r="HRF612" s="3933"/>
      <c r="HRG612" s="621"/>
      <c r="HRH612" s="3933"/>
      <c r="HRI612" s="3933"/>
      <c r="HRJ612" s="3933"/>
      <c r="HRK612" s="621"/>
      <c r="HRL612" s="3933"/>
      <c r="HRM612" s="3933"/>
      <c r="HRN612" s="3933"/>
      <c r="HRO612" s="621"/>
      <c r="HRP612" s="3933"/>
      <c r="HRQ612" s="3933"/>
      <c r="HRR612" s="3933"/>
      <c r="HRS612" s="621"/>
      <c r="HRT612" s="3933"/>
      <c r="HRU612" s="3933"/>
      <c r="HRV612" s="3933"/>
      <c r="HRW612" s="621"/>
      <c r="HRX612" s="3933"/>
      <c r="HRY612" s="3933"/>
      <c r="HRZ612" s="3933"/>
      <c r="HSA612" s="621"/>
      <c r="HSB612" s="3933"/>
      <c r="HSC612" s="3933"/>
      <c r="HSD612" s="3933"/>
      <c r="HSE612" s="621"/>
      <c r="HSF612" s="3933"/>
      <c r="HSG612" s="3933"/>
      <c r="HSH612" s="3933"/>
      <c r="HSI612" s="621"/>
      <c r="HSJ612" s="3933"/>
      <c r="HSK612" s="3933"/>
      <c r="HSL612" s="3933"/>
      <c r="HSM612" s="621"/>
      <c r="HSN612" s="3933"/>
      <c r="HSO612" s="3933"/>
      <c r="HSP612" s="3933"/>
      <c r="HSQ612" s="621"/>
      <c r="HSR612" s="3933"/>
      <c r="HSS612" s="3933"/>
      <c r="HST612" s="3933"/>
      <c r="HSU612" s="621"/>
      <c r="HSV612" s="3933"/>
      <c r="HSW612" s="3933"/>
      <c r="HSX612" s="3933"/>
      <c r="HSY612" s="621"/>
      <c r="HSZ612" s="3933"/>
      <c r="HTA612" s="3933"/>
      <c r="HTB612" s="3933"/>
      <c r="HTC612" s="621"/>
      <c r="HTD612" s="3933"/>
      <c r="HTE612" s="3933"/>
      <c r="HTF612" s="3933"/>
      <c r="HTG612" s="621"/>
      <c r="HTH612" s="3933"/>
      <c r="HTI612" s="3933"/>
      <c r="HTJ612" s="3933"/>
      <c r="HTK612" s="621"/>
      <c r="HTL612" s="3933"/>
      <c r="HTM612" s="3933"/>
      <c r="HTN612" s="3933"/>
      <c r="HTO612" s="621"/>
      <c r="HTP612" s="3933"/>
      <c r="HTQ612" s="3933"/>
      <c r="HTR612" s="3933"/>
      <c r="HTS612" s="621"/>
      <c r="HTT612" s="3933"/>
      <c r="HTU612" s="3933"/>
      <c r="HTV612" s="3933"/>
      <c r="HTW612" s="621"/>
      <c r="HTX612" s="3933"/>
      <c r="HTY612" s="3933"/>
      <c r="HTZ612" s="3933"/>
      <c r="HUA612" s="621"/>
      <c r="HUB612" s="3933"/>
      <c r="HUC612" s="3933"/>
      <c r="HUD612" s="3933"/>
      <c r="HUE612" s="621"/>
      <c r="HUF612" s="3933"/>
      <c r="HUG612" s="3933"/>
      <c r="HUH612" s="3933"/>
      <c r="HUI612" s="621"/>
      <c r="HUJ612" s="3933"/>
      <c r="HUK612" s="3933"/>
      <c r="HUL612" s="3933"/>
      <c r="HUM612" s="621"/>
      <c r="HUN612" s="3933"/>
      <c r="HUO612" s="3933"/>
      <c r="HUP612" s="3933"/>
      <c r="HUQ612" s="621"/>
      <c r="HUR612" s="3933"/>
      <c r="HUS612" s="3933"/>
      <c r="HUT612" s="3933"/>
      <c r="HUU612" s="621"/>
      <c r="HUV612" s="3933"/>
      <c r="HUW612" s="3933"/>
      <c r="HUX612" s="3933"/>
      <c r="HUY612" s="621"/>
      <c r="HUZ612" s="3933"/>
      <c r="HVA612" s="3933"/>
      <c r="HVB612" s="3933"/>
      <c r="HVC612" s="621"/>
      <c r="HVD612" s="3933"/>
      <c r="HVE612" s="3933"/>
      <c r="HVF612" s="3933"/>
      <c r="HVG612" s="621"/>
      <c r="HVH612" s="3933"/>
      <c r="HVI612" s="3933"/>
      <c r="HVJ612" s="3933"/>
      <c r="HVK612" s="621"/>
      <c r="HVL612" s="3933"/>
      <c r="HVM612" s="3933"/>
      <c r="HVN612" s="3933"/>
      <c r="HVO612" s="621"/>
      <c r="HVP612" s="3933"/>
      <c r="HVQ612" s="3933"/>
      <c r="HVR612" s="3933"/>
      <c r="HVS612" s="621"/>
      <c r="HVT612" s="3933"/>
      <c r="HVU612" s="3933"/>
      <c r="HVV612" s="3933"/>
      <c r="HVW612" s="621"/>
      <c r="HVX612" s="3933"/>
      <c r="HVY612" s="3933"/>
      <c r="HVZ612" s="3933"/>
      <c r="HWA612" s="621"/>
      <c r="HWB612" s="3933"/>
      <c r="HWC612" s="3933"/>
      <c r="HWD612" s="3933"/>
      <c r="HWE612" s="621"/>
      <c r="HWF612" s="3933"/>
      <c r="HWG612" s="3933"/>
      <c r="HWH612" s="3933"/>
      <c r="HWI612" s="621"/>
      <c r="HWJ612" s="3933"/>
      <c r="HWK612" s="3933"/>
      <c r="HWL612" s="3933"/>
      <c r="HWM612" s="621"/>
      <c r="HWN612" s="3933"/>
      <c r="HWO612" s="3933"/>
      <c r="HWP612" s="3933"/>
      <c r="HWQ612" s="621"/>
      <c r="HWR612" s="3933"/>
      <c r="HWS612" s="3933"/>
      <c r="HWT612" s="3933"/>
      <c r="HWU612" s="621"/>
      <c r="HWV612" s="3933"/>
      <c r="HWW612" s="3933"/>
      <c r="HWX612" s="3933"/>
      <c r="HWY612" s="621"/>
      <c r="HWZ612" s="3933"/>
      <c r="HXA612" s="3933"/>
      <c r="HXB612" s="3933"/>
      <c r="HXC612" s="621"/>
      <c r="HXD612" s="3933"/>
      <c r="HXE612" s="3933"/>
      <c r="HXF612" s="3933"/>
      <c r="HXG612" s="621"/>
      <c r="HXH612" s="3933"/>
      <c r="HXI612" s="3933"/>
      <c r="HXJ612" s="3933"/>
      <c r="HXK612" s="621"/>
      <c r="HXL612" s="3933"/>
      <c r="HXM612" s="3933"/>
      <c r="HXN612" s="3933"/>
      <c r="HXO612" s="621"/>
      <c r="HXP612" s="3933"/>
      <c r="HXQ612" s="3933"/>
      <c r="HXR612" s="3933"/>
      <c r="HXS612" s="621"/>
      <c r="HXT612" s="3933"/>
      <c r="HXU612" s="3933"/>
      <c r="HXV612" s="3933"/>
      <c r="HXW612" s="621"/>
      <c r="HXX612" s="3933"/>
      <c r="HXY612" s="3933"/>
      <c r="HXZ612" s="3933"/>
      <c r="HYA612" s="621"/>
      <c r="HYB612" s="3933"/>
      <c r="HYC612" s="3933"/>
      <c r="HYD612" s="3933"/>
      <c r="HYE612" s="621"/>
      <c r="HYF612" s="3933"/>
      <c r="HYG612" s="3933"/>
      <c r="HYH612" s="3933"/>
      <c r="HYI612" s="621"/>
      <c r="HYJ612" s="3933"/>
      <c r="HYK612" s="3933"/>
      <c r="HYL612" s="3933"/>
      <c r="HYM612" s="621"/>
      <c r="HYN612" s="3933"/>
      <c r="HYO612" s="3933"/>
      <c r="HYP612" s="3933"/>
      <c r="HYQ612" s="621"/>
      <c r="HYR612" s="3933"/>
      <c r="HYS612" s="3933"/>
      <c r="HYT612" s="3933"/>
      <c r="HYU612" s="621"/>
      <c r="HYV612" s="3933"/>
      <c r="HYW612" s="3933"/>
      <c r="HYX612" s="3933"/>
      <c r="HYY612" s="621"/>
      <c r="HYZ612" s="3933"/>
      <c r="HZA612" s="3933"/>
      <c r="HZB612" s="3933"/>
      <c r="HZC612" s="621"/>
      <c r="HZD612" s="3933"/>
      <c r="HZE612" s="3933"/>
      <c r="HZF612" s="3933"/>
      <c r="HZG612" s="621"/>
      <c r="HZH612" s="3933"/>
      <c r="HZI612" s="3933"/>
      <c r="HZJ612" s="3933"/>
      <c r="HZK612" s="621"/>
      <c r="HZL612" s="3933"/>
      <c r="HZM612" s="3933"/>
      <c r="HZN612" s="3933"/>
      <c r="HZO612" s="621"/>
      <c r="HZP612" s="3933"/>
      <c r="HZQ612" s="3933"/>
      <c r="HZR612" s="3933"/>
      <c r="HZS612" s="621"/>
      <c r="HZT612" s="3933"/>
      <c r="HZU612" s="3933"/>
      <c r="HZV612" s="3933"/>
      <c r="HZW612" s="621"/>
      <c r="HZX612" s="3933"/>
      <c r="HZY612" s="3933"/>
      <c r="HZZ612" s="3933"/>
      <c r="IAA612" s="621"/>
      <c r="IAB612" s="3933"/>
      <c r="IAC612" s="3933"/>
      <c r="IAD612" s="3933"/>
      <c r="IAE612" s="621"/>
      <c r="IAF612" s="3933"/>
      <c r="IAG612" s="3933"/>
      <c r="IAH612" s="3933"/>
      <c r="IAI612" s="621"/>
      <c r="IAJ612" s="3933"/>
      <c r="IAK612" s="3933"/>
      <c r="IAL612" s="3933"/>
      <c r="IAM612" s="621"/>
      <c r="IAN612" s="3933"/>
      <c r="IAO612" s="3933"/>
      <c r="IAP612" s="3933"/>
      <c r="IAQ612" s="621"/>
      <c r="IAR612" s="3933"/>
      <c r="IAS612" s="3933"/>
      <c r="IAT612" s="3933"/>
      <c r="IAU612" s="621"/>
      <c r="IAV612" s="3933"/>
      <c r="IAW612" s="3933"/>
      <c r="IAX612" s="3933"/>
      <c r="IAY612" s="621"/>
      <c r="IAZ612" s="3933"/>
      <c r="IBA612" s="3933"/>
      <c r="IBB612" s="3933"/>
      <c r="IBC612" s="621"/>
      <c r="IBD612" s="3933"/>
      <c r="IBE612" s="3933"/>
      <c r="IBF612" s="3933"/>
      <c r="IBG612" s="621"/>
      <c r="IBH612" s="3933"/>
      <c r="IBI612" s="3933"/>
      <c r="IBJ612" s="3933"/>
      <c r="IBK612" s="621"/>
      <c r="IBL612" s="3933"/>
      <c r="IBM612" s="3933"/>
      <c r="IBN612" s="3933"/>
      <c r="IBO612" s="621"/>
      <c r="IBP612" s="3933"/>
      <c r="IBQ612" s="3933"/>
      <c r="IBR612" s="3933"/>
      <c r="IBS612" s="621"/>
      <c r="IBT612" s="3933"/>
      <c r="IBU612" s="3933"/>
      <c r="IBV612" s="3933"/>
      <c r="IBW612" s="621"/>
      <c r="IBX612" s="3933"/>
      <c r="IBY612" s="3933"/>
      <c r="IBZ612" s="3933"/>
      <c r="ICA612" s="621"/>
      <c r="ICB612" s="3933"/>
      <c r="ICC612" s="3933"/>
      <c r="ICD612" s="3933"/>
      <c r="ICE612" s="621"/>
      <c r="ICF612" s="3933"/>
      <c r="ICG612" s="3933"/>
      <c r="ICH612" s="3933"/>
      <c r="ICI612" s="621"/>
      <c r="ICJ612" s="3933"/>
      <c r="ICK612" s="3933"/>
      <c r="ICL612" s="3933"/>
      <c r="ICM612" s="621"/>
      <c r="ICN612" s="3933"/>
      <c r="ICO612" s="3933"/>
      <c r="ICP612" s="3933"/>
      <c r="ICQ612" s="621"/>
      <c r="ICR612" s="3933"/>
      <c r="ICS612" s="3933"/>
      <c r="ICT612" s="3933"/>
      <c r="ICU612" s="621"/>
      <c r="ICV612" s="3933"/>
      <c r="ICW612" s="3933"/>
      <c r="ICX612" s="3933"/>
      <c r="ICY612" s="621"/>
      <c r="ICZ612" s="3933"/>
      <c r="IDA612" s="3933"/>
      <c r="IDB612" s="3933"/>
      <c r="IDC612" s="621"/>
      <c r="IDD612" s="3933"/>
      <c r="IDE612" s="3933"/>
      <c r="IDF612" s="3933"/>
      <c r="IDG612" s="621"/>
      <c r="IDH612" s="3933"/>
      <c r="IDI612" s="3933"/>
      <c r="IDJ612" s="3933"/>
      <c r="IDK612" s="621"/>
      <c r="IDL612" s="3933"/>
      <c r="IDM612" s="3933"/>
      <c r="IDN612" s="3933"/>
      <c r="IDO612" s="621"/>
      <c r="IDP612" s="3933"/>
      <c r="IDQ612" s="3933"/>
      <c r="IDR612" s="3933"/>
      <c r="IDS612" s="621"/>
      <c r="IDT612" s="3933"/>
      <c r="IDU612" s="3933"/>
      <c r="IDV612" s="3933"/>
      <c r="IDW612" s="621"/>
      <c r="IDX612" s="3933"/>
      <c r="IDY612" s="3933"/>
      <c r="IDZ612" s="3933"/>
      <c r="IEA612" s="621"/>
      <c r="IEB612" s="3933"/>
      <c r="IEC612" s="3933"/>
      <c r="IED612" s="3933"/>
      <c r="IEE612" s="621"/>
      <c r="IEF612" s="3933"/>
      <c r="IEG612" s="3933"/>
      <c r="IEH612" s="3933"/>
      <c r="IEI612" s="621"/>
      <c r="IEJ612" s="3933"/>
      <c r="IEK612" s="3933"/>
      <c r="IEL612" s="3933"/>
      <c r="IEM612" s="621"/>
      <c r="IEN612" s="3933"/>
      <c r="IEO612" s="3933"/>
      <c r="IEP612" s="3933"/>
      <c r="IEQ612" s="621"/>
      <c r="IER612" s="3933"/>
      <c r="IES612" s="3933"/>
      <c r="IET612" s="3933"/>
      <c r="IEU612" s="621"/>
      <c r="IEV612" s="3933"/>
      <c r="IEW612" s="3933"/>
      <c r="IEX612" s="3933"/>
      <c r="IEY612" s="621"/>
      <c r="IEZ612" s="3933"/>
      <c r="IFA612" s="3933"/>
      <c r="IFB612" s="3933"/>
      <c r="IFC612" s="621"/>
      <c r="IFD612" s="3933"/>
      <c r="IFE612" s="3933"/>
      <c r="IFF612" s="3933"/>
      <c r="IFG612" s="621"/>
      <c r="IFH612" s="3933"/>
      <c r="IFI612" s="3933"/>
      <c r="IFJ612" s="3933"/>
      <c r="IFK612" s="621"/>
      <c r="IFL612" s="3933"/>
      <c r="IFM612" s="3933"/>
      <c r="IFN612" s="3933"/>
      <c r="IFO612" s="621"/>
      <c r="IFP612" s="3933"/>
      <c r="IFQ612" s="3933"/>
      <c r="IFR612" s="3933"/>
      <c r="IFS612" s="621"/>
      <c r="IFT612" s="3933"/>
      <c r="IFU612" s="3933"/>
      <c r="IFV612" s="3933"/>
      <c r="IFW612" s="621"/>
      <c r="IFX612" s="3933"/>
      <c r="IFY612" s="3933"/>
      <c r="IFZ612" s="3933"/>
      <c r="IGA612" s="621"/>
      <c r="IGB612" s="3933"/>
      <c r="IGC612" s="3933"/>
      <c r="IGD612" s="3933"/>
      <c r="IGE612" s="621"/>
      <c r="IGF612" s="3933"/>
      <c r="IGG612" s="3933"/>
      <c r="IGH612" s="3933"/>
      <c r="IGI612" s="621"/>
      <c r="IGJ612" s="3933"/>
      <c r="IGK612" s="3933"/>
      <c r="IGL612" s="3933"/>
      <c r="IGM612" s="621"/>
      <c r="IGN612" s="3933"/>
      <c r="IGO612" s="3933"/>
      <c r="IGP612" s="3933"/>
      <c r="IGQ612" s="621"/>
      <c r="IGR612" s="3933"/>
      <c r="IGS612" s="3933"/>
      <c r="IGT612" s="3933"/>
      <c r="IGU612" s="621"/>
      <c r="IGV612" s="3933"/>
      <c r="IGW612" s="3933"/>
      <c r="IGX612" s="3933"/>
      <c r="IGY612" s="621"/>
      <c r="IGZ612" s="3933"/>
      <c r="IHA612" s="3933"/>
      <c r="IHB612" s="3933"/>
      <c r="IHC612" s="621"/>
      <c r="IHD612" s="3933"/>
      <c r="IHE612" s="3933"/>
      <c r="IHF612" s="3933"/>
      <c r="IHG612" s="621"/>
      <c r="IHH612" s="3933"/>
      <c r="IHI612" s="3933"/>
      <c r="IHJ612" s="3933"/>
      <c r="IHK612" s="621"/>
      <c r="IHL612" s="3933"/>
      <c r="IHM612" s="3933"/>
      <c r="IHN612" s="3933"/>
      <c r="IHO612" s="621"/>
      <c r="IHP612" s="3933"/>
      <c r="IHQ612" s="3933"/>
      <c r="IHR612" s="3933"/>
      <c r="IHS612" s="621"/>
      <c r="IHT612" s="3933"/>
      <c r="IHU612" s="3933"/>
      <c r="IHV612" s="3933"/>
      <c r="IHW612" s="621"/>
      <c r="IHX612" s="3933"/>
      <c r="IHY612" s="3933"/>
      <c r="IHZ612" s="3933"/>
      <c r="IIA612" s="621"/>
      <c r="IIB612" s="3933"/>
      <c r="IIC612" s="3933"/>
      <c r="IID612" s="3933"/>
      <c r="IIE612" s="621"/>
      <c r="IIF612" s="3933"/>
      <c r="IIG612" s="3933"/>
      <c r="IIH612" s="3933"/>
      <c r="III612" s="621"/>
      <c r="IIJ612" s="3933"/>
      <c r="IIK612" s="3933"/>
      <c r="IIL612" s="3933"/>
      <c r="IIM612" s="621"/>
      <c r="IIN612" s="3933"/>
      <c r="IIO612" s="3933"/>
      <c r="IIP612" s="3933"/>
      <c r="IIQ612" s="621"/>
      <c r="IIR612" s="3933"/>
      <c r="IIS612" s="3933"/>
      <c r="IIT612" s="3933"/>
      <c r="IIU612" s="621"/>
      <c r="IIV612" s="3933"/>
      <c r="IIW612" s="3933"/>
      <c r="IIX612" s="3933"/>
      <c r="IIY612" s="621"/>
      <c r="IIZ612" s="3933"/>
      <c r="IJA612" s="3933"/>
      <c r="IJB612" s="3933"/>
      <c r="IJC612" s="621"/>
      <c r="IJD612" s="3933"/>
      <c r="IJE612" s="3933"/>
      <c r="IJF612" s="3933"/>
      <c r="IJG612" s="621"/>
      <c r="IJH612" s="3933"/>
      <c r="IJI612" s="3933"/>
      <c r="IJJ612" s="3933"/>
      <c r="IJK612" s="621"/>
      <c r="IJL612" s="3933"/>
      <c r="IJM612" s="3933"/>
      <c r="IJN612" s="3933"/>
      <c r="IJO612" s="621"/>
      <c r="IJP612" s="3933"/>
      <c r="IJQ612" s="3933"/>
      <c r="IJR612" s="3933"/>
      <c r="IJS612" s="621"/>
      <c r="IJT612" s="3933"/>
      <c r="IJU612" s="3933"/>
      <c r="IJV612" s="3933"/>
      <c r="IJW612" s="621"/>
      <c r="IJX612" s="3933"/>
      <c r="IJY612" s="3933"/>
      <c r="IJZ612" s="3933"/>
      <c r="IKA612" s="621"/>
      <c r="IKB612" s="3933"/>
      <c r="IKC612" s="3933"/>
      <c r="IKD612" s="3933"/>
      <c r="IKE612" s="621"/>
      <c r="IKF612" s="3933"/>
      <c r="IKG612" s="3933"/>
      <c r="IKH612" s="3933"/>
      <c r="IKI612" s="621"/>
      <c r="IKJ612" s="3933"/>
      <c r="IKK612" s="3933"/>
      <c r="IKL612" s="3933"/>
      <c r="IKM612" s="621"/>
      <c r="IKN612" s="3933"/>
      <c r="IKO612" s="3933"/>
      <c r="IKP612" s="3933"/>
      <c r="IKQ612" s="621"/>
      <c r="IKR612" s="3933"/>
      <c r="IKS612" s="3933"/>
      <c r="IKT612" s="3933"/>
      <c r="IKU612" s="621"/>
      <c r="IKV612" s="3933"/>
      <c r="IKW612" s="3933"/>
      <c r="IKX612" s="3933"/>
      <c r="IKY612" s="621"/>
      <c r="IKZ612" s="3933"/>
      <c r="ILA612" s="3933"/>
      <c r="ILB612" s="3933"/>
      <c r="ILC612" s="621"/>
      <c r="ILD612" s="3933"/>
      <c r="ILE612" s="3933"/>
      <c r="ILF612" s="3933"/>
      <c r="ILG612" s="621"/>
      <c r="ILH612" s="3933"/>
      <c r="ILI612" s="3933"/>
      <c r="ILJ612" s="3933"/>
      <c r="ILK612" s="621"/>
      <c r="ILL612" s="3933"/>
      <c r="ILM612" s="3933"/>
      <c r="ILN612" s="3933"/>
      <c r="ILO612" s="621"/>
      <c r="ILP612" s="3933"/>
      <c r="ILQ612" s="3933"/>
      <c r="ILR612" s="3933"/>
      <c r="ILS612" s="621"/>
      <c r="ILT612" s="3933"/>
      <c r="ILU612" s="3933"/>
      <c r="ILV612" s="3933"/>
      <c r="ILW612" s="621"/>
      <c r="ILX612" s="3933"/>
      <c r="ILY612" s="3933"/>
      <c r="ILZ612" s="3933"/>
      <c r="IMA612" s="621"/>
      <c r="IMB612" s="3933"/>
      <c r="IMC612" s="3933"/>
      <c r="IMD612" s="3933"/>
      <c r="IME612" s="621"/>
      <c r="IMF612" s="3933"/>
      <c r="IMG612" s="3933"/>
      <c r="IMH612" s="3933"/>
      <c r="IMI612" s="621"/>
      <c r="IMJ612" s="3933"/>
      <c r="IMK612" s="3933"/>
      <c r="IML612" s="3933"/>
      <c r="IMM612" s="621"/>
      <c r="IMN612" s="3933"/>
      <c r="IMO612" s="3933"/>
      <c r="IMP612" s="3933"/>
      <c r="IMQ612" s="621"/>
      <c r="IMR612" s="3933"/>
      <c r="IMS612" s="3933"/>
      <c r="IMT612" s="3933"/>
      <c r="IMU612" s="621"/>
      <c r="IMV612" s="3933"/>
      <c r="IMW612" s="3933"/>
      <c r="IMX612" s="3933"/>
      <c r="IMY612" s="621"/>
      <c r="IMZ612" s="3933"/>
      <c r="INA612" s="3933"/>
      <c r="INB612" s="3933"/>
      <c r="INC612" s="621"/>
      <c r="IND612" s="3933"/>
      <c r="INE612" s="3933"/>
      <c r="INF612" s="3933"/>
      <c r="ING612" s="621"/>
      <c r="INH612" s="3933"/>
      <c r="INI612" s="3933"/>
      <c r="INJ612" s="3933"/>
      <c r="INK612" s="621"/>
      <c r="INL612" s="3933"/>
      <c r="INM612" s="3933"/>
      <c r="INN612" s="3933"/>
      <c r="INO612" s="621"/>
      <c r="INP612" s="3933"/>
      <c r="INQ612" s="3933"/>
      <c r="INR612" s="3933"/>
      <c r="INS612" s="621"/>
      <c r="INT612" s="3933"/>
      <c r="INU612" s="3933"/>
      <c r="INV612" s="3933"/>
      <c r="INW612" s="621"/>
      <c r="INX612" s="3933"/>
      <c r="INY612" s="3933"/>
      <c r="INZ612" s="3933"/>
      <c r="IOA612" s="621"/>
      <c r="IOB612" s="3933"/>
      <c r="IOC612" s="3933"/>
      <c r="IOD612" s="3933"/>
      <c r="IOE612" s="621"/>
      <c r="IOF612" s="3933"/>
      <c r="IOG612" s="3933"/>
      <c r="IOH612" s="3933"/>
      <c r="IOI612" s="621"/>
      <c r="IOJ612" s="3933"/>
      <c r="IOK612" s="3933"/>
      <c r="IOL612" s="3933"/>
      <c r="IOM612" s="621"/>
      <c r="ION612" s="3933"/>
      <c r="IOO612" s="3933"/>
      <c r="IOP612" s="3933"/>
      <c r="IOQ612" s="621"/>
      <c r="IOR612" s="3933"/>
      <c r="IOS612" s="3933"/>
      <c r="IOT612" s="3933"/>
      <c r="IOU612" s="621"/>
      <c r="IOV612" s="3933"/>
      <c r="IOW612" s="3933"/>
      <c r="IOX612" s="3933"/>
      <c r="IOY612" s="621"/>
      <c r="IOZ612" s="3933"/>
      <c r="IPA612" s="3933"/>
      <c r="IPB612" s="3933"/>
      <c r="IPC612" s="621"/>
      <c r="IPD612" s="3933"/>
      <c r="IPE612" s="3933"/>
      <c r="IPF612" s="3933"/>
      <c r="IPG612" s="621"/>
      <c r="IPH612" s="3933"/>
      <c r="IPI612" s="3933"/>
      <c r="IPJ612" s="3933"/>
      <c r="IPK612" s="621"/>
      <c r="IPL612" s="3933"/>
      <c r="IPM612" s="3933"/>
      <c r="IPN612" s="3933"/>
      <c r="IPO612" s="621"/>
      <c r="IPP612" s="3933"/>
      <c r="IPQ612" s="3933"/>
      <c r="IPR612" s="3933"/>
      <c r="IPS612" s="621"/>
      <c r="IPT612" s="3933"/>
      <c r="IPU612" s="3933"/>
      <c r="IPV612" s="3933"/>
      <c r="IPW612" s="621"/>
      <c r="IPX612" s="3933"/>
      <c r="IPY612" s="3933"/>
      <c r="IPZ612" s="3933"/>
      <c r="IQA612" s="621"/>
      <c r="IQB612" s="3933"/>
      <c r="IQC612" s="3933"/>
      <c r="IQD612" s="3933"/>
      <c r="IQE612" s="621"/>
      <c r="IQF612" s="3933"/>
      <c r="IQG612" s="3933"/>
      <c r="IQH612" s="3933"/>
      <c r="IQI612" s="621"/>
      <c r="IQJ612" s="3933"/>
      <c r="IQK612" s="3933"/>
      <c r="IQL612" s="3933"/>
      <c r="IQM612" s="621"/>
      <c r="IQN612" s="3933"/>
      <c r="IQO612" s="3933"/>
      <c r="IQP612" s="3933"/>
      <c r="IQQ612" s="621"/>
      <c r="IQR612" s="3933"/>
      <c r="IQS612" s="3933"/>
      <c r="IQT612" s="3933"/>
      <c r="IQU612" s="621"/>
      <c r="IQV612" s="3933"/>
      <c r="IQW612" s="3933"/>
      <c r="IQX612" s="3933"/>
      <c r="IQY612" s="621"/>
      <c r="IQZ612" s="3933"/>
      <c r="IRA612" s="3933"/>
      <c r="IRB612" s="3933"/>
      <c r="IRC612" s="621"/>
      <c r="IRD612" s="3933"/>
      <c r="IRE612" s="3933"/>
      <c r="IRF612" s="3933"/>
      <c r="IRG612" s="621"/>
      <c r="IRH612" s="3933"/>
      <c r="IRI612" s="3933"/>
      <c r="IRJ612" s="3933"/>
      <c r="IRK612" s="621"/>
      <c r="IRL612" s="3933"/>
      <c r="IRM612" s="3933"/>
      <c r="IRN612" s="3933"/>
      <c r="IRO612" s="621"/>
      <c r="IRP612" s="3933"/>
      <c r="IRQ612" s="3933"/>
      <c r="IRR612" s="3933"/>
      <c r="IRS612" s="621"/>
      <c r="IRT612" s="3933"/>
      <c r="IRU612" s="3933"/>
      <c r="IRV612" s="3933"/>
      <c r="IRW612" s="621"/>
      <c r="IRX612" s="3933"/>
      <c r="IRY612" s="3933"/>
      <c r="IRZ612" s="3933"/>
      <c r="ISA612" s="621"/>
      <c r="ISB612" s="3933"/>
      <c r="ISC612" s="3933"/>
      <c r="ISD612" s="3933"/>
      <c r="ISE612" s="621"/>
      <c r="ISF612" s="3933"/>
      <c r="ISG612" s="3933"/>
      <c r="ISH612" s="3933"/>
      <c r="ISI612" s="621"/>
      <c r="ISJ612" s="3933"/>
      <c r="ISK612" s="3933"/>
      <c r="ISL612" s="3933"/>
      <c r="ISM612" s="621"/>
      <c r="ISN612" s="3933"/>
      <c r="ISO612" s="3933"/>
      <c r="ISP612" s="3933"/>
      <c r="ISQ612" s="621"/>
      <c r="ISR612" s="3933"/>
      <c r="ISS612" s="3933"/>
      <c r="IST612" s="3933"/>
      <c r="ISU612" s="621"/>
      <c r="ISV612" s="3933"/>
      <c r="ISW612" s="3933"/>
      <c r="ISX612" s="3933"/>
      <c r="ISY612" s="621"/>
      <c r="ISZ612" s="3933"/>
      <c r="ITA612" s="3933"/>
      <c r="ITB612" s="3933"/>
      <c r="ITC612" s="621"/>
      <c r="ITD612" s="3933"/>
      <c r="ITE612" s="3933"/>
      <c r="ITF612" s="3933"/>
      <c r="ITG612" s="621"/>
      <c r="ITH612" s="3933"/>
      <c r="ITI612" s="3933"/>
      <c r="ITJ612" s="3933"/>
      <c r="ITK612" s="621"/>
      <c r="ITL612" s="3933"/>
      <c r="ITM612" s="3933"/>
      <c r="ITN612" s="3933"/>
      <c r="ITO612" s="621"/>
      <c r="ITP612" s="3933"/>
      <c r="ITQ612" s="3933"/>
      <c r="ITR612" s="3933"/>
      <c r="ITS612" s="621"/>
      <c r="ITT612" s="3933"/>
      <c r="ITU612" s="3933"/>
      <c r="ITV612" s="3933"/>
      <c r="ITW612" s="621"/>
      <c r="ITX612" s="3933"/>
      <c r="ITY612" s="3933"/>
      <c r="ITZ612" s="3933"/>
      <c r="IUA612" s="621"/>
      <c r="IUB612" s="3933"/>
      <c r="IUC612" s="3933"/>
      <c r="IUD612" s="3933"/>
      <c r="IUE612" s="621"/>
      <c r="IUF612" s="3933"/>
      <c r="IUG612" s="3933"/>
      <c r="IUH612" s="3933"/>
      <c r="IUI612" s="621"/>
      <c r="IUJ612" s="3933"/>
      <c r="IUK612" s="3933"/>
      <c r="IUL612" s="3933"/>
      <c r="IUM612" s="621"/>
      <c r="IUN612" s="3933"/>
      <c r="IUO612" s="3933"/>
      <c r="IUP612" s="3933"/>
      <c r="IUQ612" s="621"/>
      <c r="IUR612" s="3933"/>
      <c r="IUS612" s="3933"/>
      <c r="IUT612" s="3933"/>
      <c r="IUU612" s="621"/>
      <c r="IUV612" s="3933"/>
      <c r="IUW612" s="3933"/>
      <c r="IUX612" s="3933"/>
      <c r="IUY612" s="621"/>
      <c r="IUZ612" s="3933"/>
      <c r="IVA612" s="3933"/>
      <c r="IVB612" s="3933"/>
      <c r="IVC612" s="621"/>
      <c r="IVD612" s="3933"/>
      <c r="IVE612" s="3933"/>
      <c r="IVF612" s="3933"/>
      <c r="IVG612" s="621"/>
      <c r="IVH612" s="3933"/>
      <c r="IVI612" s="3933"/>
      <c r="IVJ612" s="3933"/>
      <c r="IVK612" s="621"/>
      <c r="IVL612" s="3933"/>
      <c r="IVM612" s="3933"/>
      <c r="IVN612" s="3933"/>
      <c r="IVO612" s="621"/>
      <c r="IVP612" s="3933"/>
      <c r="IVQ612" s="3933"/>
      <c r="IVR612" s="3933"/>
      <c r="IVS612" s="621"/>
      <c r="IVT612" s="3933"/>
      <c r="IVU612" s="3933"/>
      <c r="IVV612" s="3933"/>
      <c r="IVW612" s="621"/>
      <c r="IVX612" s="3933"/>
      <c r="IVY612" s="3933"/>
      <c r="IVZ612" s="3933"/>
      <c r="IWA612" s="621"/>
      <c r="IWB612" s="3933"/>
      <c r="IWC612" s="3933"/>
      <c r="IWD612" s="3933"/>
      <c r="IWE612" s="621"/>
      <c r="IWF612" s="3933"/>
      <c r="IWG612" s="3933"/>
      <c r="IWH612" s="3933"/>
      <c r="IWI612" s="621"/>
      <c r="IWJ612" s="3933"/>
      <c r="IWK612" s="3933"/>
      <c r="IWL612" s="3933"/>
      <c r="IWM612" s="621"/>
      <c r="IWN612" s="3933"/>
      <c r="IWO612" s="3933"/>
      <c r="IWP612" s="3933"/>
      <c r="IWQ612" s="621"/>
      <c r="IWR612" s="3933"/>
      <c r="IWS612" s="3933"/>
      <c r="IWT612" s="3933"/>
      <c r="IWU612" s="621"/>
      <c r="IWV612" s="3933"/>
      <c r="IWW612" s="3933"/>
      <c r="IWX612" s="3933"/>
      <c r="IWY612" s="621"/>
      <c r="IWZ612" s="3933"/>
      <c r="IXA612" s="3933"/>
      <c r="IXB612" s="3933"/>
      <c r="IXC612" s="621"/>
      <c r="IXD612" s="3933"/>
      <c r="IXE612" s="3933"/>
      <c r="IXF612" s="3933"/>
      <c r="IXG612" s="621"/>
      <c r="IXH612" s="3933"/>
      <c r="IXI612" s="3933"/>
      <c r="IXJ612" s="3933"/>
      <c r="IXK612" s="621"/>
      <c r="IXL612" s="3933"/>
      <c r="IXM612" s="3933"/>
      <c r="IXN612" s="3933"/>
      <c r="IXO612" s="621"/>
      <c r="IXP612" s="3933"/>
      <c r="IXQ612" s="3933"/>
      <c r="IXR612" s="3933"/>
      <c r="IXS612" s="621"/>
      <c r="IXT612" s="3933"/>
      <c r="IXU612" s="3933"/>
      <c r="IXV612" s="3933"/>
      <c r="IXW612" s="621"/>
      <c r="IXX612" s="3933"/>
      <c r="IXY612" s="3933"/>
      <c r="IXZ612" s="3933"/>
      <c r="IYA612" s="621"/>
      <c r="IYB612" s="3933"/>
      <c r="IYC612" s="3933"/>
      <c r="IYD612" s="3933"/>
      <c r="IYE612" s="621"/>
      <c r="IYF612" s="3933"/>
      <c r="IYG612" s="3933"/>
      <c r="IYH612" s="3933"/>
      <c r="IYI612" s="621"/>
      <c r="IYJ612" s="3933"/>
      <c r="IYK612" s="3933"/>
      <c r="IYL612" s="3933"/>
      <c r="IYM612" s="621"/>
      <c r="IYN612" s="3933"/>
      <c r="IYO612" s="3933"/>
      <c r="IYP612" s="3933"/>
      <c r="IYQ612" s="621"/>
      <c r="IYR612" s="3933"/>
      <c r="IYS612" s="3933"/>
      <c r="IYT612" s="3933"/>
      <c r="IYU612" s="621"/>
      <c r="IYV612" s="3933"/>
      <c r="IYW612" s="3933"/>
      <c r="IYX612" s="3933"/>
      <c r="IYY612" s="621"/>
      <c r="IYZ612" s="3933"/>
      <c r="IZA612" s="3933"/>
      <c r="IZB612" s="3933"/>
      <c r="IZC612" s="621"/>
      <c r="IZD612" s="3933"/>
      <c r="IZE612" s="3933"/>
      <c r="IZF612" s="3933"/>
      <c r="IZG612" s="621"/>
      <c r="IZH612" s="3933"/>
      <c r="IZI612" s="3933"/>
      <c r="IZJ612" s="3933"/>
      <c r="IZK612" s="621"/>
      <c r="IZL612" s="3933"/>
      <c r="IZM612" s="3933"/>
      <c r="IZN612" s="3933"/>
      <c r="IZO612" s="621"/>
      <c r="IZP612" s="3933"/>
      <c r="IZQ612" s="3933"/>
      <c r="IZR612" s="3933"/>
      <c r="IZS612" s="621"/>
      <c r="IZT612" s="3933"/>
      <c r="IZU612" s="3933"/>
      <c r="IZV612" s="3933"/>
      <c r="IZW612" s="621"/>
      <c r="IZX612" s="3933"/>
      <c r="IZY612" s="3933"/>
      <c r="IZZ612" s="3933"/>
      <c r="JAA612" s="621"/>
      <c r="JAB612" s="3933"/>
      <c r="JAC612" s="3933"/>
      <c r="JAD612" s="3933"/>
      <c r="JAE612" s="621"/>
      <c r="JAF612" s="3933"/>
      <c r="JAG612" s="3933"/>
      <c r="JAH612" s="3933"/>
      <c r="JAI612" s="621"/>
      <c r="JAJ612" s="3933"/>
      <c r="JAK612" s="3933"/>
      <c r="JAL612" s="3933"/>
      <c r="JAM612" s="621"/>
      <c r="JAN612" s="3933"/>
      <c r="JAO612" s="3933"/>
      <c r="JAP612" s="3933"/>
      <c r="JAQ612" s="621"/>
      <c r="JAR612" s="3933"/>
      <c r="JAS612" s="3933"/>
      <c r="JAT612" s="3933"/>
      <c r="JAU612" s="621"/>
      <c r="JAV612" s="3933"/>
      <c r="JAW612" s="3933"/>
      <c r="JAX612" s="3933"/>
      <c r="JAY612" s="621"/>
      <c r="JAZ612" s="3933"/>
      <c r="JBA612" s="3933"/>
      <c r="JBB612" s="3933"/>
      <c r="JBC612" s="621"/>
      <c r="JBD612" s="3933"/>
      <c r="JBE612" s="3933"/>
      <c r="JBF612" s="3933"/>
      <c r="JBG612" s="621"/>
      <c r="JBH612" s="3933"/>
      <c r="JBI612" s="3933"/>
      <c r="JBJ612" s="3933"/>
      <c r="JBK612" s="621"/>
      <c r="JBL612" s="3933"/>
      <c r="JBM612" s="3933"/>
      <c r="JBN612" s="3933"/>
      <c r="JBO612" s="621"/>
      <c r="JBP612" s="3933"/>
      <c r="JBQ612" s="3933"/>
      <c r="JBR612" s="3933"/>
      <c r="JBS612" s="621"/>
      <c r="JBT612" s="3933"/>
      <c r="JBU612" s="3933"/>
      <c r="JBV612" s="3933"/>
      <c r="JBW612" s="621"/>
      <c r="JBX612" s="3933"/>
      <c r="JBY612" s="3933"/>
      <c r="JBZ612" s="3933"/>
      <c r="JCA612" s="621"/>
      <c r="JCB612" s="3933"/>
      <c r="JCC612" s="3933"/>
      <c r="JCD612" s="3933"/>
      <c r="JCE612" s="621"/>
      <c r="JCF612" s="3933"/>
      <c r="JCG612" s="3933"/>
      <c r="JCH612" s="3933"/>
      <c r="JCI612" s="621"/>
      <c r="JCJ612" s="3933"/>
      <c r="JCK612" s="3933"/>
      <c r="JCL612" s="3933"/>
      <c r="JCM612" s="621"/>
      <c r="JCN612" s="3933"/>
      <c r="JCO612" s="3933"/>
      <c r="JCP612" s="3933"/>
      <c r="JCQ612" s="621"/>
      <c r="JCR612" s="3933"/>
      <c r="JCS612" s="3933"/>
      <c r="JCT612" s="3933"/>
      <c r="JCU612" s="621"/>
      <c r="JCV612" s="3933"/>
      <c r="JCW612" s="3933"/>
      <c r="JCX612" s="3933"/>
      <c r="JCY612" s="621"/>
      <c r="JCZ612" s="3933"/>
      <c r="JDA612" s="3933"/>
      <c r="JDB612" s="3933"/>
      <c r="JDC612" s="621"/>
      <c r="JDD612" s="3933"/>
      <c r="JDE612" s="3933"/>
      <c r="JDF612" s="3933"/>
      <c r="JDG612" s="621"/>
      <c r="JDH612" s="3933"/>
      <c r="JDI612" s="3933"/>
      <c r="JDJ612" s="3933"/>
      <c r="JDK612" s="621"/>
      <c r="JDL612" s="3933"/>
      <c r="JDM612" s="3933"/>
      <c r="JDN612" s="3933"/>
      <c r="JDO612" s="621"/>
      <c r="JDP612" s="3933"/>
      <c r="JDQ612" s="3933"/>
      <c r="JDR612" s="3933"/>
      <c r="JDS612" s="621"/>
      <c r="JDT612" s="3933"/>
      <c r="JDU612" s="3933"/>
      <c r="JDV612" s="3933"/>
      <c r="JDW612" s="621"/>
      <c r="JDX612" s="3933"/>
      <c r="JDY612" s="3933"/>
      <c r="JDZ612" s="3933"/>
      <c r="JEA612" s="621"/>
      <c r="JEB612" s="3933"/>
      <c r="JEC612" s="3933"/>
      <c r="JED612" s="3933"/>
      <c r="JEE612" s="621"/>
      <c r="JEF612" s="3933"/>
      <c r="JEG612" s="3933"/>
      <c r="JEH612" s="3933"/>
      <c r="JEI612" s="621"/>
      <c r="JEJ612" s="3933"/>
      <c r="JEK612" s="3933"/>
      <c r="JEL612" s="3933"/>
      <c r="JEM612" s="621"/>
      <c r="JEN612" s="3933"/>
      <c r="JEO612" s="3933"/>
      <c r="JEP612" s="3933"/>
      <c r="JEQ612" s="621"/>
      <c r="JER612" s="3933"/>
      <c r="JES612" s="3933"/>
      <c r="JET612" s="3933"/>
      <c r="JEU612" s="621"/>
      <c r="JEV612" s="3933"/>
      <c r="JEW612" s="3933"/>
      <c r="JEX612" s="3933"/>
      <c r="JEY612" s="621"/>
      <c r="JEZ612" s="3933"/>
      <c r="JFA612" s="3933"/>
      <c r="JFB612" s="3933"/>
      <c r="JFC612" s="621"/>
      <c r="JFD612" s="3933"/>
      <c r="JFE612" s="3933"/>
      <c r="JFF612" s="3933"/>
      <c r="JFG612" s="621"/>
      <c r="JFH612" s="3933"/>
      <c r="JFI612" s="3933"/>
      <c r="JFJ612" s="3933"/>
      <c r="JFK612" s="621"/>
      <c r="JFL612" s="3933"/>
      <c r="JFM612" s="3933"/>
      <c r="JFN612" s="3933"/>
      <c r="JFO612" s="621"/>
      <c r="JFP612" s="3933"/>
      <c r="JFQ612" s="3933"/>
      <c r="JFR612" s="3933"/>
      <c r="JFS612" s="621"/>
      <c r="JFT612" s="3933"/>
      <c r="JFU612" s="3933"/>
      <c r="JFV612" s="3933"/>
      <c r="JFW612" s="621"/>
      <c r="JFX612" s="3933"/>
      <c r="JFY612" s="3933"/>
      <c r="JFZ612" s="3933"/>
      <c r="JGA612" s="621"/>
      <c r="JGB612" s="3933"/>
      <c r="JGC612" s="3933"/>
      <c r="JGD612" s="3933"/>
      <c r="JGE612" s="621"/>
      <c r="JGF612" s="3933"/>
      <c r="JGG612" s="3933"/>
      <c r="JGH612" s="3933"/>
      <c r="JGI612" s="621"/>
      <c r="JGJ612" s="3933"/>
      <c r="JGK612" s="3933"/>
      <c r="JGL612" s="3933"/>
      <c r="JGM612" s="621"/>
      <c r="JGN612" s="3933"/>
      <c r="JGO612" s="3933"/>
      <c r="JGP612" s="3933"/>
      <c r="JGQ612" s="621"/>
      <c r="JGR612" s="3933"/>
      <c r="JGS612" s="3933"/>
      <c r="JGT612" s="3933"/>
      <c r="JGU612" s="621"/>
      <c r="JGV612" s="3933"/>
      <c r="JGW612" s="3933"/>
      <c r="JGX612" s="3933"/>
      <c r="JGY612" s="621"/>
      <c r="JGZ612" s="3933"/>
      <c r="JHA612" s="3933"/>
      <c r="JHB612" s="3933"/>
      <c r="JHC612" s="621"/>
      <c r="JHD612" s="3933"/>
      <c r="JHE612" s="3933"/>
      <c r="JHF612" s="3933"/>
      <c r="JHG612" s="621"/>
      <c r="JHH612" s="3933"/>
      <c r="JHI612" s="3933"/>
      <c r="JHJ612" s="3933"/>
      <c r="JHK612" s="621"/>
      <c r="JHL612" s="3933"/>
      <c r="JHM612" s="3933"/>
      <c r="JHN612" s="3933"/>
      <c r="JHO612" s="621"/>
      <c r="JHP612" s="3933"/>
      <c r="JHQ612" s="3933"/>
      <c r="JHR612" s="3933"/>
      <c r="JHS612" s="621"/>
      <c r="JHT612" s="3933"/>
      <c r="JHU612" s="3933"/>
      <c r="JHV612" s="3933"/>
      <c r="JHW612" s="621"/>
      <c r="JHX612" s="3933"/>
      <c r="JHY612" s="3933"/>
      <c r="JHZ612" s="3933"/>
      <c r="JIA612" s="621"/>
      <c r="JIB612" s="3933"/>
      <c r="JIC612" s="3933"/>
      <c r="JID612" s="3933"/>
      <c r="JIE612" s="621"/>
      <c r="JIF612" s="3933"/>
      <c r="JIG612" s="3933"/>
      <c r="JIH612" s="3933"/>
      <c r="JII612" s="621"/>
      <c r="JIJ612" s="3933"/>
      <c r="JIK612" s="3933"/>
      <c r="JIL612" s="3933"/>
      <c r="JIM612" s="621"/>
      <c r="JIN612" s="3933"/>
      <c r="JIO612" s="3933"/>
      <c r="JIP612" s="3933"/>
      <c r="JIQ612" s="621"/>
      <c r="JIR612" s="3933"/>
      <c r="JIS612" s="3933"/>
      <c r="JIT612" s="3933"/>
      <c r="JIU612" s="621"/>
      <c r="JIV612" s="3933"/>
      <c r="JIW612" s="3933"/>
      <c r="JIX612" s="3933"/>
      <c r="JIY612" s="621"/>
      <c r="JIZ612" s="3933"/>
      <c r="JJA612" s="3933"/>
      <c r="JJB612" s="3933"/>
      <c r="JJC612" s="621"/>
      <c r="JJD612" s="3933"/>
      <c r="JJE612" s="3933"/>
      <c r="JJF612" s="3933"/>
      <c r="JJG612" s="621"/>
      <c r="JJH612" s="3933"/>
      <c r="JJI612" s="3933"/>
      <c r="JJJ612" s="3933"/>
      <c r="JJK612" s="621"/>
      <c r="JJL612" s="3933"/>
      <c r="JJM612" s="3933"/>
      <c r="JJN612" s="3933"/>
      <c r="JJO612" s="621"/>
      <c r="JJP612" s="3933"/>
      <c r="JJQ612" s="3933"/>
      <c r="JJR612" s="3933"/>
      <c r="JJS612" s="621"/>
      <c r="JJT612" s="3933"/>
      <c r="JJU612" s="3933"/>
      <c r="JJV612" s="3933"/>
      <c r="JJW612" s="621"/>
      <c r="JJX612" s="3933"/>
      <c r="JJY612" s="3933"/>
      <c r="JJZ612" s="3933"/>
      <c r="JKA612" s="621"/>
      <c r="JKB612" s="3933"/>
      <c r="JKC612" s="3933"/>
      <c r="JKD612" s="3933"/>
      <c r="JKE612" s="621"/>
      <c r="JKF612" s="3933"/>
      <c r="JKG612" s="3933"/>
      <c r="JKH612" s="3933"/>
      <c r="JKI612" s="621"/>
      <c r="JKJ612" s="3933"/>
      <c r="JKK612" s="3933"/>
      <c r="JKL612" s="3933"/>
      <c r="JKM612" s="621"/>
      <c r="JKN612" s="3933"/>
      <c r="JKO612" s="3933"/>
      <c r="JKP612" s="3933"/>
      <c r="JKQ612" s="621"/>
      <c r="JKR612" s="3933"/>
      <c r="JKS612" s="3933"/>
      <c r="JKT612" s="3933"/>
      <c r="JKU612" s="621"/>
      <c r="JKV612" s="3933"/>
      <c r="JKW612" s="3933"/>
      <c r="JKX612" s="3933"/>
      <c r="JKY612" s="621"/>
      <c r="JKZ612" s="3933"/>
      <c r="JLA612" s="3933"/>
      <c r="JLB612" s="3933"/>
      <c r="JLC612" s="621"/>
      <c r="JLD612" s="3933"/>
      <c r="JLE612" s="3933"/>
      <c r="JLF612" s="3933"/>
      <c r="JLG612" s="621"/>
      <c r="JLH612" s="3933"/>
      <c r="JLI612" s="3933"/>
      <c r="JLJ612" s="3933"/>
      <c r="JLK612" s="621"/>
      <c r="JLL612" s="3933"/>
      <c r="JLM612" s="3933"/>
      <c r="JLN612" s="3933"/>
      <c r="JLO612" s="621"/>
      <c r="JLP612" s="3933"/>
      <c r="JLQ612" s="3933"/>
      <c r="JLR612" s="3933"/>
      <c r="JLS612" s="621"/>
      <c r="JLT612" s="3933"/>
      <c r="JLU612" s="3933"/>
      <c r="JLV612" s="3933"/>
      <c r="JLW612" s="621"/>
      <c r="JLX612" s="3933"/>
      <c r="JLY612" s="3933"/>
      <c r="JLZ612" s="3933"/>
      <c r="JMA612" s="621"/>
      <c r="JMB612" s="3933"/>
      <c r="JMC612" s="3933"/>
      <c r="JMD612" s="3933"/>
      <c r="JME612" s="621"/>
      <c r="JMF612" s="3933"/>
      <c r="JMG612" s="3933"/>
      <c r="JMH612" s="3933"/>
      <c r="JMI612" s="621"/>
      <c r="JMJ612" s="3933"/>
      <c r="JMK612" s="3933"/>
      <c r="JML612" s="3933"/>
      <c r="JMM612" s="621"/>
      <c r="JMN612" s="3933"/>
      <c r="JMO612" s="3933"/>
      <c r="JMP612" s="3933"/>
      <c r="JMQ612" s="621"/>
      <c r="JMR612" s="3933"/>
      <c r="JMS612" s="3933"/>
      <c r="JMT612" s="3933"/>
      <c r="JMU612" s="621"/>
      <c r="JMV612" s="3933"/>
      <c r="JMW612" s="3933"/>
      <c r="JMX612" s="3933"/>
      <c r="JMY612" s="621"/>
      <c r="JMZ612" s="3933"/>
      <c r="JNA612" s="3933"/>
      <c r="JNB612" s="3933"/>
      <c r="JNC612" s="621"/>
      <c r="JND612" s="3933"/>
      <c r="JNE612" s="3933"/>
      <c r="JNF612" s="3933"/>
      <c r="JNG612" s="621"/>
      <c r="JNH612" s="3933"/>
      <c r="JNI612" s="3933"/>
      <c r="JNJ612" s="3933"/>
      <c r="JNK612" s="621"/>
      <c r="JNL612" s="3933"/>
      <c r="JNM612" s="3933"/>
      <c r="JNN612" s="3933"/>
      <c r="JNO612" s="621"/>
      <c r="JNP612" s="3933"/>
      <c r="JNQ612" s="3933"/>
      <c r="JNR612" s="3933"/>
      <c r="JNS612" s="621"/>
      <c r="JNT612" s="3933"/>
      <c r="JNU612" s="3933"/>
      <c r="JNV612" s="3933"/>
      <c r="JNW612" s="621"/>
      <c r="JNX612" s="3933"/>
      <c r="JNY612" s="3933"/>
      <c r="JNZ612" s="3933"/>
      <c r="JOA612" s="621"/>
      <c r="JOB612" s="3933"/>
      <c r="JOC612" s="3933"/>
      <c r="JOD612" s="3933"/>
      <c r="JOE612" s="621"/>
      <c r="JOF612" s="3933"/>
      <c r="JOG612" s="3933"/>
      <c r="JOH612" s="3933"/>
      <c r="JOI612" s="621"/>
      <c r="JOJ612" s="3933"/>
      <c r="JOK612" s="3933"/>
      <c r="JOL612" s="3933"/>
      <c r="JOM612" s="621"/>
      <c r="JON612" s="3933"/>
      <c r="JOO612" s="3933"/>
      <c r="JOP612" s="3933"/>
      <c r="JOQ612" s="621"/>
      <c r="JOR612" s="3933"/>
      <c r="JOS612" s="3933"/>
      <c r="JOT612" s="3933"/>
      <c r="JOU612" s="621"/>
      <c r="JOV612" s="3933"/>
      <c r="JOW612" s="3933"/>
      <c r="JOX612" s="3933"/>
      <c r="JOY612" s="621"/>
      <c r="JOZ612" s="3933"/>
      <c r="JPA612" s="3933"/>
      <c r="JPB612" s="3933"/>
      <c r="JPC612" s="621"/>
      <c r="JPD612" s="3933"/>
      <c r="JPE612" s="3933"/>
      <c r="JPF612" s="3933"/>
      <c r="JPG612" s="621"/>
      <c r="JPH612" s="3933"/>
      <c r="JPI612" s="3933"/>
      <c r="JPJ612" s="3933"/>
      <c r="JPK612" s="621"/>
      <c r="JPL612" s="3933"/>
      <c r="JPM612" s="3933"/>
      <c r="JPN612" s="3933"/>
      <c r="JPO612" s="621"/>
      <c r="JPP612" s="3933"/>
      <c r="JPQ612" s="3933"/>
      <c r="JPR612" s="3933"/>
      <c r="JPS612" s="621"/>
      <c r="JPT612" s="3933"/>
      <c r="JPU612" s="3933"/>
      <c r="JPV612" s="3933"/>
      <c r="JPW612" s="621"/>
      <c r="JPX612" s="3933"/>
      <c r="JPY612" s="3933"/>
      <c r="JPZ612" s="3933"/>
      <c r="JQA612" s="621"/>
      <c r="JQB612" s="3933"/>
      <c r="JQC612" s="3933"/>
      <c r="JQD612" s="3933"/>
      <c r="JQE612" s="621"/>
      <c r="JQF612" s="3933"/>
      <c r="JQG612" s="3933"/>
      <c r="JQH612" s="3933"/>
      <c r="JQI612" s="621"/>
      <c r="JQJ612" s="3933"/>
      <c r="JQK612" s="3933"/>
      <c r="JQL612" s="3933"/>
      <c r="JQM612" s="621"/>
      <c r="JQN612" s="3933"/>
      <c r="JQO612" s="3933"/>
      <c r="JQP612" s="3933"/>
      <c r="JQQ612" s="621"/>
      <c r="JQR612" s="3933"/>
      <c r="JQS612" s="3933"/>
      <c r="JQT612" s="3933"/>
      <c r="JQU612" s="621"/>
      <c r="JQV612" s="3933"/>
      <c r="JQW612" s="3933"/>
      <c r="JQX612" s="3933"/>
      <c r="JQY612" s="621"/>
      <c r="JQZ612" s="3933"/>
      <c r="JRA612" s="3933"/>
      <c r="JRB612" s="3933"/>
      <c r="JRC612" s="621"/>
      <c r="JRD612" s="3933"/>
      <c r="JRE612" s="3933"/>
      <c r="JRF612" s="3933"/>
      <c r="JRG612" s="621"/>
      <c r="JRH612" s="3933"/>
      <c r="JRI612" s="3933"/>
      <c r="JRJ612" s="3933"/>
      <c r="JRK612" s="621"/>
      <c r="JRL612" s="3933"/>
      <c r="JRM612" s="3933"/>
      <c r="JRN612" s="3933"/>
      <c r="JRO612" s="621"/>
      <c r="JRP612" s="3933"/>
      <c r="JRQ612" s="3933"/>
      <c r="JRR612" s="3933"/>
      <c r="JRS612" s="621"/>
      <c r="JRT612" s="3933"/>
      <c r="JRU612" s="3933"/>
      <c r="JRV612" s="3933"/>
      <c r="JRW612" s="621"/>
      <c r="JRX612" s="3933"/>
      <c r="JRY612" s="3933"/>
      <c r="JRZ612" s="3933"/>
      <c r="JSA612" s="621"/>
      <c r="JSB612" s="3933"/>
      <c r="JSC612" s="3933"/>
      <c r="JSD612" s="3933"/>
      <c r="JSE612" s="621"/>
      <c r="JSF612" s="3933"/>
      <c r="JSG612" s="3933"/>
      <c r="JSH612" s="3933"/>
      <c r="JSI612" s="621"/>
      <c r="JSJ612" s="3933"/>
      <c r="JSK612" s="3933"/>
      <c r="JSL612" s="3933"/>
      <c r="JSM612" s="621"/>
      <c r="JSN612" s="3933"/>
      <c r="JSO612" s="3933"/>
      <c r="JSP612" s="3933"/>
      <c r="JSQ612" s="621"/>
      <c r="JSR612" s="3933"/>
      <c r="JSS612" s="3933"/>
      <c r="JST612" s="3933"/>
      <c r="JSU612" s="621"/>
      <c r="JSV612" s="3933"/>
      <c r="JSW612" s="3933"/>
      <c r="JSX612" s="3933"/>
      <c r="JSY612" s="621"/>
      <c r="JSZ612" s="3933"/>
      <c r="JTA612" s="3933"/>
      <c r="JTB612" s="3933"/>
      <c r="JTC612" s="621"/>
      <c r="JTD612" s="3933"/>
      <c r="JTE612" s="3933"/>
      <c r="JTF612" s="3933"/>
      <c r="JTG612" s="621"/>
      <c r="JTH612" s="3933"/>
      <c r="JTI612" s="3933"/>
      <c r="JTJ612" s="3933"/>
      <c r="JTK612" s="621"/>
      <c r="JTL612" s="3933"/>
      <c r="JTM612" s="3933"/>
      <c r="JTN612" s="3933"/>
      <c r="JTO612" s="621"/>
      <c r="JTP612" s="3933"/>
      <c r="JTQ612" s="3933"/>
      <c r="JTR612" s="3933"/>
      <c r="JTS612" s="621"/>
      <c r="JTT612" s="3933"/>
      <c r="JTU612" s="3933"/>
      <c r="JTV612" s="3933"/>
      <c r="JTW612" s="621"/>
      <c r="JTX612" s="3933"/>
      <c r="JTY612" s="3933"/>
      <c r="JTZ612" s="3933"/>
      <c r="JUA612" s="621"/>
      <c r="JUB612" s="3933"/>
      <c r="JUC612" s="3933"/>
      <c r="JUD612" s="3933"/>
      <c r="JUE612" s="621"/>
      <c r="JUF612" s="3933"/>
      <c r="JUG612" s="3933"/>
      <c r="JUH612" s="3933"/>
      <c r="JUI612" s="621"/>
      <c r="JUJ612" s="3933"/>
      <c r="JUK612" s="3933"/>
      <c r="JUL612" s="3933"/>
      <c r="JUM612" s="621"/>
      <c r="JUN612" s="3933"/>
      <c r="JUO612" s="3933"/>
      <c r="JUP612" s="3933"/>
      <c r="JUQ612" s="621"/>
      <c r="JUR612" s="3933"/>
      <c r="JUS612" s="3933"/>
      <c r="JUT612" s="3933"/>
      <c r="JUU612" s="621"/>
      <c r="JUV612" s="3933"/>
      <c r="JUW612" s="3933"/>
      <c r="JUX612" s="3933"/>
      <c r="JUY612" s="621"/>
      <c r="JUZ612" s="3933"/>
      <c r="JVA612" s="3933"/>
      <c r="JVB612" s="3933"/>
      <c r="JVC612" s="621"/>
      <c r="JVD612" s="3933"/>
      <c r="JVE612" s="3933"/>
      <c r="JVF612" s="3933"/>
      <c r="JVG612" s="621"/>
      <c r="JVH612" s="3933"/>
      <c r="JVI612" s="3933"/>
      <c r="JVJ612" s="3933"/>
      <c r="JVK612" s="621"/>
      <c r="JVL612" s="3933"/>
      <c r="JVM612" s="3933"/>
      <c r="JVN612" s="3933"/>
      <c r="JVO612" s="621"/>
      <c r="JVP612" s="3933"/>
      <c r="JVQ612" s="3933"/>
      <c r="JVR612" s="3933"/>
      <c r="JVS612" s="621"/>
      <c r="JVT612" s="3933"/>
      <c r="JVU612" s="3933"/>
      <c r="JVV612" s="3933"/>
      <c r="JVW612" s="621"/>
      <c r="JVX612" s="3933"/>
      <c r="JVY612" s="3933"/>
      <c r="JVZ612" s="3933"/>
      <c r="JWA612" s="621"/>
      <c r="JWB612" s="3933"/>
      <c r="JWC612" s="3933"/>
      <c r="JWD612" s="3933"/>
      <c r="JWE612" s="621"/>
      <c r="JWF612" s="3933"/>
      <c r="JWG612" s="3933"/>
      <c r="JWH612" s="3933"/>
      <c r="JWI612" s="621"/>
      <c r="JWJ612" s="3933"/>
      <c r="JWK612" s="3933"/>
      <c r="JWL612" s="3933"/>
      <c r="JWM612" s="621"/>
      <c r="JWN612" s="3933"/>
      <c r="JWO612" s="3933"/>
      <c r="JWP612" s="3933"/>
      <c r="JWQ612" s="621"/>
      <c r="JWR612" s="3933"/>
      <c r="JWS612" s="3933"/>
      <c r="JWT612" s="3933"/>
      <c r="JWU612" s="621"/>
      <c r="JWV612" s="3933"/>
      <c r="JWW612" s="3933"/>
      <c r="JWX612" s="3933"/>
      <c r="JWY612" s="621"/>
      <c r="JWZ612" s="3933"/>
      <c r="JXA612" s="3933"/>
      <c r="JXB612" s="3933"/>
      <c r="JXC612" s="621"/>
      <c r="JXD612" s="3933"/>
      <c r="JXE612" s="3933"/>
      <c r="JXF612" s="3933"/>
      <c r="JXG612" s="621"/>
      <c r="JXH612" s="3933"/>
      <c r="JXI612" s="3933"/>
      <c r="JXJ612" s="3933"/>
      <c r="JXK612" s="621"/>
      <c r="JXL612" s="3933"/>
      <c r="JXM612" s="3933"/>
      <c r="JXN612" s="3933"/>
      <c r="JXO612" s="621"/>
      <c r="JXP612" s="3933"/>
      <c r="JXQ612" s="3933"/>
      <c r="JXR612" s="3933"/>
      <c r="JXS612" s="621"/>
      <c r="JXT612" s="3933"/>
      <c r="JXU612" s="3933"/>
      <c r="JXV612" s="3933"/>
      <c r="JXW612" s="621"/>
      <c r="JXX612" s="3933"/>
      <c r="JXY612" s="3933"/>
      <c r="JXZ612" s="3933"/>
      <c r="JYA612" s="621"/>
      <c r="JYB612" s="3933"/>
      <c r="JYC612" s="3933"/>
      <c r="JYD612" s="3933"/>
      <c r="JYE612" s="621"/>
      <c r="JYF612" s="3933"/>
      <c r="JYG612" s="3933"/>
      <c r="JYH612" s="3933"/>
      <c r="JYI612" s="621"/>
      <c r="JYJ612" s="3933"/>
      <c r="JYK612" s="3933"/>
      <c r="JYL612" s="3933"/>
      <c r="JYM612" s="621"/>
      <c r="JYN612" s="3933"/>
      <c r="JYO612" s="3933"/>
      <c r="JYP612" s="3933"/>
      <c r="JYQ612" s="621"/>
      <c r="JYR612" s="3933"/>
      <c r="JYS612" s="3933"/>
      <c r="JYT612" s="3933"/>
      <c r="JYU612" s="621"/>
      <c r="JYV612" s="3933"/>
      <c r="JYW612" s="3933"/>
      <c r="JYX612" s="3933"/>
      <c r="JYY612" s="621"/>
      <c r="JYZ612" s="3933"/>
      <c r="JZA612" s="3933"/>
      <c r="JZB612" s="3933"/>
      <c r="JZC612" s="621"/>
      <c r="JZD612" s="3933"/>
      <c r="JZE612" s="3933"/>
      <c r="JZF612" s="3933"/>
      <c r="JZG612" s="621"/>
      <c r="JZH612" s="3933"/>
      <c r="JZI612" s="3933"/>
      <c r="JZJ612" s="3933"/>
      <c r="JZK612" s="621"/>
      <c r="JZL612" s="3933"/>
      <c r="JZM612" s="3933"/>
      <c r="JZN612" s="3933"/>
      <c r="JZO612" s="621"/>
      <c r="JZP612" s="3933"/>
      <c r="JZQ612" s="3933"/>
      <c r="JZR612" s="3933"/>
      <c r="JZS612" s="621"/>
      <c r="JZT612" s="3933"/>
      <c r="JZU612" s="3933"/>
      <c r="JZV612" s="3933"/>
      <c r="JZW612" s="621"/>
      <c r="JZX612" s="3933"/>
      <c r="JZY612" s="3933"/>
      <c r="JZZ612" s="3933"/>
      <c r="KAA612" s="621"/>
      <c r="KAB612" s="3933"/>
      <c r="KAC612" s="3933"/>
      <c r="KAD612" s="3933"/>
      <c r="KAE612" s="621"/>
      <c r="KAF612" s="3933"/>
      <c r="KAG612" s="3933"/>
      <c r="KAH612" s="3933"/>
      <c r="KAI612" s="621"/>
      <c r="KAJ612" s="3933"/>
      <c r="KAK612" s="3933"/>
      <c r="KAL612" s="3933"/>
      <c r="KAM612" s="621"/>
      <c r="KAN612" s="3933"/>
      <c r="KAO612" s="3933"/>
      <c r="KAP612" s="3933"/>
      <c r="KAQ612" s="621"/>
      <c r="KAR612" s="3933"/>
      <c r="KAS612" s="3933"/>
      <c r="KAT612" s="3933"/>
      <c r="KAU612" s="621"/>
      <c r="KAV612" s="3933"/>
      <c r="KAW612" s="3933"/>
      <c r="KAX612" s="3933"/>
      <c r="KAY612" s="621"/>
      <c r="KAZ612" s="3933"/>
      <c r="KBA612" s="3933"/>
      <c r="KBB612" s="3933"/>
      <c r="KBC612" s="621"/>
      <c r="KBD612" s="3933"/>
      <c r="KBE612" s="3933"/>
      <c r="KBF612" s="3933"/>
      <c r="KBG612" s="621"/>
      <c r="KBH612" s="3933"/>
      <c r="KBI612" s="3933"/>
      <c r="KBJ612" s="3933"/>
      <c r="KBK612" s="621"/>
      <c r="KBL612" s="3933"/>
      <c r="KBM612" s="3933"/>
      <c r="KBN612" s="3933"/>
      <c r="KBO612" s="621"/>
      <c r="KBP612" s="3933"/>
      <c r="KBQ612" s="3933"/>
      <c r="KBR612" s="3933"/>
      <c r="KBS612" s="621"/>
      <c r="KBT612" s="3933"/>
      <c r="KBU612" s="3933"/>
      <c r="KBV612" s="3933"/>
      <c r="KBW612" s="621"/>
      <c r="KBX612" s="3933"/>
      <c r="KBY612" s="3933"/>
      <c r="KBZ612" s="3933"/>
      <c r="KCA612" s="621"/>
      <c r="KCB612" s="3933"/>
      <c r="KCC612" s="3933"/>
      <c r="KCD612" s="3933"/>
      <c r="KCE612" s="621"/>
      <c r="KCF612" s="3933"/>
      <c r="KCG612" s="3933"/>
      <c r="KCH612" s="3933"/>
      <c r="KCI612" s="621"/>
      <c r="KCJ612" s="3933"/>
      <c r="KCK612" s="3933"/>
      <c r="KCL612" s="3933"/>
      <c r="KCM612" s="621"/>
      <c r="KCN612" s="3933"/>
      <c r="KCO612" s="3933"/>
      <c r="KCP612" s="3933"/>
      <c r="KCQ612" s="621"/>
      <c r="KCR612" s="3933"/>
      <c r="KCS612" s="3933"/>
      <c r="KCT612" s="3933"/>
      <c r="KCU612" s="621"/>
      <c r="KCV612" s="3933"/>
      <c r="KCW612" s="3933"/>
      <c r="KCX612" s="3933"/>
      <c r="KCY612" s="621"/>
      <c r="KCZ612" s="3933"/>
      <c r="KDA612" s="3933"/>
      <c r="KDB612" s="3933"/>
      <c r="KDC612" s="621"/>
      <c r="KDD612" s="3933"/>
      <c r="KDE612" s="3933"/>
      <c r="KDF612" s="3933"/>
      <c r="KDG612" s="621"/>
      <c r="KDH612" s="3933"/>
      <c r="KDI612" s="3933"/>
      <c r="KDJ612" s="3933"/>
      <c r="KDK612" s="621"/>
      <c r="KDL612" s="3933"/>
      <c r="KDM612" s="3933"/>
      <c r="KDN612" s="3933"/>
      <c r="KDO612" s="621"/>
      <c r="KDP612" s="3933"/>
      <c r="KDQ612" s="3933"/>
      <c r="KDR612" s="3933"/>
      <c r="KDS612" s="621"/>
      <c r="KDT612" s="3933"/>
      <c r="KDU612" s="3933"/>
      <c r="KDV612" s="3933"/>
      <c r="KDW612" s="621"/>
      <c r="KDX612" s="3933"/>
      <c r="KDY612" s="3933"/>
      <c r="KDZ612" s="3933"/>
      <c r="KEA612" s="621"/>
      <c r="KEB612" s="3933"/>
      <c r="KEC612" s="3933"/>
      <c r="KED612" s="3933"/>
      <c r="KEE612" s="621"/>
      <c r="KEF612" s="3933"/>
      <c r="KEG612" s="3933"/>
      <c r="KEH612" s="3933"/>
      <c r="KEI612" s="621"/>
      <c r="KEJ612" s="3933"/>
      <c r="KEK612" s="3933"/>
      <c r="KEL612" s="3933"/>
      <c r="KEM612" s="621"/>
      <c r="KEN612" s="3933"/>
      <c r="KEO612" s="3933"/>
      <c r="KEP612" s="3933"/>
      <c r="KEQ612" s="621"/>
      <c r="KER612" s="3933"/>
      <c r="KES612" s="3933"/>
      <c r="KET612" s="3933"/>
      <c r="KEU612" s="621"/>
      <c r="KEV612" s="3933"/>
      <c r="KEW612" s="3933"/>
      <c r="KEX612" s="3933"/>
      <c r="KEY612" s="621"/>
      <c r="KEZ612" s="3933"/>
      <c r="KFA612" s="3933"/>
      <c r="KFB612" s="3933"/>
      <c r="KFC612" s="621"/>
      <c r="KFD612" s="3933"/>
      <c r="KFE612" s="3933"/>
      <c r="KFF612" s="3933"/>
      <c r="KFG612" s="621"/>
      <c r="KFH612" s="3933"/>
      <c r="KFI612" s="3933"/>
      <c r="KFJ612" s="3933"/>
      <c r="KFK612" s="621"/>
      <c r="KFL612" s="3933"/>
      <c r="KFM612" s="3933"/>
      <c r="KFN612" s="3933"/>
      <c r="KFO612" s="621"/>
      <c r="KFP612" s="3933"/>
      <c r="KFQ612" s="3933"/>
      <c r="KFR612" s="3933"/>
      <c r="KFS612" s="621"/>
      <c r="KFT612" s="3933"/>
      <c r="KFU612" s="3933"/>
      <c r="KFV612" s="3933"/>
      <c r="KFW612" s="621"/>
      <c r="KFX612" s="3933"/>
      <c r="KFY612" s="3933"/>
      <c r="KFZ612" s="3933"/>
      <c r="KGA612" s="621"/>
      <c r="KGB612" s="3933"/>
      <c r="KGC612" s="3933"/>
      <c r="KGD612" s="3933"/>
      <c r="KGE612" s="621"/>
      <c r="KGF612" s="3933"/>
      <c r="KGG612" s="3933"/>
      <c r="KGH612" s="3933"/>
      <c r="KGI612" s="621"/>
      <c r="KGJ612" s="3933"/>
      <c r="KGK612" s="3933"/>
      <c r="KGL612" s="3933"/>
      <c r="KGM612" s="621"/>
      <c r="KGN612" s="3933"/>
      <c r="KGO612" s="3933"/>
      <c r="KGP612" s="3933"/>
      <c r="KGQ612" s="621"/>
      <c r="KGR612" s="3933"/>
      <c r="KGS612" s="3933"/>
      <c r="KGT612" s="3933"/>
      <c r="KGU612" s="621"/>
      <c r="KGV612" s="3933"/>
      <c r="KGW612" s="3933"/>
      <c r="KGX612" s="3933"/>
      <c r="KGY612" s="621"/>
      <c r="KGZ612" s="3933"/>
      <c r="KHA612" s="3933"/>
      <c r="KHB612" s="3933"/>
      <c r="KHC612" s="621"/>
      <c r="KHD612" s="3933"/>
      <c r="KHE612" s="3933"/>
      <c r="KHF612" s="3933"/>
      <c r="KHG612" s="621"/>
      <c r="KHH612" s="3933"/>
      <c r="KHI612" s="3933"/>
      <c r="KHJ612" s="3933"/>
      <c r="KHK612" s="621"/>
      <c r="KHL612" s="3933"/>
      <c r="KHM612" s="3933"/>
      <c r="KHN612" s="3933"/>
      <c r="KHO612" s="621"/>
      <c r="KHP612" s="3933"/>
      <c r="KHQ612" s="3933"/>
      <c r="KHR612" s="3933"/>
      <c r="KHS612" s="621"/>
      <c r="KHT612" s="3933"/>
      <c r="KHU612" s="3933"/>
      <c r="KHV612" s="3933"/>
      <c r="KHW612" s="621"/>
      <c r="KHX612" s="3933"/>
      <c r="KHY612" s="3933"/>
      <c r="KHZ612" s="3933"/>
      <c r="KIA612" s="621"/>
      <c r="KIB612" s="3933"/>
      <c r="KIC612" s="3933"/>
      <c r="KID612" s="3933"/>
      <c r="KIE612" s="621"/>
      <c r="KIF612" s="3933"/>
      <c r="KIG612" s="3933"/>
      <c r="KIH612" s="3933"/>
      <c r="KII612" s="621"/>
      <c r="KIJ612" s="3933"/>
      <c r="KIK612" s="3933"/>
      <c r="KIL612" s="3933"/>
      <c r="KIM612" s="621"/>
      <c r="KIN612" s="3933"/>
      <c r="KIO612" s="3933"/>
      <c r="KIP612" s="3933"/>
      <c r="KIQ612" s="621"/>
      <c r="KIR612" s="3933"/>
      <c r="KIS612" s="3933"/>
      <c r="KIT612" s="3933"/>
      <c r="KIU612" s="621"/>
      <c r="KIV612" s="3933"/>
      <c r="KIW612" s="3933"/>
      <c r="KIX612" s="3933"/>
      <c r="KIY612" s="621"/>
      <c r="KIZ612" s="3933"/>
      <c r="KJA612" s="3933"/>
      <c r="KJB612" s="3933"/>
      <c r="KJC612" s="621"/>
      <c r="KJD612" s="3933"/>
      <c r="KJE612" s="3933"/>
      <c r="KJF612" s="3933"/>
      <c r="KJG612" s="621"/>
      <c r="KJH612" s="3933"/>
      <c r="KJI612" s="3933"/>
      <c r="KJJ612" s="3933"/>
      <c r="KJK612" s="621"/>
      <c r="KJL612" s="3933"/>
      <c r="KJM612" s="3933"/>
      <c r="KJN612" s="3933"/>
      <c r="KJO612" s="621"/>
      <c r="KJP612" s="3933"/>
      <c r="KJQ612" s="3933"/>
      <c r="KJR612" s="3933"/>
      <c r="KJS612" s="621"/>
      <c r="KJT612" s="3933"/>
      <c r="KJU612" s="3933"/>
      <c r="KJV612" s="3933"/>
      <c r="KJW612" s="621"/>
      <c r="KJX612" s="3933"/>
      <c r="KJY612" s="3933"/>
      <c r="KJZ612" s="3933"/>
      <c r="KKA612" s="621"/>
      <c r="KKB612" s="3933"/>
      <c r="KKC612" s="3933"/>
      <c r="KKD612" s="3933"/>
      <c r="KKE612" s="621"/>
      <c r="KKF612" s="3933"/>
      <c r="KKG612" s="3933"/>
      <c r="KKH612" s="3933"/>
      <c r="KKI612" s="621"/>
      <c r="KKJ612" s="3933"/>
      <c r="KKK612" s="3933"/>
      <c r="KKL612" s="3933"/>
      <c r="KKM612" s="621"/>
      <c r="KKN612" s="3933"/>
      <c r="KKO612" s="3933"/>
      <c r="KKP612" s="3933"/>
      <c r="KKQ612" s="621"/>
      <c r="KKR612" s="3933"/>
      <c r="KKS612" s="3933"/>
      <c r="KKT612" s="3933"/>
      <c r="KKU612" s="621"/>
      <c r="KKV612" s="3933"/>
      <c r="KKW612" s="3933"/>
      <c r="KKX612" s="3933"/>
      <c r="KKY612" s="621"/>
      <c r="KKZ612" s="3933"/>
      <c r="KLA612" s="3933"/>
      <c r="KLB612" s="3933"/>
      <c r="KLC612" s="621"/>
      <c r="KLD612" s="3933"/>
      <c r="KLE612" s="3933"/>
      <c r="KLF612" s="3933"/>
      <c r="KLG612" s="621"/>
      <c r="KLH612" s="3933"/>
      <c r="KLI612" s="3933"/>
      <c r="KLJ612" s="3933"/>
      <c r="KLK612" s="621"/>
      <c r="KLL612" s="3933"/>
      <c r="KLM612" s="3933"/>
      <c r="KLN612" s="3933"/>
      <c r="KLO612" s="621"/>
      <c r="KLP612" s="3933"/>
      <c r="KLQ612" s="3933"/>
      <c r="KLR612" s="3933"/>
      <c r="KLS612" s="621"/>
      <c r="KLT612" s="3933"/>
      <c r="KLU612" s="3933"/>
      <c r="KLV612" s="3933"/>
      <c r="KLW612" s="621"/>
      <c r="KLX612" s="3933"/>
      <c r="KLY612" s="3933"/>
      <c r="KLZ612" s="3933"/>
      <c r="KMA612" s="621"/>
      <c r="KMB612" s="3933"/>
      <c r="KMC612" s="3933"/>
      <c r="KMD612" s="3933"/>
      <c r="KME612" s="621"/>
      <c r="KMF612" s="3933"/>
      <c r="KMG612" s="3933"/>
      <c r="KMH612" s="3933"/>
      <c r="KMI612" s="621"/>
      <c r="KMJ612" s="3933"/>
      <c r="KMK612" s="3933"/>
      <c r="KML612" s="3933"/>
      <c r="KMM612" s="621"/>
      <c r="KMN612" s="3933"/>
      <c r="KMO612" s="3933"/>
      <c r="KMP612" s="3933"/>
      <c r="KMQ612" s="621"/>
      <c r="KMR612" s="3933"/>
      <c r="KMS612" s="3933"/>
      <c r="KMT612" s="3933"/>
      <c r="KMU612" s="621"/>
      <c r="KMV612" s="3933"/>
      <c r="KMW612" s="3933"/>
      <c r="KMX612" s="3933"/>
      <c r="KMY612" s="621"/>
      <c r="KMZ612" s="3933"/>
      <c r="KNA612" s="3933"/>
      <c r="KNB612" s="3933"/>
      <c r="KNC612" s="621"/>
      <c r="KND612" s="3933"/>
      <c r="KNE612" s="3933"/>
      <c r="KNF612" s="3933"/>
      <c r="KNG612" s="621"/>
      <c r="KNH612" s="3933"/>
      <c r="KNI612" s="3933"/>
      <c r="KNJ612" s="3933"/>
      <c r="KNK612" s="621"/>
      <c r="KNL612" s="3933"/>
      <c r="KNM612" s="3933"/>
      <c r="KNN612" s="3933"/>
      <c r="KNO612" s="621"/>
      <c r="KNP612" s="3933"/>
      <c r="KNQ612" s="3933"/>
      <c r="KNR612" s="3933"/>
      <c r="KNS612" s="621"/>
      <c r="KNT612" s="3933"/>
      <c r="KNU612" s="3933"/>
      <c r="KNV612" s="3933"/>
      <c r="KNW612" s="621"/>
      <c r="KNX612" s="3933"/>
      <c r="KNY612" s="3933"/>
      <c r="KNZ612" s="3933"/>
      <c r="KOA612" s="621"/>
      <c r="KOB612" s="3933"/>
      <c r="KOC612" s="3933"/>
      <c r="KOD612" s="3933"/>
      <c r="KOE612" s="621"/>
      <c r="KOF612" s="3933"/>
      <c r="KOG612" s="3933"/>
      <c r="KOH612" s="3933"/>
      <c r="KOI612" s="621"/>
      <c r="KOJ612" s="3933"/>
      <c r="KOK612" s="3933"/>
      <c r="KOL612" s="3933"/>
      <c r="KOM612" s="621"/>
      <c r="KON612" s="3933"/>
      <c r="KOO612" s="3933"/>
      <c r="KOP612" s="3933"/>
      <c r="KOQ612" s="621"/>
      <c r="KOR612" s="3933"/>
      <c r="KOS612" s="3933"/>
      <c r="KOT612" s="3933"/>
      <c r="KOU612" s="621"/>
      <c r="KOV612" s="3933"/>
      <c r="KOW612" s="3933"/>
      <c r="KOX612" s="3933"/>
      <c r="KOY612" s="621"/>
      <c r="KOZ612" s="3933"/>
      <c r="KPA612" s="3933"/>
      <c r="KPB612" s="3933"/>
      <c r="KPC612" s="621"/>
      <c r="KPD612" s="3933"/>
      <c r="KPE612" s="3933"/>
      <c r="KPF612" s="3933"/>
      <c r="KPG612" s="621"/>
      <c r="KPH612" s="3933"/>
      <c r="KPI612" s="3933"/>
      <c r="KPJ612" s="3933"/>
      <c r="KPK612" s="621"/>
      <c r="KPL612" s="3933"/>
      <c r="KPM612" s="3933"/>
      <c r="KPN612" s="3933"/>
      <c r="KPO612" s="621"/>
      <c r="KPP612" s="3933"/>
      <c r="KPQ612" s="3933"/>
      <c r="KPR612" s="3933"/>
      <c r="KPS612" s="621"/>
      <c r="KPT612" s="3933"/>
      <c r="KPU612" s="3933"/>
      <c r="KPV612" s="3933"/>
      <c r="KPW612" s="621"/>
      <c r="KPX612" s="3933"/>
      <c r="KPY612" s="3933"/>
      <c r="KPZ612" s="3933"/>
      <c r="KQA612" s="621"/>
      <c r="KQB612" s="3933"/>
      <c r="KQC612" s="3933"/>
      <c r="KQD612" s="3933"/>
      <c r="KQE612" s="621"/>
      <c r="KQF612" s="3933"/>
      <c r="KQG612" s="3933"/>
      <c r="KQH612" s="3933"/>
      <c r="KQI612" s="621"/>
      <c r="KQJ612" s="3933"/>
      <c r="KQK612" s="3933"/>
      <c r="KQL612" s="3933"/>
      <c r="KQM612" s="621"/>
      <c r="KQN612" s="3933"/>
      <c r="KQO612" s="3933"/>
      <c r="KQP612" s="3933"/>
      <c r="KQQ612" s="621"/>
      <c r="KQR612" s="3933"/>
      <c r="KQS612" s="3933"/>
      <c r="KQT612" s="3933"/>
      <c r="KQU612" s="621"/>
      <c r="KQV612" s="3933"/>
      <c r="KQW612" s="3933"/>
      <c r="KQX612" s="3933"/>
      <c r="KQY612" s="621"/>
      <c r="KQZ612" s="3933"/>
      <c r="KRA612" s="3933"/>
      <c r="KRB612" s="3933"/>
      <c r="KRC612" s="621"/>
      <c r="KRD612" s="3933"/>
      <c r="KRE612" s="3933"/>
      <c r="KRF612" s="3933"/>
      <c r="KRG612" s="621"/>
      <c r="KRH612" s="3933"/>
      <c r="KRI612" s="3933"/>
      <c r="KRJ612" s="3933"/>
      <c r="KRK612" s="621"/>
      <c r="KRL612" s="3933"/>
      <c r="KRM612" s="3933"/>
      <c r="KRN612" s="3933"/>
      <c r="KRO612" s="621"/>
      <c r="KRP612" s="3933"/>
      <c r="KRQ612" s="3933"/>
      <c r="KRR612" s="3933"/>
      <c r="KRS612" s="621"/>
      <c r="KRT612" s="3933"/>
      <c r="KRU612" s="3933"/>
      <c r="KRV612" s="3933"/>
      <c r="KRW612" s="621"/>
      <c r="KRX612" s="3933"/>
      <c r="KRY612" s="3933"/>
      <c r="KRZ612" s="3933"/>
      <c r="KSA612" s="621"/>
      <c r="KSB612" s="3933"/>
      <c r="KSC612" s="3933"/>
      <c r="KSD612" s="3933"/>
      <c r="KSE612" s="621"/>
      <c r="KSF612" s="3933"/>
      <c r="KSG612" s="3933"/>
      <c r="KSH612" s="3933"/>
      <c r="KSI612" s="621"/>
      <c r="KSJ612" s="3933"/>
      <c r="KSK612" s="3933"/>
      <c r="KSL612" s="3933"/>
      <c r="KSM612" s="621"/>
      <c r="KSN612" s="3933"/>
      <c r="KSO612" s="3933"/>
      <c r="KSP612" s="3933"/>
      <c r="KSQ612" s="621"/>
      <c r="KSR612" s="3933"/>
      <c r="KSS612" s="3933"/>
      <c r="KST612" s="3933"/>
      <c r="KSU612" s="621"/>
      <c r="KSV612" s="3933"/>
      <c r="KSW612" s="3933"/>
      <c r="KSX612" s="3933"/>
      <c r="KSY612" s="621"/>
      <c r="KSZ612" s="3933"/>
      <c r="KTA612" s="3933"/>
      <c r="KTB612" s="3933"/>
      <c r="KTC612" s="621"/>
      <c r="KTD612" s="3933"/>
      <c r="KTE612" s="3933"/>
      <c r="KTF612" s="3933"/>
      <c r="KTG612" s="621"/>
      <c r="KTH612" s="3933"/>
      <c r="KTI612" s="3933"/>
      <c r="KTJ612" s="3933"/>
      <c r="KTK612" s="621"/>
      <c r="KTL612" s="3933"/>
      <c r="KTM612" s="3933"/>
      <c r="KTN612" s="3933"/>
      <c r="KTO612" s="621"/>
      <c r="KTP612" s="3933"/>
      <c r="KTQ612" s="3933"/>
      <c r="KTR612" s="3933"/>
      <c r="KTS612" s="621"/>
      <c r="KTT612" s="3933"/>
      <c r="KTU612" s="3933"/>
      <c r="KTV612" s="3933"/>
      <c r="KTW612" s="621"/>
      <c r="KTX612" s="3933"/>
      <c r="KTY612" s="3933"/>
      <c r="KTZ612" s="3933"/>
      <c r="KUA612" s="621"/>
      <c r="KUB612" s="3933"/>
      <c r="KUC612" s="3933"/>
      <c r="KUD612" s="3933"/>
      <c r="KUE612" s="621"/>
      <c r="KUF612" s="3933"/>
      <c r="KUG612" s="3933"/>
      <c r="KUH612" s="3933"/>
      <c r="KUI612" s="621"/>
      <c r="KUJ612" s="3933"/>
      <c r="KUK612" s="3933"/>
      <c r="KUL612" s="3933"/>
      <c r="KUM612" s="621"/>
      <c r="KUN612" s="3933"/>
      <c r="KUO612" s="3933"/>
      <c r="KUP612" s="3933"/>
      <c r="KUQ612" s="621"/>
      <c r="KUR612" s="3933"/>
      <c r="KUS612" s="3933"/>
      <c r="KUT612" s="3933"/>
      <c r="KUU612" s="621"/>
      <c r="KUV612" s="3933"/>
      <c r="KUW612" s="3933"/>
      <c r="KUX612" s="3933"/>
      <c r="KUY612" s="621"/>
      <c r="KUZ612" s="3933"/>
      <c r="KVA612" s="3933"/>
      <c r="KVB612" s="3933"/>
      <c r="KVC612" s="621"/>
      <c r="KVD612" s="3933"/>
      <c r="KVE612" s="3933"/>
      <c r="KVF612" s="3933"/>
      <c r="KVG612" s="621"/>
      <c r="KVH612" s="3933"/>
      <c r="KVI612" s="3933"/>
      <c r="KVJ612" s="3933"/>
      <c r="KVK612" s="621"/>
      <c r="KVL612" s="3933"/>
      <c r="KVM612" s="3933"/>
      <c r="KVN612" s="3933"/>
      <c r="KVO612" s="621"/>
      <c r="KVP612" s="3933"/>
      <c r="KVQ612" s="3933"/>
      <c r="KVR612" s="3933"/>
      <c r="KVS612" s="621"/>
      <c r="KVT612" s="3933"/>
      <c r="KVU612" s="3933"/>
      <c r="KVV612" s="3933"/>
      <c r="KVW612" s="621"/>
      <c r="KVX612" s="3933"/>
      <c r="KVY612" s="3933"/>
      <c r="KVZ612" s="3933"/>
      <c r="KWA612" s="621"/>
      <c r="KWB612" s="3933"/>
      <c r="KWC612" s="3933"/>
      <c r="KWD612" s="3933"/>
      <c r="KWE612" s="621"/>
      <c r="KWF612" s="3933"/>
      <c r="KWG612" s="3933"/>
      <c r="KWH612" s="3933"/>
      <c r="KWI612" s="621"/>
      <c r="KWJ612" s="3933"/>
      <c r="KWK612" s="3933"/>
      <c r="KWL612" s="3933"/>
      <c r="KWM612" s="621"/>
      <c r="KWN612" s="3933"/>
      <c r="KWO612" s="3933"/>
      <c r="KWP612" s="3933"/>
      <c r="KWQ612" s="621"/>
      <c r="KWR612" s="3933"/>
      <c r="KWS612" s="3933"/>
      <c r="KWT612" s="3933"/>
      <c r="KWU612" s="621"/>
      <c r="KWV612" s="3933"/>
      <c r="KWW612" s="3933"/>
      <c r="KWX612" s="3933"/>
      <c r="KWY612" s="621"/>
      <c r="KWZ612" s="3933"/>
      <c r="KXA612" s="3933"/>
      <c r="KXB612" s="3933"/>
      <c r="KXC612" s="621"/>
      <c r="KXD612" s="3933"/>
      <c r="KXE612" s="3933"/>
      <c r="KXF612" s="3933"/>
      <c r="KXG612" s="621"/>
      <c r="KXH612" s="3933"/>
      <c r="KXI612" s="3933"/>
      <c r="KXJ612" s="3933"/>
      <c r="KXK612" s="621"/>
      <c r="KXL612" s="3933"/>
      <c r="KXM612" s="3933"/>
      <c r="KXN612" s="3933"/>
      <c r="KXO612" s="621"/>
      <c r="KXP612" s="3933"/>
      <c r="KXQ612" s="3933"/>
      <c r="KXR612" s="3933"/>
      <c r="KXS612" s="621"/>
      <c r="KXT612" s="3933"/>
      <c r="KXU612" s="3933"/>
      <c r="KXV612" s="3933"/>
      <c r="KXW612" s="621"/>
      <c r="KXX612" s="3933"/>
      <c r="KXY612" s="3933"/>
      <c r="KXZ612" s="3933"/>
      <c r="KYA612" s="621"/>
      <c r="KYB612" s="3933"/>
      <c r="KYC612" s="3933"/>
      <c r="KYD612" s="3933"/>
      <c r="KYE612" s="621"/>
      <c r="KYF612" s="3933"/>
      <c r="KYG612" s="3933"/>
      <c r="KYH612" s="3933"/>
      <c r="KYI612" s="621"/>
      <c r="KYJ612" s="3933"/>
      <c r="KYK612" s="3933"/>
      <c r="KYL612" s="3933"/>
      <c r="KYM612" s="621"/>
      <c r="KYN612" s="3933"/>
      <c r="KYO612" s="3933"/>
      <c r="KYP612" s="3933"/>
      <c r="KYQ612" s="621"/>
      <c r="KYR612" s="3933"/>
      <c r="KYS612" s="3933"/>
      <c r="KYT612" s="3933"/>
      <c r="KYU612" s="621"/>
      <c r="KYV612" s="3933"/>
      <c r="KYW612" s="3933"/>
      <c r="KYX612" s="3933"/>
      <c r="KYY612" s="621"/>
      <c r="KYZ612" s="3933"/>
      <c r="KZA612" s="3933"/>
      <c r="KZB612" s="3933"/>
      <c r="KZC612" s="621"/>
      <c r="KZD612" s="3933"/>
      <c r="KZE612" s="3933"/>
      <c r="KZF612" s="3933"/>
      <c r="KZG612" s="621"/>
      <c r="KZH612" s="3933"/>
      <c r="KZI612" s="3933"/>
      <c r="KZJ612" s="3933"/>
      <c r="KZK612" s="621"/>
      <c r="KZL612" s="3933"/>
      <c r="KZM612" s="3933"/>
      <c r="KZN612" s="3933"/>
      <c r="KZO612" s="621"/>
      <c r="KZP612" s="3933"/>
      <c r="KZQ612" s="3933"/>
      <c r="KZR612" s="3933"/>
      <c r="KZS612" s="621"/>
      <c r="KZT612" s="3933"/>
      <c r="KZU612" s="3933"/>
      <c r="KZV612" s="3933"/>
      <c r="KZW612" s="621"/>
      <c r="KZX612" s="3933"/>
      <c r="KZY612" s="3933"/>
      <c r="KZZ612" s="3933"/>
      <c r="LAA612" s="621"/>
      <c r="LAB612" s="3933"/>
      <c r="LAC612" s="3933"/>
      <c r="LAD612" s="3933"/>
      <c r="LAE612" s="621"/>
      <c r="LAF612" s="3933"/>
      <c r="LAG612" s="3933"/>
      <c r="LAH612" s="3933"/>
      <c r="LAI612" s="621"/>
      <c r="LAJ612" s="3933"/>
      <c r="LAK612" s="3933"/>
      <c r="LAL612" s="3933"/>
      <c r="LAM612" s="621"/>
      <c r="LAN612" s="3933"/>
      <c r="LAO612" s="3933"/>
      <c r="LAP612" s="3933"/>
      <c r="LAQ612" s="621"/>
      <c r="LAR612" s="3933"/>
      <c r="LAS612" s="3933"/>
      <c r="LAT612" s="3933"/>
      <c r="LAU612" s="621"/>
      <c r="LAV612" s="3933"/>
      <c r="LAW612" s="3933"/>
      <c r="LAX612" s="3933"/>
      <c r="LAY612" s="621"/>
      <c r="LAZ612" s="3933"/>
      <c r="LBA612" s="3933"/>
      <c r="LBB612" s="3933"/>
      <c r="LBC612" s="621"/>
      <c r="LBD612" s="3933"/>
      <c r="LBE612" s="3933"/>
      <c r="LBF612" s="3933"/>
      <c r="LBG612" s="621"/>
      <c r="LBH612" s="3933"/>
      <c r="LBI612" s="3933"/>
      <c r="LBJ612" s="3933"/>
      <c r="LBK612" s="621"/>
      <c r="LBL612" s="3933"/>
      <c r="LBM612" s="3933"/>
      <c r="LBN612" s="3933"/>
      <c r="LBO612" s="621"/>
      <c r="LBP612" s="3933"/>
      <c r="LBQ612" s="3933"/>
      <c r="LBR612" s="3933"/>
      <c r="LBS612" s="621"/>
      <c r="LBT612" s="3933"/>
      <c r="LBU612" s="3933"/>
      <c r="LBV612" s="3933"/>
      <c r="LBW612" s="621"/>
      <c r="LBX612" s="3933"/>
      <c r="LBY612" s="3933"/>
      <c r="LBZ612" s="3933"/>
      <c r="LCA612" s="621"/>
      <c r="LCB612" s="3933"/>
      <c r="LCC612" s="3933"/>
      <c r="LCD612" s="3933"/>
      <c r="LCE612" s="621"/>
      <c r="LCF612" s="3933"/>
      <c r="LCG612" s="3933"/>
      <c r="LCH612" s="3933"/>
      <c r="LCI612" s="621"/>
      <c r="LCJ612" s="3933"/>
      <c r="LCK612" s="3933"/>
      <c r="LCL612" s="3933"/>
      <c r="LCM612" s="621"/>
      <c r="LCN612" s="3933"/>
      <c r="LCO612" s="3933"/>
      <c r="LCP612" s="3933"/>
      <c r="LCQ612" s="621"/>
      <c r="LCR612" s="3933"/>
      <c r="LCS612" s="3933"/>
      <c r="LCT612" s="3933"/>
      <c r="LCU612" s="621"/>
      <c r="LCV612" s="3933"/>
      <c r="LCW612" s="3933"/>
      <c r="LCX612" s="3933"/>
      <c r="LCY612" s="621"/>
      <c r="LCZ612" s="3933"/>
      <c r="LDA612" s="3933"/>
      <c r="LDB612" s="3933"/>
      <c r="LDC612" s="621"/>
      <c r="LDD612" s="3933"/>
      <c r="LDE612" s="3933"/>
      <c r="LDF612" s="3933"/>
      <c r="LDG612" s="621"/>
      <c r="LDH612" s="3933"/>
      <c r="LDI612" s="3933"/>
      <c r="LDJ612" s="3933"/>
      <c r="LDK612" s="621"/>
      <c r="LDL612" s="3933"/>
      <c r="LDM612" s="3933"/>
      <c r="LDN612" s="3933"/>
      <c r="LDO612" s="621"/>
      <c r="LDP612" s="3933"/>
      <c r="LDQ612" s="3933"/>
      <c r="LDR612" s="3933"/>
      <c r="LDS612" s="621"/>
      <c r="LDT612" s="3933"/>
      <c r="LDU612" s="3933"/>
      <c r="LDV612" s="3933"/>
      <c r="LDW612" s="621"/>
      <c r="LDX612" s="3933"/>
      <c r="LDY612" s="3933"/>
      <c r="LDZ612" s="3933"/>
      <c r="LEA612" s="621"/>
      <c r="LEB612" s="3933"/>
      <c r="LEC612" s="3933"/>
      <c r="LED612" s="3933"/>
      <c r="LEE612" s="621"/>
      <c r="LEF612" s="3933"/>
      <c r="LEG612" s="3933"/>
      <c r="LEH612" s="3933"/>
      <c r="LEI612" s="621"/>
      <c r="LEJ612" s="3933"/>
      <c r="LEK612" s="3933"/>
      <c r="LEL612" s="3933"/>
      <c r="LEM612" s="621"/>
      <c r="LEN612" s="3933"/>
      <c r="LEO612" s="3933"/>
      <c r="LEP612" s="3933"/>
      <c r="LEQ612" s="621"/>
      <c r="LER612" s="3933"/>
      <c r="LES612" s="3933"/>
      <c r="LET612" s="3933"/>
      <c r="LEU612" s="621"/>
      <c r="LEV612" s="3933"/>
      <c r="LEW612" s="3933"/>
      <c r="LEX612" s="3933"/>
      <c r="LEY612" s="621"/>
      <c r="LEZ612" s="3933"/>
      <c r="LFA612" s="3933"/>
      <c r="LFB612" s="3933"/>
      <c r="LFC612" s="621"/>
      <c r="LFD612" s="3933"/>
      <c r="LFE612" s="3933"/>
      <c r="LFF612" s="3933"/>
      <c r="LFG612" s="621"/>
      <c r="LFH612" s="3933"/>
      <c r="LFI612" s="3933"/>
      <c r="LFJ612" s="3933"/>
      <c r="LFK612" s="621"/>
      <c r="LFL612" s="3933"/>
      <c r="LFM612" s="3933"/>
      <c r="LFN612" s="3933"/>
      <c r="LFO612" s="621"/>
      <c r="LFP612" s="3933"/>
      <c r="LFQ612" s="3933"/>
      <c r="LFR612" s="3933"/>
      <c r="LFS612" s="621"/>
      <c r="LFT612" s="3933"/>
      <c r="LFU612" s="3933"/>
      <c r="LFV612" s="3933"/>
      <c r="LFW612" s="621"/>
      <c r="LFX612" s="3933"/>
      <c r="LFY612" s="3933"/>
      <c r="LFZ612" s="3933"/>
      <c r="LGA612" s="621"/>
      <c r="LGB612" s="3933"/>
      <c r="LGC612" s="3933"/>
      <c r="LGD612" s="3933"/>
      <c r="LGE612" s="621"/>
      <c r="LGF612" s="3933"/>
      <c r="LGG612" s="3933"/>
      <c r="LGH612" s="3933"/>
      <c r="LGI612" s="621"/>
      <c r="LGJ612" s="3933"/>
      <c r="LGK612" s="3933"/>
      <c r="LGL612" s="3933"/>
      <c r="LGM612" s="621"/>
      <c r="LGN612" s="3933"/>
      <c r="LGO612" s="3933"/>
      <c r="LGP612" s="3933"/>
      <c r="LGQ612" s="621"/>
      <c r="LGR612" s="3933"/>
      <c r="LGS612" s="3933"/>
      <c r="LGT612" s="3933"/>
      <c r="LGU612" s="621"/>
      <c r="LGV612" s="3933"/>
      <c r="LGW612" s="3933"/>
      <c r="LGX612" s="3933"/>
      <c r="LGY612" s="621"/>
      <c r="LGZ612" s="3933"/>
      <c r="LHA612" s="3933"/>
      <c r="LHB612" s="3933"/>
      <c r="LHC612" s="621"/>
      <c r="LHD612" s="3933"/>
      <c r="LHE612" s="3933"/>
      <c r="LHF612" s="3933"/>
      <c r="LHG612" s="621"/>
      <c r="LHH612" s="3933"/>
      <c r="LHI612" s="3933"/>
      <c r="LHJ612" s="3933"/>
      <c r="LHK612" s="621"/>
      <c r="LHL612" s="3933"/>
      <c r="LHM612" s="3933"/>
      <c r="LHN612" s="3933"/>
      <c r="LHO612" s="621"/>
      <c r="LHP612" s="3933"/>
      <c r="LHQ612" s="3933"/>
      <c r="LHR612" s="3933"/>
      <c r="LHS612" s="621"/>
      <c r="LHT612" s="3933"/>
      <c r="LHU612" s="3933"/>
      <c r="LHV612" s="3933"/>
      <c r="LHW612" s="621"/>
      <c r="LHX612" s="3933"/>
      <c r="LHY612" s="3933"/>
      <c r="LHZ612" s="3933"/>
      <c r="LIA612" s="621"/>
      <c r="LIB612" s="3933"/>
      <c r="LIC612" s="3933"/>
      <c r="LID612" s="3933"/>
      <c r="LIE612" s="621"/>
      <c r="LIF612" s="3933"/>
      <c r="LIG612" s="3933"/>
      <c r="LIH612" s="3933"/>
      <c r="LII612" s="621"/>
      <c r="LIJ612" s="3933"/>
      <c r="LIK612" s="3933"/>
      <c r="LIL612" s="3933"/>
      <c r="LIM612" s="621"/>
      <c r="LIN612" s="3933"/>
      <c r="LIO612" s="3933"/>
      <c r="LIP612" s="3933"/>
      <c r="LIQ612" s="621"/>
      <c r="LIR612" s="3933"/>
      <c r="LIS612" s="3933"/>
      <c r="LIT612" s="3933"/>
      <c r="LIU612" s="621"/>
      <c r="LIV612" s="3933"/>
      <c r="LIW612" s="3933"/>
      <c r="LIX612" s="3933"/>
      <c r="LIY612" s="621"/>
      <c r="LIZ612" s="3933"/>
      <c r="LJA612" s="3933"/>
      <c r="LJB612" s="3933"/>
      <c r="LJC612" s="621"/>
      <c r="LJD612" s="3933"/>
      <c r="LJE612" s="3933"/>
      <c r="LJF612" s="3933"/>
      <c r="LJG612" s="621"/>
      <c r="LJH612" s="3933"/>
      <c r="LJI612" s="3933"/>
      <c r="LJJ612" s="3933"/>
      <c r="LJK612" s="621"/>
      <c r="LJL612" s="3933"/>
      <c r="LJM612" s="3933"/>
      <c r="LJN612" s="3933"/>
      <c r="LJO612" s="621"/>
      <c r="LJP612" s="3933"/>
      <c r="LJQ612" s="3933"/>
      <c r="LJR612" s="3933"/>
      <c r="LJS612" s="621"/>
      <c r="LJT612" s="3933"/>
      <c r="LJU612" s="3933"/>
      <c r="LJV612" s="3933"/>
      <c r="LJW612" s="621"/>
      <c r="LJX612" s="3933"/>
      <c r="LJY612" s="3933"/>
      <c r="LJZ612" s="3933"/>
      <c r="LKA612" s="621"/>
      <c r="LKB612" s="3933"/>
      <c r="LKC612" s="3933"/>
      <c r="LKD612" s="3933"/>
      <c r="LKE612" s="621"/>
      <c r="LKF612" s="3933"/>
      <c r="LKG612" s="3933"/>
      <c r="LKH612" s="3933"/>
      <c r="LKI612" s="621"/>
      <c r="LKJ612" s="3933"/>
      <c r="LKK612" s="3933"/>
      <c r="LKL612" s="3933"/>
      <c r="LKM612" s="621"/>
      <c r="LKN612" s="3933"/>
      <c r="LKO612" s="3933"/>
      <c r="LKP612" s="3933"/>
      <c r="LKQ612" s="621"/>
      <c r="LKR612" s="3933"/>
      <c r="LKS612" s="3933"/>
      <c r="LKT612" s="3933"/>
      <c r="LKU612" s="621"/>
      <c r="LKV612" s="3933"/>
      <c r="LKW612" s="3933"/>
      <c r="LKX612" s="3933"/>
      <c r="LKY612" s="621"/>
      <c r="LKZ612" s="3933"/>
      <c r="LLA612" s="3933"/>
      <c r="LLB612" s="3933"/>
      <c r="LLC612" s="621"/>
      <c r="LLD612" s="3933"/>
      <c r="LLE612" s="3933"/>
      <c r="LLF612" s="3933"/>
      <c r="LLG612" s="621"/>
      <c r="LLH612" s="3933"/>
      <c r="LLI612" s="3933"/>
      <c r="LLJ612" s="3933"/>
      <c r="LLK612" s="621"/>
      <c r="LLL612" s="3933"/>
      <c r="LLM612" s="3933"/>
      <c r="LLN612" s="3933"/>
      <c r="LLO612" s="621"/>
      <c r="LLP612" s="3933"/>
      <c r="LLQ612" s="3933"/>
      <c r="LLR612" s="3933"/>
      <c r="LLS612" s="621"/>
      <c r="LLT612" s="3933"/>
      <c r="LLU612" s="3933"/>
      <c r="LLV612" s="3933"/>
      <c r="LLW612" s="621"/>
      <c r="LLX612" s="3933"/>
      <c r="LLY612" s="3933"/>
      <c r="LLZ612" s="3933"/>
      <c r="LMA612" s="621"/>
      <c r="LMB612" s="3933"/>
      <c r="LMC612" s="3933"/>
      <c r="LMD612" s="3933"/>
      <c r="LME612" s="621"/>
      <c r="LMF612" s="3933"/>
      <c r="LMG612" s="3933"/>
      <c r="LMH612" s="3933"/>
      <c r="LMI612" s="621"/>
      <c r="LMJ612" s="3933"/>
      <c r="LMK612" s="3933"/>
      <c r="LML612" s="3933"/>
      <c r="LMM612" s="621"/>
      <c r="LMN612" s="3933"/>
      <c r="LMO612" s="3933"/>
      <c r="LMP612" s="3933"/>
      <c r="LMQ612" s="621"/>
      <c r="LMR612" s="3933"/>
      <c r="LMS612" s="3933"/>
      <c r="LMT612" s="3933"/>
      <c r="LMU612" s="621"/>
      <c r="LMV612" s="3933"/>
      <c r="LMW612" s="3933"/>
      <c r="LMX612" s="3933"/>
      <c r="LMY612" s="621"/>
      <c r="LMZ612" s="3933"/>
      <c r="LNA612" s="3933"/>
      <c r="LNB612" s="3933"/>
      <c r="LNC612" s="621"/>
      <c r="LND612" s="3933"/>
      <c r="LNE612" s="3933"/>
      <c r="LNF612" s="3933"/>
      <c r="LNG612" s="621"/>
      <c r="LNH612" s="3933"/>
      <c r="LNI612" s="3933"/>
      <c r="LNJ612" s="3933"/>
      <c r="LNK612" s="621"/>
      <c r="LNL612" s="3933"/>
      <c r="LNM612" s="3933"/>
      <c r="LNN612" s="3933"/>
      <c r="LNO612" s="621"/>
      <c r="LNP612" s="3933"/>
      <c r="LNQ612" s="3933"/>
      <c r="LNR612" s="3933"/>
      <c r="LNS612" s="621"/>
      <c r="LNT612" s="3933"/>
      <c r="LNU612" s="3933"/>
      <c r="LNV612" s="3933"/>
      <c r="LNW612" s="621"/>
      <c r="LNX612" s="3933"/>
      <c r="LNY612" s="3933"/>
      <c r="LNZ612" s="3933"/>
      <c r="LOA612" s="621"/>
      <c r="LOB612" s="3933"/>
      <c r="LOC612" s="3933"/>
      <c r="LOD612" s="3933"/>
      <c r="LOE612" s="621"/>
      <c r="LOF612" s="3933"/>
      <c r="LOG612" s="3933"/>
      <c r="LOH612" s="3933"/>
      <c r="LOI612" s="621"/>
      <c r="LOJ612" s="3933"/>
      <c r="LOK612" s="3933"/>
      <c r="LOL612" s="3933"/>
      <c r="LOM612" s="621"/>
      <c r="LON612" s="3933"/>
      <c r="LOO612" s="3933"/>
      <c r="LOP612" s="3933"/>
      <c r="LOQ612" s="621"/>
      <c r="LOR612" s="3933"/>
      <c r="LOS612" s="3933"/>
      <c r="LOT612" s="3933"/>
      <c r="LOU612" s="621"/>
      <c r="LOV612" s="3933"/>
      <c r="LOW612" s="3933"/>
      <c r="LOX612" s="3933"/>
      <c r="LOY612" s="621"/>
      <c r="LOZ612" s="3933"/>
      <c r="LPA612" s="3933"/>
      <c r="LPB612" s="3933"/>
      <c r="LPC612" s="621"/>
      <c r="LPD612" s="3933"/>
      <c r="LPE612" s="3933"/>
      <c r="LPF612" s="3933"/>
      <c r="LPG612" s="621"/>
      <c r="LPH612" s="3933"/>
      <c r="LPI612" s="3933"/>
      <c r="LPJ612" s="3933"/>
      <c r="LPK612" s="621"/>
      <c r="LPL612" s="3933"/>
      <c r="LPM612" s="3933"/>
      <c r="LPN612" s="3933"/>
      <c r="LPO612" s="621"/>
      <c r="LPP612" s="3933"/>
      <c r="LPQ612" s="3933"/>
      <c r="LPR612" s="3933"/>
      <c r="LPS612" s="621"/>
      <c r="LPT612" s="3933"/>
      <c r="LPU612" s="3933"/>
      <c r="LPV612" s="3933"/>
      <c r="LPW612" s="621"/>
      <c r="LPX612" s="3933"/>
      <c r="LPY612" s="3933"/>
      <c r="LPZ612" s="3933"/>
      <c r="LQA612" s="621"/>
      <c r="LQB612" s="3933"/>
      <c r="LQC612" s="3933"/>
      <c r="LQD612" s="3933"/>
      <c r="LQE612" s="621"/>
      <c r="LQF612" s="3933"/>
      <c r="LQG612" s="3933"/>
      <c r="LQH612" s="3933"/>
      <c r="LQI612" s="621"/>
      <c r="LQJ612" s="3933"/>
      <c r="LQK612" s="3933"/>
      <c r="LQL612" s="3933"/>
      <c r="LQM612" s="621"/>
      <c r="LQN612" s="3933"/>
      <c r="LQO612" s="3933"/>
      <c r="LQP612" s="3933"/>
      <c r="LQQ612" s="621"/>
      <c r="LQR612" s="3933"/>
      <c r="LQS612" s="3933"/>
      <c r="LQT612" s="3933"/>
      <c r="LQU612" s="621"/>
      <c r="LQV612" s="3933"/>
      <c r="LQW612" s="3933"/>
      <c r="LQX612" s="3933"/>
      <c r="LQY612" s="621"/>
      <c r="LQZ612" s="3933"/>
      <c r="LRA612" s="3933"/>
      <c r="LRB612" s="3933"/>
      <c r="LRC612" s="621"/>
      <c r="LRD612" s="3933"/>
      <c r="LRE612" s="3933"/>
      <c r="LRF612" s="3933"/>
      <c r="LRG612" s="621"/>
      <c r="LRH612" s="3933"/>
      <c r="LRI612" s="3933"/>
      <c r="LRJ612" s="3933"/>
      <c r="LRK612" s="621"/>
      <c r="LRL612" s="3933"/>
      <c r="LRM612" s="3933"/>
      <c r="LRN612" s="3933"/>
      <c r="LRO612" s="621"/>
      <c r="LRP612" s="3933"/>
      <c r="LRQ612" s="3933"/>
      <c r="LRR612" s="3933"/>
      <c r="LRS612" s="621"/>
      <c r="LRT612" s="3933"/>
      <c r="LRU612" s="3933"/>
      <c r="LRV612" s="3933"/>
      <c r="LRW612" s="621"/>
      <c r="LRX612" s="3933"/>
      <c r="LRY612" s="3933"/>
      <c r="LRZ612" s="3933"/>
      <c r="LSA612" s="621"/>
      <c r="LSB612" s="3933"/>
      <c r="LSC612" s="3933"/>
      <c r="LSD612" s="3933"/>
      <c r="LSE612" s="621"/>
      <c r="LSF612" s="3933"/>
      <c r="LSG612" s="3933"/>
      <c r="LSH612" s="3933"/>
      <c r="LSI612" s="621"/>
      <c r="LSJ612" s="3933"/>
      <c r="LSK612" s="3933"/>
      <c r="LSL612" s="3933"/>
      <c r="LSM612" s="621"/>
      <c r="LSN612" s="3933"/>
      <c r="LSO612" s="3933"/>
      <c r="LSP612" s="3933"/>
      <c r="LSQ612" s="621"/>
      <c r="LSR612" s="3933"/>
      <c r="LSS612" s="3933"/>
      <c r="LST612" s="3933"/>
      <c r="LSU612" s="621"/>
      <c r="LSV612" s="3933"/>
      <c r="LSW612" s="3933"/>
      <c r="LSX612" s="3933"/>
      <c r="LSY612" s="621"/>
      <c r="LSZ612" s="3933"/>
      <c r="LTA612" s="3933"/>
      <c r="LTB612" s="3933"/>
      <c r="LTC612" s="621"/>
      <c r="LTD612" s="3933"/>
      <c r="LTE612" s="3933"/>
      <c r="LTF612" s="3933"/>
      <c r="LTG612" s="621"/>
      <c r="LTH612" s="3933"/>
      <c r="LTI612" s="3933"/>
      <c r="LTJ612" s="3933"/>
      <c r="LTK612" s="621"/>
      <c r="LTL612" s="3933"/>
      <c r="LTM612" s="3933"/>
      <c r="LTN612" s="3933"/>
      <c r="LTO612" s="621"/>
      <c r="LTP612" s="3933"/>
      <c r="LTQ612" s="3933"/>
      <c r="LTR612" s="3933"/>
      <c r="LTS612" s="621"/>
      <c r="LTT612" s="3933"/>
      <c r="LTU612" s="3933"/>
      <c r="LTV612" s="3933"/>
      <c r="LTW612" s="621"/>
      <c r="LTX612" s="3933"/>
      <c r="LTY612" s="3933"/>
      <c r="LTZ612" s="3933"/>
      <c r="LUA612" s="621"/>
      <c r="LUB612" s="3933"/>
      <c r="LUC612" s="3933"/>
      <c r="LUD612" s="3933"/>
      <c r="LUE612" s="621"/>
      <c r="LUF612" s="3933"/>
      <c r="LUG612" s="3933"/>
      <c r="LUH612" s="3933"/>
      <c r="LUI612" s="621"/>
      <c r="LUJ612" s="3933"/>
      <c r="LUK612" s="3933"/>
      <c r="LUL612" s="3933"/>
      <c r="LUM612" s="621"/>
      <c r="LUN612" s="3933"/>
      <c r="LUO612" s="3933"/>
      <c r="LUP612" s="3933"/>
      <c r="LUQ612" s="621"/>
      <c r="LUR612" s="3933"/>
      <c r="LUS612" s="3933"/>
      <c r="LUT612" s="3933"/>
      <c r="LUU612" s="621"/>
      <c r="LUV612" s="3933"/>
      <c r="LUW612" s="3933"/>
      <c r="LUX612" s="3933"/>
      <c r="LUY612" s="621"/>
      <c r="LUZ612" s="3933"/>
      <c r="LVA612" s="3933"/>
      <c r="LVB612" s="3933"/>
      <c r="LVC612" s="621"/>
      <c r="LVD612" s="3933"/>
      <c r="LVE612" s="3933"/>
      <c r="LVF612" s="3933"/>
      <c r="LVG612" s="621"/>
      <c r="LVH612" s="3933"/>
      <c r="LVI612" s="3933"/>
      <c r="LVJ612" s="3933"/>
      <c r="LVK612" s="621"/>
      <c r="LVL612" s="3933"/>
      <c r="LVM612" s="3933"/>
      <c r="LVN612" s="3933"/>
      <c r="LVO612" s="621"/>
      <c r="LVP612" s="3933"/>
      <c r="LVQ612" s="3933"/>
      <c r="LVR612" s="3933"/>
      <c r="LVS612" s="621"/>
      <c r="LVT612" s="3933"/>
      <c r="LVU612" s="3933"/>
      <c r="LVV612" s="3933"/>
      <c r="LVW612" s="621"/>
      <c r="LVX612" s="3933"/>
      <c r="LVY612" s="3933"/>
      <c r="LVZ612" s="3933"/>
      <c r="LWA612" s="621"/>
      <c r="LWB612" s="3933"/>
      <c r="LWC612" s="3933"/>
      <c r="LWD612" s="3933"/>
      <c r="LWE612" s="621"/>
      <c r="LWF612" s="3933"/>
      <c r="LWG612" s="3933"/>
      <c r="LWH612" s="3933"/>
      <c r="LWI612" s="621"/>
      <c r="LWJ612" s="3933"/>
      <c r="LWK612" s="3933"/>
      <c r="LWL612" s="3933"/>
      <c r="LWM612" s="621"/>
      <c r="LWN612" s="3933"/>
      <c r="LWO612" s="3933"/>
      <c r="LWP612" s="3933"/>
      <c r="LWQ612" s="621"/>
      <c r="LWR612" s="3933"/>
      <c r="LWS612" s="3933"/>
      <c r="LWT612" s="3933"/>
      <c r="LWU612" s="621"/>
      <c r="LWV612" s="3933"/>
      <c r="LWW612" s="3933"/>
      <c r="LWX612" s="3933"/>
      <c r="LWY612" s="621"/>
      <c r="LWZ612" s="3933"/>
      <c r="LXA612" s="3933"/>
      <c r="LXB612" s="3933"/>
      <c r="LXC612" s="621"/>
      <c r="LXD612" s="3933"/>
      <c r="LXE612" s="3933"/>
      <c r="LXF612" s="3933"/>
      <c r="LXG612" s="621"/>
      <c r="LXH612" s="3933"/>
      <c r="LXI612" s="3933"/>
      <c r="LXJ612" s="3933"/>
      <c r="LXK612" s="621"/>
      <c r="LXL612" s="3933"/>
      <c r="LXM612" s="3933"/>
      <c r="LXN612" s="3933"/>
      <c r="LXO612" s="621"/>
      <c r="LXP612" s="3933"/>
      <c r="LXQ612" s="3933"/>
      <c r="LXR612" s="3933"/>
      <c r="LXS612" s="621"/>
      <c r="LXT612" s="3933"/>
      <c r="LXU612" s="3933"/>
      <c r="LXV612" s="3933"/>
      <c r="LXW612" s="621"/>
      <c r="LXX612" s="3933"/>
      <c r="LXY612" s="3933"/>
      <c r="LXZ612" s="3933"/>
      <c r="LYA612" s="621"/>
      <c r="LYB612" s="3933"/>
      <c r="LYC612" s="3933"/>
      <c r="LYD612" s="3933"/>
      <c r="LYE612" s="621"/>
      <c r="LYF612" s="3933"/>
      <c r="LYG612" s="3933"/>
      <c r="LYH612" s="3933"/>
      <c r="LYI612" s="621"/>
      <c r="LYJ612" s="3933"/>
      <c r="LYK612" s="3933"/>
      <c r="LYL612" s="3933"/>
      <c r="LYM612" s="621"/>
      <c r="LYN612" s="3933"/>
      <c r="LYO612" s="3933"/>
      <c r="LYP612" s="3933"/>
      <c r="LYQ612" s="621"/>
      <c r="LYR612" s="3933"/>
      <c r="LYS612" s="3933"/>
      <c r="LYT612" s="3933"/>
      <c r="LYU612" s="621"/>
      <c r="LYV612" s="3933"/>
      <c r="LYW612" s="3933"/>
      <c r="LYX612" s="3933"/>
      <c r="LYY612" s="621"/>
      <c r="LYZ612" s="3933"/>
      <c r="LZA612" s="3933"/>
      <c r="LZB612" s="3933"/>
      <c r="LZC612" s="621"/>
      <c r="LZD612" s="3933"/>
      <c r="LZE612" s="3933"/>
      <c r="LZF612" s="3933"/>
      <c r="LZG612" s="621"/>
      <c r="LZH612" s="3933"/>
      <c r="LZI612" s="3933"/>
      <c r="LZJ612" s="3933"/>
      <c r="LZK612" s="621"/>
      <c r="LZL612" s="3933"/>
      <c r="LZM612" s="3933"/>
      <c r="LZN612" s="3933"/>
      <c r="LZO612" s="621"/>
      <c r="LZP612" s="3933"/>
      <c r="LZQ612" s="3933"/>
      <c r="LZR612" s="3933"/>
      <c r="LZS612" s="621"/>
      <c r="LZT612" s="3933"/>
      <c r="LZU612" s="3933"/>
      <c r="LZV612" s="3933"/>
      <c r="LZW612" s="621"/>
      <c r="LZX612" s="3933"/>
      <c r="LZY612" s="3933"/>
      <c r="LZZ612" s="3933"/>
      <c r="MAA612" s="621"/>
      <c r="MAB612" s="3933"/>
      <c r="MAC612" s="3933"/>
      <c r="MAD612" s="3933"/>
      <c r="MAE612" s="621"/>
      <c r="MAF612" s="3933"/>
      <c r="MAG612" s="3933"/>
      <c r="MAH612" s="3933"/>
      <c r="MAI612" s="621"/>
      <c r="MAJ612" s="3933"/>
      <c r="MAK612" s="3933"/>
      <c r="MAL612" s="3933"/>
      <c r="MAM612" s="621"/>
      <c r="MAN612" s="3933"/>
      <c r="MAO612" s="3933"/>
      <c r="MAP612" s="3933"/>
      <c r="MAQ612" s="621"/>
      <c r="MAR612" s="3933"/>
      <c r="MAS612" s="3933"/>
      <c r="MAT612" s="3933"/>
      <c r="MAU612" s="621"/>
      <c r="MAV612" s="3933"/>
      <c r="MAW612" s="3933"/>
      <c r="MAX612" s="3933"/>
      <c r="MAY612" s="621"/>
      <c r="MAZ612" s="3933"/>
      <c r="MBA612" s="3933"/>
      <c r="MBB612" s="3933"/>
      <c r="MBC612" s="621"/>
      <c r="MBD612" s="3933"/>
      <c r="MBE612" s="3933"/>
      <c r="MBF612" s="3933"/>
      <c r="MBG612" s="621"/>
      <c r="MBH612" s="3933"/>
      <c r="MBI612" s="3933"/>
      <c r="MBJ612" s="3933"/>
      <c r="MBK612" s="621"/>
      <c r="MBL612" s="3933"/>
      <c r="MBM612" s="3933"/>
      <c r="MBN612" s="3933"/>
      <c r="MBO612" s="621"/>
      <c r="MBP612" s="3933"/>
      <c r="MBQ612" s="3933"/>
      <c r="MBR612" s="3933"/>
      <c r="MBS612" s="621"/>
      <c r="MBT612" s="3933"/>
      <c r="MBU612" s="3933"/>
      <c r="MBV612" s="3933"/>
      <c r="MBW612" s="621"/>
      <c r="MBX612" s="3933"/>
      <c r="MBY612" s="3933"/>
      <c r="MBZ612" s="3933"/>
      <c r="MCA612" s="621"/>
      <c r="MCB612" s="3933"/>
      <c r="MCC612" s="3933"/>
      <c r="MCD612" s="3933"/>
      <c r="MCE612" s="621"/>
      <c r="MCF612" s="3933"/>
      <c r="MCG612" s="3933"/>
      <c r="MCH612" s="3933"/>
      <c r="MCI612" s="621"/>
      <c r="MCJ612" s="3933"/>
      <c r="MCK612" s="3933"/>
      <c r="MCL612" s="3933"/>
      <c r="MCM612" s="621"/>
      <c r="MCN612" s="3933"/>
      <c r="MCO612" s="3933"/>
      <c r="MCP612" s="3933"/>
      <c r="MCQ612" s="621"/>
      <c r="MCR612" s="3933"/>
      <c r="MCS612" s="3933"/>
      <c r="MCT612" s="3933"/>
      <c r="MCU612" s="621"/>
      <c r="MCV612" s="3933"/>
      <c r="MCW612" s="3933"/>
      <c r="MCX612" s="3933"/>
      <c r="MCY612" s="621"/>
      <c r="MCZ612" s="3933"/>
      <c r="MDA612" s="3933"/>
      <c r="MDB612" s="3933"/>
      <c r="MDC612" s="621"/>
      <c r="MDD612" s="3933"/>
      <c r="MDE612" s="3933"/>
      <c r="MDF612" s="3933"/>
      <c r="MDG612" s="621"/>
      <c r="MDH612" s="3933"/>
      <c r="MDI612" s="3933"/>
      <c r="MDJ612" s="3933"/>
      <c r="MDK612" s="621"/>
      <c r="MDL612" s="3933"/>
      <c r="MDM612" s="3933"/>
      <c r="MDN612" s="3933"/>
      <c r="MDO612" s="621"/>
      <c r="MDP612" s="3933"/>
      <c r="MDQ612" s="3933"/>
      <c r="MDR612" s="3933"/>
      <c r="MDS612" s="621"/>
      <c r="MDT612" s="3933"/>
      <c r="MDU612" s="3933"/>
      <c r="MDV612" s="3933"/>
      <c r="MDW612" s="621"/>
      <c r="MDX612" s="3933"/>
      <c r="MDY612" s="3933"/>
      <c r="MDZ612" s="3933"/>
      <c r="MEA612" s="621"/>
      <c r="MEB612" s="3933"/>
      <c r="MEC612" s="3933"/>
      <c r="MED612" s="3933"/>
      <c r="MEE612" s="621"/>
      <c r="MEF612" s="3933"/>
      <c r="MEG612" s="3933"/>
      <c r="MEH612" s="3933"/>
      <c r="MEI612" s="621"/>
      <c r="MEJ612" s="3933"/>
      <c r="MEK612" s="3933"/>
      <c r="MEL612" s="3933"/>
      <c r="MEM612" s="621"/>
      <c r="MEN612" s="3933"/>
      <c r="MEO612" s="3933"/>
      <c r="MEP612" s="3933"/>
      <c r="MEQ612" s="621"/>
      <c r="MER612" s="3933"/>
      <c r="MES612" s="3933"/>
      <c r="MET612" s="3933"/>
      <c r="MEU612" s="621"/>
      <c r="MEV612" s="3933"/>
      <c r="MEW612" s="3933"/>
      <c r="MEX612" s="3933"/>
      <c r="MEY612" s="621"/>
      <c r="MEZ612" s="3933"/>
      <c r="MFA612" s="3933"/>
      <c r="MFB612" s="3933"/>
      <c r="MFC612" s="621"/>
      <c r="MFD612" s="3933"/>
      <c r="MFE612" s="3933"/>
      <c r="MFF612" s="3933"/>
      <c r="MFG612" s="621"/>
      <c r="MFH612" s="3933"/>
      <c r="MFI612" s="3933"/>
      <c r="MFJ612" s="3933"/>
      <c r="MFK612" s="621"/>
      <c r="MFL612" s="3933"/>
      <c r="MFM612" s="3933"/>
      <c r="MFN612" s="3933"/>
      <c r="MFO612" s="621"/>
      <c r="MFP612" s="3933"/>
      <c r="MFQ612" s="3933"/>
      <c r="MFR612" s="3933"/>
      <c r="MFS612" s="621"/>
      <c r="MFT612" s="3933"/>
      <c r="MFU612" s="3933"/>
      <c r="MFV612" s="3933"/>
      <c r="MFW612" s="621"/>
      <c r="MFX612" s="3933"/>
      <c r="MFY612" s="3933"/>
      <c r="MFZ612" s="3933"/>
      <c r="MGA612" s="621"/>
      <c r="MGB612" s="3933"/>
      <c r="MGC612" s="3933"/>
      <c r="MGD612" s="3933"/>
      <c r="MGE612" s="621"/>
      <c r="MGF612" s="3933"/>
      <c r="MGG612" s="3933"/>
      <c r="MGH612" s="3933"/>
      <c r="MGI612" s="621"/>
      <c r="MGJ612" s="3933"/>
      <c r="MGK612" s="3933"/>
      <c r="MGL612" s="3933"/>
      <c r="MGM612" s="621"/>
      <c r="MGN612" s="3933"/>
      <c r="MGO612" s="3933"/>
      <c r="MGP612" s="3933"/>
      <c r="MGQ612" s="621"/>
      <c r="MGR612" s="3933"/>
      <c r="MGS612" s="3933"/>
      <c r="MGT612" s="3933"/>
      <c r="MGU612" s="621"/>
      <c r="MGV612" s="3933"/>
      <c r="MGW612" s="3933"/>
      <c r="MGX612" s="3933"/>
      <c r="MGY612" s="621"/>
      <c r="MGZ612" s="3933"/>
      <c r="MHA612" s="3933"/>
      <c r="MHB612" s="3933"/>
      <c r="MHC612" s="621"/>
      <c r="MHD612" s="3933"/>
      <c r="MHE612" s="3933"/>
      <c r="MHF612" s="3933"/>
      <c r="MHG612" s="621"/>
      <c r="MHH612" s="3933"/>
      <c r="MHI612" s="3933"/>
      <c r="MHJ612" s="3933"/>
      <c r="MHK612" s="621"/>
      <c r="MHL612" s="3933"/>
      <c r="MHM612" s="3933"/>
      <c r="MHN612" s="3933"/>
      <c r="MHO612" s="621"/>
      <c r="MHP612" s="3933"/>
      <c r="MHQ612" s="3933"/>
      <c r="MHR612" s="3933"/>
      <c r="MHS612" s="621"/>
      <c r="MHT612" s="3933"/>
      <c r="MHU612" s="3933"/>
      <c r="MHV612" s="3933"/>
      <c r="MHW612" s="621"/>
      <c r="MHX612" s="3933"/>
      <c r="MHY612" s="3933"/>
      <c r="MHZ612" s="3933"/>
      <c r="MIA612" s="621"/>
      <c r="MIB612" s="3933"/>
      <c r="MIC612" s="3933"/>
      <c r="MID612" s="3933"/>
      <c r="MIE612" s="621"/>
      <c r="MIF612" s="3933"/>
      <c r="MIG612" s="3933"/>
      <c r="MIH612" s="3933"/>
      <c r="MII612" s="621"/>
      <c r="MIJ612" s="3933"/>
      <c r="MIK612" s="3933"/>
      <c r="MIL612" s="3933"/>
      <c r="MIM612" s="621"/>
      <c r="MIN612" s="3933"/>
      <c r="MIO612" s="3933"/>
      <c r="MIP612" s="3933"/>
      <c r="MIQ612" s="621"/>
      <c r="MIR612" s="3933"/>
      <c r="MIS612" s="3933"/>
      <c r="MIT612" s="3933"/>
      <c r="MIU612" s="621"/>
      <c r="MIV612" s="3933"/>
      <c r="MIW612" s="3933"/>
      <c r="MIX612" s="3933"/>
      <c r="MIY612" s="621"/>
      <c r="MIZ612" s="3933"/>
      <c r="MJA612" s="3933"/>
      <c r="MJB612" s="3933"/>
      <c r="MJC612" s="621"/>
      <c r="MJD612" s="3933"/>
      <c r="MJE612" s="3933"/>
      <c r="MJF612" s="3933"/>
      <c r="MJG612" s="621"/>
      <c r="MJH612" s="3933"/>
      <c r="MJI612" s="3933"/>
      <c r="MJJ612" s="3933"/>
      <c r="MJK612" s="621"/>
      <c r="MJL612" s="3933"/>
      <c r="MJM612" s="3933"/>
      <c r="MJN612" s="3933"/>
      <c r="MJO612" s="621"/>
      <c r="MJP612" s="3933"/>
      <c r="MJQ612" s="3933"/>
      <c r="MJR612" s="3933"/>
      <c r="MJS612" s="621"/>
      <c r="MJT612" s="3933"/>
      <c r="MJU612" s="3933"/>
      <c r="MJV612" s="3933"/>
      <c r="MJW612" s="621"/>
      <c r="MJX612" s="3933"/>
      <c r="MJY612" s="3933"/>
      <c r="MJZ612" s="3933"/>
      <c r="MKA612" s="621"/>
      <c r="MKB612" s="3933"/>
      <c r="MKC612" s="3933"/>
      <c r="MKD612" s="3933"/>
      <c r="MKE612" s="621"/>
      <c r="MKF612" s="3933"/>
      <c r="MKG612" s="3933"/>
      <c r="MKH612" s="3933"/>
      <c r="MKI612" s="621"/>
      <c r="MKJ612" s="3933"/>
      <c r="MKK612" s="3933"/>
      <c r="MKL612" s="3933"/>
      <c r="MKM612" s="621"/>
      <c r="MKN612" s="3933"/>
      <c r="MKO612" s="3933"/>
      <c r="MKP612" s="3933"/>
      <c r="MKQ612" s="621"/>
      <c r="MKR612" s="3933"/>
      <c r="MKS612" s="3933"/>
      <c r="MKT612" s="3933"/>
      <c r="MKU612" s="621"/>
      <c r="MKV612" s="3933"/>
      <c r="MKW612" s="3933"/>
      <c r="MKX612" s="3933"/>
      <c r="MKY612" s="621"/>
      <c r="MKZ612" s="3933"/>
      <c r="MLA612" s="3933"/>
      <c r="MLB612" s="3933"/>
      <c r="MLC612" s="621"/>
      <c r="MLD612" s="3933"/>
      <c r="MLE612" s="3933"/>
      <c r="MLF612" s="3933"/>
      <c r="MLG612" s="621"/>
      <c r="MLH612" s="3933"/>
      <c r="MLI612" s="3933"/>
      <c r="MLJ612" s="3933"/>
      <c r="MLK612" s="621"/>
      <c r="MLL612" s="3933"/>
      <c r="MLM612" s="3933"/>
      <c r="MLN612" s="3933"/>
      <c r="MLO612" s="621"/>
      <c r="MLP612" s="3933"/>
      <c r="MLQ612" s="3933"/>
      <c r="MLR612" s="3933"/>
      <c r="MLS612" s="621"/>
      <c r="MLT612" s="3933"/>
      <c r="MLU612" s="3933"/>
      <c r="MLV612" s="3933"/>
      <c r="MLW612" s="621"/>
      <c r="MLX612" s="3933"/>
      <c r="MLY612" s="3933"/>
      <c r="MLZ612" s="3933"/>
      <c r="MMA612" s="621"/>
      <c r="MMB612" s="3933"/>
      <c r="MMC612" s="3933"/>
      <c r="MMD612" s="3933"/>
      <c r="MME612" s="621"/>
      <c r="MMF612" s="3933"/>
      <c r="MMG612" s="3933"/>
      <c r="MMH612" s="3933"/>
      <c r="MMI612" s="621"/>
      <c r="MMJ612" s="3933"/>
      <c r="MMK612" s="3933"/>
      <c r="MML612" s="3933"/>
      <c r="MMM612" s="621"/>
      <c r="MMN612" s="3933"/>
      <c r="MMO612" s="3933"/>
      <c r="MMP612" s="3933"/>
      <c r="MMQ612" s="621"/>
      <c r="MMR612" s="3933"/>
      <c r="MMS612" s="3933"/>
      <c r="MMT612" s="3933"/>
      <c r="MMU612" s="621"/>
      <c r="MMV612" s="3933"/>
      <c r="MMW612" s="3933"/>
      <c r="MMX612" s="3933"/>
      <c r="MMY612" s="621"/>
      <c r="MMZ612" s="3933"/>
      <c r="MNA612" s="3933"/>
      <c r="MNB612" s="3933"/>
      <c r="MNC612" s="621"/>
      <c r="MND612" s="3933"/>
      <c r="MNE612" s="3933"/>
      <c r="MNF612" s="3933"/>
      <c r="MNG612" s="621"/>
      <c r="MNH612" s="3933"/>
      <c r="MNI612" s="3933"/>
      <c r="MNJ612" s="3933"/>
      <c r="MNK612" s="621"/>
      <c r="MNL612" s="3933"/>
      <c r="MNM612" s="3933"/>
      <c r="MNN612" s="3933"/>
      <c r="MNO612" s="621"/>
      <c r="MNP612" s="3933"/>
      <c r="MNQ612" s="3933"/>
      <c r="MNR612" s="3933"/>
      <c r="MNS612" s="621"/>
      <c r="MNT612" s="3933"/>
      <c r="MNU612" s="3933"/>
      <c r="MNV612" s="3933"/>
      <c r="MNW612" s="621"/>
      <c r="MNX612" s="3933"/>
      <c r="MNY612" s="3933"/>
      <c r="MNZ612" s="3933"/>
      <c r="MOA612" s="621"/>
      <c r="MOB612" s="3933"/>
      <c r="MOC612" s="3933"/>
      <c r="MOD612" s="3933"/>
      <c r="MOE612" s="621"/>
      <c r="MOF612" s="3933"/>
      <c r="MOG612" s="3933"/>
      <c r="MOH612" s="3933"/>
      <c r="MOI612" s="621"/>
      <c r="MOJ612" s="3933"/>
      <c r="MOK612" s="3933"/>
      <c r="MOL612" s="3933"/>
      <c r="MOM612" s="621"/>
      <c r="MON612" s="3933"/>
      <c r="MOO612" s="3933"/>
      <c r="MOP612" s="3933"/>
      <c r="MOQ612" s="621"/>
      <c r="MOR612" s="3933"/>
      <c r="MOS612" s="3933"/>
      <c r="MOT612" s="3933"/>
      <c r="MOU612" s="621"/>
      <c r="MOV612" s="3933"/>
      <c r="MOW612" s="3933"/>
      <c r="MOX612" s="3933"/>
      <c r="MOY612" s="621"/>
      <c r="MOZ612" s="3933"/>
      <c r="MPA612" s="3933"/>
      <c r="MPB612" s="3933"/>
      <c r="MPC612" s="621"/>
      <c r="MPD612" s="3933"/>
      <c r="MPE612" s="3933"/>
      <c r="MPF612" s="3933"/>
      <c r="MPG612" s="621"/>
      <c r="MPH612" s="3933"/>
      <c r="MPI612" s="3933"/>
      <c r="MPJ612" s="3933"/>
      <c r="MPK612" s="621"/>
      <c r="MPL612" s="3933"/>
      <c r="MPM612" s="3933"/>
      <c r="MPN612" s="3933"/>
      <c r="MPO612" s="621"/>
      <c r="MPP612" s="3933"/>
      <c r="MPQ612" s="3933"/>
      <c r="MPR612" s="3933"/>
      <c r="MPS612" s="621"/>
      <c r="MPT612" s="3933"/>
      <c r="MPU612" s="3933"/>
      <c r="MPV612" s="3933"/>
      <c r="MPW612" s="621"/>
      <c r="MPX612" s="3933"/>
      <c r="MPY612" s="3933"/>
      <c r="MPZ612" s="3933"/>
      <c r="MQA612" s="621"/>
      <c r="MQB612" s="3933"/>
      <c r="MQC612" s="3933"/>
      <c r="MQD612" s="3933"/>
      <c r="MQE612" s="621"/>
      <c r="MQF612" s="3933"/>
      <c r="MQG612" s="3933"/>
      <c r="MQH612" s="3933"/>
      <c r="MQI612" s="621"/>
      <c r="MQJ612" s="3933"/>
      <c r="MQK612" s="3933"/>
      <c r="MQL612" s="3933"/>
      <c r="MQM612" s="621"/>
      <c r="MQN612" s="3933"/>
      <c r="MQO612" s="3933"/>
      <c r="MQP612" s="3933"/>
      <c r="MQQ612" s="621"/>
      <c r="MQR612" s="3933"/>
      <c r="MQS612" s="3933"/>
      <c r="MQT612" s="3933"/>
      <c r="MQU612" s="621"/>
      <c r="MQV612" s="3933"/>
      <c r="MQW612" s="3933"/>
      <c r="MQX612" s="3933"/>
      <c r="MQY612" s="621"/>
      <c r="MQZ612" s="3933"/>
      <c r="MRA612" s="3933"/>
      <c r="MRB612" s="3933"/>
      <c r="MRC612" s="621"/>
      <c r="MRD612" s="3933"/>
      <c r="MRE612" s="3933"/>
      <c r="MRF612" s="3933"/>
      <c r="MRG612" s="621"/>
      <c r="MRH612" s="3933"/>
      <c r="MRI612" s="3933"/>
      <c r="MRJ612" s="3933"/>
      <c r="MRK612" s="621"/>
      <c r="MRL612" s="3933"/>
      <c r="MRM612" s="3933"/>
      <c r="MRN612" s="3933"/>
      <c r="MRO612" s="621"/>
      <c r="MRP612" s="3933"/>
      <c r="MRQ612" s="3933"/>
      <c r="MRR612" s="3933"/>
      <c r="MRS612" s="621"/>
      <c r="MRT612" s="3933"/>
      <c r="MRU612" s="3933"/>
      <c r="MRV612" s="3933"/>
      <c r="MRW612" s="621"/>
      <c r="MRX612" s="3933"/>
      <c r="MRY612" s="3933"/>
      <c r="MRZ612" s="3933"/>
      <c r="MSA612" s="621"/>
      <c r="MSB612" s="3933"/>
      <c r="MSC612" s="3933"/>
      <c r="MSD612" s="3933"/>
      <c r="MSE612" s="621"/>
      <c r="MSF612" s="3933"/>
      <c r="MSG612" s="3933"/>
      <c r="MSH612" s="3933"/>
      <c r="MSI612" s="621"/>
      <c r="MSJ612" s="3933"/>
      <c r="MSK612" s="3933"/>
      <c r="MSL612" s="3933"/>
      <c r="MSM612" s="621"/>
      <c r="MSN612" s="3933"/>
      <c r="MSO612" s="3933"/>
      <c r="MSP612" s="3933"/>
      <c r="MSQ612" s="621"/>
      <c r="MSR612" s="3933"/>
      <c r="MSS612" s="3933"/>
      <c r="MST612" s="3933"/>
      <c r="MSU612" s="621"/>
      <c r="MSV612" s="3933"/>
      <c r="MSW612" s="3933"/>
      <c r="MSX612" s="3933"/>
      <c r="MSY612" s="621"/>
      <c r="MSZ612" s="3933"/>
      <c r="MTA612" s="3933"/>
      <c r="MTB612" s="3933"/>
      <c r="MTC612" s="621"/>
      <c r="MTD612" s="3933"/>
      <c r="MTE612" s="3933"/>
      <c r="MTF612" s="3933"/>
      <c r="MTG612" s="621"/>
      <c r="MTH612" s="3933"/>
      <c r="MTI612" s="3933"/>
      <c r="MTJ612" s="3933"/>
      <c r="MTK612" s="621"/>
      <c r="MTL612" s="3933"/>
      <c r="MTM612" s="3933"/>
      <c r="MTN612" s="3933"/>
      <c r="MTO612" s="621"/>
      <c r="MTP612" s="3933"/>
      <c r="MTQ612" s="3933"/>
      <c r="MTR612" s="3933"/>
      <c r="MTS612" s="621"/>
      <c r="MTT612" s="3933"/>
      <c r="MTU612" s="3933"/>
      <c r="MTV612" s="3933"/>
      <c r="MTW612" s="621"/>
      <c r="MTX612" s="3933"/>
      <c r="MTY612" s="3933"/>
      <c r="MTZ612" s="3933"/>
      <c r="MUA612" s="621"/>
      <c r="MUB612" s="3933"/>
      <c r="MUC612" s="3933"/>
      <c r="MUD612" s="3933"/>
      <c r="MUE612" s="621"/>
      <c r="MUF612" s="3933"/>
      <c r="MUG612" s="3933"/>
      <c r="MUH612" s="3933"/>
      <c r="MUI612" s="621"/>
      <c r="MUJ612" s="3933"/>
      <c r="MUK612" s="3933"/>
      <c r="MUL612" s="3933"/>
      <c r="MUM612" s="621"/>
      <c r="MUN612" s="3933"/>
      <c r="MUO612" s="3933"/>
      <c r="MUP612" s="3933"/>
      <c r="MUQ612" s="621"/>
      <c r="MUR612" s="3933"/>
      <c r="MUS612" s="3933"/>
      <c r="MUT612" s="3933"/>
      <c r="MUU612" s="621"/>
      <c r="MUV612" s="3933"/>
      <c r="MUW612" s="3933"/>
      <c r="MUX612" s="3933"/>
      <c r="MUY612" s="621"/>
      <c r="MUZ612" s="3933"/>
      <c r="MVA612" s="3933"/>
      <c r="MVB612" s="3933"/>
      <c r="MVC612" s="621"/>
      <c r="MVD612" s="3933"/>
      <c r="MVE612" s="3933"/>
      <c r="MVF612" s="3933"/>
      <c r="MVG612" s="621"/>
      <c r="MVH612" s="3933"/>
      <c r="MVI612" s="3933"/>
      <c r="MVJ612" s="3933"/>
      <c r="MVK612" s="621"/>
      <c r="MVL612" s="3933"/>
      <c r="MVM612" s="3933"/>
      <c r="MVN612" s="3933"/>
      <c r="MVO612" s="621"/>
      <c r="MVP612" s="3933"/>
      <c r="MVQ612" s="3933"/>
      <c r="MVR612" s="3933"/>
      <c r="MVS612" s="621"/>
      <c r="MVT612" s="3933"/>
      <c r="MVU612" s="3933"/>
      <c r="MVV612" s="3933"/>
      <c r="MVW612" s="621"/>
      <c r="MVX612" s="3933"/>
      <c r="MVY612" s="3933"/>
      <c r="MVZ612" s="3933"/>
      <c r="MWA612" s="621"/>
      <c r="MWB612" s="3933"/>
      <c r="MWC612" s="3933"/>
      <c r="MWD612" s="3933"/>
      <c r="MWE612" s="621"/>
      <c r="MWF612" s="3933"/>
      <c r="MWG612" s="3933"/>
      <c r="MWH612" s="3933"/>
      <c r="MWI612" s="621"/>
      <c r="MWJ612" s="3933"/>
      <c r="MWK612" s="3933"/>
      <c r="MWL612" s="3933"/>
      <c r="MWM612" s="621"/>
      <c r="MWN612" s="3933"/>
      <c r="MWO612" s="3933"/>
      <c r="MWP612" s="3933"/>
      <c r="MWQ612" s="621"/>
      <c r="MWR612" s="3933"/>
      <c r="MWS612" s="3933"/>
      <c r="MWT612" s="3933"/>
      <c r="MWU612" s="621"/>
      <c r="MWV612" s="3933"/>
      <c r="MWW612" s="3933"/>
      <c r="MWX612" s="3933"/>
      <c r="MWY612" s="621"/>
      <c r="MWZ612" s="3933"/>
      <c r="MXA612" s="3933"/>
      <c r="MXB612" s="3933"/>
      <c r="MXC612" s="621"/>
      <c r="MXD612" s="3933"/>
      <c r="MXE612" s="3933"/>
      <c r="MXF612" s="3933"/>
      <c r="MXG612" s="621"/>
      <c r="MXH612" s="3933"/>
      <c r="MXI612" s="3933"/>
      <c r="MXJ612" s="3933"/>
      <c r="MXK612" s="621"/>
      <c r="MXL612" s="3933"/>
      <c r="MXM612" s="3933"/>
      <c r="MXN612" s="3933"/>
      <c r="MXO612" s="621"/>
      <c r="MXP612" s="3933"/>
      <c r="MXQ612" s="3933"/>
      <c r="MXR612" s="3933"/>
      <c r="MXS612" s="621"/>
      <c r="MXT612" s="3933"/>
      <c r="MXU612" s="3933"/>
      <c r="MXV612" s="3933"/>
      <c r="MXW612" s="621"/>
      <c r="MXX612" s="3933"/>
      <c r="MXY612" s="3933"/>
      <c r="MXZ612" s="3933"/>
      <c r="MYA612" s="621"/>
      <c r="MYB612" s="3933"/>
      <c r="MYC612" s="3933"/>
      <c r="MYD612" s="3933"/>
      <c r="MYE612" s="621"/>
      <c r="MYF612" s="3933"/>
      <c r="MYG612" s="3933"/>
      <c r="MYH612" s="3933"/>
      <c r="MYI612" s="621"/>
      <c r="MYJ612" s="3933"/>
      <c r="MYK612" s="3933"/>
      <c r="MYL612" s="3933"/>
      <c r="MYM612" s="621"/>
      <c r="MYN612" s="3933"/>
      <c r="MYO612" s="3933"/>
      <c r="MYP612" s="3933"/>
      <c r="MYQ612" s="621"/>
      <c r="MYR612" s="3933"/>
      <c r="MYS612" s="3933"/>
      <c r="MYT612" s="3933"/>
      <c r="MYU612" s="621"/>
      <c r="MYV612" s="3933"/>
      <c r="MYW612" s="3933"/>
      <c r="MYX612" s="3933"/>
      <c r="MYY612" s="621"/>
      <c r="MYZ612" s="3933"/>
      <c r="MZA612" s="3933"/>
      <c r="MZB612" s="3933"/>
      <c r="MZC612" s="621"/>
      <c r="MZD612" s="3933"/>
      <c r="MZE612" s="3933"/>
      <c r="MZF612" s="3933"/>
      <c r="MZG612" s="621"/>
      <c r="MZH612" s="3933"/>
      <c r="MZI612" s="3933"/>
      <c r="MZJ612" s="3933"/>
      <c r="MZK612" s="621"/>
      <c r="MZL612" s="3933"/>
      <c r="MZM612" s="3933"/>
      <c r="MZN612" s="3933"/>
      <c r="MZO612" s="621"/>
      <c r="MZP612" s="3933"/>
      <c r="MZQ612" s="3933"/>
      <c r="MZR612" s="3933"/>
      <c r="MZS612" s="621"/>
      <c r="MZT612" s="3933"/>
      <c r="MZU612" s="3933"/>
      <c r="MZV612" s="3933"/>
      <c r="MZW612" s="621"/>
      <c r="MZX612" s="3933"/>
      <c r="MZY612" s="3933"/>
      <c r="MZZ612" s="3933"/>
      <c r="NAA612" s="621"/>
      <c r="NAB612" s="3933"/>
      <c r="NAC612" s="3933"/>
      <c r="NAD612" s="3933"/>
      <c r="NAE612" s="621"/>
      <c r="NAF612" s="3933"/>
      <c r="NAG612" s="3933"/>
      <c r="NAH612" s="3933"/>
      <c r="NAI612" s="621"/>
      <c r="NAJ612" s="3933"/>
      <c r="NAK612" s="3933"/>
      <c r="NAL612" s="3933"/>
      <c r="NAM612" s="621"/>
      <c r="NAN612" s="3933"/>
      <c r="NAO612" s="3933"/>
      <c r="NAP612" s="3933"/>
      <c r="NAQ612" s="621"/>
      <c r="NAR612" s="3933"/>
      <c r="NAS612" s="3933"/>
      <c r="NAT612" s="3933"/>
      <c r="NAU612" s="621"/>
      <c r="NAV612" s="3933"/>
      <c r="NAW612" s="3933"/>
      <c r="NAX612" s="3933"/>
      <c r="NAY612" s="621"/>
      <c r="NAZ612" s="3933"/>
      <c r="NBA612" s="3933"/>
      <c r="NBB612" s="3933"/>
      <c r="NBC612" s="621"/>
      <c r="NBD612" s="3933"/>
      <c r="NBE612" s="3933"/>
      <c r="NBF612" s="3933"/>
      <c r="NBG612" s="621"/>
      <c r="NBH612" s="3933"/>
      <c r="NBI612" s="3933"/>
      <c r="NBJ612" s="3933"/>
      <c r="NBK612" s="621"/>
      <c r="NBL612" s="3933"/>
      <c r="NBM612" s="3933"/>
      <c r="NBN612" s="3933"/>
      <c r="NBO612" s="621"/>
      <c r="NBP612" s="3933"/>
      <c r="NBQ612" s="3933"/>
      <c r="NBR612" s="3933"/>
      <c r="NBS612" s="621"/>
      <c r="NBT612" s="3933"/>
      <c r="NBU612" s="3933"/>
      <c r="NBV612" s="3933"/>
      <c r="NBW612" s="621"/>
      <c r="NBX612" s="3933"/>
      <c r="NBY612" s="3933"/>
      <c r="NBZ612" s="3933"/>
      <c r="NCA612" s="621"/>
      <c r="NCB612" s="3933"/>
      <c r="NCC612" s="3933"/>
      <c r="NCD612" s="3933"/>
      <c r="NCE612" s="621"/>
      <c r="NCF612" s="3933"/>
      <c r="NCG612" s="3933"/>
      <c r="NCH612" s="3933"/>
      <c r="NCI612" s="621"/>
      <c r="NCJ612" s="3933"/>
      <c r="NCK612" s="3933"/>
      <c r="NCL612" s="3933"/>
      <c r="NCM612" s="621"/>
      <c r="NCN612" s="3933"/>
      <c r="NCO612" s="3933"/>
      <c r="NCP612" s="3933"/>
      <c r="NCQ612" s="621"/>
      <c r="NCR612" s="3933"/>
      <c r="NCS612" s="3933"/>
      <c r="NCT612" s="3933"/>
      <c r="NCU612" s="621"/>
      <c r="NCV612" s="3933"/>
      <c r="NCW612" s="3933"/>
      <c r="NCX612" s="3933"/>
      <c r="NCY612" s="621"/>
      <c r="NCZ612" s="3933"/>
      <c r="NDA612" s="3933"/>
      <c r="NDB612" s="3933"/>
      <c r="NDC612" s="621"/>
      <c r="NDD612" s="3933"/>
      <c r="NDE612" s="3933"/>
      <c r="NDF612" s="3933"/>
      <c r="NDG612" s="621"/>
      <c r="NDH612" s="3933"/>
      <c r="NDI612" s="3933"/>
      <c r="NDJ612" s="3933"/>
      <c r="NDK612" s="621"/>
      <c r="NDL612" s="3933"/>
      <c r="NDM612" s="3933"/>
      <c r="NDN612" s="3933"/>
      <c r="NDO612" s="621"/>
      <c r="NDP612" s="3933"/>
      <c r="NDQ612" s="3933"/>
      <c r="NDR612" s="3933"/>
      <c r="NDS612" s="621"/>
      <c r="NDT612" s="3933"/>
      <c r="NDU612" s="3933"/>
      <c r="NDV612" s="3933"/>
      <c r="NDW612" s="621"/>
      <c r="NDX612" s="3933"/>
      <c r="NDY612" s="3933"/>
      <c r="NDZ612" s="3933"/>
      <c r="NEA612" s="621"/>
      <c r="NEB612" s="3933"/>
      <c r="NEC612" s="3933"/>
      <c r="NED612" s="3933"/>
      <c r="NEE612" s="621"/>
      <c r="NEF612" s="3933"/>
      <c r="NEG612" s="3933"/>
      <c r="NEH612" s="3933"/>
      <c r="NEI612" s="621"/>
      <c r="NEJ612" s="3933"/>
      <c r="NEK612" s="3933"/>
      <c r="NEL612" s="3933"/>
      <c r="NEM612" s="621"/>
      <c r="NEN612" s="3933"/>
      <c r="NEO612" s="3933"/>
      <c r="NEP612" s="3933"/>
      <c r="NEQ612" s="621"/>
      <c r="NER612" s="3933"/>
      <c r="NES612" s="3933"/>
      <c r="NET612" s="3933"/>
      <c r="NEU612" s="621"/>
      <c r="NEV612" s="3933"/>
      <c r="NEW612" s="3933"/>
      <c r="NEX612" s="3933"/>
      <c r="NEY612" s="621"/>
      <c r="NEZ612" s="3933"/>
      <c r="NFA612" s="3933"/>
      <c r="NFB612" s="3933"/>
      <c r="NFC612" s="621"/>
      <c r="NFD612" s="3933"/>
      <c r="NFE612" s="3933"/>
      <c r="NFF612" s="3933"/>
      <c r="NFG612" s="621"/>
      <c r="NFH612" s="3933"/>
      <c r="NFI612" s="3933"/>
      <c r="NFJ612" s="3933"/>
      <c r="NFK612" s="621"/>
      <c r="NFL612" s="3933"/>
      <c r="NFM612" s="3933"/>
      <c r="NFN612" s="3933"/>
      <c r="NFO612" s="621"/>
      <c r="NFP612" s="3933"/>
      <c r="NFQ612" s="3933"/>
      <c r="NFR612" s="3933"/>
      <c r="NFS612" s="621"/>
      <c r="NFT612" s="3933"/>
      <c r="NFU612" s="3933"/>
      <c r="NFV612" s="3933"/>
      <c r="NFW612" s="621"/>
      <c r="NFX612" s="3933"/>
      <c r="NFY612" s="3933"/>
      <c r="NFZ612" s="3933"/>
      <c r="NGA612" s="621"/>
      <c r="NGB612" s="3933"/>
      <c r="NGC612" s="3933"/>
      <c r="NGD612" s="3933"/>
      <c r="NGE612" s="621"/>
      <c r="NGF612" s="3933"/>
      <c r="NGG612" s="3933"/>
      <c r="NGH612" s="3933"/>
      <c r="NGI612" s="621"/>
      <c r="NGJ612" s="3933"/>
      <c r="NGK612" s="3933"/>
      <c r="NGL612" s="3933"/>
      <c r="NGM612" s="621"/>
      <c r="NGN612" s="3933"/>
      <c r="NGO612" s="3933"/>
      <c r="NGP612" s="3933"/>
      <c r="NGQ612" s="621"/>
      <c r="NGR612" s="3933"/>
      <c r="NGS612" s="3933"/>
      <c r="NGT612" s="3933"/>
      <c r="NGU612" s="621"/>
      <c r="NGV612" s="3933"/>
      <c r="NGW612" s="3933"/>
      <c r="NGX612" s="3933"/>
      <c r="NGY612" s="621"/>
      <c r="NGZ612" s="3933"/>
      <c r="NHA612" s="3933"/>
      <c r="NHB612" s="3933"/>
      <c r="NHC612" s="621"/>
      <c r="NHD612" s="3933"/>
      <c r="NHE612" s="3933"/>
      <c r="NHF612" s="3933"/>
      <c r="NHG612" s="621"/>
      <c r="NHH612" s="3933"/>
      <c r="NHI612" s="3933"/>
      <c r="NHJ612" s="3933"/>
      <c r="NHK612" s="621"/>
      <c r="NHL612" s="3933"/>
      <c r="NHM612" s="3933"/>
      <c r="NHN612" s="3933"/>
      <c r="NHO612" s="621"/>
      <c r="NHP612" s="3933"/>
      <c r="NHQ612" s="3933"/>
      <c r="NHR612" s="3933"/>
      <c r="NHS612" s="621"/>
      <c r="NHT612" s="3933"/>
      <c r="NHU612" s="3933"/>
      <c r="NHV612" s="3933"/>
      <c r="NHW612" s="621"/>
      <c r="NHX612" s="3933"/>
      <c r="NHY612" s="3933"/>
      <c r="NHZ612" s="3933"/>
      <c r="NIA612" s="621"/>
      <c r="NIB612" s="3933"/>
      <c r="NIC612" s="3933"/>
      <c r="NID612" s="3933"/>
      <c r="NIE612" s="621"/>
      <c r="NIF612" s="3933"/>
      <c r="NIG612" s="3933"/>
      <c r="NIH612" s="3933"/>
      <c r="NII612" s="621"/>
      <c r="NIJ612" s="3933"/>
      <c r="NIK612" s="3933"/>
      <c r="NIL612" s="3933"/>
      <c r="NIM612" s="621"/>
      <c r="NIN612" s="3933"/>
      <c r="NIO612" s="3933"/>
      <c r="NIP612" s="3933"/>
      <c r="NIQ612" s="621"/>
      <c r="NIR612" s="3933"/>
      <c r="NIS612" s="3933"/>
      <c r="NIT612" s="3933"/>
      <c r="NIU612" s="621"/>
      <c r="NIV612" s="3933"/>
      <c r="NIW612" s="3933"/>
      <c r="NIX612" s="3933"/>
      <c r="NIY612" s="621"/>
      <c r="NIZ612" s="3933"/>
      <c r="NJA612" s="3933"/>
      <c r="NJB612" s="3933"/>
      <c r="NJC612" s="621"/>
      <c r="NJD612" s="3933"/>
      <c r="NJE612" s="3933"/>
      <c r="NJF612" s="3933"/>
      <c r="NJG612" s="621"/>
      <c r="NJH612" s="3933"/>
      <c r="NJI612" s="3933"/>
      <c r="NJJ612" s="3933"/>
      <c r="NJK612" s="621"/>
      <c r="NJL612" s="3933"/>
      <c r="NJM612" s="3933"/>
      <c r="NJN612" s="3933"/>
      <c r="NJO612" s="621"/>
      <c r="NJP612" s="3933"/>
      <c r="NJQ612" s="3933"/>
      <c r="NJR612" s="3933"/>
      <c r="NJS612" s="621"/>
      <c r="NJT612" s="3933"/>
      <c r="NJU612" s="3933"/>
      <c r="NJV612" s="3933"/>
      <c r="NJW612" s="621"/>
      <c r="NJX612" s="3933"/>
      <c r="NJY612" s="3933"/>
      <c r="NJZ612" s="3933"/>
      <c r="NKA612" s="621"/>
      <c r="NKB612" s="3933"/>
      <c r="NKC612" s="3933"/>
      <c r="NKD612" s="3933"/>
      <c r="NKE612" s="621"/>
      <c r="NKF612" s="3933"/>
      <c r="NKG612" s="3933"/>
      <c r="NKH612" s="3933"/>
      <c r="NKI612" s="621"/>
      <c r="NKJ612" s="3933"/>
      <c r="NKK612" s="3933"/>
      <c r="NKL612" s="3933"/>
      <c r="NKM612" s="621"/>
      <c r="NKN612" s="3933"/>
      <c r="NKO612" s="3933"/>
      <c r="NKP612" s="3933"/>
      <c r="NKQ612" s="621"/>
      <c r="NKR612" s="3933"/>
      <c r="NKS612" s="3933"/>
      <c r="NKT612" s="3933"/>
      <c r="NKU612" s="621"/>
      <c r="NKV612" s="3933"/>
      <c r="NKW612" s="3933"/>
      <c r="NKX612" s="3933"/>
      <c r="NKY612" s="621"/>
      <c r="NKZ612" s="3933"/>
      <c r="NLA612" s="3933"/>
      <c r="NLB612" s="3933"/>
      <c r="NLC612" s="621"/>
      <c r="NLD612" s="3933"/>
      <c r="NLE612" s="3933"/>
      <c r="NLF612" s="3933"/>
      <c r="NLG612" s="621"/>
      <c r="NLH612" s="3933"/>
      <c r="NLI612" s="3933"/>
      <c r="NLJ612" s="3933"/>
      <c r="NLK612" s="621"/>
      <c r="NLL612" s="3933"/>
      <c r="NLM612" s="3933"/>
      <c r="NLN612" s="3933"/>
      <c r="NLO612" s="621"/>
      <c r="NLP612" s="3933"/>
      <c r="NLQ612" s="3933"/>
      <c r="NLR612" s="3933"/>
      <c r="NLS612" s="621"/>
      <c r="NLT612" s="3933"/>
      <c r="NLU612" s="3933"/>
      <c r="NLV612" s="3933"/>
      <c r="NLW612" s="621"/>
      <c r="NLX612" s="3933"/>
      <c r="NLY612" s="3933"/>
      <c r="NLZ612" s="3933"/>
      <c r="NMA612" s="621"/>
      <c r="NMB612" s="3933"/>
      <c r="NMC612" s="3933"/>
      <c r="NMD612" s="3933"/>
      <c r="NME612" s="621"/>
      <c r="NMF612" s="3933"/>
      <c r="NMG612" s="3933"/>
      <c r="NMH612" s="3933"/>
      <c r="NMI612" s="621"/>
      <c r="NMJ612" s="3933"/>
      <c r="NMK612" s="3933"/>
      <c r="NML612" s="3933"/>
      <c r="NMM612" s="621"/>
      <c r="NMN612" s="3933"/>
      <c r="NMO612" s="3933"/>
      <c r="NMP612" s="3933"/>
      <c r="NMQ612" s="621"/>
      <c r="NMR612" s="3933"/>
      <c r="NMS612" s="3933"/>
      <c r="NMT612" s="3933"/>
      <c r="NMU612" s="621"/>
      <c r="NMV612" s="3933"/>
      <c r="NMW612" s="3933"/>
      <c r="NMX612" s="3933"/>
      <c r="NMY612" s="621"/>
      <c r="NMZ612" s="3933"/>
      <c r="NNA612" s="3933"/>
      <c r="NNB612" s="3933"/>
      <c r="NNC612" s="621"/>
      <c r="NND612" s="3933"/>
      <c r="NNE612" s="3933"/>
      <c r="NNF612" s="3933"/>
      <c r="NNG612" s="621"/>
      <c r="NNH612" s="3933"/>
      <c r="NNI612" s="3933"/>
      <c r="NNJ612" s="3933"/>
      <c r="NNK612" s="621"/>
      <c r="NNL612" s="3933"/>
      <c r="NNM612" s="3933"/>
      <c r="NNN612" s="3933"/>
      <c r="NNO612" s="621"/>
      <c r="NNP612" s="3933"/>
      <c r="NNQ612" s="3933"/>
      <c r="NNR612" s="3933"/>
      <c r="NNS612" s="621"/>
      <c r="NNT612" s="3933"/>
      <c r="NNU612" s="3933"/>
      <c r="NNV612" s="3933"/>
      <c r="NNW612" s="621"/>
      <c r="NNX612" s="3933"/>
      <c r="NNY612" s="3933"/>
      <c r="NNZ612" s="3933"/>
      <c r="NOA612" s="621"/>
      <c r="NOB612" s="3933"/>
      <c r="NOC612" s="3933"/>
      <c r="NOD612" s="3933"/>
      <c r="NOE612" s="621"/>
      <c r="NOF612" s="3933"/>
      <c r="NOG612" s="3933"/>
      <c r="NOH612" s="3933"/>
      <c r="NOI612" s="621"/>
      <c r="NOJ612" s="3933"/>
      <c r="NOK612" s="3933"/>
      <c r="NOL612" s="3933"/>
      <c r="NOM612" s="621"/>
      <c r="NON612" s="3933"/>
      <c r="NOO612" s="3933"/>
      <c r="NOP612" s="3933"/>
      <c r="NOQ612" s="621"/>
      <c r="NOR612" s="3933"/>
      <c r="NOS612" s="3933"/>
      <c r="NOT612" s="3933"/>
      <c r="NOU612" s="621"/>
      <c r="NOV612" s="3933"/>
      <c r="NOW612" s="3933"/>
      <c r="NOX612" s="3933"/>
      <c r="NOY612" s="621"/>
      <c r="NOZ612" s="3933"/>
      <c r="NPA612" s="3933"/>
      <c r="NPB612" s="3933"/>
      <c r="NPC612" s="621"/>
      <c r="NPD612" s="3933"/>
      <c r="NPE612" s="3933"/>
      <c r="NPF612" s="3933"/>
      <c r="NPG612" s="621"/>
      <c r="NPH612" s="3933"/>
      <c r="NPI612" s="3933"/>
      <c r="NPJ612" s="3933"/>
      <c r="NPK612" s="621"/>
      <c r="NPL612" s="3933"/>
      <c r="NPM612" s="3933"/>
      <c r="NPN612" s="3933"/>
      <c r="NPO612" s="621"/>
      <c r="NPP612" s="3933"/>
      <c r="NPQ612" s="3933"/>
      <c r="NPR612" s="3933"/>
      <c r="NPS612" s="621"/>
      <c r="NPT612" s="3933"/>
      <c r="NPU612" s="3933"/>
      <c r="NPV612" s="3933"/>
      <c r="NPW612" s="621"/>
      <c r="NPX612" s="3933"/>
      <c r="NPY612" s="3933"/>
      <c r="NPZ612" s="3933"/>
      <c r="NQA612" s="621"/>
      <c r="NQB612" s="3933"/>
      <c r="NQC612" s="3933"/>
      <c r="NQD612" s="3933"/>
      <c r="NQE612" s="621"/>
      <c r="NQF612" s="3933"/>
      <c r="NQG612" s="3933"/>
      <c r="NQH612" s="3933"/>
      <c r="NQI612" s="621"/>
      <c r="NQJ612" s="3933"/>
      <c r="NQK612" s="3933"/>
      <c r="NQL612" s="3933"/>
      <c r="NQM612" s="621"/>
      <c r="NQN612" s="3933"/>
      <c r="NQO612" s="3933"/>
      <c r="NQP612" s="3933"/>
      <c r="NQQ612" s="621"/>
      <c r="NQR612" s="3933"/>
      <c r="NQS612" s="3933"/>
      <c r="NQT612" s="3933"/>
      <c r="NQU612" s="621"/>
      <c r="NQV612" s="3933"/>
      <c r="NQW612" s="3933"/>
      <c r="NQX612" s="3933"/>
      <c r="NQY612" s="621"/>
      <c r="NQZ612" s="3933"/>
      <c r="NRA612" s="3933"/>
      <c r="NRB612" s="3933"/>
      <c r="NRC612" s="621"/>
      <c r="NRD612" s="3933"/>
      <c r="NRE612" s="3933"/>
      <c r="NRF612" s="3933"/>
      <c r="NRG612" s="621"/>
      <c r="NRH612" s="3933"/>
      <c r="NRI612" s="3933"/>
      <c r="NRJ612" s="3933"/>
      <c r="NRK612" s="621"/>
      <c r="NRL612" s="3933"/>
      <c r="NRM612" s="3933"/>
      <c r="NRN612" s="3933"/>
      <c r="NRO612" s="621"/>
      <c r="NRP612" s="3933"/>
      <c r="NRQ612" s="3933"/>
      <c r="NRR612" s="3933"/>
      <c r="NRS612" s="621"/>
      <c r="NRT612" s="3933"/>
      <c r="NRU612" s="3933"/>
      <c r="NRV612" s="3933"/>
      <c r="NRW612" s="621"/>
      <c r="NRX612" s="3933"/>
      <c r="NRY612" s="3933"/>
      <c r="NRZ612" s="3933"/>
      <c r="NSA612" s="621"/>
      <c r="NSB612" s="3933"/>
      <c r="NSC612" s="3933"/>
      <c r="NSD612" s="3933"/>
      <c r="NSE612" s="621"/>
      <c r="NSF612" s="3933"/>
      <c r="NSG612" s="3933"/>
      <c r="NSH612" s="3933"/>
      <c r="NSI612" s="621"/>
      <c r="NSJ612" s="3933"/>
      <c r="NSK612" s="3933"/>
      <c r="NSL612" s="3933"/>
      <c r="NSM612" s="621"/>
      <c r="NSN612" s="3933"/>
      <c r="NSO612" s="3933"/>
      <c r="NSP612" s="3933"/>
      <c r="NSQ612" s="621"/>
      <c r="NSR612" s="3933"/>
      <c r="NSS612" s="3933"/>
      <c r="NST612" s="3933"/>
      <c r="NSU612" s="621"/>
      <c r="NSV612" s="3933"/>
      <c r="NSW612" s="3933"/>
      <c r="NSX612" s="3933"/>
      <c r="NSY612" s="621"/>
      <c r="NSZ612" s="3933"/>
      <c r="NTA612" s="3933"/>
      <c r="NTB612" s="3933"/>
      <c r="NTC612" s="621"/>
      <c r="NTD612" s="3933"/>
      <c r="NTE612" s="3933"/>
      <c r="NTF612" s="3933"/>
      <c r="NTG612" s="621"/>
      <c r="NTH612" s="3933"/>
      <c r="NTI612" s="3933"/>
      <c r="NTJ612" s="3933"/>
      <c r="NTK612" s="621"/>
      <c r="NTL612" s="3933"/>
      <c r="NTM612" s="3933"/>
      <c r="NTN612" s="3933"/>
      <c r="NTO612" s="621"/>
      <c r="NTP612" s="3933"/>
      <c r="NTQ612" s="3933"/>
      <c r="NTR612" s="3933"/>
      <c r="NTS612" s="621"/>
      <c r="NTT612" s="3933"/>
      <c r="NTU612" s="3933"/>
      <c r="NTV612" s="3933"/>
      <c r="NTW612" s="621"/>
      <c r="NTX612" s="3933"/>
      <c r="NTY612" s="3933"/>
      <c r="NTZ612" s="3933"/>
      <c r="NUA612" s="621"/>
      <c r="NUB612" s="3933"/>
      <c r="NUC612" s="3933"/>
      <c r="NUD612" s="3933"/>
      <c r="NUE612" s="621"/>
      <c r="NUF612" s="3933"/>
      <c r="NUG612" s="3933"/>
      <c r="NUH612" s="3933"/>
      <c r="NUI612" s="621"/>
      <c r="NUJ612" s="3933"/>
      <c r="NUK612" s="3933"/>
      <c r="NUL612" s="3933"/>
      <c r="NUM612" s="621"/>
      <c r="NUN612" s="3933"/>
      <c r="NUO612" s="3933"/>
      <c r="NUP612" s="3933"/>
      <c r="NUQ612" s="621"/>
      <c r="NUR612" s="3933"/>
      <c r="NUS612" s="3933"/>
      <c r="NUT612" s="3933"/>
      <c r="NUU612" s="621"/>
      <c r="NUV612" s="3933"/>
      <c r="NUW612" s="3933"/>
      <c r="NUX612" s="3933"/>
      <c r="NUY612" s="621"/>
      <c r="NUZ612" s="3933"/>
      <c r="NVA612" s="3933"/>
      <c r="NVB612" s="3933"/>
      <c r="NVC612" s="621"/>
      <c r="NVD612" s="3933"/>
      <c r="NVE612" s="3933"/>
      <c r="NVF612" s="3933"/>
      <c r="NVG612" s="621"/>
      <c r="NVH612" s="3933"/>
      <c r="NVI612" s="3933"/>
      <c r="NVJ612" s="3933"/>
      <c r="NVK612" s="621"/>
      <c r="NVL612" s="3933"/>
      <c r="NVM612" s="3933"/>
      <c r="NVN612" s="3933"/>
      <c r="NVO612" s="621"/>
      <c r="NVP612" s="3933"/>
      <c r="NVQ612" s="3933"/>
      <c r="NVR612" s="3933"/>
      <c r="NVS612" s="621"/>
      <c r="NVT612" s="3933"/>
      <c r="NVU612" s="3933"/>
      <c r="NVV612" s="3933"/>
      <c r="NVW612" s="621"/>
      <c r="NVX612" s="3933"/>
      <c r="NVY612" s="3933"/>
      <c r="NVZ612" s="3933"/>
      <c r="NWA612" s="621"/>
      <c r="NWB612" s="3933"/>
      <c r="NWC612" s="3933"/>
      <c r="NWD612" s="3933"/>
      <c r="NWE612" s="621"/>
      <c r="NWF612" s="3933"/>
      <c r="NWG612" s="3933"/>
      <c r="NWH612" s="3933"/>
      <c r="NWI612" s="621"/>
      <c r="NWJ612" s="3933"/>
      <c r="NWK612" s="3933"/>
      <c r="NWL612" s="3933"/>
      <c r="NWM612" s="621"/>
      <c r="NWN612" s="3933"/>
      <c r="NWO612" s="3933"/>
      <c r="NWP612" s="3933"/>
      <c r="NWQ612" s="621"/>
      <c r="NWR612" s="3933"/>
      <c r="NWS612" s="3933"/>
      <c r="NWT612" s="3933"/>
      <c r="NWU612" s="621"/>
      <c r="NWV612" s="3933"/>
      <c r="NWW612" s="3933"/>
      <c r="NWX612" s="3933"/>
      <c r="NWY612" s="621"/>
      <c r="NWZ612" s="3933"/>
      <c r="NXA612" s="3933"/>
      <c r="NXB612" s="3933"/>
      <c r="NXC612" s="621"/>
      <c r="NXD612" s="3933"/>
      <c r="NXE612" s="3933"/>
      <c r="NXF612" s="3933"/>
      <c r="NXG612" s="621"/>
      <c r="NXH612" s="3933"/>
      <c r="NXI612" s="3933"/>
      <c r="NXJ612" s="3933"/>
      <c r="NXK612" s="621"/>
      <c r="NXL612" s="3933"/>
      <c r="NXM612" s="3933"/>
      <c r="NXN612" s="3933"/>
      <c r="NXO612" s="621"/>
      <c r="NXP612" s="3933"/>
      <c r="NXQ612" s="3933"/>
      <c r="NXR612" s="3933"/>
      <c r="NXS612" s="621"/>
      <c r="NXT612" s="3933"/>
      <c r="NXU612" s="3933"/>
      <c r="NXV612" s="3933"/>
      <c r="NXW612" s="621"/>
      <c r="NXX612" s="3933"/>
      <c r="NXY612" s="3933"/>
      <c r="NXZ612" s="3933"/>
      <c r="NYA612" s="621"/>
      <c r="NYB612" s="3933"/>
      <c r="NYC612" s="3933"/>
      <c r="NYD612" s="3933"/>
      <c r="NYE612" s="621"/>
      <c r="NYF612" s="3933"/>
      <c r="NYG612" s="3933"/>
      <c r="NYH612" s="3933"/>
      <c r="NYI612" s="621"/>
      <c r="NYJ612" s="3933"/>
      <c r="NYK612" s="3933"/>
      <c r="NYL612" s="3933"/>
      <c r="NYM612" s="621"/>
      <c r="NYN612" s="3933"/>
      <c r="NYO612" s="3933"/>
      <c r="NYP612" s="3933"/>
      <c r="NYQ612" s="621"/>
      <c r="NYR612" s="3933"/>
      <c r="NYS612" s="3933"/>
      <c r="NYT612" s="3933"/>
      <c r="NYU612" s="621"/>
      <c r="NYV612" s="3933"/>
      <c r="NYW612" s="3933"/>
      <c r="NYX612" s="3933"/>
      <c r="NYY612" s="621"/>
      <c r="NYZ612" s="3933"/>
      <c r="NZA612" s="3933"/>
      <c r="NZB612" s="3933"/>
      <c r="NZC612" s="621"/>
      <c r="NZD612" s="3933"/>
      <c r="NZE612" s="3933"/>
      <c r="NZF612" s="3933"/>
      <c r="NZG612" s="621"/>
      <c r="NZH612" s="3933"/>
      <c r="NZI612" s="3933"/>
      <c r="NZJ612" s="3933"/>
      <c r="NZK612" s="621"/>
      <c r="NZL612" s="3933"/>
      <c r="NZM612" s="3933"/>
      <c r="NZN612" s="3933"/>
      <c r="NZO612" s="621"/>
      <c r="NZP612" s="3933"/>
      <c r="NZQ612" s="3933"/>
      <c r="NZR612" s="3933"/>
      <c r="NZS612" s="621"/>
      <c r="NZT612" s="3933"/>
      <c r="NZU612" s="3933"/>
      <c r="NZV612" s="3933"/>
      <c r="NZW612" s="621"/>
      <c r="NZX612" s="3933"/>
      <c r="NZY612" s="3933"/>
      <c r="NZZ612" s="3933"/>
      <c r="OAA612" s="621"/>
      <c r="OAB612" s="3933"/>
      <c r="OAC612" s="3933"/>
      <c r="OAD612" s="3933"/>
      <c r="OAE612" s="621"/>
      <c r="OAF612" s="3933"/>
      <c r="OAG612" s="3933"/>
      <c r="OAH612" s="3933"/>
      <c r="OAI612" s="621"/>
      <c r="OAJ612" s="3933"/>
      <c r="OAK612" s="3933"/>
      <c r="OAL612" s="3933"/>
      <c r="OAM612" s="621"/>
      <c r="OAN612" s="3933"/>
      <c r="OAO612" s="3933"/>
      <c r="OAP612" s="3933"/>
      <c r="OAQ612" s="621"/>
      <c r="OAR612" s="3933"/>
      <c r="OAS612" s="3933"/>
      <c r="OAT612" s="3933"/>
      <c r="OAU612" s="621"/>
      <c r="OAV612" s="3933"/>
      <c r="OAW612" s="3933"/>
      <c r="OAX612" s="3933"/>
      <c r="OAY612" s="621"/>
      <c r="OAZ612" s="3933"/>
      <c r="OBA612" s="3933"/>
      <c r="OBB612" s="3933"/>
      <c r="OBC612" s="621"/>
      <c r="OBD612" s="3933"/>
      <c r="OBE612" s="3933"/>
      <c r="OBF612" s="3933"/>
      <c r="OBG612" s="621"/>
      <c r="OBH612" s="3933"/>
      <c r="OBI612" s="3933"/>
      <c r="OBJ612" s="3933"/>
      <c r="OBK612" s="621"/>
      <c r="OBL612" s="3933"/>
      <c r="OBM612" s="3933"/>
      <c r="OBN612" s="3933"/>
      <c r="OBO612" s="621"/>
      <c r="OBP612" s="3933"/>
      <c r="OBQ612" s="3933"/>
      <c r="OBR612" s="3933"/>
      <c r="OBS612" s="621"/>
      <c r="OBT612" s="3933"/>
      <c r="OBU612" s="3933"/>
      <c r="OBV612" s="3933"/>
      <c r="OBW612" s="621"/>
      <c r="OBX612" s="3933"/>
      <c r="OBY612" s="3933"/>
      <c r="OBZ612" s="3933"/>
      <c r="OCA612" s="621"/>
      <c r="OCB612" s="3933"/>
      <c r="OCC612" s="3933"/>
      <c r="OCD612" s="3933"/>
      <c r="OCE612" s="621"/>
      <c r="OCF612" s="3933"/>
      <c r="OCG612" s="3933"/>
      <c r="OCH612" s="3933"/>
      <c r="OCI612" s="621"/>
      <c r="OCJ612" s="3933"/>
      <c r="OCK612" s="3933"/>
      <c r="OCL612" s="3933"/>
      <c r="OCM612" s="621"/>
      <c r="OCN612" s="3933"/>
      <c r="OCO612" s="3933"/>
      <c r="OCP612" s="3933"/>
      <c r="OCQ612" s="621"/>
      <c r="OCR612" s="3933"/>
      <c r="OCS612" s="3933"/>
      <c r="OCT612" s="3933"/>
      <c r="OCU612" s="621"/>
      <c r="OCV612" s="3933"/>
      <c r="OCW612" s="3933"/>
      <c r="OCX612" s="3933"/>
      <c r="OCY612" s="621"/>
      <c r="OCZ612" s="3933"/>
      <c r="ODA612" s="3933"/>
      <c r="ODB612" s="3933"/>
      <c r="ODC612" s="621"/>
      <c r="ODD612" s="3933"/>
      <c r="ODE612" s="3933"/>
      <c r="ODF612" s="3933"/>
      <c r="ODG612" s="621"/>
      <c r="ODH612" s="3933"/>
      <c r="ODI612" s="3933"/>
      <c r="ODJ612" s="3933"/>
      <c r="ODK612" s="621"/>
      <c r="ODL612" s="3933"/>
      <c r="ODM612" s="3933"/>
      <c r="ODN612" s="3933"/>
      <c r="ODO612" s="621"/>
      <c r="ODP612" s="3933"/>
      <c r="ODQ612" s="3933"/>
      <c r="ODR612" s="3933"/>
      <c r="ODS612" s="621"/>
      <c r="ODT612" s="3933"/>
      <c r="ODU612" s="3933"/>
      <c r="ODV612" s="3933"/>
      <c r="ODW612" s="621"/>
      <c r="ODX612" s="3933"/>
      <c r="ODY612" s="3933"/>
      <c r="ODZ612" s="3933"/>
      <c r="OEA612" s="621"/>
      <c r="OEB612" s="3933"/>
      <c r="OEC612" s="3933"/>
      <c r="OED612" s="3933"/>
      <c r="OEE612" s="621"/>
      <c r="OEF612" s="3933"/>
      <c r="OEG612" s="3933"/>
      <c r="OEH612" s="3933"/>
      <c r="OEI612" s="621"/>
      <c r="OEJ612" s="3933"/>
      <c r="OEK612" s="3933"/>
      <c r="OEL612" s="3933"/>
      <c r="OEM612" s="621"/>
      <c r="OEN612" s="3933"/>
      <c r="OEO612" s="3933"/>
      <c r="OEP612" s="3933"/>
      <c r="OEQ612" s="621"/>
      <c r="OER612" s="3933"/>
      <c r="OES612" s="3933"/>
      <c r="OET612" s="3933"/>
      <c r="OEU612" s="621"/>
      <c r="OEV612" s="3933"/>
      <c r="OEW612" s="3933"/>
      <c r="OEX612" s="3933"/>
      <c r="OEY612" s="621"/>
      <c r="OEZ612" s="3933"/>
      <c r="OFA612" s="3933"/>
      <c r="OFB612" s="3933"/>
      <c r="OFC612" s="621"/>
      <c r="OFD612" s="3933"/>
      <c r="OFE612" s="3933"/>
      <c r="OFF612" s="3933"/>
      <c r="OFG612" s="621"/>
      <c r="OFH612" s="3933"/>
      <c r="OFI612" s="3933"/>
      <c r="OFJ612" s="3933"/>
      <c r="OFK612" s="621"/>
      <c r="OFL612" s="3933"/>
      <c r="OFM612" s="3933"/>
      <c r="OFN612" s="3933"/>
      <c r="OFO612" s="621"/>
      <c r="OFP612" s="3933"/>
      <c r="OFQ612" s="3933"/>
      <c r="OFR612" s="3933"/>
      <c r="OFS612" s="621"/>
      <c r="OFT612" s="3933"/>
      <c r="OFU612" s="3933"/>
      <c r="OFV612" s="3933"/>
      <c r="OFW612" s="621"/>
      <c r="OFX612" s="3933"/>
      <c r="OFY612" s="3933"/>
      <c r="OFZ612" s="3933"/>
      <c r="OGA612" s="621"/>
      <c r="OGB612" s="3933"/>
      <c r="OGC612" s="3933"/>
      <c r="OGD612" s="3933"/>
      <c r="OGE612" s="621"/>
      <c r="OGF612" s="3933"/>
      <c r="OGG612" s="3933"/>
      <c r="OGH612" s="3933"/>
      <c r="OGI612" s="621"/>
      <c r="OGJ612" s="3933"/>
      <c r="OGK612" s="3933"/>
      <c r="OGL612" s="3933"/>
      <c r="OGM612" s="621"/>
      <c r="OGN612" s="3933"/>
      <c r="OGO612" s="3933"/>
      <c r="OGP612" s="3933"/>
      <c r="OGQ612" s="621"/>
      <c r="OGR612" s="3933"/>
      <c r="OGS612" s="3933"/>
      <c r="OGT612" s="3933"/>
      <c r="OGU612" s="621"/>
      <c r="OGV612" s="3933"/>
      <c r="OGW612" s="3933"/>
      <c r="OGX612" s="3933"/>
      <c r="OGY612" s="621"/>
      <c r="OGZ612" s="3933"/>
      <c r="OHA612" s="3933"/>
      <c r="OHB612" s="3933"/>
      <c r="OHC612" s="621"/>
      <c r="OHD612" s="3933"/>
      <c r="OHE612" s="3933"/>
      <c r="OHF612" s="3933"/>
      <c r="OHG612" s="621"/>
      <c r="OHH612" s="3933"/>
      <c r="OHI612" s="3933"/>
      <c r="OHJ612" s="3933"/>
      <c r="OHK612" s="621"/>
      <c r="OHL612" s="3933"/>
      <c r="OHM612" s="3933"/>
      <c r="OHN612" s="3933"/>
      <c r="OHO612" s="621"/>
      <c r="OHP612" s="3933"/>
      <c r="OHQ612" s="3933"/>
      <c r="OHR612" s="3933"/>
      <c r="OHS612" s="621"/>
      <c r="OHT612" s="3933"/>
      <c r="OHU612" s="3933"/>
      <c r="OHV612" s="3933"/>
      <c r="OHW612" s="621"/>
      <c r="OHX612" s="3933"/>
      <c r="OHY612" s="3933"/>
      <c r="OHZ612" s="3933"/>
      <c r="OIA612" s="621"/>
      <c r="OIB612" s="3933"/>
      <c r="OIC612" s="3933"/>
      <c r="OID612" s="3933"/>
      <c r="OIE612" s="621"/>
      <c r="OIF612" s="3933"/>
      <c r="OIG612" s="3933"/>
      <c r="OIH612" s="3933"/>
      <c r="OII612" s="621"/>
      <c r="OIJ612" s="3933"/>
      <c r="OIK612" s="3933"/>
      <c r="OIL612" s="3933"/>
      <c r="OIM612" s="621"/>
      <c r="OIN612" s="3933"/>
      <c r="OIO612" s="3933"/>
      <c r="OIP612" s="3933"/>
      <c r="OIQ612" s="621"/>
      <c r="OIR612" s="3933"/>
      <c r="OIS612" s="3933"/>
      <c r="OIT612" s="3933"/>
      <c r="OIU612" s="621"/>
      <c r="OIV612" s="3933"/>
      <c r="OIW612" s="3933"/>
      <c r="OIX612" s="3933"/>
      <c r="OIY612" s="621"/>
      <c r="OIZ612" s="3933"/>
      <c r="OJA612" s="3933"/>
      <c r="OJB612" s="3933"/>
      <c r="OJC612" s="621"/>
      <c r="OJD612" s="3933"/>
      <c r="OJE612" s="3933"/>
      <c r="OJF612" s="3933"/>
      <c r="OJG612" s="621"/>
      <c r="OJH612" s="3933"/>
      <c r="OJI612" s="3933"/>
      <c r="OJJ612" s="3933"/>
      <c r="OJK612" s="621"/>
      <c r="OJL612" s="3933"/>
      <c r="OJM612" s="3933"/>
      <c r="OJN612" s="3933"/>
      <c r="OJO612" s="621"/>
      <c r="OJP612" s="3933"/>
      <c r="OJQ612" s="3933"/>
      <c r="OJR612" s="3933"/>
      <c r="OJS612" s="621"/>
      <c r="OJT612" s="3933"/>
      <c r="OJU612" s="3933"/>
      <c r="OJV612" s="3933"/>
      <c r="OJW612" s="621"/>
      <c r="OJX612" s="3933"/>
      <c r="OJY612" s="3933"/>
      <c r="OJZ612" s="3933"/>
      <c r="OKA612" s="621"/>
      <c r="OKB612" s="3933"/>
      <c r="OKC612" s="3933"/>
      <c r="OKD612" s="3933"/>
      <c r="OKE612" s="621"/>
      <c r="OKF612" s="3933"/>
      <c r="OKG612" s="3933"/>
      <c r="OKH612" s="3933"/>
      <c r="OKI612" s="621"/>
      <c r="OKJ612" s="3933"/>
      <c r="OKK612" s="3933"/>
      <c r="OKL612" s="3933"/>
      <c r="OKM612" s="621"/>
      <c r="OKN612" s="3933"/>
      <c r="OKO612" s="3933"/>
      <c r="OKP612" s="3933"/>
      <c r="OKQ612" s="621"/>
      <c r="OKR612" s="3933"/>
      <c r="OKS612" s="3933"/>
      <c r="OKT612" s="3933"/>
      <c r="OKU612" s="621"/>
      <c r="OKV612" s="3933"/>
      <c r="OKW612" s="3933"/>
      <c r="OKX612" s="3933"/>
      <c r="OKY612" s="621"/>
      <c r="OKZ612" s="3933"/>
      <c r="OLA612" s="3933"/>
      <c r="OLB612" s="3933"/>
      <c r="OLC612" s="621"/>
      <c r="OLD612" s="3933"/>
      <c r="OLE612" s="3933"/>
      <c r="OLF612" s="3933"/>
      <c r="OLG612" s="621"/>
      <c r="OLH612" s="3933"/>
      <c r="OLI612" s="3933"/>
      <c r="OLJ612" s="3933"/>
      <c r="OLK612" s="621"/>
      <c r="OLL612" s="3933"/>
      <c r="OLM612" s="3933"/>
      <c r="OLN612" s="3933"/>
      <c r="OLO612" s="621"/>
      <c r="OLP612" s="3933"/>
      <c r="OLQ612" s="3933"/>
      <c r="OLR612" s="3933"/>
      <c r="OLS612" s="621"/>
      <c r="OLT612" s="3933"/>
      <c r="OLU612" s="3933"/>
      <c r="OLV612" s="3933"/>
      <c r="OLW612" s="621"/>
      <c r="OLX612" s="3933"/>
      <c r="OLY612" s="3933"/>
      <c r="OLZ612" s="3933"/>
      <c r="OMA612" s="621"/>
      <c r="OMB612" s="3933"/>
      <c r="OMC612" s="3933"/>
      <c r="OMD612" s="3933"/>
      <c r="OME612" s="621"/>
      <c r="OMF612" s="3933"/>
      <c r="OMG612" s="3933"/>
      <c r="OMH612" s="3933"/>
      <c r="OMI612" s="621"/>
      <c r="OMJ612" s="3933"/>
      <c r="OMK612" s="3933"/>
      <c r="OML612" s="3933"/>
      <c r="OMM612" s="621"/>
      <c r="OMN612" s="3933"/>
      <c r="OMO612" s="3933"/>
      <c r="OMP612" s="3933"/>
      <c r="OMQ612" s="621"/>
      <c r="OMR612" s="3933"/>
      <c r="OMS612" s="3933"/>
      <c r="OMT612" s="3933"/>
      <c r="OMU612" s="621"/>
      <c r="OMV612" s="3933"/>
      <c r="OMW612" s="3933"/>
      <c r="OMX612" s="3933"/>
      <c r="OMY612" s="621"/>
      <c r="OMZ612" s="3933"/>
      <c r="ONA612" s="3933"/>
      <c r="ONB612" s="3933"/>
      <c r="ONC612" s="621"/>
      <c r="OND612" s="3933"/>
      <c r="ONE612" s="3933"/>
      <c r="ONF612" s="3933"/>
      <c r="ONG612" s="621"/>
      <c r="ONH612" s="3933"/>
      <c r="ONI612" s="3933"/>
      <c r="ONJ612" s="3933"/>
      <c r="ONK612" s="621"/>
      <c r="ONL612" s="3933"/>
      <c r="ONM612" s="3933"/>
      <c r="ONN612" s="3933"/>
      <c r="ONO612" s="621"/>
      <c r="ONP612" s="3933"/>
      <c r="ONQ612" s="3933"/>
      <c r="ONR612" s="3933"/>
      <c r="ONS612" s="621"/>
      <c r="ONT612" s="3933"/>
      <c r="ONU612" s="3933"/>
      <c r="ONV612" s="3933"/>
      <c r="ONW612" s="621"/>
      <c r="ONX612" s="3933"/>
      <c r="ONY612" s="3933"/>
      <c r="ONZ612" s="3933"/>
      <c r="OOA612" s="621"/>
      <c r="OOB612" s="3933"/>
      <c r="OOC612" s="3933"/>
      <c r="OOD612" s="3933"/>
      <c r="OOE612" s="621"/>
      <c r="OOF612" s="3933"/>
      <c r="OOG612" s="3933"/>
      <c r="OOH612" s="3933"/>
      <c r="OOI612" s="621"/>
      <c r="OOJ612" s="3933"/>
      <c r="OOK612" s="3933"/>
      <c r="OOL612" s="3933"/>
      <c r="OOM612" s="621"/>
      <c r="OON612" s="3933"/>
      <c r="OOO612" s="3933"/>
      <c r="OOP612" s="3933"/>
      <c r="OOQ612" s="621"/>
      <c r="OOR612" s="3933"/>
      <c r="OOS612" s="3933"/>
      <c r="OOT612" s="3933"/>
      <c r="OOU612" s="621"/>
      <c r="OOV612" s="3933"/>
      <c r="OOW612" s="3933"/>
      <c r="OOX612" s="3933"/>
      <c r="OOY612" s="621"/>
      <c r="OOZ612" s="3933"/>
      <c r="OPA612" s="3933"/>
      <c r="OPB612" s="3933"/>
      <c r="OPC612" s="621"/>
      <c r="OPD612" s="3933"/>
      <c r="OPE612" s="3933"/>
      <c r="OPF612" s="3933"/>
      <c r="OPG612" s="621"/>
      <c r="OPH612" s="3933"/>
      <c r="OPI612" s="3933"/>
      <c r="OPJ612" s="3933"/>
      <c r="OPK612" s="621"/>
      <c r="OPL612" s="3933"/>
      <c r="OPM612" s="3933"/>
      <c r="OPN612" s="3933"/>
      <c r="OPO612" s="621"/>
      <c r="OPP612" s="3933"/>
      <c r="OPQ612" s="3933"/>
      <c r="OPR612" s="3933"/>
      <c r="OPS612" s="621"/>
      <c r="OPT612" s="3933"/>
      <c r="OPU612" s="3933"/>
      <c r="OPV612" s="3933"/>
      <c r="OPW612" s="621"/>
      <c r="OPX612" s="3933"/>
      <c r="OPY612" s="3933"/>
      <c r="OPZ612" s="3933"/>
      <c r="OQA612" s="621"/>
      <c r="OQB612" s="3933"/>
      <c r="OQC612" s="3933"/>
      <c r="OQD612" s="3933"/>
      <c r="OQE612" s="621"/>
      <c r="OQF612" s="3933"/>
      <c r="OQG612" s="3933"/>
      <c r="OQH612" s="3933"/>
      <c r="OQI612" s="621"/>
      <c r="OQJ612" s="3933"/>
      <c r="OQK612" s="3933"/>
      <c r="OQL612" s="3933"/>
      <c r="OQM612" s="621"/>
      <c r="OQN612" s="3933"/>
      <c r="OQO612" s="3933"/>
      <c r="OQP612" s="3933"/>
      <c r="OQQ612" s="621"/>
      <c r="OQR612" s="3933"/>
      <c r="OQS612" s="3933"/>
      <c r="OQT612" s="3933"/>
      <c r="OQU612" s="621"/>
      <c r="OQV612" s="3933"/>
      <c r="OQW612" s="3933"/>
      <c r="OQX612" s="3933"/>
      <c r="OQY612" s="621"/>
      <c r="OQZ612" s="3933"/>
      <c r="ORA612" s="3933"/>
      <c r="ORB612" s="3933"/>
      <c r="ORC612" s="621"/>
      <c r="ORD612" s="3933"/>
      <c r="ORE612" s="3933"/>
      <c r="ORF612" s="3933"/>
      <c r="ORG612" s="621"/>
      <c r="ORH612" s="3933"/>
      <c r="ORI612" s="3933"/>
      <c r="ORJ612" s="3933"/>
      <c r="ORK612" s="621"/>
      <c r="ORL612" s="3933"/>
      <c r="ORM612" s="3933"/>
      <c r="ORN612" s="3933"/>
      <c r="ORO612" s="621"/>
      <c r="ORP612" s="3933"/>
      <c r="ORQ612" s="3933"/>
      <c r="ORR612" s="3933"/>
      <c r="ORS612" s="621"/>
      <c r="ORT612" s="3933"/>
      <c r="ORU612" s="3933"/>
      <c r="ORV612" s="3933"/>
      <c r="ORW612" s="621"/>
      <c r="ORX612" s="3933"/>
      <c r="ORY612" s="3933"/>
      <c r="ORZ612" s="3933"/>
      <c r="OSA612" s="621"/>
      <c r="OSB612" s="3933"/>
      <c r="OSC612" s="3933"/>
      <c r="OSD612" s="3933"/>
      <c r="OSE612" s="621"/>
      <c r="OSF612" s="3933"/>
      <c r="OSG612" s="3933"/>
      <c r="OSH612" s="3933"/>
      <c r="OSI612" s="621"/>
      <c r="OSJ612" s="3933"/>
      <c r="OSK612" s="3933"/>
      <c r="OSL612" s="3933"/>
      <c r="OSM612" s="621"/>
      <c r="OSN612" s="3933"/>
      <c r="OSO612" s="3933"/>
      <c r="OSP612" s="3933"/>
      <c r="OSQ612" s="621"/>
      <c r="OSR612" s="3933"/>
      <c r="OSS612" s="3933"/>
      <c r="OST612" s="3933"/>
      <c r="OSU612" s="621"/>
      <c r="OSV612" s="3933"/>
      <c r="OSW612" s="3933"/>
      <c r="OSX612" s="3933"/>
      <c r="OSY612" s="621"/>
      <c r="OSZ612" s="3933"/>
      <c r="OTA612" s="3933"/>
      <c r="OTB612" s="3933"/>
      <c r="OTC612" s="621"/>
      <c r="OTD612" s="3933"/>
      <c r="OTE612" s="3933"/>
      <c r="OTF612" s="3933"/>
      <c r="OTG612" s="621"/>
      <c r="OTH612" s="3933"/>
      <c r="OTI612" s="3933"/>
      <c r="OTJ612" s="3933"/>
      <c r="OTK612" s="621"/>
      <c r="OTL612" s="3933"/>
      <c r="OTM612" s="3933"/>
      <c r="OTN612" s="3933"/>
      <c r="OTO612" s="621"/>
      <c r="OTP612" s="3933"/>
      <c r="OTQ612" s="3933"/>
      <c r="OTR612" s="3933"/>
      <c r="OTS612" s="621"/>
      <c r="OTT612" s="3933"/>
      <c r="OTU612" s="3933"/>
      <c r="OTV612" s="3933"/>
      <c r="OTW612" s="621"/>
      <c r="OTX612" s="3933"/>
      <c r="OTY612" s="3933"/>
      <c r="OTZ612" s="3933"/>
      <c r="OUA612" s="621"/>
      <c r="OUB612" s="3933"/>
      <c r="OUC612" s="3933"/>
      <c r="OUD612" s="3933"/>
      <c r="OUE612" s="621"/>
      <c r="OUF612" s="3933"/>
      <c r="OUG612" s="3933"/>
      <c r="OUH612" s="3933"/>
      <c r="OUI612" s="621"/>
      <c r="OUJ612" s="3933"/>
      <c r="OUK612" s="3933"/>
      <c r="OUL612" s="3933"/>
      <c r="OUM612" s="621"/>
      <c r="OUN612" s="3933"/>
      <c r="OUO612" s="3933"/>
      <c r="OUP612" s="3933"/>
      <c r="OUQ612" s="621"/>
      <c r="OUR612" s="3933"/>
      <c r="OUS612" s="3933"/>
      <c r="OUT612" s="3933"/>
      <c r="OUU612" s="621"/>
      <c r="OUV612" s="3933"/>
      <c r="OUW612" s="3933"/>
      <c r="OUX612" s="3933"/>
      <c r="OUY612" s="621"/>
      <c r="OUZ612" s="3933"/>
      <c r="OVA612" s="3933"/>
      <c r="OVB612" s="3933"/>
      <c r="OVC612" s="621"/>
      <c r="OVD612" s="3933"/>
      <c r="OVE612" s="3933"/>
      <c r="OVF612" s="3933"/>
      <c r="OVG612" s="621"/>
      <c r="OVH612" s="3933"/>
      <c r="OVI612" s="3933"/>
      <c r="OVJ612" s="3933"/>
      <c r="OVK612" s="621"/>
      <c r="OVL612" s="3933"/>
      <c r="OVM612" s="3933"/>
      <c r="OVN612" s="3933"/>
      <c r="OVO612" s="621"/>
      <c r="OVP612" s="3933"/>
      <c r="OVQ612" s="3933"/>
      <c r="OVR612" s="3933"/>
      <c r="OVS612" s="621"/>
      <c r="OVT612" s="3933"/>
      <c r="OVU612" s="3933"/>
      <c r="OVV612" s="3933"/>
      <c r="OVW612" s="621"/>
      <c r="OVX612" s="3933"/>
      <c r="OVY612" s="3933"/>
      <c r="OVZ612" s="3933"/>
      <c r="OWA612" s="621"/>
      <c r="OWB612" s="3933"/>
      <c r="OWC612" s="3933"/>
      <c r="OWD612" s="3933"/>
      <c r="OWE612" s="621"/>
      <c r="OWF612" s="3933"/>
      <c r="OWG612" s="3933"/>
      <c r="OWH612" s="3933"/>
      <c r="OWI612" s="621"/>
      <c r="OWJ612" s="3933"/>
      <c r="OWK612" s="3933"/>
      <c r="OWL612" s="3933"/>
      <c r="OWM612" s="621"/>
      <c r="OWN612" s="3933"/>
      <c r="OWO612" s="3933"/>
      <c r="OWP612" s="3933"/>
      <c r="OWQ612" s="621"/>
      <c r="OWR612" s="3933"/>
      <c r="OWS612" s="3933"/>
      <c r="OWT612" s="3933"/>
      <c r="OWU612" s="621"/>
      <c r="OWV612" s="3933"/>
      <c r="OWW612" s="3933"/>
      <c r="OWX612" s="3933"/>
      <c r="OWY612" s="621"/>
      <c r="OWZ612" s="3933"/>
      <c r="OXA612" s="3933"/>
      <c r="OXB612" s="3933"/>
      <c r="OXC612" s="621"/>
      <c r="OXD612" s="3933"/>
      <c r="OXE612" s="3933"/>
      <c r="OXF612" s="3933"/>
      <c r="OXG612" s="621"/>
      <c r="OXH612" s="3933"/>
      <c r="OXI612" s="3933"/>
      <c r="OXJ612" s="3933"/>
      <c r="OXK612" s="621"/>
      <c r="OXL612" s="3933"/>
      <c r="OXM612" s="3933"/>
      <c r="OXN612" s="3933"/>
      <c r="OXO612" s="621"/>
      <c r="OXP612" s="3933"/>
      <c r="OXQ612" s="3933"/>
      <c r="OXR612" s="3933"/>
      <c r="OXS612" s="621"/>
      <c r="OXT612" s="3933"/>
      <c r="OXU612" s="3933"/>
      <c r="OXV612" s="3933"/>
      <c r="OXW612" s="621"/>
      <c r="OXX612" s="3933"/>
      <c r="OXY612" s="3933"/>
      <c r="OXZ612" s="3933"/>
      <c r="OYA612" s="621"/>
      <c r="OYB612" s="3933"/>
      <c r="OYC612" s="3933"/>
      <c r="OYD612" s="3933"/>
      <c r="OYE612" s="621"/>
      <c r="OYF612" s="3933"/>
      <c r="OYG612" s="3933"/>
      <c r="OYH612" s="3933"/>
      <c r="OYI612" s="621"/>
      <c r="OYJ612" s="3933"/>
      <c r="OYK612" s="3933"/>
      <c r="OYL612" s="3933"/>
      <c r="OYM612" s="621"/>
      <c r="OYN612" s="3933"/>
      <c r="OYO612" s="3933"/>
      <c r="OYP612" s="3933"/>
      <c r="OYQ612" s="621"/>
      <c r="OYR612" s="3933"/>
      <c r="OYS612" s="3933"/>
      <c r="OYT612" s="3933"/>
      <c r="OYU612" s="621"/>
      <c r="OYV612" s="3933"/>
      <c r="OYW612" s="3933"/>
      <c r="OYX612" s="3933"/>
      <c r="OYY612" s="621"/>
      <c r="OYZ612" s="3933"/>
      <c r="OZA612" s="3933"/>
      <c r="OZB612" s="3933"/>
      <c r="OZC612" s="621"/>
      <c r="OZD612" s="3933"/>
      <c r="OZE612" s="3933"/>
      <c r="OZF612" s="3933"/>
      <c r="OZG612" s="621"/>
      <c r="OZH612" s="3933"/>
      <c r="OZI612" s="3933"/>
      <c r="OZJ612" s="3933"/>
      <c r="OZK612" s="621"/>
      <c r="OZL612" s="3933"/>
      <c r="OZM612" s="3933"/>
      <c r="OZN612" s="3933"/>
      <c r="OZO612" s="621"/>
      <c r="OZP612" s="3933"/>
      <c r="OZQ612" s="3933"/>
      <c r="OZR612" s="3933"/>
      <c r="OZS612" s="621"/>
      <c r="OZT612" s="3933"/>
      <c r="OZU612" s="3933"/>
      <c r="OZV612" s="3933"/>
      <c r="OZW612" s="621"/>
      <c r="OZX612" s="3933"/>
      <c r="OZY612" s="3933"/>
      <c r="OZZ612" s="3933"/>
      <c r="PAA612" s="621"/>
      <c r="PAB612" s="3933"/>
      <c r="PAC612" s="3933"/>
      <c r="PAD612" s="3933"/>
      <c r="PAE612" s="621"/>
      <c r="PAF612" s="3933"/>
      <c r="PAG612" s="3933"/>
      <c r="PAH612" s="3933"/>
      <c r="PAI612" s="621"/>
      <c r="PAJ612" s="3933"/>
      <c r="PAK612" s="3933"/>
      <c r="PAL612" s="3933"/>
      <c r="PAM612" s="621"/>
      <c r="PAN612" s="3933"/>
      <c r="PAO612" s="3933"/>
      <c r="PAP612" s="3933"/>
      <c r="PAQ612" s="621"/>
      <c r="PAR612" s="3933"/>
      <c r="PAS612" s="3933"/>
      <c r="PAT612" s="3933"/>
      <c r="PAU612" s="621"/>
      <c r="PAV612" s="3933"/>
      <c r="PAW612" s="3933"/>
      <c r="PAX612" s="3933"/>
      <c r="PAY612" s="621"/>
      <c r="PAZ612" s="3933"/>
      <c r="PBA612" s="3933"/>
      <c r="PBB612" s="3933"/>
      <c r="PBC612" s="621"/>
      <c r="PBD612" s="3933"/>
      <c r="PBE612" s="3933"/>
      <c r="PBF612" s="3933"/>
      <c r="PBG612" s="621"/>
      <c r="PBH612" s="3933"/>
      <c r="PBI612" s="3933"/>
      <c r="PBJ612" s="3933"/>
      <c r="PBK612" s="621"/>
      <c r="PBL612" s="3933"/>
      <c r="PBM612" s="3933"/>
      <c r="PBN612" s="3933"/>
      <c r="PBO612" s="621"/>
      <c r="PBP612" s="3933"/>
      <c r="PBQ612" s="3933"/>
      <c r="PBR612" s="3933"/>
      <c r="PBS612" s="621"/>
      <c r="PBT612" s="3933"/>
      <c r="PBU612" s="3933"/>
      <c r="PBV612" s="3933"/>
      <c r="PBW612" s="621"/>
      <c r="PBX612" s="3933"/>
      <c r="PBY612" s="3933"/>
      <c r="PBZ612" s="3933"/>
      <c r="PCA612" s="621"/>
      <c r="PCB612" s="3933"/>
      <c r="PCC612" s="3933"/>
      <c r="PCD612" s="3933"/>
      <c r="PCE612" s="621"/>
      <c r="PCF612" s="3933"/>
      <c r="PCG612" s="3933"/>
      <c r="PCH612" s="3933"/>
      <c r="PCI612" s="621"/>
      <c r="PCJ612" s="3933"/>
      <c r="PCK612" s="3933"/>
      <c r="PCL612" s="3933"/>
      <c r="PCM612" s="621"/>
      <c r="PCN612" s="3933"/>
      <c r="PCO612" s="3933"/>
      <c r="PCP612" s="3933"/>
      <c r="PCQ612" s="621"/>
      <c r="PCR612" s="3933"/>
      <c r="PCS612" s="3933"/>
      <c r="PCT612" s="3933"/>
      <c r="PCU612" s="621"/>
      <c r="PCV612" s="3933"/>
      <c r="PCW612" s="3933"/>
      <c r="PCX612" s="3933"/>
      <c r="PCY612" s="621"/>
      <c r="PCZ612" s="3933"/>
      <c r="PDA612" s="3933"/>
      <c r="PDB612" s="3933"/>
      <c r="PDC612" s="621"/>
      <c r="PDD612" s="3933"/>
      <c r="PDE612" s="3933"/>
      <c r="PDF612" s="3933"/>
      <c r="PDG612" s="621"/>
      <c r="PDH612" s="3933"/>
      <c r="PDI612" s="3933"/>
      <c r="PDJ612" s="3933"/>
      <c r="PDK612" s="621"/>
      <c r="PDL612" s="3933"/>
      <c r="PDM612" s="3933"/>
      <c r="PDN612" s="3933"/>
      <c r="PDO612" s="621"/>
      <c r="PDP612" s="3933"/>
      <c r="PDQ612" s="3933"/>
      <c r="PDR612" s="3933"/>
      <c r="PDS612" s="621"/>
      <c r="PDT612" s="3933"/>
      <c r="PDU612" s="3933"/>
      <c r="PDV612" s="3933"/>
      <c r="PDW612" s="621"/>
      <c r="PDX612" s="3933"/>
      <c r="PDY612" s="3933"/>
      <c r="PDZ612" s="3933"/>
      <c r="PEA612" s="621"/>
      <c r="PEB612" s="3933"/>
      <c r="PEC612" s="3933"/>
      <c r="PED612" s="3933"/>
      <c r="PEE612" s="621"/>
      <c r="PEF612" s="3933"/>
      <c r="PEG612" s="3933"/>
      <c r="PEH612" s="3933"/>
      <c r="PEI612" s="621"/>
      <c r="PEJ612" s="3933"/>
      <c r="PEK612" s="3933"/>
      <c r="PEL612" s="3933"/>
      <c r="PEM612" s="621"/>
      <c r="PEN612" s="3933"/>
      <c r="PEO612" s="3933"/>
      <c r="PEP612" s="3933"/>
      <c r="PEQ612" s="621"/>
      <c r="PER612" s="3933"/>
      <c r="PES612" s="3933"/>
      <c r="PET612" s="3933"/>
      <c r="PEU612" s="621"/>
      <c r="PEV612" s="3933"/>
      <c r="PEW612" s="3933"/>
      <c r="PEX612" s="3933"/>
      <c r="PEY612" s="621"/>
      <c r="PEZ612" s="3933"/>
      <c r="PFA612" s="3933"/>
      <c r="PFB612" s="3933"/>
      <c r="PFC612" s="621"/>
      <c r="PFD612" s="3933"/>
      <c r="PFE612" s="3933"/>
      <c r="PFF612" s="3933"/>
      <c r="PFG612" s="621"/>
      <c r="PFH612" s="3933"/>
      <c r="PFI612" s="3933"/>
      <c r="PFJ612" s="3933"/>
      <c r="PFK612" s="621"/>
      <c r="PFL612" s="3933"/>
      <c r="PFM612" s="3933"/>
      <c r="PFN612" s="3933"/>
      <c r="PFO612" s="621"/>
      <c r="PFP612" s="3933"/>
      <c r="PFQ612" s="3933"/>
      <c r="PFR612" s="3933"/>
      <c r="PFS612" s="621"/>
      <c r="PFT612" s="3933"/>
      <c r="PFU612" s="3933"/>
      <c r="PFV612" s="3933"/>
      <c r="PFW612" s="621"/>
      <c r="PFX612" s="3933"/>
      <c r="PFY612" s="3933"/>
      <c r="PFZ612" s="3933"/>
      <c r="PGA612" s="621"/>
      <c r="PGB612" s="3933"/>
      <c r="PGC612" s="3933"/>
      <c r="PGD612" s="3933"/>
      <c r="PGE612" s="621"/>
      <c r="PGF612" s="3933"/>
      <c r="PGG612" s="3933"/>
      <c r="PGH612" s="3933"/>
      <c r="PGI612" s="621"/>
      <c r="PGJ612" s="3933"/>
      <c r="PGK612" s="3933"/>
      <c r="PGL612" s="3933"/>
      <c r="PGM612" s="621"/>
      <c r="PGN612" s="3933"/>
      <c r="PGO612" s="3933"/>
      <c r="PGP612" s="3933"/>
      <c r="PGQ612" s="621"/>
      <c r="PGR612" s="3933"/>
      <c r="PGS612" s="3933"/>
      <c r="PGT612" s="3933"/>
      <c r="PGU612" s="621"/>
      <c r="PGV612" s="3933"/>
      <c r="PGW612" s="3933"/>
      <c r="PGX612" s="3933"/>
      <c r="PGY612" s="621"/>
      <c r="PGZ612" s="3933"/>
      <c r="PHA612" s="3933"/>
      <c r="PHB612" s="3933"/>
      <c r="PHC612" s="621"/>
      <c r="PHD612" s="3933"/>
      <c r="PHE612" s="3933"/>
      <c r="PHF612" s="3933"/>
      <c r="PHG612" s="621"/>
      <c r="PHH612" s="3933"/>
      <c r="PHI612" s="3933"/>
      <c r="PHJ612" s="3933"/>
      <c r="PHK612" s="621"/>
      <c r="PHL612" s="3933"/>
      <c r="PHM612" s="3933"/>
      <c r="PHN612" s="3933"/>
      <c r="PHO612" s="621"/>
      <c r="PHP612" s="3933"/>
      <c r="PHQ612" s="3933"/>
      <c r="PHR612" s="3933"/>
      <c r="PHS612" s="621"/>
      <c r="PHT612" s="3933"/>
      <c r="PHU612" s="3933"/>
      <c r="PHV612" s="3933"/>
      <c r="PHW612" s="621"/>
      <c r="PHX612" s="3933"/>
      <c r="PHY612" s="3933"/>
      <c r="PHZ612" s="3933"/>
      <c r="PIA612" s="621"/>
      <c r="PIB612" s="3933"/>
      <c r="PIC612" s="3933"/>
      <c r="PID612" s="3933"/>
      <c r="PIE612" s="621"/>
      <c r="PIF612" s="3933"/>
      <c r="PIG612" s="3933"/>
      <c r="PIH612" s="3933"/>
      <c r="PII612" s="621"/>
      <c r="PIJ612" s="3933"/>
      <c r="PIK612" s="3933"/>
      <c r="PIL612" s="3933"/>
      <c r="PIM612" s="621"/>
      <c r="PIN612" s="3933"/>
      <c r="PIO612" s="3933"/>
      <c r="PIP612" s="3933"/>
      <c r="PIQ612" s="621"/>
      <c r="PIR612" s="3933"/>
      <c r="PIS612" s="3933"/>
      <c r="PIT612" s="3933"/>
      <c r="PIU612" s="621"/>
      <c r="PIV612" s="3933"/>
      <c r="PIW612" s="3933"/>
      <c r="PIX612" s="3933"/>
      <c r="PIY612" s="621"/>
      <c r="PIZ612" s="3933"/>
      <c r="PJA612" s="3933"/>
      <c r="PJB612" s="3933"/>
      <c r="PJC612" s="621"/>
      <c r="PJD612" s="3933"/>
      <c r="PJE612" s="3933"/>
      <c r="PJF612" s="3933"/>
      <c r="PJG612" s="621"/>
      <c r="PJH612" s="3933"/>
      <c r="PJI612" s="3933"/>
      <c r="PJJ612" s="3933"/>
      <c r="PJK612" s="621"/>
      <c r="PJL612" s="3933"/>
      <c r="PJM612" s="3933"/>
      <c r="PJN612" s="3933"/>
      <c r="PJO612" s="621"/>
      <c r="PJP612" s="3933"/>
      <c r="PJQ612" s="3933"/>
      <c r="PJR612" s="3933"/>
      <c r="PJS612" s="621"/>
      <c r="PJT612" s="3933"/>
      <c r="PJU612" s="3933"/>
      <c r="PJV612" s="3933"/>
      <c r="PJW612" s="621"/>
      <c r="PJX612" s="3933"/>
      <c r="PJY612" s="3933"/>
      <c r="PJZ612" s="3933"/>
      <c r="PKA612" s="621"/>
      <c r="PKB612" s="3933"/>
      <c r="PKC612" s="3933"/>
      <c r="PKD612" s="3933"/>
      <c r="PKE612" s="621"/>
      <c r="PKF612" s="3933"/>
      <c r="PKG612" s="3933"/>
      <c r="PKH612" s="3933"/>
      <c r="PKI612" s="621"/>
      <c r="PKJ612" s="3933"/>
      <c r="PKK612" s="3933"/>
      <c r="PKL612" s="3933"/>
      <c r="PKM612" s="621"/>
      <c r="PKN612" s="3933"/>
      <c r="PKO612" s="3933"/>
      <c r="PKP612" s="3933"/>
      <c r="PKQ612" s="621"/>
      <c r="PKR612" s="3933"/>
      <c r="PKS612" s="3933"/>
      <c r="PKT612" s="3933"/>
      <c r="PKU612" s="621"/>
      <c r="PKV612" s="3933"/>
      <c r="PKW612" s="3933"/>
      <c r="PKX612" s="3933"/>
      <c r="PKY612" s="621"/>
      <c r="PKZ612" s="3933"/>
      <c r="PLA612" s="3933"/>
      <c r="PLB612" s="3933"/>
      <c r="PLC612" s="621"/>
      <c r="PLD612" s="3933"/>
      <c r="PLE612" s="3933"/>
      <c r="PLF612" s="3933"/>
      <c r="PLG612" s="621"/>
      <c r="PLH612" s="3933"/>
      <c r="PLI612" s="3933"/>
      <c r="PLJ612" s="3933"/>
      <c r="PLK612" s="621"/>
      <c r="PLL612" s="3933"/>
      <c r="PLM612" s="3933"/>
      <c r="PLN612" s="3933"/>
      <c r="PLO612" s="621"/>
      <c r="PLP612" s="3933"/>
      <c r="PLQ612" s="3933"/>
      <c r="PLR612" s="3933"/>
      <c r="PLS612" s="621"/>
      <c r="PLT612" s="3933"/>
      <c r="PLU612" s="3933"/>
      <c r="PLV612" s="3933"/>
      <c r="PLW612" s="621"/>
      <c r="PLX612" s="3933"/>
      <c r="PLY612" s="3933"/>
      <c r="PLZ612" s="3933"/>
      <c r="PMA612" s="621"/>
      <c r="PMB612" s="3933"/>
      <c r="PMC612" s="3933"/>
      <c r="PMD612" s="3933"/>
      <c r="PME612" s="621"/>
      <c r="PMF612" s="3933"/>
      <c r="PMG612" s="3933"/>
      <c r="PMH612" s="3933"/>
      <c r="PMI612" s="621"/>
      <c r="PMJ612" s="3933"/>
      <c r="PMK612" s="3933"/>
      <c r="PML612" s="3933"/>
      <c r="PMM612" s="621"/>
      <c r="PMN612" s="3933"/>
      <c r="PMO612" s="3933"/>
      <c r="PMP612" s="3933"/>
      <c r="PMQ612" s="621"/>
      <c r="PMR612" s="3933"/>
      <c r="PMS612" s="3933"/>
      <c r="PMT612" s="3933"/>
      <c r="PMU612" s="621"/>
      <c r="PMV612" s="3933"/>
      <c r="PMW612" s="3933"/>
      <c r="PMX612" s="3933"/>
      <c r="PMY612" s="621"/>
      <c r="PMZ612" s="3933"/>
      <c r="PNA612" s="3933"/>
      <c r="PNB612" s="3933"/>
      <c r="PNC612" s="621"/>
      <c r="PND612" s="3933"/>
      <c r="PNE612" s="3933"/>
      <c r="PNF612" s="3933"/>
      <c r="PNG612" s="621"/>
      <c r="PNH612" s="3933"/>
      <c r="PNI612" s="3933"/>
      <c r="PNJ612" s="3933"/>
      <c r="PNK612" s="621"/>
      <c r="PNL612" s="3933"/>
      <c r="PNM612" s="3933"/>
      <c r="PNN612" s="3933"/>
      <c r="PNO612" s="621"/>
      <c r="PNP612" s="3933"/>
      <c r="PNQ612" s="3933"/>
      <c r="PNR612" s="3933"/>
      <c r="PNS612" s="621"/>
      <c r="PNT612" s="3933"/>
      <c r="PNU612" s="3933"/>
      <c r="PNV612" s="3933"/>
      <c r="PNW612" s="621"/>
      <c r="PNX612" s="3933"/>
      <c r="PNY612" s="3933"/>
      <c r="PNZ612" s="3933"/>
      <c r="POA612" s="621"/>
      <c r="POB612" s="3933"/>
      <c r="POC612" s="3933"/>
      <c r="POD612" s="3933"/>
      <c r="POE612" s="621"/>
      <c r="POF612" s="3933"/>
      <c r="POG612" s="3933"/>
      <c r="POH612" s="3933"/>
      <c r="POI612" s="621"/>
      <c r="POJ612" s="3933"/>
      <c r="POK612" s="3933"/>
      <c r="POL612" s="3933"/>
      <c r="POM612" s="621"/>
      <c r="PON612" s="3933"/>
      <c r="POO612" s="3933"/>
      <c r="POP612" s="3933"/>
      <c r="POQ612" s="621"/>
      <c r="POR612" s="3933"/>
      <c r="POS612" s="3933"/>
      <c r="POT612" s="3933"/>
      <c r="POU612" s="621"/>
      <c r="POV612" s="3933"/>
      <c r="POW612" s="3933"/>
      <c r="POX612" s="3933"/>
      <c r="POY612" s="621"/>
      <c r="POZ612" s="3933"/>
      <c r="PPA612" s="3933"/>
      <c r="PPB612" s="3933"/>
      <c r="PPC612" s="621"/>
      <c r="PPD612" s="3933"/>
      <c r="PPE612" s="3933"/>
      <c r="PPF612" s="3933"/>
      <c r="PPG612" s="621"/>
      <c r="PPH612" s="3933"/>
      <c r="PPI612" s="3933"/>
      <c r="PPJ612" s="3933"/>
      <c r="PPK612" s="621"/>
      <c r="PPL612" s="3933"/>
      <c r="PPM612" s="3933"/>
      <c r="PPN612" s="3933"/>
      <c r="PPO612" s="621"/>
      <c r="PPP612" s="3933"/>
      <c r="PPQ612" s="3933"/>
      <c r="PPR612" s="3933"/>
      <c r="PPS612" s="621"/>
      <c r="PPT612" s="3933"/>
      <c r="PPU612" s="3933"/>
      <c r="PPV612" s="3933"/>
      <c r="PPW612" s="621"/>
      <c r="PPX612" s="3933"/>
      <c r="PPY612" s="3933"/>
      <c r="PPZ612" s="3933"/>
      <c r="PQA612" s="621"/>
      <c r="PQB612" s="3933"/>
      <c r="PQC612" s="3933"/>
      <c r="PQD612" s="3933"/>
      <c r="PQE612" s="621"/>
      <c r="PQF612" s="3933"/>
      <c r="PQG612" s="3933"/>
      <c r="PQH612" s="3933"/>
      <c r="PQI612" s="621"/>
      <c r="PQJ612" s="3933"/>
      <c r="PQK612" s="3933"/>
      <c r="PQL612" s="3933"/>
      <c r="PQM612" s="621"/>
      <c r="PQN612" s="3933"/>
      <c r="PQO612" s="3933"/>
      <c r="PQP612" s="3933"/>
      <c r="PQQ612" s="621"/>
      <c r="PQR612" s="3933"/>
      <c r="PQS612" s="3933"/>
      <c r="PQT612" s="3933"/>
      <c r="PQU612" s="621"/>
      <c r="PQV612" s="3933"/>
      <c r="PQW612" s="3933"/>
      <c r="PQX612" s="3933"/>
      <c r="PQY612" s="621"/>
      <c r="PQZ612" s="3933"/>
      <c r="PRA612" s="3933"/>
      <c r="PRB612" s="3933"/>
      <c r="PRC612" s="621"/>
      <c r="PRD612" s="3933"/>
      <c r="PRE612" s="3933"/>
      <c r="PRF612" s="3933"/>
      <c r="PRG612" s="621"/>
      <c r="PRH612" s="3933"/>
      <c r="PRI612" s="3933"/>
      <c r="PRJ612" s="3933"/>
      <c r="PRK612" s="621"/>
      <c r="PRL612" s="3933"/>
      <c r="PRM612" s="3933"/>
      <c r="PRN612" s="3933"/>
      <c r="PRO612" s="621"/>
      <c r="PRP612" s="3933"/>
      <c r="PRQ612" s="3933"/>
      <c r="PRR612" s="3933"/>
      <c r="PRS612" s="621"/>
      <c r="PRT612" s="3933"/>
      <c r="PRU612" s="3933"/>
      <c r="PRV612" s="3933"/>
      <c r="PRW612" s="621"/>
      <c r="PRX612" s="3933"/>
      <c r="PRY612" s="3933"/>
      <c r="PRZ612" s="3933"/>
      <c r="PSA612" s="621"/>
      <c r="PSB612" s="3933"/>
      <c r="PSC612" s="3933"/>
      <c r="PSD612" s="3933"/>
      <c r="PSE612" s="621"/>
      <c r="PSF612" s="3933"/>
      <c r="PSG612" s="3933"/>
      <c r="PSH612" s="3933"/>
      <c r="PSI612" s="621"/>
      <c r="PSJ612" s="3933"/>
      <c r="PSK612" s="3933"/>
      <c r="PSL612" s="3933"/>
      <c r="PSM612" s="621"/>
      <c r="PSN612" s="3933"/>
      <c r="PSO612" s="3933"/>
      <c r="PSP612" s="3933"/>
      <c r="PSQ612" s="621"/>
      <c r="PSR612" s="3933"/>
      <c r="PSS612" s="3933"/>
      <c r="PST612" s="3933"/>
      <c r="PSU612" s="621"/>
      <c r="PSV612" s="3933"/>
      <c r="PSW612" s="3933"/>
      <c r="PSX612" s="3933"/>
      <c r="PSY612" s="621"/>
      <c r="PSZ612" s="3933"/>
      <c r="PTA612" s="3933"/>
      <c r="PTB612" s="3933"/>
      <c r="PTC612" s="621"/>
      <c r="PTD612" s="3933"/>
      <c r="PTE612" s="3933"/>
      <c r="PTF612" s="3933"/>
      <c r="PTG612" s="621"/>
      <c r="PTH612" s="3933"/>
      <c r="PTI612" s="3933"/>
      <c r="PTJ612" s="3933"/>
      <c r="PTK612" s="621"/>
      <c r="PTL612" s="3933"/>
      <c r="PTM612" s="3933"/>
      <c r="PTN612" s="3933"/>
      <c r="PTO612" s="621"/>
      <c r="PTP612" s="3933"/>
      <c r="PTQ612" s="3933"/>
      <c r="PTR612" s="3933"/>
      <c r="PTS612" s="621"/>
      <c r="PTT612" s="3933"/>
      <c r="PTU612" s="3933"/>
      <c r="PTV612" s="3933"/>
      <c r="PTW612" s="621"/>
      <c r="PTX612" s="3933"/>
      <c r="PTY612" s="3933"/>
      <c r="PTZ612" s="3933"/>
      <c r="PUA612" s="621"/>
      <c r="PUB612" s="3933"/>
      <c r="PUC612" s="3933"/>
      <c r="PUD612" s="3933"/>
      <c r="PUE612" s="621"/>
      <c r="PUF612" s="3933"/>
      <c r="PUG612" s="3933"/>
      <c r="PUH612" s="3933"/>
      <c r="PUI612" s="621"/>
      <c r="PUJ612" s="3933"/>
      <c r="PUK612" s="3933"/>
      <c r="PUL612" s="3933"/>
      <c r="PUM612" s="621"/>
      <c r="PUN612" s="3933"/>
      <c r="PUO612" s="3933"/>
      <c r="PUP612" s="3933"/>
      <c r="PUQ612" s="621"/>
      <c r="PUR612" s="3933"/>
      <c r="PUS612" s="3933"/>
      <c r="PUT612" s="3933"/>
      <c r="PUU612" s="621"/>
      <c r="PUV612" s="3933"/>
      <c r="PUW612" s="3933"/>
      <c r="PUX612" s="3933"/>
      <c r="PUY612" s="621"/>
      <c r="PUZ612" s="3933"/>
      <c r="PVA612" s="3933"/>
      <c r="PVB612" s="3933"/>
      <c r="PVC612" s="621"/>
      <c r="PVD612" s="3933"/>
      <c r="PVE612" s="3933"/>
      <c r="PVF612" s="3933"/>
      <c r="PVG612" s="621"/>
      <c r="PVH612" s="3933"/>
      <c r="PVI612" s="3933"/>
      <c r="PVJ612" s="3933"/>
      <c r="PVK612" s="621"/>
      <c r="PVL612" s="3933"/>
      <c r="PVM612" s="3933"/>
      <c r="PVN612" s="3933"/>
      <c r="PVO612" s="621"/>
      <c r="PVP612" s="3933"/>
      <c r="PVQ612" s="3933"/>
      <c r="PVR612" s="3933"/>
      <c r="PVS612" s="621"/>
      <c r="PVT612" s="3933"/>
      <c r="PVU612" s="3933"/>
      <c r="PVV612" s="3933"/>
      <c r="PVW612" s="621"/>
      <c r="PVX612" s="3933"/>
      <c r="PVY612" s="3933"/>
      <c r="PVZ612" s="3933"/>
      <c r="PWA612" s="621"/>
      <c r="PWB612" s="3933"/>
      <c r="PWC612" s="3933"/>
      <c r="PWD612" s="3933"/>
      <c r="PWE612" s="621"/>
      <c r="PWF612" s="3933"/>
      <c r="PWG612" s="3933"/>
      <c r="PWH612" s="3933"/>
      <c r="PWI612" s="621"/>
      <c r="PWJ612" s="3933"/>
      <c r="PWK612" s="3933"/>
      <c r="PWL612" s="3933"/>
      <c r="PWM612" s="621"/>
      <c r="PWN612" s="3933"/>
      <c r="PWO612" s="3933"/>
      <c r="PWP612" s="3933"/>
      <c r="PWQ612" s="621"/>
      <c r="PWR612" s="3933"/>
      <c r="PWS612" s="3933"/>
      <c r="PWT612" s="3933"/>
      <c r="PWU612" s="621"/>
      <c r="PWV612" s="3933"/>
      <c r="PWW612" s="3933"/>
      <c r="PWX612" s="3933"/>
      <c r="PWY612" s="621"/>
      <c r="PWZ612" s="3933"/>
      <c r="PXA612" s="3933"/>
      <c r="PXB612" s="3933"/>
      <c r="PXC612" s="621"/>
      <c r="PXD612" s="3933"/>
      <c r="PXE612" s="3933"/>
      <c r="PXF612" s="3933"/>
      <c r="PXG612" s="621"/>
      <c r="PXH612" s="3933"/>
      <c r="PXI612" s="3933"/>
      <c r="PXJ612" s="3933"/>
      <c r="PXK612" s="621"/>
      <c r="PXL612" s="3933"/>
      <c r="PXM612" s="3933"/>
      <c r="PXN612" s="3933"/>
      <c r="PXO612" s="621"/>
      <c r="PXP612" s="3933"/>
      <c r="PXQ612" s="3933"/>
      <c r="PXR612" s="3933"/>
      <c r="PXS612" s="621"/>
      <c r="PXT612" s="3933"/>
      <c r="PXU612" s="3933"/>
      <c r="PXV612" s="3933"/>
      <c r="PXW612" s="621"/>
      <c r="PXX612" s="3933"/>
      <c r="PXY612" s="3933"/>
      <c r="PXZ612" s="3933"/>
      <c r="PYA612" s="621"/>
      <c r="PYB612" s="3933"/>
      <c r="PYC612" s="3933"/>
      <c r="PYD612" s="3933"/>
      <c r="PYE612" s="621"/>
      <c r="PYF612" s="3933"/>
      <c r="PYG612" s="3933"/>
      <c r="PYH612" s="3933"/>
      <c r="PYI612" s="621"/>
      <c r="PYJ612" s="3933"/>
      <c r="PYK612" s="3933"/>
      <c r="PYL612" s="3933"/>
      <c r="PYM612" s="621"/>
      <c r="PYN612" s="3933"/>
      <c r="PYO612" s="3933"/>
      <c r="PYP612" s="3933"/>
      <c r="PYQ612" s="621"/>
      <c r="PYR612" s="3933"/>
      <c r="PYS612" s="3933"/>
      <c r="PYT612" s="3933"/>
      <c r="PYU612" s="621"/>
      <c r="PYV612" s="3933"/>
      <c r="PYW612" s="3933"/>
      <c r="PYX612" s="3933"/>
      <c r="PYY612" s="621"/>
      <c r="PYZ612" s="3933"/>
      <c r="PZA612" s="3933"/>
      <c r="PZB612" s="3933"/>
      <c r="PZC612" s="621"/>
      <c r="PZD612" s="3933"/>
      <c r="PZE612" s="3933"/>
      <c r="PZF612" s="3933"/>
      <c r="PZG612" s="621"/>
      <c r="PZH612" s="3933"/>
      <c r="PZI612" s="3933"/>
      <c r="PZJ612" s="3933"/>
      <c r="PZK612" s="621"/>
      <c r="PZL612" s="3933"/>
      <c r="PZM612" s="3933"/>
      <c r="PZN612" s="3933"/>
      <c r="PZO612" s="621"/>
      <c r="PZP612" s="3933"/>
      <c r="PZQ612" s="3933"/>
      <c r="PZR612" s="3933"/>
      <c r="PZS612" s="621"/>
      <c r="PZT612" s="3933"/>
      <c r="PZU612" s="3933"/>
      <c r="PZV612" s="3933"/>
      <c r="PZW612" s="621"/>
      <c r="PZX612" s="3933"/>
      <c r="PZY612" s="3933"/>
      <c r="PZZ612" s="3933"/>
      <c r="QAA612" s="621"/>
      <c r="QAB612" s="3933"/>
      <c r="QAC612" s="3933"/>
      <c r="QAD612" s="3933"/>
      <c r="QAE612" s="621"/>
      <c r="QAF612" s="3933"/>
      <c r="QAG612" s="3933"/>
      <c r="QAH612" s="3933"/>
      <c r="QAI612" s="621"/>
      <c r="QAJ612" s="3933"/>
      <c r="QAK612" s="3933"/>
      <c r="QAL612" s="3933"/>
      <c r="QAM612" s="621"/>
      <c r="QAN612" s="3933"/>
      <c r="QAO612" s="3933"/>
      <c r="QAP612" s="3933"/>
      <c r="QAQ612" s="621"/>
      <c r="QAR612" s="3933"/>
      <c r="QAS612" s="3933"/>
      <c r="QAT612" s="3933"/>
      <c r="QAU612" s="621"/>
      <c r="QAV612" s="3933"/>
      <c r="QAW612" s="3933"/>
      <c r="QAX612" s="3933"/>
      <c r="QAY612" s="621"/>
      <c r="QAZ612" s="3933"/>
      <c r="QBA612" s="3933"/>
      <c r="QBB612" s="3933"/>
      <c r="QBC612" s="621"/>
      <c r="QBD612" s="3933"/>
      <c r="QBE612" s="3933"/>
      <c r="QBF612" s="3933"/>
      <c r="QBG612" s="621"/>
      <c r="QBH612" s="3933"/>
      <c r="QBI612" s="3933"/>
      <c r="QBJ612" s="3933"/>
      <c r="QBK612" s="621"/>
      <c r="QBL612" s="3933"/>
      <c r="QBM612" s="3933"/>
      <c r="QBN612" s="3933"/>
      <c r="QBO612" s="621"/>
      <c r="QBP612" s="3933"/>
      <c r="QBQ612" s="3933"/>
      <c r="QBR612" s="3933"/>
      <c r="QBS612" s="621"/>
      <c r="QBT612" s="3933"/>
      <c r="QBU612" s="3933"/>
      <c r="QBV612" s="3933"/>
      <c r="QBW612" s="621"/>
      <c r="QBX612" s="3933"/>
      <c r="QBY612" s="3933"/>
      <c r="QBZ612" s="3933"/>
      <c r="QCA612" s="621"/>
      <c r="QCB612" s="3933"/>
      <c r="QCC612" s="3933"/>
      <c r="QCD612" s="3933"/>
      <c r="QCE612" s="621"/>
      <c r="QCF612" s="3933"/>
      <c r="QCG612" s="3933"/>
      <c r="QCH612" s="3933"/>
      <c r="QCI612" s="621"/>
      <c r="QCJ612" s="3933"/>
      <c r="QCK612" s="3933"/>
      <c r="QCL612" s="3933"/>
      <c r="QCM612" s="621"/>
      <c r="QCN612" s="3933"/>
      <c r="QCO612" s="3933"/>
      <c r="QCP612" s="3933"/>
      <c r="QCQ612" s="621"/>
      <c r="QCR612" s="3933"/>
      <c r="QCS612" s="3933"/>
      <c r="QCT612" s="3933"/>
      <c r="QCU612" s="621"/>
      <c r="QCV612" s="3933"/>
      <c r="QCW612" s="3933"/>
      <c r="QCX612" s="3933"/>
      <c r="QCY612" s="621"/>
      <c r="QCZ612" s="3933"/>
      <c r="QDA612" s="3933"/>
      <c r="QDB612" s="3933"/>
      <c r="QDC612" s="621"/>
      <c r="QDD612" s="3933"/>
      <c r="QDE612" s="3933"/>
      <c r="QDF612" s="3933"/>
      <c r="QDG612" s="621"/>
      <c r="QDH612" s="3933"/>
      <c r="QDI612" s="3933"/>
      <c r="QDJ612" s="3933"/>
      <c r="QDK612" s="621"/>
      <c r="QDL612" s="3933"/>
      <c r="QDM612" s="3933"/>
      <c r="QDN612" s="3933"/>
      <c r="QDO612" s="621"/>
      <c r="QDP612" s="3933"/>
      <c r="QDQ612" s="3933"/>
      <c r="QDR612" s="3933"/>
      <c r="QDS612" s="621"/>
      <c r="QDT612" s="3933"/>
      <c r="QDU612" s="3933"/>
      <c r="QDV612" s="3933"/>
      <c r="QDW612" s="621"/>
      <c r="QDX612" s="3933"/>
      <c r="QDY612" s="3933"/>
      <c r="QDZ612" s="3933"/>
      <c r="QEA612" s="621"/>
      <c r="QEB612" s="3933"/>
      <c r="QEC612" s="3933"/>
      <c r="QED612" s="3933"/>
      <c r="QEE612" s="621"/>
      <c r="QEF612" s="3933"/>
      <c r="QEG612" s="3933"/>
      <c r="QEH612" s="3933"/>
      <c r="QEI612" s="621"/>
      <c r="QEJ612" s="3933"/>
      <c r="QEK612" s="3933"/>
      <c r="QEL612" s="3933"/>
      <c r="QEM612" s="621"/>
      <c r="QEN612" s="3933"/>
      <c r="QEO612" s="3933"/>
      <c r="QEP612" s="3933"/>
      <c r="QEQ612" s="621"/>
      <c r="QER612" s="3933"/>
      <c r="QES612" s="3933"/>
      <c r="QET612" s="3933"/>
      <c r="QEU612" s="621"/>
      <c r="QEV612" s="3933"/>
      <c r="QEW612" s="3933"/>
      <c r="QEX612" s="3933"/>
      <c r="QEY612" s="621"/>
      <c r="QEZ612" s="3933"/>
      <c r="QFA612" s="3933"/>
      <c r="QFB612" s="3933"/>
      <c r="QFC612" s="621"/>
      <c r="QFD612" s="3933"/>
      <c r="QFE612" s="3933"/>
      <c r="QFF612" s="3933"/>
      <c r="QFG612" s="621"/>
      <c r="QFH612" s="3933"/>
      <c r="QFI612" s="3933"/>
      <c r="QFJ612" s="3933"/>
      <c r="QFK612" s="621"/>
      <c r="QFL612" s="3933"/>
      <c r="QFM612" s="3933"/>
      <c r="QFN612" s="3933"/>
      <c r="QFO612" s="621"/>
      <c r="QFP612" s="3933"/>
      <c r="QFQ612" s="3933"/>
      <c r="QFR612" s="3933"/>
      <c r="QFS612" s="621"/>
      <c r="QFT612" s="3933"/>
      <c r="QFU612" s="3933"/>
      <c r="QFV612" s="3933"/>
      <c r="QFW612" s="621"/>
      <c r="QFX612" s="3933"/>
      <c r="QFY612" s="3933"/>
      <c r="QFZ612" s="3933"/>
      <c r="QGA612" s="621"/>
      <c r="QGB612" s="3933"/>
      <c r="QGC612" s="3933"/>
      <c r="QGD612" s="3933"/>
      <c r="QGE612" s="621"/>
      <c r="QGF612" s="3933"/>
      <c r="QGG612" s="3933"/>
      <c r="QGH612" s="3933"/>
      <c r="QGI612" s="621"/>
      <c r="QGJ612" s="3933"/>
      <c r="QGK612" s="3933"/>
      <c r="QGL612" s="3933"/>
      <c r="QGM612" s="621"/>
      <c r="QGN612" s="3933"/>
      <c r="QGO612" s="3933"/>
      <c r="QGP612" s="3933"/>
      <c r="QGQ612" s="621"/>
      <c r="QGR612" s="3933"/>
      <c r="QGS612" s="3933"/>
      <c r="QGT612" s="3933"/>
      <c r="QGU612" s="621"/>
      <c r="QGV612" s="3933"/>
      <c r="QGW612" s="3933"/>
      <c r="QGX612" s="3933"/>
      <c r="QGY612" s="621"/>
      <c r="QGZ612" s="3933"/>
      <c r="QHA612" s="3933"/>
      <c r="QHB612" s="3933"/>
      <c r="QHC612" s="621"/>
      <c r="QHD612" s="3933"/>
      <c r="QHE612" s="3933"/>
      <c r="QHF612" s="3933"/>
      <c r="QHG612" s="621"/>
      <c r="QHH612" s="3933"/>
      <c r="QHI612" s="3933"/>
      <c r="QHJ612" s="3933"/>
      <c r="QHK612" s="621"/>
      <c r="QHL612" s="3933"/>
      <c r="QHM612" s="3933"/>
      <c r="QHN612" s="3933"/>
      <c r="QHO612" s="621"/>
      <c r="QHP612" s="3933"/>
      <c r="QHQ612" s="3933"/>
      <c r="QHR612" s="3933"/>
      <c r="QHS612" s="621"/>
      <c r="QHT612" s="3933"/>
      <c r="QHU612" s="3933"/>
      <c r="QHV612" s="3933"/>
      <c r="QHW612" s="621"/>
      <c r="QHX612" s="3933"/>
      <c r="QHY612" s="3933"/>
      <c r="QHZ612" s="3933"/>
      <c r="QIA612" s="621"/>
      <c r="QIB612" s="3933"/>
      <c r="QIC612" s="3933"/>
      <c r="QID612" s="3933"/>
      <c r="QIE612" s="621"/>
      <c r="QIF612" s="3933"/>
      <c r="QIG612" s="3933"/>
      <c r="QIH612" s="3933"/>
      <c r="QII612" s="621"/>
      <c r="QIJ612" s="3933"/>
      <c r="QIK612" s="3933"/>
      <c r="QIL612" s="3933"/>
      <c r="QIM612" s="621"/>
      <c r="QIN612" s="3933"/>
      <c r="QIO612" s="3933"/>
      <c r="QIP612" s="3933"/>
      <c r="QIQ612" s="621"/>
      <c r="QIR612" s="3933"/>
      <c r="QIS612" s="3933"/>
      <c r="QIT612" s="3933"/>
      <c r="QIU612" s="621"/>
      <c r="QIV612" s="3933"/>
      <c r="QIW612" s="3933"/>
      <c r="QIX612" s="3933"/>
      <c r="QIY612" s="621"/>
      <c r="QIZ612" s="3933"/>
      <c r="QJA612" s="3933"/>
      <c r="QJB612" s="3933"/>
      <c r="QJC612" s="621"/>
      <c r="QJD612" s="3933"/>
      <c r="QJE612" s="3933"/>
      <c r="QJF612" s="3933"/>
      <c r="QJG612" s="621"/>
      <c r="QJH612" s="3933"/>
      <c r="QJI612" s="3933"/>
      <c r="QJJ612" s="3933"/>
      <c r="QJK612" s="621"/>
      <c r="QJL612" s="3933"/>
      <c r="QJM612" s="3933"/>
      <c r="QJN612" s="3933"/>
      <c r="QJO612" s="621"/>
      <c r="QJP612" s="3933"/>
      <c r="QJQ612" s="3933"/>
      <c r="QJR612" s="3933"/>
      <c r="QJS612" s="621"/>
      <c r="QJT612" s="3933"/>
      <c r="QJU612" s="3933"/>
      <c r="QJV612" s="3933"/>
      <c r="QJW612" s="621"/>
      <c r="QJX612" s="3933"/>
      <c r="QJY612" s="3933"/>
      <c r="QJZ612" s="3933"/>
      <c r="QKA612" s="621"/>
      <c r="QKB612" s="3933"/>
      <c r="QKC612" s="3933"/>
      <c r="QKD612" s="3933"/>
      <c r="QKE612" s="621"/>
      <c r="QKF612" s="3933"/>
      <c r="QKG612" s="3933"/>
      <c r="QKH612" s="3933"/>
      <c r="QKI612" s="621"/>
      <c r="QKJ612" s="3933"/>
      <c r="QKK612" s="3933"/>
      <c r="QKL612" s="3933"/>
      <c r="QKM612" s="621"/>
      <c r="QKN612" s="3933"/>
      <c r="QKO612" s="3933"/>
      <c r="QKP612" s="3933"/>
      <c r="QKQ612" s="621"/>
      <c r="QKR612" s="3933"/>
      <c r="QKS612" s="3933"/>
      <c r="QKT612" s="3933"/>
      <c r="QKU612" s="621"/>
      <c r="QKV612" s="3933"/>
      <c r="QKW612" s="3933"/>
      <c r="QKX612" s="3933"/>
      <c r="QKY612" s="621"/>
      <c r="QKZ612" s="3933"/>
      <c r="QLA612" s="3933"/>
      <c r="QLB612" s="3933"/>
      <c r="QLC612" s="621"/>
      <c r="QLD612" s="3933"/>
      <c r="QLE612" s="3933"/>
      <c r="QLF612" s="3933"/>
      <c r="QLG612" s="621"/>
      <c r="QLH612" s="3933"/>
      <c r="QLI612" s="3933"/>
      <c r="QLJ612" s="3933"/>
      <c r="QLK612" s="621"/>
      <c r="QLL612" s="3933"/>
      <c r="QLM612" s="3933"/>
      <c r="QLN612" s="3933"/>
      <c r="QLO612" s="621"/>
      <c r="QLP612" s="3933"/>
      <c r="QLQ612" s="3933"/>
      <c r="QLR612" s="3933"/>
      <c r="QLS612" s="621"/>
      <c r="QLT612" s="3933"/>
      <c r="QLU612" s="3933"/>
      <c r="QLV612" s="3933"/>
      <c r="QLW612" s="621"/>
      <c r="QLX612" s="3933"/>
      <c r="QLY612" s="3933"/>
      <c r="QLZ612" s="3933"/>
      <c r="QMA612" s="621"/>
      <c r="QMB612" s="3933"/>
      <c r="QMC612" s="3933"/>
      <c r="QMD612" s="3933"/>
      <c r="QME612" s="621"/>
      <c r="QMF612" s="3933"/>
      <c r="QMG612" s="3933"/>
      <c r="QMH612" s="3933"/>
      <c r="QMI612" s="621"/>
      <c r="QMJ612" s="3933"/>
      <c r="QMK612" s="3933"/>
      <c r="QML612" s="3933"/>
      <c r="QMM612" s="621"/>
      <c r="QMN612" s="3933"/>
      <c r="QMO612" s="3933"/>
      <c r="QMP612" s="3933"/>
      <c r="QMQ612" s="621"/>
      <c r="QMR612" s="3933"/>
      <c r="QMS612" s="3933"/>
      <c r="QMT612" s="3933"/>
      <c r="QMU612" s="621"/>
      <c r="QMV612" s="3933"/>
      <c r="QMW612" s="3933"/>
      <c r="QMX612" s="3933"/>
      <c r="QMY612" s="621"/>
      <c r="QMZ612" s="3933"/>
      <c r="QNA612" s="3933"/>
      <c r="QNB612" s="3933"/>
      <c r="QNC612" s="621"/>
      <c r="QND612" s="3933"/>
      <c r="QNE612" s="3933"/>
      <c r="QNF612" s="3933"/>
      <c r="QNG612" s="621"/>
      <c r="QNH612" s="3933"/>
      <c r="QNI612" s="3933"/>
      <c r="QNJ612" s="3933"/>
      <c r="QNK612" s="621"/>
      <c r="QNL612" s="3933"/>
      <c r="QNM612" s="3933"/>
      <c r="QNN612" s="3933"/>
      <c r="QNO612" s="621"/>
      <c r="QNP612" s="3933"/>
      <c r="QNQ612" s="3933"/>
      <c r="QNR612" s="3933"/>
      <c r="QNS612" s="621"/>
      <c r="QNT612" s="3933"/>
      <c r="QNU612" s="3933"/>
      <c r="QNV612" s="3933"/>
      <c r="QNW612" s="621"/>
      <c r="QNX612" s="3933"/>
      <c r="QNY612" s="3933"/>
      <c r="QNZ612" s="3933"/>
      <c r="QOA612" s="621"/>
      <c r="QOB612" s="3933"/>
      <c r="QOC612" s="3933"/>
      <c r="QOD612" s="3933"/>
      <c r="QOE612" s="621"/>
      <c r="QOF612" s="3933"/>
      <c r="QOG612" s="3933"/>
      <c r="QOH612" s="3933"/>
      <c r="QOI612" s="621"/>
      <c r="QOJ612" s="3933"/>
      <c r="QOK612" s="3933"/>
      <c r="QOL612" s="3933"/>
      <c r="QOM612" s="621"/>
      <c r="QON612" s="3933"/>
      <c r="QOO612" s="3933"/>
      <c r="QOP612" s="3933"/>
      <c r="QOQ612" s="621"/>
      <c r="QOR612" s="3933"/>
      <c r="QOS612" s="3933"/>
      <c r="QOT612" s="3933"/>
      <c r="QOU612" s="621"/>
      <c r="QOV612" s="3933"/>
      <c r="QOW612" s="3933"/>
      <c r="QOX612" s="3933"/>
      <c r="QOY612" s="621"/>
      <c r="QOZ612" s="3933"/>
      <c r="QPA612" s="3933"/>
      <c r="QPB612" s="3933"/>
      <c r="QPC612" s="621"/>
      <c r="QPD612" s="3933"/>
      <c r="QPE612" s="3933"/>
      <c r="QPF612" s="3933"/>
      <c r="QPG612" s="621"/>
      <c r="QPH612" s="3933"/>
      <c r="QPI612" s="3933"/>
      <c r="QPJ612" s="3933"/>
      <c r="QPK612" s="621"/>
      <c r="QPL612" s="3933"/>
      <c r="QPM612" s="3933"/>
      <c r="QPN612" s="3933"/>
      <c r="QPO612" s="621"/>
      <c r="QPP612" s="3933"/>
      <c r="QPQ612" s="3933"/>
      <c r="QPR612" s="3933"/>
      <c r="QPS612" s="621"/>
      <c r="QPT612" s="3933"/>
      <c r="QPU612" s="3933"/>
      <c r="QPV612" s="3933"/>
      <c r="QPW612" s="621"/>
      <c r="QPX612" s="3933"/>
      <c r="QPY612" s="3933"/>
      <c r="QPZ612" s="3933"/>
      <c r="QQA612" s="621"/>
      <c r="QQB612" s="3933"/>
      <c r="QQC612" s="3933"/>
      <c r="QQD612" s="3933"/>
      <c r="QQE612" s="621"/>
      <c r="QQF612" s="3933"/>
      <c r="QQG612" s="3933"/>
      <c r="QQH612" s="3933"/>
      <c r="QQI612" s="621"/>
      <c r="QQJ612" s="3933"/>
      <c r="QQK612" s="3933"/>
      <c r="QQL612" s="3933"/>
      <c r="QQM612" s="621"/>
      <c r="QQN612" s="3933"/>
      <c r="QQO612" s="3933"/>
      <c r="QQP612" s="3933"/>
      <c r="QQQ612" s="621"/>
      <c r="QQR612" s="3933"/>
      <c r="QQS612" s="3933"/>
      <c r="QQT612" s="3933"/>
      <c r="QQU612" s="621"/>
      <c r="QQV612" s="3933"/>
      <c r="QQW612" s="3933"/>
      <c r="QQX612" s="3933"/>
      <c r="QQY612" s="621"/>
      <c r="QQZ612" s="3933"/>
      <c r="QRA612" s="3933"/>
      <c r="QRB612" s="3933"/>
      <c r="QRC612" s="621"/>
      <c r="QRD612" s="3933"/>
      <c r="QRE612" s="3933"/>
      <c r="QRF612" s="3933"/>
      <c r="QRG612" s="621"/>
      <c r="QRH612" s="3933"/>
      <c r="QRI612" s="3933"/>
      <c r="QRJ612" s="3933"/>
      <c r="QRK612" s="621"/>
      <c r="QRL612" s="3933"/>
      <c r="QRM612" s="3933"/>
      <c r="QRN612" s="3933"/>
      <c r="QRO612" s="621"/>
      <c r="QRP612" s="3933"/>
      <c r="QRQ612" s="3933"/>
      <c r="QRR612" s="3933"/>
      <c r="QRS612" s="621"/>
      <c r="QRT612" s="3933"/>
      <c r="QRU612" s="3933"/>
      <c r="QRV612" s="3933"/>
      <c r="QRW612" s="621"/>
      <c r="QRX612" s="3933"/>
      <c r="QRY612" s="3933"/>
      <c r="QRZ612" s="3933"/>
      <c r="QSA612" s="621"/>
      <c r="QSB612" s="3933"/>
      <c r="QSC612" s="3933"/>
      <c r="QSD612" s="3933"/>
      <c r="QSE612" s="621"/>
      <c r="QSF612" s="3933"/>
      <c r="QSG612" s="3933"/>
      <c r="QSH612" s="3933"/>
      <c r="QSI612" s="621"/>
      <c r="QSJ612" s="3933"/>
      <c r="QSK612" s="3933"/>
      <c r="QSL612" s="3933"/>
      <c r="QSM612" s="621"/>
      <c r="QSN612" s="3933"/>
      <c r="QSO612" s="3933"/>
      <c r="QSP612" s="3933"/>
      <c r="QSQ612" s="621"/>
      <c r="QSR612" s="3933"/>
      <c r="QSS612" s="3933"/>
      <c r="QST612" s="3933"/>
      <c r="QSU612" s="621"/>
      <c r="QSV612" s="3933"/>
      <c r="QSW612" s="3933"/>
      <c r="QSX612" s="3933"/>
      <c r="QSY612" s="621"/>
      <c r="QSZ612" s="3933"/>
      <c r="QTA612" s="3933"/>
      <c r="QTB612" s="3933"/>
      <c r="QTC612" s="621"/>
      <c r="QTD612" s="3933"/>
      <c r="QTE612" s="3933"/>
      <c r="QTF612" s="3933"/>
      <c r="QTG612" s="621"/>
      <c r="QTH612" s="3933"/>
      <c r="QTI612" s="3933"/>
      <c r="QTJ612" s="3933"/>
      <c r="QTK612" s="621"/>
      <c r="QTL612" s="3933"/>
      <c r="QTM612" s="3933"/>
      <c r="QTN612" s="3933"/>
      <c r="QTO612" s="621"/>
      <c r="QTP612" s="3933"/>
      <c r="QTQ612" s="3933"/>
      <c r="QTR612" s="3933"/>
      <c r="QTS612" s="621"/>
      <c r="QTT612" s="3933"/>
      <c r="QTU612" s="3933"/>
      <c r="QTV612" s="3933"/>
      <c r="QTW612" s="621"/>
      <c r="QTX612" s="3933"/>
      <c r="QTY612" s="3933"/>
      <c r="QTZ612" s="3933"/>
      <c r="QUA612" s="621"/>
      <c r="QUB612" s="3933"/>
      <c r="QUC612" s="3933"/>
      <c r="QUD612" s="3933"/>
      <c r="QUE612" s="621"/>
      <c r="QUF612" s="3933"/>
      <c r="QUG612" s="3933"/>
      <c r="QUH612" s="3933"/>
      <c r="QUI612" s="621"/>
      <c r="QUJ612" s="3933"/>
      <c r="QUK612" s="3933"/>
      <c r="QUL612" s="3933"/>
      <c r="QUM612" s="621"/>
      <c r="QUN612" s="3933"/>
      <c r="QUO612" s="3933"/>
      <c r="QUP612" s="3933"/>
      <c r="QUQ612" s="621"/>
      <c r="QUR612" s="3933"/>
      <c r="QUS612" s="3933"/>
      <c r="QUT612" s="3933"/>
      <c r="QUU612" s="621"/>
      <c r="QUV612" s="3933"/>
      <c r="QUW612" s="3933"/>
      <c r="QUX612" s="3933"/>
      <c r="QUY612" s="621"/>
      <c r="QUZ612" s="3933"/>
      <c r="QVA612" s="3933"/>
      <c r="QVB612" s="3933"/>
      <c r="QVC612" s="621"/>
      <c r="QVD612" s="3933"/>
      <c r="QVE612" s="3933"/>
      <c r="QVF612" s="3933"/>
      <c r="QVG612" s="621"/>
      <c r="QVH612" s="3933"/>
      <c r="QVI612" s="3933"/>
      <c r="QVJ612" s="3933"/>
      <c r="QVK612" s="621"/>
      <c r="QVL612" s="3933"/>
      <c r="QVM612" s="3933"/>
      <c r="QVN612" s="3933"/>
      <c r="QVO612" s="621"/>
      <c r="QVP612" s="3933"/>
      <c r="QVQ612" s="3933"/>
      <c r="QVR612" s="3933"/>
      <c r="QVS612" s="621"/>
      <c r="QVT612" s="3933"/>
      <c r="QVU612" s="3933"/>
      <c r="QVV612" s="3933"/>
      <c r="QVW612" s="621"/>
      <c r="QVX612" s="3933"/>
      <c r="QVY612" s="3933"/>
      <c r="QVZ612" s="3933"/>
      <c r="QWA612" s="621"/>
      <c r="QWB612" s="3933"/>
      <c r="QWC612" s="3933"/>
      <c r="QWD612" s="3933"/>
      <c r="QWE612" s="621"/>
      <c r="QWF612" s="3933"/>
      <c r="QWG612" s="3933"/>
      <c r="QWH612" s="3933"/>
      <c r="QWI612" s="621"/>
      <c r="QWJ612" s="3933"/>
      <c r="QWK612" s="3933"/>
      <c r="QWL612" s="3933"/>
      <c r="QWM612" s="621"/>
      <c r="QWN612" s="3933"/>
      <c r="QWO612" s="3933"/>
      <c r="QWP612" s="3933"/>
      <c r="QWQ612" s="621"/>
      <c r="QWR612" s="3933"/>
      <c r="QWS612" s="3933"/>
      <c r="QWT612" s="3933"/>
      <c r="QWU612" s="621"/>
      <c r="QWV612" s="3933"/>
      <c r="QWW612" s="3933"/>
      <c r="QWX612" s="3933"/>
      <c r="QWY612" s="621"/>
      <c r="QWZ612" s="3933"/>
      <c r="QXA612" s="3933"/>
      <c r="QXB612" s="3933"/>
      <c r="QXC612" s="621"/>
      <c r="QXD612" s="3933"/>
      <c r="QXE612" s="3933"/>
      <c r="QXF612" s="3933"/>
      <c r="QXG612" s="621"/>
      <c r="QXH612" s="3933"/>
      <c r="QXI612" s="3933"/>
      <c r="QXJ612" s="3933"/>
      <c r="QXK612" s="621"/>
      <c r="QXL612" s="3933"/>
      <c r="QXM612" s="3933"/>
      <c r="QXN612" s="3933"/>
      <c r="QXO612" s="621"/>
      <c r="QXP612" s="3933"/>
      <c r="QXQ612" s="3933"/>
      <c r="QXR612" s="3933"/>
      <c r="QXS612" s="621"/>
      <c r="QXT612" s="3933"/>
      <c r="QXU612" s="3933"/>
      <c r="QXV612" s="3933"/>
      <c r="QXW612" s="621"/>
      <c r="QXX612" s="3933"/>
      <c r="QXY612" s="3933"/>
      <c r="QXZ612" s="3933"/>
      <c r="QYA612" s="621"/>
      <c r="QYB612" s="3933"/>
      <c r="QYC612" s="3933"/>
      <c r="QYD612" s="3933"/>
      <c r="QYE612" s="621"/>
      <c r="QYF612" s="3933"/>
      <c r="QYG612" s="3933"/>
      <c r="QYH612" s="3933"/>
      <c r="QYI612" s="621"/>
      <c r="QYJ612" s="3933"/>
      <c r="QYK612" s="3933"/>
      <c r="QYL612" s="3933"/>
      <c r="QYM612" s="621"/>
      <c r="QYN612" s="3933"/>
      <c r="QYO612" s="3933"/>
      <c r="QYP612" s="3933"/>
      <c r="QYQ612" s="621"/>
      <c r="QYR612" s="3933"/>
      <c r="QYS612" s="3933"/>
      <c r="QYT612" s="3933"/>
      <c r="QYU612" s="621"/>
      <c r="QYV612" s="3933"/>
      <c r="QYW612" s="3933"/>
      <c r="QYX612" s="3933"/>
      <c r="QYY612" s="621"/>
      <c r="QYZ612" s="3933"/>
      <c r="QZA612" s="3933"/>
      <c r="QZB612" s="3933"/>
      <c r="QZC612" s="621"/>
      <c r="QZD612" s="3933"/>
      <c r="QZE612" s="3933"/>
      <c r="QZF612" s="3933"/>
      <c r="QZG612" s="621"/>
      <c r="QZH612" s="3933"/>
      <c r="QZI612" s="3933"/>
      <c r="QZJ612" s="3933"/>
      <c r="QZK612" s="621"/>
      <c r="QZL612" s="3933"/>
      <c r="QZM612" s="3933"/>
      <c r="QZN612" s="3933"/>
      <c r="QZO612" s="621"/>
      <c r="QZP612" s="3933"/>
      <c r="QZQ612" s="3933"/>
      <c r="QZR612" s="3933"/>
      <c r="QZS612" s="621"/>
      <c r="QZT612" s="3933"/>
      <c r="QZU612" s="3933"/>
      <c r="QZV612" s="3933"/>
      <c r="QZW612" s="621"/>
      <c r="QZX612" s="3933"/>
      <c r="QZY612" s="3933"/>
      <c r="QZZ612" s="3933"/>
      <c r="RAA612" s="621"/>
      <c r="RAB612" s="3933"/>
      <c r="RAC612" s="3933"/>
      <c r="RAD612" s="3933"/>
      <c r="RAE612" s="621"/>
      <c r="RAF612" s="3933"/>
      <c r="RAG612" s="3933"/>
      <c r="RAH612" s="3933"/>
      <c r="RAI612" s="621"/>
      <c r="RAJ612" s="3933"/>
      <c r="RAK612" s="3933"/>
      <c r="RAL612" s="3933"/>
      <c r="RAM612" s="621"/>
      <c r="RAN612" s="3933"/>
      <c r="RAO612" s="3933"/>
      <c r="RAP612" s="3933"/>
      <c r="RAQ612" s="621"/>
      <c r="RAR612" s="3933"/>
      <c r="RAS612" s="3933"/>
      <c r="RAT612" s="3933"/>
      <c r="RAU612" s="621"/>
      <c r="RAV612" s="3933"/>
      <c r="RAW612" s="3933"/>
      <c r="RAX612" s="3933"/>
      <c r="RAY612" s="621"/>
      <c r="RAZ612" s="3933"/>
      <c r="RBA612" s="3933"/>
      <c r="RBB612" s="3933"/>
      <c r="RBC612" s="621"/>
      <c r="RBD612" s="3933"/>
      <c r="RBE612" s="3933"/>
      <c r="RBF612" s="3933"/>
      <c r="RBG612" s="621"/>
      <c r="RBH612" s="3933"/>
      <c r="RBI612" s="3933"/>
      <c r="RBJ612" s="3933"/>
      <c r="RBK612" s="621"/>
      <c r="RBL612" s="3933"/>
      <c r="RBM612" s="3933"/>
      <c r="RBN612" s="3933"/>
      <c r="RBO612" s="621"/>
      <c r="RBP612" s="3933"/>
      <c r="RBQ612" s="3933"/>
      <c r="RBR612" s="3933"/>
      <c r="RBS612" s="621"/>
      <c r="RBT612" s="3933"/>
      <c r="RBU612" s="3933"/>
      <c r="RBV612" s="3933"/>
      <c r="RBW612" s="621"/>
      <c r="RBX612" s="3933"/>
      <c r="RBY612" s="3933"/>
      <c r="RBZ612" s="3933"/>
      <c r="RCA612" s="621"/>
      <c r="RCB612" s="3933"/>
      <c r="RCC612" s="3933"/>
      <c r="RCD612" s="3933"/>
      <c r="RCE612" s="621"/>
      <c r="RCF612" s="3933"/>
      <c r="RCG612" s="3933"/>
      <c r="RCH612" s="3933"/>
      <c r="RCI612" s="621"/>
      <c r="RCJ612" s="3933"/>
      <c r="RCK612" s="3933"/>
      <c r="RCL612" s="3933"/>
      <c r="RCM612" s="621"/>
      <c r="RCN612" s="3933"/>
      <c r="RCO612" s="3933"/>
      <c r="RCP612" s="3933"/>
      <c r="RCQ612" s="621"/>
      <c r="RCR612" s="3933"/>
      <c r="RCS612" s="3933"/>
      <c r="RCT612" s="3933"/>
      <c r="RCU612" s="621"/>
      <c r="RCV612" s="3933"/>
      <c r="RCW612" s="3933"/>
      <c r="RCX612" s="3933"/>
      <c r="RCY612" s="621"/>
      <c r="RCZ612" s="3933"/>
      <c r="RDA612" s="3933"/>
      <c r="RDB612" s="3933"/>
      <c r="RDC612" s="621"/>
      <c r="RDD612" s="3933"/>
      <c r="RDE612" s="3933"/>
      <c r="RDF612" s="3933"/>
      <c r="RDG612" s="621"/>
      <c r="RDH612" s="3933"/>
      <c r="RDI612" s="3933"/>
      <c r="RDJ612" s="3933"/>
      <c r="RDK612" s="621"/>
      <c r="RDL612" s="3933"/>
      <c r="RDM612" s="3933"/>
      <c r="RDN612" s="3933"/>
      <c r="RDO612" s="621"/>
      <c r="RDP612" s="3933"/>
      <c r="RDQ612" s="3933"/>
      <c r="RDR612" s="3933"/>
      <c r="RDS612" s="621"/>
      <c r="RDT612" s="3933"/>
      <c r="RDU612" s="3933"/>
      <c r="RDV612" s="3933"/>
      <c r="RDW612" s="621"/>
      <c r="RDX612" s="3933"/>
      <c r="RDY612" s="3933"/>
      <c r="RDZ612" s="3933"/>
      <c r="REA612" s="621"/>
      <c r="REB612" s="3933"/>
      <c r="REC612" s="3933"/>
      <c r="RED612" s="3933"/>
      <c r="REE612" s="621"/>
      <c r="REF612" s="3933"/>
      <c r="REG612" s="3933"/>
      <c r="REH612" s="3933"/>
      <c r="REI612" s="621"/>
      <c r="REJ612" s="3933"/>
      <c r="REK612" s="3933"/>
      <c r="REL612" s="3933"/>
      <c r="REM612" s="621"/>
      <c r="REN612" s="3933"/>
      <c r="REO612" s="3933"/>
      <c r="REP612" s="3933"/>
      <c r="REQ612" s="621"/>
      <c r="RER612" s="3933"/>
      <c r="RES612" s="3933"/>
      <c r="RET612" s="3933"/>
      <c r="REU612" s="621"/>
      <c r="REV612" s="3933"/>
      <c r="REW612" s="3933"/>
      <c r="REX612" s="3933"/>
      <c r="REY612" s="621"/>
      <c r="REZ612" s="3933"/>
      <c r="RFA612" s="3933"/>
      <c r="RFB612" s="3933"/>
      <c r="RFC612" s="621"/>
      <c r="RFD612" s="3933"/>
      <c r="RFE612" s="3933"/>
      <c r="RFF612" s="3933"/>
      <c r="RFG612" s="621"/>
      <c r="RFH612" s="3933"/>
      <c r="RFI612" s="3933"/>
      <c r="RFJ612" s="3933"/>
      <c r="RFK612" s="621"/>
      <c r="RFL612" s="3933"/>
      <c r="RFM612" s="3933"/>
      <c r="RFN612" s="3933"/>
      <c r="RFO612" s="621"/>
      <c r="RFP612" s="3933"/>
      <c r="RFQ612" s="3933"/>
      <c r="RFR612" s="3933"/>
      <c r="RFS612" s="621"/>
      <c r="RFT612" s="3933"/>
      <c r="RFU612" s="3933"/>
      <c r="RFV612" s="3933"/>
      <c r="RFW612" s="621"/>
      <c r="RFX612" s="3933"/>
      <c r="RFY612" s="3933"/>
      <c r="RFZ612" s="3933"/>
      <c r="RGA612" s="621"/>
      <c r="RGB612" s="3933"/>
      <c r="RGC612" s="3933"/>
      <c r="RGD612" s="3933"/>
      <c r="RGE612" s="621"/>
      <c r="RGF612" s="3933"/>
      <c r="RGG612" s="3933"/>
      <c r="RGH612" s="3933"/>
      <c r="RGI612" s="621"/>
      <c r="RGJ612" s="3933"/>
      <c r="RGK612" s="3933"/>
      <c r="RGL612" s="3933"/>
      <c r="RGM612" s="621"/>
      <c r="RGN612" s="3933"/>
      <c r="RGO612" s="3933"/>
      <c r="RGP612" s="3933"/>
      <c r="RGQ612" s="621"/>
      <c r="RGR612" s="3933"/>
      <c r="RGS612" s="3933"/>
      <c r="RGT612" s="3933"/>
      <c r="RGU612" s="621"/>
      <c r="RGV612" s="3933"/>
      <c r="RGW612" s="3933"/>
      <c r="RGX612" s="3933"/>
      <c r="RGY612" s="621"/>
      <c r="RGZ612" s="3933"/>
      <c r="RHA612" s="3933"/>
      <c r="RHB612" s="3933"/>
      <c r="RHC612" s="621"/>
      <c r="RHD612" s="3933"/>
      <c r="RHE612" s="3933"/>
      <c r="RHF612" s="3933"/>
      <c r="RHG612" s="621"/>
      <c r="RHH612" s="3933"/>
      <c r="RHI612" s="3933"/>
      <c r="RHJ612" s="3933"/>
      <c r="RHK612" s="621"/>
      <c r="RHL612" s="3933"/>
      <c r="RHM612" s="3933"/>
      <c r="RHN612" s="3933"/>
      <c r="RHO612" s="621"/>
      <c r="RHP612" s="3933"/>
      <c r="RHQ612" s="3933"/>
      <c r="RHR612" s="3933"/>
      <c r="RHS612" s="621"/>
      <c r="RHT612" s="3933"/>
      <c r="RHU612" s="3933"/>
      <c r="RHV612" s="3933"/>
      <c r="RHW612" s="621"/>
      <c r="RHX612" s="3933"/>
      <c r="RHY612" s="3933"/>
      <c r="RHZ612" s="3933"/>
      <c r="RIA612" s="621"/>
      <c r="RIB612" s="3933"/>
      <c r="RIC612" s="3933"/>
      <c r="RID612" s="3933"/>
      <c r="RIE612" s="621"/>
      <c r="RIF612" s="3933"/>
      <c r="RIG612" s="3933"/>
      <c r="RIH612" s="3933"/>
      <c r="RII612" s="621"/>
      <c r="RIJ612" s="3933"/>
      <c r="RIK612" s="3933"/>
      <c r="RIL612" s="3933"/>
      <c r="RIM612" s="621"/>
      <c r="RIN612" s="3933"/>
      <c r="RIO612" s="3933"/>
      <c r="RIP612" s="3933"/>
      <c r="RIQ612" s="621"/>
      <c r="RIR612" s="3933"/>
      <c r="RIS612" s="3933"/>
      <c r="RIT612" s="3933"/>
      <c r="RIU612" s="621"/>
      <c r="RIV612" s="3933"/>
      <c r="RIW612" s="3933"/>
      <c r="RIX612" s="3933"/>
      <c r="RIY612" s="621"/>
      <c r="RIZ612" s="3933"/>
      <c r="RJA612" s="3933"/>
      <c r="RJB612" s="3933"/>
      <c r="RJC612" s="621"/>
      <c r="RJD612" s="3933"/>
      <c r="RJE612" s="3933"/>
      <c r="RJF612" s="3933"/>
      <c r="RJG612" s="621"/>
      <c r="RJH612" s="3933"/>
      <c r="RJI612" s="3933"/>
      <c r="RJJ612" s="3933"/>
      <c r="RJK612" s="621"/>
      <c r="RJL612" s="3933"/>
      <c r="RJM612" s="3933"/>
      <c r="RJN612" s="3933"/>
      <c r="RJO612" s="621"/>
      <c r="RJP612" s="3933"/>
      <c r="RJQ612" s="3933"/>
      <c r="RJR612" s="3933"/>
      <c r="RJS612" s="621"/>
      <c r="RJT612" s="3933"/>
      <c r="RJU612" s="3933"/>
      <c r="RJV612" s="3933"/>
      <c r="RJW612" s="621"/>
      <c r="RJX612" s="3933"/>
      <c r="RJY612" s="3933"/>
      <c r="RJZ612" s="3933"/>
      <c r="RKA612" s="621"/>
      <c r="RKB612" s="3933"/>
      <c r="RKC612" s="3933"/>
      <c r="RKD612" s="3933"/>
      <c r="RKE612" s="621"/>
      <c r="RKF612" s="3933"/>
      <c r="RKG612" s="3933"/>
      <c r="RKH612" s="3933"/>
      <c r="RKI612" s="621"/>
      <c r="RKJ612" s="3933"/>
      <c r="RKK612" s="3933"/>
      <c r="RKL612" s="3933"/>
      <c r="RKM612" s="621"/>
      <c r="RKN612" s="3933"/>
      <c r="RKO612" s="3933"/>
      <c r="RKP612" s="3933"/>
      <c r="RKQ612" s="621"/>
      <c r="RKR612" s="3933"/>
      <c r="RKS612" s="3933"/>
      <c r="RKT612" s="3933"/>
      <c r="RKU612" s="621"/>
      <c r="RKV612" s="3933"/>
      <c r="RKW612" s="3933"/>
      <c r="RKX612" s="3933"/>
      <c r="RKY612" s="621"/>
      <c r="RKZ612" s="3933"/>
      <c r="RLA612" s="3933"/>
      <c r="RLB612" s="3933"/>
      <c r="RLC612" s="621"/>
      <c r="RLD612" s="3933"/>
      <c r="RLE612" s="3933"/>
      <c r="RLF612" s="3933"/>
      <c r="RLG612" s="621"/>
      <c r="RLH612" s="3933"/>
      <c r="RLI612" s="3933"/>
      <c r="RLJ612" s="3933"/>
      <c r="RLK612" s="621"/>
      <c r="RLL612" s="3933"/>
      <c r="RLM612" s="3933"/>
      <c r="RLN612" s="3933"/>
      <c r="RLO612" s="621"/>
      <c r="RLP612" s="3933"/>
      <c r="RLQ612" s="3933"/>
      <c r="RLR612" s="3933"/>
      <c r="RLS612" s="621"/>
      <c r="RLT612" s="3933"/>
      <c r="RLU612" s="3933"/>
      <c r="RLV612" s="3933"/>
      <c r="RLW612" s="621"/>
      <c r="RLX612" s="3933"/>
      <c r="RLY612" s="3933"/>
      <c r="RLZ612" s="3933"/>
      <c r="RMA612" s="621"/>
      <c r="RMB612" s="3933"/>
      <c r="RMC612" s="3933"/>
      <c r="RMD612" s="3933"/>
      <c r="RME612" s="621"/>
      <c r="RMF612" s="3933"/>
      <c r="RMG612" s="3933"/>
      <c r="RMH612" s="3933"/>
      <c r="RMI612" s="621"/>
      <c r="RMJ612" s="3933"/>
      <c r="RMK612" s="3933"/>
      <c r="RML612" s="3933"/>
      <c r="RMM612" s="621"/>
      <c r="RMN612" s="3933"/>
      <c r="RMO612" s="3933"/>
      <c r="RMP612" s="3933"/>
      <c r="RMQ612" s="621"/>
      <c r="RMR612" s="3933"/>
      <c r="RMS612" s="3933"/>
      <c r="RMT612" s="3933"/>
      <c r="RMU612" s="621"/>
      <c r="RMV612" s="3933"/>
      <c r="RMW612" s="3933"/>
      <c r="RMX612" s="3933"/>
      <c r="RMY612" s="621"/>
      <c r="RMZ612" s="3933"/>
      <c r="RNA612" s="3933"/>
      <c r="RNB612" s="3933"/>
      <c r="RNC612" s="621"/>
      <c r="RND612" s="3933"/>
      <c r="RNE612" s="3933"/>
      <c r="RNF612" s="3933"/>
      <c r="RNG612" s="621"/>
      <c r="RNH612" s="3933"/>
      <c r="RNI612" s="3933"/>
      <c r="RNJ612" s="3933"/>
      <c r="RNK612" s="621"/>
      <c r="RNL612" s="3933"/>
      <c r="RNM612" s="3933"/>
      <c r="RNN612" s="3933"/>
      <c r="RNO612" s="621"/>
      <c r="RNP612" s="3933"/>
      <c r="RNQ612" s="3933"/>
      <c r="RNR612" s="3933"/>
      <c r="RNS612" s="621"/>
      <c r="RNT612" s="3933"/>
      <c r="RNU612" s="3933"/>
      <c r="RNV612" s="3933"/>
      <c r="RNW612" s="621"/>
      <c r="RNX612" s="3933"/>
      <c r="RNY612" s="3933"/>
      <c r="RNZ612" s="3933"/>
      <c r="ROA612" s="621"/>
      <c r="ROB612" s="3933"/>
      <c r="ROC612" s="3933"/>
      <c r="ROD612" s="3933"/>
      <c r="ROE612" s="621"/>
      <c r="ROF612" s="3933"/>
      <c r="ROG612" s="3933"/>
      <c r="ROH612" s="3933"/>
      <c r="ROI612" s="621"/>
      <c r="ROJ612" s="3933"/>
      <c r="ROK612" s="3933"/>
      <c r="ROL612" s="3933"/>
      <c r="ROM612" s="621"/>
      <c r="RON612" s="3933"/>
      <c r="ROO612" s="3933"/>
      <c r="ROP612" s="3933"/>
      <c r="ROQ612" s="621"/>
      <c r="ROR612" s="3933"/>
      <c r="ROS612" s="3933"/>
      <c r="ROT612" s="3933"/>
      <c r="ROU612" s="621"/>
      <c r="ROV612" s="3933"/>
      <c r="ROW612" s="3933"/>
      <c r="ROX612" s="3933"/>
      <c r="ROY612" s="621"/>
      <c r="ROZ612" s="3933"/>
      <c r="RPA612" s="3933"/>
      <c r="RPB612" s="3933"/>
      <c r="RPC612" s="621"/>
      <c r="RPD612" s="3933"/>
      <c r="RPE612" s="3933"/>
      <c r="RPF612" s="3933"/>
      <c r="RPG612" s="621"/>
      <c r="RPH612" s="3933"/>
      <c r="RPI612" s="3933"/>
      <c r="RPJ612" s="3933"/>
      <c r="RPK612" s="621"/>
      <c r="RPL612" s="3933"/>
      <c r="RPM612" s="3933"/>
      <c r="RPN612" s="3933"/>
      <c r="RPO612" s="621"/>
      <c r="RPP612" s="3933"/>
      <c r="RPQ612" s="3933"/>
      <c r="RPR612" s="3933"/>
      <c r="RPS612" s="621"/>
      <c r="RPT612" s="3933"/>
      <c r="RPU612" s="3933"/>
      <c r="RPV612" s="3933"/>
      <c r="RPW612" s="621"/>
      <c r="RPX612" s="3933"/>
      <c r="RPY612" s="3933"/>
      <c r="RPZ612" s="3933"/>
      <c r="RQA612" s="621"/>
      <c r="RQB612" s="3933"/>
      <c r="RQC612" s="3933"/>
      <c r="RQD612" s="3933"/>
      <c r="RQE612" s="621"/>
      <c r="RQF612" s="3933"/>
      <c r="RQG612" s="3933"/>
      <c r="RQH612" s="3933"/>
      <c r="RQI612" s="621"/>
      <c r="RQJ612" s="3933"/>
      <c r="RQK612" s="3933"/>
      <c r="RQL612" s="3933"/>
      <c r="RQM612" s="621"/>
      <c r="RQN612" s="3933"/>
      <c r="RQO612" s="3933"/>
      <c r="RQP612" s="3933"/>
      <c r="RQQ612" s="621"/>
      <c r="RQR612" s="3933"/>
      <c r="RQS612" s="3933"/>
      <c r="RQT612" s="3933"/>
      <c r="RQU612" s="621"/>
      <c r="RQV612" s="3933"/>
      <c r="RQW612" s="3933"/>
      <c r="RQX612" s="3933"/>
      <c r="RQY612" s="621"/>
      <c r="RQZ612" s="3933"/>
      <c r="RRA612" s="3933"/>
      <c r="RRB612" s="3933"/>
      <c r="RRC612" s="621"/>
      <c r="RRD612" s="3933"/>
      <c r="RRE612" s="3933"/>
      <c r="RRF612" s="3933"/>
      <c r="RRG612" s="621"/>
      <c r="RRH612" s="3933"/>
      <c r="RRI612" s="3933"/>
      <c r="RRJ612" s="3933"/>
      <c r="RRK612" s="621"/>
      <c r="RRL612" s="3933"/>
      <c r="RRM612" s="3933"/>
      <c r="RRN612" s="3933"/>
      <c r="RRO612" s="621"/>
      <c r="RRP612" s="3933"/>
      <c r="RRQ612" s="3933"/>
      <c r="RRR612" s="3933"/>
      <c r="RRS612" s="621"/>
      <c r="RRT612" s="3933"/>
      <c r="RRU612" s="3933"/>
      <c r="RRV612" s="3933"/>
      <c r="RRW612" s="621"/>
      <c r="RRX612" s="3933"/>
      <c r="RRY612" s="3933"/>
      <c r="RRZ612" s="3933"/>
      <c r="RSA612" s="621"/>
      <c r="RSB612" s="3933"/>
      <c r="RSC612" s="3933"/>
      <c r="RSD612" s="3933"/>
      <c r="RSE612" s="621"/>
      <c r="RSF612" s="3933"/>
      <c r="RSG612" s="3933"/>
      <c r="RSH612" s="3933"/>
      <c r="RSI612" s="621"/>
      <c r="RSJ612" s="3933"/>
      <c r="RSK612" s="3933"/>
      <c r="RSL612" s="3933"/>
      <c r="RSM612" s="621"/>
      <c r="RSN612" s="3933"/>
      <c r="RSO612" s="3933"/>
      <c r="RSP612" s="3933"/>
      <c r="RSQ612" s="621"/>
      <c r="RSR612" s="3933"/>
      <c r="RSS612" s="3933"/>
      <c r="RST612" s="3933"/>
      <c r="RSU612" s="621"/>
      <c r="RSV612" s="3933"/>
      <c r="RSW612" s="3933"/>
      <c r="RSX612" s="3933"/>
      <c r="RSY612" s="621"/>
      <c r="RSZ612" s="3933"/>
      <c r="RTA612" s="3933"/>
      <c r="RTB612" s="3933"/>
      <c r="RTC612" s="621"/>
      <c r="RTD612" s="3933"/>
      <c r="RTE612" s="3933"/>
      <c r="RTF612" s="3933"/>
      <c r="RTG612" s="621"/>
      <c r="RTH612" s="3933"/>
      <c r="RTI612" s="3933"/>
      <c r="RTJ612" s="3933"/>
      <c r="RTK612" s="621"/>
      <c r="RTL612" s="3933"/>
      <c r="RTM612" s="3933"/>
      <c r="RTN612" s="3933"/>
      <c r="RTO612" s="621"/>
      <c r="RTP612" s="3933"/>
      <c r="RTQ612" s="3933"/>
      <c r="RTR612" s="3933"/>
      <c r="RTS612" s="621"/>
      <c r="RTT612" s="3933"/>
      <c r="RTU612" s="3933"/>
      <c r="RTV612" s="3933"/>
      <c r="RTW612" s="621"/>
      <c r="RTX612" s="3933"/>
      <c r="RTY612" s="3933"/>
      <c r="RTZ612" s="3933"/>
      <c r="RUA612" s="621"/>
      <c r="RUB612" s="3933"/>
      <c r="RUC612" s="3933"/>
      <c r="RUD612" s="3933"/>
      <c r="RUE612" s="621"/>
      <c r="RUF612" s="3933"/>
      <c r="RUG612" s="3933"/>
      <c r="RUH612" s="3933"/>
      <c r="RUI612" s="621"/>
      <c r="RUJ612" s="3933"/>
      <c r="RUK612" s="3933"/>
      <c r="RUL612" s="3933"/>
      <c r="RUM612" s="621"/>
      <c r="RUN612" s="3933"/>
      <c r="RUO612" s="3933"/>
      <c r="RUP612" s="3933"/>
      <c r="RUQ612" s="621"/>
      <c r="RUR612" s="3933"/>
      <c r="RUS612" s="3933"/>
      <c r="RUT612" s="3933"/>
      <c r="RUU612" s="621"/>
      <c r="RUV612" s="3933"/>
      <c r="RUW612" s="3933"/>
      <c r="RUX612" s="3933"/>
      <c r="RUY612" s="621"/>
      <c r="RUZ612" s="3933"/>
      <c r="RVA612" s="3933"/>
      <c r="RVB612" s="3933"/>
      <c r="RVC612" s="621"/>
      <c r="RVD612" s="3933"/>
      <c r="RVE612" s="3933"/>
      <c r="RVF612" s="3933"/>
      <c r="RVG612" s="621"/>
      <c r="RVH612" s="3933"/>
      <c r="RVI612" s="3933"/>
      <c r="RVJ612" s="3933"/>
      <c r="RVK612" s="621"/>
      <c r="RVL612" s="3933"/>
      <c r="RVM612" s="3933"/>
      <c r="RVN612" s="3933"/>
      <c r="RVO612" s="621"/>
      <c r="RVP612" s="3933"/>
      <c r="RVQ612" s="3933"/>
      <c r="RVR612" s="3933"/>
      <c r="RVS612" s="621"/>
      <c r="RVT612" s="3933"/>
      <c r="RVU612" s="3933"/>
      <c r="RVV612" s="3933"/>
      <c r="RVW612" s="621"/>
      <c r="RVX612" s="3933"/>
      <c r="RVY612" s="3933"/>
      <c r="RVZ612" s="3933"/>
      <c r="RWA612" s="621"/>
      <c r="RWB612" s="3933"/>
      <c r="RWC612" s="3933"/>
      <c r="RWD612" s="3933"/>
      <c r="RWE612" s="621"/>
      <c r="RWF612" s="3933"/>
      <c r="RWG612" s="3933"/>
      <c r="RWH612" s="3933"/>
      <c r="RWI612" s="621"/>
      <c r="RWJ612" s="3933"/>
      <c r="RWK612" s="3933"/>
      <c r="RWL612" s="3933"/>
      <c r="RWM612" s="621"/>
      <c r="RWN612" s="3933"/>
      <c r="RWO612" s="3933"/>
      <c r="RWP612" s="3933"/>
      <c r="RWQ612" s="621"/>
      <c r="RWR612" s="3933"/>
      <c r="RWS612" s="3933"/>
      <c r="RWT612" s="3933"/>
      <c r="RWU612" s="621"/>
      <c r="RWV612" s="3933"/>
      <c r="RWW612" s="3933"/>
      <c r="RWX612" s="3933"/>
      <c r="RWY612" s="621"/>
      <c r="RWZ612" s="3933"/>
      <c r="RXA612" s="3933"/>
      <c r="RXB612" s="3933"/>
      <c r="RXC612" s="621"/>
      <c r="RXD612" s="3933"/>
      <c r="RXE612" s="3933"/>
      <c r="RXF612" s="3933"/>
      <c r="RXG612" s="621"/>
      <c r="RXH612" s="3933"/>
      <c r="RXI612" s="3933"/>
      <c r="RXJ612" s="3933"/>
      <c r="RXK612" s="621"/>
      <c r="RXL612" s="3933"/>
      <c r="RXM612" s="3933"/>
      <c r="RXN612" s="3933"/>
      <c r="RXO612" s="621"/>
      <c r="RXP612" s="3933"/>
      <c r="RXQ612" s="3933"/>
      <c r="RXR612" s="3933"/>
      <c r="RXS612" s="621"/>
      <c r="RXT612" s="3933"/>
      <c r="RXU612" s="3933"/>
      <c r="RXV612" s="3933"/>
      <c r="RXW612" s="621"/>
      <c r="RXX612" s="3933"/>
      <c r="RXY612" s="3933"/>
      <c r="RXZ612" s="3933"/>
      <c r="RYA612" s="621"/>
      <c r="RYB612" s="3933"/>
      <c r="RYC612" s="3933"/>
      <c r="RYD612" s="3933"/>
      <c r="RYE612" s="621"/>
      <c r="RYF612" s="3933"/>
      <c r="RYG612" s="3933"/>
      <c r="RYH612" s="3933"/>
      <c r="RYI612" s="621"/>
      <c r="RYJ612" s="3933"/>
      <c r="RYK612" s="3933"/>
      <c r="RYL612" s="3933"/>
      <c r="RYM612" s="621"/>
      <c r="RYN612" s="3933"/>
      <c r="RYO612" s="3933"/>
      <c r="RYP612" s="3933"/>
      <c r="RYQ612" s="621"/>
      <c r="RYR612" s="3933"/>
      <c r="RYS612" s="3933"/>
      <c r="RYT612" s="3933"/>
      <c r="RYU612" s="621"/>
      <c r="RYV612" s="3933"/>
      <c r="RYW612" s="3933"/>
      <c r="RYX612" s="3933"/>
      <c r="RYY612" s="621"/>
      <c r="RYZ612" s="3933"/>
      <c r="RZA612" s="3933"/>
      <c r="RZB612" s="3933"/>
      <c r="RZC612" s="621"/>
      <c r="RZD612" s="3933"/>
      <c r="RZE612" s="3933"/>
      <c r="RZF612" s="3933"/>
      <c r="RZG612" s="621"/>
      <c r="RZH612" s="3933"/>
      <c r="RZI612" s="3933"/>
      <c r="RZJ612" s="3933"/>
      <c r="RZK612" s="621"/>
      <c r="RZL612" s="3933"/>
      <c r="RZM612" s="3933"/>
      <c r="RZN612" s="3933"/>
      <c r="RZO612" s="621"/>
      <c r="RZP612" s="3933"/>
      <c r="RZQ612" s="3933"/>
      <c r="RZR612" s="3933"/>
      <c r="RZS612" s="621"/>
      <c r="RZT612" s="3933"/>
      <c r="RZU612" s="3933"/>
      <c r="RZV612" s="3933"/>
      <c r="RZW612" s="621"/>
      <c r="RZX612" s="3933"/>
      <c r="RZY612" s="3933"/>
      <c r="RZZ612" s="3933"/>
      <c r="SAA612" s="621"/>
      <c r="SAB612" s="3933"/>
      <c r="SAC612" s="3933"/>
      <c r="SAD612" s="3933"/>
      <c r="SAE612" s="621"/>
      <c r="SAF612" s="3933"/>
      <c r="SAG612" s="3933"/>
      <c r="SAH612" s="3933"/>
      <c r="SAI612" s="621"/>
      <c r="SAJ612" s="3933"/>
      <c r="SAK612" s="3933"/>
      <c r="SAL612" s="3933"/>
      <c r="SAM612" s="621"/>
      <c r="SAN612" s="3933"/>
      <c r="SAO612" s="3933"/>
      <c r="SAP612" s="3933"/>
      <c r="SAQ612" s="621"/>
      <c r="SAR612" s="3933"/>
      <c r="SAS612" s="3933"/>
      <c r="SAT612" s="3933"/>
      <c r="SAU612" s="621"/>
      <c r="SAV612" s="3933"/>
      <c r="SAW612" s="3933"/>
      <c r="SAX612" s="3933"/>
      <c r="SAY612" s="621"/>
      <c r="SAZ612" s="3933"/>
      <c r="SBA612" s="3933"/>
      <c r="SBB612" s="3933"/>
      <c r="SBC612" s="621"/>
      <c r="SBD612" s="3933"/>
      <c r="SBE612" s="3933"/>
      <c r="SBF612" s="3933"/>
      <c r="SBG612" s="621"/>
      <c r="SBH612" s="3933"/>
      <c r="SBI612" s="3933"/>
      <c r="SBJ612" s="3933"/>
      <c r="SBK612" s="621"/>
      <c r="SBL612" s="3933"/>
      <c r="SBM612" s="3933"/>
      <c r="SBN612" s="3933"/>
      <c r="SBO612" s="621"/>
      <c r="SBP612" s="3933"/>
      <c r="SBQ612" s="3933"/>
      <c r="SBR612" s="3933"/>
      <c r="SBS612" s="621"/>
      <c r="SBT612" s="3933"/>
      <c r="SBU612" s="3933"/>
      <c r="SBV612" s="3933"/>
      <c r="SBW612" s="621"/>
      <c r="SBX612" s="3933"/>
      <c r="SBY612" s="3933"/>
      <c r="SBZ612" s="3933"/>
      <c r="SCA612" s="621"/>
      <c r="SCB612" s="3933"/>
      <c r="SCC612" s="3933"/>
      <c r="SCD612" s="3933"/>
      <c r="SCE612" s="621"/>
      <c r="SCF612" s="3933"/>
      <c r="SCG612" s="3933"/>
      <c r="SCH612" s="3933"/>
      <c r="SCI612" s="621"/>
      <c r="SCJ612" s="3933"/>
      <c r="SCK612" s="3933"/>
      <c r="SCL612" s="3933"/>
      <c r="SCM612" s="621"/>
      <c r="SCN612" s="3933"/>
      <c r="SCO612" s="3933"/>
      <c r="SCP612" s="3933"/>
      <c r="SCQ612" s="621"/>
      <c r="SCR612" s="3933"/>
      <c r="SCS612" s="3933"/>
      <c r="SCT612" s="3933"/>
      <c r="SCU612" s="621"/>
      <c r="SCV612" s="3933"/>
      <c r="SCW612" s="3933"/>
      <c r="SCX612" s="3933"/>
      <c r="SCY612" s="621"/>
      <c r="SCZ612" s="3933"/>
      <c r="SDA612" s="3933"/>
      <c r="SDB612" s="3933"/>
      <c r="SDC612" s="621"/>
      <c r="SDD612" s="3933"/>
      <c r="SDE612" s="3933"/>
      <c r="SDF612" s="3933"/>
      <c r="SDG612" s="621"/>
      <c r="SDH612" s="3933"/>
      <c r="SDI612" s="3933"/>
      <c r="SDJ612" s="3933"/>
      <c r="SDK612" s="621"/>
      <c r="SDL612" s="3933"/>
      <c r="SDM612" s="3933"/>
      <c r="SDN612" s="3933"/>
      <c r="SDO612" s="621"/>
      <c r="SDP612" s="3933"/>
      <c r="SDQ612" s="3933"/>
      <c r="SDR612" s="3933"/>
      <c r="SDS612" s="621"/>
      <c r="SDT612" s="3933"/>
      <c r="SDU612" s="3933"/>
      <c r="SDV612" s="3933"/>
      <c r="SDW612" s="621"/>
      <c r="SDX612" s="3933"/>
      <c r="SDY612" s="3933"/>
      <c r="SDZ612" s="3933"/>
      <c r="SEA612" s="621"/>
      <c r="SEB612" s="3933"/>
      <c r="SEC612" s="3933"/>
      <c r="SED612" s="3933"/>
      <c r="SEE612" s="621"/>
      <c r="SEF612" s="3933"/>
      <c r="SEG612" s="3933"/>
      <c r="SEH612" s="3933"/>
      <c r="SEI612" s="621"/>
      <c r="SEJ612" s="3933"/>
      <c r="SEK612" s="3933"/>
      <c r="SEL612" s="3933"/>
      <c r="SEM612" s="621"/>
      <c r="SEN612" s="3933"/>
      <c r="SEO612" s="3933"/>
      <c r="SEP612" s="3933"/>
      <c r="SEQ612" s="621"/>
      <c r="SER612" s="3933"/>
      <c r="SES612" s="3933"/>
      <c r="SET612" s="3933"/>
      <c r="SEU612" s="621"/>
      <c r="SEV612" s="3933"/>
      <c r="SEW612" s="3933"/>
      <c r="SEX612" s="3933"/>
      <c r="SEY612" s="621"/>
      <c r="SEZ612" s="3933"/>
      <c r="SFA612" s="3933"/>
      <c r="SFB612" s="3933"/>
      <c r="SFC612" s="621"/>
      <c r="SFD612" s="3933"/>
      <c r="SFE612" s="3933"/>
      <c r="SFF612" s="3933"/>
      <c r="SFG612" s="621"/>
      <c r="SFH612" s="3933"/>
      <c r="SFI612" s="3933"/>
      <c r="SFJ612" s="3933"/>
      <c r="SFK612" s="621"/>
      <c r="SFL612" s="3933"/>
      <c r="SFM612" s="3933"/>
      <c r="SFN612" s="3933"/>
      <c r="SFO612" s="621"/>
      <c r="SFP612" s="3933"/>
      <c r="SFQ612" s="3933"/>
      <c r="SFR612" s="3933"/>
      <c r="SFS612" s="621"/>
      <c r="SFT612" s="3933"/>
      <c r="SFU612" s="3933"/>
      <c r="SFV612" s="3933"/>
      <c r="SFW612" s="621"/>
      <c r="SFX612" s="3933"/>
      <c r="SFY612" s="3933"/>
      <c r="SFZ612" s="3933"/>
      <c r="SGA612" s="621"/>
      <c r="SGB612" s="3933"/>
      <c r="SGC612" s="3933"/>
      <c r="SGD612" s="3933"/>
      <c r="SGE612" s="621"/>
      <c r="SGF612" s="3933"/>
      <c r="SGG612" s="3933"/>
      <c r="SGH612" s="3933"/>
      <c r="SGI612" s="621"/>
      <c r="SGJ612" s="3933"/>
      <c r="SGK612" s="3933"/>
      <c r="SGL612" s="3933"/>
      <c r="SGM612" s="621"/>
      <c r="SGN612" s="3933"/>
      <c r="SGO612" s="3933"/>
      <c r="SGP612" s="3933"/>
      <c r="SGQ612" s="621"/>
      <c r="SGR612" s="3933"/>
      <c r="SGS612" s="3933"/>
      <c r="SGT612" s="3933"/>
      <c r="SGU612" s="621"/>
      <c r="SGV612" s="3933"/>
      <c r="SGW612" s="3933"/>
      <c r="SGX612" s="3933"/>
      <c r="SGY612" s="621"/>
      <c r="SGZ612" s="3933"/>
      <c r="SHA612" s="3933"/>
      <c r="SHB612" s="3933"/>
      <c r="SHC612" s="621"/>
      <c r="SHD612" s="3933"/>
      <c r="SHE612" s="3933"/>
      <c r="SHF612" s="3933"/>
      <c r="SHG612" s="621"/>
      <c r="SHH612" s="3933"/>
      <c r="SHI612" s="3933"/>
      <c r="SHJ612" s="3933"/>
      <c r="SHK612" s="621"/>
      <c r="SHL612" s="3933"/>
      <c r="SHM612" s="3933"/>
      <c r="SHN612" s="3933"/>
      <c r="SHO612" s="621"/>
      <c r="SHP612" s="3933"/>
      <c r="SHQ612" s="3933"/>
      <c r="SHR612" s="3933"/>
      <c r="SHS612" s="621"/>
      <c r="SHT612" s="3933"/>
      <c r="SHU612" s="3933"/>
      <c r="SHV612" s="3933"/>
      <c r="SHW612" s="621"/>
      <c r="SHX612" s="3933"/>
      <c r="SHY612" s="3933"/>
      <c r="SHZ612" s="3933"/>
      <c r="SIA612" s="621"/>
      <c r="SIB612" s="3933"/>
      <c r="SIC612" s="3933"/>
      <c r="SID612" s="3933"/>
      <c r="SIE612" s="621"/>
      <c r="SIF612" s="3933"/>
      <c r="SIG612" s="3933"/>
      <c r="SIH612" s="3933"/>
      <c r="SII612" s="621"/>
      <c r="SIJ612" s="3933"/>
      <c r="SIK612" s="3933"/>
      <c r="SIL612" s="3933"/>
      <c r="SIM612" s="621"/>
      <c r="SIN612" s="3933"/>
      <c r="SIO612" s="3933"/>
      <c r="SIP612" s="3933"/>
      <c r="SIQ612" s="621"/>
      <c r="SIR612" s="3933"/>
      <c r="SIS612" s="3933"/>
      <c r="SIT612" s="3933"/>
      <c r="SIU612" s="621"/>
      <c r="SIV612" s="3933"/>
      <c r="SIW612" s="3933"/>
      <c r="SIX612" s="3933"/>
      <c r="SIY612" s="621"/>
      <c r="SIZ612" s="3933"/>
      <c r="SJA612" s="3933"/>
      <c r="SJB612" s="3933"/>
      <c r="SJC612" s="621"/>
      <c r="SJD612" s="3933"/>
      <c r="SJE612" s="3933"/>
      <c r="SJF612" s="3933"/>
      <c r="SJG612" s="621"/>
      <c r="SJH612" s="3933"/>
      <c r="SJI612" s="3933"/>
      <c r="SJJ612" s="3933"/>
      <c r="SJK612" s="621"/>
      <c r="SJL612" s="3933"/>
      <c r="SJM612" s="3933"/>
      <c r="SJN612" s="3933"/>
      <c r="SJO612" s="621"/>
      <c r="SJP612" s="3933"/>
      <c r="SJQ612" s="3933"/>
      <c r="SJR612" s="3933"/>
      <c r="SJS612" s="621"/>
      <c r="SJT612" s="3933"/>
      <c r="SJU612" s="3933"/>
      <c r="SJV612" s="3933"/>
      <c r="SJW612" s="621"/>
      <c r="SJX612" s="3933"/>
      <c r="SJY612" s="3933"/>
      <c r="SJZ612" s="3933"/>
      <c r="SKA612" s="621"/>
      <c r="SKB612" s="3933"/>
      <c r="SKC612" s="3933"/>
      <c r="SKD612" s="3933"/>
      <c r="SKE612" s="621"/>
      <c r="SKF612" s="3933"/>
      <c r="SKG612" s="3933"/>
      <c r="SKH612" s="3933"/>
      <c r="SKI612" s="621"/>
      <c r="SKJ612" s="3933"/>
      <c r="SKK612" s="3933"/>
      <c r="SKL612" s="3933"/>
      <c r="SKM612" s="621"/>
      <c r="SKN612" s="3933"/>
      <c r="SKO612" s="3933"/>
      <c r="SKP612" s="3933"/>
      <c r="SKQ612" s="621"/>
      <c r="SKR612" s="3933"/>
      <c r="SKS612" s="3933"/>
      <c r="SKT612" s="3933"/>
      <c r="SKU612" s="621"/>
      <c r="SKV612" s="3933"/>
      <c r="SKW612" s="3933"/>
      <c r="SKX612" s="3933"/>
      <c r="SKY612" s="621"/>
      <c r="SKZ612" s="3933"/>
      <c r="SLA612" s="3933"/>
      <c r="SLB612" s="3933"/>
      <c r="SLC612" s="621"/>
      <c r="SLD612" s="3933"/>
      <c r="SLE612" s="3933"/>
      <c r="SLF612" s="3933"/>
      <c r="SLG612" s="621"/>
      <c r="SLH612" s="3933"/>
      <c r="SLI612" s="3933"/>
      <c r="SLJ612" s="3933"/>
      <c r="SLK612" s="621"/>
      <c r="SLL612" s="3933"/>
      <c r="SLM612" s="3933"/>
      <c r="SLN612" s="3933"/>
      <c r="SLO612" s="621"/>
      <c r="SLP612" s="3933"/>
      <c r="SLQ612" s="3933"/>
      <c r="SLR612" s="3933"/>
      <c r="SLS612" s="621"/>
      <c r="SLT612" s="3933"/>
      <c r="SLU612" s="3933"/>
      <c r="SLV612" s="3933"/>
      <c r="SLW612" s="621"/>
      <c r="SLX612" s="3933"/>
      <c r="SLY612" s="3933"/>
      <c r="SLZ612" s="3933"/>
      <c r="SMA612" s="621"/>
      <c r="SMB612" s="3933"/>
      <c r="SMC612" s="3933"/>
      <c r="SMD612" s="3933"/>
      <c r="SME612" s="621"/>
      <c r="SMF612" s="3933"/>
      <c r="SMG612" s="3933"/>
      <c r="SMH612" s="3933"/>
      <c r="SMI612" s="621"/>
      <c r="SMJ612" s="3933"/>
      <c r="SMK612" s="3933"/>
      <c r="SML612" s="3933"/>
      <c r="SMM612" s="621"/>
      <c r="SMN612" s="3933"/>
      <c r="SMO612" s="3933"/>
      <c r="SMP612" s="3933"/>
      <c r="SMQ612" s="621"/>
      <c r="SMR612" s="3933"/>
      <c r="SMS612" s="3933"/>
      <c r="SMT612" s="3933"/>
      <c r="SMU612" s="621"/>
      <c r="SMV612" s="3933"/>
      <c r="SMW612" s="3933"/>
      <c r="SMX612" s="3933"/>
      <c r="SMY612" s="621"/>
      <c r="SMZ612" s="3933"/>
      <c r="SNA612" s="3933"/>
      <c r="SNB612" s="3933"/>
      <c r="SNC612" s="621"/>
      <c r="SND612" s="3933"/>
      <c r="SNE612" s="3933"/>
      <c r="SNF612" s="3933"/>
      <c r="SNG612" s="621"/>
      <c r="SNH612" s="3933"/>
      <c r="SNI612" s="3933"/>
      <c r="SNJ612" s="3933"/>
      <c r="SNK612" s="621"/>
      <c r="SNL612" s="3933"/>
      <c r="SNM612" s="3933"/>
      <c r="SNN612" s="3933"/>
      <c r="SNO612" s="621"/>
      <c r="SNP612" s="3933"/>
      <c r="SNQ612" s="3933"/>
      <c r="SNR612" s="3933"/>
      <c r="SNS612" s="621"/>
      <c r="SNT612" s="3933"/>
      <c r="SNU612" s="3933"/>
      <c r="SNV612" s="3933"/>
      <c r="SNW612" s="621"/>
      <c r="SNX612" s="3933"/>
      <c r="SNY612" s="3933"/>
      <c r="SNZ612" s="3933"/>
      <c r="SOA612" s="621"/>
      <c r="SOB612" s="3933"/>
      <c r="SOC612" s="3933"/>
      <c r="SOD612" s="3933"/>
      <c r="SOE612" s="621"/>
      <c r="SOF612" s="3933"/>
      <c r="SOG612" s="3933"/>
      <c r="SOH612" s="3933"/>
      <c r="SOI612" s="621"/>
      <c r="SOJ612" s="3933"/>
      <c r="SOK612" s="3933"/>
      <c r="SOL612" s="3933"/>
      <c r="SOM612" s="621"/>
      <c r="SON612" s="3933"/>
      <c r="SOO612" s="3933"/>
      <c r="SOP612" s="3933"/>
      <c r="SOQ612" s="621"/>
      <c r="SOR612" s="3933"/>
      <c r="SOS612" s="3933"/>
      <c r="SOT612" s="3933"/>
      <c r="SOU612" s="621"/>
      <c r="SOV612" s="3933"/>
      <c r="SOW612" s="3933"/>
      <c r="SOX612" s="3933"/>
      <c r="SOY612" s="621"/>
      <c r="SOZ612" s="3933"/>
      <c r="SPA612" s="3933"/>
      <c r="SPB612" s="3933"/>
      <c r="SPC612" s="621"/>
      <c r="SPD612" s="3933"/>
      <c r="SPE612" s="3933"/>
      <c r="SPF612" s="3933"/>
      <c r="SPG612" s="621"/>
      <c r="SPH612" s="3933"/>
      <c r="SPI612" s="3933"/>
      <c r="SPJ612" s="3933"/>
      <c r="SPK612" s="621"/>
      <c r="SPL612" s="3933"/>
      <c r="SPM612" s="3933"/>
      <c r="SPN612" s="3933"/>
      <c r="SPO612" s="621"/>
      <c r="SPP612" s="3933"/>
      <c r="SPQ612" s="3933"/>
      <c r="SPR612" s="3933"/>
      <c r="SPS612" s="621"/>
      <c r="SPT612" s="3933"/>
      <c r="SPU612" s="3933"/>
      <c r="SPV612" s="3933"/>
      <c r="SPW612" s="621"/>
      <c r="SPX612" s="3933"/>
      <c r="SPY612" s="3933"/>
      <c r="SPZ612" s="3933"/>
      <c r="SQA612" s="621"/>
      <c r="SQB612" s="3933"/>
      <c r="SQC612" s="3933"/>
      <c r="SQD612" s="3933"/>
      <c r="SQE612" s="621"/>
      <c r="SQF612" s="3933"/>
      <c r="SQG612" s="3933"/>
      <c r="SQH612" s="3933"/>
      <c r="SQI612" s="621"/>
      <c r="SQJ612" s="3933"/>
      <c r="SQK612" s="3933"/>
      <c r="SQL612" s="3933"/>
      <c r="SQM612" s="621"/>
      <c r="SQN612" s="3933"/>
      <c r="SQO612" s="3933"/>
      <c r="SQP612" s="3933"/>
      <c r="SQQ612" s="621"/>
      <c r="SQR612" s="3933"/>
      <c r="SQS612" s="3933"/>
      <c r="SQT612" s="3933"/>
      <c r="SQU612" s="621"/>
      <c r="SQV612" s="3933"/>
      <c r="SQW612" s="3933"/>
      <c r="SQX612" s="3933"/>
      <c r="SQY612" s="621"/>
      <c r="SQZ612" s="3933"/>
      <c r="SRA612" s="3933"/>
      <c r="SRB612" s="3933"/>
      <c r="SRC612" s="621"/>
      <c r="SRD612" s="3933"/>
      <c r="SRE612" s="3933"/>
      <c r="SRF612" s="3933"/>
      <c r="SRG612" s="621"/>
      <c r="SRH612" s="3933"/>
      <c r="SRI612" s="3933"/>
      <c r="SRJ612" s="3933"/>
      <c r="SRK612" s="621"/>
      <c r="SRL612" s="3933"/>
      <c r="SRM612" s="3933"/>
      <c r="SRN612" s="3933"/>
      <c r="SRO612" s="621"/>
      <c r="SRP612" s="3933"/>
      <c r="SRQ612" s="3933"/>
      <c r="SRR612" s="3933"/>
      <c r="SRS612" s="621"/>
      <c r="SRT612" s="3933"/>
      <c r="SRU612" s="3933"/>
      <c r="SRV612" s="3933"/>
      <c r="SRW612" s="621"/>
      <c r="SRX612" s="3933"/>
      <c r="SRY612" s="3933"/>
      <c r="SRZ612" s="3933"/>
      <c r="SSA612" s="621"/>
      <c r="SSB612" s="3933"/>
      <c r="SSC612" s="3933"/>
      <c r="SSD612" s="3933"/>
      <c r="SSE612" s="621"/>
      <c r="SSF612" s="3933"/>
      <c r="SSG612" s="3933"/>
      <c r="SSH612" s="3933"/>
      <c r="SSI612" s="621"/>
      <c r="SSJ612" s="3933"/>
      <c r="SSK612" s="3933"/>
      <c r="SSL612" s="3933"/>
      <c r="SSM612" s="621"/>
      <c r="SSN612" s="3933"/>
      <c r="SSO612" s="3933"/>
      <c r="SSP612" s="3933"/>
      <c r="SSQ612" s="621"/>
      <c r="SSR612" s="3933"/>
      <c r="SSS612" s="3933"/>
      <c r="SST612" s="3933"/>
      <c r="SSU612" s="621"/>
      <c r="SSV612" s="3933"/>
      <c r="SSW612" s="3933"/>
      <c r="SSX612" s="3933"/>
      <c r="SSY612" s="621"/>
      <c r="SSZ612" s="3933"/>
      <c r="STA612" s="3933"/>
      <c r="STB612" s="3933"/>
      <c r="STC612" s="621"/>
      <c r="STD612" s="3933"/>
      <c r="STE612" s="3933"/>
      <c r="STF612" s="3933"/>
      <c r="STG612" s="621"/>
      <c r="STH612" s="3933"/>
      <c r="STI612" s="3933"/>
      <c r="STJ612" s="3933"/>
      <c r="STK612" s="621"/>
      <c r="STL612" s="3933"/>
      <c r="STM612" s="3933"/>
      <c r="STN612" s="3933"/>
      <c r="STO612" s="621"/>
      <c r="STP612" s="3933"/>
      <c r="STQ612" s="3933"/>
      <c r="STR612" s="3933"/>
      <c r="STS612" s="621"/>
      <c r="STT612" s="3933"/>
      <c r="STU612" s="3933"/>
      <c r="STV612" s="3933"/>
      <c r="STW612" s="621"/>
      <c r="STX612" s="3933"/>
      <c r="STY612" s="3933"/>
      <c r="STZ612" s="3933"/>
      <c r="SUA612" s="621"/>
      <c r="SUB612" s="3933"/>
      <c r="SUC612" s="3933"/>
      <c r="SUD612" s="3933"/>
      <c r="SUE612" s="621"/>
      <c r="SUF612" s="3933"/>
      <c r="SUG612" s="3933"/>
      <c r="SUH612" s="3933"/>
      <c r="SUI612" s="621"/>
      <c r="SUJ612" s="3933"/>
      <c r="SUK612" s="3933"/>
      <c r="SUL612" s="3933"/>
      <c r="SUM612" s="621"/>
      <c r="SUN612" s="3933"/>
      <c r="SUO612" s="3933"/>
      <c r="SUP612" s="3933"/>
      <c r="SUQ612" s="621"/>
      <c r="SUR612" s="3933"/>
      <c r="SUS612" s="3933"/>
      <c r="SUT612" s="3933"/>
      <c r="SUU612" s="621"/>
      <c r="SUV612" s="3933"/>
      <c r="SUW612" s="3933"/>
      <c r="SUX612" s="3933"/>
      <c r="SUY612" s="621"/>
      <c r="SUZ612" s="3933"/>
      <c r="SVA612" s="3933"/>
      <c r="SVB612" s="3933"/>
      <c r="SVC612" s="621"/>
      <c r="SVD612" s="3933"/>
      <c r="SVE612" s="3933"/>
      <c r="SVF612" s="3933"/>
      <c r="SVG612" s="621"/>
      <c r="SVH612" s="3933"/>
      <c r="SVI612" s="3933"/>
      <c r="SVJ612" s="3933"/>
      <c r="SVK612" s="621"/>
      <c r="SVL612" s="3933"/>
      <c r="SVM612" s="3933"/>
      <c r="SVN612" s="3933"/>
      <c r="SVO612" s="621"/>
      <c r="SVP612" s="3933"/>
      <c r="SVQ612" s="3933"/>
      <c r="SVR612" s="3933"/>
      <c r="SVS612" s="621"/>
      <c r="SVT612" s="3933"/>
      <c r="SVU612" s="3933"/>
      <c r="SVV612" s="3933"/>
      <c r="SVW612" s="621"/>
      <c r="SVX612" s="3933"/>
      <c r="SVY612" s="3933"/>
      <c r="SVZ612" s="3933"/>
      <c r="SWA612" s="621"/>
      <c r="SWB612" s="3933"/>
      <c r="SWC612" s="3933"/>
      <c r="SWD612" s="3933"/>
      <c r="SWE612" s="621"/>
      <c r="SWF612" s="3933"/>
      <c r="SWG612" s="3933"/>
      <c r="SWH612" s="3933"/>
      <c r="SWI612" s="621"/>
      <c r="SWJ612" s="3933"/>
      <c r="SWK612" s="3933"/>
      <c r="SWL612" s="3933"/>
      <c r="SWM612" s="621"/>
      <c r="SWN612" s="3933"/>
      <c r="SWO612" s="3933"/>
      <c r="SWP612" s="3933"/>
      <c r="SWQ612" s="621"/>
      <c r="SWR612" s="3933"/>
      <c r="SWS612" s="3933"/>
      <c r="SWT612" s="3933"/>
      <c r="SWU612" s="621"/>
      <c r="SWV612" s="3933"/>
      <c r="SWW612" s="3933"/>
      <c r="SWX612" s="3933"/>
      <c r="SWY612" s="621"/>
      <c r="SWZ612" s="3933"/>
      <c r="SXA612" s="3933"/>
      <c r="SXB612" s="3933"/>
      <c r="SXC612" s="621"/>
      <c r="SXD612" s="3933"/>
      <c r="SXE612" s="3933"/>
      <c r="SXF612" s="3933"/>
      <c r="SXG612" s="621"/>
      <c r="SXH612" s="3933"/>
      <c r="SXI612" s="3933"/>
      <c r="SXJ612" s="3933"/>
      <c r="SXK612" s="621"/>
      <c r="SXL612" s="3933"/>
      <c r="SXM612" s="3933"/>
      <c r="SXN612" s="3933"/>
      <c r="SXO612" s="621"/>
      <c r="SXP612" s="3933"/>
      <c r="SXQ612" s="3933"/>
      <c r="SXR612" s="3933"/>
      <c r="SXS612" s="621"/>
      <c r="SXT612" s="3933"/>
      <c r="SXU612" s="3933"/>
      <c r="SXV612" s="3933"/>
      <c r="SXW612" s="621"/>
      <c r="SXX612" s="3933"/>
      <c r="SXY612" s="3933"/>
      <c r="SXZ612" s="3933"/>
      <c r="SYA612" s="621"/>
      <c r="SYB612" s="3933"/>
      <c r="SYC612" s="3933"/>
      <c r="SYD612" s="3933"/>
      <c r="SYE612" s="621"/>
      <c r="SYF612" s="3933"/>
      <c r="SYG612" s="3933"/>
      <c r="SYH612" s="3933"/>
      <c r="SYI612" s="621"/>
      <c r="SYJ612" s="3933"/>
      <c r="SYK612" s="3933"/>
      <c r="SYL612" s="3933"/>
      <c r="SYM612" s="621"/>
      <c r="SYN612" s="3933"/>
      <c r="SYO612" s="3933"/>
      <c r="SYP612" s="3933"/>
      <c r="SYQ612" s="621"/>
      <c r="SYR612" s="3933"/>
      <c r="SYS612" s="3933"/>
      <c r="SYT612" s="3933"/>
      <c r="SYU612" s="621"/>
      <c r="SYV612" s="3933"/>
      <c r="SYW612" s="3933"/>
      <c r="SYX612" s="3933"/>
      <c r="SYY612" s="621"/>
      <c r="SYZ612" s="3933"/>
      <c r="SZA612" s="3933"/>
      <c r="SZB612" s="3933"/>
      <c r="SZC612" s="621"/>
      <c r="SZD612" s="3933"/>
      <c r="SZE612" s="3933"/>
      <c r="SZF612" s="3933"/>
      <c r="SZG612" s="621"/>
      <c r="SZH612" s="3933"/>
      <c r="SZI612" s="3933"/>
      <c r="SZJ612" s="3933"/>
      <c r="SZK612" s="621"/>
      <c r="SZL612" s="3933"/>
      <c r="SZM612" s="3933"/>
      <c r="SZN612" s="3933"/>
      <c r="SZO612" s="621"/>
      <c r="SZP612" s="3933"/>
      <c r="SZQ612" s="3933"/>
      <c r="SZR612" s="3933"/>
      <c r="SZS612" s="621"/>
      <c r="SZT612" s="3933"/>
      <c r="SZU612" s="3933"/>
      <c r="SZV612" s="3933"/>
      <c r="SZW612" s="621"/>
      <c r="SZX612" s="3933"/>
      <c r="SZY612" s="3933"/>
      <c r="SZZ612" s="3933"/>
      <c r="TAA612" s="621"/>
      <c r="TAB612" s="3933"/>
      <c r="TAC612" s="3933"/>
      <c r="TAD612" s="3933"/>
      <c r="TAE612" s="621"/>
      <c r="TAF612" s="3933"/>
      <c r="TAG612" s="3933"/>
      <c r="TAH612" s="3933"/>
      <c r="TAI612" s="621"/>
      <c r="TAJ612" s="3933"/>
      <c r="TAK612" s="3933"/>
      <c r="TAL612" s="3933"/>
      <c r="TAM612" s="621"/>
      <c r="TAN612" s="3933"/>
      <c r="TAO612" s="3933"/>
      <c r="TAP612" s="3933"/>
      <c r="TAQ612" s="621"/>
      <c r="TAR612" s="3933"/>
      <c r="TAS612" s="3933"/>
      <c r="TAT612" s="3933"/>
      <c r="TAU612" s="621"/>
      <c r="TAV612" s="3933"/>
      <c r="TAW612" s="3933"/>
      <c r="TAX612" s="3933"/>
      <c r="TAY612" s="621"/>
      <c r="TAZ612" s="3933"/>
      <c r="TBA612" s="3933"/>
      <c r="TBB612" s="3933"/>
      <c r="TBC612" s="621"/>
      <c r="TBD612" s="3933"/>
      <c r="TBE612" s="3933"/>
      <c r="TBF612" s="3933"/>
      <c r="TBG612" s="621"/>
      <c r="TBH612" s="3933"/>
      <c r="TBI612" s="3933"/>
      <c r="TBJ612" s="3933"/>
      <c r="TBK612" s="621"/>
      <c r="TBL612" s="3933"/>
      <c r="TBM612" s="3933"/>
      <c r="TBN612" s="3933"/>
      <c r="TBO612" s="621"/>
      <c r="TBP612" s="3933"/>
      <c r="TBQ612" s="3933"/>
      <c r="TBR612" s="3933"/>
      <c r="TBS612" s="621"/>
      <c r="TBT612" s="3933"/>
      <c r="TBU612" s="3933"/>
      <c r="TBV612" s="3933"/>
      <c r="TBW612" s="621"/>
      <c r="TBX612" s="3933"/>
      <c r="TBY612" s="3933"/>
      <c r="TBZ612" s="3933"/>
      <c r="TCA612" s="621"/>
      <c r="TCB612" s="3933"/>
      <c r="TCC612" s="3933"/>
      <c r="TCD612" s="3933"/>
      <c r="TCE612" s="621"/>
      <c r="TCF612" s="3933"/>
      <c r="TCG612" s="3933"/>
      <c r="TCH612" s="3933"/>
      <c r="TCI612" s="621"/>
      <c r="TCJ612" s="3933"/>
      <c r="TCK612" s="3933"/>
      <c r="TCL612" s="3933"/>
      <c r="TCM612" s="621"/>
      <c r="TCN612" s="3933"/>
      <c r="TCO612" s="3933"/>
      <c r="TCP612" s="3933"/>
      <c r="TCQ612" s="621"/>
      <c r="TCR612" s="3933"/>
      <c r="TCS612" s="3933"/>
      <c r="TCT612" s="3933"/>
      <c r="TCU612" s="621"/>
      <c r="TCV612" s="3933"/>
      <c r="TCW612" s="3933"/>
      <c r="TCX612" s="3933"/>
      <c r="TCY612" s="621"/>
      <c r="TCZ612" s="3933"/>
      <c r="TDA612" s="3933"/>
      <c r="TDB612" s="3933"/>
      <c r="TDC612" s="621"/>
      <c r="TDD612" s="3933"/>
      <c r="TDE612" s="3933"/>
      <c r="TDF612" s="3933"/>
      <c r="TDG612" s="621"/>
      <c r="TDH612" s="3933"/>
      <c r="TDI612" s="3933"/>
      <c r="TDJ612" s="3933"/>
      <c r="TDK612" s="621"/>
      <c r="TDL612" s="3933"/>
      <c r="TDM612" s="3933"/>
      <c r="TDN612" s="3933"/>
      <c r="TDO612" s="621"/>
      <c r="TDP612" s="3933"/>
      <c r="TDQ612" s="3933"/>
      <c r="TDR612" s="3933"/>
      <c r="TDS612" s="621"/>
      <c r="TDT612" s="3933"/>
      <c r="TDU612" s="3933"/>
      <c r="TDV612" s="3933"/>
      <c r="TDW612" s="621"/>
      <c r="TDX612" s="3933"/>
      <c r="TDY612" s="3933"/>
      <c r="TDZ612" s="3933"/>
      <c r="TEA612" s="621"/>
      <c r="TEB612" s="3933"/>
      <c r="TEC612" s="3933"/>
      <c r="TED612" s="3933"/>
      <c r="TEE612" s="621"/>
      <c r="TEF612" s="3933"/>
      <c r="TEG612" s="3933"/>
      <c r="TEH612" s="3933"/>
      <c r="TEI612" s="621"/>
      <c r="TEJ612" s="3933"/>
      <c r="TEK612" s="3933"/>
      <c r="TEL612" s="3933"/>
      <c r="TEM612" s="621"/>
      <c r="TEN612" s="3933"/>
      <c r="TEO612" s="3933"/>
      <c r="TEP612" s="3933"/>
      <c r="TEQ612" s="621"/>
      <c r="TER612" s="3933"/>
      <c r="TES612" s="3933"/>
      <c r="TET612" s="3933"/>
      <c r="TEU612" s="621"/>
      <c r="TEV612" s="3933"/>
      <c r="TEW612" s="3933"/>
      <c r="TEX612" s="3933"/>
      <c r="TEY612" s="621"/>
      <c r="TEZ612" s="3933"/>
      <c r="TFA612" s="3933"/>
      <c r="TFB612" s="3933"/>
      <c r="TFC612" s="621"/>
      <c r="TFD612" s="3933"/>
      <c r="TFE612" s="3933"/>
      <c r="TFF612" s="3933"/>
      <c r="TFG612" s="621"/>
      <c r="TFH612" s="3933"/>
      <c r="TFI612" s="3933"/>
      <c r="TFJ612" s="3933"/>
      <c r="TFK612" s="621"/>
      <c r="TFL612" s="3933"/>
      <c r="TFM612" s="3933"/>
      <c r="TFN612" s="3933"/>
      <c r="TFO612" s="621"/>
      <c r="TFP612" s="3933"/>
      <c r="TFQ612" s="3933"/>
      <c r="TFR612" s="3933"/>
      <c r="TFS612" s="621"/>
      <c r="TFT612" s="3933"/>
      <c r="TFU612" s="3933"/>
      <c r="TFV612" s="3933"/>
      <c r="TFW612" s="621"/>
      <c r="TFX612" s="3933"/>
      <c r="TFY612" s="3933"/>
      <c r="TFZ612" s="3933"/>
      <c r="TGA612" s="621"/>
      <c r="TGB612" s="3933"/>
      <c r="TGC612" s="3933"/>
      <c r="TGD612" s="3933"/>
      <c r="TGE612" s="621"/>
      <c r="TGF612" s="3933"/>
      <c r="TGG612" s="3933"/>
      <c r="TGH612" s="3933"/>
      <c r="TGI612" s="621"/>
      <c r="TGJ612" s="3933"/>
      <c r="TGK612" s="3933"/>
      <c r="TGL612" s="3933"/>
      <c r="TGM612" s="621"/>
      <c r="TGN612" s="3933"/>
      <c r="TGO612" s="3933"/>
      <c r="TGP612" s="3933"/>
      <c r="TGQ612" s="621"/>
      <c r="TGR612" s="3933"/>
      <c r="TGS612" s="3933"/>
      <c r="TGT612" s="3933"/>
      <c r="TGU612" s="621"/>
      <c r="TGV612" s="3933"/>
      <c r="TGW612" s="3933"/>
      <c r="TGX612" s="3933"/>
      <c r="TGY612" s="621"/>
      <c r="TGZ612" s="3933"/>
      <c r="THA612" s="3933"/>
      <c r="THB612" s="3933"/>
      <c r="THC612" s="621"/>
      <c r="THD612" s="3933"/>
      <c r="THE612" s="3933"/>
      <c r="THF612" s="3933"/>
      <c r="THG612" s="621"/>
      <c r="THH612" s="3933"/>
      <c r="THI612" s="3933"/>
      <c r="THJ612" s="3933"/>
      <c r="THK612" s="621"/>
      <c r="THL612" s="3933"/>
      <c r="THM612" s="3933"/>
      <c r="THN612" s="3933"/>
      <c r="THO612" s="621"/>
      <c r="THP612" s="3933"/>
      <c r="THQ612" s="3933"/>
      <c r="THR612" s="3933"/>
      <c r="THS612" s="621"/>
      <c r="THT612" s="3933"/>
      <c r="THU612" s="3933"/>
      <c r="THV612" s="3933"/>
      <c r="THW612" s="621"/>
      <c r="THX612" s="3933"/>
      <c r="THY612" s="3933"/>
      <c r="THZ612" s="3933"/>
      <c r="TIA612" s="621"/>
      <c r="TIB612" s="3933"/>
      <c r="TIC612" s="3933"/>
      <c r="TID612" s="3933"/>
      <c r="TIE612" s="621"/>
      <c r="TIF612" s="3933"/>
      <c r="TIG612" s="3933"/>
      <c r="TIH612" s="3933"/>
      <c r="TII612" s="621"/>
      <c r="TIJ612" s="3933"/>
      <c r="TIK612" s="3933"/>
      <c r="TIL612" s="3933"/>
      <c r="TIM612" s="621"/>
      <c r="TIN612" s="3933"/>
      <c r="TIO612" s="3933"/>
      <c r="TIP612" s="3933"/>
      <c r="TIQ612" s="621"/>
      <c r="TIR612" s="3933"/>
      <c r="TIS612" s="3933"/>
      <c r="TIT612" s="3933"/>
      <c r="TIU612" s="621"/>
      <c r="TIV612" s="3933"/>
      <c r="TIW612" s="3933"/>
      <c r="TIX612" s="3933"/>
      <c r="TIY612" s="621"/>
      <c r="TIZ612" s="3933"/>
      <c r="TJA612" s="3933"/>
      <c r="TJB612" s="3933"/>
      <c r="TJC612" s="621"/>
      <c r="TJD612" s="3933"/>
      <c r="TJE612" s="3933"/>
      <c r="TJF612" s="3933"/>
      <c r="TJG612" s="621"/>
      <c r="TJH612" s="3933"/>
      <c r="TJI612" s="3933"/>
      <c r="TJJ612" s="3933"/>
      <c r="TJK612" s="621"/>
      <c r="TJL612" s="3933"/>
      <c r="TJM612" s="3933"/>
      <c r="TJN612" s="3933"/>
      <c r="TJO612" s="621"/>
      <c r="TJP612" s="3933"/>
      <c r="TJQ612" s="3933"/>
      <c r="TJR612" s="3933"/>
      <c r="TJS612" s="621"/>
      <c r="TJT612" s="3933"/>
      <c r="TJU612" s="3933"/>
      <c r="TJV612" s="3933"/>
      <c r="TJW612" s="621"/>
      <c r="TJX612" s="3933"/>
      <c r="TJY612" s="3933"/>
      <c r="TJZ612" s="3933"/>
      <c r="TKA612" s="621"/>
      <c r="TKB612" s="3933"/>
      <c r="TKC612" s="3933"/>
      <c r="TKD612" s="3933"/>
      <c r="TKE612" s="621"/>
      <c r="TKF612" s="3933"/>
      <c r="TKG612" s="3933"/>
      <c r="TKH612" s="3933"/>
      <c r="TKI612" s="621"/>
      <c r="TKJ612" s="3933"/>
      <c r="TKK612" s="3933"/>
      <c r="TKL612" s="3933"/>
      <c r="TKM612" s="621"/>
      <c r="TKN612" s="3933"/>
      <c r="TKO612" s="3933"/>
      <c r="TKP612" s="3933"/>
      <c r="TKQ612" s="621"/>
      <c r="TKR612" s="3933"/>
      <c r="TKS612" s="3933"/>
      <c r="TKT612" s="3933"/>
      <c r="TKU612" s="621"/>
      <c r="TKV612" s="3933"/>
      <c r="TKW612" s="3933"/>
      <c r="TKX612" s="3933"/>
      <c r="TKY612" s="621"/>
      <c r="TKZ612" s="3933"/>
      <c r="TLA612" s="3933"/>
      <c r="TLB612" s="3933"/>
      <c r="TLC612" s="621"/>
      <c r="TLD612" s="3933"/>
      <c r="TLE612" s="3933"/>
      <c r="TLF612" s="3933"/>
      <c r="TLG612" s="621"/>
      <c r="TLH612" s="3933"/>
      <c r="TLI612" s="3933"/>
      <c r="TLJ612" s="3933"/>
      <c r="TLK612" s="621"/>
      <c r="TLL612" s="3933"/>
      <c r="TLM612" s="3933"/>
      <c r="TLN612" s="3933"/>
      <c r="TLO612" s="621"/>
      <c r="TLP612" s="3933"/>
      <c r="TLQ612" s="3933"/>
      <c r="TLR612" s="3933"/>
      <c r="TLS612" s="621"/>
      <c r="TLT612" s="3933"/>
      <c r="TLU612" s="3933"/>
      <c r="TLV612" s="3933"/>
      <c r="TLW612" s="621"/>
      <c r="TLX612" s="3933"/>
      <c r="TLY612" s="3933"/>
      <c r="TLZ612" s="3933"/>
      <c r="TMA612" s="621"/>
      <c r="TMB612" s="3933"/>
      <c r="TMC612" s="3933"/>
      <c r="TMD612" s="3933"/>
      <c r="TME612" s="621"/>
      <c r="TMF612" s="3933"/>
      <c r="TMG612" s="3933"/>
      <c r="TMH612" s="3933"/>
      <c r="TMI612" s="621"/>
      <c r="TMJ612" s="3933"/>
      <c r="TMK612" s="3933"/>
      <c r="TML612" s="3933"/>
      <c r="TMM612" s="621"/>
      <c r="TMN612" s="3933"/>
      <c r="TMO612" s="3933"/>
      <c r="TMP612" s="3933"/>
      <c r="TMQ612" s="621"/>
      <c r="TMR612" s="3933"/>
      <c r="TMS612" s="3933"/>
      <c r="TMT612" s="3933"/>
      <c r="TMU612" s="621"/>
      <c r="TMV612" s="3933"/>
      <c r="TMW612" s="3933"/>
      <c r="TMX612" s="3933"/>
      <c r="TMY612" s="621"/>
      <c r="TMZ612" s="3933"/>
      <c r="TNA612" s="3933"/>
      <c r="TNB612" s="3933"/>
      <c r="TNC612" s="621"/>
      <c r="TND612" s="3933"/>
      <c r="TNE612" s="3933"/>
      <c r="TNF612" s="3933"/>
      <c r="TNG612" s="621"/>
      <c r="TNH612" s="3933"/>
      <c r="TNI612" s="3933"/>
      <c r="TNJ612" s="3933"/>
      <c r="TNK612" s="621"/>
      <c r="TNL612" s="3933"/>
      <c r="TNM612" s="3933"/>
      <c r="TNN612" s="3933"/>
      <c r="TNO612" s="621"/>
      <c r="TNP612" s="3933"/>
      <c r="TNQ612" s="3933"/>
      <c r="TNR612" s="3933"/>
      <c r="TNS612" s="621"/>
      <c r="TNT612" s="3933"/>
      <c r="TNU612" s="3933"/>
      <c r="TNV612" s="3933"/>
      <c r="TNW612" s="621"/>
      <c r="TNX612" s="3933"/>
      <c r="TNY612" s="3933"/>
      <c r="TNZ612" s="3933"/>
      <c r="TOA612" s="621"/>
      <c r="TOB612" s="3933"/>
      <c r="TOC612" s="3933"/>
      <c r="TOD612" s="3933"/>
      <c r="TOE612" s="621"/>
      <c r="TOF612" s="3933"/>
      <c r="TOG612" s="3933"/>
      <c r="TOH612" s="3933"/>
      <c r="TOI612" s="621"/>
      <c r="TOJ612" s="3933"/>
      <c r="TOK612" s="3933"/>
      <c r="TOL612" s="3933"/>
      <c r="TOM612" s="621"/>
      <c r="TON612" s="3933"/>
      <c r="TOO612" s="3933"/>
      <c r="TOP612" s="3933"/>
      <c r="TOQ612" s="621"/>
      <c r="TOR612" s="3933"/>
      <c r="TOS612" s="3933"/>
      <c r="TOT612" s="3933"/>
      <c r="TOU612" s="621"/>
      <c r="TOV612" s="3933"/>
      <c r="TOW612" s="3933"/>
      <c r="TOX612" s="3933"/>
      <c r="TOY612" s="621"/>
      <c r="TOZ612" s="3933"/>
      <c r="TPA612" s="3933"/>
      <c r="TPB612" s="3933"/>
      <c r="TPC612" s="621"/>
      <c r="TPD612" s="3933"/>
      <c r="TPE612" s="3933"/>
      <c r="TPF612" s="3933"/>
      <c r="TPG612" s="621"/>
      <c r="TPH612" s="3933"/>
      <c r="TPI612" s="3933"/>
      <c r="TPJ612" s="3933"/>
      <c r="TPK612" s="621"/>
      <c r="TPL612" s="3933"/>
      <c r="TPM612" s="3933"/>
      <c r="TPN612" s="3933"/>
      <c r="TPO612" s="621"/>
      <c r="TPP612" s="3933"/>
      <c r="TPQ612" s="3933"/>
      <c r="TPR612" s="3933"/>
      <c r="TPS612" s="621"/>
      <c r="TPT612" s="3933"/>
      <c r="TPU612" s="3933"/>
      <c r="TPV612" s="3933"/>
      <c r="TPW612" s="621"/>
      <c r="TPX612" s="3933"/>
      <c r="TPY612" s="3933"/>
      <c r="TPZ612" s="3933"/>
      <c r="TQA612" s="621"/>
      <c r="TQB612" s="3933"/>
      <c r="TQC612" s="3933"/>
      <c r="TQD612" s="3933"/>
      <c r="TQE612" s="621"/>
      <c r="TQF612" s="3933"/>
      <c r="TQG612" s="3933"/>
      <c r="TQH612" s="3933"/>
      <c r="TQI612" s="621"/>
      <c r="TQJ612" s="3933"/>
      <c r="TQK612" s="3933"/>
      <c r="TQL612" s="3933"/>
      <c r="TQM612" s="621"/>
      <c r="TQN612" s="3933"/>
      <c r="TQO612" s="3933"/>
      <c r="TQP612" s="3933"/>
      <c r="TQQ612" s="621"/>
      <c r="TQR612" s="3933"/>
      <c r="TQS612" s="3933"/>
      <c r="TQT612" s="3933"/>
      <c r="TQU612" s="621"/>
      <c r="TQV612" s="3933"/>
      <c r="TQW612" s="3933"/>
      <c r="TQX612" s="3933"/>
      <c r="TQY612" s="621"/>
      <c r="TQZ612" s="3933"/>
      <c r="TRA612" s="3933"/>
      <c r="TRB612" s="3933"/>
      <c r="TRC612" s="621"/>
      <c r="TRD612" s="3933"/>
      <c r="TRE612" s="3933"/>
      <c r="TRF612" s="3933"/>
      <c r="TRG612" s="621"/>
      <c r="TRH612" s="3933"/>
      <c r="TRI612" s="3933"/>
      <c r="TRJ612" s="3933"/>
      <c r="TRK612" s="621"/>
      <c r="TRL612" s="3933"/>
      <c r="TRM612" s="3933"/>
      <c r="TRN612" s="3933"/>
      <c r="TRO612" s="621"/>
      <c r="TRP612" s="3933"/>
      <c r="TRQ612" s="3933"/>
      <c r="TRR612" s="3933"/>
      <c r="TRS612" s="621"/>
      <c r="TRT612" s="3933"/>
      <c r="TRU612" s="3933"/>
      <c r="TRV612" s="3933"/>
      <c r="TRW612" s="621"/>
      <c r="TRX612" s="3933"/>
      <c r="TRY612" s="3933"/>
      <c r="TRZ612" s="3933"/>
      <c r="TSA612" s="621"/>
      <c r="TSB612" s="3933"/>
      <c r="TSC612" s="3933"/>
      <c r="TSD612" s="3933"/>
      <c r="TSE612" s="621"/>
      <c r="TSF612" s="3933"/>
      <c r="TSG612" s="3933"/>
      <c r="TSH612" s="3933"/>
      <c r="TSI612" s="621"/>
      <c r="TSJ612" s="3933"/>
      <c r="TSK612" s="3933"/>
      <c r="TSL612" s="3933"/>
      <c r="TSM612" s="621"/>
      <c r="TSN612" s="3933"/>
      <c r="TSO612" s="3933"/>
      <c r="TSP612" s="3933"/>
      <c r="TSQ612" s="621"/>
      <c r="TSR612" s="3933"/>
      <c r="TSS612" s="3933"/>
      <c r="TST612" s="3933"/>
      <c r="TSU612" s="621"/>
      <c r="TSV612" s="3933"/>
      <c r="TSW612" s="3933"/>
      <c r="TSX612" s="3933"/>
      <c r="TSY612" s="621"/>
      <c r="TSZ612" s="3933"/>
      <c r="TTA612" s="3933"/>
      <c r="TTB612" s="3933"/>
      <c r="TTC612" s="621"/>
      <c r="TTD612" s="3933"/>
      <c r="TTE612" s="3933"/>
      <c r="TTF612" s="3933"/>
      <c r="TTG612" s="621"/>
      <c r="TTH612" s="3933"/>
      <c r="TTI612" s="3933"/>
      <c r="TTJ612" s="3933"/>
      <c r="TTK612" s="621"/>
      <c r="TTL612" s="3933"/>
      <c r="TTM612" s="3933"/>
      <c r="TTN612" s="3933"/>
      <c r="TTO612" s="621"/>
      <c r="TTP612" s="3933"/>
      <c r="TTQ612" s="3933"/>
      <c r="TTR612" s="3933"/>
      <c r="TTS612" s="621"/>
      <c r="TTT612" s="3933"/>
      <c r="TTU612" s="3933"/>
      <c r="TTV612" s="3933"/>
      <c r="TTW612" s="621"/>
      <c r="TTX612" s="3933"/>
      <c r="TTY612" s="3933"/>
      <c r="TTZ612" s="3933"/>
      <c r="TUA612" s="621"/>
      <c r="TUB612" s="3933"/>
      <c r="TUC612" s="3933"/>
      <c r="TUD612" s="3933"/>
      <c r="TUE612" s="621"/>
      <c r="TUF612" s="3933"/>
      <c r="TUG612" s="3933"/>
      <c r="TUH612" s="3933"/>
      <c r="TUI612" s="621"/>
      <c r="TUJ612" s="3933"/>
      <c r="TUK612" s="3933"/>
      <c r="TUL612" s="3933"/>
      <c r="TUM612" s="621"/>
      <c r="TUN612" s="3933"/>
      <c r="TUO612" s="3933"/>
      <c r="TUP612" s="3933"/>
      <c r="TUQ612" s="621"/>
      <c r="TUR612" s="3933"/>
      <c r="TUS612" s="3933"/>
      <c r="TUT612" s="3933"/>
      <c r="TUU612" s="621"/>
      <c r="TUV612" s="3933"/>
      <c r="TUW612" s="3933"/>
      <c r="TUX612" s="3933"/>
      <c r="TUY612" s="621"/>
      <c r="TUZ612" s="3933"/>
      <c r="TVA612" s="3933"/>
      <c r="TVB612" s="3933"/>
      <c r="TVC612" s="621"/>
      <c r="TVD612" s="3933"/>
      <c r="TVE612" s="3933"/>
      <c r="TVF612" s="3933"/>
      <c r="TVG612" s="621"/>
      <c r="TVH612" s="3933"/>
      <c r="TVI612" s="3933"/>
      <c r="TVJ612" s="3933"/>
      <c r="TVK612" s="621"/>
      <c r="TVL612" s="3933"/>
      <c r="TVM612" s="3933"/>
      <c r="TVN612" s="3933"/>
      <c r="TVO612" s="621"/>
      <c r="TVP612" s="3933"/>
      <c r="TVQ612" s="3933"/>
      <c r="TVR612" s="3933"/>
      <c r="TVS612" s="621"/>
      <c r="TVT612" s="3933"/>
      <c r="TVU612" s="3933"/>
      <c r="TVV612" s="3933"/>
      <c r="TVW612" s="621"/>
      <c r="TVX612" s="3933"/>
      <c r="TVY612" s="3933"/>
      <c r="TVZ612" s="3933"/>
      <c r="TWA612" s="621"/>
      <c r="TWB612" s="3933"/>
      <c r="TWC612" s="3933"/>
      <c r="TWD612" s="3933"/>
      <c r="TWE612" s="621"/>
      <c r="TWF612" s="3933"/>
      <c r="TWG612" s="3933"/>
      <c r="TWH612" s="3933"/>
      <c r="TWI612" s="621"/>
      <c r="TWJ612" s="3933"/>
      <c r="TWK612" s="3933"/>
      <c r="TWL612" s="3933"/>
      <c r="TWM612" s="621"/>
      <c r="TWN612" s="3933"/>
      <c r="TWO612" s="3933"/>
      <c r="TWP612" s="3933"/>
      <c r="TWQ612" s="621"/>
      <c r="TWR612" s="3933"/>
      <c r="TWS612" s="3933"/>
      <c r="TWT612" s="3933"/>
      <c r="TWU612" s="621"/>
      <c r="TWV612" s="3933"/>
      <c r="TWW612" s="3933"/>
      <c r="TWX612" s="3933"/>
      <c r="TWY612" s="621"/>
      <c r="TWZ612" s="3933"/>
      <c r="TXA612" s="3933"/>
      <c r="TXB612" s="3933"/>
      <c r="TXC612" s="621"/>
      <c r="TXD612" s="3933"/>
      <c r="TXE612" s="3933"/>
      <c r="TXF612" s="3933"/>
      <c r="TXG612" s="621"/>
      <c r="TXH612" s="3933"/>
      <c r="TXI612" s="3933"/>
      <c r="TXJ612" s="3933"/>
      <c r="TXK612" s="621"/>
      <c r="TXL612" s="3933"/>
      <c r="TXM612" s="3933"/>
      <c r="TXN612" s="3933"/>
      <c r="TXO612" s="621"/>
      <c r="TXP612" s="3933"/>
      <c r="TXQ612" s="3933"/>
      <c r="TXR612" s="3933"/>
      <c r="TXS612" s="621"/>
      <c r="TXT612" s="3933"/>
      <c r="TXU612" s="3933"/>
      <c r="TXV612" s="3933"/>
      <c r="TXW612" s="621"/>
      <c r="TXX612" s="3933"/>
      <c r="TXY612" s="3933"/>
      <c r="TXZ612" s="3933"/>
      <c r="TYA612" s="621"/>
      <c r="TYB612" s="3933"/>
      <c r="TYC612" s="3933"/>
      <c r="TYD612" s="3933"/>
      <c r="TYE612" s="621"/>
      <c r="TYF612" s="3933"/>
      <c r="TYG612" s="3933"/>
      <c r="TYH612" s="3933"/>
      <c r="TYI612" s="621"/>
      <c r="TYJ612" s="3933"/>
      <c r="TYK612" s="3933"/>
      <c r="TYL612" s="3933"/>
      <c r="TYM612" s="621"/>
      <c r="TYN612" s="3933"/>
      <c r="TYO612" s="3933"/>
      <c r="TYP612" s="3933"/>
      <c r="TYQ612" s="621"/>
      <c r="TYR612" s="3933"/>
      <c r="TYS612" s="3933"/>
      <c r="TYT612" s="3933"/>
      <c r="TYU612" s="621"/>
      <c r="TYV612" s="3933"/>
      <c r="TYW612" s="3933"/>
      <c r="TYX612" s="3933"/>
      <c r="TYY612" s="621"/>
      <c r="TYZ612" s="3933"/>
      <c r="TZA612" s="3933"/>
      <c r="TZB612" s="3933"/>
      <c r="TZC612" s="621"/>
      <c r="TZD612" s="3933"/>
      <c r="TZE612" s="3933"/>
      <c r="TZF612" s="3933"/>
      <c r="TZG612" s="621"/>
      <c r="TZH612" s="3933"/>
      <c r="TZI612" s="3933"/>
      <c r="TZJ612" s="3933"/>
      <c r="TZK612" s="621"/>
      <c r="TZL612" s="3933"/>
      <c r="TZM612" s="3933"/>
      <c r="TZN612" s="3933"/>
      <c r="TZO612" s="621"/>
      <c r="TZP612" s="3933"/>
      <c r="TZQ612" s="3933"/>
      <c r="TZR612" s="3933"/>
      <c r="TZS612" s="621"/>
      <c r="TZT612" s="3933"/>
      <c r="TZU612" s="3933"/>
      <c r="TZV612" s="3933"/>
      <c r="TZW612" s="621"/>
      <c r="TZX612" s="3933"/>
      <c r="TZY612" s="3933"/>
      <c r="TZZ612" s="3933"/>
      <c r="UAA612" s="621"/>
      <c r="UAB612" s="3933"/>
      <c r="UAC612" s="3933"/>
      <c r="UAD612" s="3933"/>
      <c r="UAE612" s="621"/>
      <c r="UAF612" s="3933"/>
      <c r="UAG612" s="3933"/>
      <c r="UAH612" s="3933"/>
      <c r="UAI612" s="621"/>
      <c r="UAJ612" s="3933"/>
      <c r="UAK612" s="3933"/>
      <c r="UAL612" s="3933"/>
      <c r="UAM612" s="621"/>
      <c r="UAN612" s="3933"/>
      <c r="UAO612" s="3933"/>
      <c r="UAP612" s="3933"/>
      <c r="UAQ612" s="621"/>
      <c r="UAR612" s="3933"/>
      <c r="UAS612" s="3933"/>
      <c r="UAT612" s="3933"/>
      <c r="UAU612" s="621"/>
      <c r="UAV612" s="3933"/>
      <c r="UAW612" s="3933"/>
      <c r="UAX612" s="3933"/>
      <c r="UAY612" s="621"/>
      <c r="UAZ612" s="3933"/>
      <c r="UBA612" s="3933"/>
      <c r="UBB612" s="3933"/>
      <c r="UBC612" s="621"/>
      <c r="UBD612" s="3933"/>
      <c r="UBE612" s="3933"/>
      <c r="UBF612" s="3933"/>
      <c r="UBG612" s="621"/>
      <c r="UBH612" s="3933"/>
      <c r="UBI612" s="3933"/>
      <c r="UBJ612" s="3933"/>
      <c r="UBK612" s="621"/>
      <c r="UBL612" s="3933"/>
      <c r="UBM612" s="3933"/>
      <c r="UBN612" s="3933"/>
      <c r="UBO612" s="621"/>
      <c r="UBP612" s="3933"/>
      <c r="UBQ612" s="3933"/>
      <c r="UBR612" s="3933"/>
      <c r="UBS612" s="621"/>
      <c r="UBT612" s="3933"/>
      <c r="UBU612" s="3933"/>
      <c r="UBV612" s="3933"/>
      <c r="UBW612" s="621"/>
      <c r="UBX612" s="3933"/>
      <c r="UBY612" s="3933"/>
      <c r="UBZ612" s="3933"/>
      <c r="UCA612" s="621"/>
      <c r="UCB612" s="3933"/>
      <c r="UCC612" s="3933"/>
      <c r="UCD612" s="3933"/>
      <c r="UCE612" s="621"/>
      <c r="UCF612" s="3933"/>
      <c r="UCG612" s="3933"/>
      <c r="UCH612" s="3933"/>
      <c r="UCI612" s="621"/>
      <c r="UCJ612" s="3933"/>
      <c r="UCK612" s="3933"/>
      <c r="UCL612" s="3933"/>
      <c r="UCM612" s="621"/>
      <c r="UCN612" s="3933"/>
      <c r="UCO612" s="3933"/>
      <c r="UCP612" s="3933"/>
      <c r="UCQ612" s="621"/>
      <c r="UCR612" s="3933"/>
      <c r="UCS612" s="3933"/>
      <c r="UCT612" s="3933"/>
      <c r="UCU612" s="621"/>
      <c r="UCV612" s="3933"/>
      <c r="UCW612" s="3933"/>
      <c r="UCX612" s="3933"/>
      <c r="UCY612" s="621"/>
      <c r="UCZ612" s="3933"/>
      <c r="UDA612" s="3933"/>
      <c r="UDB612" s="3933"/>
      <c r="UDC612" s="621"/>
      <c r="UDD612" s="3933"/>
      <c r="UDE612" s="3933"/>
      <c r="UDF612" s="3933"/>
      <c r="UDG612" s="621"/>
      <c r="UDH612" s="3933"/>
      <c r="UDI612" s="3933"/>
      <c r="UDJ612" s="3933"/>
      <c r="UDK612" s="621"/>
      <c r="UDL612" s="3933"/>
      <c r="UDM612" s="3933"/>
      <c r="UDN612" s="3933"/>
      <c r="UDO612" s="621"/>
      <c r="UDP612" s="3933"/>
      <c r="UDQ612" s="3933"/>
      <c r="UDR612" s="3933"/>
      <c r="UDS612" s="621"/>
      <c r="UDT612" s="3933"/>
      <c r="UDU612" s="3933"/>
      <c r="UDV612" s="3933"/>
      <c r="UDW612" s="621"/>
      <c r="UDX612" s="3933"/>
      <c r="UDY612" s="3933"/>
      <c r="UDZ612" s="3933"/>
      <c r="UEA612" s="621"/>
      <c r="UEB612" s="3933"/>
      <c r="UEC612" s="3933"/>
      <c r="UED612" s="3933"/>
      <c r="UEE612" s="621"/>
      <c r="UEF612" s="3933"/>
      <c r="UEG612" s="3933"/>
      <c r="UEH612" s="3933"/>
      <c r="UEI612" s="621"/>
      <c r="UEJ612" s="3933"/>
      <c r="UEK612" s="3933"/>
      <c r="UEL612" s="3933"/>
      <c r="UEM612" s="621"/>
      <c r="UEN612" s="3933"/>
      <c r="UEO612" s="3933"/>
      <c r="UEP612" s="3933"/>
      <c r="UEQ612" s="621"/>
      <c r="UER612" s="3933"/>
      <c r="UES612" s="3933"/>
      <c r="UET612" s="3933"/>
      <c r="UEU612" s="621"/>
      <c r="UEV612" s="3933"/>
      <c r="UEW612" s="3933"/>
      <c r="UEX612" s="3933"/>
      <c r="UEY612" s="621"/>
      <c r="UEZ612" s="3933"/>
      <c r="UFA612" s="3933"/>
      <c r="UFB612" s="3933"/>
      <c r="UFC612" s="621"/>
      <c r="UFD612" s="3933"/>
      <c r="UFE612" s="3933"/>
      <c r="UFF612" s="3933"/>
      <c r="UFG612" s="621"/>
      <c r="UFH612" s="3933"/>
      <c r="UFI612" s="3933"/>
      <c r="UFJ612" s="3933"/>
      <c r="UFK612" s="621"/>
      <c r="UFL612" s="3933"/>
      <c r="UFM612" s="3933"/>
      <c r="UFN612" s="3933"/>
      <c r="UFO612" s="621"/>
      <c r="UFP612" s="3933"/>
      <c r="UFQ612" s="3933"/>
      <c r="UFR612" s="3933"/>
      <c r="UFS612" s="621"/>
      <c r="UFT612" s="3933"/>
      <c r="UFU612" s="3933"/>
      <c r="UFV612" s="3933"/>
      <c r="UFW612" s="621"/>
      <c r="UFX612" s="3933"/>
      <c r="UFY612" s="3933"/>
      <c r="UFZ612" s="3933"/>
      <c r="UGA612" s="621"/>
      <c r="UGB612" s="3933"/>
      <c r="UGC612" s="3933"/>
      <c r="UGD612" s="3933"/>
      <c r="UGE612" s="621"/>
      <c r="UGF612" s="3933"/>
      <c r="UGG612" s="3933"/>
      <c r="UGH612" s="3933"/>
      <c r="UGI612" s="621"/>
      <c r="UGJ612" s="3933"/>
      <c r="UGK612" s="3933"/>
      <c r="UGL612" s="3933"/>
      <c r="UGM612" s="621"/>
      <c r="UGN612" s="3933"/>
      <c r="UGO612" s="3933"/>
      <c r="UGP612" s="3933"/>
      <c r="UGQ612" s="621"/>
      <c r="UGR612" s="3933"/>
      <c r="UGS612" s="3933"/>
      <c r="UGT612" s="3933"/>
      <c r="UGU612" s="621"/>
      <c r="UGV612" s="3933"/>
      <c r="UGW612" s="3933"/>
      <c r="UGX612" s="3933"/>
      <c r="UGY612" s="621"/>
      <c r="UGZ612" s="3933"/>
      <c r="UHA612" s="3933"/>
      <c r="UHB612" s="3933"/>
      <c r="UHC612" s="621"/>
      <c r="UHD612" s="3933"/>
      <c r="UHE612" s="3933"/>
      <c r="UHF612" s="3933"/>
      <c r="UHG612" s="621"/>
      <c r="UHH612" s="3933"/>
      <c r="UHI612" s="3933"/>
      <c r="UHJ612" s="3933"/>
      <c r="UHK612" s="621"/>
      <c r="UHL612" s="3933"/>
      <c r="UHM612" s="3933"/>
      <c r="UHN612" s="3933"/>
      <c r="UHO612" s="621"/>
      <c r="UHP612" s="3933"/>
      <c r="UHQ612" s="3933"/>
      <c r="UHR612" s="3933"/>
      <c r="UHS612" s="621"/>
      <c r="UHT612" s="3933"/>
      <c r="UHU612" s="3933"/>
      <c r="UHV612" s="3933"/>
      <c r="UHW612" s="621"/>
      <c r="UHX612" s="3933"/>
      <c r="UHY612" s="3933"/>
      <c r="UHZ612" s="3933"/>
      <c r="UIA612" s="621"/>
      <c r="UIB612" s="3933"/>
      <c r="UIC612" s="3933"/>
      <c r="UID612" s="3933"/>
      <c r="UIE612" s="621"/>
      <c r="UIF612" s="3933"/>
      <c r="UIG612" s="3933"/>
      <c r="UIH612" s="3933"/>
      <c r="UII612" s="621"/>
      <c r="UIJ612" s="3933"/>
      <c r="UIK612" s="3933"/>
      <c r="UIL612" s="3933"/>
      <c r="UIM612" s="621"/>
      <c r="UIN612" s="3933"/>
      <c r="UIO612" s="3933"/>
      <c r="UIP612" s="3933"/>
      <c r="UIQ612" s="621"/>
      <c r="UIR612" s="3933"/>
      <c r="UIS612" s="3933"/>
      <c r="UIT612" s="3933"/>
      <c r="UIU612" s="621"/>
      <c r="UIV612" s="3933"/>
      <c r="UIW612" s="3933"/>
      <c r="UIX612" s="3933"/>
      <c r="UIY612" s="621"/>
      <c r="UIZ612" s="3933"/>
      <c r="UJA612" s="3933"/>
      <c r="UJB612" s="3933"/>
      <c r="UJC612" s="621"/>
      <c r="UJD612" s="3933"/>
      <c r="UJE612" s="3933"/>
      <c r="UJF612" s="3933"/>
      <c r="UJG612" s="621"/>
      <c r="UJH612" s="3933"/>
      <c r="UJI612" s="3933"/>
      <c r="UJJ612" s="3933"/>
      <c r="UJK612" s="621"/>
      <c r="UJL612" s="3933"/>
      <c r="UJM612" s="3933"/>
      <c r="UJN612" s="3933"/>
      <c r="UJO612" s="621"/>
      <c r="UJP612" s="3933"/>
      <c r="UJQ612" s="3933"/>
      <c r="UJR612" s="3933"/>
      <c r="UJS612" s="621"/>
      <c r="UJT612" s="3933"/>
      <c r="UJU612" s="3933"/>
      <c r="UJV612" s="3933"/>
      <c r="UJW612" s="621"/>
      <c r="UJX612" s="3933"/>
      <c r="UJY612" s="3933"/>
      <c r="UJZ612" s="3933"/>
      <c r="UKA612" s="621"/>
      <c r="UKB612" s="3933"/>
      <c r="UKC612" s="3933"/>
      <c r="UKD612" s="3933"/>
      <c r="UKE612" s="621"/>
      <c r="UKF612" s="3933"/>
      <c r="UKG612" s="3933"/>
      <c r="UKH612" s="3933"/>
      <c r="UKI612" s="621"/>
      <c r="UKJ612" s="3933"/>
      <c r="UKK612" s="3933"/>
      <c r="UKL612" s="3933"/>
      <c r="UKM612" s="621"/>
      <c r="UKN612" s="3933"/>
      <c r="UKO612" s="3933"/>
      <c r="UKP612" s="3933"/>
      <c r="UKQ612" s="621"/>
      <c r="UKR612" s="3933"/>
      <c r="UKS612" s="3933"/>
      <c r="UKT612" s="3933"/>
      <c r="UKU612" s="621"/>
      <c r="UKV612" s="3933"/>
      <c r="UKW612" s="3933"/>
      <c r="UKX612" s="3933"/>
      <c r="UKY612" s="621"/>
      <c r="UKZ612" s="3933"/>
      <c r="ULA612" s="3933"/>
      <c r="ULB612" s="3933"/>
      <c r="ULC612" s="621"/>
      <c r="ULD612" s="3933"/>
      <c r="ULE612" s="3933"/>
      <c r="ULF612" s="3933"/>
      <c r="ULG612" s="621"/>
      <c r="ULH612" s="3933"/>
      <c r="ULI612" s="3933"/>
      <c r="ULJ612" s="3933"/>
      <c r="ULK612" s="621"/>
      <c r="ULL612" s="3933"/>
      <c r="ULM612" s="3933"/>
      <c r="ULN612" s="3933"/>
      <c r="ULO612" s="621"/>
      <c r="ULP612" s="3933"/>
      <c r="ULQ612" s="3933"/>
      <c r="ULR612" s="3933"/>
      <c r="ULS612" s="621"/>
      <c r="ULT612" s="3933"/>
      <c r="ULU612" s="3933"/>
      <c r="ULV612" s="3933"/>
      <c r="ULW612" s="621"/>
      <c r="ULX612" s="3933"/>
      <c r="ULY612" s="3933"/>
      <c r="ULZ612" s="3933"/>
      <c r="UMA612" s="621"/>
      <c r="UMB612" s="3933"/>
      <c r="UMC612" s="3933"/>
      <c r="UMD612" s="3933"/>
      <c r="UME612" s="621"/>
      <c r="UMF612" s="3933"/>
      <c r="UMG612" s="3933"/>
      <c r="UMH612" s="3933"/>
      <c r="UMI612" s="621"/>
      <c r="UMJ612" s="3933"/>
      <c r="UMK612" s="3933"/>
      <c r="UML612" s="3933"/>
      <c r="UMM612" s="621"/>
      <c r="UMN612" s="3933"/>
      <c r="UMO612" s="3933"/>
      <c r="UMP612" s="3933"/>
      <c r="UMQ612" s="621"/>
      <c r="UMR612" s="3933"/>
      <c r="UMS612" s="3933"/>
      <c r="UMT612" s="3933"/>
      <c r="UMU612" s="621"/>
      <c r="UMV612" s="3933"/>
      <c r="UMW612" s="3933"/>
      <c r="UMX612" s="3933"/>
      <c r="UMY612" s="621"/>
      <c r="UMZ612" s="3933"/>
      <c r="UNA612" s="3933"/>
      <c r="UNB612" s="3933"/>
      <c r="UNC612" s="621"/>
      <c r="UND612" s="3933"/>
      <c r="UNE612" s="3933"/>
      <c r="UNF612" s="3933"/>
      <c r="UNG612" s="621"/>
      <c r="UNH612" s="3933"/>
      <c r="UNI612" s="3933"/>
      <c r="UNJ612" s="3933"/>
      <c r="UNK612" s="621"/>
      <c r="UNL612" s="3933"/>
      <c r="UNM612" s="3933"/>
      <c r="UNN612" s="3933"/>
      <c r="UNO612" s="621"/>
      <c r="UNP612" s="3933"/>
      <c r="UNQ612" s="3933"/>
      <c r="UNR612" s="3933"/>
      <c r="UNS612" s="621"/>
      <c r="UNT612" s="3933"/>
      <c r="UNU612" s="3933"/>
      <c r="UNV612" s="3933"/>
      <c r="UNW612" s="621"/>
      <c r="UNX612" s="3933"/>
      <c r="UNY612" s="3933"/>
      <c r="UNZ612" s="3933"/>
      <c r="UOA612" s="621"/>
      <c r="UOB612" s="3933"/>
      <c r="UOC612" s="3933"/>
      <c r="UOD612" s="3933"/>
      <c r="UOE612" s="621"/>
      <c r="UOF612" s="3933"/>
      <c r="UOG612" s="3933"/>
      <c r="UOH612" s="3933"/>
      <c r="UOI612" s="621"/>
      <c r="UOJ612" s="3933"/>
      <c r="UOK612" s="3933"/>
      <c r="UOL612" s="3933"/>
      <c r="UOM612" s="621"/>
      <c r="UON612" s="3933"/>
      <c r="UOO612" s="3933"/>
      <c r="UOP612" s="3933"/>
      <c r="UOQ612" s="621"/>
      <c r="UOR612" s="3933"/>
      <c r="UOS612" s="3933"/>
      <c r="UOT612" s="3933"/>
      <c r="UOU612" s="621"/>
      <c r="UOV612" s="3933"/>
      <c r="UOW612" s="3933"/>
      <c r="UOX612" s="3933"/>
      <c r="UOY612" s="621"/>
      <c r="UOZ612" s="3933"/>
      <c r="UPA612" s="3933"/>
      <c r="UPB612" s="3933"/>
      <c r="UPC612" s="621"/>
      <c r="UPD612" s="3933"/>
      <c r="UPE612" s="3933"/>
      <c r="UPF612" s="3933"/>
      <c r="UPG612" s="621"/>
      <c r="UPH612" s="3933"/>
      <c r="UPI612" s="3933"/>
      <c r="UPJ612" s="3933"/>
      <c r="UPK612" s="621"/>
      <c r="UPL612" s="3933"/>
      <c r="UPM612" s="3933"/>
      <c r="UPN612" s="3933"/>
      <c r="UPO612" s="621"/>
      <c r="UPP612" s="3933"/>
      <c r="UPQ612" s="3933"/>
      <c r="UPR612" s="3933"/>
      <c r="UPS612" s="621"/>
      <c r="UPT612" s="3933"/>
      <c r="UPU612" s="3933"/>
      <c r="UPV612" s="3933"/>
      <c r="UPW612" s="621"/>
      <c r="UPX612" s="3933"/>
      <c r="UPY612" s="3933"/>
      <c r="UPZ612" s="3933"/>
      <c r="UQA612" s="621"/>
      <c r="UQB612" s="3933"/>
      <c r="UQC612" s="3933"/>
      <c r="UQD612" s="3933"/>
      <c r="UQE612" s="621"/>
      <c r="UQF612" s="3933"/>
      <c r="UQG612" s="3933"/>
      <c r="UQH612" s="3933"/>
      <c r="UQI612" s="621"/>
      <c r="UQJ612" s="3933"/>
      <c r="UQK612" s="3933"/>
      <c r="UQL612" s="3933"/>
      <c r="UQM612" s="621"/>
      <c r="UQN612" s="3933"/>
      <c r="UQO612" s="3933"/>
      <c r="UQP612" s="3933"/>
      <c r="UQQ612" s="621"/>
      <c r="UQR612" s="3933"/>
      <c r="UQS612" s="3933"/>
      <c r="UQT612" s="3933"/>
      <c r="UQU612" s="621"/>
      <c r="UQV612" s="3933"/>
      <c r="UQW612" s="3933"/>
      <c r="UQX612" s="3933"/>
      <c r="UQY612" s="621"/>
      <c r="UQZ612" s="3933"/>
      <c r="URA612" s="3933"/>
      <c r="URB612" s="3933"/>
      <c r="URC612" s="621"/>
      <c r="URD612" s="3933"/>
      <c r="URE612" s="3933"/>
      <c r="URF612" s="3933"/>
      <c r="URG612" s="621"/>
      <c r="URH612" s="3933"/>
      <c r="URI612" s="3933"/>
      <c r="URJ612" s="3933"/>
      <c r="URK612" s="621"/>
      <c r="URL612" s="3933"/>
      <c r="URM612" s="3933"/>
      <c r="URN612" s="3933"/>
      <c r="URO612" s="621"/>
      <c r="URP612" s="3933"/>
      <c r="URQ612" s="3933"/>
      <c r="URR612" s="3933"/>
      <c r="URS612" s="621"/>
      <c r="URT612" s="3933"/>
      <c r="URU612" s="3933"/>
      <c r="URV612" s="3933"/>
      <c r="URW612" s="621"/>
      <c r="URX612" s="3933"/>
      <c r="URY612" s="3933"/>
      <c r="URZ612" s="3933"/>
      <c r="USA612" s="621"/>
      <c r="USB612" s="3933"/>
      <c r="USC612" s="3933"/>
      <c r="USD612" s="3933"/>
      <c r="USE612" s="621"/>
      <c r="USF612" s="3933"/>
      <c r="USG612" s="3933"/>
      <c r="USH612" s="3933"/>
      <c r="USI612" s="621"/>
      <c r="USJ612" s="3933"/>
      <c r="USK612" s="3933"/>
      <c r="USL612" s="3933"/>
      <c r="USM612" s="621"/>
      <c r="USN612" s="3933"/>
      <c r="USO612" s="3933"/>
      <c r="USP612" s="3933"/>
      <c r="USQ612" s="621"/>
      <c r="USR612" s="3933"/>
      <c r="USS612" s="3933"/>
      <c r="UST612" s="3933"/>
      <c r="USU612" s="621"/>
      <c r="USV612" s="3933"/>
      <c r="USW612" s="3933"/>
      <c r="USX612" s="3933"/>
      <c r="USY612" s="621"/>
      <c r="USZ612" s="3933"/>
      <c r="UTA612" s="3933"/>
      <c r="UTB612" s="3933"/>
      <c r="UTC612" s="621"/>
      <c r="UTD612" s="3933"/>
      <c r="UTE612" s="3933"/>
      <c r="UTF612" s="3933"/>
      <c r="UTG612" s="621"/>
      <c r="UTH612" s="3933"/>
      <c r="UTI612" s="3933"/>
      <c r="UTJ612" s="3933"/>
      <c r="UTK612" s="621"/>
      <c r="UTL612" s="3933"/>
      <c r="UTM612" s="3933"/>
      <c r="UTN612" s="3933"/>
      <c r="UTO612" s="621"/>
      <c r="UTP612" s="3933"/>
      <c r="UTQ612" s="3933"/>
      <c r="UTR612" s="3933"/>
      <c r="UTS612" s="621"/>
      <c r="UTT612" s="3933"/>
      <c r="UTU612" s="3933"/>
      <c r="UTV612" s="3933"/>
      <c r="UTW612" s="621"/>
      <c r="UTX612" s="3933"/>
      <c r="UTY612" s="3933"/>
      <c r="UTZ612" s="3933"/>
      <c r="UUA612" s="621"/>
      <c r="UUB612" s="3933"/>
      <c r="UUC612" s="3933"/>
      <c r="UUD612" s="3933"/>
      <c r="UUE612" s="621"/>
      <c r="UUF612" s="3933"/>
      <c r="UUG612" s="3933"/>
      <c r="UUH612" s="3933"/>
      <c r="UUI612" s="621"/>
      <c r="UUJ612" s="3933"/>
      <c r="UUK612" s="3933"/>
      <c r="UUL612" s="3933"/>
      <c r="UUM612" s="621"/>
      <c r="UUN612" s="3933"/>
      <c r="UUO612" s="3933"/>
      <c r="UUP612" s="3933"/>
      <c r="UUQ612" s="621"/>
      <c r="UUR612" s="3933"/>
      <c r="UUS612" s="3933"/>
      <c r="UUT612" s="3933"/>
      <c r="UUU612" s="621"/>
      <c r="UUV612" s="3933"/>
      <c r="UUW612" s="3933"/>
      <c r="UUX612" s="3933"/>
      <c r="UUY612" s="621"/>
      <c r="UUZ612" s="3933"/>
      <c r="UVA612" s="3933"/>
      <c r="UVB612" s="3933"/>
      <c r="UVC612" s="621"/>
      <c r="UVD612" s="3933"/>
      <c r="UVE612" s="3933"/>
      <c r="UVF612" s="3933"/>
      <c r="UVG612" s="621"/>
      <c r="UVH612" s="3933"/>
      <c r="UVI612" s="3933"/>
      <c r="UVJ612" s="3933"/>
      <c r="UVK612" s="621"/>
      <c r="UVL612" s="3933"/>
      <c r="UVM612" s="3933"/>
      <c r="UVN612" s="3933"/>
      <c r="UVO612" s="621"/>
      <c r="UVP612" s="3933"/>
      <c r="UVQ612" s="3933"/>
      <c r="UVR612" s="3933"/>
      <c r="UVS612" s="621"/>
      <c r="UVT612" s="3933"/>
      <c r="UVU612" s="3933"/>
      <c r="UVV612" s="3933"/>
      <c r="UVW612" s="621"/>
      <c r="UVX612" s="3933"/>
      <c r="UVY612" s="3933"/>
      <c r="UVZ612" s="3933"/>
      <c r="UWA612" s="621"/>
      <c r="UWB612" s="3933"/>
      <c r="UWC612" s="3933"/>
      <c r="UWD612" s="3933"/>
      <c r="UWE612" s="621"/>
      <c r="UWF612" s="3933"/>
      <c r="UWG612" s="3933"/>
      <c r="UWH612" s="3933"/>
      <c r="UWI612" s="621"/>
      <c r="UWJ612" s="3933"/>
      <c r="UWK612" s="3933"/>
      <c r="UWL612" s="3933"/>
      <c r="UWM612" s="621"/>
      <c r="UWN612" s="3933"/>
      <c r="UWO612" s="3933"/>
      <c r="UWP612" s="3933"/>
      <c r="UWQ612" s="621"/>
      <c r="UWR612" s="3933"/>
      <c r="UWS612" s="3933"/>
      <c r="UWT612" s="3933"/>
      <c r="UWU612" s="621"/>
      <c r="UWV612" s="3933"/>
      <c r="UWW612" s="3933"/>
      <c r="UWX612" s="3933"/>
      <c r="UWY612" s="621"/>
      <c r="UWZ612" s="3933"/>
      <c r="UXA612" s="3933"/>
      <c r="UXB612" s="3933"/>
      <c r="UXC612" s="621"/>
      <c r="UXD612" s="3933"/>
      <c r="UXE612" s="3933"/>
      <c r="UXF612" s="3933"/>
      <c r="UXG612" s="621"/>
      <c r="UXH612" s="3933"/>
      <c r="UXI612" s="3933"/>
      <c r="UXJ612" s="3933"/>
      <c r="UXK612" s="621"/>
      <c r="UXL612" s="3933"/>
      <c r="UXM612" s="3933"/>
      <c r="UXN612" s="3933"/>
      <c r="UXO612" s="621"/>
      <c r="UXP612" s="3933"/>
      <c r="UXQ612" s="3933"/>
      <c r="UXR612" s="3933"/>
      <c r="UXS612" s="621"/>
      <c r="UXT612" s="3933"/>
      <c r="UXU612" s="3933"/>
      <c r="UXV612" s="3933"/>
      <c r="UXW612" s="621"/>
      <c r="UXX612" s="3933"/>
      <c r="UXY612" s="3933"/>
      <c r="UXZ612" s="3933"/>
      <c r="UYA612" s="621"/>
      <c r="UYB612" s="3933"/>
      <c r="UYC612" s="3933"/>
      <c r="UYD612" s="3933"/>
      <c r="UYE612" s="621"/>
      <c r="UYF612" s="3933"/>
      <c r="UYG612" s="3933"/>
      <c r="UYH612" s="3933"/>
      <c r="UYI612" s="621"/>
      <c r="UYJ612" s="3933"/>
      <c r="UYK612" s="3933"/>
      <c r="UYL612" s="3933"/>
      <c r="UYM612" s="621"/>
      <c r="UYN612" s="3933"/>
      <c r="UYO612" s="3933"/>
      <c r="UYP612" s="3933"/>
      <c r="UYQ612" s="621"/>
      <c r="UYR612" s="3933"/>
      <c r="UYS612" s="3933"/>
      <c r="UYT612" s="3933"/>
      <c r="UYU612" s="621"/>
      <c r="UYV612" s="3933"/>
      <c r="UYW612" s="3933"/>
      <c r="UYX612" s="3933"/>
      <c r="UYY612" s="621"/>
      <c r="UYZ612" s="3933"/>
      <c r="UZA612" s="3933"/>
      <c r="UZB612" s="3933"/>
      <c r="UZC612" s="621"/>
      <c r="UZD612" s="3933"/>
      <c r="UZE612" s="3933"/>
      <c r="UZF612" s="3933"/>
      <c r="UZG612" s="621"/>
      <c r="UZH612" s="3933"/>
      <c r="UZI612" s="3933"/>
      <c r="UZJ612" s="3933"/>
      <c r="UZK612" s="621"/>
      <c r="UZL612" s="3933"/>
      <c r="UZM612" s="3933"/>
      <c r="UZN612" s="3933"/>
      <c r="UZO612" s="621"/>
      <c r="UZP612" s="3933"/>
      <c r="UZQ612" s="3933"/>
      <c r="UZR612" s="3933"/>
      <c r="UZS612" s="621"/>
      <c r="UZT612" s="3933"/>
      <c r="UZU612" s="3933"/>
      <c r="UZV612" s="3933"/>
      <c r="UZW612" s="621"/>
      <c r="UZX612" s="3933"/>
      <c r="UZY612" s="3933"/>
      <c r="UZZ612" s="3933"/>
      <c r="VAA612" s="621"/>
      <c r="VAB612" s="3933"/>
      <c r="VAC612" s="3933"/>
      <c r="VAD612" s="3933"/>
      <c r="VAE612" s="621"/>
      <c r="VAF612" s="3933"/>
      <c r="VAG612" s="3933"/>
      <c r="VAH612" s="3933"/>
      <c r="VAI612" s="621"/>
      <c r="VAJ612" s="3933"/>
      <c r="VAK612" s="3933"/>
      <c r="VAL612" s="3933"/>
      <c r="VAM612" s="621"/>
      <c r="VAN612" s="3933"/>
      <c r="VAO612" s="3933"/>
      <c r="VAP612" s="3933"/>
      <c r="VAQ612" s="621"/>
      <c r="VAR612" s="3933"/>
      <c r="VAS612" s="3933"/>
      <c r="VAT612" s="3933"/>
      <c r="VAU612" s="621"/>
      <c r="VAV612" s="3933"/>
      <c r="VAW612" s="3933"/>
      <c r="VAX612" s="3933"/>
      <c r="VAY612" s="621"/>
      <c r="VAZ612" s="3933"/>
      <c r="VBA612" s="3933"/>
      <c r="VBB612" s="3933"/>
      <c r="VBC612" s="621"/>
      <c r="VBD612" s="3933"/>
      <c r="VBE612" s="3933"/>
      <c r="VBF612" s="3933"/>
      <c r="VBG612" s="621"/>
      <c r="VBH612" s="3933"/>
      <c r="VBI612" s="3933"/>
      <c r="VBJ612" s="3933"/>
      <c r="VBK612" s="621"/>
      <c r="VBL612" s="3933"/>
      <c r="VBM612" s="3933"/>
      <c r="VBN612" s="3933"/>
      <c r="VBO612" s="621"/>
      <c r="VBP612" s="3933"/>
      <c r="VBQ612" s="3933"/>
      <c r="VBR612" s="3933"/>
      <c r="VBS612" s="621"/>
      <c r="VBT612" s="3933"/>
      <c r="VBU612" s="3933"/>
      <c r="VBV612" s="3933"/>
      <c r="VBW612" s="621"/>
      <c r="VBX612" s="3933"/>
      <c r="VBY612" s="3933"/>
      <c r="VBZ612" s="3933"/>
      <c r="VCA612" s="621"/>
      <c r="VCB612" s="3933"/>
      <c r="VCC612" s="3933"/>
      <c r="VCD612" s="3933"/>
      <c r="VCE612" s="621"/>
      <c r="VCF612" s="3933"/>
      <c r="VCG612" s="3933"/>
      <c r="VCH612" s="3933"/>
      <c r="VCI612" s="621"/>
      <c r="VCJ612" s="3933"/>
      <c r="VCK612" s="3933"/>
      <c r="VCL612" s="3933"/>
      <c r="VCM612" s="621"/>
      <c r="VCN612" s="3933"/>
      <c r="VCO612" s="3933"/>
      <c r="VCP612" s="3933"/>
      <c r="VCQ612" s="621"/>
      <c r="VCR612" s="3933"/>
      <c r="VCS612" s="3933"/>
      <c r="VCT612" s="3933"/>
      <c r="VCU612" s="621"/>
      <c r="VCV612" s="3933"/>
      <c r="VCW612" s="3933"/>
      <c r="VCX612" s="3933"/>
      <c r="VCY612" s="621"/>
      <c r="VCZ612" s="3933"/>
      <c r="VDA612" s="3933"/>
      <c r="VDB612" s="3933"/>
      <c r="VDC612" s="621"/>
      <c r="VDD612" s="3933"/>
      <c r="VDE612" s="3933"/>
      <c r="VDF612" s="3933"/>
      <c r="VDG612" s="621"/>
      <c r="VDH612" s="3933"/>
      <c r="VDI612" s="3933"/>
      <c r="VDJ612" s="3933"/>
      <c r="VDK612" s="621"/>
      <c r="VDL612" s="3933"/>
      <c r="VDM612" s="3933"/>
      <c r="VDN612" s="3933"/>
      <c r="VDO612" s="621"/>
      <c r="VDP612" s="3933"/>
      <c r="VDQ612" s="3933"/>
      <c r="VDR612" s="3933"/>
      <c r="VDS612" s="621"/>
      <c r="VDT612" s="3933"/>
      <c r="VDU612" s="3933"/>
      <c r="VDV612" s="3933"/>
      <c r="VDW612" s="621"/>
      <c r="VDX612" s="3933"/>
      <c r="VDY612" s="3933"/>
      <c r="VDZ612" s="3933"/>
      <c r="VEA612" s="621"/>
      <c r="VEB612" s="3933"/>
      <c r="VEC612" s="3933"/>
      <c r="VED612" s="3933"/>
      <c r="VEE612" s="621"/>
      <c r="VEF612" s="3933"/>
      <c r="VEG612" s="3933"/>
      <c r="VEH612" s="3933"/>
      <c r="VEI612" s="621"/>
      <c r="VEJ612" s="3933"/>
      <c r="VEK612" s="3933"/>
      <c r="VEL612" s="3933"/>
      <c r="VEM612" s="621"/>
      <c r="VEN612" s="3933"/>
      <c r="VEO612" s="3933"/>
      <c r="VEP612" s="3933"/>
      <c r="VEQ612" s="621"/>
      <c r="VER612" s="3933"/>
      <c r="VES612" s="3933"/>
      <c r="VET612" s="3933"/>
      <c r="VEU612" s="621"/>
      <c r="VEV612" s="3933"/>
      <c r="VEW612" s="3933"/>
      <c r="VEX612" s="3933"/>
      <c r="VEY612" s="621"/>
      <c r="VEZ612" s="3933"/>
      <c r="VFA612" s="3933"/>
      <c r="VFB612" s="3933"/>
      <c r="VFC612" s="621"/>
      <c r="VFD612" s="3933"/>
      <c r="VFE612" s="3933"/>
      <c r="VFF612" s="3933"/>
      <c r="VFG612" s="621"/>
      <c r="VFH612" s="3933"/>
      <c r="VFI612" s="3933"/>
      <c r="VFJ612" s="3933"/>
      <c r="VFK612" s="621"/>
      <c r="VFL612" s="3933"/>
      <c r="VFM612" s="3933"/>
      <c r="VFN612" s="3933"/>
      <c r="VFO612" s="621"/>
      <c r="VFP612" s="3933"/>
      <c r="VFQ612" s="3933"/>
      <c r="VFR612" s="3933"/>
      <c r="VFS612" s="621"/>
      <c r="VFT612" s="3933"/>
      <c r="VFU612" s="3933"/>
      <c r="VFV612" s="3933"/>
      <c r="VFW612" s="621"/>
      <c r="VFX612" s="3933"/>
      <c r="VFY612" s="3933"/>
      <c r="VFZ612" s="3933"/>
      <c r="VGA612" s="621"/>
      <c r="VGB612" s="3933"/>
      <c r="VGC612" s="3933"/>
      <c r="VGD612" s="3933"/>
      <c r="VGE612" s="621"/>
      <c r="VGF612" s="3933"/>
      <c r="VGG612" s="3933"/>
      <c r="VGH612" s="3933"/>
      <c r="VGI612" s="621"/>
      <c r="VGJ612" s="3933"/>
      <c r="VGK612" s="3933"/>
      <c r="VGL612" s="3933"/>
      <c r="VGM612" s="621"/>
      <c r="VGN612" s="3933"/>
      <c r="VGO612" s="3933"/>
      <c r="VGP612" s="3933"/>
      <c r="VGQ612" s="621"/>
      <c r="VGR612" s="3933"/>
      <c r="VGS612" s="3933"/>
      <c r="VGT612" s="3933"/>
      <c r="VGU612" s="621"/>
      <c r="VGV612" s="3933"/>
      <c r="VGW612" s="3933"/>
      <c r="VGX612" s="3933"/>
      <c r="VGY612" s="621"/>
      <c r="VGZ612" s="3933"/>
      <c r="VHA612" s="3933"/>
      <c r="VHB612" s="3933"/>
      <c r="VHC612" s="621"/>
      <c r="VHD612" s="3933"/>
      <c r="VHE612" s="3933"/>
      <c r="VHF612" s="3933"/>
      <c r="VHG612" s="621"/>
      <c r="VHH612" s="3933"/>
      <c r="VHI612" s="3933"/>
      <c r="VHJ612" s="3933"/>
      <c r="VHK612" s="621"/>
      <c r="VHL612" s="3933"/>
      <c r="VHM612" s="3933"/>
      <c r="VHN612" s="3933"/>
      <c r="VHO612" s="621"/>
      <c r="VHP612" s="3933"/>
      <c r="VHQ612" s="3933"/>
      <c r="VHR612" s="3933"/>
      <c r="VHS612" s="621"/>
      <c r="VHT612" s="3933"/>
      <c r="VHU612" s="3933"/>
      <c r="VHV612" s="3933"/>
      <c r="VHW612" s="621"/>
      <c r="VHX612" s="3933"/>
      <c r="VHY612" s="3933"/>
      <c r="VHZ612" s="3933"/>
      <c r="VIA612" s="621"/>
      <c r="VIB612" s="3933"/>
      <c r="VIC612" s="3933"/>
      <c r="VID612" s="3933"/>
      <c r="VIE612" s="621"/>
      <c r="VIF612" s="3933"/>
      <c r="VIG612" s="3933"/>
      <c r="VIH612" s="3933"/>
      <c r="VII612" s="621"/>
      <c r="VIJ612" s="3933"/>
      <c r="VIK612" s="3933"/>
      <c r="VIL612" s="3933"/>
      <c r="VIM612" s="621"/>
      <c r="VIN612" s="3933"/>
      <c r="VIO612" s="3933"/>
      <c r="VIP612" s="3933"/>
      <c r="VIQ612" s="621"/>
      <c r="VIR612" s="3933"/>
      <c r="VIS612" s="3933"/>
      <c r="VIT612" s="3933"/>
      <c r="VIU612" s="621"/>
      <c r="VIV612" s="3933"/>
      <c r="VIW612" s="3933"/>
      <c r="VIX612" s="3933"/>
      <c r="VIY612" s="621"/>
      <c r="VIZ612" s="3933"/>
      <c r="VJA612" s="3933"/>
      <c r="VJB612" s="3933"/>
      <c r="VJC612" s="621"/>
      <c r="VJD612" s="3933"/>
      <c r="VJE612" s="3933"/>
      <c r="VJF612" s="3933"/>
      <c r="VJG612" s="621"/>
      <c r="VJH612" s="3933"/>
      <c r="VJI612" s="3933"/>
      <c r="VJJ612" s="3933"/>
      <c r="VJK612" s="621"/>
      <c r="VJL612" s="3933"/>
      <c r="VJM612" s="3933"/>
      <c r="VJN612" s="3933"/>
      <c r="VJO612" s="621"/>
      <c r="VJP612" s="3933"/>
      <c r="VJQ612" s="3933"/>
      <c r="VJR612" s="3933"/>
      <c r="VJS612" s="621"/>
      <c r="VJT612" s="3933"/>
      <c r="VJU612" s="3933"/>
      <c r="VJV612" s="3933"/>
      <c r="VJW612" s="621"/>
      <c r="VJX612" s="3933"/>
      <c r="VJY612" s="3933"/>
      <c r="VJZ612" s="3933"/>
      <c r="VKA612" s="621"/>
      <c r="VKB612" s="3933"/>
      <c r="VKC612" s="3933"/>
      <c r="VKD612" s="3933"/>
      <c r="VKE612" s="621"/>
      <c r="VKF612" s="3933"/>
      <c r="VKG612" s="3933"/>
      <c r="VKH612" s="3933"/>
      <c r="VKI612" s="621"/>
      <c r="VKJ612" s="3933"/>
      <c r="VKK612" s="3933"/>
      <c r="VKL612" s="3933"/>
      <c r="VKM612" s="621"/>
      <c r="VKN612" s="3933"/>
      <c r="VKO612" s="3933"/>
      <c r="VKP612" s="3933"/>
      <c r="VKQ612" s="621"/>
      <c r="VKR612" s="3933"/>
      <c r="VKS612" s="3933"/>
      <c r="VKT612" s="3933"/>
      <c r="VKU612" s="621"/>
      <c r="VKV612" s="3933"/>
      <c r="VKW612" s="3933"/>
      <c r="VKX612" s="3933"/>
      <c r="VKY612" s="621"/>
      <c r="VKZ612" s="3933"/>
      <c r="VLA612" s="3933"/>
      <c r="VLB612" s="3933"/>
      <c r="VLC612" s="621"/>
      <c r="VLD612" s="3933"/>
      <c r="VLE612" s="3933"/>
      <c r="VLF612" s="3933"/>
      <c r="VLG612" s="621"/>
      <c r="VLH612" s="3933"/>
      <c r="VLI612" s="3933"/>
      <c r="VLJ612" s="3933"/>
      <c r="VLK612" s="621"/>
      <c r="VLL612" s="3933"/>
      <c r="VLM612" s="3933"/>
      <c r="VLN612" s="3933"/>
      <c r="VLO612" s="621"/>
      <c r="VLP612" s="3933"/>
      <c r="VLQ612" s="3933"/>
      <c r="VLR612" s="3933"/>
      <c r="VLS612" s="621"/>
      <c r="VLT612" s="3933"/>
      <c r="VLU612" s="3933"/>
      <c r="VLV612" s="3933"/>
      <c r="VLW612" s="621"/>
      <c r="VLX612" s="3933"/>
      <c r="VLY612" s="3933"/>
      <c r="VLZ612" s="3933"/>
      <c r="VMA612" s="621"/>
      <c r="VMB612" s="3933"/>
      <c r="VMC612" s="3933"/>
      <c r="VMD612" s="3933"/>
      <c r="VME612" s="621"/>
      <c r="VMF612" s="3933"/>
      <c r="VMG612" s="3933"/>
      <c r="VMH612" s="3933"/>
      <c r="VMI612" s="621"/>
      <c r="VMJ612" s="3933"/>
      <c r="VMK612" s="3933"/>
      <c r="VML612" s="3933"/>
      <c r="VMM612" s="621"/>
      <c r="VMN612" s="3933"/>
      <c r="VMO612" s="3933"/>
      <c r="VMP612" s="3933"/>
      <c r="VMQ612" s="621"/>
      <c r="VMR612" s="3933"/>
      <c r="VMS612" s="3933"/>
      <c r="VMT612" s="3933"/>
      <c r="VMU612" s="621"/>
      <c r="VMV612" s="3933"/>
      <c r="VMW612" s="3933"/>
      <c r="VMX612" s="3933"/>
      <c r="VMY612" s="621"/>
      <c r="VMZ612" s="3933"/>
      <c r="VNA612" s="3933"/>
      <c r="VNB612" s="3933"/>
      <c r="VNC612" s="621"/>
      <c r="VND612" s="3933"/>
      <c r="VNE612" s="3933"/>
      <c r="VNF612" s="3933"/>
      <c r="VNG612" s="621"/>
      <c r="VNH612" s="3933"/>
      <c r="VNI612" s="3933"/>
      <c r="VNJ612" s="3933"/>
      <c r="VNK612" s="621"/>
      <c r="VNL612" s="3933"/>
      <c r="VNM612" s="3933"/>
      <c r="VNN612" s="3933"/>
      <c r="VNO612" s="621"/>
      <c r="VNP612" s="3933"/>
      <c r="VNQ612" s="3933"/>
      <c r="VNR612" s="3933"/>
      <c r="VNS612" s="621"/>
      <c r="VNT612" s="3933"/>
      <c r="VNU612" s="3933"/>
      <c r="VNV612" s="3933"/>
      <c r="VNW612" s="621"/>
      <c r="VNX612" s="3933"/>
      <c r="VNY612" s="3933"/>
      <c r="VNZ612" s="3933"/>
      <c r="VOA612" s="621"/>
      <c r="VOB612" s="3933"/>
      <c r="VOC612" s="3933"/>
      <c r="VOD612" s="3933"/>
      <c r="VOE612" s="621"/>
      <c r="VOF612" s="3933"/>
      <c r="VOG612" s="3933"/>
      <c r="VOH612" s="3933"/>
      <c r="VOI612" s="621"/>
      <c r="VOJ612" s="3933"/>
      <c r="VOK612" s="3933"/>
      <c r="VOL612" s="3933"/>
      <c r="VOM612" s="621"/>
      <c r="VON612" s="3933"/>
      <c r="VOO612" s="3933"/>
      <c r="VOP612" s="3933"/>
      <c r="VOQ612" s="621"/>
      <c r="VOR612" s="3933"/>
      <c r="VOS612" s="3933"/>
      <c r="VOT612" s="3933"/>
      <c r="VOU612" s="621"/>
      <c r="VOV612" s="3933"/>
      <c r="VOW612" s="3933"/>
      <c r="VOX612" s="3933"/>
      <c r="VOY612" s="621"/>
      <c r="VOZ612" s="3933"/>
      <c r="VPA612" s="3933"/>
      <c r="VPB612" s="3933"/>
      <c r="VPC612" s="621"/>
      <c r="VPD612" s="3933"/>
      <c r="VPE612" s="3933"/>
      <c r="VPF612" s="3933"/>
      <c r="VPG612" s="621"/>
      <c r="VPH612" s="3933"/>
      <c r="VPI612" s="3933"/>
      <c r="VPJ612" s="3933"/>
      <c r="VPK612" s="621"/>
      <c r="VPL612" s="3933"/>
      <c r="VPM612" s="3933"/>
      <c r="VPN612" s="3933"/>
      <c r="VPO612" s="621"/>
      <c r="VPP612" s="3933"/>
      <c r="VPQ612" s="3933"/>
      <c r="VPR612" s="3933"/>
      <c r="VPS612" s="621"/>
      <c r="VPT612" s="3933"/>
      <c r="VPU612" s="3933"/>
      <c r="VPV612" s="3933"/>
      <c r="VPW612" s="621"/>
      <c r="VPX612" s="3933"/>
      <c r="VPY612" s="3933"/>
      <c r="VPZ612" s="3933"/>
      <c r="VQA612" s="621"/>
      <c r="VQB612" s="3933"/>
      <c r="VQC612" s="3933"/>
      <c r="VQD612" s="3933"/>
      <c r="VQE612" s="621"/>
      <c r="VQF612" s="3933"/>
      <c r="VQG612" s="3933"/>
      <c r="VQH612" s="3933"/>
      <c r="VQI612" s="621"/>
      <c r="VQJ612" s="3933"/>
      <c r="VQK612" s="3933"/>
      <c r="VQL612" s="3933"/>
      <c r="VQM612" s="621"/>
      <c r="VQN612" s="3933"/>
      <c r="VQO612" s="3933"/>
      <c r="VQP612" s="3933"/>
      <c r="VQQ612" s="621"/>
      <c r="VQR612" s="3933"/>
      <c r="VQS612" s="3933"/>
      <c r="VQT612" s="3933"/>
      <c r="VQU612" s="621"/>
      <c r="VQV612" s="3933"/>
      <c r="VQW612" s="3933"/>
      <c r="VQX612" s="3933"/>
      <c r="VQY612" s="621"/>
      <c r="VQZ612" s="3933"/>
      <c r="VRA612" s="3933"/>
      <c r="VRB612" s="3933"/>
      <c r="VRC612" s="621"/>
      <c r="VRD612" s="3933"/>
      <c r="VRE612" s="3933"/>
      <c r="VRF612" s="3933"/>
      <c r="VRG612" s="621"/>
      <c r="VRH612" s="3933"/>
      <c r="VRI612" s="3933"/>
      <c r="VRJ612" s="3933"/>
      <c r="VRK612" s="621"/>
      <c r="VRL612" s="3933"/>
      <c r="VRM612" s="3933"/>
      <c r="VRN612" s="3933"/>
      <c r="VRO612" s="621"/>
      <c r="VRP612" s="3933"/>
      <c r="VRQ612" s="3933"/>
      <c r="VRR612" s="3933"/>
      <c r="VRS612" s="621"/>
      <c r="VRT612" s="3933"/>
      <c r="VRU612" s="3933"/>
      <c r="VRV612" s="3933"/>
      <c r="VRW612" s="621"/>
      <c r="VRX612" s="3933"/>
      <c r="VRY612" s="3933"/>
      <c r="VRZ612" s="3933"/>
      <c r="VSA612" s="621"/>
      <c r="VSB612" s="3933"/>
      <c r="VSC612" s="3933"/>
      <c r="VSD612" s="3933"/>
      <c r="VSE612" s="621"/>
      <c r="VSF612" s="3933"/>
      <c r="VSG612" s="3933"/>
      <c r="VSH612" s="3933"/>
      <c r="VSI612" s="621"/>
      <c r="VSJ612" s="3933"/>
      <c r="VSK612" s="3933"/>
      <c r="VSL612" s="3933"/>
      <c r="VSM612" s="621"/>
      <c r="VSN612" s="3933"/>
      <c r="VSO612" s="3933"/>
      <c r="VSP612" s="3933"/>
      <c r="VSQ612" s="621"/>
      <c r="VSR612" s="3933"/>
      <c r="VSS612" s="3933"/>
      <c r="VST612" s="3933"/>
      <c r="VSU612" s="621"/>
      <c r="VSV612" s="3933"/>
      <c r="VSW612" s="3933"/>
      <c r="VSX612" s="3933"/>
      <c r="VSY612" s="621"/>
      <c r="VSZ612" s="3933"/>
      <c r="VTA612" s="3933"/>
      <c r="VTB612" s="3933"/>
      <c r="VTC612" s="621"/>
      <c r="VTD612" s="3933"/>
      <c r="VTE612" s="3933"/>
      <c r="VTF612" s="3933"/>
      <c r="VTG612" s="621"/>
      <c r="VTH612" s="3933"/>
      <c r="VTI612" s="3933"/>
      <c r="VTJ612" s="3933"/>
      <c r="VTK612" s="621"/>
      <c r="VTL612" s="3933"/>
      <c r="VTM612" s="3933"/>
      <c r="VTN612" s="3933"/>
      <c r="VTO612" s="621"/>
      <c r="VTP612" s="3933"/>
      <c r="VTQ612" s="3933"/>
      <c r="VTR612" s="3933"/>
      <c r="VTS612" s="621"/>
      <c r="VTT612" s="3933"/>
      <c r="VTU612" s="3933"/>
      <c r="VTV612" s="3933"/>
      <c r="VTW612" s="621"/>
      <c r="VTX612" s="3933"/>
      <c r="VTY612" s="3933"/>
      <c r="VTZ612" s="3933"/>
      <c r="VUA612" s="621"/>
      <c r="VUB612" s="3933"/>
      <c r="VUC612" s="3933"/>
      <c r="VUD612" s="3933"/>
      <c r="VUE612" s="621"/>
      <c r="VUF612" s="3933"/>
      <c r="VUG612" s="3933"/>
      <c r="VUH612" s="3933"/>
      <c r="VUI612" s="621"/>
      <c r="VUJ612" s="3933"/>
      <c r="VUK612" s="3933"/>
      <c r="VUL612" s="3933"/>
      <c r="VUM612" s="621"/>
      <c r="VUN612" s="3933"/>
      <c r="VUO612" s="3933"/>
      <c r="VUP612" s="3933"/>
      <c r="VUQ612" s="621"/>
      <c r="VUR612" s="3933"/>
      <c r="VUS612" s="3933"/>
      <c r="VUT612" s="3933"/>
      <c r="VUU612" s="621"/>
      <c r="VUV612" s="3933"/>
      <c r="VUW612" s="3933"/>
      <c r="VUX612" s="3933"/>
      <c r="VUY612" s="621"/>
      <c r="VUZ612" s="3933"/>
      <c r="VVA612" s="3933"/>
      <c r="VVB612" s="3933"/>
      <c r="VVC612" s="621"/>
      <c r="VVD612" s="3933"/>
      <c r="VVE612" s="3933"/>
      <c r="VVF612" s="3933"/>
      <c r="VVG612" s="621"/>
      <c r="VVH612" s="3933"/>
      <c r="VVI612" s="3933"/>
      <c r="VVJ612" s="3933"/>
      <c r="VVK612" s="621"/>
      <c r="VVL612" s="3933"/>
      <c r="VVM612" s="3933"/>
      <c r="VVN612" s="3933"/>
      <c r="VVO612" s="621"/>
      <c r="VVP612" s="3933"/>
      <c r="VVQ612" s="3933"/>
      <c r="VVR612" s="3933"/>
      <c r="VVS612" s="621"/>
      <c r="VVT612" s="3933"/>
      <c r="VVU612" s="3933"/>
      <c r="VVV612" s="3933"/>
      <c r="VVW612" s="621"/>
      <c r="VVX612" s="3933"/>
      <c r="VVY612" s="3933"/>
      <c r="VVZ612" s="3933"/>
      <c r="VWA612" s="621"/>
      <c r="VWB612" s="3933"/>
      <c r="VWC612" s="3933"/>
      <c r="VWD612" s="3933"/>
      <c r="VWE612" s="621"/>
      <c r="VWF612" s="3933"/>
      <c r="VWG612" s="3933"/>
      <c r="VWH612" s="3933"/>
      <c r="VWI612" s="621"/>
      <c r="VWJ612" s="3933"/>
      <c r="VWK612" s="3933"/>
      <c r="VWL612" s="3933"/>
      <c r="VWM612" s="621"/>
      <c r="VWN612" s="3933"/>
      <c r="VWO612" s="3933"/>
      <c r="VWP612" s="3933"/>
      <c r="VWQ612" s="621"/>
      <c r="VWR612" s="3933"/>
      <c r="VWS612" s="3933"/>
      <c r="VWT612" s="3933"/>
      <c r="VWU612" s="621"/>
      <c r="VWV612" s="3933"/>
      <c r="VWW612" s="3933"/>
      <c r="VWX612" s="3933"/>
      <c r="VWY612" s="621"/>
      <c r="VWZ612" s="3933"/>
      <c r="VXA612" s="3933"/>
      <c r="VXB612" s="3933"/>
      <c r="VXC612" s="621"/>
      <c r="VXD612" s="3933"/>
      <c r="VXE612" s="3933"/>
      <c r="VXF612" s="3933"/>
      <c r="VXG612" s="621"/>
      <c r="VXH612" s="3933"/>
      <c r="VXI612" s="3933"/>
      <c r="VXJ612" s="3933"/>
      <c r="VXK612" s="621"/>
      <c r="VXL612" s="3933"/>
      <c r="VXM612" s="3933"/>
      <c r="VXN612" s="3933"/>
      <c r="VXO612" s="621"/>
      <c r="VXP612" s="3933"/>
      <c r="VXQ612" s="3933"/>
      <c r="VXR612" s="3933"/>
      <c r="VXS612" s="621"/>
      <c r="VXT612" s="3933"/>
      <c r="VXU612" s="3933"/>
      <c r="VXV612" s="3933"/>
      <c r="VXW612" s="621"/>
      <c r="VXX612" s="3933"/>
      <c r="VXY612" s="3933"/>
      <c r="VXZ612" s="3933"/>
      <c r="VYA612" s="621"/>
      <c r="VYB612" s="3933"/>
      <c r="VYC612" s="3933"/>
      <c r="VYD612" s="3933"/>
      <c r="VYE612" s="621"/>
      <c r="VYF612" s="3933"/>
      <c r="VYG612" s="3933"/>
      <c r="VYH612" s="3933"/>
      <c r="VYI612" s="621"/>
      <c r="VYJ612" s="3933"/>
      <c r="VYK612" s="3933"/>
      <c r="VYL612" s="3933"/>
      <c r="VYM612" s="621"/>
      <c r="VYN612" s="3933"/>
      <c r="VYO612" s="3933"/>
      <c r="VYP612" s="3933"/>
      <c r="VYQ612" s="621"/>
      <c r="VYR612" s="3933"/>
      <c r="VYS612" s="3933"/>
      <c r="VYT612" s="3933"/>
      <c r="VYU612" s="621"/>
      <c r="VYV612" s="3933"/>
      <c r="VYW612" s="3933"/>
      <c r="VYX612" s="3933"/>
      <c r="VYY612" s="621"/>
      <c r="VYZ612" s="3933"/>
      <c r="VZA612" s="3933"/>
      <c r="VZB612" s="3933"/>
      <c r="VZC612" s="621"/>
      <c r="VZD612" s="3933"/>
      <c r="VZE612" s="3933"/>
      <c r="VZF612" s="3933"/>
      <c r="VZG612" s="621"/>
      <c r="VZH612" s="3933"/>
      <c r="VZI612" s="3933"/>
      <c r="VZJ612" s="3933"/>
      <c r="VZK612" s="621"/>
      <c r="VZL612" s="3933"/>
      <c r="VZM612" s="3933"/>
      <c r="VZN612" s="3933"/>
      <c r="VZO612" s="621"/>
      <c r="VZP612" s="3933"/>
      <c r="VZQ612" s="3933"/>
      <c r="VZR612" s="3933"/>
      <c r="VZS612" s="621"/>
      <c r="VZT612" s="3933"/>
      <c r="VZU612" s="3933"/>
      <c r="VZV612" s="3933"/>
      <c r="VZW612" s="621"/>
      <c r="VZX612" s="3933"/>
      <c r="VZY612" s="3933"/>
      <c r="VZZ612" s="3933"/>
      <c r="WAA612" s="621"/>
      <c r="WAB612" s="3933"/>
      <c r="WAC612" s="3933"/>
      <c r="WAD612" s="3933"/>
      <c r="WAE612" s="621"/>
      <c r="WAF612" s="3933"/>
      <c r="WAG612" s="3933"/>
      <c r="WAH612" s="3933"/>
      <c r="WAI612" s="621"/>
      <c r="WAJ612" s="3933"/>
      <c r="WAK612" s="3933"/>
      <c r="WAL612" s="3933"/>
      <c r="WAM612" s="621"/>
      <c r="WAN612" s="3933"/>
      <c r="WAO612" s="3933"/>
      <c r="WAP612" s="3933"/>
      <c r="WAQ612" s="621"/>
      <c r="WAR612" s="3933"/>
      <c r="WAS612" s="3933"/>
      <c r="WAT612" s="3933"/>
      <c r="WAU612" s="621"/>
      <c r="WAV612" s="3933"/>
      <c r="WAW612" s="3933"/>
      <c r="WAX612" s="3933"/>
      <c r="WAY612" s="621"/>
      <c r="WAZ612" s="3933"/>
      <c r="WBA612" s="3933"/>
      <c r="WBB612" s="3933"/>
      <c r="WBC612" s="621"/>
      <c r="WBD612" s="3933"/>
      <c r="WBE612" s="3933"/>
      <c r="WBF612" s="3933"/>
      <c r="WBG612" s="621"/>
      <c r="WBH612" s="3933"/>
      <c r="WBI612" s="3933"/>
      <c r="WBJ612" s="3933"/>
      <c r="WBK612" s="621"/>
      <c r="WBL612" s="3933"/>
      <c r="WBM612" s="3933"/>
      <c r="WBN612" s="3933"/>
      <c r="WBO612" s="621"/>
      <c r="WBP612" s="3933"/>
      <c r="WBQ612" s="3933"/>
      <c r="WBR612" s="3933"/>
      <c r="WBS612" s="621"/>
      <c r="WBT612" s="3933"/>
      <c r="WBU612" s="3933"/>
      <c r="WBV612" s="3933"/>
      <c r="WBW612" s="621"/>
      <c r="WBX612" s="3933"/>
      <c r="WBY612" s="3933"/>
      <c r="WBZ612" s="3933"/>
      <c r="WCA612" s="621"/>
      <c r="WCB612" s="3933"/>
      <c r="WCC612" s="3933"/>
      <c r="WCD612" s="3933"/>
      <c r="WCE612" s="621"/>
      <c r="WCF612" s="3933"/>
      <c r="WCG612" s="3933"/>
      <c r="WCH612" s="3933"/>
      <c r="WCI612" s="621"/>
      <c r="WCJ612" s="3933"/>
      <c r="WCK612" s="3933"/>
      <c r="WCL612" s="3933"/>
      <c r="WCM612" s="621"/>
      <c r="WCN612" s="3933"/>
      <c r="WCO612" s="3933"/>
      <c r="WCP612" s="3933"/>
      <c r="WCQ612" s="621"/>
      <c r="WCR612" s="3933"/>
      <c r="WCS612" s="3933"/>
      <c r="WCT612" s="3933"/>
      <c r="WCU612" s="621"/>
      <c r="WCV612" s="3933"/>
      <c r="WCW612" s="3933"/>
      <c r="WCX612" s="3933"/>
      <c r="WCY612" s="621"/>
      <c r="WCZ612" s="3933"/>
      <c r="WDA612" s="3933"/>
      <c r="WDB612" s="3933"/>
      <c r="WDC612" s="621"/>
      <c r="WDD612" s="3933"/>
      <c r="WDE612" s="3933"/>
      <c r="WDF612" s="3933"/>
      <c r="WDG612" s="621"/>
      <c r="WDH612" s="3933"/>
      <c r="WDI612" s="3933"/>
      <c r="WDJ612" s="3933"/>
      <c r="WDK612" s="621"/>
      <c r="WDL612" s="3933"/>
      <c r="WDM612" s="3933"/>
      <c r="WDN612" s="3933"/>
      <c r="WDO612" s="621"/>
      <c r="WDP612" s="3933"/>
      <c r="WDQ612" s="3933"/>
      <c r="WDR612" s="3933"/>
      <c r="WDS612" s="621"/>
      <c r="WDT612" s="3933"/>
      <c r="WDU612" s="3933"/>
      <c r="WDV612" s="3933"/>
      <c r="WDW612" s="621"/>
      <c r="WDX612" s="3933"/>
      <c r="WDY612" s="3933"/>
      <c r="WDZ612" s="3933"/>
      <c r="WEA612" s="621"/>
      <c r="WEB612" s="3933"/>
      <c r="WEC612" s="3933"/>
      <c r="WED612" s="3933"/>
      <c r="WEE612" s="621"/>
      <c r="WEF612" s="3933"/>
      <c r="WEG612" s="3933"/>
      <c r="WEH612" s="3933"/>
      <c r="WEI612" s="621"/>
      <c r="WEJ612" s="3933"/>
      <c r="WEK612" s="3933"/>
      <c r="WEL612" s="3933"/>
      <c r="WEM612" s="621"/>
      <c r="WEN612" s="3933"/>
      <c r="WEO612" s="3933"/>
      <c r="WEP612" s="3933"/>
      <c r="WEQ612" s="621"/>
      <c r="WER612" s="3933"/>
      <c r="WES612" s="3933"/>
      <c r="WET612" s="3933"/>
      <c r="WEU612" s="621"/>
      <c r="WEV612" s="3933"/>
      <c r="WEW612" s="3933"/>
      <c r="WEX612" s="3933"/>
      <c r="WEY612" s="621"/>
      <c r="WEZ612" s="3933"/>
      <c r="WFA612" s="3933"/>
      <c r="WFB612" s="3933"/>
      <c r="WFC612" s="621"/>
      <c r="WFD612" s="3933"/>
      <c r="WFE612" s="3933"/>
      <c r="WFF612" s="3933"/>
      <c r="WFG612" s="621"/>
      <c r="WFH612" s="3933"/>
      <c r="WFI612" s="3933"/>
      <c r="WFJ612" s="3933"/>
      <c r="WFK612" s="621"/>
      <c r="WFL612" s="3933"/>
      <c r="WFM612" s="3933"/>
      <c r="WFN612" s="3933"/>
      <c r="WFO612" s="621"/>
      <c r="WFP612" s="3933"/>
      <c r="WFQ612" s="3933"/>
      <c r="WFR612" s="3933"/>
      <c r="WFS612" s="621"/>
      <c r="WFT612" s="3933"/>
      <c r="WFU612" s="3933"/>
      <c r="WFV612" s="3933"/>
      <c r="WFW612" s="621"/>
      <c r="WFX612" s="3933"/>
      <c r="WFY612" s="3933"/>
      <c r="WFZ612" s="3933"/>
      <c r="WGA612" s="621"/>
      <c r="WGB612" s="3933"/>
      <c r="WGC612" s="3933"/>
      <c r="WGD612" s="3933"/>
      <c r="WGE612" s="621"/>
      <c r="WGF612" s="3933"/>
      <c r="WGG612" s="3933"/>
      <c r="WGH612" s="3933"/>
      <c r="WGI612" s="621"/>
      <c r="WGJ612" s="3933"/>
      <c r="WGK612" s="3933"/>
      <c r="WGL612" s="3933"/>
      <c r="WGM612" s="621"/>
      <c r="WGN612" s="3933"/>
      <c r="WGO612" s="3933"/>
      <c r="WGP612" s="3933"/>
      <c r="WGQ612" s="621"/>
      <c r="WGR612" s="3933"/>
      <c r="WGS612" s="3933"/>
      <c r="WGT612" s="3933"/>
      <c r="WGU612" s="621"/>
      <c r="WGV612" s="3933"/>
      <c r="WGW612" s="3933"/>
      <c r="WGX612" s="3933"/>
      <c r="WGY612" s="621"/>
      <c r="WGZ612" s="3933"/>
      <c r="WHA612" s="3933"/>
      <c r="WHB612" s="3933"/>
      <c r="WHC612" s="621"/>
      <c r="WHD612" s="3933"/>
      <c r="WHE612" s="3933"/>
      <c r="WHF612" s="3933"/>
      <c r="WHG612" s="621"/>
      <c r="WHH612" s="3933"/>
      <c r="WHI612" s="3933"/>
      <c r="WHJ612" s="3933"/>
      <c r="WHK612" s="621"/>
      <c r="WHL612" s="3933"/>
      <c r="WHM612" s="3933"/>
      <c r="WHN612" s="3933"/>
      <c r="WHO612" s="621"/>
      <c r="WHP612" s="3933"/>
      <c r="WHQ612" s="3933"/>
      <c r="WHR612" s="3933"/>
      <c r="WHS612" s="621"/>
      <c r="WHT612" s="3933"/>
      <c r="WHU612" s="3933"/>
      <c r="WHV612" s="3933"/>
      <c r="WHW612" s="621"/>
      <c r="WHX612" s="3933"/>
      <c r="WHY612" s="3933"/>
      <c r="WHZ612" s="3933"/>
      <c r="WIA612" s="621"/>
      <c r="WIB612" s="3933"/>
      <c r="WIC612" s="3933"/>
      <c r="WID612" s="3933"/>
      <c r="WIE612" s="621"/>
      <c r="WIF612" s="3933"/>
      <c r="WIG612" s="3933"/>
      <c r="WIH612" s="3933"/>
      <c r="WII612" s="621"/>
      <c r="WIJ612" s="3933"/>
      <c r="WIK612" s="3933"/>
      <c r="WIL612" s="3933"/>
      <c r="WIM612" s="621"/>
      <c r="WIN612" s="3933"/>
      <c r="WIO612" s="3933"/>
      <c r="WIP612" s="3933"/>
      <c r="WIQ612" s="621"/>
      <c r="WIR612" s="3933"/>
      <c r="WIS612" s="3933"/>
      <c r="WIT612" s="3933"/>
      <c r="WIU612" s="621"/>
      <c r="WIV612" s="3933"/>
      <c r="WIW612" s="3933"/>
      <c r="WIX612" s="3933"/>
      <c r="WIY612" s="621"/>
      <c r="WIZ612" s="3933"/>
      <c r="WJA612" s="3933"/>
      <c r="WJB612" s="3933"/>
      <c r="WJC612" s="621"/>
      <c r="WJD612" s="3933"/>
      <c r="WJE612" s="3933"/>
      <c r="WJF612" s="3933"/>
      <c r="WJG612" s="621"/>
      <c r="WJH612" s="3933"/>
      <c r="WJI612" s="3933"/>
      <c r="WJJ612" s="3933"/>
      <c r="WJK612" s="621"/>
      <c r="WJL612" s="3933"/>
      <c r="WJM612" s="3933"/>
      <c r="WJN612" s="3933"/>
      <c r="WJO612" s="621"/>
      <c r="WJP612" s="3933"/>
      <c r="WJQ612" s="3933"/>
      <c r="WJR612" s="3933"/>
      <c r="WJS612" s="621"/>
      <c r="WJT612" s="3933"/>
      <c r="WJU612" s="3933"/>
      <c r="WJV612" s="3933"/>
      <c r="WJW612" s="621"/>
      <c r="WJX612" s="3933"/>
      <c r="WJY612" s="3933"/>
      <c r="WJZ612" s="3933"/>
      <c r="WKA612" s="621"/>
      <c r="WKB612" s="3933"/>
      <c r="WKC612" s="3933"/>
      <c r="WKD612" s="3933"/>
      <c r="WKE612" s="621"/>
      <c r="WKF612" s="3933"/>
      <c r="WKG612" s="3933"/>
      <c r="WKH612" s="3933"/>
      <c r="WKI612" s="621"/>
      <c r="WKJ612" s="3933"/>
      <c r="WKK612" s="3933"/>
      <c r="WKL612" s="3933"/>
      <c r="WKM612" s="621"/>
      <c r="WKN612" s="3933"/>
      <c r="WKO612" s="3933"/>
      <c r="WKP612" s="3933"/>
      <c r="WKQ612" s="621"/>
      <c r="WKR612" s="3933"/>
      <c r="WKS612" s="3933"/>
      <c r="WKT612" s="3933"/>
      <c r="WKU612" s="621"/>
      <c r="WKV612" s="3933"/>
      <c r="WKW612" s="3933"/>
      <c r="WKX612" s="3933"/>
      <c r="WKY612" s="621"/>
      <c r="WKZ612" s="3933"/>
      <c r="WLA612" s="3933"/>
      <c r="WLB612" s="3933"/>
      <c r="WLC612" s="621"/>
      <c r="WLD612" s="3933"/>
      <c r="WLE612" s="3933"/>
      <c r="WLF612" s="3933"/>
      <c r="WLG612" s="621"/>
      <c r="WLH612" s="3933"/>
      <c r="WLI612" s="3933"/>
      <c r="WLJ612" s="3933"/>
      <c r="WLK612" s="621"/>
      <c r="WLL612" s="3933"/>
      <c r="WLM612" s="3933"/>
      <c r="WLN612" s="3933"/>
      <c r="WLO612" s="621"/>
      <c r="WLP612" s="3933"/>
      <c r="WLQ612" s="3933"/>
      <c r="WLR612" s="3933"/>
      <c r="WLS612" s="621"/>
      <c r="WLT612" s="3933"/>
      <c r="WLU612" s="3933"/>
      <c r="WLV612" s="3933"/>
      <c r="WLW612" s="621"/>
      <c r="WLX612" s="3933"/>
      <c r="WLY612" s="3933"/>
      <c r="WLZ612" s="3933"/>
      <c r="WMA612" s="621"/>
      <c r="WMB612" s="3933"/>
      <c r="WMC612" s="3933"/>
      <c r="WMD612" s="3933"/>
      <c r="WME612" s="621"/>
      <c r="WMF612" s="3933"/>
      <c r="WMG612" s="3933"/>
      <c r="WMH612" s="3933"/>
      <c r="WMI612" s="621"/>
      <c r="WMJ612" s="3933"/>
      <c r="WMK612" s="3933"/>
      <c r="WML612" s="3933"/>
      <c r="WMM612" s="621"/>
      <c r="WMN612" s="3933"/>
      <c r="WMO612" s="3933"/>
      <c r="WMP612" s="3933"/>
      <c r="WMQ612" s="621"/>
      <c r="WMR612" s="3933"/>
      <c r="WMS612" s="3933"/>
      <c r="WMT612" s="3933"/>
      <c r="WMU612" s="621"/>
      <c r="WMV612" s="3933"/>
      <c r="WMW612" s="3933"/>
      <c r="WMX612" s="3933"/>
      <c r="WMY612" s="621"/>
      <c r="WMZ612" s="3933"/>
      <c r="WNA612" s="3933"/>
      <c r="WNB612" s="3933"/>
      <c r="WNC612" s="621"/>
      <c r="WND612" s="3933"/>
      <c r="WNE612" s="3933"/>
      <c r="WNF612" s="3933"/>
      <c r="WNG612" s="621"/>
      <c r="WNH612" s="3933"/>
      <c r="WNI612" s="3933"/>
      <c r="WNJ612" s="3933"/>
      <c r="WNK612" s="621"/>
      <c r="WNL612" s="3933"/>
      <c r="WNM612" s="3933"/>
      <c r="WNN612" s="3933"/>
      <c r="WNO612" s="621"/>
      <c r="WNP612" s="3933"/>
      <c r="WNQ612" s="3933"/>
      <c r="WNR612" s="3933"/>
      <c r="WNS612" s="621"/>
      <c r="WNT612" s="3933"/>
      <c r="WNU612" s="3933"/>
      <c r="WNV612" s="3933"/>
      <c r="WNW612" s="621"/>
      <c r="WNX612" s="3933"/>
      <c r="WNY612" s="3933"/>
      <c r="WNZ612" s="3933"/>
      <c r="WOA612" s="621"/>
      <c r="WOB612" s="3933"/>
      <c r="WOC612" s="3933"/>
      <c r="WOD612" s="3933"/>
      <c r="WOE612" s="621"/>
      <c r="WOF612" s="3933"/>
      <c r="WOG612" s="3933"/>
      <c r="WOH612" s="3933"/>
      <c r="WOI612" s="621"/>
      <c r="WOJ612" s="3933"/>
      <c r="WOK612" s="3933"/>
      <c r="WOL612" s="3933"/>
      <c r="WOM612" s="621"/>
      <c r="WON612" s="3933"/>
      <c r="WOO612" s="3933"/>
      <c r="WOP612" s="3933"/>
      <c r="WOQ612" s="621"/>
      <c r="WOR612" s="3933"/>
      <c r="WOS612" s="3933"/>
      <c r="WOT612" s="3933"/>
      <c r="WOU612" s="621"/>
      <c r="WOV612" s="3933"/>
      <c r="WOW612" s="3933"/>
      <c r="WOX612" s="3933"/>
      <c r="WOY612" s="621"/>
      <c r="WOZ612" s="3933"/>
      <c r="WPA612" s="3933"/>
      <c r="WPB612" s="3933"/>
      <c r="WPC612" s="621"/>
      <c r="WPD612" s="3933"/>
      <c r="WPE612" s="3933"/>
      <c r="WPF612" s="3933"/>
      <c r="WPG612" s="621"/>
      <c r="WPH612" s="3933"/>
      <c r="WPI612" s="3933"/>
      <c r="WPJ612" s="3933"/>
      <c r="WPK612" s="621"/>
      <c r="WPL612" s="3933"/>
      <c r="WPM612" s="3933"/>
      <c r="WPN612" s="3933"/>
      <c r="WPO612" s="621"/>
      <c r="WPP612" s="3933"/>
      <c r="WPQ612" s="3933"/>
      <c r="WPR612" s="3933"/>
      <c r="WPS612" s="621"/>
      <c r="WPT612" s="3933"/>
      <c r="WPU612" s="3933"/>
      <c r="WPV612" s="3933"/>
      <c r="WPW612" s="621"/>
      <c r="WPX612" s="3933"/>
      <c r="WPY612" s="3933"/>
      <c r="WPZ612" s="3933"/>
      <c r="WQA612" s="621"/>
      <c r="WQB612" s="3933"/>
      <c r="WQC612" s="3933"/>
      <c r="WQD612" s="3933"/>
      <c r="WQE612" s="621"/>
      <c r="WQF612" s="3933"/>
      <c r="WQG612" s="3933"/>
      <c r="WQH612" s="3933"/>
      <c r="WQI612" s="621"/>
      <c r="WQJ612" s="3933"/>
      <c r="WQK612" s="3933"/>
      <c r="WQL612" s="3933"/>
      <c r="WQM612" s="621"/>
      <c r="WQN612" s="3933"/>
      <c r="WQO612" s="3933"/>
      <c r="WQP612" s="3933"/>
      <c r="WQQ612" s="621"/>
      <c r="WQR612" s="3933"/>
      <c r="WQS612" s="3933"/>
      <c r="WQT612" s="3933"/>
      <c r="WQU612" s="621"/>
      <c r="WQV612" s="3933"/>
      <c r="WQW612" s="3933"/>
      <c r="WQX612" s="3933"/>
      <c r="WQY612" s="621"/>
      <c r="WQZ612" s="3933"/>
      <c r="WRA612" s="3933"/>
      <c r="WRB612" s="3933"/>
      <c r="WRC612" s="621"/>
      <c r="WRD612" s="3933"/>
      <c r="WRE612" s="3933"/>
      <c r="WRF612" s="3933"/>
      <c r="WRG612" s="621"/>
      <c r="WRH612" s="3933"/>
      <c r="WRI612" s="3933"/>
      <c r="WRJ612" s="3933"/>
      <c r="WRK612" s="621"/>
      <c r="WRL612" s="3933"/>
      <c r="WRM612" s="3933"/>
      <c r="WRN612" s="3933"/>
      <c r="WRO612" s="621"/>
      <c r="WRP612" s="3933"/>
      <c r="WRQ612" s="3933"/>
      <c r="WRR612" s="3933"/>
      <c r="WRS612" s="621"/>
      <c r="WRT612" s="3933"/>
      <c r="WRU612" s="3933"/>
      <c r="WRV612" s="3933"/>
      <c r="WRW612" s="621"/>
      <c r="WRX612" s="3933"/>
      <c r="WRY612" s="3933"/>
      <c r="WRZ612" s="3933"/>
      <c r="WSA612" s="621"/>
      <c r="WSB612" s="3933"/>
      <c r="WSC612" s="3933"/>
      <c r="WSD612" s="3933"/>
      <c r="WSE612" s="621"/>
      <c r="WSF612" s="3933"/>
      <c r="WSG612" s="3933"/>
      <c r="WSH612" s="3933"/>
      <c r="WSI612" s="621"/>
      <c r="WSJ612" s="3933"/>
      <c r="WSK612" s="3933"/>
      <c r="WSL612" s="3933"/>
      <c r="WSM612" s="621"/>
      <c r="WSN612" s="3933"/>
      <c r="WSO612" s="3933"/>
      <c r="WSP612" s="3933"/>
      <c r="WSQ612" s="621"/>
      <c r="WSR612" s="3933"/>
      <c r="WSS612" s="3933"/>
      <c r="WST612" s="3933"/>
      <c r="WSU612" s="621"/>
      <c r="WSV612" s="3933"/>
      <c r="WSW612" s="3933"/>
      <c r="WSX612" s="3933"/>
      <c r="WSY612" s="621"/>
      <c r="WSZ612" s="3933"/>
      <c r="WTA612" s="3933"/>
      <c r="WTB612" s="3933"/>
      <c r="WTC612" s="621"/>
      <c r="WTD612" s="3933"/>
      <c r="WTE612" s="3933"/>
      <c r="WTF612" s="3933"/>
      <c r="WTG612" s="621"/>
      <c r="WTH612" s="3933"/>
      <c r="WTI612" s="3933"/>
      <c r="WTJ612" s="3933"/>
      <c r="WTK612" s="621"/>
      <c r="WTL612" s="3933"/>
      <c r="WTM612" s="3933"/>
      <c r="WTN612" s="3933"/>
      <c r="WTO612" s="621"/>
      <c r="WTP612" s="3933"/>
      <c r="WTQ612" s="3933"/>
      <c r="WTR612" s="3933"/>
      <c r="WTS612" s="621"/>
      <c r="WTT612" s="3933"/>
      <c r="WTU612" s="3933"/>
      <c r="WTV612" s="3933"/>
      <c r="WTW612" s="621"/>
      <c r="WTX612" s="3933"/>
      <c r="WTY612" s="3933"/>
      <c r="WTZ612" s="3933"/>
      <c r="WUA612" s="621"/>
      <c r="WUB612" s="3933"/>
      <c r="WUC612" s="3933"/>
      <c r="WUD612" s="3933"/>
      <c r="WUE612" s="621"/>
      <c r="WUF612" s="3933"/>
      <c r="WUG612" s="3933"/>
      <c r="WUH612" s="3933"/>
      <c r="WUI612" s="621"/>
      <c r="WUJ612" s="3933"/>
      <c r="WUK612" s="3933"/>
      <c r="WUL612" s="3933"/>
      <c r="WUM612" s="621"/>
      <c r="WUN612" s="3933"/>
      <c r="WUO612" s="3933"/>
      <c r="WUP612" s="3933"/>
      <c r="WUQ612" s="621"/>
      <c r="WUR612" s="3933"/>
      <c r="WUS612" s="3933"/>
      <c r="WUT612" s="3933"/>
      <c r="WUU612" s="621"/>
      <c r="WUV612" s="3933"/>
      <c r="WUW612" s="3933"/>
      <c r="WUX612" s="3933"/>
      <c r="WUY612" s="621"/>
      <c r="WUZ612" s="3933"/>
      <c r="WVA612" s="3933"/>
      <c r="WVB612" s="3933"/>
      <c r="WVC612" s="621"/>
      <c r="WVD612" s="3933"/>
      <c r="WVE612" s="3933"/>
      <c r="WVF612" s="3933"/>
      <c r="WVG612" s="621"/>
      <c r="WVH612" s="3933"/>
      <c r="WVI612" s="3933"/>
      <c r="WVJ612" s="3933"/>
      <c r="WVK612" s="621"/>
      <c r="WVL612" s="3933"/>
      <c r="WVM612" s="3933"/>
      <c r="WVN612" s="3933"/>
      <c r="WVO612" s="621"/>
      <c r="WVP612" s="3933"/>
      <c r="WVQ612" s="3933"/>
      <c r="WVR612" s="3933"/>
      <c r="WVS612" s="621"/>
      <c r="WVT612" s="3933"/>
      <c r="WVU612" s="3933"/>
      <c r="WVV612" s="3933"/>
      <c r="WVW612" s="621"/>
      <c r="WVX612" s="3933"/>
      <c r="WVY612" s="3933"/>
      <c r="WVZ612" s="3933"/>
      <c r="WWA612" s="621"/>
      <c r="WWB612" s="3933"/>
      <c r="WWC612" s="3933"/>
      <c r="WWD612" s="3933"/>
      <c r="WWE612" s="621"/>
      <c r="WWF612" s="3933"/>
      <c r="WWG612" s="3933"/>
      <c r="WWH612" s="3933"/>
      <c r="WWI612" s="621"/>
      <c r="WWJ612" s="3933"/>
      <c r="WWK612" s="3933"/>
      <c r="WWL612" s="3933"/>
      <c r="WWM612" s="621"/>
      <c r="WWN612" s="3933"/>
      <c r="WWO612" s="3933"/>
      <c r="WWP612" s="3933"/>
      <c r="WWQ612" s="621"/>
      <c r="WWR612" s="3933"/>
      <c r="WWS612" s="3933"/>
      <c r="WWT612" s="3933"/>
      <c r="WWU612" s="621"/>
      <c r="WWV612" s="3933"/>
      <c r="WWW612" s="3933"/>
      <c r="WWX612" s="3933"/>
      <c r="WWY612" s="621"/>
      <c r="WWZ612" s="3933"/>
      <c r="WXA612" s="3933"/>
      <c r="WXB612" s="3933"/>
      <c r="WXC612" s="621"/>
      <c r="WXD612" s="3933"/>
      <c r="WXE612" s="3933"/>
      <c r="WXF612" s="3933"/>
      <c r="WXG612" s="621"/>
      <c r="WXH612" s="3933"/>
      <c r="WXI612" s="3933"/>
      <c r="WXJ612" s="3933"/>
      <c r="WXK612" s="621"/>
      <c r="WXL612" s="3933"/>
      <c r="WXM612" s="3933"/>
      <c r="WXN612" s="3933"/>
      <c r="WXO612" s="621"/>
      <c r="WXP612" s="3933"/>
      <c r="WXQ612" s="3933"/>
      <c r="WXR612" s="3933"/>
      <c r="WXS612" s="621"/>
      <c r="WXT612" s="3933"/>
      <c r="WXU612" s="3933"/>
      <c r="WXV612" s="3933"/>
      <c r="WXW612" s="621"/>
      <c r="WXX612" s="3933"/>
      <c r="WXY612" s="3933"/>
      <c r="WXZ612" s="3933"/>
      <c r="WYA612" s="621"/>
      <c r="WYB612" s="3933"/>
      <c r="WYC612" s="3933"/>
      <c r="WYD612" s="3933"/>
      <c r="WYE612" s="621"/>
      <c r="WYF612" s="3933"/>
      <c r="WYG612" s="3933"/>
      <c r="WYH612" s="3933"/>
      <c r="WYI612" s="621"/>
      <c r="WYJ612" s="3933"/>
      <c r="WYK612" s="3933"/>
      <c r="WYL612" s="3933"/>
      <c r="WYM612" s="621"/>
      <c r="WYN612" s="3933"/>
      <c r="WYO612" s="3933"/>
      <c r="WYP612" s="3933"/>
      <c r="WYQ612" s="621"/>
      <c r="WYR612" s="3933"/>
      <c r="WYS612" s="3933"/>
      <c r="WYT612" s="3933"/>
      <c r="WYU612" s="621"/>
      <c r="WYV612" s="3933"/>
      <c r="WYW612" s="3933"/>
      <c r="WYX612" s="3933"/>
      <c r="WYY612" s="621"/>
      <c r="WYZ612" s="3933"/>
      <c r="WZA612" s="3933"/>
      <c r="WZB612" s="3933"/>
      <c r="WZC612" s="621"/>
      <c r="WZD612" s="3933"/>
      <c r="WZE612" s="3933"/>
      <c r="WZF612" s="3933"/>
      <c r="WZG612" s="621"/>
      <c r="WZH612" s="3933"/>
      <c r="WZI612" s="3933"/>
      <c r="WZJ612" s="3933"/>
      <c r="WZK612" s="621"/>
      <c r="WZL612" s="3933"/>
      <c r="WZM612" s="3933"/>
      <c r="WZN612" s="3933"/>
      <c r="WZO612" s="621"/>
      <c r="WZP612" s="3933"/>
      <c r="WZQ612" s="3933"/>
      <c r="WZR612" s="3933"/>
      <c r="WZS612" s="621"/>
      <c r="WZT612" s="3933"/>
      <c r="WZU612" s="3933"/>
      <c r="WZV612" s="3933"/>
      <c r="WZW612" s="621"/>
      <c r="WZX612" s="3933"/>
      <c r="WZY612" s="3933"/>
      <c r="WZZ612" s="3933"/>
      <c r="XAA612" s="621"/>
      <c r="XAB612" s="3933"/>
      <c r="XAC612" s="3933"/>
      <c r="XAD612" s="3933"/>
      <c r="XAE612" s="621"/>
      <c r="XAF612" s="3933"/>
      <c r="XAG612" s="3933"/>
      <c r="XAH612" s="3933"/>
      <c r="XAI612" s="621"/>
      <c r="XAJ612" s="3933"/>
      <c r="XAK612" s="3933"/>
      <c r="XAL612" s="3933"/>
      <c r="XAM612" s="621"/>
      <c r="XAN612" s="3933"/>
      <c r="XAO612" s="3933"/>
      <c r="XAP612" s="3933"/>
      <c r="XAQ612" s="621"/>
      <c r="XAR612" s="3933"/>
      <c r="XAS612" s="3933"/>
      <c r="XAT612" s="3933"/>
      <c r="XAU612" s="621"/>
      <c r="XAV612" s="3933"/>
      <c r="XAW612" s="3933"/>
      <c r="XAX612" s="3933"/>
      <c r="XAY612" s="621"/>
      <c r="XAZ612" s="3933"/>
      <c r="XBA612" s="3933"/>
      <c r="XBB612" s="3933"/>
      <c r="XBC612" s="621"/>
      <c r="XBD612" s="3933"/>
      <c r="XBE612" s="3933"/>
      <c r="XBF612" s="3933"/>
      <c r="XBG612" s="621"/>
      <c r="XBH612" s="3933"/>
      <c r="XBI612" s="3933"/>
      <c r="XBJ612" s="3933"/>
      <c r="XBK612" s="621"/>
      <c r="XBL612" s="3933"/>
      <c r="XBM612" s="3933"/>
      <c r="XBN612" s="3933"/>
      <c r="XBO612" s="621"/>
      <c r="XBP612" s="3933"/>
      <c r="XBQ612" s="3933"/>
      <c r="XBR612" s="3933"/>
      <c r="XBS612" s="621"/>
      <c r="XBT612" s="3933"/>
      <c r="XBU612" s="3933"/>
      <c r="XBV612" s="3933"/>
      <c r="XBW612" s="621"/>
      <c r="XBX612" s="3933"/>
      <c r="XBY612" s="3933"/>
      <c r="XBZ612" s="3933"/>
      <c r="XCA612" s="621"/>
      <c r="XCB612" s="3933"/>
      <c r="XCC612" s="3933"/>
      <c r="XCD612" s="3933"/>
      <c r="XCE612" s="621"/>
      <c r="XCF612" s="3933"/>
      <c r="XCG612" s="3933"/>
      <c r="XCH612" s="3933"/>
      <c r="XCI612" s="621"/>
      <c r="XCJ612" s="3933"/>
      <c r="XCK612" s="3933"/>
      <c r="XCL612" s="3933"/>
      <c r="XCM612" s="621"/>
      <c r="XCN612" s="3933"/>
      <c r="XCO612" s="3933"/>
      <c r="XCP612" s="3933"/>
      <c r="XCQ612" s="621"/>
      <c r="XCR612" s="3933"/>
      <c r="XCS612" s="3933"/>
      <c r="XCT612" s="3933"/>
      <c r="XCU612" s="621"/>
      <c r="XCV612" s="3933"/>
      <c r="XCW612" s="3933"/>
      <c r="XCX612" s="3933"/>
      <c r="XCY612" s="621"/>
      <c r="XCZ612" s="3933"/>
      <c r="XDA612" s="3933"/>
      <c r="XDB612" s="3933"/>
      <c r="XDC612" s="621"/>
      <c r="XDD612" s="3933"/>
      <c r="XDE612" s="3933"/>
      <c r="XDF612" s="3933"/>
      <c r="XDG612" s="621"/>
      <c r="XDH612" s="3933"/>
      <c r="XDI612" s="3933"/>
      <c r="XDJ612" s="3933"/>
      <c r="XDK612" s="621"/>
      <c r="XDL612" s="3933"/>
      <c r="XDM612" s="3933"/>
      <c r="XDN612" s="3933"/>
      <c r="XDO612" s="621"/>
      <c r="XDP612" s="3933"/>
      <c r="XDQ612" s="3933"/>
      <c r="XDR612" s="3933"/>
      <c r="XDS612" s="621"/>
      <c r="XDT612" s="3933"/>
      <c r="XDU612" s="3933"/>
      <c r="XDV612" s="3933"/>
      <c r="XDW612" s="621"/>
      <c r="XDX612" s="3933"/>
      <c r="XDY612" s="3933"/>
      <c r="XDZ612" s="3933"/>
      <c r="XEA612" s="621"/>
      <c r="XEB612" s="3933"/>
      <c r="XEC612" s="3933"/>
      <c r="XED612" s="3933"/>
      <c r="XEE612" s="621"/>
      <c r="XEF612" s="3933"/>
      <c r="XEG612" s="3933"/>
      <c r="XEH612" s="3933"/>
      <c r="XEI612" s="621"/>
      <c r="XEJ612" s="3933"/>
      <c r="XEK612" s="3933"/>
      <c r="XEL612" s="3933"/>
      <c r="XEM612" s="621"/>
      <c r="XEN612" s="3933"/>
      <c r="XEO612" s="3933"/>
      <c r="XEP612" s="3933"/>
      <c r="XEQ612" s="621"/>
      <c r="XER612" s="3933"/>
      <c r="XES612" s="3933"/>
      <c r="XET612" s="3933"/>
      <c r="XEU612" s="621"/>
      <c r="XEV612" s="633"/>
      <c r="XEW612" s="633"/>
      <c r="XEX612" s="633"/>
      <c r="XEY612" s="621"/>
      <c r="XEZ612" s="633"/>
      <c r="XFA612" s="633"/>
      <c r="XFB612" s="633"/>
    </row>
    <row r="613" spans="1:16382" customFormat="1" ht="15" customHeight="1">
      <c r="A613" s="663"/>
      <c r="B613" s="667"/>
      <c r="D613" s="613"/>
      <c r="E613" s="625" t="str">
        <f t="shared" si="32"/>
        <v>Vehículo Eléctrico (Batería)</v>
      </c>
      <c r="F613" s="1053" cm="1">
        <f t="array" ref="F613:M613">INDEX(FACTOR_ACTIVIDAD_CARGA_URBANA_POR_TECNOLOGIA,VEHICULO_ELECTRICO,0)*INDEX(SF_RENDIMIENTO_MODO_CARRETERO_URBANO,VEHICULO_ELECTRICO,0)</f>
        <v>0</v>
      </c>
      <c r="G613" s="1052">
        <v>0</v>
      </c>
      <c r="H613" s="1053">
        <v>0</v>
      </c>
      <c r="I613" s="1053">
        <v>0</v>
      </c>
      <c r="J613" s="1053">
        <v>0</v>
      </c>
      <c r="K613" s="1053">
        <v>0</v>
      </c>
      <c r="L613" s="1053">
        <v>0</v>
      </c>
      <c r="M613" s="1053">
        <v>0</v>
      </c>
      <c r="N613" s="1052" t="s">
        <v>9</v>
      </c>
      <c r="O613" s="620"/>
      <c r="Q613" s="633"/>
      <c r="R613" s="633"/>
      <c r="S613" s="621"/>
      <c r="T613" s="3933"/>
      <c r="U613" s="3933"/>
      <c r="V613" s="3933"/>
      <c r="W613" s="621"/>
      <c r="X613" s="3933"/>
      <c r="Y613" s="3933"/>
      <c r="Z613" s="3933"/>
      <c r="AA613" s="621"/>
      <c r="AB613" s="3933"/>
      <c r="AC613" s="3933"/>
      <c r="AD613" s="3933"/>
      <c r="AE613" s="621"/>
      <c r="AF613" s="3933"/>
      <c r="AG613" s="3933"/>
      <c r="AH613" s="3933"/>
      <c r="AI613" s="621"/>
      <c r="AJ613" s="3933"/>
      <c r="AK613" s="3933"/>
      <c r="AL613" s="3933"/>
      <c r="AM613" s="621"/>
      <c r="AN613" s="3933"/>
      <c r="AO613" s="3933"/>
      <c r="AP613" s="3933"/>
      <c r="AQ613" s="621"/>
      <c r="AR613" s="3933"/>
      <c r="AS613" s="3933"/>
      <c r="AT613" s="3933"/>
      <c r="AU613" s="621"/>
      <c r="AV613" s="3933"/>
      <c r="AW613" s="3933"/>
      <c r="AX613" s="3933"/>
      <c r="AY613" s="621"/>
      <c r="AZ613" s="3933"/>
      <c r="BA613" s="3933"/>
      <c r="BB613" s="3933"/>
      <c r="BC613" s="621"/>
      <c r="BD613" s="3933"/>
      <c r="BE613" s="3933"/>
      <c r="BF613" s="3933"/>
      <c r="BG613" s="621"/>
      <c r="BH613" s="3933"/>
      <c r="BI613" s="3933"/>
      <c r="BJ613" s="3933"/>
      <c r="BK613" s="621"/>
      <c r="BL613" s="3933"/>
      <c r="BM613" s="3933"/>
      <c r="BN613" s="3933"/>
      <c r="BO613" s="621"/>
      <c r="BP613" s="3933"/>
      <c r="BQ613" s="3933"/>
      <c r="BR613" s="3933"/>
      <c r="BS613" s="621"/>
      <c r="BT613" s="3933"/>
      <c r="BU613" s="3933"/>
      <c r="BV613" s="3933"/>
      <c r="BW613" s="621"/>
      <c r="BX613" s="3933"/>
      <c r="BY613" s="3933"/>
      <c r="BZ613" s="3933"/>
      <c r="CA613" s="621"/>
      <c r="CB613" s="3933"/>
      <c r="CC613" s="3933"/>
      <c r="CD613" s="3933"/>
      <c r="CE613" s="621"/>
      <c r="CF613" s="3933"/>
      <c r="CG613" s="3933"/>
      <c r="CH613" s="3933"/>
      <c r="CI613" s="621"/>
      <c r="CJ613" s="3933"/>
      <c r="CK613" s="3933"/>
      <c r="CL613" s="3933"/>
      <c r="CM613" s="621"/>
      <c r="CN613" s="3933"/>
      <c r="CO613" s="3933"/>
      <c r="CP613" s="3933"/>
      <c r="CQ613" s="621"/>
      <c r="CR613" s="3933"/>
      <c r="CS613" s="3933"/>
      <c r="CT613" s="3933"/>
      <c r="CU613" s="621"/>
      <c r="CV613" s="3933"/>
      <c r="CW613" s="3933"/>
      <c r="CX613" s="3933"/>
      <c r="CY613" s="621"/>
      <c r="CZ613" s="3933"/>
      <c r="DA613" s="3933"/>
      <c r="DB613" s="3933"/>
      <c r="DC613" s="621"/>
      <c r="DD613" s="3933"/>
      <c r="DE613" s="3933"/>
      <c r="DF613" s="3933"/>
      <c r="DG613" s="621"/>
      <c r="DH613" s="3933"/>
      <c r="DI613" s="3933"/>
      <c r="DJ613" s="3933"/>
      <c r="DK613" s="621"/>
      <c r="DL613" s="3933"/>
      <c r="DM613" s="3933"/>
      <c r="DN613" s="3933"/>
      <c r="DO613" s="621"/>
      <c r="DP613" s="3933"/>
      <c r="DQ613" s="3933"/>
      <c r="DR613" s="3933"/>
      <c r="DS613" s="621"/>
      <c r="DT613" s="3933"/>
      <c r="DU613" s="3933"/>
      <c r="DV613" s="3933"/>
      <c r="DW613" s="621"/>
      <c r="DX613" s="3933"/>
      <c r="DY613" s="3933"/>
      <c r="DZ613" s="3933"/>
      <c r="EA613" s="621"/>
      <c r="EB613" s="3933"/>
      <c r="EC613" s="3933"/>
      <c r="ED613" s="3933"/>
      <c r="EE613" s="621"/>
      <c r="EF613" s="3933"/>
      <c r="EG613" s="3933"/>
      <c r="EH613" s="3933"/>
      <c r="EI613" s="621"/>
      <c r="EJ613" s="3933"/>
      <c r="EK613" s="3933"/>
      <c r="EL613" s="3933"/>
      <c r="EM613" s="621"/>
      <c r="EN613" s="3933"/>
      <c r="EO613" s="3933"/>
      <c r="EP613" s="3933"/>
      <c r="EQ613" s="621"/>
      <c r="ER613" s="3933"/>
      <c r="ES613" s="3933"/>
      <c r="ET613" s="3933"/>
      <c r="EU613" s="621"/>
      <c r="EV613" s="3933"/>
      <c r="EW613" s="3933"/>
      <c r="EX613" s="3933"/>
      <c r="EY613" s="621"/>
      <c r="EZ613" s="3933"/>
      <c r="FA613" s="3933"/>
      <c r="FB613" s="3933"/>
      <c r="FC613" s="621"/>
      <c r="FD613" s="3933"/>
      <c r="FE613" s="3933"/>
      <c r="FF613" s="3933"/>
      <c r="FG613" s="621"/>
      <c r="FH613" s="3933"/>
      <c r="FI613" s="3933"/>
      <c r="FJ613" s="3933"/>
      <c r="FK613" s="621"/>
      <c r="FL613" s="3933"/>
      <c r="FM613" s="3933"/>
      <c r="FN613" s="3933"/>
      <c r="FO613" s="621"/>
      <c r="FP613" s="3933"/>
      <c r="FQ613" s="3933"/>
      <c r="FR613" s="3933"/>
      <c r="FS613" s="621"/>
      <c r="FT613" s="3933"/>
      <c r="FU613" s="3933"/>
      <c r="FV613" s="3933"/>
      <c r="FW613" s="621"/>
      <c r="FX613" s="3933"/>
      <c r="FY613" s="3933"/>
      <c r="FZ613" s="3933"/>
      <c r="GA613" s="621"/>
      <c r="GB613" s="3933"/>
      <c r="GC613" s="3933"/>
      <c r="GD613" s="3933"/>
      <c r="GE613" s="621"/>
      <c r="GF613" s="3933"/>
      <c r="GG613" s="3933"/>
      <c r="GH613" s="3933"/>
      <c r="GI613" s="621"/>
      <c r="GJ613" s="3933"/>
      <c r="GK613" s="3933"/>
      <c r="GL613" s="3933"/>
      <c r="GM613" s="621"/>
      <c r="GN613" s="3933"/>
      <c r="GO613" s="3933"/>
      <c r="GP613" s="3933"/>
      <c r="GQ613" s="621"/>
      <c r="GR613" s="3933"/>
      <c r="GS613" s="3933"/>
      <c r="GT613" s="3933"/>
      <c r="GU613" s="621"/>
      <c r="GV613" s="3933"/>
      <c r="GW613" s="3933"/>
      <c r="GX613" s="3933"/>
      <c r="GY613" s="621"/>
      <c r="GZ613" s="3933"/>
      <c r="HA613" s="3933"/>
      <c r="HB613" s="3933"/>
      <c r="HC613" s="621"/>
      <c r="HD613" s="3933"/>
      <c r="HE613" s="3933"/>
      <c r="HF613" s="3933"/>
      <c r="HG613" s="621"/>
      <c r="HH613" s="3933"/>
      <c r="HI613" s="3933"/>
      <c r="HJ613" s="3933"/>
      <c r="HK613" s="621"/>
      <c r="HL613" s="3933"/>
      <c r="HM613" s="3933"/>
      <c r="HN613" s="3933"/>
      <c r="HO613" s="621"/>
      <c r="HP613" s="3933"/>
      <c r="HQ613" s="3933"/>
      <c r="HR613" s="3933"/>
      <c r="HS613" s="621"/>
      <c r="HT613" s="3933"/>
      <c r="HU613" s="3933"/>
      <c r="HV613" s="3933"/>
      <c r="HW613" s="621"/>
      <c r="HX613" s="3933"/>
      <c r="HY613" s="3933"/>
      <c r="HZ613" s="3933"/>
      <c r="IA613" s="621"/>
      <c r="IB613" s="3933"/>
      <c r="IC613" s="3933"/>
      <c r="ID613" s="3933"/>
      <c r="IE613" s="621"/>
      <c r="IF613" s="3933"/>
      <c r="IG613" s="3933"/>
      <c r="IH613" s="3933"/>
      <c r="II613" s="621"/>
      <c r="IJ613" s="3933"/>
      <c r="IK613" s="3933"/>
      <c r="IL613" s="3933"/>
      <c r="IM613" s="621"/>
      <c r="IN613" s="3933"/>
      <c r="IO613" s="3933"/>
      <c r="IP613" s="3933"/>
      <c r="IQ613" s="621"/>
      <c r="IR613" s="3933"/>
      <c r="IS613" s="3933"/>
      <c r="IT613" s="3933"/>
      <c r="IU613" s="621"/>
      <c r="IV613" s="3933"/>
      <c r="IW613" s="3933"/>
      <c r="IX613" s="3933"/>
      <c r="IY613" s="621"/>
      <c r="IZ613" s="3933"/>
      <c r="JA613" s="3933"/>
      <c r="JB613" s="3933"/>
      <c r="JC613" s="621"/>
      <c r="JD613" s="3933"/>
      <c r="JE613" s="3933"/>
      <c r="JF613" s="3933"/>
      <c r="JG613" s="621"/>
      <c r="JH613" s="3933"/>
      <c r="JI613" s="3933"/>
      <c r="JJ613" s="3933"/>
      <c r="JK613" s="621"/>
      <c r="JL613" s="3933"/>
      <c r="JM613" s="3933"/>
      <c r="JN613" s="3933"/>
      <c r="JO613" s="621"/>
      <c r="JP613" s="3933"/>
      <c r="JQ613" s="3933"/>
      <c r="JR613" s="3933"/>
      <c r="JS613" s="621"/>
      <c r="JT613" s="3933"/>
      <c r="JU613" s="3933"/>
      <c r="JV613" s="3933"/>
      <c r="JW613" s="621"/>
      <c r="JX613" s="3933"/>
      <c r="JY613" s="3933"/>
      <c r="JZ613" s="3933"/>
      <c r="KA613" s="621"/>
      <c r="KB613" s="3933"/>
      <c r="KC613" s="3933"/>
      <c r="KD613" s="3933"/>
      <c r="KE613" s="621"/>
      <c r="KF613" s="3933"/>
      <c r="KG613" s="3933"/>
      <c r="KH613" s="3933"/>
      <c r="KI613" s="621"/>
      <c r="KJ613" s="3933"/>
      <c r="KK613" s="3933"/>
      <c r="KL613" s="3933"/>
      <c r="KM613" s="621"/>
      <c r="KN613" s="3933"/>
      <c r="KO613" s="3933"/>
      <c r="KP613" s="3933"/>
      <c r="KQ613" s="621"/>
      <c r="KR613" s="3933"/>
      <c r="KS613" s="3933"/>
      <c r="KT613" s="3933"/>
      <c r="KU613" s="621"/>
      <c r="KV613" s="3933"/>
      <c r="KW613" s="3933"/>
      <c r="KX613" s="3933"/>
      <c r="KY613" s="621"/>
      <c r="KZ613" s="3933"/>
      <c r="LA613" s="3933"/>
      <c r="LB613" s="3933"/>
      <c r="LC613" s="621"/>
      <c r="LD613" s="3933"/>
      <c r="LE613" s="3933"/>
      <c r="LF613" s="3933"/>
      <c r="LG613" s="621"/>
      <c r="LH613" s="3933"/>
      <c r="LI613" s="3933"/>
      <c r="LJ613" s="3933"/>
      <c r="LK613" s="621"/>
      <c r="LL613" s="3933"/>
      <c r="LM613" s="3933"/>
      <c r="LN613" s="3933"/>
      <c r="LO613" s="621"/>
      <c r="LP613" s="3933"/>
      <c r="LQ613" s="3933"/>
      <c r="LR613" s="3933"/>
      <c r="LS613" s="621"/>
      <c r="LT613" s="3933"/>
      <c r="LU613" s="3933"/>
      <c r="LV613" s="3933"/>
      <c r="LW613" s="621"/>
      <c r="LX613" s="3933"/>
      <c r="LY613" s="3933"/>
      <c r="LZ613" s="3933"/>
      <c r="MA613" s="621"/>
      <c r="MB613" s="3933"/>
      <c r="MC613" s="3933"/>
      <c r="MD613" s="3933"/>
      <c r="ME613" s="621"/>
      <c r="MF613" s="3933"/>
      <c r="MG613" s="3933"/>
      <c r="MH613" s="3933"/>
      <c r="MI613" s="621"/>
      <c r="MJ613" s="3933"/>
      <c r="MK613" s="3933"/>
      <c r="ML613" s="3933"/>
      <c r="MM613" s="621"/>
      <c r="MN613" s="3933"/>
      <c r="MO613" s="3933"/>
      <c r="MP613" s="3933"/>
      <c r="MQ613" s="621"/>
      <c r="MR613" s="3933"/>
      <c r="MS613" s="3933"/>
      <c r="MT613" s="3933"/>
      <c r="MU613" s="621"/>
      <c r="MV613" s="3933"/>
      <c r="MW613" s="3933"/>
      <c r="MX613" s="3933"/>
      <c r="MY613" s="621"/>
      <c r="MZ613" s="3933"/>
      <c r="NA613" s="3933"/>
      <c r="NB613" s="3933"/>
      <c r="NC613" s="621"/>
      <c r="ND613" s="3933"/>
      <c r="NE613" s="3933"/>
      <c r="NF613" s="3933"/>
      <c r="NG613" s="621"/>
      <c r="NH613" s="3933"/>
      <c r="NI613" s="3933"/>
      <c r="NJ613" s="3933"/>
      <c r="NK613" s="621"/>
      <c r="NL613" s="3933"/>
      <c r="NM613" s="3933"/>
      <c r="NN613" s="3933"/>
      <c r="NO613" s="621"/>
      <c r="NP613" s="3933"/>
      <c r="NQ613" s="3933"/>
      <c r="NR613" s="3933"/>
      <c r="NS613" s="621"/>
      <c r="NT613" s="3933"/>
      <c r="NU613" s="3933"/>
      <c r="NV613" s="3933"/>
      <c r="NW613" s="621"/>
      <c r="NX613" s="3933"/>
      <c r="NY613" s="3933"/>
      <c r="NZ613" s="3933"/>
      <c r="OA613" s="621"/>
      <c r="OB613" s="3933"/>
      <c r="OC613" s="3933"/>
      <c r="OD613" s="3933"/>
      <c r="OE613" s="621"/>
      <c r="OF613" s="3933"/>
      <c r="OG613" s="3933"/>
      <c r="OH613" s="3933"/>
      <c r="OI613" s="621"/>
      <c r="OJ613" s="3933"/>
      <c r="OK613" s="3933"/>
      <c r="OL613" s="3933"/>
      <c r="OM613" s="621"/>
      <c r="ON613" s="3933"/>
      <c r="OO613" s="3933"/>
      <c r="OP613" s="3933"/>
      <c r="OQ613" s="621"/>
      <c r="OR613" s="3933"/>
      <c r="OS613" s="3933"/>
      <c r="OT613" s="3933"/>
      <c r="OU613" s="621"/>
      <c r="OV613" s="3933"/>
      <c r="OW613" s="3933"/>
      <c r="OX613" s="3933"/>
      <c r="OY613" s="621"/>
      <c r="OZ613" s="3933"/>
      <c r="PA613" s="3933"/>
      <c r="PB613" s="3933"/>
      <c r="PC613" s="621"/>
      <c r="PD613" s="3933"/>
      <c r="PE613" s="3933"/>
      <c r="PF613" s="3933"/>
      <c r="PG613" s="621"/>
      <c r="PH613" s="3933"/>
      <c r="PI613" s="3933"/>
      <c r="PJ613" s="3933"/>
      <c r="PK613" s="621"/>
      <c r="PL613" s="3933"/>
      <c r="PM613" s="3933"/>
      <c r="PN613" s="3933"/>
      <c r="PO613" s="621"/>
      <c r="PP613" s="3933"/>
      <c r="PQ613" s="3933"/>
      <c r="PR613" s="3933"/>
      <c r="PS613" s="621"/>
      <c r="PT613" s="3933"/>
      <c r="PU613" s="3933"/>
      <c r="PV613" s="3933"/>
      <c r="PW613" s="621"/>
      <c r="PX613" s="3933"/>
      <c r="PY613" s="3933"/>
      <c r="PZ613" s="3933"/>
      <c r="QA613" s="621"/>
      <c r="QB613" s="3933"/>
      <c r="QC613" s="3933"/>
      <c r="QD613" s="3933"/>
      <c r="QE613" s="621"/>
      <c r="QF613" s="3933"/>
      <c r="QG613" s="3933"/>
      <c r="QH613" s="3933"/>
      <c r="QI613" s="621"/>
      <c r="QJ613" s="3933"/>
      <c r="QK613" s="3933"/>
      <c r="QL613" s="3933"/>
      <c r="QM613" s="621"/>
      <c r="QN613" s="3933"/>
      <c r="QO613" s="3933"/>
      <c r="QP613" s="3933"/>
      <c r="QQ613" s="621"/>
      <c r="QR613" s="3933"/>
      <c r="QS613" s="3933"/>
      <c r="QT613" s="3933"/>
      <c r="QU613" s="621"/>
      <c r="QV613" s="3933"/>
      <c r="QW613" s="3933"/>
      <c r="QX613" s="3933"/>
      <c r="QY613" s="621"/>
      <c r="QZ613" s="3933"/>
      <c r="RA613" s="3933"/>
      <c r="RB613" s="3933"/>
      <c r="RC613" s="621"/>
      <c r="RD613" s="3933"/>
      <c r="RE613" s="3933"/>
      <c r="RF613" s="3933"/>
      <c r="RG613" s="621"/>
      <c r="RH613" s="3933"/>
      <c r="RI613" s="3933"/>
      <c r="RJ613" s="3933"/>
      <c r="RK613" s="621"/>
      <c r="RL613" s="3933"/>
      <c r="RM613" s="3933"/>
      <c r="RN613" s="3933"/>
      <c r="RO613" s="621"/>
      <c r="RP613" s="3933"/>
      <c r="RQ613" s="3933"/>
      <c r="RR613" s="3933"/>
      <c r="RS613" s="621"/>
      <c r="RT613" s="3933"/>
      <c r="RU613" s="3933"/>
      <c r="RV613" s="3933"/>
      <c r="RW613" s="621"/>
      <c r="RX613" s="3933"/>
      <c r="RY613" s="3933"/>
      <c r="RZ613" s="3933"/>
      <c r="SA613" s="621"/>
      <c r="SB613" s="3933"/>
      <c r="SC613" s="3933"/>
      <c r="SD613" s="3933"/>
      <c r="SE613" s="621"/>
      <c r="SF613" s="3933"/>
      <c r="SG613" s="3933"/>
      <c r="SH613" s="3933"/>
      <c r="SI613" s="621"/>
      <c r="SJ613" s="3933"/>
      <c r="SK613" s="3933"/>
      <c r="SL613" s="3933"/>
      <c r="SM613" s="621"/>
      <c r="SN613" s="3933"/>
      <c r="SO613" s="3933"/>
      <c r="SP613" s="3933"/>
      <c r="SQ613" s="621"/>
      <c r="SR613" s="3933"/>
      <c r="SS613" s="3933"/>
      <c r="ST613" s="3933"/>
      <c r="SU613" s="621"/>
      <c r="SV613" s="3933"/>
      <c r="SW613" s="3933"/>
      <c r="SX613" s="3933"/>
      <c r="SY613" s="621"/>
      <c r="SZ613" s="3933"/>
      <c r="TA613" s="3933"/>
      <c r="TB613" s="3933"/>
      <c r="TC613" s="621"/>
      <c r="TD613" s="3933"/>
      <c r="TE613" s="3933"/>
      <c r="TF613" s="3933"/>
      <c r="TG613" s="621"/>
      <c r="TH613" s="3933"/>
      <c r="TI613" s="3933"/>
      <c r="TJ613" s="3933"/>
      <c r="TK613" s="621"/>
      <c r="TL613" s="3933"/>
      <c r="TM613" s="3933"/>
      <c r="TN613" s="3933"/>
      <c r="TO613" s="621"/>
      <c r="TP613" s="3933"/>
      <c r="TQ613" s="3933"/>
      <c r="TR613" s="3933"/>
      <c r="TS613" s="621"/>
      <c r="TT613" s="3933"/>
      <c r="TU613" s="3933"/>
      <c r="TV613" s="3933"/>
      <c r="TW613" s="621"/>
      <c r="TX613" s="3933"/>
      <c r="TY613" s="3933"/>
      <c r="TZ613" s="3933"/>
      <c r="UA613" s="621"/>
      <c r="UB613" s="3933"/>
      <c r="UC613" s="3933"/>
      <c r="UD613" s="3933"/>
      <c r="UE613" s="621"/>
      <c r="UF613" s="3933"/>
      <c r="UG613" s="3933"/>
      <c r="UH613" s="3933"/>
      <c r="UI613" s="621"/>
      <c r="UJ613" s="3933"/>
      <c r="UK613" s="3933"/>
      <c r="UL613" s="3933"/>
      <c r="UM613" s="621"/>
      <c r="UN613" s="3933"/>
      <c r="UO613" s="3933"/>
      <c r="UP613" s="3933"/>
      <c r="UQ613" s="621"/>
      <c r="UR613" s="3933"/>
      <c r="US613" s="3933"/>
      <c r="UT613" s="3933"/>
      <c r="UU613" s="621"/>
      <c r="UV613" s="3933"/>
      <c r="UW613" s="3933"/>
      <c r="UX613" s="3933"/>
      <c r="UY613" s="621"/>
      <c r="UZ613" s="3933"/>
      <c r="VA613" s="3933"/>
      <c r="VB613" s="3933"/>
      <c r="VC613" s="621"/>
      <c r="VD613" s="3933"/>
      <c r="VE613" s="3933"/>
      <c r="VF613" s="3933"/>
      <c r="VG613" s="621"/>
      <c r="VH613" s="3933"/>
      <c r="VI613" s="3933"/>
      <c r="VJ613" s="3933"/>
      <c r="VK613" s="621"/>
      <c r="VL613" s="3933"/>
      <c r="VM613" s="3933"/>
      <c r="VN613" s="3933"/>
      <c r="VO613" s="621"/>
      <c r="VP613" s="3933"/>
      <c r="VQ613" s="3933"/>
      <c r="VR613" s="3933"/>
      <c r="VS613" s="621"/>
      <c r="VT613" s="3933"/>
      <c r="VU613" s="3933"/>
      <c r="VV613" s="3933"/>
      <c r="VW613" s="621"/>
      <c r="VX613" s="3933"/>
      <c r="VY613" s="3933"/>
      <c r="VZ613" s="3933"/>
      <c r="WA613" s="621"/>
      <c r="WB613" s="3933"/>
      <c r="WC613" s="3933"/>
      <c r="WD613" s="3933"/>
      <c r="WE613" s="621"/>
      <c r="WF613" s="3933"/>
      <c r="WG613" s="3933"/>
      <c r="WH613" s="3933"/>
      <c r="WI613" s="621"/>
      <c r="WJ613" s="3933"/>
      <c r="WK613" s="3933"/>
      <c r="WL613" s="3933"/>
      <c r="WM613" s="621"/>
      <c r="WN613" s="3933"/>
      <c r="WO613" s="3933"/>
      <c r="WP613" s="3933"/>
      <c r="WQ613" s="621"/>
      <c r="WR613" s="3933"/>
      <c r="WS613" s="3933"/>
      <c r="WT613" s="3933"/>
      <c r="WU613" s="621"/>
      <c r="WV613" s="3933"/>
      <c r="WW613" s="3933"/>
      <c r="WX613" s="3933"/>
      <c r="WY613" s="621"/>
      <c r="WZ613" s="3933"/>
      <c r="XA613" s="3933"/>
      <c r="XB613" s="3933"/>
      <c r="XC613" s="621"/>
      <c r="XD613" s="3933"/>
      <c r="XE613" s="3933"/>
      <c r="XF613" s="3933"/>
      <c r="XG613" s="621"/>
      <c r="XH613" s="3933"/>
      <c r="XI613" s="3933"/>
      <c r="XJ613" s="3933"/>
      <c r="XK613" s="621"/>
      <c r="XL613" s="3933"/>
      <c r="XM613" s="3933"/>
      <c r="XN613" s="3933"/>
      <c r="XO613" s="621"/>
      <c r="XP613" s="3933"/>
      <c r="XQ613" s="3933"/>
      <c r="XR613" s="3933"/>
      <c r="XS613" s="621"/>
      <c r="XT613" s="3933"/>
      <c r="XU613" s="3933"/>
      <c r="XV613" s="3933"/>
      <c r="XW613" s="621"/>
      <c r="XX613" s="3933"/>
      <c r="XY613" s="3933"/>
      <c r="XZ613" s="3933"/>
      <c r="YA613" s="621"/>
      <c r="YB613" s="3933"/>
      <c r="YC613" s="3933"/>
      <c r="YD613" s="3933"/>
      <c r="YE613" s="621"/>
      <c r="YF613" s="3933"/>
      <c r="YG613" s="3933"/>
      <c r="YH613" s="3933"/>
      <c r="YI613" s="621"/>
      <c r="YJ613" s="3933"/>
      <c r="YK613" s="3933"/>
      <c r="YL613" s="3933"/>
      <c r="YM613" s="621"/>
      <c r="YN613" s="3933"/>
      <c r="YO613" s="3933"/>
      <c r="YP613" s="3933"/>
      <c r="YQ613" s="621"/>
      <c r="YR613" s="3933"/>
      <c r="YS613" s="3933"/>
      <c r="YT613" s="3933"/>
      <c r="YU613" s="621"/>
      <c r="YV613" s="3933"/>
      <c r="YW613" s="3933"/>
      <c r="YX613" s="3933"/>
      <c r="YY613" s="621"/>
      <c r="YZ613" s="3933"/>
      <c r="ZA613" s="3933"/>
      <c r="ZB613" s="3933"/>
      <c r="ZC613" s="621"/>
      <c r="ZD613" s="3933"/>
      <c r="ZE613" s="3933"/>
      <c r="ZF613" s="3933"/>
      <c r="ZG613" s="621"/>
      <c r="ZH613" s="3933"/>
      <c r="ZI613" s="3933"/>
      <c r="ZJ613" s="3933"/>
      <c r="ZK613" s="621"/>
      <c r="ZL613" s="3933"/>
      <c r="ZM613" s="3933"/>
      <c r="ZN613" s="3933"/>
      <c r="ZO613" s="621"/>
      <c r="ZP613" s="3933"/>
      <c r="ZQ613" s="3933"/>
      <c r="ZR613" s="3933"/>
      <c r="ZS613" s="621"/>
      <c r="ZT613" s="3933"/>
      <c r="ZU613" s="3933"/>
      <c r="ZV613" s="3933"/>
      <c r="ZW613" s="621"/>
      <c r="ZX613" s="3933"/>
      <c r="ZY613" s="3933"/>
      <c r="ZZ613" s="3933"/>
      <c r="AAA613" s="621"/>
      <c r="AAB613" s="3933"/>
      <c r="AAC613" s="3933"/>
      <c r="AAD613" s="3933"/>
      <c r="AAE613" s="621"/>
      <c r="AAF613" s="3933"/>
      <c r="AAG613" s="3933"/>
      <c r="AAH613" s="3933"/>
      <c r="AAI613" s="621"/>
      <c r="AAJ613" s="3933"/>
      <c r="AAK613" s="3933"/>
      <c r="AAL613" s="3933"/>
      <c r="AAM613" s="621"/>
      <c r="AAN613" s="3933"/>
      <c r="AAO613" s="3933"/>
      <c r="AAP613" s="3933"/>
      <c r="AAQ613" s="621"/>
      <c r="AAR613" s="3933"/>
      <c r="AAS613" s="3933"/>
      <c r="AAT613" s="3933"/>
      <c r="AAU613" s="621"/>
      <c r="AAV613" s="3933"/>
      <c r="AAW613" s="3933"/>
      <c r="AAX613" s="3933"/>
      <c r="AAY613" s="621"/>
      <c r="AAZ613" s="3933"/>
      <c r="ABA613" s="3933"/>
      <c r="ABB613" s="3933"/>
      <c r="ABC613" s="621"/>
      <c r="ABD613" s="3933"/>
      <c r="ABE613" s="3933"/>
      <c r="ABF613" s="3933"/>
      <c r="ABG613" s="621"/>
      <c r="ABH613" s="3933"/>
      <c r="ABI613" s="3933"/>
      <c r="ABJ613" s="3933"/>
      <c r="ABK613" s="621"/>
      <c r="ABL613" s="3933"/>
      <c r="ABM613" s="3933"/>
      <c r="ABN613" s="3933"/>
      <c r="ABO613" s="621"/>
      <c r="ABP613" s="3933"/>
      <c r="ABQ613" s="3933"/>
      <c r="ABR613" s="3933"/>
      <c r="ABS613" s="621"/>
      <c r="ABT613" s="3933"/>
      <c r="ABU613" s="3933"/>
      <c r="ABV613" s="3933"/>
      <c r="ABW613" s="621"/>
      <c r="ABX613" s="3933"/>
      <c r="ABY613" s="3933"/>
      <c r="ABZ613" s="3933"/>
      <c r="ACA613" s="621"/>
      <c r="ACB613" s="3933"/>
      <c r="ACC613" s="3933"/>
      <c r="ACD613" s="3933"/>
      <c r="ACE613" s="621"/>
      <c r="ACF613" s="3933"/>
      <c r="ACG613" s="3933"/>
      <c r="ACH613" s="3933"/>
      <c r="ACI613" s="621"/>
      <c r="ACJ613" s="3933"/>
      <c r="ACK613" s="3933"/>
      <c r="ACL613" s="3933"/>
      <c r="ACM613" s="621"/>
      <c r="ACN613" s="3933"/>
      <c r="ACO613" s="3933"/>
      <c r="ACP613" s="3933"/>
      <c r="ACQ613" s="621"/>
      <c r="ACR613" s="3933"/>
      <c r="ACS613" s="3933"/>
      <c r="ACT613" s="3933"/>
      <c r="ACU613" s="621"/>
      <c r="ACV613" s="3933"/>
      <c r="ACW613" s="3933"/>
      <c r="ACX613" s="3933"/>
      <c r="ACY613" s="621"/>
      <c r="ACZ613" s="3933"/>
      <c r="ADA613" s="3933"/>
      <c r="ADB613" s="3933"/>
      <c r="ADC613" s="621"/>
      <c r="ADD613" s="3933"/>
      <c r="ADE613" s="3933"/>
      <c r="ADF613" s="3933"/>
      <c r="ADG613" s="621"/>
      <c r="ADH613" s="3933"/>
      <c r="ADI613" s="3933"/>
      <c r="ADJ613" s="3933"/>
      <c r="ADK613" s="621"/>
      <c r="ADL613" s="3933"/>
      <c r="ADM613" s="3933"/>
      <c r="ADN613" s="3933"/>
      <c r="ADO613" s="621"/>
      <c r="ADP613" s="3933"/>
      <c r="ADQ613" s="3933"/>
      <c r="ADR613" s="3933"/>
      <c r="ADS613" s="621"/>
      <c r="ADT613" s="3933"/>
      <c r="ADU613" s="3933"/>
      <c r="ADV613" s="3933"/>
      <c r="ADW613" s="621"/>
      <c r="ADX613" s="3933"/>
      <c r="ADY613" s="3933"/>
      <c r="ADZ613" s="3933"/>
      <c r="AEA613" s="621"/>
      <c r="AEB613" s="3933"/>
      <c r="AEC613" s="3933"/>
      <c r="AED613" s="3933"/>
      <c r="AEE613" s="621"/>
      <c r="AEF613" s="3933"/>
      <c r="AEG613" s="3933"/>
      <c r="AEH613" s="3933"/>
      <c r="AEI613" s="621"/>
      <c r="AEJ613" s="3933"/>
      <c r="AEK613" s="3933"/>
      <c r="AEL613" s="3933"/>
      <c r="AEM613" s="621"/>
      <c r="AEN613" s="3933"/>
      <c r="AEO613" s="3933"/>
      <c r="AEP613" s="3933"/>
      <c r="AEQ613" s="621"/>
      <c r="AER613" s="3933"/>
      <c r="AES613" s="3933"/>
      <c r="AET613" s="3933"/>
      <c r="AEU613" s="621"/>
      <c r="AEV613" s="3933"/>
      <c r="AEW613" s="3933"/>
      <c r="AEX613" s="3933"/>
      <c r="AEY613" s="621"/>
      <c r="AEZ613" s="3933"/>
      <c r="AFA613" s="3933"/>
      <c r="AFB613" s="3933"/>
      <c r="AFC613" s="621"/>
      <c r="AFD613" s="3933"/>
      <c r="AFE613" s="3933"/>
      <c r="AFF613" s="3933"/>
      <c r="AFG613" s="621"/>
      <c r="AFH613" s="3933"/>
      <c r="AFI613" s="3933"/>
      <c r="AFJ613" s="3933"/>
      <c r="AFK613" s="621"/>
      <c r="AFL613" s="3933"/>
      <c r="AFM613" s="3933"/>
      <c r="AFN613" s="3933"/>
      <c r="AFO613" s="621"/>
      <c r="AFP613" s="3933"/>
      <c r="AFQ613" s="3933"/>
      <c r="AFR613" s="3933"/>
      <c r="AFS613" s="621"/>
      <c r="AFT613" s="3933"/>
      <c r="AFU613" s="3933"/>
      <c r="AFV613" s="3933"/>
      <c r="AFW613" s="621"/>
      <c r="AFX613" s="3933"/>
      <c r="AFY613" s="3933"/>
      <c r="AFZ613" s="3933"/>
      <c r="AGA613" s="621"/>
      <c r="AGB613" s="3933"/>
      <c r="AGC613" s="3933"/>
      <c r="AGD613" s="3933"/>
      <c r="AGE613" s="621"/>
      <c r="AGF613" s="3933"/>
      <c r="AGG613" s="3933"/>
      <c r="AGH613" s="3933"/>
      <c r="AGI613" s="621"/>
      <c r="AGJ613" s="3933"/>
      <c r="AGK613" s="3933"/>
      <c r="AGL613" s="3933"/>
      <c r="AGM613" s="621"/>
      <c r="AGN613" s="3933"/>
      <c r="AGO613" s="3933"/>
      <c r="AGP613" s="3933"/>
      <c r="AGQ613" s="621"/>
      <c r="AGR613" s="3933"/>
      <c r="AGS613" s="3933"/>
      <c r="AGT613" s="3933"/>
      <c r="AGU613" s="621"/>
      <c r="AGV613" s="3933"/>
      <c r="AGW613" s="3933"/>
      <c r="AGX613" s="3933"/>
      <c r="AGY613" s="621"/>
      <c r="AGZ613" s="3933"/>
      <c r="AHA613" s="3933"/>
      <c r="AHB613" s="3933"/>
      <c r="AHC613" s="621"/>
      <c r="AHD613" s="3933"/>
      <c r="AHE613" s="3933"/>
      <c r="AHF613" s="3933"/>
      <c r="AHG613" s="621"/>
      <c r="AHH613" s="3933"/>
      <c r="AHI613" s="3933"/>
      <c r="AHJ613" s="3933"/>
      <c r="AHK613" s="621"/>
      <c r="AHL613" s="3933"/>
      <c r="AHM613" s="3933"/>
      <c r="AHN613" s="3933"/>
      <c r="AHO613" s="621"/>
      <c r="AHP613" s="3933"/>
      <c r="AHQ613" s="3933"/>
      <c r="AHR613" s="3933"/>
      <c r="AHS613" s="621"/>
      <c r="AHT613" s="3933"/>
      <c r="AHU613" s="3933"/>
      <c r="AHV613" s="3933"/>
      <c r="AHW613" s="621"/>
      <c r="AHX613" s="3933"/>
      <c r="AHY613" s="3933"/>
      <c r="AHZ613" s="3933"/>
      <c r="AIA613" s="621"/>
      <c r="AIB613" s="3933"/>
      <c r="AIC613" s="3933"/>
      <c r="AID613" s="3933"/>
      <c r="AIE613" s="621"/>
      <c r="AIF613" s="3933"/>
      <c r="AIG613" s="3933"/>
      <c r="AIH613" s="3933"/>
      <c r="AII613" s="621"/>
      <c r="AIJ613" s="3933"/>
      <c r="AIK613" s="3933"/>
      <c r="AIL613" s="3933"/>
      <c r="AIM613" s="621"/>
      <c r="AIN613" s="3933"/>
      <c r="AIO613" s="3933"/>
      <c r="AIP613" s="3933"/>
      <c r="AIQ613" s="621"/>
      <c r="AIR613" s="3933"/>
      <c r="AIS613" s="3933"/>
      <c r="AIT613" s="3933"/>
      <c r="AIU613" s="621"/>
      <c r="AIV613" s="3933"/>
      <c r="AIW613" s="3933"/>
      <c r="AIX613" s="3933"/>
      <c r="AIY613" s="621"/>
      <c r="AIZ613" s="3933"/>
      <c r="AJA613" s="3933"/>
      <c r="AJB613" s="3933"/>
      <c r="AJC613" s="621"/>
      <c r="AJD613" s="3933"/>
      <c r="AJE613" s="3933"/>
      <c r="AJF613" s="3933"/>
      <c r="AJG613" s="621"/>
      <c r="AJH613" s="3933"/>
      <c r="AJI613" s="3933"/>
      <c r="AJJ613" s="3933"/>
      <c r="AJK613" s="621"/>
      <c r="AJL613" s="3933"/>
      <c r="AJM613" s="3933"/>
      <c r="AJN613" s="3933"/>
      <c r="AJO613" s="621"/>
      <c r="AJP613" s="3933"/>
      <c r="AJQ613" s="3933"/>
      <c r="AJR613" s="3933"/>
      <c r="AJS613" s="621"/>
      <c r="AJT613" s="3933"/>
      <c r="AJU613" s="3933"/>
      <c r="AJV613" s="3933"/>
      <c r="AJW613" s="621"/>
      <c r="AJX613" s="3933"/>
      <c r="AJY613" s="3933"/>
      <c r="AJZ613" s="3933"/>
      <c r="AKA613" s="621"/>
      <c r="AKB613" s="3933"/>
      <c r="AKC613" s="3933"/>
      <c r="AKD613" s="3933"/>
      <c r="AKE613" s="621"/>
      <c r="AKF613" s="3933"/>
      <c r="AKG613" s="3933"/>
      <c r="AKH613" s="3933"/>
      <c r="AKI613" s="621"/>
      <c r="AKJ613" s="3933"/>
      <c r="AKK613" s="3933"/>
      <c r="AKL613" s="3933"/>
      <c r="AKM613" s="621"/>
      <c r="AKN613" s="3933"/>
      <c r="AKO613" s="3933"/>
      <c r="AKP613" s="3933"/>
      <c r="AKQ613" s="621"/>
      <c r="AKR613" s="3933"/>
      <c r="AKS613" s="3933"/>
      <c r="AKT613" s="3933"/>
      <c r="AKU613" s="621"/>
      <c r="AKV613" s="3933"/>
      <c r="AKW613" s="3933"/>
      <c r="AKX613" s="3933"/>
      <c r="AKY613" s="621"/>
      <c r="AKZ613" s="3933"/>
      <c r="ALA613" s="3933"/>
      <c r="ALB613" s="3933"/>
      <c r="ALC613" s="621"/>
      <c r="ALD613" s="3933"/>
      <c r="ALE613" s="3933"/>
      <c r="ALF613" s="3933"/>
      <c r="ALG613" s="621"/>
      <c r="ALH613" s="3933"/>
      <c r="ALI613" s="3933"/>
      <c r="ALJ613" s="3933"/>
      <c r="ALK613" s="621"/>
      <c r="ALL613" s="3933"/>
      <c r="ALM613" s="3933"/>
      <c r="ALN613" s="3933"/>
      <c r="ALO613" s="621"/>
      <c r="ALP613" s="3933"/>
      <c r="ALQ613" s="3933"/>
      <c r="ALR613" s="3933"/>
      <c r="ALS613" s="621"/>
      <c r="ALT613" s="3933"/>
      <c r="ALU613" s="3933"/>
      <c r="ALV613" s="3933"/>
      <c r="ALW613" s="621"/>
      <c r="ALX613" s="3933"/>
      <c r="ALY613" s="3933"/>
      <c r="ALZ613" s="3933"/>
      <c r="AMA613" s="621"/>
      <c r="AMB613" s="3933"/>
      <c r="AMC613" s="3933"/>
      <c r="AMD613" s="3933"/>
      <c r="AME613" s="621"/>
      <c r="AMF613" s="3933"/>
      <c r="AMG613" s="3933"/>
      <c r="AMH613" s="3933"/>
      <c r="AMI613" s="621"/>
      <c r="AMJ613" s="3933"/>
      <c r="AMK613" s="3933"/>
      <c r="AML613" s="3933"/>
      <c r="AMM613" s="621"/>
      <c r="AMN613" s="3933"/>
      <c r="AMO613" s="3933"/>
      <c r="AMP613" s="3933"/>
      <c r="AMQ613" s="621"/>
      <c r="AMR613" s="3933"/>
      <c r="AMS613" s="3933"/>
      <c r="AMT613" s="3933"/>
      <c r="AMU613" s="621"/>
      <c r="AMV613" s="3933"/>
      <c r="AMW613" s="3933"/>
      <c r="AMX613" s="3933"/>
      <c r="AMY613" s="621"/>
      <c r="AMZ613" s="3933"/>
      <c r="ANA613" s="3933"/>
      <c r="ANB613" s="3933"/>
      <c r="ANC613" s="621"/>
      <c r="AND613" s="3933"/>
      <c r="ANE613" s="3933"/>
      <c r="ANF613" s="3933"/>
      <c r="ANG613" s="621"/>
      <c r="ANH613" s="3933"/>
      <c r="ANI613" s="3933"/>
      <c r="ANJ613" s="3933"/>
      <c r="ANK613" s="621"/>
      <c r="ANL613" s="3933"/>
      <c r="ANM613" s="3933"/>
      <c r="ANN613" s="3933"/>
      <c r="ANO613" s="621"/>
      <c r="ANP613" s="3933"/>
      <c r="ANQ613" s="3933"/>
      <c r="ANR613" s="3933"/>
      <c r="ANS613" s="621"/>
      <c r="ANT613" s="3933"/>
      <c r="ANU613" s="3933"/>
      <c r="ANV613" s="3933"/>
      <c r="ANW613" s="621"/>
      <c r="ANX613" s="3933"/>
      <c r="ANY613" s="3933"/>
      <c r="ANZ613" s="3933"/>
      <c r="AOA613" s="621"/>
      <c r="AOB613" s="3933"/>
      <c r="AOC613" s="3933"/>
      <c r="AOD613" s="3933"/>
      <c r="AOE613" s="621"/>
      <c r="AOF613" s="3933"/>
      <c r="AOG613" s="3933"/>
      <c r="AOH613" s="3933"/>
      <c r="AOI613" s="621"/>
      <c r="AOJ613" s="3933"/>
      <c r="AOK613" s="3933"/>
      <c r="AOL613" s="3933"/>
      <c r="AOM613" s="621"/>
      <c r="AON613" s="3933"/>
      <c r="AOO613" s="3933"/>
      <c r="AOP613" s="3933"/>
      <c r="AOQ613" s="621"/>
      <c r="AOR613" s="3933"/>
      <c r="AOS613" s="3933"/>
      <c r="AOT613" s="3933"/>
      <c r="AOU613" s="621"/>
      <c r="AOV613" s="3933"/>
      <c r="AOW613" s="3933"/>
      <c r="AOX613" s="3933"/>
      <c r="AOY613" s="621"/>
      <c r="AOZ613" s="3933"/>
      <c r="APA613" s="3933"/>
      <c r="APB613" s="3933"/>
      <c r="APC613" s="621"/>
      <c r="APD613" s="3933"/>
      <c r="APE613" s="3933"/>
      <c r="APF613" s="3933"/>
      <c r="APG613" s="621"/>
      <c r="APH613" s="3933"/>
      <c r="API613" s="3933"/>
      <c r="APJ613" s="3933"/>
      <c r="APK613" s="621"/>
      <c r="APL613" s="3933"/>
      <c r="APM613" s="3933"/>
      <c r="APN613" s="3933"/>
      <c r="APO613" s="621"/>
      <c r="APP613" s="3933"/>
      <c r="APQ613" s="3933"/>
      <c r="APR613" s="3933"/>
      <c r="APS613" s="621"/>
      <c r="APT613" s="3933"/>
      <c r="APU613" s="3933"/>
      <c r="APV613" s="3933"/>
      <c r="APW613" s="621"/>
      <c r="APX613" s="3933"/>
      <c r="APY613" s="3933"/>
      <c r="APZ613" s="3933"/>
      <c r="AQA613" s="621"/>
      <c r="AQB613" s="3933"/>
      <c r="AQC613" s="3933"/>
      <c r="AQD613" s="3933"/>
      <c r="AQE613" s="621"/>
      <c r="AQF613" s="3933"/>
      <c r="AQG613" s="3933"/>
      <c r="AQH613" s="3933"/>
      <c r="AQI613" s="621"/>
      <c r="AQJ613" s="3933"/>
      <c r="AQK613" s="3933"/>
      <c r="AQL613" s="3933"/>
      <c r="AQM613" s="621"/>
      <c r="AQN613" s="3933"/>
      <c r="AQO613" s="3933"/>
      <c r="AQP613" s="3933"/>
      <c r="AQQ613" s="621"/>
      <c r="AQR613" s="3933"/>
      <c r="AQS613" s="3933"/>
      <c r="AQT613" s="3933"/>
      <c r="AQU613" s="621"/>
      <c r="AQV613" s="3933"/>
      <c r="AQW613" s="3933"/>
      <c r="AQX613" s="3933"/>
      <c r="AQY613" s="621"/>
      <c r="AQZ613" s="3933"/>
      <c r="ARA613" s="3933"/>
      <c r="ARB613" s="3933"/>
      <c r="ARC613" s="621"/>
      <c r="ARD613" s="3933"/>
      <c r="ARE613" s="3933"/>
      <c r="ARF613" s="3933"/>
      <c r="ARG613" s="621"/>
      <c r="ARH613" s="3933"/>
      <c r="ARI613" s="3933"/>
      <c r="ARJ613" s="3933"/>
      <c r="ARK613" s="621"/>
      <c r="ARL613" s="3933"/>
      <c r="ARM613" s="3933"/>
      <c r="ARN613" s="3933"/>
      <c r="ARO613" s="621"/>
      <c r="ARP613" s="3933"/>
      <c r="ARQ613" s="3933"/>
      <c r="ARR613" s="3933"/>
      <c r="ARS613" s="621"/>
      <c r="ART613" s="3933"/>
      <c r="ARU613" s="3933"/>
      <c r="ARV613" s="3933"/>
      <c r="ARW613" s="621"/>
      <c r="ARX613" s="3933"/>
      <c r="ARY613" s="3933"/>
      <c r="ARZ613" s="3933"/>
      <c r="ASA613" s="621"/>
      <c r="ASB613" s="3933"/>
      <c r="ASC613" s="3933"/>
      <c r="ASD613" s="3933"/>
      <c r="ASE613" s="621"/>
      <c r="ASF613" s="3933"/>
      <c r="ASG613" s="3933"/>
      <c r="ASH613" s="3933"/>
      <c r="ASI613" s="621"/>
      <c r="ASJ613" s="3933"/>
      <c r="ASK613" s="3933"/>
      <c r="ASL613" s="3933"/>
      <c r="ASM613" s="621"/>
      <c r="ASN613" s="3933"/>
      <c r="ASO613" s="3933"/>
      <c r="ASP613" s="3933"/>
      <c r="ASQ613" s="621"/>
      <c r="ASR613" s="3933"/>
      <c r="ASS613" s="3933"/>
      <c r="AST613" s="3933"/>
      <c r="ASU613" s="621"/>
      <c r="ASV613" s="3933"/>
      <c r="ASW613" s="3933"/>
      <c r="ASX613" s="3933"/>
      <c r="ASY613" s="621"/>
      <c r="ASZ613" s="3933"/>
      <c r="ATA613" s="3933"/>
      <c r="ATB613" s="3933"/>
      <c r="ATC613" s="621"/>
      <c r="ATD613" s="3933"/>
      <c r="ATE613" s="3933"/>
      <c r="ATF613" s="3933"/>
      <c r="ATG613" s="621"/>
      <c r="ATH613" s="3933"/>
      <c r="ATI613" s="3933"/>
      <c r="ATJ613" s="3933"/>
      <c r="ATK613" s="621"/>
      <c r="ATL613" s="3933"/>
      <c r="ATM613" s="3933"/>
      <c r="ATN613" s="3933"/>
      <c r="ATO613" s="621"/>
      <c r="ATP613" s="3933"/>
      <c r="ATQ613" s="3933"/>
      <c r="ATR613" s="3933"/>
      <c r="ATS613" s="621"/>
      <c r="ATT613" s="3933"/>
      <c r="ATU613" s="3933"/>
      <c r="ATV613" s="3933"/>
      <c r="ATW613" s="621"/>
      <c r="ATX613" s="3933"/>
      <c r="ATY613" s="3933"/>
      <c r="ATZ613" s="3933"/>
      <c r="AUA613" s="621"/>
      <c r="AUB613" s="3933"/>
      <c r="AUC613" s="3933"/>
      <c r="AUD613" s="3933"/>
      <c r="AUE613" s="621"/>
      <c r="AUF613" s="3933"/>
      <c r="AUG613" s="3933"/>
      <c r="AUH613" s="3933"/>
      <c r="AUI613" s="621"/>
      <c r="AUJ613" s="3933"/>
      <c r="AUK613" s="3933"/>
      <c r="AUL613" s="3933"/>
      <c r="AUM613" s="621"/>
      <c r="AUN613" s="3933"/>
      <c r="AUO613" s="3933"/>
      <c r="AUP613" s="3933"/>
      <c r="AUQ613" s="621"/>
      <c r="AUR613" s="3933"/>
      <c r="AUS613" s="3933"/>
      <c r="AUT613" s="3933"/>
      <c r="AUU613" s="621"/>
      <c r="AUV613" s="3933"/>
      <c r="AUW613" s="3933"/>
      <c r="AUX613" s="3933"/>
      <c r="AUY613" s="621"/>
      <c r="AUZ613" s="3933"/>
      <c r="AVA613" s="3933"/>
      <c r="AVB613" s="3933"/>
      <c r="AVC613" s="621"/>
      <c r="AVD613" s="3933"/>
      <c r="AVE613" s="3933"/>
      <c r="AVF613" s="3933"/>
      <c r="AVG613" s="621"/>
      <c r="AVH613" s="3933"/>
      <c r="AVI613" s="3933"/>
      <c r="AVJ613" s="3933"/>
      <c r="AVK613" s="621"/>
      <c r="AVL613" s="3933"/>
      <c r="AVM613" s="3933"/>
      <c r="AVN613" s="3933"/>
      <c r="AVO613" s="621"/>
      <c r="AVP613" s="3933"/>
      <c r="AVQ613" s="3933"/>
      <c r="AVR613" s="3933"/>
      <c r="AVS613" s="621"/>
      <c r="AVT613" s="3933"/>
      <c r="AVU613" s="3933"/>
      <c r="AVV613" s="3933"/>
      <c r="AVW613" s="621"/>
      <c r="AVX613" s="3933"/>
      <c r="AVY613" s="3933"/>
      <c r="AVZ613" s="3933"/>
      <c r="AWA613" s="621"/>
      <c r="AWB613" s="3933"/>
      <c r="AWC613" s="3933"/>
      <c r="AWD613" s="3933"/>
      <c r="AWE613" s="621"/>
      <c r="AWF613" s="3933"/>
      <c r="AWG613" s="3933"/>
      <c r="AWH613" s="3933"/>
      <c r="AWI613" s="621"/>
      <c r="AWJ613" s="3933"/>
      <c r="AWK613" s="3933"/>
      <c r="AWL613" s="3933"/>
      <c r="AWM613" s="621"/>
      <c r="AWN613" s="3933"/>
      <c r="AWO613" s="3933"/>
      <c r="AWP613" s="3933"/>
      <c r="AWQ613" s="621"/>
      <c r="AWR613" s="3933"/>
      <c r="AWS613" s="3933"/>
      <c r="AWT613" s="3933"/>
      <c r="AWU613" s="621"/>
      <c r="AWV613" s="3933"/>
      <c r="AWW613" s="3933"/>
      <c r="AWX613" s="3933"/>
      <c r="AWY613" s="621"/>
      <c r="AWZ613" s="3933"/>
      <c r="AXA613" s="3933"/>
      <c r="AXB613" s="3933"/>
      <c r="AXC613" s="621"/>
      <c r="AXD613" s="3933"/>
      <c r="AXE613" s="3933"/>
      <c r="AXF613" s="3933"/>
      <c r="AXG613" s="621"/>
      <c r="AXH613" s="3933"/>
      <c r="AXI613" s="3933"/>
      <c r="AXJ613" s="3933"/>
      <c r="AXK613" s="621"/>
      <c r="AXL613" s="3933"/>
      <c r="AXM613" s="3933"/>
      <c r="AXN613" s="3933"/>
      <c r="AXO613" s="621"/>
      <c r="AXP613" s="3933"/>
      <c r="AXQ613" s="3933"/>
      <c r="AXR613" s="3933"/>
      <c r="AXS613" s="621"/>
      <c r="AXT613" s="3933"/>
      <c r="AXU613" s="3933"/>
      <c r="AXV613" s="3933"/>
      <c r="AXW613" s="621"/>
      <c r="AXX613" s="3933"/>
      <c r="AXY613" s="3933"/>
      <c r="AXZ613" s="3933"/>
      <c r="AYA613" s="621"/>
      <c r="AYB613" s="3933"/>
      <c r="AYC613" s="3933"/>
      <c r="AYD613" s="3933"/>
      <c r="AYE613" s="621"/>
      <c r="AYF613" s="3933"/>
      <c r="AYG613" s="3933"/>
      <c r="AYH613" s="3933"/>
      <c r="AYI613" s="621"/>
      <c r="AYJ613" s="3933"/>
      <c r="AYK613" s="3933"/>
      <c r="AYL613" s="3933"/>
      <c r="AYM613" s="621"/>
      <c r="AYN613" s="3933"/>
      <c r="AYO613" s="3933"/>
      <c r="AYP613" s="3933"/>
      <c r="AYQ613" s="621"/>
      <c r="AYR613" s="3933"/>
      <c r="AYS613" s="3933"/>
      <c r="AYT613" s="3933"/>
      <c r="AYU613" s="621"/>
      <c r="AYV613" s="3933"/>
      <c r="AYW613" s="3933"/>
      <c r="AYX613" s="3933"/>
      <c r="AYY613" s="621"/>
      <c r="AYZ613" s="3933"/>
      <c r="AZA613" s="3933"/>
      <c r="AZB613" s="3933"/>
      <c r="AZC613" s="621"/>
      <c r="AZD613" s="3933"/>
      <c r="AZE613" s="3933"/>
      <c r="AZF613" s="3933"/>
      <c r="AZG613" s="621"/>
      <c r="AZH613" s="3933"/>
      <c r="AZI613" s="3933"/>
      <c r="AZJ613" s="3933"/>
      <c r="AZK613" s="621"/>
      <c r="AZL613" s="3933"/>
      <c r="AZM613" s="3933"/>
      <c r="AZN613" s="3933"/>
      <c r="AZO613" s="621"/>
      <c r="AZP613" s="3933"/>
      <c r="AZQ613" s="3933"/>
      <c r="AZR613" s="3933"/>
      <c r="AZS613" s="621"/>
      <c r="AZT613" s="3933"/>
      <c r="AZU613" s="3933"/>
      <c r="AZV613" s="3933"/>
      <c r="AZW613" s="621"/>
      <c r="AZX613" s="3933"/>
      <c r="AZY613" s="3933"/>
      <c r="AZZ613" s="3933"/>
      <c r="BAA613" s="621"/>
      <c r="BAB613" s="3933"/>
      <c r="BAC613" s="3933"/>
      <c r="BAD613" s="3933"/>
      <c r="BAE613" s="621"/>
      <c r="BAF613" s="3933"/>
      <c r="BAG613" s="3933"/>
      <c r="BAH613" s="3933"/>
      <c r="BAI613" s="621"/>
      <c r="BAJ613" s="3933"/>
      <c r="BAK613" s="3933"/>
      <c r="BAL613" s="3933"/>
      <c r="BAM613" s="621"/>
      <c r="BAN613" s="3933"/>
      <c r="BAO613" s="3933"/>
      <c r="BAP613" s="3933"/>
      <c r="BAQ613" s="621"/>
      <c r="BAR613" s="3933"/>
      <c r="BAS613" s="3933"/>
      <c r="BAT613" s="3933"/>
      <c r="BAU613" s="621"/>
      <c r="BAV613" s="3933"/>
      <c r="BAW613" s="3933"/>
      <c r="BAX613" s="3933"/>
      <c r="BAY613" s="621"/>
      <c r="BAZ613" s="3933"/>
      <c r="BBA613" s="3933"/>
      <c r="BBB613" s="3933"/>
      <c r="BBC613" s="621"/>
      <c r="BBD613" s="3933"/>
      <c r="BBE613" s="3933"/>
      <c r="BBF613" s="3933"/>
      <c r="BBG613" s="621"/>
      <c r="BBH613" s="3933"/>
      <c r="BBI613" s="3933"/>
      <c r="BBJ613" s="3933"/>
      <c r="BBK613" s="621"/>
      <c r="BBL613" s="3933"/>
      <c r="BBM613" s="3933"/>
      <c r="BBN613" s="3933"/>
      <c r="BBO613" s="621"/>
      <c r="BBP613" s="3933"/>
      <c r="BBQ613" s="3933"/>
      <c r="BBR613" s="3933"/>
      <c r="BBS613" s="621"/>
      <c r="BBT613" s="3933"/>
      <c r="BBU613" s="3933"/>
      <c r="BBV613" s="3933"/>
      <c r="BBW613" s="621"/>
      <c r="BBX613" s="3933"/>
      <c r="BBY613" s="3933"/>
      <c r="BBZ613" s="3933"/>
      <c r="BCA613" s="621"/>
      <c r="BCB613" s="3933"/>
      <c r="BCC613" s="3933"/>
      <c r="BCD613" s="3933"/>
      <c r="BCE613" s="621"/>
      <c r="BCF613" s="3933"/>
      <c r="BCG613" s="3933"/>
      <c r="BCH613" s="3933"/>
      <c r="BCI613" s="621"/>
      <c r="BCJ613" s="3933"/>
      <c r="BCK613" s="3933"/>
      <c r="BCL613" s="3933"/>
      <c r="BCM613" s="621"/>
      <c r="BCN613" s="3933"/>
      <c r="BCO613" s="3933"/>
      <c r="BCP613" s="3933"/>
      <c r="BCQ613" s="621"/>
      <c r="BCR613" s="3933"/>
      <c r="BCS613" s="3933"/>
      <c r="BCT613" s="3933"/>
      <c r="BCU613" s="621"/>
      <c r="BCV613" s="3933"/>
      <c r="BCW613" s="3933"/>
      <c r="BCX613" s="3933"/>
      <c r="BCY613" s="621"/>
      <c r="BCZ613" s="3933"/>
      <c r="BDA613" s="3933"/>
      <c r="BDB613" s="3933"/>
      <c r="BDC613" s="621"/>
      <c r="BDD613" s="3933"/>
      <c r="BDE613" s="3933"/>
      <c r="BDF613" s="3933"/>
      <c r="BDG613" s="621"/>
      <c r="BDH613" s="3933"/>
      <c r="BDI613" s="3933"/>
      <c r="BDJ613" s="3933"/>
      <c r="BDK613" s="621"/>
      <c r="BDL613" s="3933"/>
      <c r="BDM613" s="3933"/>
      <c r="BDN613" s="3933"/>
      <c r="BDO613" s="621"/>
      <c r="BDP613" s="3933"/>
      <c r="BDQ613" s="3933"/>
      <c r="BDR613" s="3933"/>
      <c r="BDS613" s="621"/>
      <c r="BDT613" s="3933"/>
      <c r="BDU613" s="3933"/>
      <c r="BDV613" s="3933"/>
      <c r="BDW613" s="621"/>
      <c r="BDX613" s="3933"/>
      <c r="BDY613" s="3933"/>
      <c r="BDZ613" s="3933"/>
      <c r="BEA613" s="621"/>
      <c r="BEB613" s="3933"/>
      <c r="BEC613" s="3933"/>
      <c r="BED613" s="3933"/>
      <c r="BEE613" s="621"/>
      <c r="BEF613" s="3933"/>
      <c r="BEG613" s="3933"/>
      <c r="BEH613" s="3933"/>
      <c r="BEI613" s="621"/>
      <c r="BEJ613" s="3933"/>
      <c r="BEK613" s="3933"/>
      <c r="BEL613" s="3933"/>
      <c r="BEM613" s="621"/>
      <c r="BEN613" s="3933"/>
      <c r="BEO613" s="3933"/>
      <c r="BEP613" s="3933"/>
      <c r="BEQ613" s="621"/>
      <c r="BER613" s="3933"/>
      <c r="BES613" s="3933"/>
      <c r="BET613" s="3933"/>
      <c r="BEU613" s="621"/>
      <c r="BEV613" s="3933"/>
      <c r="BEW613" s="3933"/>
      <c r="BEX613" s="3933"/>
      <c r="BEY613" s="621"/>
      <c r="BEZ613" s="3933"/>
      <c r="BFA613" s="3933"/>
      <c r="BFB613" s="3933"/>
      <c r="BFC613" s="621"/>
      <c r="BFD613" s="3933"/>
      <c r="BFE613" s="3933"/>
      <c r="BFF613" s="3933"/>
      <c r="BFG613" s="621"/>
      <c r="BFH613" s="3933"/>
      <c r="BFI613" s="3933"/>
      <c r="BFJ613" s="3933"/>
      <c r="BFK613" s="621"/>
      <c r="BFL613" s="3933"/>
      <c r="BFM613" s="3933"/>
      <c r="BFN613" s="3933"/>
      <c r="BFO613" s="621"/>
      <c r="BFP613" s="3933"/>
      <c r="BFQ613" s="3933"/>
      <c r="BFR613" s="3933"/>
      <c r="BFS613" s="621"/>
      <c r="BFT613" s="3933"/>
      <c r="BFU613" s="3933"/>
      <c r="BFV613" s="3933"/>
      <c r="BFW613" s="621"/>
      <c r="BFX613" s="3933"/>
      <c r="BFY613" s="3933"/>
      <c r="BFZ613" s="3933"/>
      <c r="BGA613" s="621"/>
      <c r="BGB613" s="3933"/>
      <c r="BGC613" s="3933"/>
      <c r="BGD613" s="3933"/>
      <c r="BGE613" s="621"/>
      <c r="BGF613" s="3933"/>
      <c r="BGG613" s="3933"/>
      <c r="BGH613" s="3933"/>
      <c r="BGI613" s="621"/>
      <c r="BGJ613" s="3933"/>
      <c r="BGK613" s="3933"/>
      <c r="BGL613" s="3933"/>
      <c r="BGM613" s="621"/>
      <c r="BGN613" s="3933"/>
      <c r="BGO613" s="3933"/>
      <c r="BGP613" s="3933"/>
      <c r="BGQ613" s="621"/>
      <c r="BGR613" s="3933"/>
      <c r="BGS613" s="3933"/>
      <c r="BGT613" s="3933"/>
      <c r="BGU613" s="621"/>
      <c r="BGV613" s="3933"/>
      <c r="BGW613" s="3933"/>
      <c r="BGX613" s="3933"/>
      <c r="BGY613" s="621"/>
      <c r="BGZ613" s="3933"/>
      <c r="BHA613" s="3933"/>
      <c r="BHB613" s="3933"/>
      <c r="BHC613" s="621"/>
      <c r="BHD613" s="3933"/>
      <c r="BHE613" s="3933"/>
      <c r="BHF613" s="3933"/>
      <c r="BHG613" s="621"/>
      <c r="BHH613" s="3933"/>
      <c r="BHI613" s="3933"/>
      <c r="BHJ613" s="3933"/>
      <c r="BHK613" s="621"/>
      <c r="BHL613" s="3933"/>
      <c r="BHM613" s="3933"/>
      <c r="BHN613" s="3933"/>
      <c r="BHO613" s="621"/>
      <c r="BHP613" s="3933"/>
      <c r="BHQ613" s="3933"/>
      <c r="BHR613" s="3933"/>
      <c r="BHS613" s="621"/>
      <c r="BHT613" s="3933"/>
      <c r="BHU613" s="3933"/>
      <c r="BHV613" s="3933"/>
      <c r="BHW613" s="621"/>
      <c r="BHX613" s="3933"/>
      <c r="BHY613" s="3933"/>
      <c r="BHZ613" s="3933"/>
      <c r="BIA613" s="621"/>
      <c r="BIB613" s="3933"/>
      <c r="BIC613" s="3933"/>
      <c r="BID613" s="3933"/>
      <c r="BIE613" s="621"/>
      <c r="BIF613" s="3933"/>
      <c r="BIG613" s="3933"/>
      <c r="BIH613" s="3933"/>
      <c r="BII613" s="621"/>
      <c r="BIJ613" s="3933"/>
      <c r="BIK613" s="3933"/>
      <c r="BIL613" s="3933"/>
      <c r="BIM613" s="621"/>
      <c r="BIN613" s="3933"/>
      <c r="BIO613" s="3933"/>
      <c r="BIP613" s="3933"/>
      <c r="BIQ613" s="621"/>
      <c r="BIR613" s="3933"/>
      <c r="BIS613" s="3933"/>
      <c r="BIT613" s="3933"/>
      <c r="BIU613" s="621"/>
      <c r="BIV613" s="3933"/>
      <c r="BIW613" s="3933"/>
      <c r="BIX613" s="3933"/>
      <c r="BIY613" s="621"/>
      <c r="BIZ613" s="3933"/>
      <c r="BJA613" s="3933"/>
      <c r="BJB613" s="3933"/>
      <c r="BJC613" s="621"/>
      <c r="BJD613" s="3933"/>
      <c r="BJE613" s="3933"/>
      <c r="BJF613" s="3933"/>
      <c r="BJG613" s="621"/>
      <c r="BJH613" s="3933"/>
      <c r="BJI613" s="3933"/>
      <c r="BJJ613" s="3933"/>
      <c r="BJK613" s="621"/>
      <c r="BJL613" s="3933"/>
      <c r="BJM613" s="3933"/>
      <c r="BJN613" s="3933"/>
      <c r="BJO613" s="621"/>
      <c r="BJP613" s="3933"/>
      <c r="BJQ613" s="3933"/>
      <c r="BJR613" s="3933"/>
      <c r="BJS613" s="621"/>
      <c r="BJT613" s="3933"/>
      <c r="BJU613" s="3933"/>
      <c r="BJV613" s="3933"/>
      <c r="BJW613" s="621"/>
      <c r="BJX613" s="3933"/>
      <c r="BJY613" s="3933"/>
      <c r="BJZ613" s="3933"/>
      <c r="BKA613" s="621"/>
      <c r="BKB613" s="3933"/>
      <c r="BKC613" s="3933"/>
      <c r="BKD613" s="3933"/>
      <c r="BKE613" s="621"/>
      <c r="BKF613" s="3933"/>
      <c r="BKG613" s="3933"/>
      <c r="BKH613" s="3933"/>
      <c r="BKI613" s="621"/>
      <c r="BKJ613" s="3933"/>
      <c r="BKK613" s="3933"/>
      <c r="BKL613" s="3933"/>
      <c r="BKM613" s="621"/>
      <c r="BKN613" s="3933"/>
      <c r="BKO613" s="3933"/>
      <c r="BKP613" s="3933"/>
      <c r="BKQ613" s="621"/>
      <c r="BKR613" s="3933"/>
      <c r="BKS613" s="3933"/>
      <c r="BKT613" s="3933"/>
      <c r="BKU613" s="621"/>
      <c r="BKV613" s="3933"/>
      <c r="BKW613" s="3933"/>
      <c r="BKX613" s="3933"/>
      <c r="BKY613" s="621"/>
      <c r="BKZ613" s="3933"/>
      <c r="BLA613" s="3933"/>
      <c r="BLB613" s="3933"/>
      <c r="BLC613" s="621"/>
      <c r="BLD613" s="3933"/>
      <c r="BLE613" s="3933"/>
      <c r="BLF613" s="3933"/>
      <c r="BLG613" s="621"/>
      <c r="BLH613" s="3933"/>
      <c r="BLI613" s="3933"/>
      <c r="BLJ613" s="3933"/>
      <c r="BLK613" s="621"/>
      <c r="BLL613" s="3933"/>
      <c r="BLM613" s="3933"/>
      <c r="BLN613" s="3933"/>
      <c r="BLO613" s="621"/>
      <c r="BLP613" s="3933"/>
      <c r="BLQ613" s="3933"/>
      <c r="BLR613" s="3933"/>
      <c r="BLS613" s="621"/>
      <c r="BLT613" s="3933"/>
      <c r="BLU613" s="3933"/>
      <c r="BLV613" s="3933"/>
      <c r="BLW613" s="621"/>
      <c r="BLX613" s="3933"/>
      <c r="BLY613" s="3933"/>
      <c r="BLZ613" s="3933"/>
      <c r="BMA613" s="621"/>
      <c r="BMB613" s="3933"/>
      <c r="BMC613" s="3933"/>
      <c r="BMD613" s="3933"/>
      <c r="BME613" s="621"/>
      <c r="BMF613" s="3933"/>
      <c r="BMG613" s="3933"/>
      <c r="BMH613" s="3933"/>
      <c r="BMI613" s="621"/>
      <c r="BMJ613" s="3933"/>
      <c r="BMK613" s="3933"/>
      <c r="BML613" s="3933"/>
      <c r="BMM613" s="621"/>
      <c r="BMN613" s="3933"/>
      <c r="BMO613" s="3933"/>
      <c r="BMP613" s="3933"/>
      <c r="BMQ613" s="621"/>
      <c r="BMR613" s="3933"/>
      <c r="BMS613" s="3933"/>
      <c r="BMT613" s="3933"/>
      <c r="BMU613" s="621"/>
      <c r="BMV613" s="3933"/>
      <c r="BMW613" s="3933"/>
      <c r="BMX613" s="3933"/>
      <c r="BMY613" s="621"/>
      <c r="BMZ613" s="3933"/>
      <c r="BNA613" s="3933"/>
      <c r="BNB613" s="3933"/>
      <c r="BNC613" s="621"/>
      <c r="BND613" s="3933"/>
      <c r="BNE613" s="3933"/>
      <c r="BNF613" s="3933"/>
      <c r="BNG613" s="621"/>
      <c r="BNH613" s="3933"/>
      <c r="BNI613" s="3933"/>
      <c r="BNJ613" s="3933"/>
      <c r="BNK613" s="621"/>
      <c r="BNL613" s="3933"/>
      <c r="BNM613" s="3933"/>
      <c r="BNN613" s="3933"/>
      <c r="BNO613" s="621"/>
      <c r="BNP613" s="3933"/>
      <c r="BNQ613" s="3933"/>
      <c r="BNR613" s="3933"/>
      <c r="BNS613" s="621"/>
      <c r="BNT613" s="3933"/>
      <c r="BNU613" s="3933"/>
      <c r="BNV613" s="3933"/>
      <c r="BNW613" s="621"/>
      <c r="BNX613" s="3933"/>
      <c r="BNY613" s="3933"/>
      <c r="BNZ613" s="3933"/>
      <c r="BOA613" s="621"/>
      <c r="BOB613" s="3933"/>
      <c r="BOC613" s="3933"/>
      <c r="BOD613" s="3933"/>
      <c r="BOE613" s="621"/>
      <c r="BOF613" s="3933"/>
      <c r="BOG613" s="3933"/>
      <c r="BOH613" s="3933"/>
      <c r="BOI613" s="621"/>
      <c r="BOJ613" s="3933"/>
      <c r="BOK613" s="3933"/>
      <c r="BOL613" s="3933"/>
      <c r="BOM613" s="621"/>
      <c r="BON613" s="3933"/>
      <c r="BOO613" s="3933"/>
      <c r="BOP613" s="3933"/>
      <c r="BOQ613" s="621"/>
      <c r="BOR613" s="3933"/>
      <c r="BOS613" s="3933"/>
      <c r="BOT613" s="3933"/>
      <c r="BOU613" s="621"/>
      <c r="BOV613" s="3933"/>
      <c r="BOW613" s="3933"/>
      <c r="BOX613" s="3933"/>
      <c r="BOY613" s="621"/>
      <c r="BOZ613" s="3933"/>
      <c r="BPA613" s="3933"/>
      <c r="BPB613" s="3933"/>
      <c r="BPC613" s="621"/>
      <c r="BPD613" s="3933"/>
      <c r="BPE613" s="3933"/>
      <c r="BPF613" s="3933"/>
      <c r="BPG613" s="621"/>
      <c r="BPH613" s="3933"/>
      <c r="BPI613" s="3933"/>
      <c r="BPJ613" s="3933"/>
      <c r="BPK613" s="621"/>
      <c r="BPL613" s="3933"/>
      <c r="BPM613" s="3933"/>
      <c r="BPN613" s="3933"/>
      <c r="BPO613" s="621"/>
      <c r="BPP613" s="3933"/>
      <c r="BPQ613" s="3933"/>
      <c r="BPR613" s="3933"/>
      <c r="BPS613" s="621"/>
      <c r="BPT613" s="3933"/>
      <c r="BPU613" s="3933"/>
      <c r="BPV613" s="3933"/>
      <c r="BPW613" s="621"/>
      <c r="BPX613" s="3933"/>
      <c r="BPY613" s="3933"/>
      <c r="BPZ613" s="3933"/>
      <c r="BQA613" s="621"/>
      <c r="BQB613" s="3933"/>
      <c r="BQC613" s="3933"/>
      <c r="BQD613" s="3933"/>
      <c r="BQE613" s="621"/>
      <c r="BQF613" s="3933"/>
      <c r="BQG613" s="3933"/>
      <c r="BQH613" s="3933"/>
      <c r="BQI613" s="621"/>
      <c r="BQJ613" s="3933"/>
      <c r="BQK613" s="3933"/>
      <c r="BQL613" s="3933"/>
      <c r="BQM613" s="621"/>
      <c r="BQN613" s="3933"/>
      <c r="BQO613" s="3933"/>
      <c r="BQP613" s="3933"/>
      <c r="BQQ613" s="621"/>
      <c r="BQR613" s="3933"/>
      <c r="BQS613" s="3933"/>
      <c r="BQT613" s="3933"/>
      <c r="BQU613" s="621"/>
      <c r="BQV613" s="3933"/>
      <c r="BQW613" s="3933"/>
      <c r="BQX613" s="3933"/>
      <c r="BQY613" s="621"/>
      <c r="BQZ613" s="3933"/>
      <c r="BRA613" s="3933"/>
      <c r="BRB613" s="3933"/>
      <c r="BRC613" s="621"/>
      <c r="BRD613" s="3933"/>
      <c r="BRE613" s="3933"/>
      <c r="BRF613" s="3933"/>
      <c r="BRG613" s="621"/>
      <c r="BRH613" s="3933"/>
      <c r="BRI613" s="3933"/>
      <c r="BRJ613" s="3933"/>
      <c r="BRK613" s="621"/>
      <c r="BRL613" s="3933"/>
      <c r="BRM613" s="3933"/>
      <c r="BRN613" s="3933"/>
      <c r="BRO613" s="621"/>
      <c r="BRP613" s="3933"/>
      <c r="BRQ613" s="3933"/>
      <c r="BRR613" s="3933"/>
      <c r="BRS613" s="621"/>
      <c r="BRT613" s="3933"/>
      <c r="BRU613" s="3933"/>
      <c r="BRV613" s="3933"/>
      <c r="BRW613" s="621"/>
      <c r="BRX613" s="3933"/>
      <c r="BRY613" s="3933"/>
      <c r="BRZ613" s="3933"/>
      <c r="BSA613" s="621"/>
      <c r="BSB613" s="3933"/>
      <c r="BSC613" s="3933"/>
      <c r="BSD613" s="3933"/>
      <c r="BSE613" s="621"/>
      <c r="BSF613" s="3933"/>
      <c r="BSG613" s="3933"/>
      <c r="BSH613" s="3933"/>
      <c r="BSI613" s="621"/>
      <c r="BSJ613" s="3933"/>
      <c r="BSK613" s="3933"/>
      <c r="BSL613" s="3933"/>
      <c r="BSM613" s="621"/>
      <c r="BSN613" s="3933"/>
      <c r="BSO613" s="3933"/>
      <c r="BSP613" s="3933"/>
      <c r="BSQ613" s="621"/>
      <c r="BSR613" s="3933"/>
      <c r="BSS613" s="3933"/>
      <c r="BST613" s="3933"/>
      <c r="BSU613" s="621"/>
      <c r="BSV613" s="3933"/>
      <c r="BSW613" s="3933"/>
      <c r="BSX613" s="3933"/>
      <c r="BSY613" s="621"/>
      <c r="BSZ613" s="3933"/>
      <c r="BTA613" s="3933"/>
      <c r="BTB613" s="3933"/>
      <c r="BTC613" s="621"/>
      <c r="BTD613" s="3933"/>
      <c r="BTE613" s="3933"/>
      <c r="BTF613" s="3933"/>
      <c r="BTG613" s="621"/>
      <c r="BTH613" s="3933"/>
      <c r="BTI613" s="3933"/>
      <c r="BTJ613" s="3933"/>
      <c r="BTK613" s="621"/>
      <c r="BTL613" s="3933"/>
      <c r="BTM613" s="3933"/>
      <c r="BTN613" s="3933"/>
      <c r="BTO613" s="621"/>
      <c r="BTP613" s="3933"/>
      <c r="BTQ613" s="3933"/>
      <c r="BTR613" s="3933"/>
      <c r="BTS613" s="621"/>
      <c r="BTT613" s="3933"/>
      <c r="BTU613" s="3933"/>
      <c r="BTV613" s="3933"/>
      <c r="BTW613" s="621"/>
      <c r="BTX613" s="3933"/>
      <c r="BTY613" s="3933"/>
      <c r="BTZ613" s="3933"/>
      <c r="BUA613" s="621"/>
      <c r="BUB613" s="3933"/>
      <c r="BUC613" s="3933"/>
      <c r="BUD613" s="3933"/>
      <c r="BUE613" s="621"/>
      <c r="BUF613" s="3933"/>
      <c r="BUG613" s="3933"/>
      <c r="BUH613" s="3933"/>
      <c r="BUI613" s="621"/>
      <c r="BUJ613" s="3933"/>
      <c r="BUK613" s="3933"/>
      <c r="BUL613" s="3933"/>
      <c r="BUM613" s="621"/>
      <c r="BUN613" s="3933"/>
      <c r="BUO613" s="3933"/>
      <c r="BUP613" s="3933"/>
      <c r="BUQ613" s="621"/>
      <c r="BUR613" s="3933"/>
      <c r="BUS613" s="3933"/>
      <c r="BUT613" s="3933"/>
      <c r="BUU613" s="621"/>
      <c r="BUV613" s="3933"/>
      <c r="BUW613" s="3933"/>
      <c r="BUX613" s="3933"/>
      <c r="BUY613" s="621"/>
      <c r="BUZ613" s="3933"/>
      <c r="BVA613" s="3933"/>
      <c r="BVB613" s="3933"/>
      <c r="BVC613" s="621"/>
      <c r="BVD613" s="3933"/>
      <c r="BVE613" s="3933"/>
      <c r="BVF613" s="3933"/>
      <c r="BVG613" s="621"/>
      <c r="BVH613" s="3933"/>
      <c r="BVI613" s="3933"/>
      <c r="BVJ613" s="3933"/>
      <c r="BVK613" s="621"/>
      <c r="BVL613" s="3933"/>
      <c r="BVM613" s="3933"/>
      <c r="BVN613" s="3933"/>
      <c r="BVO613" s="621"/>
      <c r="BVP613" s="3933"/>
      <c r="BVQ613" s="3933"/>
      <c r="BVR613" s="3933"/>
      <c r="BVS613" s="621"/>
      <c r="BVT613" s="3933"/>
      <c r="BVU613" s="3933"/>
      <c r="BVV613" s="3933"/>
      <c r="BVW613" s="621"/>
      <c r="BVX613" s="3933"/>
      <c r="BVY613" s="3933"/>
      <c r="BVZ613" s="3933"/>
      <c r="BWA613" s="621"/>
      <c r="BWB613" s="3933"/>
      <c r="BWC613" s="3933"/>
      <c r="BWD613" s="3933"/>
      <c r="BWE613" s="621"/>
      <c r="BWF613" s="3933"/>
      <c r="BWG613" s="3933"/>
      <c r="BWH613" s="3933"/>
      <c r="BWI613" s="621"/>
      <c r="BWJ613" s="3933"/>
      <c r="BWK613" s="3933"/>
      <c r="BWL613" s="3933"/>
      <c r="BWM613" s="621"/>
      <c r="BWN613" s="3933"/>
      <c r="BWO613" s="3933"/>
      <c r="BWP613" s="3933"/>
      <c r="BWQ613" s="621"/>
      <c r="BWR613" s="3933"/>
      <c r="BWS613" s="3933"/>
      <c r="BWT613" s="3933"/>
      <c r="BWU613" s="621"/>
      <c r="BWV613" s="3933"/>
      <c r="BWW613" s="3933"/>
      <c r="BWX613" s="3933"/>
      <c r="BWY613" s="621"/>
      <c r="BWZ613" s="3933"/>
      <c r="BXA613" s="3933"/>
      <c r="BXB613" s="3933"/>
      <c r="BXC613" s="621"/>
      <c r="BXD613" s="3933"/>
      <c r="BXE613" s="3933"/>
      <c r="BXF613" s="3933"/>
      <c r="BXG613" s="621"/>
      <c r="BXH613" s="3933"/>
      <c r="BXI613" s="3933"/>
      <c r="BXJ613" s="3933"/>
      <c r="BXK613" s="621"/>
      <c r="BXL613" s="3933"/>
      <c r="BXM613" s="3933"/>
      <c r="BXN613" s="3933"/>
      <c r="BXO613" s="621"/>
      <c r="BXP613" s="3933"/>
      <c r="BXQ613" s="3933"/>
      <c r="BXR613" s="3933"/>
      <c r="BXS613" s="621"/>
      <c r="BXT613" s="3933"/>
      <c r="BXU613" s="3933"/>
      <c r="BXV613" s="3933"/>
      <c r="BXW613" s="621"/>
      <c r="BXX613" s="3933"/>
      <c r="BXY613" s="3933"/>
      <c r="BXZ613" s="3933"/>
      <c r="BYA613" s="621"/>
      <c r="BYB613" s="3933"/>
      <c r="BYC613" s="3933"/>
      <c r="BYD613" s="3933"/>
      <c r="BYE613" s="621"/>
      <c r="BYF613" s="3933"/>
      <c r="BYG613" s="3933"/>
      <c r="BYH613" s="3933"/>
      <c r="BYI613" s="621"/>
      <c r="BYJ613" s="3933"/>
      <c r="BYK613" s="3933"/>
      <c r="BYL613" s="3933"/>
      <c r="BYM613" s="621"/>
      <c r="BYN613" s="3933"/>
      <c r="BYO613" s="3933"/>
      <c r="BYP613" s="3933"/>
      <c r="BYQ613" s="621"/>
      <c r="BYR613" s="3933"/>
      <c r="BYS613" s="3933"/>
      <c r="BYT613" s="3933"/>
      <c r="BYU613" s="621"/>
      <c r="BYV613" s="3933"/>
      <c r="BYW613" s="3933"/>
      <c r="BYX613" s="3933"/>
      <c r="BYY613" s="621"/>
      <c r="BYZ613" s="3933"/>
      <c r="BZA613" s="3933"/>
      <c r="BZB613" s="3933"/>
      <c r="BZC613" s="621"/>
      <c r="BZD613" s="3933"/>
      <c r="BZE613" s="3933"/>
      <c r="BZF613" s="3933"/>
      <c r="BZG613" s="621"/>
      <c r="BZH613" s="3933"/>
      <c r="BZI613" s="3933"/>
      <c r="BZJ613" s="3933"/>
      <c r="BZK613" s="621"/>
      <c r="BZL613" s="3933"/>
      <c r="BZM613" s="3933"/>
      <c r="BZN613" s="3933"/>
      <c r="BZO613" s="621"/>
      <c r="BZP613" s="3933"/>
      <c r="BZQ613" s="3933"/>
      <c r="BZR613" s="3933"/>
      <c r="BZS613" s="621"/>
      <c r="BZT613" s="3933"/>
      <c r="BZU613" s="3933"/>
      <c r="BZV613" s="3933"/>
      <c r="BZW613" s="621"/>
      <c r="BZX613" s="3933"/>
      <c r="BZY613" s="3933"/>
      <c r="BZZ613" s="3933"/>
      <c r="CAA613" s="621"/>
      <c r="CAB613" s="3933"/>
      <c r="CAC613" s="3933"/>
      <c r="CAD613" s="3933"/>
      <c r="CAE613" s="621"/>
      <c r="CAF613" s="3933"/>
      <c r="CAG613" s="3933"/>
      <c r="CAH613" s="3933"/>
      <c r="CAI613" s="621"/>
      <c r="CAJ613" s="3933"/>
      <c r="CAK613" s="3933"/>
      <c r="CAL613" s="3933"/>
      <c r="CAM613" s="621"/>
      <c r="CAN613" s="3933"/>
      <c r="CAO613" s="3933"/>
      <c r="CAP613" s="3933"/>
      <c r="CAQ613" s="621"/>
      <c r="CAR613" s="3933"/>
      <c r="CAS613" s="3933"/>
      <c r="CAT613" s="3933"/>
      <c r="CAU613" s="621"/>
      <c r="CAV613" s="3933"/>
      <c r="CAW613" s="3933"/>
      <c r="CAX613" s="3933"/>
      <c r="CAY613" s="621"/>
      <c r="CAZ613" s="3933"/>
      <c r="CBA613" s="3933"/>
      <c r="CBB613" s="3933"/>
      <c r="CBC613" s="621"/>
      <c r="CBD613" s="3933"/>
      <c r="CBE613" s="3933"/>
      <c r="CBF613" s="3933"/>
      <c r="CBG613" s="621"/>
      <c r="CBH613" s="3933"/>
      <c r="CBI613" s="3933"/>
      <c r="CBJ613" s="3933"/>
      <c r="CBK613" s="621"/>
      <c r="CBL613" s="3933"/>
      <c r="CBM613" s="3933"/>
      <c r="CBN613" s="3933"/>
      <c r="CBO613" s="621"/>
      <c r="CBP613" s="3933"/>
      <c r="CBQ613" s="3933"/>
      <c r="CBR613" s="3933"/>
      <c r="CBS613" s="621"/>
      <c r="CBT613" s="3933"/>
      <c r="CBU613" s="3933"/>
      <c r="CBV613" s="3933"/>
      <c r="CBW613" s="621"/>
      <c r="CBX613" s="3933"/>
      <c r="CBY613" s="3933"/>
      <c r="CBZ613" s="3933"/>
      <c r="CCA613" s="621"/>
      <c r="CCB613" s="3933"/>
      <c r="CCC613" s="3933"/>
      <c r="CCD613" s="3933"/>
      <c r="CCE613" s="621"/>
      <c r="CCF613" s="3933"/>
      <c r="CCG613" s="3933"/>
      <c r="CCH613" s="3933"/>
      <c r="CCI613" s="621"/>
      <c r="CCJ613" s="3933"/>
      <c r="CCK613" s="3933"/>
      <c r="CCL613" s="3933"/>
      <c r="CCM613" s="621"/>
      <c r="CCN613" s="3933"/>
      <c r="CCO613" s="3933"/>
      <c r="CCP613" s="3933"/>
      <c r="CCQ613" s="621"/>
      <c r="CCR613" s="3933"/>
      <c r="CCS613" s="3933"/>
      <c r="CCT613" s="3933"/>
      <c r="CCU613" s="621"/>
      <c r="CCV613" s="3933"/>
      <c r="CCW613" s="3933"/>
      <c r="CCX613" s="3933"/>
      <c r="CCY613" s="621"/>
      <c r="CCZ613" s="3933"/>
      <c r="CDA613" s="3933"/>
      <c r="CDB613" s="3933"/>
      <c r="CDC613" s="621"/>
      <c r="CDD613" s="3933"/>
      <c r="CDE613" s="3933"/>
      <c r="CDF613" s="3933"/>
      <c r="CDG613" s="621"/>
      <c r="CDH613" s="3933"/>
      <c r="CDI613" s="3933"/>
      <c r="CDJ613" s="3933"/>
      <c r="CDK613" s="621"/>
      <c r="CDL613" s="3933"/>
      <c r="CDM613" s="3933"/>
      <c r="CDN613" s="3933"/>
      <c r="CDO613" s="621"/>
      <c r="CDP613" s="3933"/>
      <c r="CDQ613" s="3933"/>
      <c r="CDR613" s="3933"/>
      <c r="CDS613" s="621"/>
      <c r="CDT613" s="3933"/>
      <c r="CDU613" s="3933"/>
      <c r="CDV613" s="3933"/>
      <c r="CDW613" s="621"/>
      <c r="CDX613" s="3933"/>
      <c r="CDY613" s="3933"/>
      <c r="CDZ613" s="3933"/>
      <c r="CEA613" s="621"/>
      <c r="CEB613" s="3933"/>
      <c r="CEC613" s="3933"/>
      <c r="CED613" s="3933"/>
      <c r="CEE613" s="621"/>
      <c r="CEF613" s="3933"/>
      <c r="CEG613" s="3933"/>
      <c r="CEH613" s="3933"/>
      <c r="CEI613" s="621"/>
      <c r="CEJ613" s="3933"/>
      <c r="CEK613" s="3933"/>
      <c r="CEL613" s="3933"/>
      <c r="CEM613" s="621"/>
      <c r="CEN613" s="3933"/>
      <c r="CEO613" s="3933"/>
      <c r="CEP613" s="3933"/>
      <c r="CEQ613" s="621"/>
      <c r="CER613" s="3933"/>
      <c r="CES613" s="3933"/>
      <c r="CET613" s="3933"/>
      <c r="CEU613" s="621"/>
      <c r="CEV613" s="3933"/>
      <c r="CEW613" s="3933"/>
      <c r="CEX613" s="3933"/>
      <c r="CEY613" s="621"/>
      <c r="CEZ613" s="3933"/>
      <c r="CFA613" s="3933"/>
      <c r="CFB613" s="3933"/>
      <c r="CFC613" s="621"/>
      <c r="CFD613" s="3933"/>
      <c r="CFE613" s="3933"/>
      <c r="CFF613" s="3933"/>
      <c r="CFG613" s="621"/>
      <c r="CFH613" s="3933"/>
      <c r="CFI613" s="3933"/>
      <c r="CFJ613" s="3933"/>
      <c r="CFK613" s="621"/>
      <c r="CFL613" s="3933"/>
      <c r="CFM613" s="3933"/>
      <c r="CFN613" s="3933"/>
      <c r="CFO613" s="621"/>
      <c r="CFP613" s="3933"/>
      <c r="CFQ613" s="3933"/>
      <c r="CFR613" s="3933"/>
      <c r="CFS613" s="621"/>
      <c r="CFT613" s="3933"/>
      <c r="CFU613" s="3933"/>
      <c r="CFV613" s="3933"/>
      <c r="CFW613" s="621"/>
      <c r="CFX613" s="3933"/>
      <c r="CFY613" s="3933"/>
      <c r="CFZ613" s="3933"/>
      <c r="CGA613" s="621"/>
      <c r="CGB613" s="3933"/>
      <c r="CGC613" s="3933"/>
      <c r="CGD613" s="3933"/>
      <c r="CGE613" s="621"/>
      <c r="CGF613" s="3933"/>
      <c r="CGG613" s="3933"/>
      <c r="CGH613" s="3933"/>
      <c r="CGI613" s="621"/>
      <c r="CGJ613" s="3933"/>
      <c r="CGK613" s="3933"/>
      <c r="CGL613" s="3933"/>
      <c r="CGM613" s="621"/>
      <c r="CGN613" s="3933"/>
      <c r="CGO613" s="3933"/>
      <c r="CGP613" s="3933"/>
      <c r="CGQ613" s="621"/>
      <c r="CGR613" s="3933"/>
      <c r="CGS613" s="3933"/>
      <c r="CGT613" s="3933"/>
      <c r="CGU613" s="621"/>
      <c r="CGV613" s="3933"/>
      <c r="CGW613" s="3933"/>
      <c r="CGX613" s="3933"/>
      <c r="CGY613" s="621"/>
      <c r="CGZ613" s="3933"/>
      <c r="CHA613" s="3933"/>
      <c r="CHB613" s="3933"/>
      <c r="CHC613" s="621"/>
      <c r="CHD613" s="3933"/>
      <c r="CHE613" s="3933"/>
      <c r="CHF613" s="3933"/>
      <c r="CHG613" s="621"/>
      <c r="CHH613" s="3933"/>
      <c r="CHI613" s="3933"/>
      <c r="CHJ613" s="3933"/>
      <c r="CHK613" s="621"/>
      <c r="CHL613" s="3933"/>
      <c r="CHM613" s="3933"/>
      <c r="CHN613" s="3933"/>
      <c r="CHO613" s="621"/>
      <c r="CHP613" s="3933"/>
      <c r="CHQ613" s="3933"/>
      <c r="CHR613" s="3933"/>
      <c r="CHS613" s="621"/>
      <c r="CHT613" s="3933"/>
      <c r="CHU613" s="3933"/>
      <c r="CHV613" s="3933"/>
      <c r="CHW613" s="621"/>
      <c r="CHX613" s="3933"/>
      <c r="CHY613" s="3933"/>
      <c r="CHZ613" s="3933"/>
      <c r="CIA613" s="621"/>
      <c r="CIB613" s="3933"/>
      <c r="CIC613" s="3933"/>
      <c r="CID613" s="3933"/>
      <c r="CIE613" s="621"/>
      <c r="CIF613" s="3933"/>
      <c r="CIG613" s="3933"/>
      <c r="CIH613" s="3933"/>
      <c r="CII613" s="621"/>
      <c r="CIJ613" s="3933"/>
      <c r="CIK613" s="3933"/>
      <c r="CIL613" s="3933"/>
      <c r="CIM613" s="621"/>
      <c r="CIN613" s="3933"/>
      <c r="CIO613" s="3933"/>
      <c r="CIP613" s="3933"/>
      <c r="CIQ613" s="621"/>
      <c r="CIR613" s="3933"/>
      <c r="CIS613" s="3933"/>
      <c r="CIT613" s="3933"/>
      <c r="CIU613" s="621"/>
      <c r="CIV613" s="3933"/>
      <c r="CIW613" s="3933"/>
      <c r="CIX613" s="3933"/>
      <c r="CIY613" s="621"/>
      <c r="CIZ613" s="3933"/>
      <c r="CJA613" s="3933"/>
      <c r="CJB613" s="3933"/>
      <c r="CJC613" s="621"/>
      <c r="CJD613" s="3933"/>
      <c r="CJE613" s="3933"/>
      <c r="CJF613" s="3933"/>
      <c r="CJG613" s="621"/>
      <c r="CJH613" s="3933"/>
      <c r="CJI613" s="3933"/>
      <c r="CJJ613" s="3933"/>
      <c r="CJK613" s="621"/>
      <c r="CJL613" s="3933"/>
      <c r="CJM613" s="3933"/>
      <c r="CJN613" s="3933"/>
      <c r="CJO613" s="621"/>
      <c r="CJP613" s="3933"/>
      <c r="CJQ613" s="3933"/>
      <c r="CJR613" s="3933"/>
      <c r="CJS613" s="621"/>
      <c r="CJT613" s="3933"/>
      <c r="CJU613" s="3933"/>
      <c r="CJV613" s="3933"/>
      <c r="CJW613" s="621"/>
      <c r="CJX613" s="3933"/>
      <c r="CJY613" s="3933"/>
      <c r="CJZ613" s="3933"/>
      <c r="CKA613" s="621"/>
      <c r="CKB613" s="3933"/>
      <c r="CKC613" s="3933"/>
      <c r="CKD613" s="3933"/>
      <c r="CKE613" s="621"/>
      <c r="CKF613" s="3933"/>
      <c r="CKG613" s="3933"/>
      <c r="CKH613" s="3933"/>
      <c r="CKI613" s="621"/>
      <c r="CKJ613" s="3933"/>
      <c r="CKK613" s="3933"/>
      <c r="CKL613" s="3933"/>
      <c r="CKM613" s="621"/>
      <c r="CKN613" s="3933"/>
      <c r="CKO613" s="3933"/>
      <c r="CKP613" s="3933"/>
      <c r="CKQ613" s="621"/>
      <c r="CKR613" s="3933"/>
      <c r="CKS613" s="3933"/>
      <c r="CKT613" s="3933"/>
      <c r="CKU613" s="621"/>
      <c r="CKV613" s="3933"/>
      <c r="CKW613" s="3933"/>
      <c r="CKX613" s="3933"/>
      <c r="CKY613" s="621"/>
      <c r="CKZ613" s="3933"/>
      <c r="CLA613" s="3933"/>
      <c r="CLB613" s="3933"/>
      <c r="CLC613" s="621"/>
      <c r="CLD613" s="3933"/>
      <c r="CLE613" s="3933"/>
      <c r="CLF613" s="3933"/>
      <c r="CLG613" s="621"/>
      <c r="CLH613" s="3933"/>
      <c r="CLI613" s="3933"/>
      <c r="CLJ613" s="3933"/>
      <c r="CLK613" s="621"/>
      <c r="CLL613" s="3933"/>
      <c r="CLM613" s="3933"/>
      <c r="CLN613" s="3933"/>
      <c r="CLO613" s="621"/>
      <c r="CLP613" s="3933"/>
      <c r="CLQ613" s="3933"/>
      <c r="CLR613" s="3933"/>
      <c r="CLS613" s="621"/>
      <c r="CLT613" s="3933"/>
      <c r="CLU613" s="3933"/>
      <c r="CLV613" s="3933"/>
      <c r="CLW613" s="621"/>
      <c r="CLX613" s="3933"/>
      <c r="CLY613" s="3933"/>
      <c r="CLZ613" s="3933"/>
      <c r="CMA613" s="621"/>
      <c r="CMB613" s="3933"/>
      <c r="CMC613" s="3933"/>
      <c r="CMD613" s="3933"/>
      <c r="CME613" s="621"/>
      <c r="CMF613" s="3933"/>
      <c r="CMG613" s="3933"/>
      <c r="CMH613" s="3933"/>
      <c r="CMI613" s="621"/>
      <c r="CMJ613" s="3933"/>
      <c r="CMK613" s="3933"/>
      <c r="CML613" s="3933"/>
      <c r="CMM613" s="621"/>
      <c r="CMN613" s="3933"/>
      <c r="CMO613" s="3933"/>
      <c r="CMP613" s="3933"/>
      <c r="CMQ613" s="621"/>
      <c r="CMR613" s="3933"/>
      <c r="CMS613" s="3933"/>
      <c r="CMT613" s="3933"/>
      <c r="CMU613" s="621"/>
      <c r="CMV613" s="3933"/>
      <c r="CMW613" s="3933"/>
      <c r="CMX613" s="3933"/>
      <c r="CMY613" s="621"/>
      <c r="CMZ613" s="3933"/>
      <c r="CNA613" s="3933"/>
      <c r="CNB613" s="3933"/>
      <c r="CNC613" s="621"/>
      <c r="CND613" s="3933"/>
      <c r="CNE613" s="3933"/>
      <c r="CNF613" s="3933"/>
      <c r="CNG613" s="621"/>
      <c r="CNH613" s="3933"/>
      <c r="CNI613" s="3933"/>
      <c r="CNJ613" s="3933"/>
      <c r="CNK613" s="621"/>
      <c r="CNL613" s="3933"/>
      <c r="CNM613" s="3933"/>
      <c r="CNN613" s="3933"/>
      <c r="CNO613" s="621"/>
      <c r="CNP613" s="3933"/>
      <c r="CNQ613" s="3933"/>
      <c r="CNR613" s="3933"/>
      <c r="CNS613" s="621"/>
      <c r="CNT613" s="3933"/>
      <c r="CNU613" s="3933"/>
      <c r="CNV613" s="3933"/>
      <c r="CNW613" s="621"/>
      <c r="CNX613" s="3933"/>
      <c r="CNY613" s="3933"/>
      <c r="CNZ613" s="3933"/>
      <c r="COA613" s="621"/>
      <c r="COB613" s="3933"/>
      <c r="COC613" s="3933"/>
      <c r="COD613" s="3933"/>
      <c r="COE613" s="621"/>
      <c r="COF613" s="3933"/>
      <c r="COG613" s="3933"/>
      <c r="COH613" s="3933"/>
      <c r="COI613" s="621"/>
      <c r="COJ613" s="3933"/>
      <c r="COK613" s="3933"/>
      <c r="COL613" s="3933"/>
      <c r="COM613" s="621"/>
      <c r="CON613" s="3933"/>
      <c r="COO613" s="3933"/>
      <c r="COP613" s="3933"/>
      <c r="COQ613" s="621"/>
      <c r="COR613" s="3933"/>
      <c r="COS613" s="3933"/>
      <c r="COT613" s="3933"/>
      <c r="COU613" s="621"/>
      <c r="COV613" s="3933"/>
      <c r="COW613" s="3933"/>
      <c r="COX613" s="3933"/>
      <c r="COY613" s="621"/>
      <c r="COZ613" s="3933"/>
      <c r="CPA613" s="3933"/>
      <c r="CPB613" s="3933"/>
      <c r="CPC613" s="621"/>
      <c r="CPD613" s="3933"/>
      <c r="CPE613" s="3933"/>
      <c r="CPF613" s="3933"/>
      <c r="CPG613" s="621"/>
      <c r="CPH613" s="3933"/>
      <c r="CPI613" s="3933"/>
      <c r="CPJ613" s="3933"/>
      <c r="CPK613" s="621"/>
      <c r="CPL613" s="3933"/>
      <c r="CPM613" s="3933"/>
      <c r="CPN613" s="3933"/>
      <c r="CPO613" s="621"/>
      <c r="CPP613" s="3933"/>
      <c r="CPQ613" s="3933"/>
      <c r="CPR613" s="3933"/>
      <c r="CPS613" s="621"/>
      <c r="CPT613" s="3933"/>
      <c r="CPU613" s="3933"/>
      <c r="CPV613" s="3933"/>
      <c r="CPW613" s="621"/>
      <c r="CPX613" s="3933"/>
      <c r="CPY613" s="3933"/>
      <c r="CPZ613" s="3933"/>
      <c r="CQA613" s="621"/>
      <c r="CQB613" s="3933"/>
      <c r="CQC613" s="3933"/>
      <c r="CQD613" s="3933"/>
      <c r="CQE613" s="621"/>
      <c r="CQF613" s="3933"/>
      <c r="CQG613" s="3933"/>
      <c r="CQH613" s="3933"/>
      <c r="CQI613" s="621"/>
      <c r="CQJ613" s="3933"/>
      <c r="CQK613" s="3933"/>
      <c r="CQL613" s="3933"/>
      <c r="CQM613" s="621"/>
      <c r="CQN613" s="3933"/>
      <c r="CQO613" s="3933"/>
      <c r="CQP613" s="3933"/>
      <c r="CQQ613" s="621"/>
      <c r="CQR613" s="3933"/>
      <c r="CQS613" s="3933"/>
      <c r="CQT613" s="3933"/>
      <c r="CQU613" s="621"/>
      <c r="CQV613" s="3933"/>
      <c r="CQW613" s="3933"/>
      <c r="CQX613" s="3933"/>
      <c r="CQY613" s="621"/>
      <c r="CQZ613" s="3933"/>
      <c r="CRA613" s="3933"/>
      <c r="CRB613" s="3933"/>
      <c r="CRC613" s="621"/>
      <c r="CRD613" s="3933"/>
      <c r="CRE613" s="3933"/>
      <c r="CRF613" s="3933"/>
      <c r="CRG613" s="621"/>
      <c r="CRH613" s="3933"/>
      <c r="CRI613" s="3933"/>
      <c r="CRJ613" s="3933"/>
      <c r="CRK613" s="621"/>
      <c r="CRL613" s="3933"/>
      <c r="CRM613" s="3933"/>
      <c r="CRN613" s="3933"/>
      <c r="CRO613" s="621"/>
      <c r="CRP613" s="3933"/>
      <c r="CRQ613" s="3933"/>
      <c r="CRR613" s="3933"/>
      <c r="CRS613" s="621"/>
      <c r="CRT613" s="3933"/>
      <c r="CRU613" s="3933"/>
      <c r="CRV613" s="3933"/>
      <c r="CRW613" s="621"/>
      <c r="CRX613" s="3933"/>
      <c r="CRY613" s="3933"/>
      <c r="CRZ613" s="3933"/>
      <c r="CSA613" s="621"/>
      <c r="CSB613" s="3933"/>
      <c r="CSC613" s="3933"/>
      <c r="CSD613" s="3933"/>
      <c r="CSE613" s="621"/>
      <c r="CSF613" s="3933"/>
      <c r="CSG613" s="3933"/>
      <c r="CSH613" s="3933"/>
      <c r="CSI613" s="621"/>
      <c r="CSJ613" s="3933"/>
      <c r="CSK613" s="3933"/>
      <c r="CSL613" s="3933"/>
      <c r="CSM613" s="621"/>
      <c r="CSN613" s="3933"/>
      <c r="CSO613" s="3933"/>
      <c r="CSP613" s="3933"/>
      <c r="CSQ613" s="621"/>
      <c r="CSR613" s="3933"/>
      <c r="CSS613" s="3933"/>
      <c r="CST613" s="3933"/>
      <c r="CSU613" s="621"/>
      <c r="CSV613" s="3933"/>
      <c r="CSW613" s="3933"/>
      <c r="CSX613" s="3933"/>
      <c r="CSY613" s="621"/>
      <c r="CSZ613" s="3933"/>
      <c r="CTA613" s="3933"/>
      <c r="CTB613" s="3933"/>
      <c r="CTC613" s="621"/>
      <c r="CTD613" s="3933"/>
      <c r="CTE613" s="3933"/>
      <c r="CTF613" s="3933"/>
      <c r="CTG613" s="621"/>
      <c r="CTH613" s="3933"/>
      <c r="CTI613" s="3933"/>
      <c r="CTJ613" s="3933"/>
      <c r="CTK613" s="621"/>
      <c r="CTL613" s="3933"/>
      <c r="CTM613" s="3933"/>
      <c r="CTN613" s="3933"/>
      <c r="CTO613" s="621"/>
      <c r="CTP613" s="3933"/>
      <c r="CTQ613" s="3933"/>
      <c r="CTR613" s="3933"/>
      <c r="CTS613" s="621"/>
      <c r="CTT613" s="3933"/>
      <c r="CTU613" s="3933"/>
      <c r="CTV613" s="3933"/>
      <c r="CTW613" s="621"/>
      <c r="CTX613" s="3933"/>
      <c r="CTY613" s="3933"/>
      <c r="CTZ613" s="3933"/>
      <c r="CUA613" s="621"/>
      <c r="CUB613" s="3933"/>
      <c r="CUC613" s="3933"/>
      <c r="CUD613" s="3933"/>
      <c r="CUE613" s="621"/>
      <c r="CUF613" s="3933"/>
      <c r="CUG613" s="3933"/>
      <c r="CUH613" s="3933"/>
      <c r="CUI613" s="621"/>
      <c r="CUJ613" s="3933"/>
      <c r="CUK613" s="3933"/>
      <c r="CUL613" s="3933"/>
      <c r="CUM613" s="621"/>
      <c r="CUN613" s="3933"/>
      <c r="CUO613" s="3933"/>
      <c r="CUP613" s="3933"/>
      <c r="CUQ613" s="621"/>
      <c r="CUR613" s="3933"/>
      <c r="CUS613" s="3933"/>
      <c r="CUT613" s="3933"/>
      <c r="CUU613" s="621"/>
      <c r="CUV613" s="3933"/>
      <c r="CUW613" s="3933"/>
      <c r="CUX613" s="3933"/>
      <c r="CUY613" s="621"/>
      <c r="CUZ613" s="3933"/>
      <c r="CVA613" s="3933"/>
      <c r="CVB613" s="3933"/>
      <c r="CVC613" s="621"/>
      <c r="CVD613" s="3933"/>
      <c r="CVE613" s="3933"/>
      <c r="CVF613" s="3933"/>
      <c r="CVG613" s="621"/>
      <c r="CVH613" s="3933"/>
      <c r="CVI613" s="3933"/>
      <c r="CVJ613" s="3933"/>
      <c r="CVK613" s="621"/>
      <c r="CVL613" s="3933"/>
      <c r="CVM613" s="3933"/>
      <c r="CVN613" s="3933"/>
      <c r="CVO613" s="621"/>
      <c r="CVP613" s="3933"/>
      <c r="CVQ613" s="3933"/>
      <c r="CVR613" s="3933"/>
      <c r="CVS613" s="621"/>
      <c r="CVT613" s="3933"/>
      <c r="CVU613" s="3933"/>
      <c r="CVV613" s="3933"/>
      <c r="CVW613" s="621"/>
      <c r="CVX613" s="3933"/>
      <c r="CVY613" s="3933"/>
      <c r="CVZ613" s="3933"/>
      <c r="CWA613" s="621"/>
      <c r="CWB613" s="3933"/>
      <c r="CWC613" s="3933"/>
      <c r="CWD613" s="3933"/>
      <c r="CWE613" s="621"/>
      <c r="CWF613" s="3933"/>
      <c r="CWG613" s="3933"/>
      <c r="CWH613" s="3933"/>
      <c r="CWI613" s="621"/>
      <c r="CWJ613" s="3933"/>
      <c r="CWK613" s="3933"/>
      <c r="CWL613" s="3933"/>
      <c r="CWM613" s="621"/>
      <c r="CWN613" s="3933"/>
      <c r="CWO613" s="3933"/>
      <c r="CWP613" s="3933"/>
      <c r="CWQ613" s="621"/>
      <c r="CWR613" s="3933"/>
      <c r="CWS613" s="3933"/>
      <c r="CWT613" s="3933"/>
      <c r="CWU613" s="621"/>
      <c r="CWV613" s="3933"/>
      <c r="CWW613" s="3933"/>
      <c r="CWX613" s="3933"/>
      <c r="CWY613" s="621"/>
      <c r="CWZ613" s="3933"/>
      <c r="CXA613" s="3933"/>
      <c r="CXB613" s="3933"/>
      <c r="CXC613" s="621"/>
      <c r="CXD613" s="3933"/>
      <c r="CXE613" s="3933"/>
      <c r="CXF613" s="3933"/>
      <c r="CXG613" s="621"/>
      <c r="CXH613" s="3933"/>
      <c r="CXI613" s="3933"/>
      <c r="CXJ613" s="3933"/>
      <c r="CXK613" s="621"/>
      <c r="CXL613" s="3933"/>
      <c r="CXM613" s="3933"/>
      <c r="CXN613" s="3933"/>
      <c r="CXO613" s="621"/>
      <c r="CXP613" s="3933"/>
      <c r="CXQ613" s="3933"/>
      <c r="CXR613" s="3933"/>
      <c r="CXS613" s="621"/>
      <c r="CXT613" s="3933"/>
      <c r="CXU613" s="3933"/>
      <c r="CXV613" s="3933"/>
      <c r="CXW613" s="621"/>
      <c r="CXX613" s="3933"/>
      <c r="CXY613" s="3933"/>
      <c r="CXZ613" s="3933"/>
      <c r="CYA613" s="621"/>
      <c r="CYB613" s="3933"/>
      <c r="CYC613" s="3933"/>
      <c r="CYD613" s="3933"/>
      <c r="CYE613" s="621"/>
      <c r="CYF613" s="3933"/>
      <c r="CYG613" s="3933"/>
      <c r="CYH613" s="3933"/>
      <c r="CYI613" s="621"/>
      <c r="CYJ613" s="3933"/>
      <c r="CYK613" s="3933"/>
      <c r="CYL613" s="3933"/>
      <c r="CYM613" s="621"/>
      <c r="CYN613" s="3933"/>
      <c r="CYO613" s="3933"/>
      <c r="CYP613" s="3933"/>
      <c r="CYQ613" s="621"/>
      <c r="CYR613" s="3933"/>
      <c r="CYS613" s="3933"/>
      <c r="CYT613" s="3933"/>
      <c r="CYU613" s="621"/>
      <c r="CYV613" s="3933"/>
      <c r="CYW613" s="3933"/>
      <c r="CYX613" s="3933"/>
      <c r="CYY613" s="621"/>
      <c r="CYZ613" s="3933"/>
      <c r="CZA613" s="3933"/>
      <c r="CZB613" s="3933"/>
      <c r="CZC613" s="621"/>
      <c r="CZD613" s="3933"/>
      <c r="CZE613" s="3933"/>
      <c r="CZF613" s="3933"/>
      <c r="CZG613" s="621"/>
      <c r="CZH613" s="3933"/>
      <c r="CZI613" s="3933"/>
      <c r="CZJ613" s="3933"/>
      <c r="CZK613" s="621"/>
      <c r="CZL613" s="3933"/>
      <c r="CZM613" s="3933"/>
      <c r="CZN613" s="3933"/>
      <c r="CZO613" s="621"/>
      <c r="CZP613" s="3933"/>
      <c r="CZQ613" s="3933"/>
      <c r="CZR613" s="3933"/>
      <c r="CZS613" s="621"/>
      <c r="CZT613" s="3933"/>
      <c r="CZU613" s="3933"/>
      <c r="CZV613" s="3933"/>
      <c r="CZW613" s="621"/>
      <c r="CZX613" s="3933"/>
      <c r="CZY613" s="3933"/>
      <c r="CZZ613" s="3933"/>
      <c r="DAA613" s="621"/>
      <c r="DAB613" s="3933"/>
      <c r="DAC613" s="3933"/>
      <c r="DAD613" s="3933"/>
      <c r="DAE613" s="621"/>
      <c r="DAF613" s="3933"/>
      <c r="DAG613" s="3933"/>
      <c r="DAH613" s="3933"/>
      <c r="DAI613" s="621"/>
      <c r="DAJ613" s="3933"/>
      <c r="DAK613" s="3933"/>
      <c r="DAL613" s="3933"/>
      <c r="DAM613" s="621"/>
      <c r="DAN613" s="3933"/>
      <c r="DAO613" s="3933"/>
      <c r="DAP613" s="3933"/>
      <c r="DAQ613" s="621"/>
      <c r="DAR613" s="3933"/>
      <c r="DAS613" s="3933"/>
      <c r="DAT613" s="3933"/>
      <c r="DAU613" s="621"/>
      <c r="DAV613" s="3933"/>
      <c r="DAW613" s="3933"/>
      <c r="DAX613" s="3933"/>
      <c r="DAY613" s="621"/>
      <c r="DAZ613" s="3933"/>
      <c r="DBA613" s="3933"/>
      <c r="DBB613" s="3933"/>
      <c r="DBC613" s="621"/>
      <c r="DBD613" s="3933"/>
      <c r="DBE613" s="3933"/>
      <c r="DBF613" s="3933"/>
      <c r="DBG613" s="621"/>
      <c r="DBH613" s="3933"/>
      <c r="DBI613" s="3933"/>
      <c r="DBJ613" s="3933"/>
      <c r="DBK613" s="621"/>
      <c r="DBL613" s="3933"/>
      <c r="DBM613" s="3933"/>
      <c r="DBN613" s="3933"/>
      <c r="DBO613" s="621"/>
      <c r="DBP613" s="3933"/>
      <c r="DBQ613" s="3933"/>
      <c r="DBR613" s="3933"/>
      <c r="DBS613" s="621"/>
      <c r="DBT613" s="3933"/>
      <c r="DBU613" s="3933"/>
      <c r="DBV613" s="3933"/>
      <c r="DBW613" s="621"/>
      <c r="DBX613" s="3933"/>
      <c r="DBY613" s="3933"/>
      <c r="DBZ613" s="3933"/>
      <c r="DCA613" s="621"/>
      <c r="DCB613" s="3933"/>
      <c r="DCC613" s="3933"/>
      <c r="DCD613" s="3933"/>
      <c r="DCE613" s="621"/>
      <c r="DCF613" s="3933"/>
      <c r="DCG613" s="3933"/>
      <c r="DCH613" s="3933"/>
      <c r="DCI613" s="621"/>
      <c r="DCJ613" s="3933"/>
      <c r="DCK613" s="3933"/>
      <c r="DCL613" s="3933"/>
      <c r="DCM613" s="621"/>
      <c r="DCN613" s="3933"/>
      <c r="DCO613" s="3933"/>
      <c r="DCP613" s="3933"/>
      <c r="DCQ613" s="621"/>
      <c r="DCR613" s="3933"/>
      <c r="DCS613" s="3933"/>
      <c r="DCT613" s="3933"/>
      <c r="DCU613" s="621"/>
      <c r="DCV613" s="3933"/>
      <c r="DCW613" s="3933"/>
      <c r="DCX613" s="3933"/>
      <c r="DCY613" s="621"/>
      <c r="DCZ613" s="3933"/>
      <c r="DDA613" s="3933"/>
      <c r="DDB613" s="3933"/>
      <c r="DDC613" s="621"/>
      <c r="DDD613" s="3933"/>
      <c r="DDE613" s="3933"/>
      <c r="DDF613" s="3933"/>
      <c r="DDG613" s="621"/>
      <c r="DDH613" s="3933"/>
      <c r="DDI613" s="3933"/>
      <c r="DDJ613" s="3933"/>
      <c r="DDK613" s="621"/>
      <c r="DDL613" s="3933"/>
      <c r="DDM613" s="3933"/>
      <c r="DDN613" s="3933"/>
      <c r="DDO613" s="621"/>
      <c r="DDP613" s="3933"/>
      <c r="DDQ613" s="3933"/>
      <c r="DDR613" s="3933"/>
      <c r="DDS613" s="621"/>
      <c r="DDT613" s="3933"/>
      <c r="DDU613" s="3933"/>
      <c r="DDV613" s="3933"/>
      <c r="DDW613" s="621"/>
      <c r="DDX613" s="3933"/>
      <c r="DDY613" s="3933"/>
      <c r="DDZ613" s="3933"/>
      <c r="DEA613" s="621"/>
      <c r="DEB613" s="3933"/>
      <c r="DEC613" s="3933"/>
      <c r="DED613" s="3933"/>
      <c r="DEE613" s="621"/>
      <c r="DEF613" s="3933"/>
      <c r="DEG613" s="3933"/>
      <c r="DEH613" s="3933"/>
      <c r="DEI613" s="621"/>
      <c r="DEJ613" s="3933"/>
      <c r="DEK613" s="3933"/>
      <c r="DEL613" s="3933"/>
      <c r="DEM613" s="621"/>
      <c r="DEN613" s="3933"/>
      <c r="DEO613" s="3933"/>
      <c r="DEP613" s="3933"/>
      <c r="DEQ613" s="621"/>
      <c r="DER613" s="3933"/>
      <c r="DES613" s="3933"/>
      <c r="DET613" s="3933"/>
      <c r="DEU613" s="621"/>
      <c r="DEV613" s="3933"/>
      <c r="DEW613" s="3933"/>
      <c r="DEX613" s="3933"/>
      <c r="DEY613" s="621"/>
      <c r="DEZ613" s="3933"/>
      <c r="DFA613" s="3933"/>
      <c r="DFB613" s="3933"/>
      <c r="DFC613" s="621"/>
      <c r="DFD613" s="3933"/>
      <c r="DFE613" s="3933"/>
      <c r="DFF613" s="3933"/>
      <c r="DFG613" s="621"/>
      <c r="DFH613" s="3933"/>
      <c r="DFI613" s="3933"/>
      <c r="DFJ613" s="3933"/>
      <c r="DFK613" s="621"/>
      <c r="DFL613" s="3933"/>
      <c r="DFM613" s="3933"/>
      <c r="DFN613" s="3933"/>
      <c r="DFO613" s="621"/>
      <c r="DFP613" s="3933"/>
      <c r="DFQ613" s="3933"/>
      <c r="DFR613" s="3933"/>
      <c r="DFS613" s="621"/>
      <c r="DFT613" s="3933"/>
      <c r="DFU613" s="3933"/>
      <c r="DFV613" s="3933"/>
      <c r="DFW613" s="621"/>
      <c r="DFX613" s="3933"/>
      <c r="DFY613" s="3933"/>
      <c r="DFZ613" s="3933"/>
      <c r="DGA613" s="621"/>
      <c r="DGB613" s="3933"/>
      <c r="DGC613" s="3933"/>
      <c r="DGD613" s="3933"/>
      <c r="DGE613" s="621"/>
      <c r="DGF613" s="3933"/>
      <c r="DGG613" s="3933"/>
      <c r="DGH613" s="3933"/>
      <c r="DGI613" s="621"/>
      <c r="DGJ613" s="3933"/>
      <c r="DGK613" s="3933"/>
      <c r="DGL613" s="3933"/>
      <c r="DGM613" s="621"/>
      <c r="DGN613" s="3933"/>
      <c r="DGO613" s="3933"/>
      <c r="DGP613" s="3933"/>
      <c r="DGQ613" s="621"/>
      <c r="DGR613" s="3933"/>
      <c r="DGS613" s="3933"/>
      <c r="DGT613" s="3933"/>
      <c r="DGU613" s="621"/>
      <c r="DGV613" s="3933"/>
      <c r="DGW613" s="3933"/>
      <c r="DGX613" s="3933"/>
      <c r="DGY613" s="621"/>
      <c r="DGZ613" s="3933"/>
      <c r="DHA613" s="3933"/>
      <c r="DHB613" s="3933"/>
      <c r="DHC613" s="621"/>
      <c r="DHD613" s="3933"/>
      <c r="DHE613" s="3933"/>
      <c r="DHF613" s="3933"/>
      <c r="DHG613" s="621"/>
      <c r="DHH613" s="3933"/>
      <c r="DHI613" s="3933"/>
      <c r="DHJ613" s="3933"/>
      <c r="DHK613" s="621"/>
      <c r="DHL613" s="3933"/>
      <c r="DHM613" s="3933"/>
      <c r="DHN613" s="3933"/>
      <c r="DHO613" s="621"/>
      <c r="DHP613" s="3933"/>
      <c r="DHQ613" s="3933"/>
      <c r="DHR613" s="3933"/>
      <c r="DHS613" s="621"/>
      <c r="DHT613" s="3933"/>
      <c r="DHU613" s="3933"/>
      <c r="DHV613" s="3933"/>
      <c r="DHW613" s="621"/>
      <c r="DHX613" s="3933"/>
      <c r="DHY613" s="3933"/>
      <c r="DHZ613" s="3933"/>
      <c r="DIA613" s="621"/>
      <c r="DIB613" s="3933"/>
      <c r="DIC613" s="3933"/>
      <c r="DID613" s="3933"/>
      <c r="DIE613" s="621"/>
      <c r="DIF613" s="3933"/>
      <c r="DIG613" s="3933"/>
      <c r="DIH613" s="3933"/>
      <c r="DII613" s="621"/>
      <c r="DIJ613" s="3933"/>
      <c r="DIK613" s="3933"/>
      <c r="DIL613" s="3933"/>
      <c r="DIM613" s="621"/>
      <c r="DIN613" s="3933"/>
      <c r="DIO613" s="3933"/>
      <c r="DIP613" s="3933"/>
      <c r="DIQ613" s="621"/>
      <c r="DIR613" s="3933"/>
      <c r="DIS613" s="3933"/>
      <c r="DIT613" s="3933"/>
      <c r="DIU613" s="621"/>
      <c r="DIV613" s="3933"/>
      <c r="DIW613" s="3933"/>
      <c r="DIX613" s="3933"/>
      <c r="DIY613" s="621"/>
      <c r="DIZ613" s="3933"/>
      <c r="DJA613" s="3933"/>
      <c r="DJB613" s="3933"/>
      <c r="DJC613" s="621"/>
      <c r="DJD613" s="3933"/>
      <c r="DJE613" s="3933"/>
      <c r="DJF613" s="3933"/>
      <c r="DJG613" s="621"/>
      <c r="DJH613" s="3933"/>
      <c r="DJI613" s="3933"/>
      <c r="DJJ613" s="3933"/>
      <c r="DJK613" s="621"/>
      <c r="DJL613" s="3933"/>
      <c r="DJM613" s="3933"/>
      <c r="DJN613" s="3933"/>
      <c r="DJO613" s="621"/>
      <c r="DJP613" s="3933"/>
      <c r="DJQ613" s="3933"/>
      <c r="DJR613" s="3933"/>
      <c r="DJS613" s="621"/>
      <c r="DJT613" s="3933"/>
      <c r="DJU613" s="3933"/>
      <c r="DJV613" s="3933"/>
      <c r="DJW613" s="621"/>
      <c r="DJX613" s="3933"/>
      <c r="DJY613" s="3933"/>
      <c r="DJZ613" s="3933"/>
      <c r="DKA613" s="621"/>
      <c r="DKB613" s="3933"/>
      <c r="DKC613" s="3933"/>
      <c r="DKD613" s="3933"/>
      <c r="DKE613" s="621"/>
      <c r="DKF613" s="3933"/>
      <c r="DKG613" s="3933"/>
      <c r="DKH613" s="3933"/>
      <c r="DKI613" s="621"/>
      <c r="DKJ613" s="3933"/>
      <c r="DKK613" s="3933"/>
      <c r="DKL613" s="3933"/>
      <c r="DKM613" s="621"/>
      <c r="DKN613" s="3933"/>
      <c r="DKO613" s="3933"/>
      <c r="DKP613" s="3933"/>
      <c r="DKQ613" s="621"/>
      <c r="DKR613" s="3933"/>
      <c r="DKS613" s="3933"/>
      <c r="DKT613" s="3933"/>
      <c r="DKU613" s="621"/>
      <c r="DKV613" s="3933"/>
      <c r="DKW613" s="3933"/>
      <c r="DKX613" s="3933"/>
      <c r="DKY613" s="621"/>
      <c r="DKZ613" s="3933"/>
      <c r="DLA613" s="3933"/>
      <c r="DLB613" s="3933"/>
      <c r="DLC613" s="621"/>
      <c r="DLD613" s="3933"/>
      <c r="DLE613" s="3933"/>
      <c r="DLF613" s="3933"/>
      <c r="DLG613" s="621"/>
      <c r="DLH613" s="3933"/>
      <c r="DLI613" s="3933"/>
      <c r="DLJ613" s="3933"/>
      <c r="DLK613" s="621"/>
      <c r="DLL613" s="3933"/>
      <c r="DLM613" s="3933"/>
      <c r="DLN613" s="3933"/>
      <c r="DLO613" s="621"/>
      <c r="DLP613" s="3933"/>
      <c r="DLQ613" s="3933"/>
      <c r="DLR613" s="3933"/>
      <c r="DLS613" s="621"/>
      <c r="DLT613" s="3933"/>
      <c r="DLU613" s="3933"/>
      <c r="DLV613" s="3933"/>
      <c r="DLW613" s="621"/>
      <c r="DLX613" s="3933"/>
      <c r="DLY613" s="3933"/>
      <c r="DLZ613" s="3933"/>
      <c r="DMA613" s="621"/>
      <c r="DMB613" s="3933"/>
      <c r="DMC613" s="3933"/>
      <c r="DMD613" s="3933"/>
      <c r="DME613" s="621"/>
      <c r="DMF613" s="3933"/>
      <c r="DMG613" s="3933"/>
      <c r="DMH613" s="3933"/>
      <c r="DMI613" s="621"/>
      <c r="DMJ613" s="3933"/>
      <c r="DMK613" s="3933"/>
      <c r="DML613" s="3933"/>
      <c r="DMM613" s="621"/>
      <c r="DMN613" s="3933"/>
      <c r="DMO613" s="3933"/>
      <c r="DMP613" s="3933"/>
      <c r="DMQ613" s="621"/>
      <c r="DMR613" s="3933"/>
      <c r="DMS613" s="3933"/>
      <c r="DMT613" s="3933"/>
      <c r="DMU613" s="621"/>
      <c r="DMV613" s="3933"/>
      <c r="DMW613" s="3933"/>
      <c r="DMX613" s="3933"/>
      <c r="DMY613" s="621"/>
      <c r="DMZ613" s="3933"/>
      <c r="DNA613" s="3933"/>
      <c r="DNB613" s="3933"/>
      <c r="DNC613" s="621"/>
      <c r="DND613" s="3933"/>
      <c r="DNE613" s="3933"/>
      <c r="DNF613" s="3933"/>
      <c r="DNG613" s="621"/>
      <c r="DNH613" s="3933"/>
      <c r="DNI613" s="3933"/>
      <c r="DNJ613" s="3933"/>
      <c r="DNK613" s="621"/>
      <c r="DNL613" s="3933"/>
      <c r="DNM613" s="3933"/>
      <c r="DNN613" s="3933"/>
      <c r="DNO613" s="621"/>
      <c r="DNP613" s="3933"/>
      <c r="DNQ613" s="3933"/>
      <c r="DNR613" s="3933"/>
      <c r="DNS613" s="621"/>
      <c r="DNT613" s="3933"/>
      <c r="DNU613" s="3933"/>
      <c r="DNV613" s="3933"/>
      <c r="DNW613" s="621"/>
      <c r="DNX613" s="3933"/>
      <c r="DNY613" s="3933"/>
      <c r="DNZ613" s="3933"/>
      <c r="DOA613" s="621"/>
      <c r="DOB613" s="3933"/>
      <c r="DOC613" s="3933"/>
      <c r="DOD613" s="3933"/>
      <c r="DOE613" s="621"/>
      <c r="DOF613" s="3933"/>
      <c r="DOG613" s="3933"/>
      <c r="DOH613" s="3933"/>
      <c r="DOI613" s="621"/>
      <c r="DOJ613" s="3933"/>
      <c r="DOK613" s="3933"/>
      <c r="DOL613" s="3933"/>
      <c r="DOM613" s="621"/>
      <c r="DON613" s="3933"/>
      <c r="DOO613" s="3933"/>
      <c r="DOP613" s="3933"/>
      <c r="DOQ613" s="621"/>
      <c r="DOR613" s="3933"/>
      <c r="DOS613" s="3933"/>
      <c r="DOT613" s="3933"/>
      <c r="DOU613" s="621"/>
      <c r="DOV613" s="3933"/>
      <c r="DOW613" s="3933"/>
      <c r="DOX613" s="3933"/>
      <c r="DOY613" s="621"/>
      <c r="DOZ613" s="3933"/>
      <c r="DPA613" s="3933"/>
      <c r="DPB613" s="3933"/>
      <c r="DPC613" s="621"/>
      <c r="DPD613" s="3933"/>
      <c r="DPE613" s="3933"/>
      <c r="DPF613" s="3933"/>
      <c r="DPG613" s="621"/>
      <c r="DPH613" s="3933"/>
      <c r="DPI613" s="3933"/>
      <c r="DPJ613" s="3933"/>
      <c r="DPK613" s="621"/>
      <c r="DPL613" s="3933"/>
      <c r="DPM613" s="3933"/>
      <c r="DPN613" s="3933"/>
      <c r="DPO613" s="621"/>
      <c r="DPP613" s="3933"/>
      <c r="DPQ613" s="3933"/>
      <c r="DPR613" s="3933"/>
      <c r="DPS613" s="621"/>
      <c r="DPT613" s="3933"/>
      <c r="DPU613" s="3933"/>
      <c r="DPV613" s="3933"/>
      <c r="DPW613" s="621"/>
      <c r="DPX613" s="3933"/>
      <c r="DPY613" s="3933"/>
      <c r="DPZ613" s="3933"/>
      <c r="DQA613" s="621"/>
      <c r="DQB613" s="3933"/>
      <c r="DQC613" s="3933"/>
      <c r="DQD613" s="3933"/>
      <c r="DQE613" s="621"/>
      <c r="DQF613" s="3933"/>
      <c r="DQG613" s="3933"/>
      <c r="DQH613" s="3933"/>
      <c r="DQI613" s="621"/>
      <c r="DQJ613" s="3933"/>
      <c r="DQK613" s="3933"/>
      <c r="DQL613" s="3933"/>
      <c r="DQM613" s="621"/>
      <c r="DQN613" s="3933"/>
      <c r="DQO613" s="3933"/>
      <c r="DQP613" s="3933"/>
      <c r="DQQ613" s="621"/>
      <c r="DQR613" s="3933"/>
      <c r="DQS613" s="3933"/>
      <c r="DQT613" s="3933"/>
      <c r="DQU613" s="621"/>
      <c r="DQV613" s="3933"/>
      <c r="DQW613" s="3933"/>
      <c r="DQX613" s="3933"/>
      <c r="DQY613" s="621"/>
      <c r="DQZ613" s="3933"/>
      <c r="DRA613" s="3933"/>
      <c r="DRB613" s="3933"/>
      <c r="DRC613" s="621"/>
      <c r="DRD613" s="3933"/>
      <c r="DRE613" s="3933"/>
      <c r="DRF613" s="3933"/>
      <c r="DRG613" s="621"/>
      <c r="DRH613" s="3933"/>
      <c r="DRI613" s="3933"/>
      <c r="DRJ613" s="3933"/>
      <c r="DRK613" s="621"/>
      <c r="DRL613" s="3933"/>
      <c r="DRM613" s="3933"/>
      <c r="DRN613" s="3933"/>
      <c r="DRO613" s="621"/>
      <c r="DRP613" s="3933"/>
      <c r="DRQ613" s="3933"/>
      <c r="DRR613" s="3933"/>
      <c r="DRS613" s="621"/>
      <c r="DRT613" s="3933"/>
      <c r="DRU613" s="3933"/>
      <c r="DRV613" s="3933"/>
      <c r="DRW613" s="621"/>
      <c r="DRX613" s="3933"/>
      <c r="DRY613" s="3933"/>
      <c r="DRZ613" s="3933"/>
      <c r="DSA613" s="621"/>
      <c r="DSB613" s="3933"/>
      <c r="DSC613" s="3933"/>
      <c r="DSD613" s="3933"/>
      <c r="DSE613" s="621"/>
      <c r="DSF613" s="3933"/>
      <c r="DSG613" s="3933"/>
      <c r="DSH613" s="3933"/>
      <c r="DSI613" s="621"/>
      <c r="DSJ613" s="3933"/>
      <c r="DSK613" s="3933"/>
      <c r="DSL613" s="3933"/>
      <c r="DSM613" s="621"/>
      <c r="DSN613" s="3933"/>
      <c r="DSO613" s="3933"/>
      <c r="DSP613" s="3933"/>
      <c r="DSQ613" s="621"/>
      <c r="DSR613" s="3933"/>
      <c r="DSS613" s="3933"/>
      <c r="DST613" s="3933"/>
      <c r="DSU613" s="621"/>
      <c r="DSV613" s="3933"/>
      <c r="DSW613" s="3933"/>
      <c r="DSX613" s="3933"/>
      <c r="DSY613" s="621"/>
      <c r="DSZ613" s="3933"/>
      <c r="DTA613" s="3933"/>
      <c r="DTB613" s="3933"/>
      <c r="DTC613" s="621"/>
      <c r="DTD613" s="3933"/>
      <c r="DTE613" s="3933"/>
      <c r="DTF613" s="3933"/>
      <c r="DTG613" s="621"/>
      <c r="DTH613" s="3933"/>
      <c r="DTI613" s="3933"/>
      <c r="DTJ613" s="3933"/>
      <c r="DTK613" s="621"/>
      <c r="DTL613" s="3933"/>
      <c r="DTM613" s="3933"/>
      <c r="DTN613" s="3933"/>
      <c r="DTO613" s="621"/>
      <c r="DTP613" s="3933"/>
      <c r="DTQ613" s="3933"/>
      <c r="DTR613" s="3933"/>
      <c r="DTS613" s="621"/>
      <c r="DTT613" s="3933"/>
      <c r="DTU613" s="3933"/>
      <c r="DTV613" s="3933"/>
      <c r="DTW613" s="621"/>
      <c r="DTX613" s="3933"/>
      <c r="DTY613" s="3933"/>
      <c r="DTZ613" s="3933"/>
      <c r="DUA613" s="621"/>
      <c r="DUB613" s="3933"/>
      <c r="DUC613" s="3933"/>
      <c r="DUD613" s="3933"/>
      <c r="DUE613" s="621"/>
      <c r="DUF613" s="3933"/>
      <c r="DUG613" s="3933"/>
      <c r="DUH613" s="3933"/>
      <c r="DUI613" s="621"/>
      <c r="DUJ613" s="3933"/>
      <c r="DUK613" s="3933"/>
      <c r="DUL613" s="3933"/>
      <c r="DUM613" s="621"/>
      <c r="DUN613" s="3933"/>
      <c r="DUO613" s="3933"/>
      <c r="DUP613" s="3933"/>
      <c r="DUQ613" s="621"/>
      <c r="DUR613" s="3933"/>
      <c r="DUS613" s="3933"/>
      <c r="DUT613" s="3933"/>
      <c r="DUU613" s="621"/>
      <c r="DUV613" s="3933"/>
      <c r="DUW613" s="3933"/>
      <c r="DUX613" s="3933"/>
      <c r="DUY613" s="621"/>
      <c r="DUZ613" s="3933"/>
      <c r="DVA613" s="3933"/>
      <c r="DVB613" s="3933"/>
      <c r="DVC613" s="621"/>
      <c r="DVD613" s="3933"/>
      <c r="DVE613" s="3933"/>
      <c r="DVF613" s="3933"/>
      <c r="DVG613" s="621"/>
      <c r="DVH613" s="3933"/>
      <c r="DVI613" s="3933"/>
      <c r="DVJ613" s="3933"/>
      <c r="DVK613" s="621"/>
      <c r="DVL613" s="3933"/>
      <c r="DVM613" s="3933"/>
      <c r="DVN613" s="3933"/>
      <c r="DVO613" s="621"/>
      <c r="DVP613" s="3933"/>
      <c r="DVQ613" s="3933"/>
      <c r="DVR613" s="3933"/>
      <c r="DVS613" s="621"/>
      <c r="DVT613" s="3933"/>
      <c r="DVU613" s="3933"/>
      <c r="DVV613" s="3933"/>
      <c r="DVW613" s="621"/>
      <c r="DVX613" s="3933"/>
      <c r="DVY613" s="3933"/>
      <c r="DVZ613" s="3933"/>
      <c r="DWA613" s="621"/>
      <c r="DWB613" s="3933"/>
      <c r="DWC613" s="3933"/>
      <c r="DWD613" s="3933"/>
      <c r="DWE613" s="621"/>
      <c r="DWF613" s="3933"/>
      <c r="DWG613" s="3933"/>
      <c r="DWH613" s="3933"/>
      <c r="DWI613" s="621"/>
      <c r="DWJ613" s="3933"/>
      <c r="DWK613" s="3933"/>
      <c r="DWL613" s="3933"/>
      <c r="DWM613" s="621"/>
      <c r="DWN613" s="3933"/>
      <c r="DWO613" s="3933"/>
      <c r="DWP613" s="3933"/>
      <c r="DWQ613" s="621"/>
      <c r="DWR613" s="3933"/>
      <c r="DWS613" s="3933"/>
      <c r="DWT613" s="3933"/>
      <c r="DWU613" s="621"/>
      <c r="DWV613" s="3933"/>
      <c r="DWW613" s="3933"/>
      <c r="DWX613" s="3933"/>
      <c r="DWY613" s="621"/>
      <c r="DWZ613" s="3933"/>
      <c r="DXA613" s="3933"/>
      <c r="DXB613" s="3933"/>
      <c r="DXC613" s="621"/>
      <c r="DXD613" s="3933"/>
      <c r="DXE613" s="3933"/>
      <c r="DXF613" s="3933"/>
      <c r="DXG613" s="621"/>
      <c r="DXH613" s="3933"/>
      <c r="DXI613" s="3933"/>
      <c r="DXJ613" s="3933"/>
      <c r="DXK613" s="621"/>
      <c r="DXL613" s="3933"/>
      <c r="DXM613" s="3933"/>
      <c r="DXN613" s="3933"/>
      <c r="DXO613" s="621"/>
      <c r="DXP613" s="3933"/>
      <c r="DXQ613" s="3933"/>
      <c r="DXR613" s="3933"/>
      <c r="DXS613" s="621"/>
      <c r="DXT613" s="3933"/>
      <c r="DXU613" s="3933"/>
      <c r="DXV613" s="3933"/>
      <c r="DXW613" s="621"/>
      <c r="DXX613" s="3933"/>
      <c r="DXY613" s="3933"/>
      <c r="DXZ613" s="3933"/>
      <c r="DYA613" s="621"/>
      <c r="DYB613" s="3933"/>
      <c r="DYC613" s="3933"/>
      <c r="DYD613" s="3933"/>
      <c r="DYE613" s="621"/>
      <c r="DYF613" s="3933"/>
      <c r="DYG613" s="3933"/>
      <c r="DYH613" s="3933"/>
      <c r="DYI613" s="621"/>
      <c r="DYJ613" s="3933"/>
      <c r="DYK613" s="3933"/>
      <c r="DYL613" s="3933"/>
      <c r="DYM613" s="621"/>
      <c r="DYN613" s="3933"/>
      <c r="DYO613" s="3933"/>
      <c r="DYP613" s="3933"/>
      <c r="DYQ613" s="621"/>
      <c r="DYR613" s="3933"/>
      <c r="DYS613" s="3933"/>
      <c r="DYT613" s="3933"/>
      <c r="DYU613" s="621"/>
      <c r="DYV613" s="3933"/>
      <c r="DYW613" s="3933"/>
      <c r="DYX613" s="3933"/>
      <c r="DYY613" s="621"/>
      <c r="DYZ613" s="3933"/>
      <c r="DZA613" s="3933"/>
      <c r="DZB613" s="3933"/>
      <c r="DZC613" s="621"/>
      <c r="DZD613" s="3933"/>
      <c r="DZE613" s="3933"/>
      <c r="DZF613" s="3933"/>
      <c r="DZG613" s="621"/>
      <c r="DZH613" s="3933"/>
      <c r="DZI613" s="3933"/>
      <c r="DZJ613" s="3933"/>
      <c r="DZK613" s="621"/>
      <c r="DZL613" s="3933"/>
      <c r="DZM613" s="3933"/>
      <c r="DZN613" s="3933"/>
      <c r="DZO613" s="621"/>
      <c r="DZP613" s="3933"/>
      <c r="DZQ613" s="3933"/>
      <c r="DZR613" s="3933"/>
      <c r="DZS613" s="621"/>
      <c r="DZT613" s="3933"/>
      <c r="DZU613" s="3933"/>
      <c r="DZV613" s="3933"/>
      <c r="DZW613" s="621"/>
      <c r="DZX613" s="3933"/>
      <c r="DZY613" s="3933"/>
      <c r="DZZ613" s="3933"/>
      <c r="EAA613" s="621"/>
      <c r="EAB613" s="3933"/>
      <c r="EAC613" s="3933"/>
      <c r="EAD613" s="3933"/>
      <c r="EAE613" s="621"/>
      <c r="EAF613" s="3933"/>
      <c r="EAG613" s="3933"/>
      <c r="EAH613" s="3933"/>
      <c r="EAI613" s="621"/>
      <c r="EAJ613" s="3933"/>
      <c r="EAK613" s="3933"/>
      <c r="EAL613" s="3933"/>
      <c r="EAM613" s="621"/>
      <c r="EAN613" s="3933"/>
      <c r="EAO613" s="3933"/>
      <c r="EAP613" s="3933"/>
      <c r="EAQ613" s="621"/>
      <c r="EAR613" s="3933"/>
      <c r="EAS613" s="3933"/>
      <c r="EAT613" s="3933"/>
      <c r="EAU613" s="621"/>
      <c r="EAV613" s="3933"/>
      <c r="EAW613" s="3933"/>
      <c r="EAX613" s="3933"/>
      <c r="EAY613" s="621"/>
      <c r="EAZ613" s="3933"/>
      <c r="EBA613" s="3933"/>
      <c r="EBB613" s="3933"/>
      <c r="EBC613" s="621"/>
      <c r="EBD613" s="3933"/>
      <c r="EBE613" s="3933"/>
      <c r="EBF613" s="3933"/>
      <c r="EBG613" s="621"/>
      <c r="EBH613" s="3933"/>
      <c r="EBI613" s="3933"/>
      <c r="EBJ613" s="3933"/>
      <c r="EBK613" s="621"/>
      <c r="EBL613" s="3933"/>
      <c r="EBM613" s="3933"/>
      <c r="EBN613" s="3933"/>
      <c r="EBO613" s="621"/>
      <c r="EBP613" s="3933"/>
      <c r="EBQ613" s="3933"/>
      <c r="EBR613" s="3933"/>
      <c r="EBS613" s="621"/>
      <c r="EBT613" s="3933"/>
      <c r="EBU613" s="3933"/>
      <c r="EBV613" s="3933"/>
      <c r="EBW613" s="621"/>
      <c r="EBX613" s="3933"/>
      <c r="EBY613" s="3933"/>
      <c r="EBZ613" s="3933"/>
      <c r="ECA613" s="621"/>
      <c r="ECB613" s="3933"/>
      <c r="ECC613" s="3933"/>
      <c r="ECD613" s="3933"/>
      <c r="ECE613" s="621"/>
      <c r="ECF613" s="3933"/>
      <c r="ECG613" s="3933"/>
      <c r="ECH613" s="3933"/>
      <c r="ECI613" s="621"/>
      <c r="ECJ613" s="3933"/>
      <c r="ECK613" s="3933"/>
      <c r="ECL613" s="3933"/>
      <c r="ECM613" s="621"/>
      <c r="ECN613" s="3933"/>
      <c r="ECO613" s="3933"/>
      <c r="ECP613" s="3933"/>
      <c r="ECQ613" s="621"/>
      <c r="ECR613" s="3933"/>
      <c r="ECS613" s="3933"/>
      <c r="ECT613" s="3933"/>
      <c r="ECU613" s="621"/>
      <c r="ECV613" s="3933"/>
      <c r="ECW613" s="3933"/>
      <c r="ECX613" s="3933"/>
      <c r="ECY613" s="621"/>
      <c r="ECZ613" s="3933"/>
      <c r="EDA613" s="3933"/>
      <c r="EDB613" s="3933"/>
      <c r="EDC613" s="621"/>
      <c r="EDD613" s="3933"/>
      <c r="EDE613" s="3933"/>
      <c r="EDF613" s="3933"/>
      <c r="EDG613" s="621"/>
      <c r="EDH613" s="3933"/>
      <c r="EDI613" s="3933"/>
      <c r="EDJ613" s="3933"/>
      <c r="EDK613" s="621"/>
      <c r="EDL613" s="3933"/>
      <c r="EDM613" s="3933"/>
      <c r="EDN613" s="3933"/>
      <c r="EDO613" s="621"/>
      <c r="EDP613" s="3933"/>
      <c r="EDQ613" s="3933"/>
      <c r="EDR613" s="3933"/>
      <c r="EDS613" s="621"/>
      <c r="EDT613" s="3933"/>
      <c r="EDU613" s="3933"/>
      <c r="EDV613" s="3933"/>
      <c r="EDW613" s="621"/>
      <c r="EDX613" s="3933"/>
      <c r="EDY613" s="3933"/>
      <c r="EDZ613" s="3933"/>
      <c r="EEA613" s="621"/>
      <c r="EEB613" s="3933"/>
      <c r="EEC613" s="3933"/>
      <c r="EED613" s="3933"/>
      <c r="EEE613" s="621"/>
      <c r="EEF613" s="3933"/>
      <c r="EEG613" s="3933"/>
      <c r="EEH613" s="3933"/>
      <c r="EEI613" s="621"/>
      <c r="EEJ613" s="3933"/>
      <c r="EEK613" s="3933"/>
      <c r="EEL613" s="3933"/>
      <c r="EEM613" s="621"/>
      <c r="EEN613" s="3933"/>
      <c r="EEO613" s="3933"/>
      <c r="EEP613" s="3933"/>
      <c r="EEQ613" s="621"/>
      <c r="EER613" s="3933"/>
      <c r="EES613" s="3933"/>
      <c r="EET613" s="3933"/>
      <c r="EEU613" s="621"/>
      <c r="EEV613" s="3933"/>
      <c r="EEW613" s="3933"/>
      <c r="EEX613" s="3933"/>
      <c r="EEY613" s="621"/>
      <c r="EEZ613" s="3933"/>
      <c r="EFA613" s="3933"/>
      <c r="EFB613" s="3933"/>
      <c r="EFC613" s="621"/>
      <c r="EFD613" s="3933"/>
      <c r="EFE613" s="3933"/>
      <c r="EFF613" s="3933"/>
      <c r="EFG613" s="621"/>
      <c r="EFH613" s="3933"/>
      <c r="EFI613" s="3933"/>
      <c r="EFJ613" s="3933"/>
      <c r="EFK613" s="621"/>
      <c r="EFL613" s="3933"/>
      <c r="EFM613" s="3933"/>
      <c r="EFN613" s="3933"/>
      <c r="EFO613" s="621"/>
      <c r="EFP613" s="3933"/>
      <c r="EFQ613" s="3933"/>
      <c r="EFR613" s="3933"/>
      <c r="EFS613" s="621"/>
      <c r="EFT613" s="3933"/>
      <c r="EFU613" s="3933"/>
      <c r="EFV613" s="3933"/>
      <c r="EFW613" s="621"/>
      <c r="EFX613" s="3933"/>
      <c r="EFY613" s="3933"/>
      <c r="EFZ613" s="3933"/>
      <c r="EGA613" s="621"/>
      <c r="EGB613" s="3933"/>
      <c r="EGC613" s="3933"/>
      <c r="EGD613" s="3933"/>
      <c r="EGE613" s="621"/>
      <c r="EGF613" s="3933"/>
      <c r="EGG613" s="3933"/>
      <c r="EGH613" s="3933"/>
      <c r="EGI613" s="621"/>
      <c r="EGJ613" s="3933"/>
      <c r="EGK613" s="3933"/>
      <c r="EGL613" s="3933"/>
      <c r="EGM613" s="621"/>
      <c r="EGN613" s="3933"/>
      <c r="EGO613" s="3933"/>
      <c r="EGP613" s="3933"/>
      <c r="EGQ613" s="621"/>
      <c r="EGR613" s="3933"/>
      <c r="EGS613" s="3933"/>
      <c r="EGT613" s="3933"/>
      <c r="EGU613" s="621"/>
      <c r="EGV613" s="3933"/>
      <c r="EGW613" s="3933"/>
      <c r="EGX613" s="3933"/>
      <c r="EGY613" s="621"/>
      <c r="EGZ613" s="3933"/>
      <c r="EHA613" s="3933"/>
      <c r="EHB613" s="3933"/>
      <c r="EHC613" s="621"/>
      <c r="EHD613" s="3933"/>
      <c r="EHE613" s="3933"/>
      <c r="EHF613" s="3933"/>
      <c r="EHG613" s="621"/>
      <c r="EHH613" s="3933"/>
      <c r="EHI613" s="3933"/>
      <c r="EHJ613" s="3933"/>
      <c r="EHK613" s="621"/>
      <c r="EHL613" s="3933"/>
      <c r="EHM613" s="3933"/>
      <c r="EHN613" s="3933"/>
      <c r="EHO613" s="621"/>
      <c r="EHP613" s="3933"/>
      <c r="EHQ613" s="3933"/>
      <c r="EHR613" s="3933"/>
      <c r="EHS613" s="621"/>
      <c r="EHT613" s="3933"/>
      <c r="EHU613" s="3933"/>
      <c r="EHV613" s="3933"/>
      <c r="EHW613" s="621"/>
      <c r="EHX613" s="3933"/>
      <c r="EHY613" s="3933"/>
      <c r="EHZ613" s="3933"/>
      <c r="EIA613" s="621"/>
      <c r="EIB613" s="3933"/>
      <c r="EIC613" s="3933"/>
      <c r="EID613" s="3933"/>
      <c r="EIE613" s="621"/>
      <c r="EIF613" s="3933"/>
      <c r="EIG613" s="3933"/>
      <c r="EIH613" s="3933"/>
      <c r="EII613" s="621"/>
      <c r="EIJ613" s="3933"/>
      <c r="EIK613" s="3933"/>
      <c r="EIL613" s="3933"/>
      <c r="EIM613" s="621"/>
      <c r="EIN613" s="3933"/>
      <c r="EIO613" s="3933"/>
      <c r="EIP613" s="3933"/>
      <c r="EIQ613" s="621"/>
      <c r="EIR613" s="3933"/>
      <c r="EIS613" s="3933"/>
      <c r="EIT613" s="3933"/>
      <c r="EIU613" s="621"/>
      <c r="EIV613" s="3933"/>
      <c r="EIW613" s="3933"/>
      <c r="EIX613" s="3933"/>
      <c r="EIY613" s="621"/>
      <c r="EIZ613" s="3933"/>
      <c r="EJA613" s="3933"/>
      <c r="EJB613" s="3933"/>
      <c r="EJC613" s="621"/>
      <c r="EJD613" s="3933"/>
      <c r="EJE613" s="3933"/>
      <c r="EJF613" s="3933"/>
      <c r="EJG613" s="621"/>
      <c r="EJH613" s="3933"/>
      <c r="EJI613" s="3933"/>
      <c r="EJJ613" s="3933"/>
      <c r="EJK613" s="621"/>
      <c r="EJL613" s="3933"/>
      <c r="EJM613" s="3933"/>
      <c r="EJN613" s="3933"/>
      <c r="EJO613" s="621"/>
      <c r="EJP613" s="3933"/>
      <c r="EJQ613" s="3933"/>
      <c r="EJR613" s="3933"/>
      <c r="EJS613" s="621"/>
      <c r="EJT613" s="3933"/>
      <c r="EJU613" s="3933"/>
      <c r="EJV613" s="3933"/>
      <c r="EJW613" s="621"/>
      <c r="EJX613" s="3933"/>
      <c r="EJY613" s="3933"/>
      <c r="EJZ613" s="3933"/>
      <c r="EKA613" s="621"/>
      <c r="EKB613" s="3933"/>
      <c r="EKC613" s="3933"/>
      <c r="EKD613" s="3933"/>
      <c r="EKE613" s="621"/>
      <c r="EKF613" s="3933"/>
      <c r="EKG613" s="3933"/>
      <c r="EKH613" s="3933"/>
      <c r="EKI613" s="621"/>
      <c r="EKJ613" s="3933"/>
      <c r="EKK613" s="3933"/>
      <c r="EKL613" s="3933"/>
      <c r="EKM613" s="621"/>
      <c r="EKN613" s="3933"/>
      <c r="EKO613" s="3933"/>
      <c r="EKP613" s="3933"/>
      <c r="EKQ613" s="621"/>
      <c r="EKR613" s="3933"/>
      <c r="EKS613" s="3933"/>
      <c r="EKT613" s="3933"/>
      <c r="EKU613" s="621"/>
      <c r="EKV613" s="3933"/>
      <c r="EKW613" s="3933"/>
      <c r="EKX613" s="3933"/>
      <c r="EKY613" s="621"/>
      <c r="EKZ613" s="3933"/>
      <c r="ELA613" s="3933"/>
      <c r="ELB613" s="3933"/>
      <c r="ELC613" s="621"/>
      <c r="ELD613" s="3933"/>
      <c r="ELE613" s="3933"/>
      <c r="ELF613" s="3933"/>
      <c r="ELG613" s="621"/>
      <c r="ELH613" s="3933"/>
      <c r="ELI613" s="3933"/>
      <c r="ELJ613" s="3933"/>
      <c r="ELK613" s="621"/>
      <c r="ELL613" s="3933"/>
      <c r="ELM613" s="3933"/>
      <c r="ELN613" s="3933"/>
      <c r="ELO613" s="621"/>
      <c r="ELP613" s="3933"/>
      <c r="ELQ613" s="3933"/>
      <c r="ELR613" s="3933"/>
      <c r="ELS613" s="621"/>
      <c r="ELT613" s="3933"/>
      <c r="ELU613" s="3933"/>
      <c r="ELV613" s="3933"/>
      <c r="ELW613" s="621"/>
      <c r="ELX613" s="3933"/>
      <c r="ELY613" s="3933"/>
      <c r="ELZ613" s="3933"/>
      <c r="EMA613" s="621"/>
      <c r="EMB613" s="3933"/>
      <c r="EMC613" s="3933"/>
      <c r="EMD613" s="3933"/>
      <c r="EME613" s="621"/>
      <c r="EMF613" s="3933"/>
      <c r="EMG613" s="3933"/>
      <c r="EMH613" s="3933"/>
      <c r="EMI613" s="621"/>
      <c r="EMJ613" s="3933"/>
      <c r="EMK613" s="3933"/>
      <c r="EML613" s="3933"/>
      <c r="EMM613" s="621"/>
      <c r="EMN613" s="3933"/>
      <c r="EMO613" s="3933"/>
      <c r="EMP613" s="3933"/>
      <c r="EMQ613" s="621"/>
      <c r="EMR613" s="3933"/>
      <c r="EMS613" s="3933"/>
      <c r="EMT613" s="3933"/>
      <c r="EMU613" s="621"/>
      <c r="EMV613" s="3933"/>
      <c r="EMW613" s="3933"/>
      <c r="EMX613" s="3933"/>
      <c r="EMY613" s="621"/>
      <c r="EMZ613" s="3933"/>
      <c r="ENA613" s="3933"/>
      <c r="ENB613" s="3933"/>
      <c r="ENC613" s="621"/>
      <c r="END613" s="3933"/>
      <c r="ENE613" s="3933"/>
      <c r="ENF613" s="3933"/>
      <c r="ENG613" s="621"/>
      <c r="ENH613" s="3933"/>
      <c r="ENI613" s="3933"/>
      <c r="ENJ613" s="3933"/>
      <c r="ENK613" s="621"/>
      <c r="ENL613" s="3933"/>
      <c r="ENM613" s="3933"/>
      <c r="ENN613" s="3933"/>
      <c r="ENO613" s="621"/>
      <c r="ENP613" s="3933"/>
      <c r="ENQ613" s="3933"/>
      <c r="ENR613" s="3933"/>
      <c r="ENS613" s="621"/>
      <c r="ENT613" s="3933"/>
      <c r="ENU613" s="3933"/>
      <c r="ENV613" s="3933"/>
      <c r="ENW613" s="621"/>
      <c r="ENX613" s="3933"/>
      <c r="ENY613" s="3933"/>
      <c r="ENZ613" s="3933"/>
      <c r="EOA613" s="621"/>
      <c r="EOB613" s="3933"/>
      <c r="EOC613" s="3933"/>
      <c r="EOD613" s="3933"/>
      <c r="EOE613" s="621"/>
      <c r="EOF613" s="3933"/>
      <c r="EOG613" s="3933"/>
      <c r="EOH613" s="3933"/>
      <c r="EOI613" s="621"/>
      <c r="EOJ613" s="3933"/>
      <c r="EOK613" s="3933"/>
      <c r="EOL613" s="3933"/>
      <c r="EOM613" s="621"/>
      <c r="EON613" s="3933"/>
      <c r="EOO613" s="3933"/>
      <c r="EOP613" s="3933"/>
      <c r="EOQ613" s="621"/>
      <c r="EOR613" s="3933"/>
      <c r="EOS613" s="3933"/>
      <c r="EOT613" s="3933"/>
      <c r="EOU613" s="621"/>
      <c r="EOV613" s="3933"/>
      <c r="EOW613" s="3933"/>
      <c r="EOX613" s="3933"/>
      <c r="EOY613" s="621"/>
      <c r="EOZ613" s="3933"/>
      <c r="EPA613" s="3933"/>
      <c r="EPB613" s="3933"/>
      <c r="EPC613" s="621"/>
      <c r="EPD613" s="3933"/>
      <c r="EPE613" s="3933"/>
      <c r="EPF613" s="3933"/>
      <c r="EPG613" s="621"/>
      <c r="EPH613" s="3933"/>
      <c r="EPI613" s="3933"/>
      <c r="EPJ613" s="3933"/>
      <c r="EPK613" s="621"/>
      <c r="EPL613" s="3933"/>
      <c r="EPM613" s="3933"/>
      <c r="EPN613" s="3933"/>
      <c r="EPO613" s="621"/>
      <c r="EPP613" s="3933"/>
      <c r="EPQ613" s="3933"/>
      <c r="EPR613" s="3933"/>
      <c r="EPS613" s="621"/>
      <c r="EPT613" s="3933"/>
      <c r="EPU613" s="3933"/>
      <c r="EPV613" s="3933"/>
      <c r="EPW613" s="621"/>
      <c r="EPX613" s="3933"/>
      <c r="EPY613" s="3933"/>
      <c r="EPZ613" s="3933"/>
      <c r="EQA613" s="621"/>
      <c r="EQB613" s="3933"/>
      <c r="EQC613" s="3933"/>
      <c r="EQD613" s="3933"/>
      <c r="EQE613" s="621"/>
      <c r="EQF613" s="3933"/>
      <c r="EQG613" s="3933"/>
      <c r="EQH613" s="3933"/>
      <c r="EQI613" s="621"/>
      <c r="EQJ613" s="3933"/>
      <c r="EQK613" s="3933"/>
      <c r="EQL613" s="3933"/>
      <c r="EQM613" s="621"/>
      <c r="EQN613" s="3933"/>
      <c r="EQO613" s="3933"/>
      <c r="EQP613" s="3933"/>
      <c r="EQQ613" s="621"/>
      <c r="EQR613" s="3933"/>
      <c r="EQS613" s="3933"/>
      <c r="EQT613" s="3933"/>
      <c r="EQU613" s="621"/>
      <c r="EQV613" s="3933"/>
      <c r="EQW613" s="3933"/>
      <c r="EQX613" s="3933"/>
      <c r="EQY613" s="621"/>
      <c r="EQZ613" s="3933"/>
      <c r="ERA613" s="3933"/>
      <c r="ERB613" s="3933"/>
      <c r="ERC613" s="621"/>
      <c r="ERD613" s="3933"/>
      <c r="ERE613" s="3933"/>
      <c r="ERF613" s="3933"/>
      <c r="ERG613" s="621"/>
      <c r="ERH613" s="3933"/>
      <c r="ERI613" s="3933"/>
      <c r="ERJ613" s="3933"/>
      <c r="ERK613" s="621"/>
      <c r="ERL613" s="3933"/>
      <c r="ERM613" s="3933"/>
      <c r="ERN613" s="3933"/>
      <c r="ERO613" s="621"/>
      <c r="ERP613" s="3933"/>
      <c r="ERQ613" s="3933"/>
      <c r="ERR613" s="3933"/>
      <c r="ERS613" s="621"/>
      <c r="ERT613" s="3933"/>
      <c r="ERU613" s="3933"/>
      <c r="ERV613" s="3933"/>
      <c r="ERW613" s="621"/>
      <c r="ERX613" s="3933"/>
      <c r="ERY613" s="3933"/>
      <c r="ERZ613" s="3933"/>
      <c r="ESA613" s="621"/>
      <c r="ESB613" s="3933"/>
      <c r="ESC613" s="3933"/>
      <c r="ESD613" s="3933"/>
      <c r="ESE613" s="621"/>
      <c r="ESF613" s="3933"/>
      <c r="ESG613" s="3933"/>
      <c r="ESH613" s="3933"/>
      <c r="ESI613" s="621"/>
      <c r="ESJ613" s="3933"/>
      <c r="ESK613" s="3933"/>
      <c r="ESL613" s="3933"/>
      <c r="ESM613" s="621"/>
      <c r="ESN613" s="3933"/>
      <c r="ESO613" s="3933"/>
      <c r="ESP613" s="3933"/>
      <c r="ESQ613" s="621"/>
      <c r="ESR613" s="3933"/>
      <c r="ESS613" s="3933"/>
      <c r="EST613" s="3933"/>
      <c r="ESU613" s="621"/>
      <c r="ESV613" s="3933"/>
      <c r="ESW613" s="3933"/>
      <c r="ESX613" s="3933"/>
      <c r="ESY613" s="621"/>
      <c r="ESZ613" s="3933"/>
      <c r="ETA613" s="3933"/>
      <c r="ETB613" s="3933"/>
      <c r="ETC613" s="621"/>
      <c r="ETD613" s="3933"/>
      <c r="ETE613" s="3933"/>
      <c r="ETF613" s="3933"/>
      <c r="ETG613" s="621"/>
      <c r="ETH613" s="3933"/>
      <c r="ETI613" s="3933"/>
      <c r="ETJ613" s="3933"/>
      <c r="ETK613" s="621"/>
      <c r="ETL613" s="3933"/>
      <c r="ETM613" s="3933"/>
      <c r="ETN613" s="3933"/>
      <c r="ETO613" s="621"/>
      <c r="ETP613" s="3933"/>
      <c r="ETQ613" s="3933"/>
      <c r="ETR613" s="3933"/>
      <c r="ETS613" s="621"/>
      <c r="ETT613" s="3933"/>
      <c r="ETU613" s="3933"/>
      <c r="ETV613" s="3933"/>
      <c r="ETW613" s="621"/>
      <c r="ETX613" s="3933"/>
      <c r="ETY613" s="3933"/>
      <c r="ETZ613" s="3933"/>
      <c r="EUA613" s="621"/>
      <c r="EUB613" s="3933"/>
      <c r="EUC613" s="3933"/>
      <c r="EUD613" s="3933"/>
      <c r="EUE613" s="621"/>
      <c r="EUF613" s="3933"/>
      <c r="EUG613" s="3933"/>
      <c r="EUH613" s="3933"/>
      <c r="EUI613" s="621"/>
      <c r="EUJ613" s="3933"/>
      <c r="EUK613" s="3933"/>
      <c r="EUL613" s="3933"/>
      <c r="EUM613" s="621"/>
      <c r="EUN613" s="3933"/>
      <c r="EUO613" s="3933"/>
      <c r="EUP613" s="3933"/>
      <c r="EUQ613" s="621"/>
      <c r="EUR613" s="3933"/>
      <c r="EUS613" s="3933"/>
      <c r="EUT613" s="3933"/>
      <c r="EUU613" s="621"/>
      <c r="EUV613" s="3933"/>
      <c r="EUW613" s="3933"/>
      <c r="EUX613" s="3933"/>
      <c r="EUY613" s="621"/>
      <c r="EUZ613" s="3933"/>
      <c r="EVA613" s="3933"/>
      <c r="EVB613" s="3933"/>
      <c r="EVC613" s="621"/>
      <c r="EVD613" s="3933"/>
      <c r="EVE613" s="3933"/>
      <c r="EVF613" s="3933"/>
      <c r="EVG613" s="621"/>
      <c r="EVH613" s="3933"/>
      <c r="EVI613" s="3933"/>
      <c r="EVJ613" s="3933"/>
      <c r="EVK613" s="621"/>
      <c r="EVL613" s="3933"/>
      <c r="EVM613" s="3933"/>
      <c r="EVN613" s="3933"/>
      <c r="EVO613" s="621"/>
      <c r="EVP613" s="3933"/>
      <c r="EVQ613" s="3933"/>
      <c r="EVR613" s="3933"/>
      <c r="EVS613" s="621"/>
      <c r="EVT613" s="3933"/>
      <c r="EVU613" s="3933"/>
      <c r="EVV613" s="3933"/>
      <c r="EVW613" s="621"/>
      <c r="EVX613" s="3933"/>
      <c r="EVY613" s="3933"/>
      <c r="EVZ613" s="3933"/>
      <c r="EWA613" s="621"/>
      <c r="EWB613" s="3933"/>
      <c r="EWC613" s="3933"/>
      <c r="EWD613" s="3933"/>
      <c r="EWE613" s="621"/>
      <c r="EWF613" s="3933"/>
      <c r="EWG613" s="3933"/>
      <c r="EWH613" s="3933"/>
      <c r="EWI613" s="621"/>
      <c r="EWJ613" s="3933"/>
      <c r="EWK613" s="3933"/>
      <c r="EWL613" s="3933"/>
      <c r="EWM613" s="621"/>
      <c r="EWN613" s="3933"/>
      <c r="EWO613" s="3933"/>
      <c r="EWP613" s="3933"/>
      <c r="EWQ613" s="621"/>
      <c r="EWR613" s="3933"/>
      <c r="EWS613" s="3933"/>
      <c r="EWT613" s="3933"/>
      <c r="EWU613" s="621"/>
      <c r="EWV613" s="3933"/>
      <c r="EWW613" s="3933"/>
      <c r="EWX613" s="3933"/>
      <c r="EWY613" s="621"/>
      <c r="EWZ613" s="3933"/>
      <c r="EXA613" s="3933"/>
      <c r="EXB613" s="3933"/>
      <c r="EXC613" s="621"/>
      <c r="EXD613" s="3933"/>
      <c r="EXE613" s="3933"/>
      <c r="EXF613" s="3933"/>
      <c r="EXG613" s="621"/>
      <c r="EXH613" s="3933"/>
      <c r="EXI613" s="3933"/>
      <c r="EXJ613" s="3933"/>
      <c r="EXK613" s="621"/>
      <c r="EXL613" s="3933"/>
      <c r="EXM613" s="3933"/>
      <c r="EXN613" s="3933"/>
      <c r="EXO613" s="621"/>
      <c r="EXP613" s="3933"/>
      <c r="EXQ613" s="3933"/>
      <c r="EXR613" s="3933"/>
      <c r="EXS613" s="621"/>
      <c r="EXT613" s="3933"/>
      <c r="EXU613" s="3933"/>
      <c r="EXV613" s="3933"/>
      <c r="EXW613" s="621"/>
      <c r="EXX613" s="3933"/>
      <c r="EXY613" s="3933"/>
      <c r="EXZ613" s="3933"/>
      <c r="EYA613" s="621"/>
      <c r="EYB613" s="3933"/>
      <c r="EYC613" s="3933"/>
      <c r="EYD613" s="3933"/>
      <c r="EYE613" s="621"/>
      <c r="EYF613" s="3933"/>
      <c r="EYG613" s="3933"/>
      <c r="EYH613" s="3933"/>
      <c r="EYI613" s="621"/>
      <c r="EYJ613" s="3933"/>
      <c r="EYK613" s="3933"/>
      <c r="EYL613" s="3933"/>
      <c r="EYM613" s="621"/>
      <c r="EYN613" s="3933"/>
      <c r="EYO613" s="3933"/>
      <c r="EYP613" s="3933"/>
      <c r="EYQ613" s="621"/>
      <c r="EYR613" s="3933"/>
      <c r="EYS613" s="3933"/>
      <c r="EYT613" s="3933"/>
      <c r="EYU613" s="621"/>
      <c r="EYV613" s="3933"/>
      <c r="EYW613" s="3933"/>
      <c r="EYX613" s="3933"/>
      <c r="EYY613" s="621"/>
      <c r="EYZ613" s="3933"/>
      <c r="EZA613" s="3933"/>
      <c r="EZB613" s="3933"/>
      <c r="EZC613" s="621"/>
      <c r="EZD613" s="3933"/>
      <c r="EZE613" s="3933"/>
      <c r="EZF613" s="3933"/>
      <c r="EZG613" s="621"/>
      <c r="EZH613" s="3933"/>
      <c r="EZI613" s="3933"/>
      <c r="EZJ613" s="3933"/>
      <c r="EZK613" s="621"/>
      <c r="EZL613" s="3933"/>
      <c r="EZM613" s="3933"/>
      <c r="EZN613" s="3933"/>
      <c r="EZO613" s="621"/>
      <c r="EZP613" s="3933"/>
      <c r="EZQ613" s="3933"/>
      <c r="EZR613" s="3933"/>
      <c r="EZS613" s="621"/>
      <c r="EZT613" s="3933"/>
      <c r="EZU613" s="3933"/>
      <c r="EZV613" s="3933"/>
      <c r="EZW613" s="621"/>
      <c r="EZX613" s="3933"/>
      <c r="EZY613" s="3933"/>
      <c r="EZZ613" s="3933"/>
      <c r="FAA613" s="621"/>
      <c r="FAB613" s="3933"/>
      <c r="FAC613" s="3933"/>
      <c r="FAD613" s="3933"/>
      <c r="FAE613" s="621"/>
      <c r="FAF613" s="3933"/>
      <c r="FAG613" s="3933"/>
      <c r="FAH613" s="3933"/>
      <c r="FAI613" s="621"/>
      <c r="FAJ613" s="3933"/>
      <c r="FAK613" s="3933"/>
      <c r="FAL613" s="3933"/>
      <c r="FAM613" s="621"/>
      <c r="FAN613" s="3933"/>
      <c r="FAO613" s="3933"/>
      <c r="FAP613" s="3933"/>
      <c r="FAQ613" s="621"/>
      <c r="FAR613" s="3933"/>
      <c r="FAS613" s="3933"/>
      <c r="FAT613" s="3933"/>
      <c r="FAU613" s="621"/>
      <c r="FAV613" s="3933"/>
      <c r="FAW613" s="3933"/>
      <c r="FAX613" s="3933"/>
      <c r="FAY613" s="621"/>
      <c r="FAZ613" s="3933"/>
      <c r="FBA613" s="3933"/>
      <c r="FBB613" s="3933"/>
      <c r="FBC613" s="621"/>
      <c r="FBD613" s="3933"/>
      <c r="FBE613" s="3933"/>
      <c r="FBF613" s="3933"/>
      <c r="FBG613" s="621"/>
      <c r="FBH613" s="3933"/>
      <c r="FBI613" s="3933"/>
      <c r="FBJ613" s="3933"/>
      <c r="FBK613" s="621"/>
      <c r="FBL613" s="3933"/>
      <c r="FBM613" s="3933"/>
      <c r="FBN613" s="3933"/>
      <c r="FBO613" s="621"/>
      <c r="FBP613" s="3933"/>
      <c r="FBQ613" s="3933"/>
      <c r="FBR613" s="3933"/>
      <c r="FBS613" s="621"/>
      <c r="FBT613" s="3933"/>
      <c r="FBU613" s="3933"/>
      <c r="FBV613" s="3933"/>
      <c r="FBW613" s="621"/>
      <c r="FBX613" s="3933"/>
      <c r="FBY613" s="3933"/>
      <c r="FBZ613" s="3933"/>
      <c r="FCA613" s="621"/>
      <c r="FCB613" s="3933"/>
      <c r="FCC613" s="3933"/>
      <c r="FCD613" s="3933"/>
      <c r="FCE613" s="621"/>
      <c r="FCF613" s="3933"/>
      <c r="FCG613" s="3933"/>
      <c r="FCH613" s="3933"/>
      <c r="FCI613" s="621"/>
      <c r="FCJ613" s="3933"/>
      <c r="FCK613" s="3933"/>
      <c r="FCL613" s="3933"/>
      <c r="FCM613" s="621"/>
      <c r="FCN613" s="3933"/>
      <c r="FCO613" s="3933"/>
      <c r="FCP613" s="3933"/>
      <c r="FCQ613" s="621"/>
      <c r="FCR613" s="3933"/>
      <c r="FCS613" s="3933"/>
      <c r="FCT613" s="3933"/>
      <c r="FCU613" s="621"/>
      <c r="FCV613" s="3933"/>
      <c r="FCW613" s="3933"/>
      <c r="FCX613" s="3933"/>
      <c r="FCY613" s="621"/>
      <c r="FCZ613" s="3933"/>
      <c r="FDA613" s="3933"/>
      <c r="FDB613" s="3933"/>
      <c r="FDC613" s="621"/>
      <c r="FDD613" s="3933"/>
      <c r="FDE613" s="3933"/>
      <c r="FDF613" s="3933"/>
      <c r="FDG613" s="621"/>
      <c r="FDH613" s="3933"/>
      <c r="FDI613" s="3933"/>
      <c r="FDJ613" s="3933"/>
      <c r="FDK613" s="621"/>
      <c r="FDL613" s="3933"/>
      <c r="FDM613" s="3933"/>
      <c r="FDN613" s="3933"/>
      <c r="FDO613" s="621"/>
      <c r="FDP613" s="3933"/>
      <c r="FDQ613" s="3933"/>
      <c r="FDR613" s="3933"/>
      <c r="FDS613" s="621"/>
      <c r="FDT613" s="3933"/>
      <c r="FDU613" s="3933"/>
      <c r="FDV613" s="3933"/>
      <c r="FDW613" s="621"/>
      <c r="FDX613" s="3933"/>
      <c r="FDY613" s="3933"/>
      <c r="FDZ613" s="3933"/>
      <c r="FEA613" s="621"/>
      <c r="FEB613" s="3933"/>
      <c r="FEC613" s="3933"/>
      <c r="FED613" s="3933"/>
      <c r="FEE613" s="621"/>
      <c r="FEF613" s="3933"/>
      <c r="FEG613" s="3933"/>
      <c r="FEH613" s="3933"/>
      <c r="FEI613" s="621"/>
      <c r="FEJ613" s="3933"/>
      <c r="FEK613" s="3933"/>
      <c r="FEL613" s="3933"/>
      <c r="FEM613" s="621"/>
      <c r="FEN613" s="3933"/>
      <c r="FEO613" s="3933"/>
      <c r="FEP613" s="3933"/>
      <c r="FEQ613" s="621"/>
      <c r="FER613" s="3933"/>
      <c r="FES613" s="3933"/>
      <c r="FET613" s="3933"/>
      <c r="FEU613" s="621"/>
      <c r="FEV613" s="3933"/>
      <c r="FEW613" s="3933"/>
      <c r="FEX613" s="3933"/>
      <c r="FEY613" s="621"/>
      <c r="FEZ613" s="3933"/>
      <c r="FFA613" s="3933"/>
      <c r="FFB613" s="3933"/>
      <c r="FFC613" s="621"/>
      <c r="FFD613" s="3933"/>
      <c r="FFE613" s="3933"/>
      <c r="FFF613" s="3933"/>
      <c r="FFG613" s="621"/>
      <c r="FFH613" s="3933"/>
      <c r="FFI613" s="3933"/>
      <c r="FFJ613" s="3933"/>
      <c r="FFK613" s="621"/>
      <c r="FFL613" s="3933"/>
      <c r="FFM613" s="3933"/>
      <c r="FFN613" s="3933"/>
      <c r="FFO613" s="621"/>
      <c r="FFP613" s="3933"/>
      <c r="FFQ613" s="3933"/>
      <c r="FFR613" s="3933"/>
      <c r="FFS613" s="621"/>
      <c r="FFT613" s="3933"/>
      <c r="FFU613" s="3933"/>
      <c r="FFV613" s="3933"/>
      <c r="FFW613" s="621"/>
      <c r="FFX613" s="3933"/>
      <c r="FFY613" s="3933"/>
      <c r="FFZ613" s="3933"/>
      <c r="FGA613" s="621"/>
      <c r="FGB613" s="3933"/>
      <c r="FGC613" s="3933"/>
      <c r="FGD613" s="3933"/>
      <c r="FGE613" s="621"/>
      <c r="FGF613" s="3933"/>
      <c r="FGG613" s="3933"/>
      <c r="FGH613" s="3933"/>
      <c r="FGI613" s="621"/>
      <c r="FGJ613" s="3933"/>
      <c r="FGK613" s="3933"/>
      <c r="FGL613" s="3933"/>
      <c r="FGM613" s="621"/>
      <c r="FGN613" s="3933"/>
      <c r="FGO613" s="3933"/>
      <c r="FGP613" s="3933"/>
      <c r="FGQ613" s="621"/>
      <c r="FGR613" s="3933"/>
      <c r="FGS613" s="3933"/>
      <c r="FGT613" s="3933"/>
      <c r="FGU613" s="621"/>
      <c r="FGV613" s="3933"/>
      <c r="FGW613" s="3933"/>
      <c r="FGX613" s="3933"/>
      <c r="FGY613" s="621"/>
      <c r="FGZ613" s="3933"/>
      <c r="FHA613" s="3933"/>
      <c r="FHB613" s="3933"/>
      <c r="FHC613" s="621"/>
      <c r="FHD613" s="3933"/>
      <c r="FHE613" s="3933"/>
      <c r="FHF613" s="3933"/>
      <c r="FHG613" s="621"/>
      <c r="FHH613" s="3933"/>
      <c r="FHI613" s="3933"/>
      <c r="FHJ613" s="3933"/>
      <c r="FHK613" s="621"/>
      <c r="FHL613" s="3933"/>
      <c r="FHM613" s="3933"/>
      <c r="FHN613" s="3933"/>
      <c r="FHO613" s="621"/>
      <c r="FHP613" s="3933"/>
      <c r="FHQ613" s="3933"/>
      <c r="FHR613" s="3933"/>
      <c r="FHS613" s="621"/>
      <c r="FHT613" s="3933"/>
      <c r="FHU613" s="3933"/>
      <c r="FHV613" s="3933"/>
      <c r="FHW613" s="621"/>
      <c r="FHX613" s="3933"/>
      <c r="FHY613" s="3933"/>
      <c r="FHZ613" s="3933"/>
      <c r="FIA613" s="621"/>
      <c r="FIB613" s="3933"/>
      <c r="FIC613" s="3933"/>
      <c r="FID613" s="3933"/>
      <c r="FIE613" s="621"/>
      <c r="FIF613" s="3933"/>
      <c r="FIG613" s="3933"/>
      <c r="FIH613" s="3933"/>
      <c r="FII613" s="621"/>
      <c r="FIJ613" s="3933"/>
      <c r="FIK613" s="3933"/>
      <c r="FIL613" s="3933"/>
      <c r="FIM613" s="621"/>
      <c r="FIN613" s="3933"/>
      <c r="FIO613" s="3933"/>
      <c r="FIP613" s="3933"/>
      <c r="FIQ613" s="621"/>
      <c r="FIR613" s="3933"/>
      <c r="FIS613" s="3933"/>
      <c r="FIT613" s="3933"/>
      <c r="FIU613" s="621"/>
      <c r="FIV613" s="3933"/>
      <c r="FIW613" s="3933"/>
      <c r="FIX613" s="3933"/>
      <c r="FIY613" s="621"/>
      <c r="FIZ613" s="3933"/>
      <c r="FJA613" s="3933"/>
      <c r="FJB613" s="3933"/>
      <c r="FJC613" s="621"/>
      <c r="FJD613" s="3933"/>
      <c r="FJE613" s="3933"/>
      <c r="FJF613" s="3933"/>
      <c r="FJG613" s="621"/>
      <c r="FJH613" s="3933"/>
      <c r="FJI613" s="3933"/>
      <c r="FJJ613" s="3933"/>
      <c r="FJK613" s="621"/>
      <c r="FJL613" s="3933"/>
      <c r="FJM613" s="3933"/>
      <c r="FJN613" s="3933"/>
      <c r="FJO613" s="621"/>
      <c r="FJP613" s="3933"/>
      <c r="FJQ613" s="3933"/>
      <c r="FJR613" s="3933"/>
      <c r="FJS613" s="621"/>
      <c r="FJT613" s="3933"/>
      <c r="FJU613" s="3933"/>
      <c r="FJV613" s="3933"/>
      <c r="FJW613" s="621"/>
      <c r="FJX613" s="3933"/>
      <c r="FJY613" s="3933"/>
      <c r="FJZ613" s="3933"/>
      <c r="FKA613" s="621"/>
      <c r="FKB613" s="3933"/>
      <c r="FKC613" s="3933"/>
      <c r="FKD613" s="3933"/>
      <c r="FKE613" s="621"/>
      <c r="FKF613" s="3933"/>
      <c r="FKG613" s="3933"/>
      <c r="FKH613" s="3933"/>
      <c r="FKI613" s="621"/>
      <c r="FKJ613" s="3933"/>
      <c r="FKK613" s="3933"/>
      <c r="FKL613" s="3933"/>
      <c r="FKM613" s="621"/>
      <c r="FKN613" s="3933"/>
      <c r="FKO613" s="3933"/>
      <c r="FKP613" s="3933"/>
      <c r="FKQ613" s="621"/>
      <c r="FKR613" s="3933"/>
      <c r="FKS613" s="3933"/>
      <c r="FKT613" s="3933"/>
      <c r="FKU613" s="621"/>
      <c r="FKV613" s="3933"/>
      <c r="FKW613" s="3933"/>
      <c r="FKX613" s="3933"/>
      <c r="FKY613" s="621"/>
      <c r="FKZ613" s="3933"/>
      <c r="FLA613" s="3933"/>
      <c r="FLB613" s="3933"/>
      <c r="FLC613" s="621"/>
      <c r="FLD613" s="3933"/>
      <c r="FLE613" s="3933"/>
      <c r="FLF613" s="3933"/>
      <c r="FLG613" s="621"/>
      <c r="FLH613" s="3933"/>
      <c r="FLI613" s="3933"/>
      <c r="FLJ613" s="3933"/>
      <c r="FLK613" s="621"/>
      <c r="FLL613" s="3933"/>
      <c r="FLM613" s="3933"/>
      <c r="FLN613" s="3933"/>
      <c r="FLO613" s="621"/>
      <c r="FLP613" s="3933"/>
      <c r="FLQ613" s="3933"/>
      <c r="FLR613" s="3933"/>
      <c r="FLS613" s="621"/>
      <c r="FLT613" s="3933"/>
      <c r="FLU613" s="3933"/>
      <c r="FLV613" s="3933"/>
      <c r="FLW613" s="621"/>
      <c r="FLX613" s="3933"/>
      <c r="FLY613" s="3933"/>
      <c r="FLZ613" s="3933"/>
      <c r="FMA613" s="621"/>
      <c r="FMB613" s="3933"/>
      <c r="FMC613" s="3933"/>
      <c r="FMD613" s="3933"/>
      <c r="FME613" s="621"/>
      <c r="FMF613" s="3933"/>
      <c r="FMG613" s="3933"/>
      <c r="FMH613" s="3933"/>
      <c r="FMI613" s="621"/>
      <c r="FMJ613" s="3933"/>
      <c r="FMK613" s="3933"/>
      <c r="FML613" s="3933"/>
      <c r="FMM613" s="621"/>
      <c r="FMN613" s="3933"/>
      <c r="FMO613" s="3933"/>
      <c r="FMP613" s="3933"/>
      <c r="FMQ613" s="621"/>
      <c r="FMR613" s="3933"/>
      <c r="FMS613" s="3933"/>
      <c r="FMT613" s="3933"/>
      <c r="FMU613" s="621"/>
      <c r="FMV613" s="3933"/>
      <c r="FMW613" s="3933"/>
      <c r="FMX613" s="3933"/>
      <c r="FMY613" s="621"/>
      <c r="FMZ613" s="3933"/>
      <c r="FNA613" s="3933"/>
      <c r="FNB613" s="3933"/>
      <c r="FNC613" s="621"/>
      <c r="FND613" s="3933"/>
      <c r="FNE613" s="3933"/>
      <c r="FNF613" s="3933"/>
      <c r="FNG613" s="621"/>
      <c r="FNH613" s="3933"/>
      <c r="FNI613" s="3933"/>
      <c r="FNJ613" s="3933"/>
      <c r="FNK613" s="621"/>
      <c r="FNL613" s="3933"/>
      <c r="FNM613" s="3933"/>
      <c r="FNN613" s="3933"/>
      <c r="FNO613" s="621"/>
      <c r="FNP613" s="3933"/>
      <c r="FNQ613" s="3933"/>
      <c r="FNR613" s="3933"/>
      <c r="FNS613" s="621"/>
      <c r="FNT613" s="3933"/>
      <c r="FNU613" s="3933"/>
      <c r="FNV613" s="3933"/>
      <c r="FNW613" s="621"/>
      <c r="FNX613" s="3933"/>
      <c r="FNY613" s="3933"/>
      <c r="FNZ613" s="3933"/>
      <c r="FOA613" s="621"/>
      <c r="FOB613" s="3933"/>
      <c r="FOC613" s="3933"/>
      <c r="FOD613" s="3933"/>
      <c r="FOE613" s="621"/>
      <c r="FOF613" s="3933"/>
      <c r="FOG613" s="3933"/>
      <c r="FOH613" s="3933"/>
      <c r="FOI613" s="621"/>
      <c r="FOJ613" s="3933"/>
      <c r="FOK613" s="3933"/>
      <c r="FOL613" s="3933"/>
      <c r="FOM613" s="621"/>
      <c r="FON613" s="3933"/>
      <c r="FOO613" s="3933"/>
      <c r="FOP613" s="3933"/>
      <c r="FOQ613" s="621"/>
      <c r="FOR613" s="3933"/>
      <c r="FOS613" s="3933"/>
      <c r="FOT613" s="3933"/>
      <c r="FOU613" s="621"/>
      <c r="FOV613" s="3933"/>
      <c r="FOW613" s="3933"/>
      <c r="FOX613" s="3933"/>
      <c r="FOY613" s="621"/>
      <c r="FOZ613" s="3933"/>
      <c r="FPA613" s="3933"/>
      <c r="FPB613" s="3933"/>
      <c r="FPC613" s="621"/>
      <c r="FPD613" s="3933"/>
      <c r="FPE613" s="3933"/>
      <c r="FPF613" s="3933"/>
      <c r="FPG613" s="621"/>
      <c r="FPH613" s="3933"/>
      <c r="FPI613" s="3933"/>
      <c r="FPJ613" s="3933"/>
      <c r="FPK613" s="621"/>
      <c r="FPL613" s="3933"/>
      <c r="FPM613" s="3933"/>
      <c r="FPN613" s="3933"/>
      <c r="FPO613" s="621"/>
      <c r="FPP613" s="3933"/>
      <c r="FPQ613" s="3933"/>
      <c r="FPR613" s="3933"/>
      <c r="FPS613" s="621"/>
      <c r="FPT613" s="3933"/>
      <c r="FPU613" s="3933"/>
      <c r="FPV613" s="3933"/>
      <c r="FPW613" s="621"/>
      <c r="FPX613" s="3933"/>
      <c r="FPY613" s="3933"/>
      <c r="FPZ613" s="3933"/>
      <c r="FQA613" s="621"/>
      <c r="FQB613" s="3933"/>
      <c r="FQC613" s="3933"/>
      <c r="FQD613" s="3933"/>
      <c r="FQE613" s="621"/>
      <c r="FQF613" s="3933"/>
      <c r="FQG613" s="3933"/>
      <c r="FQH613" s="3933"/>
      <c r="FQI613" s="621"/>
      <c r="FQJ613" s="3933"/>
      <c r="FQK613" s="3933"/>
      <c r="FQL613" s="3933"/>
      <c r="FQM613" s="621"/>
      <c r="FQN613" s="3933"/>
      <c r="FQO613" s="3933"/>
      <c r="FQP613" s="3933"/>
      <c r="FQQ613" s="621"/>
      <c r="FQR613" s="3933"/>
      <c r="FQS613" s="3933"/>
      <c r="FQT613" s="3933"/>
      <c r="FQU613" s="621"/>
      <c r="FQV613" s="3933"/>
      <c r="FQW613" s="3933"/>
      <c r="FQX613" s="3933"/>
      <c r="FQY613" s="621"/>
      <c r="FQZ613" s="3933"/>
      <c r="FRA613" s="3933"/>
      <c r="FRB613" s="3933"/>
      <c r="FRC613" s="621"/>
      <c r="FRD613" s="3933"/>
      <c r="FRE613" s="3933"/>
      <c r="FRF613" s="3933"/>
      <c r="FRG613" s="621"/>
      <c r="FRH613" s="3933"/>
      <c r="FRI613" s="3933"/>
      <c r="FRJ613" s="3933"/>
      <c r="FRK613" s="621"/>
      <c r="FRL613" s="3933"/>
      <c r="FRM613" s="3933"/>
      <c r="FRN613" s="3933"/>
      <c r="FRO613" s="621"/>
      <c r="FRP613" s="3933"/>
      <c r="FRQ613" s="3933"/>
      <c r="FRR613" s="3933"/>
      <c r="FRS613" s="621"/>
      <c r="FRT613" s="3933"/>
      <c r="FRU613" s="3933"/>
      <c r="FRV613" s="3933"/>
      <c r="FRW613" s="621"/>
      <c r="FRX613" s="3933"/>
      <c r="FRY613" s="3933"/>
      <c r="FRZ613" s="3933"/>
      <c r="FSA613" s="621"/>
      <c r="FSB613" s="3933"/>
      <c r="FSC613" s="3933"/>
      <c r="FSD613" s="3933"/>
      <c r="FSE613" s="621"/>
      <c r="FSF613" s="3933"/>
      <c r="FSG613" s="3933"/>
      <c r="FSH613" s="3933"/>
      <c r="FSI613" s="621"/>
      <c r="FSJ613" s="3933"/>
      <c r="FSK613" s="3933"/>
      <c r="FSL613" s="3933"/>
      <c r="FSM613" s="621"/>
      <c r="FSN613" s="3933"/>
      <c r="FSO613" s="3933"/>
      <c r="FSP613" s="3933"/>
      <c r="FSQ613" s="621"/>
      <c r="FSR613" s="3933"/>
      <c r="FSS613" s="3933"/>
      <c r="FST613" s="3933"/>
      <c r="FSU613" s="621"/>
      <c r="FSV613" s="3933"/>
      <c r="FSW613" s="3933"/>
      <c r="FSX613" s="3933"/>
      <c r="FSY613" s="621"/>
      <c r="FSZ613" s="3933"/>
      <c r="FTA613" s="3933"/>
      <c r="FTB613" s="3933"/>
      <c r="FTC613" s="621"/>
      <c r="FTD613" s="3933"/>
      <c r="FTE613" s="3933"/>
      <c r="FTF613" s="3933"/>
      <c r="FTG613" s="621"/>
      <c r="FTH613" s="3933"/>
      <c r="FTI613" s="3933"/>
      <c r="FTJ613" s="3933"/>
      <c r="FTK613" s="621"/>
      <c r="FTL613" s="3933"/>
      <c r="FTM613" s="3933"/>
      <c r="FTN613" s="3933"/>
      <c r="FTO613" s="621"/>
      <c r="FTP613" s="3933"/>
      <c r="FTQ613" s="3933"/>
      <c r="FTR613" s="3933"/>
      <c r="FTS613" s="621"/>
      <c r="FTT613" s="3933"/>
      <c r="FTU613" s="3933"/>
      <c r="FTV613" s="3933"/>
      <c r="FTW613" s="621"/>
      <c r="FTX613" s="3933"/>
      <c r="FTY613" s="3933"/>
      <c r="FTZ613" s="3933"/>
      <c r="FUA613" s="621"/>
      <c r="FUB613" s="3933"/>
      <c r="FUC613" s="3933"/>
      <c r="FUD613" s="3933"/>
      <c r="FUE613" s="621"/>
      <c r="FUF613" s="3933"/>
      <c r="FUG613" s="3933"/>
      <c r="FUH613" s="3933"/>
      <c r="FUI613" s="621"/>
      <c r="FUJ613" s="3933"/>
      <c r="FUK613" s="3933"/>
      <c r="FUL613" s="3933"/>
      <c r="FUM613" s="621"/>
      <c r="FUN613" s="3933"/>
      <c r="FUO613" s="3933"/>
      <c r="FUP613" s="3933"/>
      <c r="FUQ613" s="621"/>
      <c r="FUR613" s="3933"/>
      <c r="FUS613" s="3933"/>
      <c r="FUT613" s="3933"/>
      <c r="FUU613" s="621"/>
      <c r="FUV613" s="3933"/>
      <c r="FUW613" s="3933"/>
      <c r="FUX613" s="3933"/>
      <c r="FUY613" s="621"/>
      <c r="FUZ613" s="3933"/>
      <c r="FVA613" s="3933"/>
      <c r="FVB613" s="3933"/>
      <c r="FVC613" s="621"/>
      <c r="FVD613" s="3933"/>
      <c r="FVE613" s="3933"/>
      <c r="FVF613" s="3933"/>
      <c r="FVG613" s="621"/>
      <c r="FVH613" s="3933"/>
      <c r="FVI613" s="3933"/>
      <c r="FVJ613" s="3933"/>
      <c r="FVK613" s="621"/>
      <c r="FVL613" s="3933"/>
      <c r="FVM613" s="3933"/>
      <c r="FVN613" s="3933"/>
      <c r="FVO613" s="621"/>
      <c r="FVP613" s="3933"/>
      <c r="FVQ613" s="3933"/>
      <c r="FVR613" s="3933"/>
      <c r="FVS613" s="621"/>
      <c r="FVT613" s="3933"/>
      <c r="FVU613" s="3933"/>
      <c r="FVV613" s="3933"/>
      <c r="FVW613" s="621"/>
      <c r="FVX613" s="3933"/>
      <c r="FVY613" s="3933"/>
      <c r="FVZ613" s="3933"/>
      <c r="FWA613" s="621"/>
      <c r="FWB613" s="3933"/>
      <c r="FWC613" s="3933"/>
      <c r="FWD613" s="3933"/>
      <c r="FWE613" s="621"/>
      <c r="FWF613" s="3933"/>
      <c r="FWG613" s="3933"/>
      <c r="FWH613" s="3933"/>
      <c r="FWI613" s="621"/>
      <c r="FWJ613" s="3933"/>
      <c r="FWK613" s="3933"/>
      <c r="FWL613" s="3933"/>
      <c r="FWM613" s="621"/>
      <c r="FWN613" s="3933"/>
      <c r="FWO613" s="3933"/>
      <c r="FWP613" s="3933"/>
      <c r="FWQ613" s="621"/>
      <c r="FWR613" s="3933"/>
      <c r="FWS613" s="3933"/>
      <c r="FWT613" s="3933"/>
      <c r="FWU613" s="621"/>
      <c r="FWV613" s="3933"/>
      <c r="FWW613" s="3933"/>
      <c r="FWX613" s="3933"/>
      <c r="FWY613" s="621"/>
      <c r="FWZ613" s="3933"/>
      <c r="FXA613" s="3933"/>
      <c r="FXB613" s="3933"/>
      <c r="FXC613" s="621"/>
      <c r="FXD613" s="3933"/>
      <c r="FXE613" s="3933"/>
      <c r="FXF613" s="3933"/>
      <c r="FXG613" s="621"/>
      <c r="FXH613" s="3933"/>
      <c r="FXI613" s="3933"/>
      <c r="FXJ613" s="3933"/>
      <c r="FXK613" s="621"/>
      <c r="FXL613" s="3933"/>
      <c r="FXM613" s="3933"/>
      <c r="FXN613" s="3933"/>
      <c r="FXO613" s="621"/>
      <c r="FXP613" s="3933"/>
      <c r="FXQ613" s="3933"/>
      <c r="FXR613" s="3933"/>
      <c r="FXS613" s="621"/>
      <c r="FXT613" s="3933"/>
      <c r="FXU613" s="3933"/>
      <c r="FXV613" s="3933"/>
      <c r="FXW613" s="621"/>
      <c r="FXX613" s="3933"/>
      <c r="FXY613" s="3933"/>
      <c r="FXZ613" s="3933"/>
      <c r="FYA613" s="621"/>
      <c r="FYB613" s="3933"/>
      <c r="FYC613" s="3933"/>
      <c r="FYD613" s="3933"/>
      <c r="FYE613" s="621"/>
      <c r="FYF613" s="3933"/>
      <c r="FYG613" s="3933"/>
      <c r="FYH613" s="3933"/>
      <c r="FYI613" s="621"/>
      <c r="FYJ613" s="3933"/>
      <c r="FYK613" s="3933"/>
      <c r="FYL613" s="3933"/>
      <c r="FYM613" s="621"/>
      <c r="FYN613" s="3933"/>
      <c r="FYO613" s="3933"/>
      <c r="FYP613" s="3933"/>
      <c r="FYQ613" s="621"/>
      <c r="FYR613" s="3933"/>
      <c r="FYS613" s="3933"/>
      <c r="FYT613" s="3933"/>
      <c r="FYU613" s="621"/>
      <c r="FYV613" s="3933"/>
      <c r="FYW613" s="3933"/>
      <c r="FYX613" s="3933"/>
      <c r="FYY613" s="621"/>
      <c r="FYZ613" s="3933"/>
      <c r="FZA613" s="3933"/>
      <c r="FZB613" s="3933"/>
      <c r="FZC613" s="621"/>
      <c r="FZD613" s="3933"/>
      <c r="FZE613" s="3933"/>
      <c r="FZF613" s="3933"/>
      <c r="FZG613" s="621"/>
      <c r="FZH613" s="3933"/>
      <c r="FZI613" s="3933"/>
      <c r="FZJ613" s="3933"/>
      <c r="FZK613" s="621"/>
      <c r="FZL613" s="3933"/>
      <c r="FZM613" s="3933"/>
      <c r="FZN613" s="3933"/>
      <c r="FZO613" s="621"/>
      <c r="FZP613" s="3933"/>
      <c r="FZQ613" s="3933"/>
      <c r="FZR613" s="3933"/>
      <c r="FZS613" s="621"/>
      <c r="FZT613" s="3933"/>
      <c r="FZU613" s="3933"/>
      <c r="FZV613" s="3933"/>
      <c r="FZW613" s="621"/>
      <c r="FZX613" s="3933"/>
      <c r="FZY613" s="3933"/>
      <c r="FZZ613" s="3933"/>
      <c r="GAA613" s="621"/>
      <c r="GAB613" s="3933"/>
      <c r="GAC613" s="3933"/>
      <c r="GAD613" s="3933"/>
      <c r="GAE613" s="621"/>
      <c r="GAF613" s="3933"/>
      <c r="GAG613" s="3933"/>
      <c r="GAH613" s="3933"/>
      <c r="GAI613" s="621"/>
      <c r="GAJ613" s="3933"/>
      <c r="GAK613" s="3933"/>
      <c r="GAL613" s="3933"/>
      <c r="GAM613" s="621"/>
      <c r="GAN613" s="3933"/>
      <c r="GAO613" s="3933"/>
      <c r="GAP613" s="3933"/>
      <c r="GAQ613" s="621"/>
      <c r="GAR613" s="3933"/>
      <c r="GAS613" s="3933"/>
      <c r="GAT613" s="3933"/>
      <c r="GAU613" s="621"/>
      <c r="GAV613" s="3933"/>
      <c r="GAW613" s="3933"/>
      <c r="GAX613" s="3933"/>
      <c r="GAY613" s="621"/>
      <c r="GAZ613" s="3933"/>
      <c r="GBA613" s="3933"/>
      <c r="GBB613" s="3933"/>
      <c r="GBC613" s="621"/>
      <c r="GBD613" s="3933"/>
      <c r="GBE613" s="3933"/>
      <c r="GBF613" s="3933"/>
      <c r="GBG613" s="621"/>
      <c r="GBH613" s="3933"/>
      <c r="GBI613" s="3933"/>
      <c r="GBJ613" s="3933"/>
      <c r="GBK613" s="621"/>
      <c r="GBL613" s="3933"/>
      <c r="GBM613" s="3933"/>
      <c r="GBN613" s="3933"/>
      <c r="GBO613" s="621"/>
      <c r="GBP613" s="3933"/>
      <c r="GBQ613" s="3933"/>
      <c r="GBR613" s="3933"/>
      <c r="GBS613" s="621"/>
      <c r="GBT613" s="3933"/>
      <c r="GBU613" s="3933"/>
      <c r="GBV613" s="3933"/>
      <c r="GBW613" s="621"/>
      <c r="GBX613" s="3933"/>
      <c r="GBY613" s="3933"/>
      <c r="GBZ613" s="3933"/>
      <c r="GCA613" s="621"/>
      <c r="GCB613" s="3933"/>
      <c r="GCC613" s="3933"/>
      <c r="GCD613" s="3933"/>
      <c r="GCE613" s="621"/>
      <c r="GCF613" s="3933"/>
      <c r="GCG613" s="3933"/>
      <c r="GCH613" s="3933"/>
      <c r="GCI613" s="621"/>
      <c r="GCJ613" s="3933"/>
      <c r="GCK613" s="3933"/>
      <c r="GCL613" s="3933"/>
      <c r="GCM613" s="621"/>
      <c r="GCN613" s="3933"/>
      <c r="GCO613" s="3933"/>
      <c r="GCP613" s="3933"/>
      <c r="GCQ613" s="621"/>
      <c r="GCR613" s="3933"/>
      <c r="GCS613" s="3933"/>
      <c r="GCT613" s="3933"/>
      <c r="GCU613" s="621"/>
      <c r="GCV613" s="3933"/>
      <c r="GCW613" s="3933"/>
      <c r="GCX613" s="3933"/>
      <c r="GCY613" s="621"/>
      <c r="GCZ613" s="3933"/>
      <c r="GDA613" s="3933"/>
      <c r="GDB613" s="3933"/>
      <c r="GDC613" s="621"/>
      <c r="GDD613" s="3933"/>
      <c r="GDE613" s="3933"/>
      <c r="GDF613" s="3933"/>
      <c r="GDG613" s="621"/>
      <c r="GDH613" s="3933"/>
      <c r="GDI613" s="3933"/>
      <c r="GDJ613" s="3933"/>
      <c r="GDK613" s="621"/>
      <c r="GDL613" s="3933"/>
      <c r="GDM613" s="3933"/>
      <c r="GDN613" s="3933"/>
      <c r="GDO613" s="621"/>
      <c r="GDP613" s="3933"/>
      <c r="GDQ613" s="3933"/>
      <c r="GDR613" s="3933"/>
      <c r="GDS613" s="621"/>
      <c r="GDT613" s="3933"/>
      <c r="GDU613" s="3933"/>
      <c r="GDV613" s="3933"/>
      <c r="GDW613" s="621"/>
      <c r="GDX613" s="3933"/>
      <c r="GDY613" s="3933"/>
      <c r="GDZ613" s="3933"/>
      <c r="GEA613" s="621"/>
      <c r="GEB613" s="3933"/>
      <c r="GEC613" s="3933"/>
      <c r="GED613" s="3933"/>
      <c r="GEE613" s="621"/>
      <c r="GEF613" s="3933"/>
      <c r="GEG613" s="3933"/>
      <c r="GEH613" s="3933"/>
      <c r="GEI613" s="621"/>
      <c r="GEJ613" s="3933"/>
      <c r="GEK613" s="3933"/>
      <c r="GEL613" s="3933"/>
      <c r="GEM613" s="621"/>
      <c r="GEN613" s="3933"/>
      <c r="GEO613" s="3933"/>
      <c r="GEP613" s="3933"/>
      <c r="GEQ613" s="621"/>
      <c r="GER613" s="3933"/>
      <c r="GES613" s="3933"/>
      <c r="GET613" s="3933"/>
      <c r="GEU613" s="621"/>
      <c r="GEV613" s="3933"/>
      <c r="GEW613" s="3933"/>
      <c r="GEX613" s="3933"/>
      <c r="GEY613" s="621"/>
      <c r="GEZ613" s="3933"/>
      <c r="GFA613" s="3933"/>
      <c r="GFB613" s="3933"/>
      <c r="GFC613" s="621"/>
      <c r="GFD613" s="3933"/>
      <c r="GFE613" s="3933"/>
      <c r="GFF613" s="3933"/>
      <c r="GFG613" s="621"/>
      <c r="GFH613" s="3933"/>
      <c r="GFI613" s="3933"/>
      <c r="GFJ613" s="3933"/>
      <c r="GFK613" s="621"/>
      <c r="GFL613" s="3933"/>
      <c r="GFM613" s="3933"/>
      <c r="GFN613" s="3933"/>
      <c r="GFO613" s="621"/>
      <c r="GFP613" s="3933"/>
      <c r="GFQ613" s="3933"/>
      <c r="GFR613" s="3933"/>
      <c r="GFS613" s="621"/>
      <c r="GFT613" s="3933"/>
      <c r="GFU613" s="3933"/>
      <c r="GFV613" s="3933"/>
      <c r="GFW613" s="621"/>
      <c r="GFX613" s="3933"/>
      <c r="GFY613" s="3933"/>
      <c r="GFZ613" s="3933"/>
      <c r="GGA613" s="621"/>
      <c r="GGB613" s="3933"/>
      <c r="GGC613" s="3933"/>
      <c r="GGD613" s="3933"/>
      <c r="GGE613" s="621"/>
      <c r="GGF613" s="3933"/>
      <c r="GGG613" s="3933"/>
      <c r="GGH613" s="3933"/>
      <c r="GGI613" s="621"/>
      <c r="GGJ613" s="3933"/>
      <c r="GGK613" s="3933"/>
      <c r="GGL613" s="3933"/>
      <c r="GGM613" s="621"/>
      <c r="GGN613" s="3933"/>
      <c r="GGO613" s="3933"/>
      <c r="GGP613" s="3933"/>
      <c r="GGQ613" s="621"/>
      <c r="GGR613" s="3933"/>
      <c r="GGS613" s="3933"/>
      <c r="GGT613" s="3933"/>
      <c r="GGU613" s="621"/>
      <c r="GGV613" s="3933"/>
      <c r="GGW613" s="3933"/>
      <c r="GGX613" s="3933"/>
      <c r="GGY613" s="621"/>
      <c r="GGZ613" s="3933"/>
      <c r="GHA613" s="3933"/>
      <c r="GHB613" s="3933"/>
      <c r="GHC613" s="621"/>
      <c r="GHD613" s="3933"/>
      <c r="GHE613" s="3933"/>
      <c r="GHF613" s="3933"/>
      <c r="GHG613" s="621"/>
      <c r="GHH613" s="3933"/>
      <c r="GHI613" s="3933"/>
      <c r="GHJ613" s="3933"/>
      <c r="GHK613" s="621"/>
      <c r="GHL613" s="3933"/>
      <c r="GHM613" s="3933"/>
      <c r="GHN613" s="3933"/>
      <c r="GHO613" s="621"/>
      <c r="GHP613" s="3933"/>
      <c r="GHQ613" s="3933"/>
      <c r="GHR613" s="3933"/>
      <c r="GHS613" s="621"/>
      <c r="GHT613" s="3933"/>
      <c r="GHU613" s="3933"/>
      <c r="GHV613" s="3933"/>
      <c r="GHW613" s="621"/>
      <c r="GHX613" s="3933"/>
      <c r="GHY613" s="3933"/>
      <c r="GHZ613" s="3933"/>
      <c r="GIA613" s="621"/>
      <c r="GIB613" s="3933"/>
      <c r="GIC613" s="3933"/>
      <c r="GID613" s="3933"/>
      <c r="GIE613" s="621"/>
      <c r="GIF613" s="3933"/>
      <c r="GIG613" s="3933"/>
      <c r="GIH613" s="3933"/>
      <c r="GII613" s="621"/>
      <c r="GIJ613" s="3933"/>
      <c r="GIK613" s="3933"/>
      <c r="GIL613" s="3933"/>
      <c r="GIM613" s="621"/>
      <c r="GIN613" s="3933"/>
      <c r="GIO613" s="3933"/>
      <c r="GIP613" s="3933"/>
      <c r="GIQ613" s="621"/>
      <c r="GIR613" s="3933"/>
      <c r="GIS613" s="3933"/>
      <c r="GIT613" s="3933"/>
      <c r="GIU613" s="621"/>
      <c r="GIV613" s="3933"/>
      <c r="GIW613" s="3933"/>
      <c r="GIX613" s="3933"/>
      <c r="GIY613" s="621"/>
      <c r="GIZ613" s="3933"/>
      <c r="GJA613" s="3933"/>
      <c r="GJB613" s="3933"/>
      <c r="GJC613" s="621"/>
      <c r="GJD613" s="3933"/>
      <c r="GJE613" s="3933"/>
      <c r="GJF613" s="3933"/>
      <c r="GJG613" s="621"/>
      <c r="GJH613" s="3933"/>
      <c r="GJI613" s="3933"/>
      <c r="GJJ613" s="3933"/>
      <c r="GJK613" s="621"/>
      <c r="GJL613" s="3933"/>
      <c r="GJM613" s="3933"/>
      <c r="GJN613" s="3933"/>
      <c r="GJO613" s="621"/>
      <c r="GJP613" s="3933"/>
      <c r="GJQ613" s="3933"/>
      <c r="GJR613" s="3933"/>
      <c r="GJS613" s="621"/>
      <c r="GJT613" s="3933"/>
      <c r="GJU613" s="3933"/>
      <c r="GJV613" s="3933"/>
      <c r="GJW613" s="621"/>
      <c r="GJX613" s="3933"/>
      <c r="GJY613" s="3933"/>
      <c r="GJZ613" s="3933"/>
      <c r="GKA613" s="621"/>
      <c r="GKB613" s="3933"/>
      <c r="GKC613" s="3933"/>
      <c r="GKD613" s="3933"/>
      <c r="GKE613" s="621"/>
      <c r="GKF613" s="3933"/>
      <c r="GKG613" s="3933"/>
      <c r="GKH613" s="3933"/>
      <c r="GKI613" s="621"/>
      <c r="GKJ613" s="3933"/>
      <c r="GKK613" s="3933"/>
      <c r="GKL613" s="3933"/>
      <c r="GKM613" s="621"/>
      <c r="GKN613" s="3933"/>
      <c r="GKO613" s="3933"/>
      <c r="GKP613" s="3933"/>
      <c r="GKQ613" s="621"/>
      <c r="GKR613" s="3933"/>
      <c r="GKS613" s="3933"/>
      <c r="GKT613" s="3933"/>
      <c r="GKU613" s="621"/>
      <c r="GKV613" s="3933"/>
      <c r="GKW613" s="3933"/>
      <c r="GKX613" s="3933"/>
      <c r="GKY613" s="621"/>
      <c r="GKZ613" s="3933"/>
      <c r="GLA613" s="3933"/>
      <c r="GLB613" s="3933"/>
      <c r="GLC613" s="621"/>
      <c r="GLD613" s="3933"/>
      <c r="GLE613" s="3933"/>
      <c r="GLF613" s="3933"/>
      <c r="GLG613" s="621"/>
      <c r="GLH613" s="3933"/>
      <c r="GLI613" s="3933"/>
      <c r="GLJ613" s="3933"/>
      <c r="GLK613" s="621"/>
      <c r="GLL613" s="3933"/>
      <c r="GLM613" s="3933"/>
      <c r="GLN613" s="3933"/>
      <c r="GLO613" s="621"/>
      <c r="GLP613" s="3933"/>
      <c r="GLQ613" s="3933"/>
      <c r="GLR613" s="3933"/>
      <c r="GLS613" s="621"/>
      <c r="GLT613" s="3933"/>
      <c r="GLU613" s="3933"/>
      <c r="GLV613" s="3933"/>
      <c r="GLW613" s="621"/>
      <c r="GLX613" s="3933"/>
      <c r="GLY613" s="3933"/>
      <c r="GLZ613" s="3933"/>
      <c r="GMA613" s="621"/>
      <c r="GMB613" s="3933"/>
      <c r="GMC613" s="3933"/>
      <c r="GMD613" s="3933"/>
      <c r="GME613" s="621"/>
      <c r="GMF613" s="3933"/>
      <c r="GMG613" s="3933"/>
      <c r="GMH613" s="3933"/>
      <c r="GMI613" s="621"/>
      <c r="GMJ613" s="3933"/>
      <c r="GMK613" s="3933"/>
      <c r="GML613" s="3933"/>
      <c r="GMM613" s="621"/>
      <c r="GMN613" s="3933"/>
      <c r="GMO613" s="3933"/>
      <c r="GMP613" s="3933"/>
      <c r="GMQ613" s="621"/>
      <c r="GMR613" s="3933"/>
      <c r="GMS613" s="3933"/>
      <c r="GMT613" s="3933"/>
      <c r="GMU613" s="621"/>
      <c r="GMV613" s="3933"/>
      <c r="GMW613" s="3933"/>
      <c r="GMX613" s="3933"/>
      <c r="GMY613" s="621"/>
      <c r="GMZ613" s="3933"/>
      <c r="GNA613" s="3933"/>
      <c r="GNB613" s="3933"/>
      <c r="GNC613" s="621"/>
      <c r="GND613" s="3933"/>
      <c r="GNE613" s="3933"/>
      <c r="GNF613" s="3933"/>
      <c r="GNG613" s="621"/>
      <c r="GNH613" s="3933"/>
      <c r="GNI613" s="3933"/>
      <c r="GNJ613" s="3933"/>
      <c r="GNK613" s="621"/>
      <c r="GNL613" s="3933"/>
      <c r="GNM613" s="3933"/>
      <c r="GNN613" s="3933"/>
      <c r="GNO613" s="621"/>
      <c r="GNP613" s="3933"/>
      <c r="GNQ613" s="3933"/>
      <c r="GNR613" s="3933"/>
      <c r="GNS613" s="621"/>
      <c r="GNT613" s="3933"/>
      <c r="GNU613" s="3933"/>
      <c r="GNV613" s="3933"/>
      <c r="GNW613" s="621"/>
      <c r="GNX613" s="3933"/>
      <c r="GNY613" s="3933"/>
      <c r="GNZ613" s="3933"/>
      <c r="GOA613" s="621"/>
      <c r="GOB613" s="3933"/>
      <c r="GOC613" s="3933"/>
      <c r="GOD613" s="3933"/>
      <c r="GOE613" s="621"/>
      <c r="GOF613" s="3933"/>
      <c r="GOG613" s="3933"/>
      <c r="GOH613" s="3933"/>
      <c r="GOI613" s="621"/>
      <c r="GOJ613" s="3933"/>
      <c r="GOK613" s="3933"/>
      <c r="GOL613" s="3933"/>
      <c r="GOM613" s="621"/>
      <c r="GON613" s="3933"/>
      <c r="GOO613" s="3933"/>
      <c r="GOP613" s="3933"/>
      <c r="GOQ613" s="621"/>
      <c r="GOR613" s="3933"/>
      <c r="GOS613" s="3933"/>
      <c r="GOT613" s="3933"/>
      <c r="GOU613" s="621"/>
      <c r="GOV613" s="3933"/>
      <c r="GOW613" s="3933"/>
      <c r="GOX613" s="3933"/>
      <c r="GOY613" s="621"/>
      <c r="GOZ613" s="3933"/>
      <c r="GPA613" s="3933"/>
      <c r="GPB613" s="3933"/>
      <c r="GPC613" s="621"/>
      <c r="GPD613" s="3933"/>
      <c r="GPE613" s="3933"/>
      <c r="GPF613" s="3933"/>
      <c r="GPG613" s="621"/>
      <c r="GPH613" s="3933"/>
      <c r="GPI613" s="3933"/>
      <c r="GPJ613" s="3933"/>
      <c r="GPK613" s="621"/>
      <c r="GPL613" s="3933"/>
      <c r="GPM613" s="3933"/>
      <c r="GPN613" s="3933"/>
      <c r="GPO613" s="621"/>
      <c r="GPP613" s="3933"/>
      <c r="GPQ613" s="3933"/>
      <c r="GPR613" s="3933"/>
      <c r="GPS613" s="621"/>
      <c r="GPT613" s="3933"/>
      <c r="GPU613" s="3933"/>
      <c r="GPV613" s="3933"/>
      <c r="GPW613" s="621"/>
      <c r="GPX613" s="3933"/>
      <c r="GPY613" s="3933"/>
      <c r="GPZ613" s="3933"/>
      <c r="GQA613" s="621"/>
      <c r="GQB613" s="3933"/>
      <c r="GQC613" s="3933"/>
      <c r="GQD613" s="3933"/>
      <c r="GQE613" s="621"/>
      <c r="GQF613" s="3933"/>
      <c r="GQG613" s="3933"/>
      <c r="GQH613" s="3933"/>
      <c r="GQI613" s="621"/>
      <c r="GQJ613" s="3933"/>
      <c r="GQK613" s="3933"/>
      <c r="GQL613" s="3933"/>
      <c r="GQM613" s="621"/>
      <c r="GQN613" s="3933"/>
      <c r="GQO613" s="3933"/>
      <c r="GQP613" s="3933"/>
      <c r="GQQ613" s="621"/>
      <c r="GQR613" s="3933"/>
      <c r="GQS613" s="3933"/>
      <c r="GQT613" s="3933"/>
      <c r="GQU613" s="621"/>
      <c r="GQV613" s="3933"/>
      <c r="GQW613" s="3933"/>
      <c r="GQX613" s="3933"/>
      <c r="GQY613" s="621"/>
      <c r="GQZ613" s="3933"/>
      <c r="GRA613" s="3933"/>
      <c r="GRB613" s="3933"/>
      <c r="GRC613" s="621"/>
      <c r="GRD613" s="3933"/>
      <c r="GRE613" s="3933"/>
      <c r="GRF613" s="3933"/>
      <c r="GRG613" s="621"/>
      <c r="GRH613" s="3933"/>
      <c r="GRI613" s="3933"/>
      <c r="GRJ613" s="3933"/>
      <c r="GRK613" s="621"/>
      <c r="GRL613" s="3933"/>
      <c r="GRM613" s="3933"/>
      <c r="GRN613" s="3933"/>
      <c r="GRO613" s="621"/>
      <c r="GRP613" s="3933"/>
      <c r="GRQ613" s="3933"/>
      <c r="GRR613" s="3933"/>
      <c r="GRS613" s="621"/>
      <c r="GRT613" s="3933"/>
      <c r="GRU613" s="3933"/>
      <c r="GRV613" s="3933"/>
      <c r="GRW613" s="621"/>
      <c r="GRX613" s="3933"/>
      <c r="GRY613" s="3933"/>
      <c r="GRZ613" s="3933"/>
      <c r="GSA613" s="621"/>
      <c r="GSB613" s="3933"/>
      <c r="GSC613" s="3933"/>
      <c r="GSD613" s="3933"/>
      <c r="GSE613" s="621"/>
      <c r="GSF613" s="3933"/>
      <c r="GSG613" s="3933"/>
      <c r="GSH613" s="3933"/>
      <c r="GSI613" s="621"/>
      <c r="GSJ613" s="3933"/>
      <c r="GSK613" s="3933"/>
      <c r="GSL613" s="3933"/>
      <c r="GSM613" s="621"/>
      <c r="GSN613" s="3933"/>
      <c r="GSO613" s="3933"/>
      <c r="GSP613" s="3933"/>
      <c r="GSQ613" s="621"/>
      <c r="GSR613" s="3933"/>
      <c r="GSS613" s="3933"/>
      <c r="GST613" s="3933"/>
      <c r="GSU613" s="621"/>
      <c r="GSV613" s="3933"/>
      <c r="GSW613" s="3933"/>
      <c r="GSX613" s="3933"/>
      <c r="GSY613" s="621"/>
      <c r="GSZ613" s="3933"/>
      <c r="GTA613" s="3933"/>
      <c r="GTB613" s="3933"/>
      <c r="GTC613" s="621"/>
      <c r="GTD613" s="3933"/>
      <c r="GTE613" s="3933"/>
      <c r="GTF613" s="3933"/>
      <c r="GTG613" s="621"/>
      <c r="GTH613" s="3933"/>
      <c r="GTI613" s="3933"/>
      <c r="GTJ613" s="3933"/>
      <c r="GTK613" s="621"/>
      <c r="GTL613" s="3933"/>
      <c r="GTM613" s="3933"/>
      <c r="GTN613" s="3933"/>
      <c r="GTO613" s="621"/>
      <c r="GTP613" s="3933"/>
      <c r="GTQ613" s="3933"/>
      <c r="GTR613" s="3933"/>
      <c r="GTS613" s="621"/>
      <c r="GTT613" s="3933"/>
      <c r="GTU613" s="3933"/>
      <c r="GTV613" s="3933"/>
      <c r="GTW613" s="621"/>
      <c r="GTX613" s="3933"/>
      <c r="GTY613" s="3933"/>
      <c r="GTZ613" s="3933"/>
      <c r="GUA613" s="621"/>
      <c r="GUB613" s="3933"/>
      <c r="GUC613" s="3933"/>
      <c r="GUD613" s="3933"/>
      <c r="GUE613" s="621"/>
      <c r="GUF613" s="3933"/>
      <c r="GUG613" s="3933"/>
      <c r="GUH613" s="3933"/>
      <c r="GUI613" s="621"/>
      <c r="GUJ613" s="3933"/>
      <c r="GUK613" s="3933"/>
      <c r="GUL613" s="3933"/>
      <c r="GUM613" s="621"/>
      <c r="GUN613" s="3933"/>
      <c r="GUO613" s="3933"/>
      <c r="GUP613" s="3933"/>
      <c r="GUQ613" s="621"/>
      <c r="GUR613" s="3933"/>
      <c r="GUS613" s="3933"/>
      <c r="GUT613" s="3933"/>
      <c r="GUU613" s="621"/>
      <c r="GUV613" s="3933"/>
      <c r="GUW613" s="3933"/>
      <c r="GUX613" s="3933"/>
      <c r="GUY613" s="621"/>
      <c r="GUZ613" s="3933"/>
      <c r="GVA613" s="3933"/>
      <c r="GVB613" s="3933"/>
      <c r="GVC613" s="621"/>
      <c r="GVD613" s="3933"/>
      <c r="GVE613" s="3933"/>
      <c r="GVF613" s="3933"/>
      <c r="GVG613" s="621"/>
      <c r="GVH613" s="3933"/>
      <c r="GVI613" s="3933"/>
      <c r="GVJ613" s="3933"/>
      <c r="GVK613" s="621"/>
      <c r="GVL613" s="3933"/>
      <c r="GVM613" s="3933"/>
      <c r="GVN613" s="3933"/>
      <c r="GVO613" s="621"/>
      <c r="GVP613" s="3933"/>
      <c r="GVQ613" s="3933"/>
      <c r="GVR613" s="3933"/>
      <c r="GVS613" s="621"/>
      <c r="GVT613" s="3933"/>
      <c r="GVU613" s="3933"/>
      <c r="GVV613" s="3933"/>
      <c r="GVW613" s="621"/>
      <c r="GVX613" s="3933"/>
      <c r="GVY613" s="3933"/>
      <c r="GVZ613" s="3933"/>
      <c r="GWA613" s="621"/>
      <c r="GWB613" s="3933"/>
      <c r="GWC613" s="3933"/>
      <c r="GWD613" s="3933"/>
      <c r="GWE613" s="621"/>
      <c r="GWF613" s="3933"/>
      <c r="GWG613" s="3933"/>
      <c r="GWH613" s="3933"/>
      <c r="GWI613" s="621"/>
      <c r="GWJ613" s="3933"/>
      <c r="GWK613" s="3933"/>
      <c r="GWL613" s="3933"/>
      <c r="GWM613" s="621"/>
      <c r="GWN613" s="3933"/>
      <c r="GWO613" s="3933"/>
      <c r="GWP613" s="3933"/>
      <c r="GWQ613" s="621"/>
      <c r="GWR613" s="3933"/>
      <c r="GWS613" s="3933"/>
      <c r="GWT613" s="3933"/>
      <c r="GWU613" s="621"/>
      <c r="GWV613" s="3933"/>
      <c r="GWW613" s="3933"/>
      <c r="GWX613" s="3933"/>
      <c r="GWY613" s="621"/>
      <c r="GWZ613" s="3933"/>
      <c r="GXA613" s="3933"/>
      <c r="GXB613" s="3933"/>
      <c r="GXC613" s="621"/>
      <c r="GXD613" s="3933"/>
      <c r="GXE613" s="3933"/>
      <c r="GXF613" s="3933"/>
      <c r="GXG613" s="621"/>
      <c r="GXH613" s="3933"/>
      <c r="GXI613" s="3933"/>
      <c r="GXJ613" s="3933"/>
      <c r="GXK613" s="621"/>
      <c r="GXL613" s="3933"/>
      <c r="GXM613" s="3933"/>
      <c r="GXN613" s="3933"/>
      <c r="GXO613" s="621"/>
      <c r="GXP613" s="3933"/>
      <c r="GXQ613" s="3933"/>
      <c r="GXR613" s="3933"/>
      <c r="GXS613" s="621"/>
      <c r="GXT613" s="3933"/>
      <c r="GXU613" s="3933"/>
      <c r="GXV613" s="3933"/>
      <c r="GXW613" s="621"/>
      <c r="GXX613" s="3933"/>
      <c r="GXY613" s="3933"/>
      <c r="GXZ613" s="3933"/>
      <c r="GYA613" s="621"/>
      <c r="GYB613" s="3933"/>
      <c r="GYC613" s="3933"/>
      <c r="GYD613" s="3933"/>
      <c r="GYE613" s="621"/>
      <c r="GYF613" s="3933"/>
      <c r="GYG613" s="3933"/>
      <c r="GYH613" s="3933"/>
      <c r="GYI613" s="621"/>
      <c r="GYJ613" s="3933"/>
      <c r="GYK613" s="3933"/>
      <c r="GYL613" s="3933"/>
      <c r="GYM613" s="621"/>
      <c r="GYN613" s="3933"/>
      <c r="GYO613" s="3933"/>
      <c r="GYP613" s="3933"/>
      <c r="GYQ613" s="621"/>
      <c r="GYR613" s="3933"/>
      <c r="GYS613" s="3933"/>
      <c r="GYT613" s="3933"/>
      <c r="GYU613" s="621"/>
      <c r="GYV613" s="3933"/>
      <c r="GYW613" s="3933"/>
      <c r="GYX613" s="3933"/>
      <c r="GYY613" s="621"/>
      <c r="GYZ613" s="3933"/>
      <c r="GZA613" s="3933"/>
      <c r="GZB613" s="3933"/>
      <c r="GZC613" s="621"/>
      <c r="GZD613" s="3933"/>
      <c r="GZE613" s="3933"/>
      <c r="GZF613" s="3933"/>
      <c r="GZG613" s="621"/>
      <c r="GZH613" s="3933"/>
      <c r="GZI613" s="3933"/>
      <c r="GZJ613" s="3933"/>
      <c r="GZK613" s="621"/>
      <c r="GZL613" s="3933"/>
      <c r="GZM613" s="3933"/>
      <c r="GZN613" s="3933"/>
      <c r="GZO613" s="621"/>
      <c r="GZP613" s="3933"/>
      <c r="GZQ613" s="3933"/>
      <c r="GZR613" s="3933"/>
      <c r="GZS613" s="621"/>
      <c r="GZT613" s="3933"/>
      <c r="GZU613" s="3933"/>
      <c r="GZV613" s="3933"/>
      <c r="GZW613" s="621"/>
      <c r="GZX613" s="3933"/>
      <c r="GZY613" s="3933"/>
      <c r="GZZ613" s="3933"/>
      <c r="HAA613" s="621"/>
      <c r="HAB613" s="3933"/>
      <c r="HAC613" s="3933"/>
      <c r="HAD613" s="3933"/>
      <c r="HAE613" s="621"/>
      <c r="HAF613" s="3933"/>
      <c r="HAG613" s="3933"/>
      <c r="HAH613" s="3933"/>
      <c r="HAI613" s="621"/>
      <c r="HAJ613" s="3933"/>
      <c r="HAK613" s="3933"/>
      <c r="HAL613" s="3933"/>
      <c r="HAM613" s="621"/>
      <c r="HAN613" s="3933"/>
      <c r="HAO613" s="3933"/>
      <c r="HAP613" s="3933"/>
      <c r="HAQ613" s="621"/>
      <c r="HAR613" s="3933"/>
      <c r="HAS613" s="3933"/>
      <c r="HAT613" s="3933"/>
      <c r="HAU613" s="621"/>
      <c r="HAV613" s="3933"/>
      <c r="HAW613" s="3933"/>
      <c r="HAX613" s="3933"/>
      <c r="HAY613" s="621"/>
      <c r="HAZ613" s="3933"/>
      <c r="HBA613" s="3933"/>
      <c r="HBB613" s="3933"/>
      <c r="HBC613" s="621"/>
      <c r="HBD613" s="3933"/>
      <c r="HBE613" s="3933"/>
      <c r="HBF613" s="3933"/>
      <c r="HBG613" s="621"/>
      <c r="HBH613" s="3933"/>
      <c r="HBI613" s="3933"/>
      <c r="HBJ613" s="3933"/>
      <c r="HBK613" s="621"/>
      <c r="HBL613" s="3933"/>
      <c r="HBM613" s="3933"/>
      <c r="HBN613" s="3933"/>
      <c r="HBO613" s="621"/>
      <c r="HBP613" s="3933"/>
      <c r="HBQ613" s="3933"/>
      <c r="HBR613" s="3933"/>
      <c r="HBS613" s="621"/>
      <c r="HBT613" s="3933"/>
      <c r="HBU613" s="3933"/>
      <c r="HBV613" s="3933"/>
      <c r="HBW613" s="621"/>
      <c r="HBX613" s="3933"/>
      <c r="HBY613" s="3933"/>
      <c r="HBZ613" s="3933"/>
      <c r="HCA613" s="621"/>
      <c r="HCB613" s="3933"/>
      <c r="HCC613" s="3933"/>
      <c r="HCD613" s="3933"/>
      <c r="HCE613" s="621"/>
      <c r="HCF613" s="3933"/>
      <c r="HCG613" s="3933"/>
      <c r="HCH613" s="3933"/>
      <c r="HCI613" s="621"/>
      <c r="HCJ613" s="3933"/>
      <c r="HCK613" s="3933"/>
      <c r="HCL613" s="3933"/>
      <c r="HCM613" s="621"/>
      <c r="HCN613" s="3933"/>
      <c r="HCO613" s="3933"/>
      <c r="HCP613" s="3933"/>
      <c r="HCQ613" s="621"/>
      <c r="HCR613" s="3933"/>
      <c r="HCS613" s="3933"/>
      <c r="HCT613" s="3933"/>
      <c r="HCU613" s="621"/>
      <c r="HCV613" s="3933"/>
      <c r="HCW613" s="3933"/>
      <c r="HCX613" s="3933"/>
      <c r="HCY613" s="621"/>
      <c r="HCZ613" s="3933"/>
      <c r="HDA613" s="3933"/>
      <c r="HDB613" s="3933"/>
      <c r="HDC613" s="621"/>
      <c r="HDD613" s="3933"/>
      <c r="HDE613" s="3933"/>
      <c r="HDF613" s="3933"/>
      <c r="HDG613" s="621"/>
      <c r="HDH613" s="3933"/>
      <c r="HDI613" s="3933"/>
      <c r="HDJ613" s="3933"/>
      <c r="HDK613" s="621"/>
      <c r="HDL613" s="3933"/>
      <c r="HDM613" s="3933"/>
      <c r="HDN613" s="3933"/>
      <c r="HDO613" s="621"/>
      <c r="HDP613" s="3933"/>
      <c r="HDQ613" s="3933"/>
      <c r="HDR613" s="3933"/>
      <c r="HDS613" s="621"/>
      <c r="HDT613" s="3933"/>
      <c r="HDU613" s="3933"/>
      <c r="HDV613" s="3933"/>
      <c r="HDW613" s="621"/>
      <c r="HDX613" s="3933"/>
      <c r="HDY613" s="3933"/>
      <c r="HDZ613" s="3933"/>
      <c r="HEA613" s="621"/>
      <c r="HEB613" s="3933"/>
      <c r="HEC613" s="3933"/>
      <c r="HED613" s="3933"/>
      <c r="HEE613" s="621"/>
      <c r="HEF613" s="3933"/>
      <c r="HEG613" s="3933"/>
      <c r="HEH613" s="3933"/>
      <c r="HEI613" s="621"/>
      <c r="HEJ613" s="3933"/>
      <c r="HEK613" s="3933"/>
      <c r="HEL613" s="3933"/>
      <c r="HEM613" s="621"/>
      <c r="HEN613" s="3933"/>
      <c r="HEO613" s="3933"/>
      <c r="HEP613" s="3933"/>
      <c r="HEQ613" s="621"/>
      <c r="HER613" s="3933"/>
      <c r="HES613" s="3933"/>
      <c r="HET613" s="3933"/>
      <c r="HEU613" s="621"/>
      <c r="HEV613" s="3933"/>
      <c r="HEW613" s="3933"/>
      <c r="HEX613" s="3933"/>
      <c r="HEY613" s="621"/>
      <c r="HEZ613" s="3933"/>
      <c r="HFA613" s="3933"/>
      <c r="HFB613" s="3933"/>
      <c r="HFC613" s="621"/>
      <c r="HFD613" s="3933"/>
      <c r="HFE613" s="3933"/>
      <c r="HFF613" s="3933"/>
      <c r="HFG613" s="621"/>
      <c r="HFH613" s="3933"/>
      <c r="HFI613" s="3933"/>
      <c r="HFJ613" s="3933"/>
      <c r="HFK613" s="621"/>
      <c r="HFL613" s="3933"/>
      <c r="HFM613" s="3933"/>
      <c r="HFN613" s="3933"/>
      <c r="HFO613" s="621"/>
      <c r="HFP613" s="3933"/>
      <c r="HFQ613" s="3933"/>
      <c r="HFR613" s="3933"/>
      <c r="HFS613" s="621"/>
      <c r="HFT613" s="3933"/>
      <c r="HFU613" s="3933"/>
      <c r="HFV613" s="3933"/>
      <c r="HFW613" s="621"/>
      <c r="HFX613" s="3933"/>
      <c r="HFY613" s="3933"/>
      <c r="HFZ613" s="3933"/>
      <c r="HGA613" s="621"/>
      <c r="HGB613" s="3933"/>
      <c r="HGC613" s="3933"/>
      <c r="HGD613" s="3933"/>
      <c r="HGE613" s="621"/>
      <c r="HGF613" s="3933"/>
      <c r="HGG613" s="3933"/>
      <c r="HGH613" s="3933"/>
      <c r="HGI613" s="621"/>
      <c r="HGJ613" s="3933"/>
      <c r="HGK613" s="3933"/>
      <c r="HGL613" s="3933"/>
      <c r="HGM613" s="621"/>
      <c r="HGN613" s="3933"/>
      <c r="HGO613" s="3933"/>
      <c r="HGP613" s="3933"/>
      <c r="HGQ613" s="621"/>
      <c r="HGR613" s="3933"/>
      <c r="HGS613" s="3933"/>
      <c r="HGT613" s="3933"/>
      <c r="HGU613" s="621"/>
      <c r="HGV613" s="3933"/>
      <c r="HGW613" s="3933"/>
      <c r="HGX613" s="3933"/>
      <c r="HGY613" s="621"/>
      <c r="HGZ613" s="3933"/>
      <c r="HHA613" s="3933"/>
      <c r="HHB613" s="3933"/>
      <c r="HHC613" s="621"/>
      <c r="HHD613" s="3933"/>
      <c r="HHE613" s="3933"/>
      <c r="HHF613" s="3933"/>
      <c r="HHG613" s="621"/>
      <c r="HHH613" s="3933"/>
      <c r="HHI613" s="3933"/>
      <c r="HHJ613" s="3933"/>
      <c r="HHK613" s="621"/>
      <c r="HHL613" s="3933"/>
      <c r="HHM613" s="3933"/>
      <c r="HHN613" s="3933"/>
      <c r="HHO613" s="621"/>
      <c r="HHP613" s="3933"/>
      <c r="HHQ613" s="3933"/>
      <c r="HHR613" s="3933"/>
      <c r="HHS613" s="621"/>
      <c r="HHT613" s="3933"/>
      <c r="HHU613" s="3933"/>
      <c r="HHV613" s="3933"/>
      <c r="HHW613" s="621"/>
      <c r="HHX613" s="3933"/>
      <c r="HHY613" s="3933"/>
      <c r="HHZ613" s="3933"/>
      <c r="HIA613" s="621"/>
      <c r="HIB613" s="3933"/>
      <c r="HIC613" s="3933"/>
      <c r="HID613" s="3933"/>
      <c r="HIE613" s="621"/>
      <c r="HIF613" s="3933"/>
      <c r="HIG613" s="3933"/>
      <c r="HIH613" s="3933"/>
      <c r="HII613" s="621"/>
      <c r="HIJ613" s="3933"/>
      <c r="HIK613" s="3933"/>
      <c r="HIL613" s="3933"/>
      <c r="HIM613" s="621"/>
      <c r="HIN613" s="3933"/>
      <c r="HIO613" s="3933"/>
      <c r="HIP613" s="3933"/>
      <c r="HIQ613" s="621"/>
      <c r="HIR613" s="3933"/>
      <c r="HIS613" s="3933"/>
      <c r="HIT613" s="3933"/>
      <c r="HIU613" s="621"/>
      <c r="HIV613" s="3933"/>
      <c r="HIW613" s="3933"/>
      <c r="HIX613" s="3933"/>
      <c r="HIY613" s="621"/>
      <c r="HIZ613" s="3933"/>
      <c r="HJA613" s="3933"/>
      <c r="HJB613" s="3933"/>
      <c r="HJC613" s="621"/>
      <c r="HJD613" s="3933"/>
      <c r="HJE613" s="3933"/>
      <c r="HJF613" s="3933"/>
      <c r="HJG613" s="621"/>
      <c r="HJH613" s="3933"/>
      <c r="HJI613" s="3933"/>
      <c r="HJJ613" s="3933"/>
      <c r="HJK613" s="621"/>
      <c r="HJL613" s="3933"/>
      <c r="HJM613" s="3933"/>
      <c r="HJN613" s="3933"/>
      <c r="HJO613" s="621"/>
      <c r="HJP613" s="3933"/>
      <c r="HJQ613" s="3933"/>
      <c r="HJR613" s="3933"/>
      <c r="HJS613" s="621"/>
      <c r="HJT613" s="3933"/>
      <c r="HJU613" s="3933"/>
      <c r="HJV613" s="3933"/>
      <c r="HJW613" s="621"/>
      <c r="HJX613" s="3933"/>
      <c r="HJY613" s="3933"/>
      <c r="HJZ613" s="3933"/>
      <c r="HKA613" s="621"/>
      <c r="HKB613" s="3933"/>
      <c r="HKC613" s="3933"/>
      <c r="HKD613" s="3933"/>
      <c r="HKE613" s="621"/>
      <c r="HKF613" s="3933"/>
      <c r="HKG613" s="3933"/>
      <c r="HKH613" s="3933"/>
      <c r="HKI613" s="621"/>
      <c r="HKJ613" s="3933"/>
      <c r="HKK613" s="3933"/>
      <c r="HKL613" s="3933"/>
      <c r="HKM613" s="621"/>
      <c r="HKN613" s="3933"/>
      <c r="HKO613" s="3933"/>
      <c r="HKP613" s="3933"/>
      <c r="HKQ613" s="621"/>
      <c r="HKR613" s="3933"/>
      <c r="HKS613" s="3933"/>
      <c r="HKT613" s="3933"/>
      <c r="HKU613" s="621"/>
      <c r="HKV613" s="3933"/>
      <c r="HKW613" s="3933"/>
      <c r="HKX613" s="3933"/>
      <c r="HKY613" s="621"/>
      <c r="HKZ613" s="3933"/>
      <c r="HLA613" s="3933"/>
      <c r="HLB613" s="3933"/>
      <c r="HLC613" s="621"/>
      <c r="HLD613" s="3933"/>
      <c r="HLE613" s="3933"/>
      <c r="HLF613" s="3933"/>
      <c r="HLG613" s="621"/>
      <c r="HLH613" s="3933"/>
      <c r="HLI613" s="3933"/>
      <c r="HLJ613" s="3933"/>
      <c r="HLK613" s="621"/>
      <c r="HLL613" s="3933"/>
      <c r="HLM613" s="3933"/>
      <c r="HLN613" s="3933"/>
      <c r="HLO613" s="621"/>
      <c r="HLP613" s="3933"/>
      <c r="HLQ613" s="3933"/>
      <c r="HLR613" s="3933"/>
      <c r="HLS613" s="621"/>
      <c r="HLT613" s="3933"/>
      <c r="HLU613" s="3933"/>
      <c r="HLV613" s="3933"/>
      <c r="HLW613" s="621"/>
      <c r="HLX613" s="3933"/>
      <c r="HLY613" s="3933"/>
      <c r="HLZ613" s="3933"/>
      <c r="HMA613" s="621"/>
      <c r="HMB613" s="3933"/>
      <c r="HMC613" s="3933"/>
      <c r="HMD613" s="3933"/>
      <c r="HME613" s="621"/>
      <c r="HMF613" s="3933"/>
      <c r="HMG613" s="3933"/>
      <c r="HMH613" s="3933"/>
      <c r="HMI613" s="621"/>
      <c r="HMJ613" s="3933"/>
      <c r="HMK613" s="3933"/>
      <c r="HML613" s="3933"/>
      <c r="HMM613" s="621"/>
      <c r="HMN613" s="3933"/>
      <c r="HMO613" s="3933"/>
      <c r="HMP613" s="3933"/>
      <c r="HMQ613" s="621"/>
      <c r="HMR613" s="3933"/>
      <c r="HMS613" s="3933"/>
      <c r="HMT613" s="3933"/>
      <c r="HMU613" s="621"/>
      <c r="HMV613" s="3933"/>
      <c r="HMW613" s="3933"/>
      <c r="HMX613" s="3933"/>
      <c r="HMY613" s="621"/>
      <c r="HMZ613" s="3933"/>
      <c r="HNA613" s="3933"/>
      <c r="HNB613" s="3933"/>
      <c r="HNC613" s="621"/>
      <c r="HND613" s="3933"/>
      <c r="HNE613" s="3933"/>
      <c r="HNF613" s="3933"/>
      <c r="HNG613" s="621"/>
      <c r="HNH613" s="3933"/>
      <c r="HNI613" s="3933"/>
      <c r="HNJ613" s="3933"/>
      <c r="HNK613" s="621"/>
      <c r="HNL613" s="3933"/>
      <c r="HNM613" s="3933"/>
      <c r="HNN613" s="3933"/>
      <c r="HNO613" s="621"/>
      <c r="HNP613" s="3933"/>
      <c r="HNQ613" s="3933"/>
      <c r="HNR613" s="3933"/>
      <c r="HNS613" s="621"/>
      <c r="HNT613" s="3933"/>
      <c r="HNU613" s="3933"/>
      <c r="HNV613" s="3933"/>
      <c r="HNW613" s="621"/>
      <c r="HNX613" s="3933"/>
      <c r="HNY613" s="3933"/>
      <c r="HNZ613" s="3933"/>
      <c r="HOA613" s="621"/>
      <c r="HOB613" s="3933"/>
      <c r="HOC613" s="3933"/>
      <c r="HOD613" s="3933"/>
      <c r="HOE613" s="621"/>
      <c r="HOF613" s="3933"/>
      <c r="HOG613" s="3933"/>
      <c r="HOH613" s="3933"/>
      <c r="HOI613" s="621"/>
      <c r="HOJ613" s="3933"/>
      <c r="HOK613" s="3933"/>
      <c r="HOL613" s="3933"/>
      <c r="HOM613" s="621"/>
      <c r="HON613" s="3933"/>
      <c r="HOO613" s="3933"/>
      <c r="HOP613" s="3933"/>
      <c r="HOQ613" s="621"/>
      <c r="HOR613" s="3933"/>
      <c r="HOS613" s="3933"/>
      <c r="HOT613" s="3933"/>
      <c r="HOU613" s="621"/>
      <c r="HOV613" s="3933"/>
      <c r="HOW613" s="3933"/>
      <c r="HOX613" s="3933"/>
      <c r="HOY613" s="621"/>
      <c r="HOZ613" s="3933"/>
      <c r="HPA613" s="3933"/>
      <c r="HPB613" s="3933"/>
      <c r="HPC613" s="621"/>
      <c r="HPD613" s="3933"/>
      <c r="HPE613" s="3933"/>
      <c r="HPF613" s="3933"/>
      <c r="HPG613" s="621"/>
      <c r="HPH613" s="3933"/>
      <c r="HPI613" s="3933"/>
      <c r="HPJ613" s="3933"/>
      <c r="HPK613" s="621"/>
      <c r="HPL613" s="3933"/>
      <c r="HPM613" s="3933"/>
      <c r="HPN613" s="3933"/>
      <c r="HPO613" s="621"/>
      <c r="HPP613" s="3933"/>
      <c r="HPQ613" s="3933"/>
      <c r="HPR613" s="3933"/>
      <c r="HPS613" s="621"/>
      <c r="HPT613" s="3933"/>
      <c r="HPU613" s="3933"/>
      <c r="HPV613" s="3933"/>
      <c r="HPW613" s="621"/>
      <c r="HPX613" s="3933"/>
      <c r="HPY613" s="3933"/>
      <c r="HPZ613" s="3933"/>
      <c r="HQA613" s="621"/>
      <c r="HQB613" s="3933"/>
      <c r="HQC613" s="3933"/>
      <c r="HQD613" s="3933"/>
      <c r="HQE613" s="621"/>
      <c r="HQF613" s="3933"/>
      <c r="HQG613" s="3933"/>
      <c r="HQH613" s="3933"/>
      <c r="HQI613" s="621"/>
      <c r="HQJ613" s="3933"/>
      <c r="HQK613" s="3933"/>
      <c r="HQL613" s="3933"/>
      <c r="HQM613" s="621"/>
      <c r="HQN613" s="3933"/>
      <c r="HQO613" s="3933"/>
      <c r="HQP613" s="3933"/>
      <c r="HQQ613" s="621"/>
      <c r="HQR613" s="3933"/>
      <c r="HQS613" s="3933"/>
      <c r="HQT613" s="3933"/>
      <c r="HQU613" s="621"/>
      <c r="HQV613" s="3933"/>
      <c r="HQW613" s="3933"/>
      <c r="HQX613" s="3933"/>
      <c r="HQY613" s="621"/>
      <c r="HQZ613" s="3933"/>
      <c r="HRA613" s="3933"/>
      <c r="HRB613" s="3933"/>
      <c r="HRC613" s="621"/>
      <c r="HRD613" s="3933"/>
      <c r="HRE613" s="3933"/>
      <c r="HRF613" s="3933"/>
      <c r="HRG613" s="621"/>
      <c r="HRH613" s="3933"/>
      <c r="HRI613" s="3933"/>
      <c r="HRJ613" s="3933"/>
      <c r="HRK613" s="621"/>
      <c r="HRL613" s="3933"/>
      <c r="HRM613" s="3933"/>
      <c r="HRN613" s="3933"/>
      <c r="HRO613" s="621"/>
      <c r="HRP613" s="3933"/>
      <c r="HRQ613" s="3933"/>
      <c r="HRR613" s="3933"/>
      <c r="HRS613" s="621"/>
      <c r="HRT613" s="3933"/>
      <c r="HRU613" s="3933"/>
      <c r="HRV613" s="3933"/>
      <c r="HRW613" s="621"/>
      <c r="HRX613" s="3933"/>
      <c r="HRY613" s="3933"/>
      <c r="HRZ613" s="3933"/>
      <c r="HSA613" s="621"/>
      <c r="HSB613" s="3933"/>
      <c r="HSC613" s="3933"/>
      <c r="HSD613" s="3933"/>
      <c r="HSE613" s="621"/>
      <c r="HSF613" s="3933"/>
      <c r="HSG613" s="3933"/>
      <c r="HSH613" s="3933"/>
      <c r="HSI613" s="621"/>
      <c r="HSJ613" s="3933"/>
      <c r="HSK613" s="3933"/>
      <c r="HSL613" s="3933"/>
      <c r="HSM613" s="621"/>
      <c r="HSN613" s="3933"/>
      <c r="HSO613" s="3933"/>
      <c r="HSP613" s="3933"/>
      <c r="HSQ613" s="621"/>
      <c r="HSR613" s="3933"/>
      <c r="HSS613" s="3933"/>
      <c r="HST613" s="3933"/>
      <c r="HSU613" s="621"/>
      <c r="HSV613" s="3933"/>
      <c r="HSW613" s="3933"/>
      <c r="HSX613" s="3933"/>
      <c r="HSY613" s="621"/>
      <c r="HSZ613" s="3933"/>
      <c r="HTA613" s="3933"/>
      <c r="HTB613" s="3933"/>
      <c r="HTC613" s="621"/>
      <c r="HTD613" s="3933"/>
      <c r="HTE613" s="3933"/>
      <c r="HTF613" s="3933"/>
      <c r="HTG613" s="621"/>
      <c r="HTH613" s="3933"/>
      <c r="HTI613" s="3933"/>
      <c r="HTJ613" s="3933"/>
      <c r="HTK613" s="621"/>
      <c r="HTL613" s="3933"/>
      <c r="HTM613" s="3933"/>
      <c r="HTN613" s="3933"/>
      <c r="HTO613" s="621"/>
      <c r="HTP613" s="3933"/>
      <c r="HTQ613" s="3933"/>
      <c r="HTR613" s="3933"/>
      <c r="HTS613" s="621"/>
      <c r="HTT613" s="3933"/>
      <c r="HTU613" s="3933"/>
      <c r="HTV613" s="3933"/>
      <c r="HTW613" s="621"/>
      <c r="HTX613" s="3933"/>
      <c r="HTY613" s="3933"/>
      <c r="HTZ613" s="3933"/>
      <c r="HUA613" s="621"/>
      <c r="HUB613" s="3933"/>
      <c r="HUC613" s="3933"/>
      <c r="HUD613" s="3933"/>
      <c r="HUE613" s="621"/>
      <c r="HUF613" s="3933"/>
      <c r="HUG613" s="3933"/>
      <c r="HUH613" s="3933"/>
      <c r="HUI613" s="621"/>
      <c r="HUJ613" s="3933"/>
      <c r="HUK613" s="3933"/>
      <c r="HUL613" s="3933"/>
      <c r="HUM613" s="621"/>
      <c r="HUN613" s="3933"/>
      <c r="HUO613" s="3933"/>
      <c r="HUP613" s="3933"/>
      <c r="HUQ613" s="621"/>
      <c r="HUR613" s="3933"/>
      <c r="HUS613" s="3933"/>
      <c r="HUT613" s="3933"/>
      <c r="HUU613" s="621"/>
      <c r="HUV613" s="3933"/>
      <c r="HUW613" s="3933"/>
      <c r="HUX613" s="3933"/>
      <c r="HUY613" s="621"/>
      <c r="HUZ613" s="3933"/>
      <c r="HVA613" s="3933"/>
      <c r="HVB613" s="3933"/>
      <c r="HVC613" s="621"/>
      <c r="HVD613" s="3933"/>
      <c r="HVE613" s="3933"/>
      <c r="HVF613" s="3933"/>
      <c r="HVG613" s="621"/>
      <c r="HVH613" s="3933"/>
      <c r="HVI613" s="3933"/>
      <c r="HVJ613" s="3933"/>
      <c r="HVK613" s="621"/>
      <c r="HVL613" s="3933"/>
      <c r="HVM613" s="3933"/>
      <c r="HVN613" s="3933"/>
      <c r="HVO613" s="621"/>
      <c r="HVP613" s="3933"/>
      <c r="HVQ613" s="3933"/>
      <c r="HVR613" s="3933"/>
      <c r="HVS613" s="621"/>
      <c r="HVT613" s="3933"/>
      <c r="HVU613" s="3933"/>
      <c r="HVV613" s="3933"/>
      <c r="HVW613" s="621"/>
      <c r="HVX613" s="3933"/>
      <c r="HVY613" s="3933"/>
      <c r="HVZ613" s="3933"/>
      <c r="HWA613" s="621"/>
      <c r="HWB613" s="3933"/>
      <c r="HWC613" s="3933"/>
      <c r="HWD613" s="3933"/>
      <c r="HWE613" s="621"/>
      <c r="HWF613" s="3933"/>
      <c r="HWG613" s="3933"/>
      <c r="HWH613" s="3933"/>
      <c r="HWI613" s="621"/>
      <c r="HWJ613" s="3933"/>
      <c r="HWK613" s="3933"/>
      <c r="HWL613" s="3933"/>
      <c r="HWM613" s="621"/>
      <c r="HWN613" s="3933"/>
      <c r="HWO613" s="3933"/>
      <c r="HWP613" s="3933"/>
      <c r="HWQ613" s="621"/>
      <c r="HWR613" s="3933"/>
      <c r="HWS613" s="3933"/>
      <c r="HWT613" s="3933"/>
      <c r="HWU613" s="621"/>
      <c r="HWV613" s="3933"/>
      <c r="HWW613" s="3933"/>
      <c r="HWX613" s="3933"/>
      <c r="HWY613" s="621"/>
      <c r="HWZ613" s="3933"/>
      <c r="HXA613" s="3933"/>
      <c r="HXB613" s="3933"/>
      <c r="HXC613" s="621"/>
      <c r="HXD613" s="3933"/>
      <c r="HXE613" s="3933"/>
      <c r="HXF613" s="3933"/>
      <c r="HXG613" s="621"/>
      <c r="HXH613" s="3933"/>
      <c r="HXI613" s="3933"/>
      <c r="HXJ613" s="3933"/>
      <c r="HXK613" s="621"/>
      <c r="HXL613" s="3933"/>
      <c r="HXM613" s="3933"/>
      <c r="HXN613" s="3933"/>
      <c r="HXO613" s="621"/>
      <c r="HXP613" s="3933"/>
      <c r="HXQ613" s="3933"/>
      <c r="HXR613" s="3933"/>
      <c r="HXS613" s="621"/>
      <c r="HXT613" s="3933"/>
      <c r="HXU613" s="3933"/>
      <c r="HXV613" s="3933"/>
      <c r="HXW613" s="621"/>
      <c r="HXX613" s="3933"/>
      <c r="HXY613" s="3933"/>
      <c r="HXZ613" s="3933"/>
      <c r="HYA613" s="621"/>
      <c r="HYB613" s="3933"/>
      <c r="HYC613" s="3933"/>
      <c r="HYD613" s="3933"/>
      <c r="HYE613" s="621"/>
      <c r="HYF613" s="3933"/>
      <c r="HYG613" s="3933"/>
      <c r="HYH613" s="3933"/>
      <c r="HYI613" s="621"/>
      <c r="HYJ613" s="3933"/>
      <c r="HYK613" s="3933"/>
      <c r="HYL613" s="3933"/>
      <c r="HYM613" s="621"/>
      <c r="HYN613" s="3933"/>
      <c r="HYO613" s="3933"/>
      <c r="HYP613" s="3933"/>
      <c r="HYQ613" s="621"/>
      <c r="HYR613" s="3933"/>
      <c r="HYS613" s="3933"/>
      <c r="HYT613" s="3933"/>
      <c r="HYU613" s="621"/>
      <c r="HYV613" s="3933"/>
      <c r="HYW613" s="3933"/>
      <c r="HYX613" s="3933"/>
      <c r="HYY613" s="621"/>
      <c r="HYZ613" s="3933"/>
      <c r="HZA613" s="3933"/>
      <c r="HZB613" s="3933"/>
      <c r="HZC613" s="621"/>
      <c r="HZD613" s="3933"/>
      <c r="HZE613" s="3933"/>
      <c r="HZF613" s="3933"/>
      <c r="HZG613" s="621"/>
      <c r="HZH613" s="3933"/>
      <c r="HZI613" s="3933"/>
      <c r="HZJ613" s="3933"/>
      <c r="HZK613" s="621"/>
      <c r="HZL613" s="3933"/>
      <c r="HZM613" s="3933"/>
      <c r="HZN613" s="3933"/>
      <c r="HZO613" s="621"/>
      <c r="HZP613" s="3933"/>
      <c r="HZQ613" s="3933"/>
      <c r="HZR613" s="3933"/>
      <c r="HZS613" s="621"/>
      <c r="HZT613" s="3933"/>
      <c r="HZU613" s="3933"/>
      <c r="HZV613" s="3933"/>
      <c r="HZW613" s="621"/>
      <c r="HZX613" s="3933"/>
      <c r="HZY613" s="3933"/>
      <c r="HZZ613" s="3933"/>
      <c r="IAA613" s="621"/>
      <c r="IAB613" s="3933"/>
      <c r="IAC613" s="3933"/>
      <c r="IAD613" s="3933"/>
      <c r="IAE613" s="621"/>
      <c r="IAF613" s="3933"/>
      <c r="IAG613" s="3933"/>
      <c r="IAH613" s="3933"/>
      <c r="IAI613" s="621"/>
      <c r="IAJ613" s="3933"/>
      <c r="IAK613" s="3933"/>
      <c r="IAL613" s="3933"/>
      <c r="IAM613" s="621"/>
      <c r="IAN613" s="3933"/>
      <c r="IAO613" s="3933"/>
      <c r="IAP613" s="3933"/>
      <c r="IAQ613" s="621"/>
      <c r="IAR613" s="3933"/>
      <c r="IAS613" s="3933"/>
      <c r="IAT613" s="3933"/>
      <c r="IAU613" s="621"/>
      <c r="IAV613" s="3933"/>
      <c r="IAW613" s="3933"/>
      <c r="IAX613" s="3933"/>
      <c r="IAY613" s="621"/>
      <c r="IAZ613" s="3933"/>
      <c r="IBA613" s="3933"/>
      <c r="IBB613" s="3933"/>
      <c r="IBC613" s="621"/>
      <c r="IBD613" s="3933"/>
      <c r="IBE613" s="3933"/>
      <c r="IBF613" s="3933"/>
      <c r="IBG613" s="621"/>
      <c r="IBH613" s="3933"/>
      <c r="IBI613" s="3933"/>
      <c r="IBJ613" s="3933"/>
      <c r="IBK613" s="621"/>
      <c r="IBL613" s="3933"/>
      <c r="IBM613" s="3933"/>
      <c r="IBN613" s="3933"/>
      <c r="IBO613" s="621"/>
      <c r="IBP613" s="3933"/>
      <c r="IBQ613" s="3933"/>
      <c r="IBR613" s="3933"/>
      <c r="IBS613" s="621"/>
      <c r="IBT613" s="3933"/>
      <c r="IBU613" s="3933"/>
      <c r="IBV613" s="3933"/>
      <c r="IBW613" s="621"/>
      <c r="IBX613" s="3933"/>
      <c r="IBY613" s="3933"/>
      <c r="IBZ613" s="3933"/>
      <c r="ICA613" s="621"/>
      <c r="ICB613" s="3933"/>
      <c r="ICC613" s="3933"/>
      <c r="ICD613" s="3933"/>
      <c r="ICE613" s="621"/>
      <c r="ICF613" s="3933"/>
      <c r="ICG613" s="3933"/>
      <c r="ICH613" s="3933"/>
      <c r="ICI613" s="621"/>
      <c r="ICJ613" s="3933"/>
      <c r="ICK613" s="3933"/>
      <c r="ICL613" s="3933"/>
      <c r="ICM613" s="621"/>
      <c r="ICN613" s="3933"/>
      <c r="ICO613" s="3933"/>
      <c r="ICP613" s="3933"/>
      <c r="ICQ613" s="621"/>
      <c r="ICR613" s="3933"/>
      <c r="ICS613" s="3933"/>
      <c r="ICT613" s="3933"/>
      <c r="ICU613" s="621"/>
      <c r="ICV613" s="3933"/>
      <c r="ICW613" s="3933"/>
      <c r="ICX613" s="3933"/>
      <c r="ICY613" s="621"/>
      <c r="ICZ613" s="3933"/>
      <c r="IDA613" s="3933"/>
      <c r="IDB613" s="3933"/>
      <c r="IDC613" s="621"/>
      <c r="IDD613" s="3933"/>
      <c r="IDE613" s="3933"/>
      <c r="IDF613" s="3933"/>
      <c r="IDG613" s="621"/>
      <c r="IDH613" s="3933"/>
      <c r="IDI613" s="3933"/>
      <c r="IDJ613" s="3933"/>
      <c r="IDK613" s="621"/>
      <c r="IDL613" s="3933"/>
      <c r="IDM613" s="3933"/>
      <c r="IDN613" s="3933"/>
      <c r="IDO613" s="621"/>
      <c r="IDP613" s="3933"/>
      <c r="IDQ613" s="3933"/>
      <c r="IDR613" s="3933"/>
      <c r="IDS613" s="621"/>
      <c r="IDT613" s="3933"/>
      <c r="IDU613" s="3933"/>
      <c r="IDV613" s="3933"/>
      <c r="IDW613" s="621"/>
      <c r="IDX613" s="3933"/>
      <c r="IDY613" s="3933"/>
      <c r="IDZ613" s="3933"/>
      <c r="IEA613" s="621"/>
      <c r="IEB613" s="3933"/>
      <c r="IEC613" s="3933"/>
      <c r="IED613" s="3933"/>
      <c r="IEE613" s="621"/>
      <c r="IEF613" s="3933"/>
      <c r="IEG613" s="3933"/>
      <c r="IEH613" s="3933"/>
      <c r="IEI613" s="621"/>
      <c r="IEJ613" s="3933"/>
      <c r="IEK613" s="3933"/>
      <c r="IEL613" s="3933"/>
      <c r="IEM613" s="621"/>
      <c r="IEN613" s="3933"/>
      <c r="IEO613" s="3933"/>
      <c r="IEP613" s="3933"/>
      <c r="IEQ613" s="621"/>
      <c r="IER613" s="3933"/>
      <c r="IES613" s="3933"/>
      <c r="IET613" s="3933"/>
      <c r="IEU613" s="621"/>
      <c r="IEV613" s="3933"/>
      <c r="IEW613" s="3933"/>
      <c r="IEX613" s="3933"/>
      <c r="IEY613" s="621"/>
      <c r="IEZ613" s="3933"/>
      <c r="IFA613" s="3933"/>
      <c r="IFB613" s="3933"/>
      <c r="IFC613" s="621"/>
      <c r="IFD613" s="3933"/>
      <c r="IFE613" s="3933"/>
      <c r="IFF613" s="3933"/>
      <c r="IFG613" s="621"/>
      <c r="IFH613" s="3933"/>
      <c r="IFI613" s="3933"/>
      <c r="IFJ613" s="3933"/>
      <c r="IFK613" s="621"/>
      <c r="IFL613" s="3933"/>
      <c r="IFM613" s="3933"/>
      <c r="IFN613" s="3933"/>
      <c r="IFO613" s="621"/>
      <c r="IFP613" s="3933"/>
      <c r="IFQ613" s="3933"/>
      <c r="IFR613" s="3933"/>
      <c r="IFS613" s="621"/>
      <c r="IFT613" s="3933"/>
      <c r="IFU613" s="3933"/>
      <c r="IFV613" s="3933"/>
      <c r="IFW613" s="621"/>
      <c r="IFX613" s="3933"/>
      <c r="IFY613" s="3933"/>
      <c r="IFZ613" s="3933"/>
      <c r="IGA613" s="621"/>
      <c r="IGB613" s="3933"/>
      <c r="IGC613" s="3933"/>
      <c r="IGD613" s="3933"/>
      <c r="IGE613" s="621"/>
      <c r="IGF613" s="3933"/>
      <c r="IGG613" s="3933"/>
      <c r="IGH613" s="3933"/>
      <c r="IGI613" s="621"/>
      <c r="IGJ613" s="3933"/>
      <c r="IGK613" s="3933"/>
      <c r="IGL613" s="3933"/>
      <c r="IGM613" s="621"/>
      <c r="IGN613" s="3933"/>
      <c r="IGO613" s="3933"/>
      <c r="IGP613" s="3933"/>
      <c r="IGQ613" s="621"/>
      <c r="IGR613" s="3933"/>
      <c r="IGS613" s="3933"/>
      <c r="IGT613" s="3933"/>
      <c r="IGU613" s="621"/>
      <c r="IGV613" s="3933"/>
      <c r="IGW613" s="3933"/>
      <c r="IGX613" s="3933"/>
      <c r="IGY613" s="621"/>
      <c r="IGZ613" s="3933"/>
      <c r="IHA613" s="3933"/>
      <c r="IHB613" s="3933"/>
      <c r="IHC613" s="621"/>
      <c r="IHD613" s="3933"/>
      <c r="IHE613" s="3933"/>
      <c r="IHF613" s="3933"/>
      <c r="IHG613" s="621"/>
      <c r="IHH613" s="3933"/>
      <c r="IHI613" s="3933"/>
      <c r="IHJ613" s="3933"/>
      <c r="IHK613" s="621"/>
      <c r="IHL613" s="3933"/>
      <c r="IHM613" s="3933"/>
      <c r="IHN613" s="3933"/>
      <c r="IHO613" s="621"/>
      <c r="IHP613" s="3933"/>
      <c r="IHQ613" s="3933"/>
      <c r="IHR613" s="3933"/>
      <c r="IHS613" s="621"/>
      <c r="IHT613" s="3933"/>
      <c r="IHU613" s="3933"/>
      <c r="IHV613" s="3933"/>
      <c r="IHW613" s="621"/>
      <c r="IHX613" s="3933"/>
      <c r="IHY613" s="3933"/>
      <c r="IHZ613" s="3933"/>
      <c r="IIA613" s="621"/>
      <c r="IIB613" s="3933"/>
      <c r="IIC613" s="3933"/>
      <c r="IID613" s="3933"/>
      <c r="IIE613" s="621"/>
      <c r="IIF613" s="3933"/>
      <c r="IIG613" s="3933"/>
      <c r="IIH613" s="3933"/>
      <c r="III613" s="621"/>
      <c r="IIJ613" s="3933"/>
      <c r="IIK613" s="3933"/>
      <c r="IIL613" s="3933"/>
      <c r="IIM613" s="621"/>
      <c r="IIN613" s="3933"/>
      <c r="IIO613" s="3933"/>
      <c r="IIP613" s="3933"/>
      <c r="IIQ613" s="621"/>
      <c r="IIR613" s="3933"/>
      <c r="IIS613" s="3933"/>
      <c r="IIT613" s="3933"/>
      <c r="IIU613" s="621"/>
      <c r="IIV613" s="3933"/>
      <c r="IIW613" s="3933"/>
      <c r="IIX613" s="3933"/>
      <c r="IIY613" s="621"/>
      <c r="IIZ613" s="3933"/>
      <c r="IJA613" s="3933"/>
      <c r="IJB613" s="3933"/>
      <c r="IJC613" s="621"/>
      <c r="IJD613" s="3933"/>
      <c r="IJE613" s="3933"/>
      <c r="IJF613" s="3933"/>
      <c r="IJG613" s="621"/>
      <c r="IJH613" s="3933"/>
      <c r="IJI613" s="3933"/>
      <c r="IJJ613" s="3933"/>
      <c r="IJK613" s="621"/>
      <c r="IJL613" s="3933"/>
      <c r="IJM613" s="3933"/>
      <c r="IJN613" s="3933"/>
      <c r="IJO613" s="621"/>
      <c r="IJP613" s="3933"/>
      <c r="IJQ613" s="3933"/>
      <c r="IJR613" s="3933"/>
      <c r="IJS613" s="621"/>
      <c r="IJT613" s="3933"/>
      <c r="IJU613" s="3933"/>
      <c r="IJV613" s="3933"/>
      <c r="IJW613" s="621"/>
      <c r="IJX613" s="3933"/>
      <c r="IJY613" s="3933"/>
      <c r="IJZ613" s="3933"/>
      <c r="IKA613" s="621"/>
      <c r="IKB613" s="3933"/>
      <c r="IKC613" s="3933"/>
      <c r="IKD613" s="3933"/>
      <c r="IKE613" s="621"/>
      <c r="IKF613" s="3933"/>
      <c r="IKG613" s="3933"/>
      <c r="IKH613" s="3933"/>
      <c r="IKI613" s="621"/>
      <c r="IKJ613" s="3933"/>
      <c r="IKK613" s="3933"/>
      <c r="IKL613" s="3933"/>
      <c r="IKM613" s="621"/>
      <c r="IKN613" s="3933"/>
      <c r="IKO613" s="3933"/>
      <c r="IKP613" s="3933"/>
      <c r="IKQ613" s="621"/>
      <c r="IKR613" s="3933"/>
      <c r="IKS613" s="3933"/>
      <c r="IKT613" s="3933"/>
      <c r="IKU613" s="621"/>
      <c r="IKV613" s="3933"/>
      <c r="IKW613" s="3933"/>
      <c r="IKX613" s="3933"/>
      <c r="IKY613" s="621"/>
      <c r="IKZ613" s="3933"/>
      <c r="ILA613" s="3933"/>
      <c r="ILB613" s="3933"/>
      <c r="ILC613" s="621"/>
      <c r="ILD613" s="3933"/>
      <c r="ILE613" s="3933"/>
      <c r="ILF613" s="3933"/>
      <c r="ILG613" s="621"/>
      <c r="ILH613" s="3933"/>
      <c r="ILI613" s="3933"/>
      <c r="ILJ613" s="3933"/>
      <c r="ILK613" s="621"/>
      <c r="ILL613" s="3933"/>
      <c r="ILM613" s="3933"/>
      <c r="ILN613" s="3933"/>
      <c r="ILO613" s="621"/>
      <c r="ILP613" s="3933"/>
      <c r="ILQ613" s="3933"/>
      <c r="ILR613" s="3933"/>
      <c r="ILS613" s="621"/>
      <c r="ILT613" s="3933"/>
      <c r="ILU613" s="3933"/>
      <c r="ILV613" s="3933"/>
      <c r="ILW613" s="621"/>
      <c r="ILX613" s="3933"/>
      <c r="ILY613" s="3933"/>
      <c r="ILZ613" s="3933"/>
      <c r="IMA613" s="621"/>
      <c r="IMB613" s="3933"/>
      <c r="IMC613" s="3933"/>
      <c r="IMD613" s="3933"/>
      <c r="IME613" s="621"/>
      <c r="IMF613" s="3933"/>
      <c r="IMG613" s="3933"/>
      <c r="IMH613" s="3933"/>
      <c r="IMI613" s="621"/>
      <c r="IMJ613" s="3933"/>
      <c r="IMK613" s="3933"/>
      <c r="IML613" s="3933"/>
      <c r="IMM613" s="621"/>
      <c r="IMN613" s="3933"/>
      <c r="IMO613" s="3933"/>
      <c r="IMP613" s="3933"/>
      <c r="IMQ613" s="621"/>
      <c r="IMR613" s="3933"/>
      <c r="IMS613" s="3933"/>
      <c r="IMT613" s="3933"/>
      <c r="IMU613" s="621"/>
      <c r="IMV613" s="3933"/>
      <c r="IMW613" s="3933"/>
      <c r="IMX613" s="3933"/>
      <c r="IMY613" s="621"/>
      <c r="IMZ613" s="3933"/>
      <c r="INA613" s="3933"/>
      <c r="INB613" s="3933"/>
      <c r="INC613" s="621"/>
      <c r="IND613" s="3933"/>
      <c r="INE613" s="3933"/>
      <c r="INF613" s="3933"/>
      <c r="ING613" s="621"/>
      <c r="INH613" s="3933"/>
      <c r="INI613" s="3933"/>
      <c r="INJ613" s="3933"/>
      <c r="INK613" s="621"/>
      <c r="INL613" s="3933"/>
      <c r="INM613" s="3933"/>
      <c r="INN613" s="3933"/>
      <c r="INO613" s="621"/>
      <c r="INP613" s="3933"/>
      <c r="INQ613" s="3933"/>
      <c r="INR613" s="3933"/>
      <c r="INS613" s="621"/>
      <c r="INT613" s="3933"/>
      <c r="INU613" s="3933"/>
      <c r="INV613" s="3933"/>
      <c r="INW613" s="621"/>
      <c r="INX613" s="3933"/>
      <c r="INY613" s="3933"/>
      <c r="INZ613" s="3933"/>
      <c r="IOA613" s="621"/>
      <c r="IOB613" s="3933"/>
      <c r="IOC613" s="3933"/>
      <c r="IOD613" s="3933"/>
      <c r="IOE613" s="621"/>
      <c r="IOF613" s="3933"/>
      <c r="IOG613" s="3933"/>
      <c r="IOH613" s="3933"/>
      <c r="IOI613" s="621"/>
      <c r="IOJ613" s="3933"/>
      <c r="IOK613" s="3933"/>
      <c r="IOL613" s="3933"/>
      <c r="IOM613" s="621"/>
      <c r="ION613" s="3933"/>
      <c r="IOO613" s="3933"/>
      <c r="IOP613" s="3933"/>
      <c r="IOQ613" s="621"/>
      <c r="IOR613" s="3933"/>
      <c r="IOS613" s="3933"/>
      <c r="IOT613" s="3933"/>
      <c r="IOU613" s="621"/>
      <c r="IOV613" s="3933"/>
      <c r="IOW613" s="3933"/>
      <c r="IOX613" s="3933"/>
      <c r="IOY613" s="621"/>
      <c r="IOZ613" s="3933"/>
      <c r="IPA613" s="3933"/>
      <c r="IPB613" s="3933"/>
      <c r="IPC613" s="621"/>
      <c r="IPD613" s="3933"/>
      <c r="IPE613" s="3933"/>
      <c r="IPF613" s="3933"/>
      <c r="IPG613" s="621"/>
      <c r="IPH613" s="3933"/>
      <c r="IPI613" s="3933"/>
      <c r="IPJ613" s="3933"/>
      <c r="IPK613" s="621"/>
      <c r="IPL613" s="3933"/>
      <c r="IPM613" s="3933"/>
      <c r="IPN613" s="3933"/>
      <c r="IPO613" s="621"/>
      <c r="IPP613" s="3933"/>
      <c r="IPQ613" s="3933"/>
      <c r="IPR613" s="3933"/>
      <c r="IPS613" s="621"/>
      <c r="IPT613" s="3933"/>
      <c r="IPU613" s="3933"/>
      <c r="IPV613" s="3933"/>
      <c r="IPW613" s="621"/>
      <c r="IPX613" s="3933"/>
      <c r="IPY613" s="3933"/>
      <c r="IPZ613" s="3933"/>
      <c r="IQA613" s="621"/>
      <c r="IQB613" s="3933"/>
      <c r="IQC613" s="3933"/>
      <c r="IQD613" s="3933"/>
      <c r="IQE613" s="621"/>
      <c r="IQF613" s="3933"/>
      <c r="IQG613" s="3933"/>
      <c r="IQH613" s="3933"/>
      <c r="IQI613" s="621"/>
      <c r="IQJ613" s="3933"/>
      <c r="IQK613" s="3933"/>
      <c r="IQL613" s="3933"/>
      <c r="IQM613" s="621"/>
      <c r="IQN613" s="3933"/>
      <c r="IQO613" s="3933"/>
      <c r="IQP613" s="3933"/>
      <c r="IQQ613" s="621"/>
      <c r="IQR613" s="3933"/>
      <c r="IQS613" s="3933"/>
      <c r="IQT613" s="3933"/>
      <c r="IQU613" s="621"/>
      <c r="IQV613" s="3933"/>
      <c r="IQW613" s="3933"/>
      <c r="IQX613" s="3933"/>
      <c r="IQY613" s="621"/>
      <c r="IQZ613" s="3933"/>
      <c r="IRA613" s="3933"/>
      <c r="IRB613" s="3933"/>
      <c r="IRC613" s="621"/>
      <c r="IRD613" s="3933"/>
      <c r="IRE613" s="3933"/>
      <c r="IRF613" s="3933"/>
      <c r="IRG613" s="621"/>
      <c r="IRH613" s="3933"/>
      <c r="IRI613" s="3933"/>
      <c r="IRJ613" s="3933"/>
      <c r="IRK613" s="621"/>
      <c r="IRL613" s="3933"/>
      <c r="IRM613" s="3933"/>
      <c r="IRN613" s="3933"/>
      <c r="IRO613" s="621"/>
      <c r="IRP613" s="3933"/>
      <c r="IRQ613" s="3933"/>
      <c r="IRR613" s="3933"/>
      <c r="IRS613" s="621"/>
      <c r="IRT613" s="3933"/>
      <c r="IRU613" s="3933"/>
      <c r="IRV613" s="3933"/>
      <c r="IRW613" s="621"/>
      <c r="IRX613" s="3933"/>
      <c r="IRY613" s="3933"/>
      <c r="IRZ613" s="3933"/>
      <c r="ISA613" s="621"/>
      <c r="ISB613" s="3933"/>
      <c r="ISC613" s="3933"/>
      <c r="ISD613" s="3933"/>
      <c r="ISE613" s="621"/>
      <c r="ISF613" s="3933"/>
      <c r="ISG613" s="3933"/>
      <c r="ISH613" s="3933"/>
      <c r="ISI613" s="621"/>
      <c r="ISJ613" s="3933"/>
      <c r="ISK613" s="3933"/>
      <c r="ISL613" s="3933"/>
      <c r="ISM613" s="621"/>
      <c r="ISN613" s="3933"/>
      <c r="ISO613" s="3933"/>
      <c r="ISP613" s="3933"/>
      <c r="ISQ613" s="621"/>
      <c r="ISR613" s="3933"/>
      <c r="ISS613" s="3933"/>
      <c r="IST613" s="3933"/>
      <c r="ISU613" s="621"/>
      <c r="ISV613" s="3933"/>
      <c r="ISW613" s="3933"/>
      <c r="ISX613" s="3933"/>
      <c r="ISY613" s="621"/>
      <c r="ISZ613" s="3933"/>
      <c r="ITA613" s="3933"/>
      <c r="ITB613" s="3933"/>
      <c r="ITC613" s="621"/>
      <c r="ITD613" s="3933"/>
      <c r="ITE613" s="3933"/>
      <c r="ITF613" s="3933"/>
      <c r="ITG613" s="621"/>
      <c r="ITH613" s="3933"/>
      <c r="ITI613" s="3933"/>
      <c r="ITJ613" s="3933"/>
      <c r="ITK613" s="621"/>
      <c r="ITL613" s="3933"/>
      <c r="ITM613" s="3933"/>
      <c r="ITN613" s="3933"/>
      <c r="ITO613" s="621"/>
      <c r="ITP613" s="3933"/>
      <c r="ITQ613" s="3933"/>
      <c r="ITR613" s="3933"/>
      <c r="ITS613" s="621"/>
      <c r="ITT613" s="3933"/>
      <c r="ITU613" s="3933"/>
      <c r="ITV613" s="3933"/>
      <c r="ITW613" s="621"/>
      <c r="ITX613" s="3933"/>
      <c r="ITY613" s="3933"/>
      <c r="ITZ613" s="3933"/>
      <c r="IUA613" s="621"/>
      <c r="IUB613" s="3933"/>
      <c r="IUC613" s="3933"/>
      <c r="IUD613" s="3933"/>
      <c r="IUE613" s="621"/>
      <c r="IUF613" s="3933"/>
      <c r="IUG613" s="3933"/>
      <c r="IUH613" s="3933"/>
      <c r="IUI613" s="621"/>
      <c r="IUJ613" s="3933"/>
      <c r="IUK613" s="3933"/>
      <c r="IUL613" s="3933"/>
      <c r="IUM613" s="621"/>
      <c r="IUN613" s="3933"/>
      <c r="IUO613" s="3933"/>
      <c r="IUP613" s="3933"/>
      <c r="IUQ613" s="621"/>
      <c r="IUR613" s="3933"/>
      <c r="IUS613" s="3933"/>
      <c r="IUT613" s="3933"/>
      <c r="IUU613" s="621"/>
      <c r="IUV613" s="3933"/>
      <c r="IUW613" s="3933"/>
      <c r="IUX613" s="3933"/>
      <c r="IUY613" s="621"/>
      <c r="IUZ613" s="3933"/>
      <c r="IVA613" s="3933"/>
      <c r="IVB613" s="3933"/>
      <c r="IVC613" s="621"/>
      <c r="IVD613" s="3933"/>
      <c r="IVE613" s="3933"/>
      <c r="IVF613" s="3933"/>
      <c r="IVG613" s="621"/>
      <c r="IVH613" s="3933"/>
      <c r="IVI613" s="3933"/>
      <c r="IVJ613" s="3933"/>
      <c r="IVK613" s="621"/>
      <c r="IVL613" s="3933"/>
      <c r="IVM613" s="3933"/>
      <c r="IVN613" s="3933"/>
      <c r="IVO613" s="621"/>
      <c r="IVP613" s="3933"/>
      <c r="IVQ613" s="3933"/>
      <c r="IVR613" s="3933"/>
      <c r="IVS613" s="621"/>
      <c r="IVT613" s="3933"/>
      <c r="IVU613" s="3933"/>
      <c r="IVV613" s="3933"/>
      <c r="IVW613" s="621"/>
      <c r="IVX613" s="3933"/>
      <c r="IVY613" s="3933"/>
      <c r="IVZ613" s="3933"/>
      <c r="IWA613" s="621"/>
      <c r="IWB613" s="3933"/>
      <c r="IWC613" s="3933"/>
      <c r="IWD613" s="3933"/>
      <c r="IWE613" s="621"/>
      <c r="IWF613" s="3933"/>
      <c r="IWG613" s="3933"/>
      <c r="IWH613" s="3933"/>
      <c r="IWI613" s="621"/>
      <c r="IWJ613" s="3933"/>
      <c r="IWK613" s="3933"/>
      <c r="IWL613" s="3933"/>
      <c r="IWM613" s="621"/>
      <c r="IWN613" s="3933"/>
      <c r="IWO613" s="3933"/>
      <c r="IWP613" s="3933"/>
      <c r="IWQ613" s="621"/>
      <c r="IWR613" s="3933"/>
      <c r="IWS613" s="3933"/>
      <c r="IWT613" s="3933"/>
      <c r="IWU613" s="621"/>
      <c r="IWV613" s="3933"/>
      <c r="IWW613" s="3933"/>
      <c r="IWX613" s="3933"/>
      <c r="IWY613" s="621"/>
      <c r="IWZ613" s="3933"/>
      <c r="IXA613" s="3933"/>
      <c r="IXB613" s="3933"/>
      <c r="IXC613" s="621"/>
      <c r="IXD613" s="3933"/>
      <c r="IXE613" s="3933"/>
      <c r="IXF613" s="3933"/>
      <c r="IXG613" s="621"/>
      <c r="IXH613" s="3933"/>
      <c r="IXI613" s="3933"/>
      <c r="IXJ613" s="3933"/>
      <c r="IXK613" s="621"/>
      <c r="IXL613" s="3933"/>
      <c r="IXM613" s="3933"/>
      <c r="IXN613" s="3933"/>
      <c r="IXO613" s="621"/>
      <c r="IXP613" s="3933"/>
      <c r="IXQ613" s="3933"/>
      <c r="IXR613" s="3933"/>
      <c r="IXS613" s="621"/>
      <c r="IXT613" s="3933"/>
      <c r="IXU613" s="3933"/>
      <c r="IXV613" s="3933"/>
      <c r="IXW613" s="621"/>
      <c r="IXX613" s="3933"/>
      <c r="IXY613" s="3933"/>
      <c r="IXZ613" s="3933"/>
      <c r="IYA613" s="621"/>
      <c r="IYB613" s="3933"/>
      <c r="IYC613" s="3933"/>
      <c r="IYD613" s="3933"/>
      <c r="IYE613" s="621"/>
      <c r="IYF613" s="3933"/>
      <c r="IYG613" s="3933"/>
      <c r="IYH613" s="3933"/>
      <c r="IYI613" s="621"/>
      <c r="IYJ613" s="3933"/>
      <c r="IYK613" s="3933"/>
      <c r="IYL613" s="3933"/>
      <c r="IYM613" s="621"/>
      <c r="IYN613" s="3933"/>
      <c r="IYO613" s="3933"/>
      <c r="IYP613" s="3933"/>
      <c r="IYQ613" s="621"/>
      <c r="IYR613" s="3933"/>
      <c r="IYS613" s="3933"/>
      <c r="IYT613" s="3933"/>
      <c r="IYU613" s="621"/>
      <c r="IYV613" s="3933"/>
      <c r="IYW613" s="3933"/>
      <c r="IYX613" s="3933"/>
      <c r="IYY613" s="621"/>
      <c r="IYZ613" s="3933"/>
      <c r="IZA613" s="3933"/>
      <c r="IZB613" s="3933"/>
      <c r="IZC613" s="621"/>
      <c r="IZD613" s="3933"/>
      <c r="IZE613" s="3933"/>
      <c r="IZF613" s="3933"/>
      <c r="IZG613" s="621"/>
      <c r="IZH613" s="3933"/>
      <c r="IZI613" s="3933"/>
      <c r="IZJ613" s="3933"/>
      <c r="IZK613" s="621"/>
      <c r="IZL613" s="3933"/>
      <c r="IZM613" s="3933"/>
      <c r="IZN613" s="3933"/>
      <c r="IZO613" s="621"/>
      <c r="IZP613" s="3933"/>
      <c r="IZQ613" s="3933"/>
      <c r="IZR613" s="3933"/>
      <c r="IZS613" s="621"/>
      <c r="IZT613" s="3933"/>
      <c r="IZU613" s="3933"/>
      <c r="IZV613" s="3933"/>
      <c r="IZW613" s="621"/>
      <c r="IZX613" s="3933"/>
      <c r="IZY613" s="3933"/>
      <c r="IZZ613" s="3933"/>
      <c r="JAA613" s="621"/>
      <c r="JAB613" s="3933"/>
      <c r="JAC613" s="3933"/>
      <c r="JAD613" s="3933"/>
      <c r="JAE613" s="621"/>
      <c r="JAF613" s="3933"/>
      <c r="JAG613" s="3933"/>
      <c r="JAH613" s="3933"/>
      <c r="JAI613" s="621"/>
      <c r="JAJ613" s="3933"/>
      <c r="JAK613" s="3933"/>
      <c r="JAL613" s="3933"/>
      <c r="JAM613" s="621"/>
      <c r="JAN613" s="3933"/>
      <c r="JAO613" s="3933"/>
      <c r="JAP613" s="3933"/>
      <c r="JAQ613" s="621"/>
      <c r="JAR613" s="3933"/>
      <c r="JAS613" s="3933"/>
      <c r="JAT613" s="3933"/>
      <c r="JAU613" s="621"/>
      <c r="JAV613" s="3933"/>
      <c r="JAW613" s="3933"/>
      <c r="JAX613" s="3933"/>
      <c r="JAY613" s="621"/>
      <c r="JAZ613" s="3933"/>
      <c r="JBA613" s="3933"/>
      <c r="JBB613" s="3933"/>
      <c r="JBC613" s="621"/>
      <c r="JBD613" s="3933"/>
      <c r="JBE613" s="3933"/>
      <c r="JBF613" s="3933"/>
      <c r="JBG613" s="621"/>
      <c r="JBH613" s="3933"/>
      <c r="JBI613" s="3933"/>
      <c r="JBJ613" s="3933"/>
      <c r="JBK613" s="621"/>
      <c r="JBL613" s="3933"/>
      <c r="JBM613" s="3933"/>
      <c r="JBN613" s="3933"/>
      <c r="JBO613" s="621"/>
      <c r="JBP613" s="3933"/>
      <c r="JBQ613" s="3933"/>
      <c r="JBR613" s="3933"/>
      <c r="JBS613" s="621"/>
      <c r="JBT613" s="3933"/>
      <c r="JBU613" s="3933"/>
      <c r="JBV613" s="3933"/>
      <c r="JBW613" s="621"/>
      <c r="JBX613" s="3933"/>
      <c r="JBY613" s="3933"/>
      <c r="JBZ613" s="3933"/>
      <c r="JCA613" s="621"/>
      <c r="JCB613" s="3933"/>
      <c r="JCC613" s="3933"/>
      <c r="JCD613" s="3933"/>
      <c r="JCE613" s="621"/>
      <c r="JCF613" s="3933"/>
      <c r="JCG613" s="3933"/>
      <c r="JCH613" s="3933"/>
      <c r="JCI613" s="621"/>
      <c r="JCJ613" s="3933"/>
      <c r="JCK613" s="3933"/>
      <c r="JCL613" s="3933"/>
      <c r="JCM613" s="621"/>
      <c r="JCN613" s="3933"/>
      <c r="JCO613" s="3933"/>
      <c r="JCP613" s="3933"/>
      <c r="JCQ613" s="621"/>
      <c r="JCR613" s="3933"/>
      <c r="JCS613" s="3933"/>
      <c r="JCT613" s="3933"/>
      <c r="JCU613" s="621"/>
      <c r="JCV613" s="3933"/>
      <c r="JCW613" s="3933"/>
      <c r="JCX613" s="3933"/>
      <c r="JCY613" s="621"/>
      <c r="JCZ613" s="3933"/>
      <c r="JDA613" s="3933"/>
      <c r="JDB613" s="3933"/>
      <c r="JDC613" s="621"/>
      <c r="JDD613" s="3933"/>
      <c r="JDE613" s="3933"/>
      <c r="JDF613" s="3933"/>
      <c r="JDG613" s="621"/>
      <c r="JDH613" s="3933"/>
      <c r="JDI613" s="3933"/>
      <c r="JDJ613" s="3933"/>
      <c r="JDK613" s="621"/>
      <c r="JDL613" s="3933"/>
      <c r="JDM613" s="3933"/>
      <c r="JDN613" s="3933"/>
      <c r="JDO613" s="621"/>
      <c r="JDP613" s="3933"/>
      <c r="JDQ613" s="3933"/>
      <c r="JDR613" s="3933"/>
      <c r="JDS613" s="621"/>
      <c r="JDT613" s="3933"/>
      <c r="JDU613" s="3933"/>
      <c r="JDV613" s="3933"/>
      <c r="JDW613" s="621"/>
      <c r="JDX613" s="3933"/>
      <c r="JDY613" s="3933"/>
      <c r="JDZ613" s="3933"/>
      <c r="JEA613" s="621"/>
      <c r="JEB613" s="3933"/>
      <c r="JEC613" s="3933"/>
      <c r="JED613" s="3933"/>
      <c r="JEE613" s="621"/>
      <c r="JEF613" s="3933"/>
      <c r="JEG613" s="3933"/>
      <c r="JEH613" s="3933"/>
      <c r="JEI613" s="621"/>
      <c r="JEJ613" s="3933"/>
      <c r="JEK613" s="3933"/>
      <c r="JEL613" s="3933"/>
      <c r="JEM613" s="621"/>
      <c r="JEN613" s="3933"/>
      <c r="JEO613" s="3933"/>
      <c r="JEP613" s="3933"/>
      <c r="JEQ613" s="621"/>
      <c r="JER613" s="3933"/>
      <c r="JES613" s="3933"/>
      <c r="JET613" s="3933"/>
      <c r="JEU613" s="621"/>
      <c r="JEV613" s="3933"/>
      <c r="JEW613" s="3933"/>
      <c r="JEX613" s="3933"/>
      <c r="JEY613" s="621"/>
      <c r="JEZ613" s="3933"/>
      <c r="JFA613" s="3933"/>
      <c r="JFB613" s="3933"/>
      <c r="JFC613" s="621"/>
      <c r="JFD613" s="3933"/>
      <c r="JFE613" s="3933"/>
      <c r="JFF613" s="3933"/>
      <c r="JFG613" s="621"/>
      <c r="JFH613" s="3933"/>
      <c r="JFI613" s="3933"/>
      <c r="JFJ613" s="3933"/>
      <c r="JFK613" s="621"/>
      <c r="JFL613" s="3933"/>
      <c r="JFM613" s="3933"/>
      <c r="JFN613" s="3933"/>
      <c r="JFO613" s="621"/>
      <c r="JFP613" s="3933"/>
      <c r="JFQ613" s="3933"/>
      <c r="JFR613" s="3933"/>
      <c r="JFS613" s="621"/>
      <c r="JFT613" s="3933"/>
      <c r="JFU613" s="3933"/>
      <c r="JFV613" s="3933"/>
      <c r="JFW613" s="621"/>
      <c r="JFX613" s="3933"/>
      <c r="JFY613" s="3933"/>
      <c r="JFZ613" s="3933"/>
      <c r="JGA613" s="621"/>
      <c r="JGB613" s="3933"/>
      <c r="JGC613" s="3933"/>
      <c r="JGD613" s="3933"/>
      <c r="JGE613" s="621"/>
      <c r="JGF613" s="3933"/>
      <c r="JGG613" s="3933"/>
      <c r="JGH613" s="3933"/>
      <c r="JGI613" s="621"/>
      <c r="JGJ613" s="3933"/>
      <c r="JGK613" s="3933"/>
      <c r="JGL613" s="3933"/>
      <c r="JGM613" s="621"/>
      <c r="JGN613" s="3933"/>
      <c r="JGO613" s="3933"/>
      <c r="JGP613" s="3933"/>
      <c r="JGQ613" s="621"/>
      <c r="JGR613" s="3933"/>
      <c r="JGS613" s="3933"/>
      <c r="JGT613" s="3933"/>
      <c r="JGU613" s="621"/>
      <c r="JGV613" s="3933"/>
      <c r="JGW613" s="3933"/>
      <c r="JGX613" s="3933"/>
      <c r="JGY613" s="621"/>
      <c r="JGZ613" s="3933"/>
      <c r="JHA613" s="3933"/>
      <c r="JHB613" s="3933"/>
      <c r="JHC613" s="621"/>
      <c r="JHD613" s="3933"/>
      <c r="JHE613" s="3933"/>
      <c r="JHF613" s="3933"/>
      <c r="JHG613" s="621"/>
      <c r="JHH613" s="3933"/>
      <c r="JHI613" s="3933"/>
      <c r="JHJ613" s="3933"/>
      <c r="JHK613" s="621"/>
      <c r="JHL613" s="3933"/>
      <c r="JHM613" s="3933"/>
      <c r="JHN613" s="3933"/>
      <c r="JHO613" s="621"/>
      <c r="JHP613" s="3933"/>
      <c r="JHQ613" s="3933"/>
      <c r="JHR613" s="3933"/>
      <c r="JHS613" s="621"/>
      <c r="JHT613" s="3933"/>
      <c r="JHU613" s="3933"/>
      <c r="JHV613" s="3933"/>
      <c r="JHW613" s="621"/>
      <c r="JHX613" s="3933"/>
      <c r="JHY613" s="3933"/>
      <c r="JHZ613" s="3933"/>
      <c r="JIA613" s="621"/>
      <c r="JIB613" s="3933"/>
      <c r="JIC613" s="3933"/>
      <c r="JID613" s="3933"/>
      <c r="JIE613" s="621"/>
      <c r="JIF613" s="3933"/>
      <c r="JIG613" s="3933"/>
      <c r="JIH613" s="3933"/>
      <c r="JII613" s="621"/>
      <c r="JIJ613" s="3933"/>
      <c r="JIK613" s="3933"/>
      <c r="JIL613" s="3933"/>
      <c r="JIM613" s="621"/>
      <c r="JIN613" s="3933"/>
      <c r="JIO613" s="3933"/>
      <c r="JIP613" s="3933"/>
      <c r="JIQ613" s="621"/>
      <c r="JIR613" s="3933"/>
      <c r="JIS613" s="3933"/>
      <c r="JIT613" s="3933"/>
      <c r="JIU613" s="621"/>
      <c r="JIV613" s="3933"/>
      <c r="JIW613" s="3933"/>
      <c r="JIX613" s="3933"/>
      <c r="JIY613" s="621"/>
      <c r="JIZ613" s="3933"/>
      <c r="JJA613" s="3933"/>
      <c r="JJB613" s="3933"/>
      <c r="JJC613" s="621"/>
      <c r="JJD613" s="3933"/>
      <c r="JJE613" s="3933"/>
      <c r="JJF613" s="3933"/>
      <c r="JJG613" s="621"/>
      <c r="JJH613" s="3933"/>
      <c r="JJI613" s="3933"/>
      <c r="JJJ613" s="3933"/>
      <c r="JJK613" s="621"/>
      <c r="JJL613" s="3933"/>
      <c r="JJM613" s="3933"/>
      <c r="JJN613" s="3933"/>
      <c r="JJO613" s="621"/>
      <c r="JJP613" s="3933"/>
      <c r="JJQ613" s="3933"/>
      <c r="JJR613" s="3933"/>
      <c r="JJS613" s="621"/>
      <c r="JJT613" s="3933"/>
      <c r="JJU613" s="3933"/>
      <c r="JJV613" s="3933"/>
      <c r="JJW613" s="621"/>
      <c r="JJX613" s="3933"/>
      <c r="JJY613" s="3933"/>
      <c r="JJZ613" s="3933"/>
      <c r="JKA613" s="621"/>
      <c r="JKB613" s="3933"/>
      <c r="JKC613" s="3933"/>
      <c r="JKD613" s="3933"/>
      <c r="JKE613" s="621"/>
      <c r="JKF613" s="3933"/>
      <c r="JKG613" s="3933"/>
      <c r="JKH613" s="3933"/>
      <c r="JKI613" s="621"/>
      <c r="JKJ613" s="3933"/>
      <c r="JKK613" s="3933"/>
      <c r="JKL613" s="3933"/>
      <c r="JKM613" s="621"/>
      <c r="JKN613" s="3933"/>
      <c r="JKO613" s="3933"/>
      <c r="JKP613" s="3933"/>
      <c r="JKQ613" s="621"/>
      <c r="JKR613" s="3933"/>
      <c r="JKS613" s="3933"/>
      <c r="JKT613" s="3933"/>
      <c r="JKU613" s="621"/>
      <c r="JKV613" s="3933"/>
      <c r="JKW613" s="3933"/>
      <c r="JKX613" s="3933"/>
      <c r="JKY613" s="621"/>
      <c r="JKZ613" s="3933"/>
      <c r="JLA613" s="3933"/>
      <c r="JLB613" s="3933"/>
      <c r="JLC613" s="621"/>
      <c r="JLD613" s="3933"/>
      <c r="JLE613" s="3933"/>
      <c r="JLF613" s="3933"/>
      <c r="JLG613" s="621"/>
      <c r="JLH613" s="3933"/>
      <c r="JLI613" s="3933"/>
      <c r="JLJ613" s="3933"/>
      <c r="JLK613" s="621"/>
      <c r="JLL613" s="3933"/>
      <c r="JLM613" s="3933"/>
      <c r="JLN613" s="3933"/>
      <c r="JLO613" s="621"/>
      <c r="JLP613" s="3933"/>
      <c r="JLQ613" s="3933"/>
      <c r="JLR613" s="3933"/>
      <c r="JLS613" s="621"/>
      <c r="JLT613" s="3933"/>
      <c r="JLU613" s="3933"/>
      <c r="JLV613" s="3933"/>
      <c r="JLW613" s="621"/>
      <c r="JLX613" s="3933"/>
      <c r="JLY613" s="3933"/>
      <c r="JLZ613" s="3933"/>
      <c r="JMA613" s="621"/>
      <c r="JMB613" s="3933"/>
      <c r="JMC613" s="3933"/>
      <c r="JMD613" s="3933"/>
      <c r="JME613" s="621"/>
      <c r="JMF613" s="3933"/>
      <c r="JMG613" s="3933"/>
      <c r="JMH613" s="3933"/>
      <c r="JMI613" s="621"/>
      <c r="JMJ613" s="3933"/>
      <c r="JMK613" s="3933"/>
      <c r="JML613" s="3933"/>
      <c r="JMM613" s="621"/>
      <c r="JMN613" s="3933"/>
      <c r="JMO613" s="3933"/>
      <c r="JMP613" s="3933"/>
      <c r="JMQ613" s="621"/>
      <c r="JMR613" s="3933"/>
      <c r="JMS613" s="3933"/>
      <c r="JMT613" s="3933"/>
      <c r="JMU613" s="621"/>
      <c r="JMV613" s="3933"/>
      <c r="JMW613" s="3933"/>
      <c r="JMX613" s="3933"/>
      <c r="JMY613" s="621"/>
      <c r="JMZ613" s="3933"/>
      <c r="JNA613" s="3933"/>
      <c r="JNB613" s="3933"/>
      <c r="JNC613" s="621"/>
      <c r="JND613" s="3933"/>
      <c r="JNE613" s="3933"/>
      <c r="JNF613" s="3933"/>
      <c r="JNG613" s="621"/>
      <c r="JNH613" s="3933"/>
      <c r="JNI613" s="3933"/>
      <c r="JNJ613" s="3933"/>
      <c r="JNK613" s="621"/>
      <c r="JNL613" s="3933"/>
      <c r="JNM613" s="3933"/>
      <c r="JNN613" s="3933"/>
      <c r="JNO613" s="621"/>
      <c r="JNP613" s="3933"/>
      <c r="JNQ613" s="3933"/>
      <c r="JNR613" s="3933"/>
      <c r="JNS613" s="621"/>
      <c r="JNT613" s="3933"/>
      <c r="JNU613" s="3933"/>
      <c r="JNV613" s="3933"/>
      <c r="JNW613" s="621"/>
      <c r="JNX613" s="3933"/>
      <c r="JNY613" s="3933"/>
      <c r="JNZ613" s="3933"/>
      <c r="JOA613" s="621"/>
      <c r="JOB613" s="3933"/>
      <c r="JOC613" s="3933"/>
      <c r="JOD613" s="3933"/>
      <c r="JOE613" s="621"/>
      <c r="JOF613" s="3933"/>
      <c r="JOG613" s="3933"/>
      <c r="JOH613" s="3933"/>
      <c r="JOI613" s="621"/>
      <c r="JOJ613" s="3933"/>
      <c r="JOK613" s="3933"/>
      <c r="JOL613" s="3933"/>
      <c r="JOM613" s="621"/>
      <c r="JON613" s="3933"/>
      <c r="JOO613" s="3933"/>
      <c r="JOP613" s="3933"/>
      <c r="JOQ613" s="621"/>
      <c r="JOR613" s="3933"/>
      <c r="JOS613" s="3933"/>
      <c r="JOT613" s="3933"/>
      <c r="JOU613" s="621"/>
      <c r="JOV613" s="3933"/>
      <c r="JOW613" s="3933"/>
      <c r="JOX613" s="3933"/>
      <c r="JOY613" s="621"/>
      <c r="JOZ613" s="3933"/>
      <c r="JPA613" s="3933"/>
      <c r="JPB613" s="3933"/>
      <c r="JPC613" s="621"/>
      <c r="JPD613" s="3933"/>
      <c r="JPE613" s="3933"/>
      <c r="JPF613" s="3933"/>
      <c r="JPG613" s="621"/>
      <c r="JPH613" s="3933"/>
      <c r="JPI613" s="3933"/>
      <c r="JPJ613" s="3933"/>
      <c r="JPK613" s="621"/>
      <c r="JPL613" s="3933"/>
      <c r="JPM613" s="3933"/>
      <c r="JPN613" s="3933"/>
      <c r="JPO613" s="621"/>
      <c r="JPP613" s="3933"/>
      <c r="JPQ613" s="3933"/>
      <c r="JPR613" s="3933"/>
      <c r="JPS613" s="621"/>
      <c r="JPT613" s="3933"/>
      <c r="JPU613" s="3933"/>
      <c r="JPV613" s="3933"/>
      <c r="JPW613" s="621"/>
      <c r="JPX613" s="3933"/>
      <c r="JPY613" s="3933"/>
      <c r="JPZ613" s="3933"/>
      <c r="JQA613" s="621"/>
      <c r="JQB613" s="3933"/>
      <c r="JQC613" s="3933"/>
      <c r="JQD613" s="3933"/>
      <c r="JQE613" s="621"/>
      <c r="JQF613" s="3933"/>
      <c r="JQG613" s="3933"/>
      <c r="JQH613" s="3933"/>
      <c r="JQI613" s="621"/>
      <c r="JQJ613" s="3933"/>
      <c r="JQK613" s="3933"/>
      <c r="JQL613" s="3933"/>
      <c r="JQM613" s="621"/>
      <c r="JQN613" s="3933"/>
      <c r="JQO613" s="3933"/>
      <c r="JQP613" s="3933"/>
      <c r="JQQ613" s="621"/>
      <c r="JQR613" s="3933"/>
      <c r="JQS613" s="3933"/>
      <c r="JQT613" s="3933"/>
      <c r="JQU613" s="621"/>
      <c r="JQV613" s="3933"/>
      <c r="JQW613" s="3933"/>
      <c r="JQX613" s="3933"/>
      <c r="JQY613" s="621"/>
      <c r="JQZ613" s="3933"/>
      <c r="JRA613" s="3933"/>
      <c r="JRB613" s="3933"/>
      <c r="JRC613" s="621"/>
      <c r="JRD613" s="3933"/>
      <c r="JRE613" s="3933"/>
      <c r="JRF613" s="3933"/>
      <c r="JRG613" s="621"/>
      <c r="JRH613" s="3933"/>
      <c r="JRI613" s="3933"/>
      <c r="JRJ613" s="3933"/>
      <c r="JRK613" s="621"/>
      <c r="JRL613" s="3933"/>
      <c r="JRM613" s="3933"/>
      <c r="JRN613" s="3933"/>
      <c r="JRO613" s="621"/>
      <c r="JRP613" s="3933"/>
      <c r="JRQ613" s="3933"/>
      <c r="JRR613" s="3933"/>
      <c r="JRS613" s="621"/>
      <c r="JRT613" s="3933"/>
      <c r="JRU613" s="3933"/>
      <c r="JRV613" s="3933"/>
      <c r="JRW613" s="621"/>
      <c r="JRX613" s="3933"/>
      <c r="JRY613" s="3933"/>
      <c r="JRZ613" s="3933"/>
      <c r="JSA613" s="621"/>
      <c r="JSB613" s="3933"/>
      <c r="JSC613" s="3933"/>
      <c r="JSD613" s="3933"/>
      <c r="JSE613" s="621"/>
      <c r="JSF613" s="3933"/>
      <c r="JSG613" s="3933"/>
      <c r="JSH613" s="3933"/>
      <c r="JSI613" s="621"/>
      <c r="JSJ613" s="3933"/>
      <c r="JSK613" s="3933"/>
      <c r="JSL613" s="3933"/>
      <c r="JSM613" s="621"/>
      <c r="JSN613" s="3933"/>
      <c r="JSO613" s="3933"/>
      <c r="JSP613" s="3933"/>
      <c r="JSQ613" s="621"/>
      <c r="JSR613" s="3933"/>
      <c r="JSS613" s="3933"/>
      <c r="JST613" s="3933"/>
      <c r="JSU613" s="621"/>
      <c r="JSV613" s="3933"/>
      <c r="JSW613" s="3933"/>
      <c r="JSX613" s="3933"/>
      <c r="JSY613" s="621"/>
      <c r="JSZ613" s="3933"/>
      <c r="JTA613" s="3933"/>
      <c r="JTB613" s="3933"/>
      <c r="JTC613" s="621"/>
      <c r="JTD613" s="3933"/>
      <c r="JTE613" s="3933"/>
      <c r="JTF613" s="3933"/>
      <c r="JTG613" s="621"/>
      <c r="JTH613" s="3933"/>
      <c r="JTI613" s="3933"/>
      <c r="JTJ613" s="3933"/>
      <c r="JTK613" s="621"/>
      <c r="JTL613" s="3933"/>
      <c r="JTM613" s="3933"/>
      <c r="JTN613" s="3933"/>
      <c r="JTO613" s="621"/>
      <c r="JTP613" s="3933"/>
      <c r="JTQ613" s="3933"/>
      <c r="JTR613" s="3933"/>
      <c r="JTS613" s="621"/>
      <c r="JTT613" s="3933"/>
      <c r="JTU613" s="3933"/>
      <c r="JTV613" s="3933"/>
      <c r="JTW613" s="621"/>
      <c r="JTX613" s="3933"/>
      <c r="JTY613" s="3933"/>
      <c r="JTZ613" s="3933"/>
      <c r="JUA613" s="621"/>
      <c r="JUB613" s="3933"/>
      <c r="JUC613" s="3933"/>
      <c r="JUD613" s="3933"/>
      <c r="JUE613" s="621"/>
      <c r="JUF613" s="3933"/>
      <c r="JUG613" s="3933"/>
      <c r="JUH613" s="3933"/>
      <c r="JUI613" s="621"/>
      <c r="JUJ613" s="3933"/>
      <c r="JUK613" s="3933"/>
      <c r="JUL613" s="3933"/>
      <c r="JUM613" s="621"/>
      <c r="JUN613" s="3933"/>
      <c r="JUO613" s="3933"/>
      <c r="JUP613" s="3933"/>
      <c r="JUQ613" s="621"/>
      <c r="JUR613" s="3933"/>
      <c r="JUS613" s="3933"/>
      <c r="JUT613" s="3933"/>
      <c r="JUU613" s="621"/>
      <c r="JUV613" s="3933"/>
      <c r="JUW613" s="3933"/>
      <c r="JUX613" s="3933"/>
      <c r="JUY613" s="621"/>
      <c r="JUZ613" s="3933"/>
      <c r="JVA613" s="3933"/>
      <c r="JVB613" s="3933"/>
      <c r="JVC613" s="621"/>
      <c r="JVD613" s="3933"/>
      <c r="JVE613" s="3933"/>
      <c r="JVF613" s="3933"/>
      <c r="JVG613" s="621"/>
      <c r="JVH613" s="3933"/>
      <c r="JVI613" s="3933"/>
      <c r="JVJ613" s="3933"/>
      <c r="JVK613" s="621"/>
      <c r="JVL613" s="3933"/>
      <c r="JVM613" s="3933"/>
      <c r="JVN613" s="3933"/>
      <c r="JVO613" s="621"/>
      <c r="JVP613" s="3933"/>
      <c r="JVQ613" s="3933"/>
      <c r="JVR613" s="3933"/>
      <c r="JVS613" s="621"/>
      <c r="JVT613" s="3933"/>
      <c r="JVU613" s="3933"/>
      <c r="JVV613" s="3933"/>
      <c r="JVW613" s="621"/>
      <c r="JVX613" s="3933"/>
      <c r="JVY613" s="3933"/>
      <c r="JVZ613" s="3933"/>
      <c r="JWA613" s="621"/>
      <c r="JWB613" s="3933"/>
      <c r="JWC613" s="3933"/>
      <c r="JWD613" s="3933"/>
      <c r="JWE613" s="621"/>
      <c r="JWF613" s="3933"/>
      <c r="JWG613" s="3933"/>
      <c r="JWH613" s="3933"/>
      <c r="JWI613" s="621"/>
      <c r="JWJ613" s="3933"/>
      <c r="JWK613" s="3933"/>
      <c r="JWL613" s="3933"/>
      <c r="JWM613" s="621"/>
      <c r="JWN613" s="3933"/>
      <c r="JWO613" s="3933"/>
      <c r="JWP613" s="3933"/>
      <c r="JWQ613" s="621"/>
      <c r="JWR613" s="3933"/>
      <c r="JWS613" s="3933"/>
      <c r="JWT613" s="3933"/>
      <c r="JWU613" s="621"/>
      <c r="JWV613" s="3933"/>
      <c r="JWW613" s="3933"/>
      <c r="JWX613" s="3933"/>
      <c r="JWY613" s="621"/>
      <c r="JWZ613" s="3933"/>
      <c r="JXA613" s="3933"/>
      <c r="JXB613" s="3933"/>
      <c r="JXC613" s="621"/>
      <c r="JXD613" s="3933"/>
      <c r="JXE613" s="3933"/>
      <c r="JXF613" s="3933"/>
      <c r="JXG613" s="621"/>
      <c r="JXH613" s="3933"/>
      <c r="JXI613" s="3933"/>
      <c r="JXJ613" s="3933"/>
      <c r="JXK613" s="621"/>
      <c r="JXL613" s="3933"/>
      <c r="JXM613" s="3933"/>
      <c r="JXN613" s="3933"/>
      <c r="JXO613" s="621"/>
      <c r="JXP613" s="3933"/>
      <c r="JXQ613" s="3933"/>
      <c r="JXR613" s="3933"/>
      <c r="JXS613" s="621"/>
      <c r="JXT613" s="3933"/>
      <c r="JXU613" s="3933"/>
      <c r="JXV613" s="3933"/>
      <c r="JXW613" s="621"/>
      <c r="JXX613" s="3933"/>
      <c r="JXY613" s="3933"/>
      <c r="JXZ613" s="3933"/>
      <c r="JYA613" s="621"/>
      <c r="JYB613" s="3933"/>
      <c r="JYC613" s="3933"/>
      <c r="JYD613" s="3933"/>
      <c r="JYE613" s="621"/>
      <c r="JYF613" s="3933"/>
      <c r="JYG613" s="3933"/>
      <c r="JYH613" s="3933"/>
      <c r="JYI613" s="621"/>
      <c r="JYJ613" s="3933"/>
      <c r="JYK613" s="3933"/>
      <c r="JYL613" s="3933"/>
      <c r="JYM613" s="621"/>
      <c r="JYN613" s="3933"/>
      <c r="JYO613" s="3933"/>
      <c r="JYP613" s="3933"/>
      <c r="JYQ613" s="621"/>
      <c r="JYR613" s="3933"/>
      <c r="JYS613" s="3933"/>
      <c r="JYT613" s="3933"/>
      <c r="JYU613" s="621"/>
      <c r="JYV613" s="3933"/>
      <c r="JYW613" s="3933"/>
      <c r="JYX613" s="3933"/>
      <c r="JYY613" s="621"/>
      <c r="JYZ613" s="3933"/>
      <c r="JZA613" s="3933"/>
      <c r="JZB613" s="3933"/>
      <c r="JZC613" s="621"/>
      <c r="JZD613" s="3933"/>
      <c r="JZE613" s="3933"/>
      <c r="JZF613" s="3933"/>
      <c r="JZG613" s="621"/>
      <c r="JZH613" s="3933"/>
      <c r="JZI613" s="3933"/>
      <c r="JZJ613" s="3933"/>
      <c r="JZK613" s="621"/>
      <c r="JZL613" s="3933"/>
      <c r="JZM613" s="3933"/>
      <c r="JZN613" s="3933"/>
      <c r="JZO613" s="621"/>
      <c r="JZP613" s="3933"/>
      <c r="JZQ613" s="3933"/>
      <c r="JZR613" s="3933"/>
      <c r="JZS613" s="621"/>
      <c r="JZT613" s="3933"/>
      <c r="JZU613" s="3933"/>
      <c r="JZV613" s="3933"/>
      <c r="JZW613" s="621"/>
      <c r="JZX613" s="3933"/>
      <c r="JZY613" s="3933"/>
      <c r="JZZ613" s="3933"/>
      <c r="KAA613" s="621"/>
      <c r="KAB613" s="3933"/>
      <c r="KAC613" s="3933"/>
      <c r="KAD613" s="3933"/>
      <c r="KAE613" s="621"/>
      <c r="KAF613" s="3933"/>
      <c r="KAG613" s="3933"/>
      <c r="KAH613" s="3933"/>
      <c r="KAI613" s="621"/>
      <c r="KAJ613" s="3933"/>
      <c r="KAK613" s="3933"/>
      <c r="KAL613" s="3933"/>
      <c r="KAM613" s="621"/>
      <c r="KAN613" s="3933"/>
      <c r="KAO613" s="3933"/>
      <c r="KAP613" s="3933"/>
      <c r="KAQ613" s="621"/>
      <c r="KAR613" s="3933"/>
      <c r="KAS613" s="3933"/>
      <c r="KAT613" s="3933"/>
      <c r="KAU613" s="621"/>
      <c r="KAV613" s="3933"/>
      <c r="KAW613" s="3933"/>
      <c r="KAX613" s="3933"/>
      <c r="KAY613" s="621"/>
      <c r="KAZ613" s="3933"/>
      <c r="KBA613" s="3933"/>
      <c r="KBB613" s="3933"/>
      <c r="KBC613" s="621"/>
      <c r="KBD613" s="3933"/>
      <c r="KBE613" s="3933"/>
      <c r="KBF613" s="3933"/>
      <c r="KBG613" s="621"/>
      <c r="KBH613" s="3933"/>
      <c r="KBI613" s="3933"/>
      <c r="KBJ613" s="3933"/>
      <c r="KBK613" s="621"/>
      <c r="KBL613" s="3933"/>
      <c r="KBM613" s="3933"/>
      <c r="KBN613" s="3933"/>
      <c r="KBO613" s="621"/>
      <c r="KBP613" s="3933"/>
      <c r="KBQ613" s="3933"/>
      <c r="KBR613" s="3933"/>
      <c r="KBS613" s="621"/>
      <c r="KBT613" s="3933"/>
      <c r="KBU613" s="3933"/>
      <c r="KBV613" s="3933"/>
      <c r="KBW613" s="621"/>
      <c r="KBX613" s="3933"/>
      <c r="KBY613" s="3933"/>
      <c r="KBZ613" s="3933"/>
      <c r="KCA613" s="621"/>
      <c r="KCB613" s="3933"/>
      <c r="KCC613" s="3933"/>
      <c r="KCD613" s="3933"/>
      <c r="KCE613" s="621"/>
      <c r="KCF613" s="3933"/>
      <c r="KCG613" s="3933"/>
      <c r="KCH613" s="3933"/>
      <c r="KCI613" s="621"/>
      <c r="KCJ613" s="3933"/>
      <c r="KCK613" s="3933"/>
      <c r="KCL613" s="3933"/>
      <c r="KCM613" s="621"/>
      <c r="KCN613" s="3933"/>
      <c r="KCO613" s="3933"/>
      <c r="KCP613" s="3933"/>
      <c r="KCQ613" s="621"/>
      <c r="KCR613" s="3933"/>
      <c r="KCS613" s="3933"/>
      <c r="KCT613" s="3933"/>
      <c r="KCU613" s="621"/>
      <c r="KCV613" s="3933"/>
      <c r="KCW613" s="3933"/>
      <c r="KCX613" s="3933"/>
      <c r="KCY613" s="621"/>
      <c r="KCZ613" s="3933"/>
      <c r="KDA613" s="3933"/>
      <c r="KDB613" s="3933"/>
      <c r="KDC613" s="621"/>
      <c r="KDD613" s="3933"/>
      <c r="KDE613" s="3933"/>
      <c r="KDF613" s="3933"/>
      <c r="KDG613" s="621"/>
      <c r="KDH613" s="3933"/>
      <c r="KDI613" s="3933"/>
      <c r="KDJ613" s="3933"/>
      <c r="KDK613" s="621"/>
      <c r="KDL613" s="3933"/>
      <c r="KDM613" s="3933"/>
      <c r="KDN613" s="3933"/>
      <c r="KDO613" s="621"/>
      <c r="KDP613" s="3933"/>
      <c r="KDQ613" s="3933"/>
      <c r="KDR613" s="3933"/>
      <c r="KDS613" s="621"/>
      <c r="KDT613" s="3933"/>
      <c r="KDU613" s="3933"/>
      <c r="KDV613" s="3933"/>
      <c r="KDW613" s="621"/>
      <c r="KDX613" s="3933"/>
      <c r="KDY613" s="3933"/>
      <c r="KDZ613" s="3933"/>
      <c r="KEA613" s="621"/>
      <c r="KEB613" s="3933"/>
      <c r="KEC613" s="3933"/>
      <c r="KED613" s="3933"/>
      <c r="KEE613" s="621"/>
      <c r="KEF613" s="3933"/>
      <c r="KEG613" s="3933"/>
      <c r="KEH613" s="3933"/>
      <c r="KEI613" s="621"/>
      <c r="KEJ613" s="3933"/>
      <c r="KEK613" s="3933"/>
      <c r="KEL613" s="3933"/>
      <c r="KEM613" s="621"/>
      <c r="KEN613" s="3933"/>
      <c r="KEO613" s="3933"/>
      <c r="KEP613" s="3933"/>
      <c r="KEQ613" s="621"/>
      <c r="KER613" s="3933"/>
      <c r="KES613" s="3933"/>
      <c r="KET613" s="3933"/>
      <c r="KEU613" s="621"/>
      <c r="KEV613" s="3933"/>
      <c r="KEW613" s="3933"/>
      <c r="KEX613" s="3933"/>
      <c r="KEY613" s="621"/>
      <c r="KEZ613" s="3933"/>
      <c r="KFA613" s="3933"/>
      <c r="KFB613" s="3933"/>
      <c r="KFC613" s="621"/>
      <c r="KFD613" s="3933"/>
      <c r="KFE613" s="3933"/>
      <c r="KFF613" s="3933"/>
      <c r="KFG613" s="621"/>
      <c r="KFH613" s="3933"/>
      <c r="KFI613" s="3933"/>
      <c r="KFJ613" s="3933"/>
      <c r="KFK613" s="621"/>
      <c r="KFL613" s="3933"/>
      <c r="KFM613" s="3933"/>
      <c r="KFN613" s="3933"/>
      <c r="KFO613" s="621"/>
      <c r="KFP613" s="3933"/>
      <c r="KFQ613" s="3933"/>
      <c r="KFR613" s="3933"/>
      <c r="KFS613" s="621"/>
      <c r="KFT613" s="3933"/>
      <c r="KFU613" s="3933"/>
      <c r="KFV613" s="3933"/>
      <c r="KFW613" s="621"/>
      <c r="KFX613" s="3933"/>
      <c r="KFY613" s="3933"/>
      <c r="KFZ613" s="3933"/>
      <c r="KGA613" s="621"/>
      <c r="KGB613" s="3933"/>
      <c r="KGC613" s="3933"/>
      <c r="KGD613" s="3933"/>
      <c r="KGE613" s="621"/>
      <c r="KGF613" s="3933"/>
      <c r="KGG613" s="3933"/>
      <c r="KGH613" s="3933"/>
      <c r="KGI613" s="621"/>
      <c r="KGJ613" s="3933"/>
      <c r="KGK613" s="3933"/>
      <c r="KGL613" s="3933"/>
      <c r="KGM613" s="621"/>
      <c r="KGN613" s="3933"/>
      <c r="KGO613" s="3933"/>
      <c r="KGP613" s="3933"/>
      <c r="KGQ613" s="621"/>
      <c r="KGR613" s="3933"/>
      <c r="KGS613" s="3933"/>
      <c r="KGT613" s="3933"/>
      <c r="KGU613" s="621"/>
      <c r="KGV613" s="3933"/>
      <c r="KGW613" s="3933"/>
      <c r="KGX613" s="3933"/>
      <c r="KGY613" s="621"/>
      <c r="KGZ613" s="3933"/>
      <c r="KHA613" s="3933"/>
      <c r="KHB613" s="3933"/>
      <c r="KHC613" s="621"/>
      <c r="KHD613" s="3933"/>
      <c r="KHE613" s="3933"/>
      <c r="KHF613" s="3933"/>
      <c r="KHG613" s="621"/>
      <c r="KHH613" s="3933"/>
      <c r="KHI613" s="3933"/>
      <c r="KHJ613" s="3933"/>
      <c r="KHK613" s="621"/>
      <c r="KHL613" s="3933"/>
      <c r="KHM613" s="3933"/>
      <c r="KHN613" s="3933"/>
      <c r="KHO613" s="621"/>
      <c r="KHP613" s="3933"/>
      <c r="KHQ613" s="3933"/>
      <c r="KHR613" s="3933"/>
      <c r="KHS613" s="621"/>
      <c r="KHT613" s="3933"/>
      <c r="KHU613" s="3933"/>
      <c r="KHV613" s="3933"/>
      <c r="KHW613" s="621"/>
      <c r="KHX613" s="3933"/>
      <c r="KHY613" s="3933"/>
      <c r="KHZ613" s="3933"/>
      <c r="KIA613" s="621"/>
      <c r="KIB613" s="3933"/>
      <c r="KIC613" s="3933"/>
      <c r="KID613" s="3933"/>
      <c r="KIE613" s="621"/>
      <c r="KIF613" s="3933"/>
      <c r="KIG613" s="3933"/>
      <c r="KIH613" s="3933"/>
      <c r="KII613" s="621"/>
      <c r="KIJ613" s="3933"/>
      <c r="KIK613" s="3933"/>
      <c r="KIL613" s="3933"/>
      <c r="KIM613" s="621"/>
      <c r="KIN613" s="3933"/>
      <c r="KIO613" s="3933"/>
      <c r="KIP613" s="3933"/>
      <c r="KIQ613" s="621"/>
      <c r="KIR613" s="3933"/>
      <c r="KIS613" s="3933"/>
      <c r="KIT613" s="3933"/>
      <c r="KIU613" s="621"/>
      <c r="KIV613" s="3933"/>
      <c r="KIW613" s="3933"/>
      <c r="KIX613" s="3933"/>
      <c r="KIY613" s="621"/>
      <c r="KIZ613" s="3933"/>
      <c r="KJA613" s="3933"/>
      <c r="KJB613" s="3933"/>
      <c r="KJC613" s="621"/>
      <c r="KJD613" s="3933"/>
      <c r="KJE613" s="3933"/>
      <c r="KJF613" s="3933"/>
      <c r="KJG613" s="621"/>
      <c r="KJH613" s="3933"/>
      <c r="KJI613" s="3933"/>
      <c r="KJJ613" s="3933"/>
      <c r="KJK613" s="621"/>
      <c r="KJL613" s="3933"/>
      <c r="KJM613" s="3933"/>
      <c r="KJN613" s="3933"/>
      <c r="KJO613" s="621"/>
      <c r="KJP613" s="3933"/>
      <c r="KJQ613" s="3933"/>
      <c r="KJR613" s="3933"/>
      <c r="KJS613" s="621"/>
      <c r="KJT613" s="3933"/>
      <c r="KJU613" s="3933"/>
      <c r="KJV613" s="3933"/>
      <c r="KJW613" s="621"/>
      <c r="KJX613" s="3933"/>
      <c r="KJY613" s="3933"/>
      <c r="KJZ613" s="3933"/>
      <c r="KKA613" s="621"/>
      <c r="KKB613" s="3933"/>
      <c r="KKC613" s="3933"/>
      <c r="KKD613" s="3933"/>
      <c r="KKE613" s="621"/>
      <c r="KKF613" s="3933"/>
      <c r="KKG613" s="3933"/>
      <c r="KKH613" s="3933"/>
      <c r="KKI613" s="621"/>
      <c r="KKJ613" s="3933"/>
      <c r="KKK613" s="3933"/>
      <c r="KKL613" s="3933"/>
      <c r="KKM613" s="621"/>
      <c r="KKN613" s="3933"/>
      <c r="KKO613" s="3933"/>
      <c r="KKP613" s="3933"/>
      <c r="KKQ613" s="621"/>
      <c r="KKR613" s="3933"/>
      <c r="KKS613" s="3933"/>
      <c r="KKT613" s="3933"/>
      <c r="KKU613" s="621"/>
      <c r="KKV613" s="3933"/>
      <c r="KKW613" s="3933"/>
      <c r="KKX613" s="3933"/>
      <c r="KKY613" s="621"/>
      <c r="KKZ613" s="3933"/>
      <c r="KLA613" s="3933"/>
      <c r="KLB613" s="3933"/>
      <c r="KLC613" s="621"/>
      <c r="KLD613" s="3933"/>
      <c r="KLE613" s="3933"/>
      <c r="KLF613" s="3933"/>
      <c r="KLG613" s="621"/>
      <c r="KLH613" s="3933"/>
      <c r="KLI613" s="3933"/>
      <c r="KLJ613" s="3933"/>
      <c r="KLK613" s="621"/>
      <c r="KLL613" s="3933"/>
      <c r="KLM613" s="3933"/>
      <c r="KLN613" s="3933"/>
      <c r="KLO613" s="621"/>
      <c r="KLP613" s="3933"/>
      <c r="KLQ613" s="3933"/>
      <c r="KLR613" s="3933"/>
      <c r="KLS613" s="621"/>
      <c r="KLT613" s="3933"/>
      <c r="KLU613" s="3933"/>
      <c r="KLV613" s="3933"/>
      <c r="KLW613" s="621"/>
      <c r="KLX613" s="3933"/>
      <c r="KLY613" s="3933"/>
      <c r="KLZ613" s="3933"/>
      <c r="KMA613" s="621"/>
      <c r="KMB613" s="3933"/>
      <c r="KMC613" s="3933"/>
      <c r="KMD613" s="3933"/>
      <c r="KME613" s="621"/>
      <c r="KMF613" s="3933"/>
      <c r="KMG613" s="3933"/>
      <c r="KMH613" s="3933"/>
      <c r="KMI613" s="621"/>
      <c r="KMJ613" s="3933"/>
      <c r="KMK613" s="3933"/>
      <c r="KML613" s="3933"/>
      <c r="KMM613" s="621"/>
      <c r="KMN613" s="3933"/>
      <c r="KMO613" s="3933"/>
      <c r="KMP613" s="3933"/>
      <c r="KMQ613" s="621"/>
      <c r="KMR613" s="3933"/>
      <c r="KMS613" s="3933"/>
      <c r="KMT613" s="3933"/>
      <c r="KMU613" s="621"/>
      <c r="KMV613" s="3933"/>
      <c r="KMW613" s="3933"/>
      <c r="KMX613" s="3933"/>
      <c r="KMY613" s="621"/>
      <c r="KMZ613" s="3933"/>
      <c r="KNA613" s="3933"/>
      <c r="KNB613" s="3933"/>
      <c r="KNC613" s="621"/>
      <c r="KND613" s="3933"/>
      <c r="KNE613" s="3933"/>
      <c r="KNF613" s="3933"/>
      <c r="KNG613" s="621"/>
      <c r="KNH613" s="3933"/>
      <c r="KNI613" s="3933"/>
      <c r="KNJ613" s="3933"/>
      <c r="KNK613" s="621"/>
      <c r="KNL613" s="3933"/>
      <c r="KNM613" s="3933"/>
      <c r="KNN613" s="3933"/>
      <c r="KNO613" s="621"/>
      <c r="KNP613" s="3933"/>
      <c r="KNQ613" s="3933"/>
      <c r="KNR613" s="3933"/>
      <c r="KNS613" s="621"/>
      <c r="KNT613" s="3933"/>
      <c r="KNU613" s="3933"/>
      <c r="KNV613" s="3933"/>
      <c r="KNW613" s="621"/>
      <c r="KNX613" s="3933"/>
      <c r="KNY613" s="3933"/>
      <c r="KNZ613" s="3933"/>
      <c r="KOA613" s="621"/>
      <c r="KOB613" s="3933"/>
      <c r="KOC613" s="3933"/>
      <c r="KOD613" s="3933"/>
      <c r="KOE613" s="621"/>
      <c r="KOF613" s="3933"/>
      <c r="KOG613" s="3933"/>
      <c r="KOH613" s="3933"/>
      <c r="KOI613" s="621"/>
      <c r="KOJ613" s="3933"/>
      <c r="KOK613" s="3933"/>
      <c r="KOL613" s="3933"/>
      <c r="KOM613" s="621"/>
      <c r="KON613" s="3933"/>
      <c r="KOO613" s="3933"/>
      <c r="KOP613" s="3933"/>
      <c r="KOQ613" s="621"/>
      <c r="KOR613" s="3933"/>
      <c r="KOS613" s="3933"/>
      <c r="KOT613" s="3933"/>
      <c r="KOU613" s="621"/>
      <c r="KOV613" s="3933"/>
      <c r="KOW613" s="3933"/>
      <c r="KOX613" s="3933"/>
      <c r="KOY613" s="621"/>
      <c r="KOZ613" s="3933"/>
      <c r="KPA613" s="3933"/>
      <c r="KPB613" s="3933"/>
      <c r="KPC613" s="621"/>
      <c r="KPD613" s="3933"/>
      <c r="KPE613" s="3933"/>
      <c r="KPF613" s="3933"/>
      <c r="KPG613" s="621"/>
      <c r="KPH613" s="3933"/>
      <c r="KPI613" s="3933"/>
      <c r="KPJ613" s="3933"/>
      <c r="KPK613" s="621"/>
      <c r="KPL613" s="3933"/>
      <c r="KPM613" s="3933"/>
      <c r="KPN613" s="3933"/>
      <c r="KPO613" s="621"/>
      <c r="KPP613" s="3933"/>
      <c r="KPQ613" s="3933"/>
      <c r="KPR613" s="3933"/>
      <c r="KPS613" s="621"/>
      <c r="KPT613" s="3933"/>
      <c r="KPU613" s="3933"/>
      <c r="KPV613" s="3933"/>
      <c r="KPW613" s="621"/>
      <c r="KPX613" s="3933"/>
      <c r="KPY613" s="3933"/>
      <c r="KPZ613" s="3933"/>
      <c r="KQA613" s="621"/>
      <c r="KQB613" s="3933"/>
      <c r="KQC613" s="3933"/>
      <c r="KQD613" s="3933"/>
      <c r="KQE613" s="621"/>
      <c r="KQF613" s="3933"/>
      <c r="KQG613" s="3933"/>
      <c r="KQH613" s="3933"/>
      <c r="KQI613" s="621"/>
      <c r="KQJ613" s="3933"/>
      <c r="KQK613" s="3933"/>
      <c r="KQL613" s="3933"/>
      <c r="KQM613" s="621"/>
      <c r="KQN613" s="3933"/>
      <c r="KQO613" s="3933"/>
      <c r="KQP613" s="3933"/>
      <c r="KQQ613" s="621"/>
      <c r="KQR613" s="3933"/>
      <c r="KQS613" s="3933"/>
      <c r="KQT613" s="3933"/>
      <c r="KQU613" s="621"/>
      <c r="KQV613" s="3933"/>
      <c r="KQW613" s="3933"/>
      <c r="KQX613" s="3933"/>
      <c r="KQY613" s="621"/>
      <c r="KQZ613" s="3933"/>
      <c r="KRA613" s="3933"/>
      <c r="KRB613" s="3933"/>
      <c r="KRC613" s="621"/>
      <c r="KRD613" s="3933"/>
      <c r="KRE613" s="3933"/>
      <c r="KRF613" s="3933"/>
      <c r="KRG613" s="621"/>
      <c r="KRH613" s="3933"/>
      <c r="KRI613" s="3933"/>
      <c r="KRJ613" s="3933"/>
      <c r="KRK613" s="621"/>
      <c r="KRL613" s="3933"/>
      <c r="KRM613" s="3933"/>
      <c r="KRN613" s="3933"/>
      <c r="KRO613" s="621"/>
      <c r="KRP613" s="3933"/>
      <c r="KRQ613" s="3933"/>
      <c r="KRR613" s="3933"/>
      <c r="KRS613" s="621"/>
      <c r="KRT613" s="3933"/>
      <c r="KRU613" s="3933"/>
      <c r="KRV613" s="3933"/>
      <c r="KRW613" s="621"/>
      <c r="KRX613" s="3933"/>
      <c r="KRY613" s="3933"/>
      <c r="KRZ613" s="3933"/>
      <c r="KSA613" s="621"/>
      <c r="KSB613" s="3933"/>
      <c r="KSC613" s="3933"/>
      <c r="KSD613" s="3933"/>
      <c r="KSE613" s="621"/>
      <c r="KSF613" s="3933"/>
      <c r="KSG613" s="3933"/>
      <c r="KSH613" s="3933"/>
      <c r="KSI613" s="621"/>
      <c r="KSJ613" s="3933"/>
      <c r="KSK613" s="3933"/>
      <c r="KSL613" s="3933"/>
      <c r="KSM613" s="621"/>
      <c r="KSN613" s="3933"/>
      <c r="KSO613" s="3933"/>
      <c r="KSP613" s="3933"/>
      <c r="KSQ613" s="621"/>
      <c r="KSR613" s="3933"/>
      <c r="KSS613" s="3933"/>
      <c r="KST613" s="3933"/>
      <c r="KSU613" s="621"/>
      <c r="KSV613" s="3933"/>
      <c r="KSW613" s="3933"/>
      <c r="KSX613" s="3933"/>
      <c r="KSY613" s="621"/>
      <c r="KSZ613" s="3933"/>
      <c r="KTA613" s="3933"/>
      <c r="KTB613" s="3933"/>
      <c r="KTC613" s="621"/>
      <c r="KTD613" s="3933"/>
      <c r="KTE613" s="3933"/>
      <c r="KTF613" s="3933"/>
      <c r="KTG613" s="621"/>
      <c r="KTH613" s="3933"/>
      <c r="KTI613" s="3933"/>
      <c r="KTJ613" s="3933"/>
      <c r="KTK613" s="621"/>
      <c r="KTL613" s="3933"/>
      <c r="KTM613" s="3933"/>
      <c r="KTN613" s="3933"/>
      <c r="KTO613" s="621"/>
      <c r="KTP613" s="3933"/>
      <c r="KTQ613" s="3933"/>
      <c r="KTR613" s="3933"/>
      <c r="KTS613" s="621"/>
      <c r="KTT613" s="3933"/>
      <c r="KTU613" s="3933"/>
      <c r="KTV613" s="3933"/>
      <c r="KTW613" s="621"/>
      <c r="KTX613" s="3933"/>
      <c r="KTY613" s="3933"/>
      <c r="KTZ613" s="3933"/>
      <c r="KUA613" s="621"/>
      <c r="KUB613" s="3933"/>
      <c r="KUC613" s="3933"/>
      <c r="KUD613" s="3933"/>
      <c r="KUE613" s="621"/>
      <c r="KUF613" s="3933"/>
      <c r="KUG613" s="3933"/>
      <c r="KUH613" s="3933"/>
      <c r="KUI613" s="621"/>
      <c r="KUJ613" s="3933"/>
      <c r="KUK613" s="3933"/>
      <c r="KUL613" s="3933"/>
      <c r="KUM613" s="621"/>
      <c r="KUN613" s="3933"/>
      <c r="KUO613" s="3933"/>
      <c r="KUP613" s="3933"/>
      <c r="KUQ613" s="621"/>
      <c r="KUR613" s="3933"/>
      <c r="KUS613" s="3933"/>
      <c r="KUT613" s="3933"/>
      <c r="KUU613" s="621"/>
      <c r="KUV613" s="3933"/>
      <c r="KUW613" s="3933"/>
      <c r="KUX613" s="3933"/>
      <c r="KUY613" s="621"/>
      <c r="KUZ613" s="3933"/>
      <c r="KVA613" s="3933"/>
      <c r="KVB613" s="3933"/>
      <c r="KVC613" s="621"/>
      <c r="KVD613" s="3933"/>
      <c r="KVE613" s="3933"/>
      <c r="KVF613" s="3933"/>
      <c r="KVG613" s="621"/>
      <c r="KVH613" s="3933"/>
      <c r="KVI613" s="3933"/>
      <c r="KVJ613" s="3933"/>
      <c r="KVK613" s="621"/>
      <c r="KVL613" s="3933"/>
      <c r="KVM613" s="3933"/>
      <c r="KVN613" s="3933"/>
      <c r="KVO613" s="621"/>
      <c r="KVP613" s="3933"/>
      <c r="KVQ613" s="3933"/>
      <c r="KVR613" s="3933"/>
      <c r="KVS613" s="621"/>
      <c r="KVT613" s="3933"/>
      <c r="KVU613" s="3933"/>
      <c r="KVV613" s="3933"/>
      <c r="KVW613" s="621"/>
      <c r="KVX613" s="3933"/>
      <c r="KVY613" s="3933"/>
      <c r="KVZ613" s="3933"/>
      <c r="KWA613" s="621"/>
      <c r="KWB613" s="3933"/>
      <c r="KWC613" s="3933"/>
      <c r="KWD613" s="3933"/>
      <c r="KWE613" s="621"/>
      <c r="KWF613" s="3933"/>
      <c r="KWG613" s="3933"/>
      <c r="KWH613" s="3933"/>
      <c r="KWI613" s="621"/>
      <c r="KWJ613" s="3933"/>
      <c r="KWK613" s="3933"/>
      <c r="KWL613" s="3933"/>
      <c r="KWM613" s="621"/>
      <c r="KWN613" s="3933"/>
      <c r="KWO613" s="3933"/>
      <c r="KWP613" s="3933"/>
      <c r="KWQ613" s="621"/>
      <c r="KWR613" s="3933"/>
      <c r="KWS613" s="3933"/>
      <c r="KWT613" s="3933"/>
      <c r="KWU613" s="621"/>
      <c r="KWV613" s="3933"/>
      <c r="KWW613" s="3933"/>
      <c r="KWX613" s="3933"/>
      <c r="KWY613" s="621"/>
      <c r="KWZ613" s="3933"/>
      <c r="KXA613" s="3933"/>
      <c r="KXB613" s="3933"/>
      <c r="KXC613" s="621"/>
      <c r="KXD613" s="3933"/>
      <c r="KXE613" s="3933"/>
      <c r="KXF613" s="3933"/>
      <c r="KXG613" s="621"/>
      <c r="KXH613" s="3933"/>
      <c r="KXI613" s="3933"/>
      <c r="KXJ613" s="3933"/>
      <c r="KXK613" s="621"/>
      <c r="KXL613" s="3933"/>
      <c r="KXM613" s="3933"/>
      <c r="KXN613" s="3933"/>
      <c r="KXO613" s="621"/>
      <c r="KXP613" s="3933"/>
      <c r="KXQ613" s="3933"/>
      <c r="KXR613" s="3933"/>
      <c r="KXS613" s="621"/>
      <c r="KXT613" s="3933"/>
      <c r="KXU613" s="3933"/>
      <c r="KXV613" s="3933"/>
      <c r="KXW613" s="621"/>
      <c r="KXX613" s="3933"/>
      <c r="KXY613" s="3933"/>
      <c r="KXZ613" s="3933"/>
      <c r="KYA613" s="621"/>
      <c r="KYB613" s="3933"/>
      <c r="KYC613" s="3933"/>
      <c r="KYD613" s="3933"/>
      <c r="KYE613" s="621"/>
      <c r="KYF613" s="3933"/>
      <c r="KYG613" s="3933"/>
      <c r="KYH613" s="3933"/>
      <c r="KYI613" s="621"/>
      <c r="KYJ613" s="3933"/>
      <c r="KYK613" s="3933"/>
      <c r="KYL613" s="3933"/>
      <c r="KYM613" s="621"/>
      <c r="KYN613" s="3933"/>
      <c r="KYO613" s="3933"/>
      <c r="KYP613" s="3933"/>
      <c r="KYQ613" s="621"/>
      <c r="KYR613" s="3933"/>
      <c r="KYS613" s="3933"/>
      <c r="KYT613" s="3933"/>
      <c r="KYU613" s="621"/>
      <c r="KYV613" s="3933"/>
      <c r="KYW613" s="3933"/>
      <c r="KYX613" s="3933"/>
      <c r="KYY613" s="621"/>
      <c r="KYZ613" s="3933"/>
      <c r="KZA613" s="3933"/>
      <c r="KZB613" s="3933"/>
      <c r="KZC613" s="621"/>
      <c r="KZD613" s="3933"/>
      <c r="KZE613" s="3933"/>
      <c r="KZF613" s="3933"/>
      <c r="KZG613" s="621"/>
      <c r="KZH613" s="3933"/>
      <c r="KZI613" s="3933"/>
      <c r="KZJ613" s="3933"/>
      <c r="KZK613" s="621"/>
      <c r="KZL613" s="3933"/>
      <c r="KZM613" s="3933"/>
      <c r="KZN613" s="3933"/>
      <c r="KZO613" s="621"/>
      <c r="KZP613" s="3933"/>
      <c r="KZQ613" s="3933"/>
      <c r="KZR613" s="3933"/>
      <c r="KZS613" s="621"/>
      <c r="KZT613" s="3933"/>
      <c r="KZU613" s="3933"/>
      <c r="KZV613" s="3933"/>
      <c r="KZW613" s="621"/>
      <c r="KZX613" s="3933"/>
      <c r="KZY613" s="3933"/>
      <c r="KZZ613" s="3933"/>
      <c r="LAA613" s="621"/>
      <c r="LAB613" s="3933"/>
      <c r="LAC613" s="3933"/>
      <c r="LAD613" s="3933"/>
      <c r="LAE613" s="621"/>
      <c r="LAF613" s="3933"/>
      <c r="LAG613" s="3933"/>
      <c r="LAH613" s="3933"/>
      <c r="LAI613" s="621"/>
      <c r="LAJ613" s="3933"/>
      <c r="LAK613" s="3933"/>
      <c r="LAL613" s="3933"/>
      <c r="LAM613" s="621"/>
      <c r="LAN613" s="3933"/>
      <c r="LAO613" s="3933"/>
      <c r="LAP613" s="3933"/>
      <c r="LAQ613" s="621"/>
      <c r="LAR613" s="3933"/>
      <c r="LAS613" s="3933"/>
      <c r="LAT613" s="3933"/>
      <c r="LAU613" s="621"/>
      <c r="LAV613" s="3933"/>
      <c r="LAW613" s="3933"/>
      <c r="LAX613" s="3933"/>
      <c r="LAY613" s="621"/>
      <c r="LAZ613" s="3933"/>
      <c r="LBA613" s="3933"/>
      <c r="LBB613" s="3933"/>
      <c r="LBC613" s="621"/>
      <c r="LBD613" s="3933"/>
      <c r="LBE613" s="3933"/>
      <c r="LBF613" s="3933"/>
      <c r="LBG613" s="621"/>
      <c r="LBH613" s="3933"/>
      <c r="LBI613" s="3933"/>
      <c r="LBJ613" s="3933"/>
      <c r="LBK613" s="621"/>
      <c r="LBL613" s="3933"/>
      <c r="LBM613" s="3933"/>
      <c r="LBN613" s="3933"/>
      <c r="LBO613" s="621"/>
      <c r="LBP613" s="3933"/>
      <c r="LBQ613" s="3933"/>
      <c r="LBR613" s="3933"/>
      <c r="LBS613" s="621"/>
      <c r="LBT613" s="3933"/>
      <c r="LBU613" s="3933"/>
      <c r="LBV613" s="3933"/>
      <c r="LBW613" s="621"/>
      <c r="LBX613" s="3933"/>
      <c r="LBY613" s="3933"/>
      <c r="LBZ613" s="3933"/>
      <c r="LCA613" s="621"/>
      <c r="LCB613" s="3933"/>
      <c r="LCC613" s="3933"/>
      <c r="LCD613" s="3933"/>
      <c r="LCE613" s="621"/>
      <c r="LCF613" s="3933"/>
      <c r="LCG613" s="3933"/>
      <c r="LCH613" s="3933"/>
      <c r="LCI613" s="621"/>
      <c r="LCJ613" s="3933"/>
      <c r="LCK613" s="3933"/>
      <c r="LCL613" s="3933"/>
      <c r="LCM613" s="621"/>
      <c r="LCN613" s="3933"/>
      <c r="LCO613" s="3933"/>
      <c r="LCP613" s="3933"/>
      <c r="LCQ613" s="621"/>
      <c r="LCR613" s="3933"/>
      <c r="LCS613" s="3933"/>
      <c r="LCT613" s="3933"/>
      <c r="LCU613" s="621"/>
      <c r="LCV613" s="3933"/>
      <c r="LCW613" s="3933"/>
      <c r="LCX613" s="3933"/>
      <c r="LCY613" s="621"/>
      <c r="LCZ613" s="3933"/>
      <c r="LDA613" s="3933"/>
      <c r="LDB613" s="3933"/>
      <c r="LDC613" s="621"/>
      <c r="LDD613" s="3933"/>
      <c r="LDE613" s="3933"/>
      <c r="LDF613" s="3933"/>
      <c r="LDG613" s="621"/>
      <c r="LDH613" s="3933"/>
      <c r="LDI613" s="3933"/>
      <c r="LDJ613" s="3933"/>
      <c r="LDK613" s="621"/>
      <c r="LDL613" s="3933"/>
      <c r="LDM613" s="3933"/>
      <c r="LDN613" s="3933"/>
      <c r="LDO613" s="621"/>
      <c r="LDP613" s="3933"/>
      <c r="LDQ613" s="3933"/>
      <c r="LDR613" s="3933"/>
      <c r="LDS613" s="621"/>
      <c r="LDT613" s="3933"/>
      <c r="LDU613" s="3933"/>
      <c r="LDV613" s="3933"/>
      <c r="LDW613" s="621"/>
      <c r="LDX613" s="3933"/>
      <c r="LDY613" s="3933"/>
      <c r="LDZ613" s="3933"/>
      <c r="LEA613" s="621"/>
      <c r="LEB613" s="3933"/>
      <c r="LEC613" s="3933"/>
      <c r="LED613" s="3933"/>
      <c r="LEE613" s="621"/>
      <c r="LEF613" s="3933"/>
      <c r="LEG613" s="3933"/>
      <c r="LEH613" s="3933"/>
      <c r="LEI613" s="621"/>
      <c r="LEJ613" s="3933"/>
      <c r="LEK613" s="3933"/>
      <c r="LEL613" s="3933"/>
      <c r="LEM613" s="621"/>
      <c r="LEN613" s="3933"/>
      <c r="LEO613" s="3933"/>
      <c r="LEP613" s="3933"/>
      <c r="LEQ613" s="621"/>
      <c r="LER613" s="3933"/>
      <c r="LES613" s="3933"/>
      <c r="LET613" s="3933"/>
      <c r="LEU613" s="621"/>
      <c r="LEV613" s="3933"/>
      <c r="LEW613" s="3933"/>
      <c r="LEX613" s="3933"/>
      <c r="LEY613" s="621"/>
      <c r="LEZ613" s="3933"/>
      <c r="LFA613" s="3933"/>
      <c r="LFB613" s="3933"/>
      <c r="LFC613" s="621"/>
      <c r="LFD613" s="3933"/>
      <c r="LFE613" s="3933"/>
      <c r="LFF613" s="3933"/>
      <c r="LFG613" s="621"/>
      <c r="LFH613" s="3933"/>
      <c r="LFI613" s="3933"/>
      <c r="LFJ613" s="3933"/>
      <c r="LFK613" s="621"/>
      <c r="LFL613" s="3933"/>
      <c r="LFM613" s="3933"/>
      <c r="LFN613" s="3933"/>
      <c r="LFO613" s="621"/>
      <c r="LFP613" s="3933"/>
      <c r="LFQ613" s="3933"/>
      <c r="LFR613" s="3933"/>
      <c r="LFS613" s="621"/>
      <c r="LFT613" s="3933"/>
      <c r="LFU613" s="3933"/>
      <c r="LFV613" s="3933"/>
      <c r="LFW613" s="621"/>
      <c r="LFX613" s="3933"/>
      <c r="LFY613" s="3933"/>
      <c r="LFZ613" s="3933"/>
      <c r="LGA613" s="621"/>
      <c r="LGB613" s="3933"/>
      <c r="LGC613" s="3933"/>
      <c r="LGD613" s="3933"/>
      <c r="LGE613" s="621"/>
      <c r="LGF613" s="3933"/>
      <c r="LGG613" s="3933"/>
      <c r="LGH613" s="3933"/>
      <c r="LGI613" s="621"/>
      <c r="LGJ613" s="3933"/>
      <c r="LGK613" s="3933"/>
      <c r="LGL613" s="3933"/>
      <c r="LGM613" s="621"/>
      <c r="LGN613" s="3933"/>
      <c r="LGO613" s="3933"/>
      <c r="LGP613" s="3933"/>
      <c r="LGQ613" s="621"/>
      <c r="LGR613" s="3933"/>
      <c r="LGS613" s="3933"/>
      <c r="LGT613" s="3933"/>
      <c r="LGU613" s="621"/>
      <c r="LGV613" s="3933"/>
      <c r="LGW613" s="3933"/>
      <c r="LGX613" s="3933"/>
      <c r="LGY613" s="621"/>
      <c r="LGZ613" s="3933"/>
      <c r="LHA613" s="3933"/>
      <c r="LHB613" s="3933"/>
      <c r="LHC613" s="621"/>
      <c r="LHD613" s="3933"/>
      <c r="LHE613" s="3933"/>
      <c r="LHF613" s="3933"/>
      <c r="LHG613" s="621"/>
      <c r="LHH613" s="3933"/>
      <c r="LHI613" s="3933"/>
      <c r="LHJ613" s="3933"/>
      <c r="LHK613" s="621"/>
      <c r="LHL613" s="3933"/>
      <c r="LHM613" s="3933"/>
      <c r="LHN613" s="3933"/>
      <c r="LHO613" s="621"/>
      <c r="LHP613" s="3933"/>
      <c r="LHQ613" s="3933"/>
      <c r="LHR613" s="3933"/>
      <c r="LHS613" s="621"/>
      <c r="LHT613" s="3933"/>
      <c r="LHU613" s="3933"/>
      <c r="LHV613" s="3933"/>
      <c r="LHW613" s="621"/>
      <c r="LHX613" s="3933"/>
      <c r="LHY613" s="3933"/>
      <c r="LHZ613" s="3933"/>
      <c r="LIA613" s="621"/>
      <c r="LIB613" s="3933"/>
      <c r="LIC613" s="3933"/>
      <c r="LID613" s="3933"/>
      <c r="LIE613" s="621"/>
      <c r="LIF613" s="3933"/>
      <c r="LIG613" s="3933"/>
      <c r="LIH613" s="3933"/>
      <c r="LII613" s="621"/>
      <c r="LIJ613" s="3933"/>
      <c r="LIK613" s="3933"/>
      <c r="LIL613" s="3933"/>
      <c r="LIM613" s="621"/>
      <c r="LIN613" s="3933"/>
      <c r="LIO613" s="3933"/>
      <c r="LIP613" s="3933"/>
      <c r="LIQ613" s="621"/>
      <c r="LIR613" s="3933"/>
      <c r="LIS613" s="3933"/>
      <c r="LIT613" s="3933"/>
      <c r="LIU613" s="621"/>
      <c r="LIV613" s="3933"/>
      <c r="LIW613" s="3933"/>
      <c r="LIX613" s="3933"/>
      <c r="LIY613" s="621"/>
      <c r="LIZ613" s="3933"/>
      <c r="LJA613" s="3933"/>
      <c r="LJB613" s="3933"/>
      <c r="LJC613" s="621"/>
      <c r="LJD613" s="3933"/>
      <c r="LJE613" s="3933"/>
      <c r="LJF613" s="3933"/>
      <c r="LJG613" s="621"/>
      <c r="LJH613" s="3933"/>
      <c r="LJI613" s="3933"/>
      <c r="LJJ613" s="3933"/>
      <c r="LJK613" s="621"/>
      <c r="LJL613" s="3933"/>
      <c r="LJM613" s="3933"/>
      <c r="LJN613" s="3933"/>
      <c r="LJO613" s="621"/>
      <c r="LJP613" s="3933"/>
      <c r="LJQ613" s="3933"/>
      <c r="LJR613" s="3933"/>
      <c r="LJS613" s="621"/>
      <c r="LJT613" s="3933"/>
      <c r="LJU613" s="3933"/>
      <c r="LJV613" s="3933"/>
      <c r="LJW613" s="621"/>
      <c r="LJX613" s="3933"/>
      <c r="LJY613" s="3933"/>
      <c r="LJZ613" s="3933"/>
      <c r="LKA613" s="621"/>
      <c r="LKB613" s="3933"/>
      <c r="LKC613" s="3933"/>
      <c r="LKD613" s="3933"/>
      <c r="LKE613" s="621"/>
      <c r="LKF613" s="3933"/>
      <c r="LKG613" s="3933"/>
      <c r="LKH613" s="3933"/>
      <c r="LKI613" s="621"/>
      <c r="LKJ613" s="3933"/>
      <c r="LKK613" s="3933"/>
      <c r="LKL613" s="3933"/>
      <c r="LKM613" s="621"/>
      <c r="LKN613" s="3933"/>
      <c r="LKO613" s="3933"/>
      <c r="LKP613" s="3933"/>
      <c r="LKQ613" s="621"/>
      <c r="LKR613" s="3933"/>
      <c r="LKS613" s="3933"/>
      <c r="LKT613" s="3933"/>
      <c r="LKU613" s="621"/>
      <c r="LKV613" s="3933"/>
      <c r="LKW613" s="3933"/>
      <c r="LKX613" s="3933"/>
      <c r="LKY613" s="621"/>
      <c r="LKZ613" s="3933"/>
      <c r="LLA613" s="3933"/>
      <c r="LLB613" s="3933"/>
      <c r="LLC613" s="621"/>
      <c r="LLD613" s="3933"/>
      <c r="LLE613" s="3933"/>
      <c r="LLF613" s="3933"/>
      <c r="LLG613" s="621"/>
      <c r="LLH613" s="3933"/>
      <c r="LLI613" s="3933"/>
      <c r="LLJ613" s="3933"/>
      <c r="LLK613" s="621"/>
      <c r="LLL613" s="3933"/>
      <c r="LLM613" s="3933"/>
      <c r="LLN613" s="3933"/>
      <c r="LLO613" s="621"/>
      <c r="LLP613" s="3933"/>
      <c r="LLQ613" s="3933"/>
      <c r="LLR613" s="3933"/>
      <c r="LLS613" s="621"/>
      <c r="LLT613" s="3933"/>
      <c r="LLU613" s="3933"/>
      <c r="LLV613" s="3933"/>
      <c r="LLW613" s="621"/>
      <c r="LLX613" s="3933"/>
      <c r="LLY613" s="3933"/>
      <c r="LLZ613" s="3933"/>
      <c r="LMA613" s="621"/>
      <c r="LMB613" s="3933"/>
      <c r="LMC613" s="3933"/>
      <c r="LMD613" s="3933"/>
      <c r="LME613" s="621"/>
      <c r="LMF613" s="3933"/>
      <c r="LMG613" s="3933"/>
      <c r="LMH613" s="3933"/>
      <c r="LMI613" s="621"/>
      <c r="LMJ613" s="3933"/>
      <c r="LMK613" s="3933"/>
      <c r="LML613" s="3933"/>
      <c r="LMM613" s="621"/>
      <c r="LMN613" s="3933"/>
      <c r="LMO613" s="3933"/>
      <c r="LMP613" s="3933"/>
      <c r="LMQ613" s="621"/>
      <c r="LMR613" s="3933"/>
      <c r="LMS613" s="3933"/>
      <c r="LMT613" s="3933"/>
      <c r="LMU613" s="621"/>
      <c r="LMV613" s="3933"/>
      <c r="LMW613" s="3933"/>
      <c r="LMX613" s="3933"/>
      <c r="LMY613" s="621"/>
      <c r="LMZ613" s="3933"/>
      <c r="LNA613" s="3933"/>
      <c r="LNB613" s="3933"/>
      <c r="LNC613" s="621"/>
      <c r="LND613" s="3933"/>
      <c r="LNE613" s="3933"/>
      <c r="LNF613" s="3933"/>
      <c r="LNG613" s="621"/>
      <c r="LNH613" s="3933"/>
      <c r="LNI613" s="3933"/>
      <c r="LNJ613" s="3933"/>
      <c r="LNK613" s="621"/>
      <c r="LNL613" s="3933"/>
      <c r="LNM613" s="3933"/>
      <c r="LNN613" s="3933"/>
      <c r="LNO613" s="621"/>
      <c r="LNP613" s="3933"/>
      <c r="LNQ613" s="3933"/>
      <c r="LNR613" s="3933"/>
      <c r="LNS613" s="621"/>
      <c r="LNT613" s="3933"/>
      <c r="LNU613" s="3933"/>
      <c r="LNV613" s="3933"/>
      <c r="LNW613" s="621"/>
      <c r="LNX613" s="3933"/>
      <c r="LNY613" s="3933"/>
      <c r="LNZ613" s="3933"/>
      <c r="LOA613" s="621"/>
      <c r="LOB613" s="3933"/>
      <c r="LOC613" s="3933"/>
      <c r="LOD613" s="3933"/>
      <c r="LOE613" s="621"/>
      <c r="LOF613" s="3933"/>
      <c r="LOG613" s="3933"/>
      <c r="LOH613" s="3933"/>
      <c r="LOI613" s="621"/>
      <c r="LOJ613" s="3933"/>
      <c r="LOK613" s="3933"/>
      <c r="LOL613" s="3933"/>
      <c r="LOM613" s="621"/>
      <c r="LON613" s="3933"/>
      <c r="LOO613" s="3933"/>
      <c r="LOP613" s="3933"/>
      <c r="LOQ613" s="621"/>
      <c r="LOR613" s="3933"/>
      <c r="LOS613" s="3933"/>
      <c r="LOT613" s="3933"/>
      <c r="LOU613" s="621"/>
      <c r="LOV613" s="3933"/>
      <c r="LOW613" s="3933"/>
      <c r="LOX613" s="3933"/>
      <c r="LOY613" s="621"/>
      <c r="LOZ613" s="3933"/>
      <c r="LPA613" s="3933"/>
      <c r="LPB613" s="3933"/>
      <c r="LPC613" s="621"/>
      <c r="LPD613" s="3933"/>
      <c r="LPE613" s="3933"/>
      <c r="LPF613" s="3933"/>
      <c r="LPG613" s="621"/>
      <c r="LPH613" s="3933"/>
      <c r="LPI613" s="3933"/>
      <c r="LPJ613" s="3933"/>
      <c r="LPK613" s="621"/>
      <c r="LPL613" s="3933"/>
      <c r="LPM613" s="3933"/>
      <c r="LPN613" s="3933"/>
      <c r="LPO613" s="621"/>
      <c r="LPP613" s="3933"/>
      <c r="LPQ613" s="3933"/>
      <c r="LPR613" s="3933"/>
      <c r="LPS613" s="621"/>
      <c r="LPT613" s="3933"/>
      <c r="LPU613" s="3933"/>
      <c r="LPV613" s="3933"/>
      <c r="LPW613" s="621"/>
      <c r="LPX613" s="3933"/>
      <c r="LPY613" s="3933"/>
      <c r="LPZ613" s="3933"/>
      <c r="LQA613" s="621"/>
      <c r="LQB613" s="3933"/>
      <c r="LQC613" s="3933"/>
      <c r="LQD613" s="3933"/>
      <c r="LQE613" s="621"/>
      <c r="LQF613" s="3933"/>
      <c r="LQG613" s="3933"/>
      <c r="LQH613" s="3933"/>
      <c r="LQI613" s="621"/>
      <c r="LQJ613" s="3933"/>
      <c r="LQK613" s="3933"/>
      <c r="LQL613" s="3933"/>
      <c r="LQM613" s="621"/>
      <c r="LQN613" s="3933"/>
      <c r="LQO613" s="3933"/>
      <c r="LQP613" s="3933"/>
      <c r="LQQ613" s="621"/>
      <c r="LQR613" s="3933"/>
      <c r="LQS613" s="3933"/>
      <c r="LQT613" s="3933"/>
      <c r="LQU613" s="621"/>
      <c r="LQV613" s="3933"/>
      <c r="LQW613" s="3933"/>
      <c r="LQX613" s="3933"/>
      <c r="LQY613" s="621"/>
      <c r="LQZ613" s="3933"/>
      <c r="LRA613" s="3933"/>
      <c r="LRB613" s="3933"/>
      <c r="LRC613" s="621"/>
      <c r="LRD613" s="3933"/>
      <c r="LRE613" s="3933"/>
      <c r="LRF613" s="3933"/>
      <c r="LRG613" s="621"/>
      <c r="LRH613" s="3933"/>
      <c r="LRI613" s="3933"/>
      <c r="LRJ613" s="3933"/>
      <c r="LRK613" s="621"/>
      <c r="LRL613" s="3933"/>
      <c r="LRM613" s="3933"/>
      <c r="LRN613" s="3933"/>
      <c r="LRO613" s="621"/>
      <c r="LRP613" s="3933"/>
      <c r="LRQ613" s="3933"/>
      <c r="LRR613" s="3933"/>
      <c r="LRS613" s="621"/>
      <c r="LRT613" s="3933"/>
      <c r="LRU613" s="3933"/>
      <c r="LRV613" s="3933"/>
      <c r="LRW613" s="621"/>
      <c r="LRX613" s="3933"/>
      <c r="LRY613" s="3933"/>
      <c r="LRZ613" s="3933"/>
      <c r="LSA613" s="621"/>
      <c r="LSB613" s="3933"/>
      <c r="LSC613" s="3933"/>
      <c r="LSD613" s="3933"/>
      <c r="LSE613" s="621"/>
      <c r="LSF613" s="3933"/>
      <c r="LSG613" s="3933"/>
      <c r="LSH613" s="3933"/>
      <c r="LSI613" s="621"/>
      <c r="LSJ613" s="3933"/>
      <c r="LSK613" s="3933"/>
      <c r="LSL613" s="3933"/>
      <c r="LSM613" s="621"/>
      <c r="LSN613" s="3933"/>
      <c r="LSO613" s="3933"/>
      <c r="LSP613" s="3933"/>
      <c r="LSQ613" s="621"/>
      <c r="LSR613" s="3933"/>
      <c r="LSS613" s="3933"/>
      <c r="LST613" s="3933"/>
      <c r="LSU613" s="621"/>
      <c r="LSV613" s="3933"/>
      <c r="LSW613" s="3933"/>
      <c r="LSX613" s="3933"/>
      <c r="LSY613" s="621"/>
      <c r="LSZ613" s="3933"/>
      <c r="LTA613" s="3933"/>
      <c r="LTB613" s="3933"/>
      <c r="LTC613" s="621"/>
      <c r="LTD613" s="3933"/>
      <c r="LTE613" s="3933"/>
      <c r="LTF613" s="3933"/>
      <c r="LTG613" s="621"/>
      <c r="LTH613" s="3933"/>
      <c r="LTI613" s="3933"/>
      <c r="LTJ613" s="3933"/>
      <c r="LTK613" s="621"/>
      <c r="LTL613" s="3933"/>
      <c r="LTM613" s="3933"/>
      <c r="LTN613" s="3933"/>
      <c r="LTO613" s="621"/>
      <c r="LTP613" s="3933"/>
      <c r="LTQ613" s="3933"/>
      <c r="LTR613" s="3933"/>
      <c r="LTS613" s="621"/>
      <c r="LTT613" s="3933"/>
      <c r="LTU613" s="3933"/>
      <c r="LTV613" s="3933"/>
      <c r="LTW613" s="621"/>
      <c r="LTX613" s="3933"/>
      <c r="LTY613" s="3933"/>
      <c r="LTZ613" s="3933"/>
      <c r="LUA613" s="621"/>
      <c r="LUB613" s="3933"/>
      <c r="LUC613" s="3933"/>
      <c r="LUD613" s="3933"/>
      <c r="LUE613" s="621"/>
      <c r="LUF613" s="3933"/>
      <c r="LUG613" s="3933"/>
      <c r="LUH613" s="3933"/>
      <c r="LUI613" s="621"/>
      <c r="LUJ613" s="3933"/>
      <c r="LUK613" s="3933"/>
      <c r="LUL613" s="3933"/>
      <c r="LUM613" s="621"/>
      <c r="LUN613" s="3933"/>
      <c r="LUO613" s="3933"/>
      <c r="LUP613" s="3933"/>
      <c r="LUQ613" s="621"/>
      <c r="LUR613" s="3933"/>
      <c r="LUS613" s="3933"/>
      <c r="LUT613" s="3933"/>
      <c r="LUU613" s="621"/>
      <c r="LUV613" s="3933"/>
      <c r="LUW613" s="3933"/>
      <c r="LUX613" s="3933"/>
      <c r="LUY613" s="621"/>
      <c r="LUZ613" s="3933"/>
      <c r="LVA613" s="3933"/>
      <c r="LVB613" s="3933"/>
      <c r="LVC613" s="621"/>
      <c r="LVD613" s="3933"/>
      <c r="LVE613" s="3933"/>
      <c r="LVF613" s="3933"/>
      <c r="LVG613" s="621"/>
      <c r="LVH613" s="3933"/>
      <c r="LVI613" s="3933"/>
      <c r="LVJ613" s="3933"/>
      <c r="LVK613" s="621"/>
      <c r="LVL613" s="3933"/>
      <c r="LVM613" s="3933"/>
      <c r="LVN613" s="3933"/>
      <c r="LVO613" s="621"/>
      <c r="LVP613" s="3933"/>
      <c r="LVQ613" s="3933"/>
      <c r="LVR613" s="3933"/>
      <c r="LVS613" s="621"/>
      <c r="LVT613" s="3933"/>
      <c r="LVU613" s="3933"/>
      <c r="LVV613" s="3933"/>
      <c r="LVW613" s="621"/>
      <c r="LVX613" s="3933"/>
      <c r="LVY613" s="3933"/>
      <c r="LVZ613" s="3933"/>
      <c r="LWA613" s="621"/>
      <c r="LWB613" s="3933"/>
      <c r="LWC613" s="3933"/>
      <c r="LWD613" s="3933"/>
      <c r="LWE613" s="621"/>
      <c r="LWF613" s="3933"/>
      <c r="LWG613" s="3933"/>
      <c r="LWH613" s="3933"/>
      <c r="LWI613" s="621"/>
      <c r="LWJ613" s="3933"/>
      <c r="LWK613" s="3933"/>
      <c r="LWL613" s="3933"/>
      <c r="LWM613" s="621"/>
      <c r="LWN613" s="3933"/>
      <c r="LWO613" s="3933"/>
      <c r="LWP613" s="3933"/>
      <c r="LWQ613" s="621"/>
      <c r="LWR613" s="3933"/>
      <c r="LWS613" s="3933"/>
      <c r="LWT613" s="3933"/>
      <c r="LWU613" s="621"/>
      <c r="LWV613" s="3933"/>
      <c r="LWW613" s="3933"/>
      <c r="LWX613" s="3933"/>
      <c r="LWY613" s="621"/>
      <c r="LWZ613" s="3933"/>
      <c r="LXA613" s="3933"/>
      <c r="LXB613" s="3933"/>
      <c r="LXC613" s="621"/>
      <c r="LXD613" s="3933"/>
      <c r="LXE613" s="3933"/>
      <c r="LXF613" s="3933"/>
      <c r="LXG613" s="621"/>
      <c r="LXH613" s="3933"/>
      <c r="LXI613" s="3933"/>
      <c r="LXJ613" s="3933"/>
      <c r="LXK613" s="621"/>
      <c r="LXL613" s="3933"/>
      <c r="LXM613" s="3933"/>
      <c r="LXN613" s="3933"/>
      <c r="LXO613" s="621"/>
      <c r="LXP613" s="3933"/>
      <c r="LXQ613" s="3933"/>
      <c r="LXR613" s="3933"/>
      <c r="LXS613" s="621"/>
      <c r="LXT613" s="3933"/>
      <c r="LXU613" s="3933"/>
      <c r="LXV613" s="3933"/>
      <c r="LXW613" s="621"/>
      <c r="LXX613" s="3933"/>
      <c r="LXY613" s="3933"/>
      <c r="LXZ613" s="3933"/>
      <c r="LYA613" s="621"/>
      <c r="LYB613" s="3933"/>
      <c r="LYC613" s="3933"/>
      <c r="LYD613" s="3933"/>
      <c r="LYE613" s="621"/>
      <c r="LYF613" s="3933"/>
      <c r="LYG613" s="3933"/>
      <c r="LYH613" s="3933"/>
      <c r="LYI613" s="621"/>
      <c r="LYJ613" s="3933"/>
      <c r="LYK613" s="3933"/>
      <c r="LYL613" s="3933"/>
      <c r="LYM613" s="621"/>
      <c r="LYN613" s="3933"/>
      <c r="LYO613" s="3933"/>
      <c r="LYP613" s="3933"/>
      <c r="LYQ613" s="621"/>
      <c r="LYR613" s="3933"/>
      <c r="LYS613" s="3933"/>
      <c r="LYT613" s="3933"/>
      <c r="LYU613" s="621"/>
      <c r="LYV613" s="3933"/>
      <c r="LYW613" s="3933"/>
      <c r="LYX613" s="3933"/>
      <c r="LYY613" s="621"/>
      <c r="LYZ613" s="3933"/>
      <c r="LZA613" s="3933"/>
      <c r="LZB613" s="3933"/>
      <c r="LZC613" s="621"/>
      <c r="LZD613" s="3933"/>
      <c r="LZE613" s="3933"/>
      <c r="LZF613" s="3933"/>
      <c r="LZG613" s="621"/>
      <c r="LZH613" s="3933"/>
      <c r="LZI613" s="3933"/>
      <c r="LZJ613" s="3933"/>
      <c r="LZK613" s="621"/>
      <c r="LZL613" s="3933"/>
      <c r="LZM613" s="3933"/>
      <c r="LZN613" s="3933"/>
      <c r="LZO613" s="621"/>
      <c r="LZP613" s="3933"/>
      <c r="LZQ613" s="3933"/>
      <c r="LZR613" s="3933"/>
      <c r="LZS613" s="621"/>
      <c r="LZT613" s="3933"/>
      <c r="LZU613" s="3933"/>
      <c r="LZV613" s="3933"/>
      <c r="LZW613" s="621"/>
      <c r="LZX613" s="3933"/>
      <c r="LZY613" s="3933"/>
      <c r="LZZ613" s="3933"/>
      <c r="MAA613" s="621"/>
      <c r="MAB613" s="3933"/>
      <c r="MAC613" s="3933"/>
      <c r="MAD613" s="3933"/>
      <c r="MAE613" s="621"/>
      <c r="MAF613" s="3933"/>
      <c r="MAG613" s="3933"/>
      <c r="MAH613" s="3933"/>
      <c r="MAI613" s="621"/>
      <c r="MAJ613" s="3933"/>
      <c r="MAK613" s="3933"/>
      <c r="MAL613" s="3933"/>
      <c r="MAM613" s="621"/>
      <c r="MAN613" s="3933"/>
      <c r="MAO613" s="3933"/>
      <c r="MAP613" s="3933"/>
      <c r="MAQ613" s="621"/>
      <c r="MAR613" s="3933"/>
      <c r="MAS613" s="3933"/>
      <c r="MAT613" s="3933"/>
      <c r="MAU613" s="621"/>
      <c r="MAV613" s="3933"/>
      <c r="MAW613" s="3933"/>
      <c r="MAX613" s="3933"/>
      <c r="MAY613" s="621"/>
      <c r="MAZ613" s="3933"/>
      <c r="MBA613" s="3933"/>
      <c r="MBB613" s="3933"/>
      <c r="MBC613" s="621"/>
      <c r="MBD613" s="3933"/>
      <c r="MBE613" s="3933"/>
      <c r="MBF613" s="3933"/>
      <c r="MBG613" s="621"/>
      <c r="MBH613" s="3933"/>
      <c r="MBI613" s="3933"/>
      <c r="MBJ613" s="3933"/>
      <c r="MBK613" s="621"/>
      <c r="MBL613" s="3933"/>
      <c r="MBM613" s="3933"/>
      <c r="MBN613" s="3933"/>
      <c r="MBO613" s="621"/>
      <c r="MBP613" s="3933"/>
      <c r="MBQ613" s="3933"/>
      <c r="MBR613" s="3933"/>
      <c r="MBS613" s="621"/>
      <c r="MBT613" s="3933"/>
      <c r="MBU613" s="3933"/>
      <c r="MBV613" s="3933"/>
      <c r="MBW613" s="621"/>
      <c r="MBX613" s="3933"/>
      <c r="MBY613" s="3933"/>
      <c r="MBZ613" s="3933"/>
      <c r="MCA613" s="621"/>
      <c r="MCB613" s="3933"/>
      <c r="MCC613" s="3933"/>
      <c r="MCD613" s="3933"/>
      <c r="MCE613" s="621"/>
      <c r="MCF613" s="3933"/>
      <c r="MCG613" s="3933"/>
      <c r="MCH613" s="3933"/>
      <c r="MCI613" s="621"/>
      <c r="MCJ613" s="3933"/>
      <c r="MCK613" s="3933"/>
      <c r="MCL613" s="3933"/>
      <c r="MCM613" s="621"/>
      <c r="MCN613" s="3933"/>
      <c r="MCO613" s="3933"/>
      <c r="MCP613" s="3933"/>
      <c r="MCQ613" s="621"/>
      <c r="MCR613" s="3933"/>
      <c r="MCS613" s="3933"/>
      <c r="MCT613" s="3933"/>
      <c r="MCU613" s="621"/>
      <c r="MCV613" s="3933"/>
      <c r="MCW613" s="3933"/>
      <c r="MCX613" s="3933"/>
      <c r="MCY613" s="621"/>
      <c r="MCZ613" s="3933"/>
      <c r="MDA613" s="3933"/>
      <c r="MDB613" s="3933"/>
      <c r="MDC613" s="621"/>
      <c r="MDD613" s="3933"/>
      <c r="MDE613" s="3933"/>
      <c r="MDF613" s="3933"/>
      <c r="MDG613" s="621"/>
      <c r="MDH613" s="3933"/>
      <c r="MDI613" s="3933"/>
      <c r="MDJ613" s="3933"/>
      <c r="MDK613" s="621"/>
      <c r="MDL613" s="3933"/>
      <c r="MDM613" s="3933"/>
      <c r="MDN613" s="3933"/>
      <c r="MDO613" s="621"/>
      <c r="MDP613" s="3933"/>
      <c r="MDQ613" s="3933"/>
      <c r="MDR613" s="3933"/>
      <c r="MDS613" s="621"/>
      <c r="MDT613" s="3933"/>
      <c r="MDU613" s="3933"/>
      <c r="MDV613" s="3933"/>
      <c r="MDW613" s="621"/>
      <c r="MDX613" s="3933"/>
      <c r="MDY613" s="3933"/>
      <c r="MDZ613" s="3933"/>
      <c r="MEA613" s="621"/>
      <c r="MEB613" s="3933"/>
      <c r="MEC613" s="3933"/>
      <c r="MED613" s="3933"/>
      <c r="MEE613" s="621"/>
      <c r="MEF613" s="3933"/>
      <c r="MEG613" s="3933"/>
      <c r="MEH613" s="3933"/>
      <c r="MEI613" s="621"/>
      <c r="MEJ613" s="3933"/>
      <c r="MEK613" s="3933"/>
      <c r="MEL613" s="3933"/>
      <c r="MEM613" s="621"/>
      <c r="MEN613" s="3933"/>
      <c r="MEO613" s="3933"/>
      <c r="MEP613" s="3933"/>
      <c r="MEQ613" s="621"/>
      <c r="MER613" s="3933"/>
      <c r="MES613" s="3933"/>
      <c r="MET613" s="3933"/>
      <c r="MEU613" s="621"/>
      <c r="MEV613" s="3933"/>
      <c r="MEW613" s="3933"/>
      <c r="MEX613" s="3933"/>
      <c r="MEY613" s="621"/>
      <c r="MEZ613" s="3933"/>
      <c r="MFA613" s="3933"/>
      <c r="MFB613" s="3933"/>
      <c r="MFC613" s="621"/>
      <c r="MFD613" s="3933"/>
      <c r="MFE613" s="3933"/>
      <c r="MFF613" s="3933"/>
      <c r="MFG613" s="621"/>
      <c r="MFH613" s="3933"/>
      <c r="MFI613" s="3933"/>
      <c r="MFJ613" s="3933"/>
      <c r="MFK613" s="621"/>
      <c r="MFL613" s="3933"/>
      <c r="MFM613" s="3933"/>
      <c r="MFN613" s="3933"/>
      <c r="MFO613" s="621"/>
      <c r="MFP613" s="3933"/>
      <c r="MFQ613" s="3933"/>
      <c r="MFR613" s="3933"/>
      <c r="MFS613" s="621"/>
      <c r="MFT613" s="3933"/>
      <c r="MFU613" s="3933"/>
      <c r="MFV613" s="3933"/>
      <c r="MFW613" s="621"/>
      <c r="MFX613" s="3933"/>
      <c r="MFY613" s="3933"/>
      <c r="MFZ613" s="3933"/>
      <c r="MGA613" s="621"/>
      <c r="MGB613" s="3933"/>
      <c r="MGC613" s="3933"/>
      <c r="MGD613" s="3933"/>
      <c r="MGE613" s="621"/>
      <c r="MGF613" s="3933"/>
      <c r="MGG613" s="3933"/>
      <c r="MGH613" s="3933"/>
      <c r="MGI613" s="621"/>
      <c r="MGJ613" s="3933"/>
      <c r="MGK613" s="3933"/>
      <c r="MGL613" s="3933"/>
      <c r="MGM613" s="621"/>
      <c r="MGN613" s="3933"/>
      <c r="MGO613" s="3933"/>
      <c r="MGP613" s="3933"/>
      <c r="MGQ613" s="621"/>
      <c r="MGR613" s="3933"/>
      <c r="MGS613" s="3933"/>
      <c r="MGT613" s="3933"/>
      <c r="MGU613" s="621"/>
      <c r="MGV613" s="3933"/>
      <c r="MGW613" s="3933"/>
      <c r="MGX613" s="3933"/>
      <c r="MGY613" s="621"/>
      <c r="MGZ613" s="3933"/>
      <c r="MHA613" s="3933"/>
      <c r="MHB613" s="3933"/>
      <c r="MHC613" s="621"/>
      <c r="MHD613" s="3933"/>
      <c r="MHE613" s="3933"/>
      <c r="MHF613" s="3933"/>
      <c r="MHG613" s="621"/>
      <c r="MHH613" s="3933"/>
      <c r="MHI613" s="3933"/>
      <c r="MHJ613" s="3933"/>
      <c r="MHK613" s="621"/>
      <c r="MHL613" s="3933"/>
      <c r="MHM613" s="3933"/>
      <c r="MHN613" s="3933"/>
      <c r="MHO613" s="621"/>
      <c r="MHP613" s="3933"/>
      <c r="MHQ613" s="3933"/>
      <c r="MHR613" s="3933"/>
      <c r="MHS613" s="621"/>
      <c r="MHT613" s="3933"/>
      <c r="MHU613" s="3933"/>
      <c r="MHV613" s="3933"/>
      <c r="MHW613" s="621"/>
      <c r="MHX613" s="3933"/>
      <c r="MHY613" s="3933"/>
      <c r="MHZ613" s="3933"/>
      <c r="MIA613" s="621"/>
      <c r="MIB613" s="3933"/>
      <c r="MIC613" s="3933"/>
      <c r="MID613" s="3933"/>
      <c r="MIE613" s="621"/>
      <c r="MIF613" s="3933"/>
      <c r="MIG613" s="3933"/>
      <c r="MIH613" s="3933"/>
      <c r="MII613" s="621"/>
      <c r="MIJ613" s="3933"/>
      <c r="MIK613" s="3933"/>
      <c r="MIL613" s="3933"/>
      <c r="MIM613" s="621"/>
      <c r="MIN613" s="3933"/>
      <c r="MIO613" s="3933"/>
      <c r="MIP613" s="3933"/>
      <c r="MIQ613" s="621"/>
      <c r="MIR613" s="3933"/>
      <c r="MIS613" s="3933"/>
      <c r="MIT613" s="3933"/>
      <c r="MIU613" s="621"/>
      <c r="MIV613" s="3933"/>
      <c r="MIW613" s="3933"/>
      <c r="MIX613" s="3933"/>
      <c r="MIY613" s="621"/>
      <c r="MIZ613" s="3933"/>
      <c r="MJA613" s="3933"/>
      <c r="MJB613" s="3933"/>
      <c r="MJC613" s="621"/>
      <c r="MJD613" s="3933"/>
      <c r="MJE613" s="3933"/>
      <c r="MJF613" s="3933"/>
      <c r="MJG613" s="621"/>
      <c r="MJH613" s="3933"/>
      <c r="MJI613" s="3933"/>
      <c r="MJJ613" s="3933"/>
      <c r="MJK613" s="621"/>
      <c r="MJL613" s="3933"/>
      <c r="MJM613" s="3933"/>
      <c r="MJN613" s="3933"/>
      <c r="MJO613" s="621"/>
      <c r="MJP613" s="3933"/>
      <c r="MJQ613" s="3933"/>
      <c r="MJR613" s="3933"/>
      <c r="MJS613" s="621"/>
      <c r="MJT613" s="3933"/>
      <c r="MJU613" s="3933"/>
      <c r="MJV613" s="3933"/>
      <c r="MJW613" s="621"/>
      <c r="MJX613" s="3933"/>
      <c r="MJY613" s="3933"/>
      <c r="MJZ613" s="3933"/>
      <c r="MKA613" s="621"/>
      <c r="MKB613" s="3933"/>
      <c r="MKC613" s="3933"/>
      <c r="MKD613" s="3933"/>
      <c r="MKE613" s="621"/>
      <c r="MKF613" s="3933"/>
      <c r="MKG613" s="3933"/>
      <c r="MKH613" s="3933"/>
      <c r="MKI613" s="621"/>
      <c r="MKJ613" s="3933"/>
      <c r="MKK613" s="3933"/>
      <c r="MKL613" s="3933"/>
      <c r="MKM613" s="621"/>
      <c r="MKN613" s="3933"/>
      <c r="MKO613" s="3933"/>
      <c r="MKP613" s="3933"/>
      <c r="MKQ613" s="621"/>
      <c r="MKR613" s="3933"/>
      <c r="MKS613" s="3933"/>
      <c r="MKT613" s="3933"/>
      <c r="MKU613" s="621"/>
      <c r="MKV613" s="3933"/>
      <c r="MKW613" s="3933"/>
      <c r="MKX613" s="3933"/>
      <c r="MKY613" s="621"/>
      <c r="MKZ613" s="3933"/>
      <c r="MLA613" s="3933"/>
      <c r="MLB613" s="3933"/>
      <c r="MLC613" s="621"/>
      <c r="MLD613" s="3933"/>
      <c r="MLE613" s="3933"/>
      <c r="MLF613" s="3933"/>
      <c r="MLG613" s="621"/>
      <c r="MLH613" s="3933"/>
      <c r="MLI613" s="3933"/>
      <c r="MLJ613" s="3933"/>
      <c r="MLK613" s="621"/>
      <c r="MLL613" s="3933"/>
      <c r="MLM613" s="3933"/>
      <c r="MLN613" s="3933"/>
      <c r="MLO613" s="621"/>
      <c r="MLP613" s="3933"/>
      <c r="MLQ613" s="3933"/>
      <c r="MLR613" s="3933"/>
      <c r="MLS613" s="621"/>
      <c r="MLT613" s="3933"/>
      <c r="MLU613" s="3933"/>
      <c r="MLV613" s="3933"/>
      <c r="MLW613" s="621"/>
      <c r="MLX613" s="3933"/>
      <c r="MLY613" s="3933"/>
      <c r="MLZ613" s="3933"/>
      <c r="MMA613" s="621"/>
      <c r="MMB613" s="3933"/>
      <c r="MMC613" s="3933"/>
      <c r="MMD613" s="3933"/>
      <c r="MME613" s="621"/>
      <c r="MMF613" s="3933"/>
      <c r="MMG613" s="3933"/>
      <c r="MMH613" s="3933"/>
      <c r="MMI613" s="621"/>
      <c r="MMJ613" s="3933"/>
      <c r="MMK613" s="3933"/>
      <c r="MML613" s="3933"/>
      <c r="MMM613" s="621"/>
      <c r="MMN613" s="3933"/>
      <c r="MMO613" s="3933"/>
      <c r="MMP613" s="3933"/>
      <c r="MMQ613" s="621"/>
      <c r="MMR613" s="3933"/>
      <c r="MMS613" s="3933"/>
      <c r="MMT613" s="3933"/>
      <c r="MMU613" s="621"/>
      <c r="MMV613" s="3933"/>
      <c r="MMW613" s="3933"/>
      <c r="MMX613" s="3933"/>
      <c r="MMY613" s="621"/>
      <c r="MMZ613" s="3933"/>
      <c r="MNA613" s="3933"/>
      <c r="MNB613" s="3933"/>
      <c r="MNC613" s="621"/>
      <c r="MND613" s="3933"/>
      <c r="MNE613" s="3933"/>
      <c r="MNF613" s="3933"/>
      <c r="MNG613" s="621"/>
      <c r="MNH613" s="3933"/>
      <c r="MNI613" s="3933"/>
      <c r="MNJ613" s="3933"/>
      <c r="MNK613" s="621"/>
      <c r="MNL613" s="3933"/>
      <c r="MNM613" s="3933"/>
      <c r="MNN613" s="3933"/>
      <c r="MNO613" s="621"/>
      <c r="MNP613" s="3933"/>
      <c r="MNQ613" s="3933"/>
      <c r="MNR613" s="3933"/>
      <c r="MNS613" s="621"/>
      <c r="MNT613" s="3933"/>
      <c r="MNU613" s="3933"/>
      <c r="MNV613" s="3933"/>
      <c r="MNW613" s="621"/>
      <c r="MNX613" s="3933"/>
      <c r="MNY613" s="3933"/>
      <c r="MNZ613" s="3933"/>
      <c r="MOA613" s="621"/>
      <c r="MOB613" s="3933"/>
      <c r="MOC613" s="3933"/>
      <c r="MOD613" s="3933"/>
      <c r="MOE613" s="621"/>
      <c r="MOF613" s="3933"/>
      <c r="MOG613" s="3933"/>
      <c r="MOH613" s="3933"/>
      <c r="MOI613" s="621"/>
      <c r="MOJ613" s="3933"/>
      <c r="MOK613" s="3933"/>
      <c r="MOL613" s="3933"/>
      <c r="MOM613" s="621"/>
      <c r="MON613" s="3933"/>
      <c r="MOO613" s="3933"/>
      <c r="MOP613" s="3933"/>
      <c r="MOQ613" s="621"/>
      <c r="MOR613" s="3933"/>
      <c r="MOS613" s="3933"/>
      <c r="MOT613" s="3933"/>
      <c r="MOU613" s="621"/>
      <c r="MOV613" s="3933"/>
      <c r="MOW613" s="3933"/>
      <c r="MOX613" s="3933"/>
      <c r="MOY613" s="621"/>
      <c r="MOZ613" s="3933"/>
      <c r="MPA613" s="3933"/>
      <c r="MPB613" s="3933"/>
      <c r="MPC613" s="621"/>
      <c r="MPD613" s="3933"/>
      <c r="MPE613" s="3933"/>
      <c r="MPF613" s="3933"/>
      <c r="MPG613" s="621"/>
      <c r="MPH613" s="3933"/>
      <c r="MPI613" s="3933"/>
      <c r="MPJ613" s="3933"/>
      <c r="MPK613" s="621"/>
      <c r="MPL613" s="3933"/>
      <c r="MPM613" s="3933"/>
      <c r="MPN613" s="3933"/>
      <c r="MPO613" s="621"/>
      <c r="MPP613" s="3933"/>
      <c r="MPQ613" s="3933"/>
      <c r="MPR613" s="3933"/>
      <c r="MPS613" s="621"/>
      <c r="MPT613" s="3933"/>
      <c r="MPU613" s="3933"/>
      <c r="MPV613" s="3933"/>
      <c r="MPW613" s="621"/>
      <c r="MPX613" s="3933"/>
      <c r="MPY613" s="3933"/>
      <c r="MPZ613" s="3933"/>
      <c r="MQA613" s="621"/>
      <c r="MQB613" s="3933"/>
      <c r="MQC613" s="3933"/>
      <c r="MQD613" s="3933"/>
      <c r="MQE613" s="621"/>
      <c r="MQF613" s="3933"/>
      <c r="MQG613" s="3933"/>
      <c r="MQH613" s="3933"/>
      <c r="MQI613" s="621"/>
      <c r="MQJ613" s="3933"/>
      <c r="MQK613" s="3933"/>
      <c r="MQL613" s="3933"/>
      <c r="MQM613" s="621"/>
      <c r="MQN613" s="3933"/>
      <c r="MQO613" s="3933"/>
      <c r="MQP613" s="3933"/>
      <c r="MQQ613" s="621"/>
      <c r="MQR613" s="3933"/>
      <c r="MQS613" s="3933"/>
      <c r="MQT613" s="3933"/>
      <c r="MQU613" s="621"/>
      <c r="MQV613" s="3933"/>
      <c r="MQW613" s="3933"/>
      <c r="MQX613" s="3933"/>
      <c r="MQY613" s="621"/>
      <c r="MQZ613" s="3933"/>
      <c r="MRA613" s="3933"/>
      <c r="MRB613" s="3933"/>
      <c r="MRC613" s="621"/>
      <c r="MRD613" s="3933"/>
      <c r="MRE613" s="3933"/>
      <c r="MRF613" s="3933"/>
      <c r="MRG613" s="621"/>
      <c r="MRH613" s="3933"/>
      <c r="MRI613" s="3933"/>
      <c r="MRJ613" s="3933"/>
      <c r="MRK613" s="621"/>
      <c r="MRL613" s="3933"/>
      <c r="MRM613" s="3933"/>
      <c r="MRN613" s="3933"/>
      <c r="MRO613" s="621"/>
      <c r="MRP613" s="3933"/>
      <c r="MRQ613" s="3933"/>
      <c r="MRR613" s="3933"/>
      <c r="MRS613" s="621"/>
      <c r="MRT613" s="3933"/>
      <c r="MRU613" s="3933"/>
      <c r="MRV613" s="3933"/>
      <c r="MRW613" s="621"/>
      <c r="MRX613" s="3933"/>
      <c r="MRY613" s="3933"/>
      <c r="MRZ613" s="3933"/>
      <c r="MSA613" s="621"/>
      <c r="MSB613" s="3933"/>
      <c r="MSC613" s="3933"/>
      <c r="MSD613" s="3933"/>
      <c r="MSE613" s="621"/>
      <c r="MSF613" s="3933"/>
      <c r="MSG613" s="3933"/>
      <c r="MSH613" s="3933"/>
      <c r="MSI613" s="621"/>
      <c r="MSJ613" s="3933"/>
      <c r="MSK613" s="3933"/>
      <c r="MSL613" s="3933"/>
      <c r="MSM613" s="621"/>
      <c r="MSN613" s="3933"/>
      <c r="MSO613" s="3933"/>
      <c r="MSP613" s="3933"/>
      <c r="MSQ613" s="621"/>
      <c r="MSR613" s="3933"/>
      <c r="MSS613" s="3933"/>
      <c r="MST613" s="3933"/>
      <c r="MSU613" s="621"/>
      <c r="MSV613" s="3933"/>
      <c r="MSW613" s="3933"/>
      <c r="MSX613" s="3933"/>
      <c r="MSY613" s="621"/>
      <c r="MSZ613" s="3933"/>
      <c r="MTA613" s="3933"/>
      <c r="MTB613" s="3933"/>
      <c r="MTC613" s="621"/>
      <c r="MTD613" s="3933"/>
      <c r="MTE613" s="3933"/>
      <c r="MTF613" s="3933"/>
      <c r="MTG613" s="621"/>
      <c r="MTH613" s="3933"/>
      <c r="MTI613" s="3933"/>
      <c r="MTJ613" s="3933"/>
      <c r="MTK613" s="621"/>
      <c r="MTL613" s="3933"/>
      <c r="MTM613" s="3933"/>
      <c r="MTN613" s="3933"/>
      <c r="MTO613" s="621"/>
      <c r="MTP613" s="3933"/>
      <c r="MTQ613" s="3933"/>
      <c r="MTR613" s="3933"/>
      <c r="MTS613" s="621"/>
      <c r="MTT613" s="3933"/>
      <c r="MTU613" s="3933"/>
      <c r="MTV613" s="3933"/>
      <c r="MTW613" s="621"/>
      <c r="MTX613" s="3933"/>
      <c r="MTY613" s="3933"/>
      <c r="MTZ613" s="3933"/>
      <c r="MUA613" s="621"/>
      <c r="MUB613" s="3933"/>
      <c r="MUC613" s="3933"/>
      <c r="MUD613" s="3933"/>
      <c r="MUE613" s="621"/>
      <c r="MUF613" s="3933"/>
      <c r="MUG613" s="3933"/>
      <c r="MUH613" s="3933"/>
      <c r="MUI613" s="621"/>
      <c r="MUJ613" s="3933"/>
      <c r="MUK613" s="3933"/>
      <c r="MUL613" s="3933"/>
      <c r="MUM613" s="621"/>
      <c r="MUN613" s="3933"/>
      <c r="MUO613" s="3933"/>
      <c r="MUP613" s="3933"/>
      <c r="MUQ613" s="621"/>
      <c r="MUR613" s="3933"/>
      <c r="MUS613" s="3933"/>
      <c r="MUT613" s="3933"/>
      <c r="MUU613" s="621"/>
      <c r="MUV613" s="3933"/>
      <c r="MUW613" s="3933"/>
      <c r="MUX613" s="3933"/>
      <c r="MUY613" s="621"/>
      <c r="MUZ613" s="3933"/>
      <c r="MVA613" s="3933"/>
      <c r="MVB613" s="3933"/>
      <c r="MVC613" s="621"/>
      <c r="MVD613" s="3933"/>
      <c r="MVE613" s="3933"/>
      <c r="MVF613" s="3933"/>
      <c r="MVG613" s="621"/>
      <c r="MVH613" s="3933"/>
      <c r="MVI613" s="3933"/>
      <c r="MVJ613" s="3933"/>
      <c r="MVK613" s="621"/>
      <c r="MVL613" s="3933"/>
      <c r="MVM613" s="3933"/>
      <c r="MVN613" s="3933"/>
      <c r="MVO613" s="621"/>
      <c r="MVP613" s="3933"/>
      <c r="MVQ613" s="3933"/>
      <c r="MVR613" s="3933"/>
      <c r="MVS613" s="621"/>
      <c r="MVT613" s="3933"/>
      <c r="MVU613" s="3933"/>
      <c r="MVV613" s="3933"/>
      <c r="MVW613" s="621"/>
      <c r="MVX613" s="3933"/>
      <c r="MVY613" s="3933"/>
      <c r="MVZ613" s="3933"/>
      <c r="MWA613" s="621"/>
      <c r="MWB613" s="3933"/>
      <c r="MWC613" s="3933"/>
      <c r="MWD613" s="3933"/>
      <c r="MWE613" s="621"/>
      <c r="MWF613" s="3933"/>
      <c r="MWG613" s="3933"/>
      <c r="MWH613" s="3933"/>
      <c r="MWI613" s="621"/>
      <c r="MWJ613" s="3933"/>
      <c r="MWK613" s="3933"/>
      <c r="MWL613" s="3933"/>
      <c r="MWM613" s="621"/>
      <c r="MWN613" s="3933"/>
      <c r="MWO613" s="3933"/>
      <c r="MWP613" s="3933"/>
      <c r="MWQ613" s="621"/>
      <c r="MWR613" s="3933"/>
      <c r="MWS613" s="3933"/>
      <c r="MWT613" s="3933"/>
      <c r="MWU613" s="621"/>
      <c r="MWV613" s="3933"/>
      <c r="MWW613" s="3933"/>
      <c r="MWX613" s="3933"/>
      <c r="MWY613" s="621"/>
      <c r="MWZ613" s="3933"/>
      <c r="MXA613" s="3933"/>
      <c r="MXB613" s="3933"/>
      <c r="MXC613" s="621"/>
      <c r="MXD613" s="3933"/>
      <c r="MXE613" s="3933"/>
      <c r="MXF613" s="3933"/>
      <c r="MXG613" s="621"/>
      <c r="MXH613" s="3933"/>
      <c r="MXI613" s="3933"/>
      <c r="MXJ613" s="3933"/>
      <c r="MXK613" s="621"/>
      <c r="MXL613" s="3933"/>
      <c r="MXM613" s="3933"/>
      <c r="MXN613" s="3933"/>
      <c r="MXO613" s="621"/>
      <c r="MXP613" s="3933"/>
      <c r="MXQ613" s="3933"/>
      <c r="MXR613" s="3933"/>
      <c r="MXS613" s="621"/>
      <c r="MXT613" s="3933"/>
      <c r="MXU613" s="3933"/>
      <c r="MXV613" s="3933"/>
      <c r="MXW613" s="621"/>
      <c r="MXX613" s="3933"/>
      <c r="MXY613" s="3933"/>
      <c r="MXZ613" s="3933"/>
      <c r="MYA613" s="621"/>
      <c r="MYB613" s="3933"/>
      <c r="MYC613" s="3933"/>
      <c r="MYD613" s="3933"/>
      <c r="MYE613" s="621"/>
      <c r="MYF613" s="3933"/>
      <c r="MYG613" s="3933"/>
      <c r="MYH613" s="3933"/>
      <c r="MYI613" s="621"/>
      <c r="MYJ613" s="3933"/>
      <c r="MYK613" s="3933"/>
      <c r="MYL613" s="3933"/>
      <c r="MYM613" s="621"/>
      <c r="MYN613" s="3933"/>
      <c r="MYO613" s="3933"/>
      <c r="MYP613" s="3933"/>
      <c r="MYQ613" s="621"/>
      <c r="MYR613" s="3933"/>
      <c r="MYS613" s="3933"/>
      <c r="MYT613" s="3933"/>
      <c r="MYU613" s="621"/>
      <c r="MYV613" s="3933"/>
      <c r="MYW613" s="3933"/>
      <c r="MYX613" s="3933"/>
      <c r="MYY613" s="621"/>
      <c r="MYZ613" s="3933"/>
      <c r="MZA613" s="3933"/>
      <c r="MZB613" s="3933"/>
      <c r="MZC613" s="621"/>
      <c r="MZD613" s="3933"/>
      <c r="MZE613" s="3933"/>
      <c r="MZF613" s="3933"/>
      <c r="MZG613" s="621"/>
      <c r="MZH613" s="3933"/>
      <c r="MZI613" s="3933"/>
      <c r="MZJ613" s="3933"/>
      <c r="MZK613" s="621"/>
      <c r="MZL613" s="3933"/>
      <c r="MZM613" s="3933"/>
      <c r="MZN613" s="3933"/>
      <c r="MZO613" s="621"/>
      <c r="MZP613" s="3933"/>
      <c r="MZQ613" s="3933"/>
      <c r="MZR613" s="3933"/>
      <c r="MZS613" s="621"/>
      <c r="MZT613" s="3933"/>
      <c r="MZU613" s="3933"/>
      <c r="MZV613" s="3933"/>
      <c r="MZW613" s="621"/>
      <c r="MZX613" s="3933"/>
      <c r="MZY613" s="3933"/>
      <c r="MZZ613" s="3933"/>
      <c r="NAA613" s="621"/>
      <c r="NAB613" s="3933"/>
      <c r="NAC613" s="3933"/>
      <c r="NAD613" s="3933"/>
      <c r="NAE613" s="621"/>
      <c r="NAF613" s="3933"/>
      <c r="NAG613" s="3933"/>
      <c r="NAH613" s="3933"/>
      <c r="NAI613" s="621"/>
      <c r="NAJ613" s="3933"/>
      <c r="NAK613" s="3933"/>
      <c r="NAL613" s="3933"/>
      <c r="NAM613" s="621"/>
      <c r="NAN613" s="3933"/>
      <c r="NAO613" s="3933"/>
      <c r="NAP613" s="3933"/>
      <c r="NAQ613" s="621"/>
      <c r="NAR613" s="3933"/>
      <c r="NAS613" s="3933"/>
      <c r="NAT613" s="3933"/>
      <c r="NAU613" s="621"/>
      <c r="NAV613" s="3933"/>
      <c r="NAW613" s="3933"/>
      <c r="NAX613" s="3933"/>
      <c r="NAY613" s="621"/>
      <c r="NAZ613" s="3933"/>
      <c r="NBA613" s="3933"/>
      <c r="NBB613" s="3933"/>
      <c r="NBC613" s="621"/>
      <c r="NBD613" s="3933"/>
      <c r="NBE613" s="3933"/>
      <c r="NBF613" s="3933"/>
      <c r="NBG613" s="621"/>
      <c r="NBH613" s="3933"/>
      <c r="NBI613" s="3933"/>
      <c r="NBJ613" s="3933"/>
      <c r="NBK613" s="621"/>
      <c r="NBL613" s="3933"/>
      <c r="NBM613" s="3933"/>
      <c r="NBN613" s="3933"/>
      <c r="NBO613" s="621"/>
      <c r="NBP613" s="3933"/>
      <c r="NBQ613" s="3933"/>
      <c r="NBR613" s="3933"/>
      <c r="NBS613" s="621"/>
      <c r="NBT613" s="3933"/>
      <c r="NBU613" s="3933"/>
      <c r="NBV613" s="3933"/>
      <c r="NBW613" s="621"/>
      <c r="NBX613" s="3933"/>
      <c r="NBY613" s="3933"/>
      <c r="NBZ613" s="3933"/>
      <c r="NCA613" s="621"/>
      <c r="NCB613" s="3933"/>
      <c r="NCC613" s="3933"/>
      <c r="NCD613" s="3933"/>
      <c r="NCE613" s="621"/>
      <c r="NCF613" s="3933"/>
      <c r="NCG613" s="3933"/>
      <c r="NCH613" s="3933"/>
      <c r="NCI613" s="621"/>
      <c r="NCJ613" s="3933"/>
      <c r="NCK613" s="3933"/>
      <c r="NCL613" s="3933"/>
      <c r="NCM613" s="621"/>
      <c r="NCN613" s="3933"/>
      <c r="NCO613" s="3933"/>
      <c r="NCP613" s="3933"/>
      <c r="NCQ613" s="621"/>
      <c r="NCR613" s="3933"/>
      <c r="NCS613" s="3933"/>
      <c r="NCT613" s="3933"/>
      <c r="NCU613" s="621"/>
      <c r="NCV613" s="3933"/>
      <c r="NCW613" s="3933"/>
      <c r="NCX613" s="3933"/>
      <c r="NCY613" s="621"/>
      <c r="NCZ613" s="3933"/>
      <c r="NDA613" s="3933"/>
      <c r="NDB613" s="3933"/>
      <c r="NDC613" s="621"/>
      <c r="NDD613" s="3933"/>
      <c r="NDE613" s="3933"/>
      <c r="NDF613" s="3933"/>
      <c r="NDG613" s="621"/>
      <c r="NDH613" s="3933"/>
      <c r="NDI613" s="3933"/>
      <c r="NDJ613" s="3933"/>
      <c r="NDK613" s="621"/>
      <c r="NDL613" s="3933"/>
      <c r="NDM613" s="3933"/>
      <c r="NDN613" s="3933"/>
      <c r="NDO613" s="621"/>
      <c r="NDP613" s="3933"/>
      <c r="NDQ613" s="3933"/>
      <c r="NDR613" s="3933"/>
      <c r="NDS613" s="621"/>
      <c r="NDT613" s="3933"/>
      <c r="NDU613" s="3933"/>
      <c r="NDV613" s="3933"/>
      <c r="NDW613" s="621"/>
      <c r="NDX613" s="3933"/>
      <c r="NDY613" s="3933"/>
      <c r="NDZ613" s="3933"/>
      <c r="NEA613" s="621"/>
      <c r="NEB613" s="3933"/>
      <c r="NEC613" s="3933"/>
      <c r="NED613" s="3933"/>
      <c r="NEE613" s="621"/>
      <c r="NEF613" s="3933"/>
      <c r="NEG613" s="3933"/>
      <c r="NEH613" s="3933"/>
      <c r="NEI613" s="621"/>
      <c r="NEJ613" s="3933"/>
      <c r="NEK613" s="3933"/>
      <c r="NEL613" s="3933"/>
      <c r="NEM613" s="621"/>
      <c r="NEN613" s="3933"/>
      <c r="NEO613" s="3933"/>
      <c r="NEP613" s="3933"/>
      <c r="NEQ613" s="621"/>
      <c r="NER613" s="3933"/>
      <c r="NES613" s="3933"/>
      <c r="NET613" s="3933"/>
      <c r="NEU613" s="621"/>
      <c r="NEV613" s="3933"/>
      <c r="NEW613" s="3933"/>
      <c r="NEX613" s="3933"/>
      <c r="NEY613" s="621"/>
      <c r="NEZ613" s="3933"/>
      <c r="NFA613" s="3933"/>
      <c r="NFB613" s="3933"/>
      <c r="NFC613" s="621"/>
      <c r="NFD613" s="3933"/>
      <c r="NFE613" s="3933"/>
      <c r="NFF613" s="3933"/>
      <c r="NFG613" s="621"/>
      <c r="NFH613" s="3933"/>
      <c r="NFI613" s="3933"/>
      <c r="NFJ613" s="3933"/>
      <c r="NFK613" s="621"/>
      <c r="NFL613" s="3933"/>
      <c r="NFM613" s="3933"/>
      <c r="NFN613" s="3933"/>
      <c r="NFO613" s="621"/>
      <c r="NFP613" s="3933"/>
      <c r="NFQ613" s="3933"/>
      <c r="NFR613" s="3933"/>
      <c r="NFS613" s="621"/>
      <c r="NFT613" s="3933"/>
      <c r="NFU613" s="3933"/>
      <c r="NFV613" s="3933"/>
      <c r="NFW613" s="621"/>
      <c r="NFX613" s="3933"/>
      <c r="NFY613" s="3933"/>
      <c r="NFZ613" s="3933"/>
      <c r="NGA613" s="621"/>
      <c r="NGB613" s="3933"/>
      <c r="NGC613" s="3933"/>
      <c r="NGD613" s="3933"/>
      <c r="NGE613" s="621"/>
      <c r="NGF613" s="3933"/>
      <c r="NGG613" s="3933"/>
      <c r="NGH613" s="3933"/>
      <c r="NGI613" s="621"/>
      <c r="NGJ613" s="3933"/>
      <c r="NGK613" s="3933"/>
      <c r="NGL613" s="3933"/>
      <c r="NGM613" s="621"/>
      <c r="NGN613" s="3933"/>
      <c r="NGO613" s="3933"/>
      <c r="NGP613" s="3933"/>
      <c r="NGQ613" s="621"/>
      <c r="NGR613" s="3933"/>
      <c r="NGS613" s="3933"/>
      <c r="NGT613" s="3933"/>
      <c r="NGU613" s="621"/>
      <c r="NGV613" s="3933"/>
      <c r="NGW613" s="3933"/>
      <c r="NGX613" s="3933"/>
      <c r="NGY613" s="621"/>
      <c r="NGZ613" s="3933"/>
      <c r="NHA613" s="3933"/>
      <c r="NHB613" s="3933"/>
      <c r="NHC613" s="621"/>
      <c r="NHD613" s="3933"/>
      <c r="NHE613" s="3933"/>
      <c r="NHF613" s="3933"/>
      <c r="NHG613" s="621"/>
      <c r="NHH613" s="3933"/>
      <c r="NHI613" s="3933"/>
      <c r="NHJ613" s="3933"/>
      <c r="NHK613" s="621"/>
      <c r="NHL613" s="3933"/>
      <c r="NHM613" s="3933"/>
      <c r="NHN613" s="3933"/>
      <c r="NHO613" s="621"/>
      <c r="NHP613" s="3933"/>
      <c r="NHQ613" s="3933"/>
      <c r="NHR613" s="3933"/>
      <c r="NHS613" s="621"/>
      <c r="NHT613" s="3933"/>
      <c r="NHU613" s="3933"/>
      <c r="NHV613" s="3933"/>
      <c r="NHW613" s="621"/>
      <c r="NHX613" s="3933"/>
      <c r="NHY613" s="3933"/>
      <c r="NHZ613" s="3933"/>
      <c r="NIA613" s="621"/>
      <c r="NIB613" s="3933"/>
      <c r="NIC613" s="3933"/>
      <c r="NID613" s="3933"/>
      <c r="NIE613" s="621"/>
      <c r="NIF613" s="3933"/>
      <c r="NIG613" s="3933"/>
      <c r="NIH613" s="3933"/>
      <c r="NII613" s="621"/>
      <c r="NIJ613" s="3933"/>
      <c r="NIK613" s="3933"/>
      <c r="NIL613" s="3933"/>
      <c r="NIM613" s="621"/>
      <c r="NIN613" s="3933"/>
      <c r="NIO613" s="3933"/>
      <c r="NIP613" s="3933"/>
      <c r="NIQ613" s="621"/>
      <c r="NIR613" s="3933"/>
      <c r="NIS613" s="3933"/>
      <c r="NIT613" s="3933"/>
      <c r="NIU613" s="621"/>
      <c r="NIV613" s="3933"/>
      <c r="NIW613" s="3933"/>
      <c r="NIX613" s="3933"/>
      <c r="NIY613" s="621"/>
      <c r="NIZ613" s="3933"/>
      <c r="NJA613" s="3933"/>
      <c r="NJB613" s="3933"/>
      <c r="NJC613" s="621"/>
      <c r="NJD613" s="3933"/>
      <c r="NJE613" s="3933"/>
      <c r="NJF613" s="3933"/>
      <c r="NJG613" s="621"/>
      <c r="NJH613" s="3933"/>
      <c r="NJI613" s="3933"/>
      <c r="NJJ613" s="3933"/>
      <c r="NJK613" s="621"/>
      <c r="NJL613" s="3933"/>
      <c r="NJM613" s="3933"/>
      <c r="NJN613" s="3933"/>
      <c r="NJO613" s="621"/>
      <c r="NJP613" s="3933"/>
      <c r="NJQ613" s="3933"/>
      <c r="NJR613" s="3933"/>
      <c r="NJS613" s="621"/>
      <c r="NJT613" s="3933"/>
      <c r="NJU613" s="3933"/>
      <c r="NJV613" s="3933"/>
      <c r="NJW613" s="621"/>
      <c r="NJX613" s="3933"/>
      <c r="NJY613" s="3933"/>
      <c r="NJZ613" s="3933"/>
      <c r="NKA613" s="621"/>
      <c r="NKB613" s="3933"/>
      <c r="NKC613" s="3933"/>
      <c r="NKD613" s="3933"/>
      <c r="NKE613" s="621"/>
      <c r="NKF613" s="3933"/>
      <c r="NKG613" s="3933"/>
      <c r="NKH613" s="3933"/>
      <c r="NKI613" s="621"/>
      <c r="NKJ613" s="3933"/>
      <c r="NKK613" s="3933"/>
      <c r="NKL613" s="3933"/>
      <c r="NKM613" s="621"/>
      <c r="NKN613" s="3933"/>
      <c r="NKO613" s="3933"/>
      <c r="NKP613" s="3933"/>
      <c r="NKQ613" s="621"/>
      <c r="NKR613" s="3933"/>
      <c r="NKS613" s="3933"/>
      <c r="NKT613" s="3933"/>
      <c r="NKU613" s="621"/>
      <c r="NKV613" s="3933"/>
      <c r="NKW613" s="3933"/>
      <c r="NKX613" s="3933"/>
      <c r="NKY613" s="621"/>
      <c r="NKZ613" s="3933"/>
      <c r="NLA613" s="3933"/>
      <c r="NLB613" s="3933"/>
      <c r="NLC613" s="621"/>
      <c r="NLD613" s="3933"/>
      <c r="NLE613" s="3933"/>
      <c r="NLF613" s="3933"/>
      <c r="NLG613" s="621"/>
      <c r="NLH613" s="3933"/>
      <c r="NLI613" s="3933"/>
      <c r="NLJ613" s="3933"/>
      <c r="NLK613" s="621"/>
      <c r="NLL613" s="3933"/>
      <c r="NLM613" s="3933"/>
      <c r="NLN613" s="3933"/>
      <c r="NLO613" s="621"/>
      <c r="NLP613" s="3933"/>
      <c r="NLQ613" s="3933"/>
      <c r="NLR613" s="3933"/>
      <c r="NLS613" s="621"/>
      <c r="NLT613" s="3933"/>
      <c r="NLU613" s="3933"/>
      <c r="NLV613" s="3933"/>
      <c r="NLW613" s="621"/>
      <c r="NLX613" s="3933"/>
      <c r="NLY613" s="3933"/>
      <c r="NLZ613" s="3933"/>
      <c r="NMA613" s="621"/>
      <c r="NMB613" s="3933"/>
      <c r="NMC613" s="3933"/>
      <c r="NMD613" s="3933"/>
      <c r="NME613" s="621"/>
      <c r="NMF613" s="3933"/>
      <c r="NMG613" s="3933"/>
      <c r="NMH613" s="3933"/>
      <c r="NMI613" s="621"/>
      <c r="NMJ613" s="3933"/>
      <c r="NMK613" s="3933"/>
      <c r="NML613" s="3933"/>
      <c r="NMM613" s="621"/>
      <c r="NMN613" s="3933"/>
      <c r="NMO613" s="3933"/>
      <c r="NMP613" s="3933"/>
      <c r="NMQ613" s="621"/>
      <c r="NMR613" s="3933"/>
      <c r="NMS613" s="3933"/>
      <c r="NMT613" s="3933"/>
      <c r="NMU613" s="621"/>
      <c r="NMV613" s="3933"/>
      <c r="NMW613" s="3933"/>
      <c r="NMX613" s="3933"/>
      <c r="NMY613" s="621"/>
      <c r="NMZ613" s="3933"/>
      <c r="NNA613" s="3933"/>
      <c r="NNB613" s="3933"/>
      <c r="NNC613" s="621"/>
      <c r="NND613" s="3933"/>
      <c r="NNE613" s="3933"/>
      <c r="NNF613" s="3933"/>
      <c r="NNG613" s="621"/>
      <c r="NNH613" s="3933"/>
      <c r="NNI613" s="3933"/>
      <c r="NNJ613" s="3933"/>
      <c r="NNK613" s="621"/>
      <c r="NNL613" s="3933"/>
      <c r="NNM613" s="3933"/>
      <c r="NNN613" s="3933"/>
      <c r="NNO613" s="621"/>
      <c r="NNP613" s="3933"/>
      <c r="NNQ613" s="3933"/>
      <c r="NNR613" s="3933"/>
      <c r="NNS613" s="621"/>
      <c r="NNT613" s="3933"/>
      <c r="NNU613" s="3933"/>
      <c r="NNV613" s="3933"/>
      <c r="NNW613" s="621"/>
      <c r="NNX613" s="3933"/>
      <c r="NNY613" s="3933"/>
      <c r="NNZ613" s="3933"/>
      <c r="NOA613" s="621"/>
      <c r="NOB613" s="3933"/>
      <c r="NOC613" s="3933"/>
      <c r="NOD613" s="3933"/>
      <c r="NOE613" s="621"/>
      <c r="NOF613" s="3933"/>
      <c r="NOG613" s="3933"/>
      <c r="NOH613" s="3933"/>
      <c r="NOI613" s="621"/>
      <c r="NOJ613" s="3933"/>
      <c r="NOK613" s="3933"/>
      <c r="NOL613" s="3933"/>
      <c r="NOM613" s="621"/>
      <c r="NON613" s="3933"/>
      <c r="NOO613" s="3933"/>
      <c r="NOP613" s="3933"/>
      <c r="NOQ613" s="621"/>
      <c r="NOR613" s="3933"/>
      <c r="NOS613" s="3933"/>
      <c r="NOT613" s="3933"/>
      <c r="NOU613" s="621"/>
      <c r="NOV613" s="3933"/>
      <c r="NOW613" s="3933"/>
      <c r="NOX613" s="3933"/>
      <c r="NOY613" s="621"/>
      <c r="NOZ613" s="3933"/>
      <c r="NPA613" s="3933"/>
      <c r="NPB613" s="3933"/>
      <c r="NPC613" s="621"/>
      <c r="NPD613" s="3933"/>
      <c r="NPE613" s="3933"/>
      <c r="NPF613" s="3933"/>
      <c r="NPG613" s="621"/>
      <c r="NPH613" s="3933"/>
      <c r="NPI613" s="3933"/>
      <c r="NPJ613" s="3933"/>
      <c r="NPK613" s="621"/>
      <c r="NPL613" s="3933"/>
      <c r="NPM613" s="3933"/>
      <c r="NPN613" s="3933"/>
      <c r="NPO613" s="621"/>
      <c r="NPP613" s="3933"/>
      <c r="NPQ613" s="3933"/>
      <c r="NPR613" s="3933"/>
      <c r="NPS613" s="621"/>
      <c r="NPT613" s="3933"/>
      <c r="NPU613" s="3933"/>
      <c r="NPV613" s="3933"/>
      <c r="NPW613" s="621"/>
      <c r="NPX613" s="3933"/>
      <c r="NPY613" s="3933"/>
      <c r="NPZ613" s="3933"/>
      <c r="NQA613" s="621"/>
      <c r="NQB613" s="3933"/>
      <c r="NQC613" s="3933"/>
      <c r="NQD613" s="3933"/>
      <c r="NQE613" s="621"/>
      <c r="NQF613" s="3933"/>
      <c r="NQG613" s="3933"/>
      <c r="NQH613" s="3933"/>
      <c r="NQI613" s="621"/>
      <c r="NQJ613" s="3933"/>
      <c r="NQK613" s="3933"/>
      <c r="NQL613" s="3933"/>
      <c r="NQM613" s="621"/>
      <c r="NQN613" s="3933"/>
      <c r="NQO613" s="3933"/>
      <c r="NQP613" s="3933"/>
      <c r="NQQ613" s="621"/>
      <c r="NQR613" s="3933"/>
      <c r="NQS613" s="3933"/>
      <c r="NQT613" s="3933"/>
      <c r="NQU613" s="621"/>
      <c r="NQV613" s="3933"/>
      <c r="NQW613" s="3933"/>
      <c r="NQX613" s="3933"/>
      <c r="NQY613" s="621"/>
      <c r="NQZ613" s="3933"/>
      <c r="NRA613" s="3933"/>
      <c r="NRB613" s="3933"/>
      <c r="NRC613" s="621"/>
      <c r="NRD613" s="3933"/>
      <c r="NRE613" s="3933"/>
      <c r="NRF613" s="3933"/>
      <c r="NRG613" s="621"/>
      <c r="NRH613" s="3933"/>
      <c r="NRI613" s="3933"/>
      <c r="NRJ613" s="3933"/>
      <c r="NRK613" s="621"/>
      <c r="NRL613" s="3933"/>
      <c r="NRM613" s="3933"/>
      <c r="NRN613" s="3933"/>
      <c r="NRO613" s="621"/>
      <c r="NRP613" s="3933"/>
      <c r="NRQ613" s="3933"/>
      <c r="NRR613" s="3933"/>
      <c r="NRS613" s="621"/>
      <c r="NRT613" s="3933"/>
      <c r="NRU613" s="3933"/>
      <c r="NRV613" s="3933"/>
      <c r="NRW613" s="621"/>
      <c r="NRX613" s="3933"/>
      <c r="NRY613" s="3933"/>
      <c r="NRZ613" s="3933"/>
      <c r="NSA613" s="621"/>
      <c r="NSB613" s="3933"/>
      <c r="NSC613" s="3933"/>
      <c r="NSD613" s="3933"/>
      <c r="NSE613" s="621"/>
      <c r="NSF613" s="3933"/>
      <c r="NSG613" s="3933"/>
      <c r="NSH613" s="3933"/>
      <c r="NSI613" s="621"/>
      <c r="NSJ613" s="3933"/>
      <c r="NSK613" s="3933"/>
      <c r="NSL613" s="3933"/>
      <c r="NSM613" s="621"/>
      <c r="NSN613" s="3933"/>
      <c r="NSO613" s="3933"/>
      <c r="NSP613" s="3933"/>
      <c r="NSQ613" s="621"/>
      <c r="NSR613" s="3933"/>
      <c r="NSS613" s="3933"/>
      <c r="NST613" s="3933"/>
      <c r="NSU613" s="621"/>
      <c r="NSV613" s="3933"/>
      <c r="NSW613" s="3933"/>
      <c r="NSX613" s="3933"/>
      <c r="NSY613" s="621"/>
      <c r="NSZ613" s="3933"/>
      <c r="NTA613" s="3933"/>
      <c r="NTB613" s="3933"/>
      <c r="NTC613" s="621"/>
      <c r="NTD613" s="3933"/>
      <c r="NTE613" s="3933"/>
      <c r="NTF613" s="3933"/>
      <c r="NTG613" s="621"/>
      <c r="NTH613" s="3933"/>
      <c r="NTI613" s="3933"/>
      <c r="NTJ613" s="3933"/>
      <c r="NTK613" s="621"/>
      <c r="NTL613" s="3933"/>
      <c r="NTM613" s="3933"/>
      <c r="NTN613" s="3933"/>
      <c r="NTO613" s="621"/>
      <c r="NTP613" s="3933"/>
      <c r="NTQ613" s="3933"/>
      <c r="NTR613" s="3933"/>
      <c r="NTS613" s="621"/>
      <c r="NTT613" s="3933"/>
      <c r="NTU613" s="3933"/>
      <c r="NTV613" s="3933"/>
      <c r="NTW613" s="621"/>
      <c r="NTX613" s="3933"/>
      <c r="NTY613" s="3933"/>
      <c r="NTZ613" s="3933"/>
      <c r="NUA613" s="621"/>
      <c r="NUB613" s="3933"/>
      <c r="NUC613" s="3933"/>
      <c r="NUD613" s="3933"/>
      <c r="NUE613" s="621"/>
      <c r="NUF613" s="3933"/>
      <c r="NUG613" s="3933"/>
      <c r="NUH613" s="3933"/>
      <c r="NUI613" s="621"/>
      <c r="NUJ613" s="3933"/>
      <c r="NUK613" s="3933"/>
      <c r="NUL613" s="3933"/>
      <c r="NUM613" s="621"/>
      <c r="NUN613" s="3933"/>
      <c r="NUO613" s="3933"/>
      <c r="NUP613" s="3933"/>
      <c r="NUQ613" s="621"/>
      <c r="NUR613" s="3933"/>
      <c r="NUS613" s="3933"/>
      <c r="NUT613" s="3933"/>
      <c r="NUU613" s="621"/>
      <c r="NUV613" s="3933"/>
      <c r="NUW613" s="3933"/>
      <c r="NUX613" s="3933"/>
      <c r="NUY613" s="621"/>
      <c r="NUZ613" s="3933"/>
      <c r="NVA613" s="3933"/>
      <c r="NVB613" s="3933"/>
      <c r="NVC613" s="621"/>
      <c r="NVD613" s="3933"/>
      <c r="NVE613" s="3933"/>
      <c r="NVF613" s="3933"/>
      <c r="NVG613" s="621"/>
      <c r="NVH613" s="3933"/>
      <c r="NVI613" s="3933"/>
      <c r="NVJ613" s="3933"/>
      <c r="NVK613" s="621"/>
      <c r="NVL613" s="3933"/>
      <c r="NVM613" s="3933"/>
      <c r="NVN613" s="3933"/>
      <c r="NVO613" s="621"/>
      <c r="NVP613" s="3933"/>
      <c r="NVQ613" s="3933"/>
      <c r="NVR613" s="3933"/>
      <c r="NVS613" s="621"/>
      <c r="NVT613" s="3933"/>
      <c r="NVU613" s="3933"/>
      <c r="NVV613" s="3933"/>
      <c r="NVW613" s="621"/>
      <c r="NVX613" s="3933"/>
      <c r="NVY613" s="3933"/>
      <c r="NVZ613" s="3933"/>
      <c r="NWA613" s="621"/>
      <c r="NWB613" s="3933"/>
      <c r="NWC613" s="3933"/>
      <c r="NWD613" s="3933"/>
      <c r="NWE613" s="621"/>
      <c r="NWF613" s="3933"/>
      <c r="NWG613" s="3933"/>
      <c r="NWH613" s="3933"/>
      <c r="NWI613" s="621"/>
      <c r="NWJ613" s="3933"/>
      <c r="NWK613" s="3933"/>
      <c r="NWL613" s="3933"/>
      <c r="NWM613" s="621"/>
      <c r="NWN613" s="3933"/>
      <c r="NWO613" s="3933"/>
      <c r="NWP613" s="3933"/>
      <c r="NWQ613" s="621"/>
      <c r="NWR613" s="3933"/>
      <c r="NWS613" s="3933"/>
      <c r="NWT613" s="3933"/>
      <c r="NWU613" s="621"/>
      <c r="NWV613" s="3933"/>
      <c r="NWW613" s="3933"/>
      <c r="NWX613" s="3933"/>
      <c r="NWY613" s="621"/>
      <c r="NWZ613" s="3933"/>
      <c r="NXA613" s="3933"/>
      <c r="NXB613" s="3933"/>
      <c r="NXC613" s="621"/>
      <c r="NXD613" s="3933"/>
      <c r="NXE613" s="3933"/>
      <c r="NXF613" s="3933"/>
      <c r="NXG613" s="621"/>
      <c r="NXH613" s="3933"/>
      <c r="NXI613" s="3933"/>
      <c r="NXJ613" s="3933"/>
      <c r="NXK613" s="621"/>
      <c r="NXL613" s="3933"/>
      <c r="NXM613" s="3933"/>
      <c r="NXN613" s="3933"/>
      <c r="NXO613" s="621"/>
      <c r="NXP613" s="3933"/>
      <c r="NXQ613" s="3933"/>
      <c r="NXR613" s="3933"/>
      <c r="NXS613" s="621"/>
      <c r="NXT613" s="3933"/>
      <c r="NXU613" s="3933"/>
      <c r="NXV613" s="3933"/>
      <c r="NXW613" s="621"/>
      <c r="NXX613" s="3933"/>
      <c r="NXY613" s="3933"/>
      <c r="NXZ613" s="3933"/>
      <c r="NYA613" s="621"/>
      <c r="NYB613" s="3933"/>
      <c r="NYC613" s="3933"/>
      <c r="NYD613" s="3933"/>
      <c r="NYE613" s="621"/>
      <c r="NYF613" s="3933"/>
      <c r="NYG613" s="3933"/>
      <c r="NYH613" s="3933"/>
      <c r="NYI613" s="621"/>
      <c r="NYJ613" s="3933"/>
      <c r="NYK613" s="3933"/>
      <c r="NYL613" s="3933"/>
      <c r="NYM613" s="621"/>
      <c r="NYN613" s="3933"/>
      <c r="NYO613" s="3933"/>
      <c r="NYP613" s="3933"/>
      <c r="NYQ613" s="621"/>
      <c r="NYR613" s="3933"/>
      <c r="NYS613" s="3933"/>
      <c r="NYT613" s="3933"/>
      <c r="NYU613" s="621"/>
      <c r="NYV613" s="3933"/>
      <c r="NYW613" s="3933"/>
      <c r="NYX613" s="3933"/>
      <c r="NYY613" s="621"/>
      <c r="NYZ613" s="3933"/>
      <c r="NZA613" s="3933"/>
      <c r="NZB613" s="3933"/>
      <c r="NZC613" s="621"/>
      <c r="NZD613" s="3933"/>
      <c r="NZE613" s="3933"/>
      <c r="NZF613" s="3933"/>
      <c r="NZG613" s="621"/>
      <c r="NZH613" s="3933"/>
      <c r="NZI613" s="3933"/>
      <c r="NZJ613" s="3933"/>
      <c r="NZK613" s="621"/>
      <c r="NZL613" s="3933"/>
      <c r="NZM613" s="3933"/>
      <c r="NZN613" s="3933"/>
      <c r="NZO613" s="621"/>
      <c r="NZP613" s="3933"/>
      <c r="NZQ613" s="3933"/>
      <c r="NZR613" s="3933"/>
      <c r="NZS613" s="621"/>
      <c r="NZT613" s="3933"/>
      <c r="NZU613" s="3933"/>
      <c r="NZV613" s="3933"/>
      <c r="NZW613" s="621"/>
      <c r="NZX613" s="3933"/>
      <c r="NZY613" s="3933"/>
      <c r="NZZ613" s="3933"/>
      <c r="OAA613" s="621"/>
      <c r="OAB613" s="3933"/>
      <c r="OAC613" s="3933"/>
      <c r="OAD613" s="3933"/>
      <c r="OAE613" s="621"/>
      <c r="OAF613" s="3933"/>
      <c r="OAG613" s="3933"/>
      <c r="OAH613" s="3933"/>
      <c r="OAI613" s="621"/>
      <c r="OAJ613" s="3933"/>
      <c r="OAK613" s="3933"/>
      <c r="OAL613" s="3933"/>
      <c r="OAM613" s="621"/>
      <c r="OAN613" s="3933"/>
      <c r="OAO613" s="3933"/>
      <c r="OAP613" s="3933"/>
      <c r="OAQ613" s="621"/>
      <c r="OAR613" s="3933"/>
      <c r="OAS613" s="3933"/>
      <c r="OAT613" s="3933"/>
      <c r="OAU613" s="621"/>
      <c r="OAV613" s="3933"/>
      <c r="OAW613" s="3933"/>
      <c r="OAX613" s="3933"/>
      <c r="OAY613" s="621"/>
      <c r="OAZ613" s="3933"/>
      <c r="OBA613" s="3933"/>
      <c r="OBB613" s="3933"/>
      <c r="OBC613" s="621"/>
      <c r="OBD613" s="3933"/>
      <c r="OBE613" s="3933"/>
      <c r="OBF613" s="3933"/>
      <c r="OBG613" s="621"/>
      <c r="OBH613" s="3933"/>
      <c r="OBI613" s="3933"/>
      <c r="OBJ613" s="3933"/>
      <c r="OBK613" s="621"/>
      <c r="OBL613" s="3933"/>
      <c r="OBM613" s="3933"/>
      <c r="OBN613" s="3933"/>
      <c r="OBO613" s="621"/>
      <c r="OBP613" s="3933"/>
      <c r="OBQ613" s="3933"/>
      <c r="OBR613" s="3933"/>
      <c r="OBS613" s="621"/>
      <c r="OBT613" s="3933"/>
      <c r="OBU613" s="3933"/>
      <c r="OBV613" s="3933"/>
      <c r="OBW613" s="621"/>
      <c r="OBX613" s="3933"/>
      <c r="OBY613" s="3933"/>
      <c r="OBZ613" s="3933"/>
      <c r="OCA613" s="621"/>
      <c r="OCB613" s="3933"/>
      <c r="OCC613" s="3933"/>
      <c r="OCD613" s="3933"/>
      <c r="OCE613" s="621"/>
      <c r="OCF613" s="3933"/>
      <c r="OCG613" s="3933"/>
      <c r="OCH613" s="3933"/>
      <c r="OCI613" s="621"/>
      <c r="OCJ613" s="3933"/>
      <c r="OCK613" s="3933"/>
      <c r="OCL613" s="3933"/>
      <c r="OCM613" s="621"/>
      <c r="OCN613" s="3933"/>
      <c r="OCO613" s="3933"/>
      <c r="OCP613" s="3933"/>
      <c r="OCQ613" s="621"/>
      <c r="OCR613" s="3933"/>
      <c r="OCS613" s="3933"/>
      <c r="OCT613" s="3933"/>
      <c r="OCU613" s="621"/>
      <c r="OCV613" s="3933"/>
      <c r="OCW613" s="3933"/>
      <c r="OCX613" s="3933"/>
      <c r="OCY613" s="621"/>
      <c r="OCZ613" s="3933"/>
      <c r="ODA613" s="3933"/>
      <c r="ODB613" s="3933"/>
      <c r="ODC613" s="621"/>
      <c r="ODD613" s="3933"/>
      <c r="ODE613" s="3933"/>
      <c r="ODF613" s="3933"/>
      <c r="ODG613" s="621"/>
      <c r="ODH613" s="3933"/>
      <c r="ODI613" s="3933"/>
      <c r="ODJ613" s="3933"/>
      <c r="ODK613" s="621"/>
      <c r="ODL613" s="3933"/>
      <c r="ODM613" s="3933"/>
      <c r="ODN613" s="3933"/>
      <c r="ODO613" s="621"/>
      <c r="ODP613" s="3933"/>
      <c r="ODQ613" s="3933"/>
      <c r="ODR613" s="3933"/>
      <c r="ODS613" s="621"/>
      <c r="ODT613" s="3933"/>
      <c r="ODU613" s="3933"/>
      <c r="ODV613" s="3933"/>
      <c r="ODW613" s="621"/>
      <c r="ODX613" s="3933"/>
      <c r="ODY613" s="3933"/>
      <c r="ODZ613" s="3933"/>
      <c r="OEA613" s="621"/>
      <c r="OEB613" s="3933"/>
      <c r="OEC613" s="3933"/>
      <c r="OED613" s="3933"/>
      <c r="OEE613" s="621"/>
      <c r="OEF613" s="3933"/>
      <c r="OEG613" s="3933"/>
      <c r="OEH613" s="3933"/>
      <c r="OEI613" s="621"/>
      <c r="OEJ613" s="3933"/>
      <c r="OEK613" s="3933"/>
      <c r="OEL613" s="3933"/>
      <c r="OEM613" s="621"/>
      <c r="OEN613" s="3933"/>
      <c r="OEO613" s="3933"/>
      <c r="OEP613" s="3933"/>
      <c r="OEQ613" s="621"/>
      <c r="OER613" s="3933"/>
      <c r="OES613" s="3933"/>
      <c r="OET613" s="3933"/>
      <c r="OEU613" s="621"/>
      <c r="OEV613" s="3933"/>
      <c r="OEW613" s="3933"/>
      <c r="OEX613" s="3933"/>
      <c r="OEY613" s="621"/>
      <c r="OEZ613" s="3933"/>
      <c r="OFA613" s="3933"/>
      <c r="OFB613" s="3933"/>
      <c r="OFC613" s="621"/>
      <c r="OFD613" s="3933"/>
      <c r="OFE613" s="3933"/>
      <c r="OFF613" s="3933"/>
      <c r="OFG613" s="621"/>
      <c r="OFH613" s="3933"/>
      <c r="OFI613" s="3933"/>
      <c r="OFJ613" s="3933"/>
      <c r="OFK613" s="621"/>
      <c r="OFL613" s="3933"/>
      <c r="OFM613" s="3933"/>
      <c r="OFN613" s="3933"/>
      <c r="OFO613" s="621"/>
      <c r="OFP613" s="3933"/>
      <c r="OFQ613" s="3933"/>
      <c r="OFR613" s="3933"/>
      <c r="OFS613" s="621"/>
      <c r="OFT613" s="3933"/>
      <c r="OFU613" s="3933"/>
      <c r="OFV613" s="3933"/>
      <c r="OFW613" s="621"/>
      <c r="OFX613" s="3933"/>
      <c r="OFY613" s="3933"/>
      <c r="OFZ613" s="3933"/>
      <c r="OGA613" s="621"/>
      <c r="OGB613" s="3933"/>
      <c r="OGC613" s="3933"/>
      <c r="OGD613" s="3933"/>
      <c r="OGE613" s="621"/>
      <c r="OGF613" s="3933"/>
      <c r="OGG613" s="3933"/>
      <c r="OGH613" s="3933"/>
      <c r="OGI613" s="621"/>
      <c r="OGJ613" s="3933"/>
      <c r="OGK613" s="3933"/>
      <c r="OGL613" s="3933"/>
      <c r="OGM613" s="621"/>
      <c r="OGN613" s="3933"/>
      <c r="OGO613" s="3933"/>
      <c r="OGP613" s="3933"/>
      <c r="OGQ613" s="621"/>
      <c r="OGR613" s="3933"/>
      <c r="OGS613" s="3933"/>
      <c r="OGT613" s="3933"/>
      <c r="OGU613" s="621"/>
      <c r="OGV613" s="3933"/>
      <c r="OGW613" s="3933"/>
      <c r="OGX613" s="3933"/>
      <c r="OGY613" s="621"/>
      <c r="OGZ613" s="3933"/>
      <c r="OHA613" s="3933"/>
      <c r="OHB613" s="3933"/>
      <c r="OHC613" s="621"/>
      <c r="OHD613" s="3933"/>
      <c r="OHE613" s="3933"/>
      <c r="OHF613" s="3933"/>
      <c r="OHG613" s="621"/>
      <c r="OHH613" s="3933"/>
      <c r="OHI613" s="3933"/>
      <c r="OHJ613" s="3933"/>
      <c r="OHK613" s="621"/>
      <c r="OHL613" s="3933"/>
      <c r="OHM613" s="3933"/>
      <c r="OHN613" s="3933"/>
      <c r="OHO613" s="621"/>
      <c r="OHP613" s="3933"/>
      <c r="OHQ613" s="3933"/>
      <c r="OHR613" s="3933"/>
      <c r="OHS613" s="621"/>
      <c r="OHT613" s="3933"/>
      <c r="OHU613" s="3933"/>
      <c r="OHV613" s="3933"/>
      <c r="OHW613" s="621"/>
      <c r="OHX613" s="3933"/>
      <c r="OHY613" s="3933"/>
      <c r="OHZ613" s="3933"/>
      <c r="OIA613" s="621"/>
      <c r="OIB613" s="3933"/>
      <c r="OIC613" s="3933"/>
      <c r="OID613" s="3933"/>
      <c r="OIE613" s="621"/>
      <c r="OIF613" s="3933"/>
      <c r="OIG613" s="3933"/>
      <c r="OIH613" s="3933"/>
      <c r="OII613" s="621"/>
      <c r="OIJ613" s="3933"/>
      <c r="OIK613" s="3933"/>
      <c r="OIL613" s="3933"/>
      <c r="OIM613" s="621"/>
      <c r="OIN613" s="3933"/>
      <c r="OIO613" s="3933"/>
      <c r="OIP613" s="3933"/>
      <c r="OIQ613" s="621"/>
      <c r="OIR613" s="3933"/>
      <c r="OIS613" s="3933"/>
      <c r="OIT613" s="3933"/>
      <c r="OIU613" s="621"/>
      <c r="OIV613" s="3933"/>
      <c r="OIW613" s="3933"/>
      <c r="OIX613" s="3933"/>
      <c r="OIY613" s="621"/>
      <c r="OIZ613" s="3933"/>
      <c r="OJA613" s="3933"/>
      <c r="OJB613" s="3933"/>
      <c r="OJC613" s="621"/>
      <c r="OJD613" s="3933"/>
      <c r="OJE613" s="3933"/>
      <c r="OJF613" s="3933"/>
      <c r="OJG613" s="621"/>
      <c r="OJH613" s="3933"/>
      <c r="OJI613" s="3933"/>
      <c r="OJJ613" s="3933"/>
      <c r="OJK613" s="621"/>
      <c r="OJL613" s="3933"/>
      <c r="OJM613" s="3933"/>
      <c r="OJN613" s="3933"/>
      <c r="OJO613" s="621"/>
      <c r="OJP613" s="3933"/>
      <c r="OJQ613" s="3933"/>
      <c r="OJR613" s="3933"/>
      <c r="OJS613" s="621"/>
      <c r="OJT613" s="3933"/>
      <c r="OJU613" s="3933"/>
      <c r="OJV613" s="3933"/>
      <c r="OJW613" s="621"/>
      <c r="OJX613" s="3933"/>
      <c r="OJY613" s="3933"/>
      <c r="OJZ613" s="3933"/>
      <c r="OKA613" s="621"/>
      <c r="OKB613" s="3933"/>
      <c r="OKC613" s="3933"/>
      <c r="OKD613" s="3933"/>
      <c r="OKE613" s="621"/>
      <c r="OKF613" s="3933"/>
      <c r="OKG613" s="3933"/>
      <c r="OKH613" s="3933"/>
      <c r="OKI613" s="621"/>
      <c r="OKJ613" s="3933"/>
      <c r="OKK613" s="3933"/>
      <c r="OKL613" s="3933"/>
      <c r="OKM613" s="621"/>
      <c r="OKN613" s="3933"/>
      <c r="OKO613" s="3933"/>
      <c r="OKP613" s="3933"/>
      <c r="OKQ613" s="621"/>
      <c r="OKR613" s="3933"/>
      <c r="OKS613" s="3933"/>
      <c r="OKT613" s="3933"/>
      <c r="OKU613" s="621"/>
      <c r="OKV613" s="3933"/>
      <c r="OKW613" s="3933"/>
      <c r="OKX613" s="3933"/>
      <c r="OKY613" s="621"/>
      <c r="OKZ613" s="3933"/>
      <c r="OLA613" s="3933"/>
      <c r="OLB613" s="3933"/>
      <c r="OLC613" s="621"/>
      <c r="OLD613" s="3933"/>
      <c r="OLE613" s="3933"/>
      <c r="OLF613" s="3933"/>
      <c r="OLG613" s="621"/>
      <c r="OLH613" s="3933"/>
      <c r="OLI613" s="3933"/>
      <c r="OLJ613" s="3933"/>
      <c r="OLK613" s="621"/>
      <c r="OLL613" s="3933"/>
      <c r="OLM613" s="3933"/>
      <c r="OLN613" s="3933"/>
      <c r="OLO613" s="621"/>
      <c r="OLP613" s="3933"/>
      <c r="OLQ613" s="3933"/>
      <c r="OLR613" s="3933"/>
      <c r="OLS613" s="621"/>
      <c r="OLT613" s="3933"/>
      <c r="OLU613" s="3933"/>
      <c r="OLV613" s="3933"/>
      <c r="OLW613" s="621"/>
      <c r="OLX613" s="3933"/>
      <c r="OLY613" s="3933"/>
      <c r="OLZ613" s="3933"/>
      <c r="OMA613" s="621"/>
      <c r="OMB613" s="3933"/>
      <c r="OMC613" s="3933"/>
      <c r="OMD613" s="3933"/>
      <c r="OME613" s="621"/>
      <c r="OMF613" s="3933"/>
      <c r="OMG613" s="3933"/>
      <c r="OMH613" s="3933"/>
      <c r="OMI613" s="621"/>
      <c r="OMJ613" s="3933"/>
      <c r="OMK613" s="3933"/>
      <c r="OML613" s="3933"/>
      <c r="OMM613" s="621"/>
      <c r="OMN613" s="3933"/>
      <c r="OMO613" s="3933"/>
      <c r="OMP613" s="3933"/>
      <c r="OMQ613" s="621"/>
      <c r="OMR613" s="3933"/>
      <c r="OMS613" s="3933"/>
      <c r="OMT613" s="3933"/>
      <c r="OMU613" s="621"/>
      <c r="OMV613" s="3933"/>
      <c r="OMW613" s="3933"/>
      <c r="OMX613" s="3933"/>
      <c r="OMY613" s="621"/>
      <c r="OMZ613" s="3933"/>
      <c r="ONA613" s="3933"/>
      <c r="ONB613" s="3933"/>
      <c r="ONC613" s="621"/>
      <c r="OND613" s="3933"/>
      <c r="ONE613" s="3933"/>
      <c r="ONF613" s="3933"/>
      <c r="ONG613" s="621"/>
      <c r="ONH613" s="3933"/>
      <c r="ONI613" s="3933"/>
      <c r="ONJ613" s="3933"/>
      <c r="ONK613" s="621"/>
      <c r="ONL613" s="3933"/>
      <c r="ONM613" s="3933"/>
      <c r="ONN613" s="3933"/>
      <c r="ONO613" s="621"/>
      <c r="ONP613" s="3933"/>
      <c r="ONQ613" s="3933"/>
      <c r="ONR613" s="3933"/>
      <c r="ONS613" s="621"/>
      <c r="ONT613" s="3933"/>
      <c r="ONU613" s="3933"/>
      <c r="ONV613" s="3933"/>
      <c r="ONW613" s="621"/>
      <c r="ONX613" s="3933"/>
      <c r="ONY613" s="3933"/>
      <c r="ONZ613" s="3933"/>
      <c r="OOA613" s="621"/>
      <c r="OOB613" s="3933"/>
      <c r="OOC613" s="3933"/>
      <c r="OOD613" s="3933"/>
      <c r="OOE613" s="621"/>
      <c r="OOF613" s="3933"/>
      <c r="OOG613" s="3933"/>
      <c r="OOH613" s="3933"/>
      <c r="OOI613" s="621"/>
      <c r="OOJ613" s="3933"/>
      <c r="OOK613" s="3933"/>
      <c r="OOL613" s="3933"/>
      <c r="OOM613" s="621"/>
      <c r="OON613" s="3933"/>
      <c r="OOO613" s="3933"/>
      <c r="OOP613" s="3933"/>
      <c r="OOQ613" s="621"/>
      <c r="OOR613" s="3933"/>
      <c r="OOS613" s="3933"/>
      <c r="OOT613" s="3933"/>
      <c r="OOU613" s="621"/>
      <c r="OOV613" s="3933"/>
      <c r="OOW613" s="3933"/>
      <c r="OOX613" s="3933"/>
      <c r="OOY613" s="621"/>
      <c r="OOZ613" s="3933"/>
      <c r="OPA613" s="3933"/>
      <c r="OPB613" s="3933"/>
      <c r="OPC613" s="621"/>
      <c r="OPD613" s="3933"/>
      <c r="OPE613" s="3933"/>
      <c r="OPF613" s="3933"/>
      <c r="OPG613" s="621"/>
      <c r="OPH613" s="3933"/>
      <c r="OPI613" s="3933"/>
      <c r="OPJ613" s="3933"/>
      <c r="OPK613" s="621"/>
      <c r="OPL613" s="3933"/>
      <c r="OPM613" s="3933"/>
      <c r="OPN613" s="3933"/>
      <c r="OPO613" s="621"/>
      <c r="OPP613" s="3933"/>
      <c r="OPQ613" s="3933"/>
      <c r="OPR613" s="3933"/>
      <c r="OPS613" s="621"/>
      <c r="OPT613" s="3933"/>
      <c r="OPU613" s="3933"/>
      <c r="OPV613" s="3933"/>
      <c r="OPW613" s="621"/>
      <c r="OPX613" s="3933"/>
      <c r="OPY613" s="3933"/>
      <c r="OPZ613" s="3933"/>
      <c r="OQA613" s="621"/>
      <c r="OQB613" s="3933"/>
      <c r="OQC613" s="3933"/>
      <c r="OQD613" s="3933"/>
      <c r="OQE613" s="621"/>
      <c r="OQF613" s="3933"/>
      <c r="OQG613" s="3933"/>
      <c r="OQH613" s="3933"/>
      <c r="OQI613" s="621"/>
      <c r="OQJ613" s="3933"/>
      <c r="OQK613" s="3933"/>
      <c r="OQL613" s="3933"/>
      <c r="OQM613" s="621"/>
      <c r="OQN613" s="3933"/>
      <c r="OQO613" s="3933"/>
      <c r="OQP613" s="3933"/>
      <c r="OQQ613" s="621"/>
      <c r="OQR613" s="3933"/>
      <c r="OQS613" s="3933"/>
      <c r="OQT613" s="3933"/>
      <c r="OQU613" s="621"/>
      <c r="OQV613" s="3933"/>
      <c r="OQW613" s="3933"/>
      <c r="OQX613" s="3933"/>
      <c r="OQY613" s="621"/>
      <c r="OQZ613" s="3933"/>
      <c r="ORA613" s="3933"/>
      <c r="ORB613" s="3933"/>
      <c r="ORC613" s="621"/>
      <c r="ORD613" s="3933"/>
      <c r="ORE613" s="3933"/>
      <c r="ORF613" s="3933"/>
      <c r="ORG613" s="621"/>
      <c r="ORH613" s="3933"/>
      <c r="ORI613" s="3933"/>
      <c r="ORJ613" s="3933"/>
      <c r="ORK613" s="621"/>
      <c r="ORL613" s="3933"/>
      <c r="ORM613" s="3933"/>
      <c r="ORN613" s="3933"/>
      <c r="ORO613" s="621"/>
      <c r="ORP613" s="3933"/>
      <c r="ORQ613" s="3933"/>
      <c r="ORR613" s="3933"/>
      <c r="ORS613" s="621"/>
      <c r="ORT613" s="3933"/>
      <c r="ORU613" s="3933"/>
      <c r="ORV613" s="3933"/>
      <c r="ORW613" s="621"/>
      <c r="ORX613" s="3933"/>
      <c r="ORY613" s="3933"/>
      <c r="ORZ613" s="3933"/>
      <c r="OSA613" s="621"/>
      <c r="OSB613" s="3933"/>
      <c r="OSC613" s="3933"/>
      <c r="OSD613" s="3933"/>
      <c r="OSE613" s="621"/>
      <c r="OSF613" s="3933"/>
      <c r="OSG613" s="3933"/>
      <c r="OSH613" s="3933"/>
      <c r="OSI613" s="621"/>
      <c r="OSJ613" s="3933"/>
      <c r="OSK613" s="3933"/>
      <c r="OSL613" s="3933"/>
      <c r="OSM613" s="621"/>
      <c r="OSN613" s="3933"/>
      <c r="OSO613" s="3933"/>
      <c r="OSP613" s="3933"/>
      <c r="OSQ613" s="621"/>
      <c r="OSR613" s="3933"/>
      <c r="OSS613" s="3933"/>
      <c r="OST613" s="3933"/>
      <c r="OSU613" s="621"/>
      <c r="OSV613" s="3933"/>
      <c r="OSW613" s="3933"/>
      <c r="OSX613" s="3933"/>
      <c r="OSY613" s="621"/>
      <c r="OSZ613" s="3933"/>
      <c r="OTA613" s="3933"/>
      <c r="OTB613" s="3933"/>
      <c r="OTC613" s="621"/>
      <c r="OTD613" s="3933"/>
      <c r="OTE613" s="3933"/>
      <c r="OTF613" s="3933"/>
      <c r="OTG613" s="621"/>
      <c r="OTH613" s="3933"/>
      <c r="OTI613" s="3933"/>
      <c r="OTJ613" s="3933"/>
      <c r="OTK613" s="621"/>
      <c r="OTL613" s="3933"/>
      <c r="OTM613" s="3933"/>
      <c r="OTN613" s="3933"/>
      <c r="OTO613" s="621"/>
      <c r="OTP613" s="3933"/>
      <c r="OTQ613" s="3933"/>
      <c r="OTR613" s="3933"/>
      <c r="OTS613" s="621"/>
      <c r="OTT613" s="3933"/>
      <c r="OTU613" s="3933"/>
      <c r="OTV613" s="3933"/>
      <c r="OTW613" s="621"/>
      <c r="OTX613" s="3933"/>
      <c r="OTY613" s="3933"/>
      <c r="OTZ613" s="3933"/>
      <c r="OUA613" s="621"/>
      <c r="OUB613" s="3933"/>
      <c r="OUC613" s="3933"/>
      <c r="OUD613" s="3933"/>
      <c r="OUE613" s="621"/>
      <c r="OUF613" s="3933"/>
      <c r="OUG613" s="3933"/>
      <c r="OUH613" s="3933"/>
      <c r="OUI613" s="621"/>
      <c r="OUJ613" s="3933"/>
      <c r="OUK613" s="3933"/>
      <c r="OUL613" s="3933"/>
      <c r="OUM613" s="621"/>
      <c r="OUN613" s="3933"/>
      <c r="OUO613" s="3933"/>
      <c r="OUP613" s="3933"/>
      <c r="OUQ613" s="621"/>
      <c r="OUR613" s="3933"/>
      <c r="OUS613" s="3933"/>
      <c r="OUT613" s="3933"/>
      <c r="OUU613" s="621"/>
      <c r="OUV613" s="3933"/>
      <c r="OUW613" s="3933"/>
      <c r="OUX613" s="3933"/>
      <c r="OUY613" s="621"/>
      <c r="OUZ613" s="3933"/>
      <c r="OVA613" s="3933"/>
      <c r="OVB613" s="3933"/>
      <c r="OVC613" s="621"/>
      <c r="OVD613" s="3933"/>
      <c r="OVE613" s="3933"/>
      <c r="OVF613" s="3933"/>
      <c r="OVG613" s="621"/>
      <c r="OVH613" s="3933"/>
      <c r="OVI613" s="3933"/>
      <c r="OVJ613" s="3933"/>
      <c r="OVK613" s="621"/>
      <c r="OVL613" s="3933"/>
      <c r="OVM613" s="3933"/>
      <c r="OVN613" s="3933"/>
      <c r="OVO613" s="621"/>
      <c r="OVP613" s="3933"/>
      <c r="OVQ613" s="3933"/>
      <c r="OVR613" s="3933"/>
      <c r="OVS613" s="621"/>
      <c r="OVT613" s="3933"/>
      <c r="OVU613" s="3933"/>
      <c r="OVV613" s="3933"/>
      <c r="OVW613" s="621"/>
      <c r="OVX613" s="3933"/>
      <c r="OVY613" s="3933"/>
      <c r="OVZ613" s="3933"/>
      <c r="OWA613" s="621"/>
      <c r="OWB613" s="3933"/>
      <c r="OWC613" s="3933"/>
      <c r="OWD613" s="3933"/>
      <c r="OWE613" s="621"/>
      <c r="OWF613" s="3933"/>
      <c r="OWG613" s="3933"/>
      <c r="OWH613" s="3933"/>
      <c r="OWI613" s="621"/>
      <c r="OWJ613" s="3933"/>
      <c r="OWK613" s="3933"/>
      <c r="OWL613" s="3933"/>
      <c r="OWM613" s="621"/>
      <c r="OWN613" s="3933"/>
      <c r="OWO613" s="3933"/>
      <c r="OWP613" s="3933"/>
      <c r="OWQ613" s="621"/>
      <c r="OWR613" s="3933"/>
      <c r="OWS613" s="3933"/>
      <c r="OWT613" s="3933"/>
      <c r="OWU613" s="621"/>
      <c r="OWV613" s="3933"/>
      <c r="OWW613" s="3933"/>
      <c r="OWX613" s="3933"/>
      <c r="OWY613" s="621"/>
      <c r="OWZ613" s="3933"/>
      <c r="OXA613" s="3933"/>
      <c r="OXB613" s="3933"/>
      <c r="OXC613" s="621"/>
      <c r="OXD613" s="3933"/>
      <c r="OXE613" s="3933"/>
      <c r="OXF613" s="3933"/>
      <c r="OXG613" s="621"/>
      <c r="OXH613" s="3933"/>
      <c r="OXI613" s="3933"/>
      <c r="OXJ613" s="3933"/>
      <c r="OXK613" s="621"/>
      <c r="OXL613" s="3933"/>
      <c r="OXM613" s="3933"/>
      <c r="OXN613" s="3933"/>
      <c r="OXO613" s="621"/>
      <c r="OXP613" s="3933"/>
      <c r="OXQ613" s="3933"/>
      <c r="OXR613" s="3933"/>
      <c r="OXS613" s="621"/>
      <c r="OXT613" s="3933"/>
      <c r="OXU613" s="3933"/>
      <c r="OXV613" s="3933"/>
      <c r="OXW613" s="621"/>
      <c r="OXX613" s="3933"/>
      <c r="OXY613" s="3933"/>
      <c r="OXZ613" s="3933"/>
      <c r="OYA613" s="621"/>
      <c r="OYB613" s="3933"/>
      <c r="OYC613" s="3933"/>
      <c r="OYD613" s="3933"/>
      <c r="OYE613" s="621"/>
      <c r="OYF613" s="3933"/>
      <c r="OYG613" s="3933"/>
      <c r="OYH613" s="3933"/>
      <c r="OYI613" s="621"/>
      <c r="OYJ613" s="3933"/>
      <c r="OYK613" s="3933"/>
      <c r="OYL613" s="3933"/>
      <c r="OYM613" s="621"/>
      <c r="OYN613" s="3933"/>
      <c r="OYO613" s="3933"/>
      <c r="OYP613" s="3933"/>
      <c r="OYQ613" s="621"/>
      <c r="OYR613" s="3933"/>
      <c r="OYS613" s="3933"/>
      <c r="OYT613" s="3933"/>
      <c r="OYU613" s="621"/>
      <c r="OYV613" s="3933"/>
      <c r="OYW613" s="3933"/>
      <c r="OYX613" s="3933"/>
      <c r="OYY613" s="621"/>
      <c r="OYZ613" s="3933"/>
      <c r="OZA613" s="3933"/>
      <c r="OZB613" s="3933"/>
      <c r="OZC613" s="621"/>
      <c r="OZD613" s="3933"/>
      <c r="OZE613" s="3933"/>
      <c r="OZF613" s="3933"/>
      <c r="OZG613" s="621"/>
      <c r="OZH613" s="3933"/>
      <c r="OZI613" s="3933"/>
      <c r="OZJ613" s="3933"/>
      <c r="OZK613" s="621"/>
      <c r="OZL613" s="3933"/>
      <c r="OZM613" s="3933"/>
      <c r="OZN613" s="3933"/>
      <c r="OZO613" s="621"/>
      <c r="OZP613" s="3933"/>
      <c r="OZQ613" s="3933"/>
      <c r="OZR613" s="3933"/>
      <c r="OZS613" s="621"/>
      <c r="OZT613" s="3933"/>
      <c r="OZU613" s="3933"/>
      <c r="OZV613" s="3933"/>
      <c r="OZW613" s="621"/>
      <c r="OZX613" s="3933"/>
      <c r="OZY613" s="3933"/>
      <c r="OZZ613" s="3933"/>
      <c r="PAA613" s="621"/>
      <c r="PAB613" s="3933"/>
      <c r="PAC613" s="3933"/>
      <c r="PAD613" s="3933"/>
      <c r="PAE613" s="621"/>
      <c r="PAF613" s="3933"/>
      <c r="PAG613" s="3933"/>
      <c r="PAH613" s="3933"/>
      <c r="PAI613" s="621"/>
      <c r="PAJ613" s="3933"/>
      <c r="PAK613" s="3933"/>
      <c r="PAL613" s="3933"/>
      <c r="PAM613" s="621"/>
      <c r="PAN613" s="3933"/>
      <c r="PAO613" s="3933"/>
      <c r="PAP613" s="3933"/>
      <c r="PAQ613" s="621"/>
      <c r="PAR613" s="3933"/>
      <c r="PAS613" s="3933"/>
      <c r="PAT613" s="3933"/>
      <c r="PAU613" s="621"/>
      <c r="PAV613" s="3933"/>
      <c r="PAW613" s="3933"/>
      <c r="PAX613" s="3933"/>
      <c r="PAY613" s="621"/>
      <c r="PAZ613" s="3933"/>
      <c r="PBA613" s="3933"/>
      <c r="PBB613" s="3933"/>
      <c r="PBC613" s="621"/>
      <c r="PBD613" s="3933"/>
      <c r="PBE613" s="3933"/>
      <c r="PBF613" s="3933"/>
      <c r="PBG613" s="621"/>
      <c r="PBH613" s="3933"/>
      <c r="PBI613" s="3933"/>
      <c r="PBJ613" s="3933"/>
      <c r="PBK613" s="621"/>
      <c r="PBL613" s="3933"/>
      <c r="PBM613" s="3933"/>
      <c r="PBN613" s="3933"/>
      <c r="PBO613" s="621"/>
      <c r="PBP613" s="3933"/>
      <c r="PBQ613" s="3933"/>
      <c r="PBR613" s="3933"/>
      <c r="PBS613" s="621"/>
      <c r="PBT613" s="3933"/>
      <c r="PBU613" s="3933"/>
      <c r="PBV613" s="3933"/>
      <c r="PBW613" s="621"/>
      <c r="PBX613" s="3933"/>
      <c r="PBY613" s="3933"/>
      <c r="PBZ613" s="3933"/>
      <c r="PCA613" s="621"/>
      <c r="PCB613" s="3933"/>
      <c r="PCC613" s="3933"/>
      <c r="PCD613" s="3933"/>
      <c r="PCE613" s="621"/>
      <c r="PCF613" s="3933"/>
      <c r="PCG613" s="3933"/>
      <c r="PCH613" s="3933"/>
      <c r="PCI613" s="621"/>
      <c r="PCJ613" s="3933"/>
      <c r="PCK613" s="3933"/>
      <c r="PCL613" s="3933"/>
      <c r="PCM613" s="621"/>
      <c r="PCN613" s="3933"/>
      <c r="PCO613" s="3933"/>
      <c r="PCP613" s="3933"/>
      <c r="PCQ613" s="621"/>
      <c r="PCR613" s="3933"/>
      <c r="PCS613" s="3933"/>
      <c r="PCT613" s="3933"/>
      <c r="PCU613" s="621"/>
      <c r="PCV613" s="3933"/>
      <c r="PCW613" s="3933"/>
      <c r="PCX613" s="3933"/>
      <c r="PCY613" s="621"/>
      <c r="PCZ613" s="3933"/>
      <c r="PDA613" s="3933"/>
      <c r="PDB613" s="3933"/>
      <c r="PDC613" s="621"/>
      <c r="PDD613" s="3933"/>
      <c r="PDE613" s="3933"/>
      <c r="PDF613" s="3933"/>
      <c r="PDG613" s="621"/>
      <c r="PDH613" s="3933"/>
      <c r="PDI613" s="3933"/>
      <c r="PDJ613" s="3933"/>
      <c r="PDK613" s="621"/>
      <c r="PDL613" s="3933"/>
      <c r="PDM613" s="3933"/>
      <c r="PDN613" s="3933"/>
      <c r="PDO613" s="621"/>
      <c r="PDP613" s="3933"/>
      <c r="PDQ613" s="3933"/>
      <c r="PDR613" s="3933"/>
      <c r="PDS613" s="621"/>
      <c r="PDT613" s="3933"/>
      <c r="PDU613" s="3933"/>
      <c r="PDV613" s="3933"/>
      <c r="PDW613" s="621"/>
      <c r="PDX613" s="3933"/>
      <c r="PDY613" s="3933"/>
      <c r="PDZ613" s="3933"/>
      <c r="PEA613" s="621"/>
      <c r="PEB613" s="3933"/>
      <c r="PEC613" s="3933"/>
      <c r="PED613" s="3933"/>
      <c r="PEE613" s="621"/>
      <c r="PEF613" s="3933"/>
      <c r="PEG613" s="3933"/>
      <c r="PEH613" s="3933"/>
      <c r="PEI613" s="621"/>
      <c r="PEJ613" s="3933"/>
      <c r="PEK613" s="3933"/>
      <c r="PEL613" s="3933"/>
      <c r="PEM613" s="621"/>
      <c r="PEN613" s="3933"/>
      <c r="PEO613" s="3933"/>
      <c r="PEP613" s="3933"/>
      <c r="PEQ613" s="621"/>
      <c r="PER613" s="3933"/>
      <c r="PES613" s="3933"/>
      <c r="PET613" s="3933"/>
      <c r="PEU613" s="621"/>
      <c r="PEV613" s="3933"/>
      <c r="PEW613" s="3933"/>
      <c r="PEX613" s="3933"/>
      <c r="PEY613" s="621"/>
      <c r="PEZ613" s="3933"/>
      <c r="PFA613" s="3933"/>
      <c r="PFB613" s="3933"/>
      <c r="PFC613" s="621"/>
      <c r="PFD613" s="3933"/>
      <c r="PFE613" s="3933"/>
      <c r="PFF613" s="3933"/>
      <c r="PFG613" s="621"/>
      <c r="PFH613" s="3933"/>
      <c r="PFI613" s="3933"/>
      <c r="PFJ613" s="3933"/>
      <c r="PFK613" s="621"/>
      <c r="PFL613" s="3933"/>
      <c r="PFM613" s="3933"/>
      <c r="PFN613" s="3933"/>
      <c r="PFO613" s="621"/>
      <c r="PFP613" s="3933"/>
      <c r="PFQ613" s="3933"/>
      <c r="PFR613" s="3933"/>
      <c r="PFS613" s="621"/>
      <c r="PFT613" s="3933"/>
      <c r="PFU613" s="3933"/>
      <c r="PFV613" s="3933"/>
      <c r="PFW613" s="621"/>
      <c r="PFX613" s="3933"/>
      <c r="PFY613" s="3933"/>
      <c r="PFZ613" s="3933"/>
      <c r="PGA613" s="621"/>
      <c r="PGB613" s="3933"/>
      <c r="PGC613" s="3933"/>
      <c r="PGD613" s="3933"/>
      <c r="PGE613" s="621"/>
      <c r="PGF613" s="3933"/>
      <c r="PGG613" s="3933"/>
      <c r="PGH613" s="3933"/>
      <c r="PGI613" s="621"/>
      <c r="PGJ613" s="3933"/>
      <c r="PGK613" s="3933"/>
      <c r="PGL613" s="3933"/>
      <c r="PGM613" s="621"/>
      <c r="PGN613" s="3933"/>
      <c r="PGO613" s="3933"/>
      <c r="PGP613" s="3933"/>
      <c r="PGQ613" s="621"/>
      <c r="PGR613" s="3933"/>
      <c r="PGS613" s="3933"/>
      <c r="PGT613" s="3933"/>
      <c r="PGU613" s="621"/>
      <c r="PGV613" s="3933"/>
      <c r="PGW613" s="3933"/>
      <c r="PGX613" s="3933"/>
      <c r="PGY613" s="621"/>
      <c r="PGZ613" s="3933"/>
      <c r="PHA613" s="3933"/>
      <c r="PHB613" s="3933"/>
      <c r="PHC613" s="621"/>
      <c r="PHD613" s="3933"/>
      <c r="PHE613" s="3933"/>
      <c r="PHF613" s="3933"/>
      <c r="PHG613" s="621"/>
      <c r="PHH613" s="3933"/>
      <c r="PHI613" s="3933"/>
      <c r="PHJ613" s="3933"/>
      <c r="PHK613" s="621"/>
      <c r="PHL613" s="3933"/>
      <c r="PHM613" s="3933"/>
      <c r="PHN613" s="3933"/>
      <c r="PHO613" s="621"/>
      <c r="PHP613" s="3933"/>
      <c r="PHQ613" s="3933"/>
      <c r="PHR613" s="3933"/>
      <c r="PHS613" s="621"/>
      <c r="PHT613" s="3933"/>
      <c r="PHU613" s="3933"/>
      <c r="PHV613" s="3933"/>
      <c r="PHW613" s="621"/>
      <c r="PHX613" s="3933"/>
      <c r="PHY613" s="3933"/>
      <c r="PHZ613" s="3933"/>
      <c r="PIA613" s="621"/>
      <c r="PIB613" s="3933"/>
      <c r="PIC613" s="3933"/>
      <c r="PID613" s="3933"/>
      <c r="PIE613" s="621"/>
      <c r="PIF613" s="3933"/>
      <c r="PIG613" s="3933"/>
      <c r="PIH613" s="3933"/>
      <c r="PII613" s="621"/>
      <c r="PIJ613" s="3933"/>
      <c r="PIK613" s="3933"/>
      <c r="PIL613" s="3933"/>
      <c r="PIM613" s="621"/>
      <c r="PIN613" s="3933"/>
      <c r="PIO613" s="3933"/>
      <c r="PIP613" s="3933"/>
      <c r="PIQ613" s="621"/>
      <c r="PIR613" s="3933"/>
      <c r="PIS613" s="3933"/>
      <c r="PIT613" s="3933"/>
      <c r="PIU613" s="621"/>
      <c r="PIV613" s="3933"/>
      <c r="PIW613" s="3933"/>
      <c r="PIX613" s="3933"/>
      <c r="PIY613" s="621"/>
      <c r="PIZ613" s="3933"/>
      <c r="PJA613" s="3933"/>
      <c r="PJB613" s="3933"/>
      <c r="PJC613" s="621"/>
      <c r="PJD613" s="3933"/>
      <c r="PJE613" s="3933"/>
      <c r="PJF613" s="3933"/>
      <c r="PJG613" s="621"/>
      <c r="PJH613" s="3933"/>
      <c r="PJI613" s="3933"/>
      <c r="PJJ613" s="3933"/>
      <c r="PJK613" s="621"/>
      <c r="PJL613" s="3933"/>
      <c r="PJM613" s="3933"/>
      <c r="PJN613" s="3933"/>
      <c r="PJO613" s="621"/>
      <c r="PJP613" s="3933"/>
      <c r="PJQ613" s="3933"/>
      <c r="PJR613" s="3933"/>
      <c r="PJS613" s="621"/>
      <c r="PJT613" s="3933"/>
      <c r="PJU613" s="3933"/>
      <c r="PJV613" s="3933"/>
      <c r="PJW613" s="621"/>
      <c r="PJX613" s="3933"/>
      <c r="PJY613" s="3933"/>
      <c r="PJZ613" s="3933"/>
      <c r="PKA613" s="621"/>
      <c r="PKB613" s="3933"/>
      <c r="PKC613" s="3933"/>
      <c r="PKD613" s="3933"/>
      <c r="PKE613" s="621"/>
      <c r="PKF613" s="3933"/>
      <c r="PKG613" s="3933"/>
      <c r="PKH613" s="3933"/>
      <c r="PKI613" s="621"/>
      <c r="PKJ613" s="3933"/>
      <c r="PKK613" s="3933"/>
      <c r="PKL613" s="3933"/>
      <c r="PKM613" s="621"/>
      <c r="PKN613" s="3933"/>
      <c r="PKO613" s="3933"/>
      <c r="PKP613" s="3933"/>
      <c r="PKQ613" s="621"/>
      <c r="PKR613" s="3933"/>
      <c r="PKS613" s="3933"/>
      <c r="PKT613" s="3933"/>
      <c r="PKU613" s="621"/>
      <c r="PKV613" s="3933"/>
      <c r="PKW613" s="3933"/>
      <c r="PKX613" s="3933"/>
      <c r="PKY613" s="621"/>
      <c r="PKZ613" s="3933"/>
      <c r="PLA613" s="3933"/>
      <c r="PLB613" s="3933"/>
      <c r="PLC613" s="621"/>
      <c r="PLD613" s="3933"/>
      <c r="PLE613" s="3933"/>
      <c r="PLF613" s="3933"/>
      <c r="PLG613" s="621"/>
      <c r="PLH613" s="3933"/>
      <c r="PLI613" s="3933"/>
      <c r="PLJ613" s="3933"/>
      <c r="PLK613" s="621"/>
      <c r="PLL613" s="3933"/>
      <c r="PLM613" s="3933"/>
      <c r="PLN613" s="3933"/>
      <c r="PLO613" s="621"/>
      <c r="PLP613" s="3933"/>
      <c r="PLQ613" s="3933"/>
      <c r="PLR613" s="3933"/>
      <c r="PLS613" s="621"/>
      <c r="PLT613" s="3933"/>
      <c r="PLU613" s="3933"/>
      <c r="PLV613" s="3933"/>
      <c r="PLW613" s="621"/>
      <c r="PLX613" s="3933"/>
      <c r="PLY613" s="3933"/>
      <c r="PLZ613" s="3933"/>
      <c r="PMA613" s="621"/>
      <c r="PMB613" s="3933"/>
      <c r="PMC613" s="3933"/>
      <c r="PMD613" s="3933"/>
      <c r="PME613" s="621"/>
      <c r="PMF613" s="3933"/>
      <c r="PMG613" s="3933"/>
      <c r="PMH613" s="3933"/>
      <c r="PMI613" s="621"/>
      <c r="PMJ613" s="3933"/>
      <c r="PMK613" s="3933"/>
      <c r="PML613" s="3933"/>
      <c r="PMM613" s="621"/>
      <c r="PMN613" s="3933"/>
      <c r="PMO613" s="3933"/>
      <c r="PMP613" s="3933"/>
      <c r="PMQ613" s="621"/>
      <c r="PMR613" s="3933"/>
      <c r="PMS613" s="3933"/>
      <c r="PMT613" s="3933"/>
      <c r="PMU613" s="621"/>
      <c r="PMV613" s="3933"/>
      <c r="PMW613" s="3933"/>
      <c r="PMX613" s="3933"/>
      <c r="PMY613" s="621"/>
      <c r="PMZ613" s="3933"/>
      <c r="PNA613" s="3933"/>
      <c r="PNB613" s="3933"/>
      <c r="PNC613" s="621"/>
      <c r="PND613" s="3933"/>
      <c r="PNE613" s="3933"/>
      <c r="PNF613" s="3933"/>
      <c r="PNG613" s="621"/>
      <c r="PNH613" s="3933"/>
      <c r="PNI613" s="3933"/>
      <c r="PNJ613" s="3933"/>
      <c r="PNK613" s="621"/>
      <c r="PNL613" s="3933"/>
      <c r="PNM613" s="3933"/>
      <c r="PNN613" s="3933"/>
      <c r="PNO613" s="621"/>
      <c r="PNP613" s="3933"/>
      <c r="PNQ613" s="3933"/>
      <c r="PNR613" s="3933"/>
      <c r="PNS613" s="621"/>
      <c r="PNT613" s="3933"/>
      <c r="PNU613" s="3933"/>
      <c r="PNV613" s="3933"/>
      <c r="PNW613" s="621"/>
      <c r="PNX613" s="3933"/>
      <c r="PNY613" s="3933"/>
      <c r="PNZ613" s="3933"/>
      <c r="POA613" s="621"/>
      <c r="POB613" s="3933"/>
      <c r="POC613" s="3933"/>
      <c r="POD613" s="3933"/>
      <c r="POE613" s="621"/>
      <c r="POF613" s="3933"/>
      <c r="POG613" s="3933"/>
      <c r="POH613" s="3933"/>
      <c r="POI613" s="621"/>
      <c r="POJ613" s="3933"/>
      <c r="POK613" s="3933"/>
      <c r="POL613" s="3933"/>
      <c r="POM613" s="621"/>
      <c r="PON613" s="3933"/>
      <c r="POO613" s="3933"/>
      <c r="POP613" s="3933"/>
      <c r="POQ613" s="621"/>
      <c r="POR613" s="3933"/>
      <c r="POS613" s="3933"/>
      <c r="POT613" s="3933"/>
      <c r="POU613" s="621"/>
      <c r="POV613" s="3933"/>
      <c r="POW613" s="3933"/>
      <c r="POX613" s="3933"/>
      <c r="POY613" s="621"/>
      <c r="POZ613" s="3933"/>
      <c r="PPA613" s="3933"/>
      <c r="PPB613" s="3933"/>
      <c r="PPC613" s="621"/>
      <c r="PPD613" s="3933"/>
      <c r="PPE613" s="3933"/>
      <c r="PPF613" s="3933"/>
      <c r="PPG613" s="621"/>
      <c r="PPH613" s="3933"/>
      <c r="PPI613" s="3933"/>
      <c r="PPJ613" s="3933"/>
      <c r="PPK613" s="621"/>
      <c r="PPL613" s="3933"/>
      <c r="PPM613" s="3933"/>
      <c r="PPN613" s="3933"/>
      <c r="PPO613" s="621"/>
      <c r="PPP613" s="3933"/>
      <c r="PPQ613" s="3933"/>
      <c r="PPR613" s="3933"/>
      <c r="PPS613" s="621"/>
      <c r="PPT613" s="3933"/>
      <c r="PPU613" s="3933"/>
      <c r="PPV613" s="3933"/>
      <c r="PPW613" s="621"/>
      <c r="PPX613" s="3933"/>
      <c r="PPY613" s="3933"/>
      <c r="PPZ613" s="3933"/>
      <c r="PQA613" s="621"/>
      <c r="PQB613" s="3933"/>
      <c r="PQC613" s="3933"/>
      <c r="PQD613" s="3933"/>
      <c r="PQE613" s="621"/>
      <c r="PQF613" s="3933"/>
      <c r="PQG613" s="3933"/>
      <c r="PQH613" s="3933"/>
      <c r="PQI613" s="621"/>
      <c r="PQJ613" s="3933"/>
      <c r="PQK613" s="3933"/>
      <c r="PQL613" s="3933"/>
      <c r="PQM613" s="621"/>
      <c r="PQN613" s="3933"/>
      <c r="PQO613" s="3933"/>
      <c r="PQP613" s="3933"/>
      <c r="PQQ613" s="621"/>
      <c r="PQR613" s="3933"/>
      <c r="PQS613" s="3933"/>
      <c r="PQT613" s="3933"/>
      <c r="PQU613" s="621"/>
      <c r="PQV613" s="3933"/>
      <c r="PQW613" s="3933"/>
      <c r="PQX613" s="3933"/>
      <c r="PQY613" s="621"/>
      <c r="PQZ613" s="3933"/>
      <c r="PRA613" s="3933"/>
      <c r="PRB613" s="3933"/>
      <c r="PRC613" s="621"/>
      <c r="PRD613" s="3933"/>
      <c r="PRE613" s="3933"/>
      <c r="PRF613" s="3933"/>
      <c r="PRG613" s="621"/>
      <c r="PRH613" s="3933"/>
      <c r="PRI613" s="3933"/>
      <c r="PRJ613" s="3933"/>
      <c r="PRK613" s="621"/>
      <c r="PRL613" s="3933"/>
      <c r="PRM613" s="3933"/>
      <c r="PRN613" s="3933"/>
      <c r="PRO613" s="621"/>
      <c r="PRP613" s="3933"/>
      <c r="PRQ613" s="3933"/>
      <c r="PRR613" s="3933"/>
      <c r="PRS613" s="621"/>
      <c r="PRT613" s="3933"/>
      <c r="PRU613" s="3933"/>
      <c r="PRV613" s="3933"/>
      <c r="PRW613" s="621"/>
      <c r="PRX613" s="3933"/>
      <c r="PRY613" s="3933"/>
      <c r="PRZ613" s="3933"/>
      <c r="PSA613" s="621"/>
      <c r="PSB613" s="3933"/>
      <c r="PSC613" s="3933"/>
      <c r="PSD613" s="3933"/>
      <c r="PSE613" s="621"/>
      <c r="PSF613" s="3933"/>
      <c r="PSG613" s="3933"/>
      <c r="PSH613" s="3933"/>
      <c r="PSI613" s="621"/>
      <c r="PSJ613" s="3933"/>
      <c r="PSK613" s="3933"/>
      <c r="PSL613" s="3933"/>
      <c r="PSM613" s="621"/>
      <c r="PSN613" s="3933"/>
      <c r="PSO613" s="3933"/>
      <c r="PSP613" s="3933"/>
      <c r="PSQ613" s="621"/>
      <c r="PSR613" s="3933"/>
      <c r="PSS613" s="3933"/>
      <c r="PST613" s="3933"/>
      <c r="PSU613" s="621"/>
      <c r="PSV613" s="3933"/>
      <c r="PSW613" s="3933"/>
      <c r="PSX613" s="3933"/>
      <c r="PSY613" s="621"/>
      <c r="PSZ613" s="3933"/>
      <c r="PTA613" s="3933"/>
      <c r="PTB613" s="3933"/>
      <c r="PTC613" s="621"/>
      <c r="PTD613" s="3933"/>
      <c r="PTE613" s="3933"/>
      <c r="PTF613" s="3933"/>
      <c r="PTG613" s="621"/>
      <c r="PTH613" s="3933"/>
      <c r="PTI613" s="3933"/>
      <c r="PTJ613" s="3933"/>
      <c r="PTK613" s="621"/>
      <c r="PTL613" s="3933"/>
      <c r="PTM613" s="3933"/>
      <c r="PTN613" s="3933"/>
      <c r="PTO613" s="621"/>
      <c r="PTP613" s="3933"/>
      <c r="PTQ613" s="3933"/>
      <c r="PTR613" s="3933"/>
      <c r="PTS613" s="621"/>
      <c r="PTT613" s="3933"/>
      <c r="PTU613" s="3933"/>
      <c r="PTV613" s="3933"/>
      <c r="PTW613" s="621"/>
      <c r="PTX613" s="3933"/>
      <c r="PTY613" s="3933"/>
      <c r="PTZ613" s="3933"/>
      <c r="PUA613" s="621"/>
      <c r="PUB613" s="3933"/>
      <c r="PUC613" s="3933"/>
      <c r="PUD613" s="3933"/>
      <c r="PUE613" s="621"/>
      <c r="PUF613" s="3933"/>
      <c r="PUG613" s="3933"/>
      <c r="PUH613" s="3933"/>
      <c r="PUI613" s="621"/>
      <c r="PUJ613" s="3933"/>
      <c r="PUK613" s="3933"/>
      <c r="PUL613" s="3933"/>
      <c r="PUM613" s="621"/>
      <c r="PUN613" s="3933"/>
      <c r="PUO613" s="3933"/>
      <c r="PUP613" s="3933"/>
      <c r="PUQ613" s="621"/>
      <c r="PUR613" s="3933"/>
      <c r="PUS613" s="3933"/>
      <c r="PUT613" s="3933"/>
      <c r="PUU613" s="621"/>
      <c r="PUV613" s="3933"/>
      <c r="PUW613" s="3933"/>
      <c r="PUX613" s="3933"/>
      <c r="PUY613" s="621"/>
      <c r="PUZ613" s="3933"/>
      <c r="PVA613" s="3933"/>
      <c r="PVB613" s="3933"/>
      <c r="PVC613" s="621"/>
      <c r="PVD613" s="3933"/>
      <c r="PVE613" s="3933"/>
      <c r="PVF613" s="3933"/>
      <c r="PVG613" s="621"/>
      <c r="PVH613" s="3933"/>
      <c r="PVI613" s="3933"/>
      <c r="PVJ613" s="3933"/>
      <c r="PVK613" s="621"/>
      <c r="PVL613" s="3933"/>
      <c r="PVM613" s="3933"/>
      <c r="PVN613" s="3933"/>
      <c r="PVO613" s="621"/>
      <c r="PVP613" s="3933"/>
      <c r="PVQ613" s="3933"/>
      <c r="PVR613" s="3933"/>
      <c r="PVS613" s="621"/>
      <c r="PVT613" s="3933"/>
      <c r="PVU613" s="3933"/>
      <c r="PVV613" s="3933"/>
      <c r="PVW613" s="621"/>
      <c r="PVX613" s="3933"/>
      <c r="PVY613" s="3933"/>
      <c r="PVZ613" s="3933"/>
      <c r="PWA613" s="621"/>
      <c r="PWB613" s="3933"/>
      <c r="PWC613" s="3933"/>
      <c r="PWD613" s="3933"/>
      <c r="PWE613" s="621"/>
      <c r="PWF613" s="3933"/>
      <c r="PWG613" s="3933"/>
      <c r="PWH613" s="3933"/>
      <c r="PWI613" s="621"/>
      <c r="PWJ613" s="3933"/>
      <c r="PWK613" s="3933"/>
      <c r="PWL613" s="3933"/>
      <c r="PWM613" s="621"/>
      <c r="PWN613" s="3933"/>
      <c r="PWO613" s="3933"/>
      <c r="PWP613" s="3933"/>
      <c r="PWQ613" s="621"/>
      <c r="PWR613" s="3933"/>
      <c r="PWS613" s="3933"/>
      <c r="PWT613" s="3933"/>
      <c r="PWU613" s="621"/>
      <c r="PWV613" s="3933"/>
      <c r="PWW613" s="3933"/>
      <c r="PWX613" s="3933"/>
      <c r="PWY613" s="621"/>
      <c r="PWZ613" s="3933"/>
      <c r="PXA613" s="3933"/>
      <c r="PXB613" s="3933"/>
      <c r="PXC613" s="621"/>
      <c r="PXD613" s="3933"/>
      <c r="PXE613" s="3933"/>
      <c r="PXF613" s="3933"/>
      <c r="PXG613" s="621"/>
      <c r="PXH613" s="3933"/>
      <c r="PXI613" s="3933"/>
      <c r="PXJ613" s="3933"/>
      <c r="PXK613" s="621"/>
      <c r="PXL613" s="3933"/>
      <c r="PXM613" s="3933"/>
      <c r="PXN613" s="3933"/>
      <c r="PXO613" s="621"/>
      <c r="PXP613" s="3933"/>
      <c r="PXQ613" s="3933"/>
      <c r="PXR613" s="3933"/>
      <c r="PXS613" s="621"/>
      <c r="PXT613" s="3933"/>
      <c r="PXU613" s="3933"/>
      <c r="PXV613" s="3933"/>
      <c r="PXW613" s="621"/>
      <c r="PXX613" s="3933"/>
      <c r="PXY613" s="3933"/>
      <c r="PXZ613" s="3933"/>
      <c r="PYA613" s="621"/>
      <c r="PYB613" s="3933"/>
      <c r="PYC613" s="3933"/>
      <c r="PYD613" s="3933"/>
      <c r="PYE613" s="621"/>
      <c r="PYF613" s="3933"/>
      <c r="PYG613" s="3933"/>
      <c r="PYH613" s="3933"/>
      <c r="PYI613" s="621"/>
      <c r="PYJ613" s="3933"/>
      <c r="PYK613" s="3933"/>
      <c r="PYL613" s="3933"/>
      <c r="PYM613" s="621"/>
      <c r="PYN613" s="3933"/>
      <c r="PYO613" s="3933"/>
      <c r="PYP613" s="3933"/>
      <c r="PYQ613" s="621"/>
      <c r="PYR613" s="3933"/>
      <c r="PYS613" s="3933"/>
      <c r="PYT613" s="3933"/>
      <c r="PYU613" s="621"/>
      <c r="PYV613" s="3933"/>
      <c r="PYW613" s="3933"/>
      <c r="PYX613" s="3933"/>
      <c r="PYY613" s="621"/>
      <c r="PYZ613" s="3933"/>
      <c r="PZA613" s="3933"/>
      <c r="PZB613" s="3933"/>
      <c r="PZC613" s="621"/>
      <c r="PZD613" s="3933"/>
      <c r="PZE613" s="3933"/>
      <c r="PZF613" s="3933"/>
      <c r="PZG613" s="621"/>
      <c r="PZH613" s="3933"/>
      <c r="PZI613" s="3933"/>
      <c r="PZJ613" s="3933"/>
      <c r="PZK613" s="621"/>
      <c r="PZL613" s="3933"/>
      <c r="PZM613" s="3933"/>
      <c r="PZN613" s="3933"/>
      <c r="PZO613" s="621"/>
      <c r="PZP613" s="3933"/>
      <c r="PZQ613" s="3933"/>
      <c r="PZR613" s="3933"/>
      <c r="PZS613" s="621"/>
      <c r="PZT613" s="3933"/>
      <c r="PZU613" s="3933"/>
      <c r="PZV613" s="3933"/>
      <c r="PZW613" s="621"/>
      <c r="PZX613" s="3933"/>
      <c r="PZY613" s="3933"/>
      <c r="PZZ613" s="3933"/>
      <c r="QAA613" s="621"/>
      <c r="QAB613" s="3933"/>
      <c r="QAC613" s="3933"/>
      <c r="QAD613" s="3933"/>
      <c r="QAE613" s="621"/>
      <c r="QAF613" s="3933"/>
      <c r="QAG613" s="3933"/>
      <c r="QAH613" s="3933"/>
      <c r="QAI613" s="621"/>
      <c r="QAJ613" s="3933"/>
      <c r="QAK613" s="3933"/>
      <c r="QAL613" s="3933"/>
      <c r="QAM613" s="621"/>
      <c r="QAN613" s="3933"/>
      <c r="QAO613" s="3933"/>
      <c r="QAP613" s="3933"/>
      <c r="QAQ613" s="621"/>
      <c r="QAR613" s="3933"/>
      <c r="QAS613" s="3933"/>
      <c r="QAT613" s="3933"/>
      <c r="QAU613" s="621"/>
      <c r="QAV613" s="3933"/>
      <c r="QAW613" s="3933"/>
      <c r="QAX613" s="3933"/>
      <c r="QAY613" s="621"/>
      <c r="QAZ613" s="3933"/>
      <c r="QBA613" s="3933"/>
      <c r="QBB613" s="3933"/>
      <c r="QBC613" s="621"/>
      <c r="QBD613" s="3933"/>
      <c r="QBE613" s="3933"/>
      <c r="QBF613" s="3933"/>
      <c r="QBG613" s="621"/>
      <c r="QBH613" s="3933"/>
      <c r="QBI613" s="3933"/>
      <c r="QBJ613" s="3933"/>
      <c r="QBK613" s="621"/>
      <c r="QBL613" s="3933"/>
      <c r="QBM613" s="3933"/>
      <c r="QBN613" s="3933"/>
      <c r="QBO613" s="621"/>
      <c r="QBP613" s="3933"/>
      <c r="QBQ613" s="3933"/>
      <c r="QBR613" s="3933"/>
      <c r="QBS613" s="621"/>
      <c r="QBT613" s="3933"/>
      <c r="QBU613" s="3933"/>
      <c r="QBV613" s="3933"/>
      <c r="QBW613" s="621"/>
      <c r="QBX613" s="3933"/>
      <c r="QBY613" s="3933"/>
      <c r="QBZ613" s="3933"/>
      <c r="QCA613" s="621"/>
      <c r="QCB613" s="3933"/>
      <c r="QCC613" s="3933"/>
      <c r="QCD613" s="3933"/>
      <c r="QCE613" s="621"/>
      <c r="QCF613" s="3933"/>
      <c r="QCG613" s="3933"/>
      <c r="QCH613" s="3933"/>
      <c r="QCI613" s="621"/>
      <c r="QCJ613" s="3933"/>
      <c r="QCK613" s="3933"/>
      <c r="QCL613" s="3933"/>
      <c r="QCM613" s="621"/>
      <c r="QCN613" s="3933"/>
      <c r="QCO613" s="3933"/>
      <c r="QCP613" s="3933"/>
      <c r="QCQ613" s="621"/>
      <c r="QCR613" s="3933"/>
      <c r="QCS613" s="3933"/>
      <c r="QCT613" s="3933"/>
      <c r="QCU613" s="621"/>
      <c r="QCV613" s="3933"/>
      <c r="QCW613" s="3933"/>
      <c r="QCX613" s="3933"/>
      <c r="QCY613" s="621"/>
      <c r="QCZ613" s="3933"/>
      <c r="QDA613" s="3933"/>
      <c r="QDB613" s="3933"/>
      <c r="QDC613" s="621"/>
      <c r="QDD613" s="3933"/>
      <c r="QDE613" s="3933"/>
      <c r="QDF613" s="3933"/>
      <c r="QDG613" s="621"/>
      <c r="QDH613" s="3933"/>
      <c r="QDI613" s="3933"/>
      <c r="QDJ613" s="3933"/>
      <c r="QDK613" s="621"/>
      <c r="QDL613" s="3933"/>
      <c r="QDM613" s="3933"/>
      <c r="QDN613" s="3933"/>
      <c r="QDO613" s="621"/>
      <c r="QDP613" s="3933"/>
      <c r="QDQ613" s="3933"/>
      <c r="QDR613" s="3933"/>
      <c r="QDS613" s="621"/>
      <c r="QDT613" s="3933"/>
      <c r="QDU613" s="3933"/>
      <c r="QDV613" s="3933"/>
      <c r="QDW613" s="621"/>
      <c r="QDX613" s="3933"/>
      <c r="QDY613" s="3933"/>
      <c r="QDZ613" s="3933"/>
      <c r="QEA613" s="621"/>
      <c r="QEB613" s="3933"/>
      <c r="QEC613" s="3933"/>
      <c r="QED613" s="3933"/>
      <c r="QEE613" s="621"/>
      <c r="QEF613" s="3933"/>
      <c r="QEG613" s="3933"/>
      <c r="QEH613" s="3933"/>
      <c r="QEI613" s="621"/>
      <c r="QEJ613" s="3933"/>
      <c r="QEK613" s="3933"/>
      <c r="QEL613" s="3933"/>
      <c r="QEM613" s="621"/>
      <c r="QEN613" s="3933"/>
      <c r="QEO613" s="3933"/>
      <c r="QEP613" s="3933"/>
      <c r="QEQ613" s="621"/>
      <c r="QER613" s="3933"/>
      <c r="QES613" s="3933"/>
      <c r="QET613" s="3933"/>
      <c r="QEU613" s="621"/>
      <c r="QEV613" s="3933"/>
      <c r="QEW613" s="3933"/>
      <c r="QEX613" s="3933"/>
      <c r="QEY613" s="621"/>
      <c r="QEZ613" s="3933"/>
      <c r="QFA613" s="3933"/>
      <c r="QFB613" s="3933"/>
      <c r="QFC613" s="621"/>
      <c r="QFD613" s="3933"/>
      <c r="QFE613" s="3933"/>
      <c r="QFF613" s="3933"/>
      <c r="QFG613" s="621"/>
      <c r="QFH613" s="3933"/>
      <c r="QFI613" s="3933"/>
      <c r="QFJ613" s="3933"/>
      <c r="QFK613" s="621"/>
      <c r="QFL613" s="3933"/>
      <c r="QFM613" s="3933"/>
      <c r="QFN613" s="3933"/>
      <c r="QFO613" s="621"/>
      <c r="QFP613" s="3933"/>
      <c r="QFQ613" s="3933"/>
      <c r="QFR613" s="3933"/>
      <c r="QFS613" s="621"/>
      <c r="QFT613" s="3933"/>
      <c r="QFU613" s="3933"/>
      <c r="QFV613" s="3933"/>
      <c r="QFW613" s="621"/>
      <c r="QFX613" s="3933"/>
      <c r="QFY613" s="3933"/>
      <c r="QFZ613" s="3933"/>
      <c r="QGA613" s="621"/>
      <c r="QGB613" s="3933"/>
      <c r="QGC613" s="3933"/>
      <c r="QGD613" s="3933"/>
      <c r="QGE613" s="621"/>
      <c r="QGF613" s="3933"/>
      <c r="QGG613" s="3933"/>
      <c r="QGH613" s="3933"/>
      <c r="QGI613" s="621"/>
      <c r="QGJ613" s="3933"/>
      <c r="QGK613" s="3933"/>
      <c r="QGL613" s="3933"/>
      <c r="QGM613" s="621"/>
      <c r="QGN613" s="3933"/>
      <c r="QGO613" s="3933"/>
      <c r="QGP613" s="3933"/>
      <c r="QGQ613" s="621"/>
      <c r="QGR613" s="3933"/>
      <c r="QGS613" s="3933"/>
      <c r="QGT613" s="3933"/>
      <c r="QGU613" s="621"/>
      <c r="QGV613" s="3933"/>
      <c r="QGW613" s="3933"/>
      <c r="QGX613" s="3933"/>
      <c r="QGY613" s="621"/>
      <c r="QGZ613" s="3933"/>
      <c r="QHA613" s="3933"/>
      <c r="QHB613" s="3933"/>
      <c r="QHC613" s="621"/>
      <c r="QHD613" s="3933"/>
      <c r="QHE613" s="3933"/>
      <c r="QHF613" s="3933"/>
      <c r="QHG613" s="621"/>
      <c r="QHH613" s="3933"/>
      <c r="QHI613" s="3933"/>
      <c r="QHJ613" s="3933"/>
      <c r="QHK613" s="621"/>
      <c r="QHL613" s="3933"/>
      <c r="QHM613" s="3933"/>
      <c r="QHN613" s="3933"/>
      <c r="QHO613" s="621"/>
      <c r="QHP613" s="3933"/>
      <c r="QHQ613" s="3933"/>
      <c r="QHR613" s="3933"/>
      <c r="QHS613" s="621"/>
      <c r="QHT613" s="3933"/>
      <c r="QHU613" s="3933"/>
      <c r="QHV613" s="3933"/>
      <c r="QHW613" s="621"/>
      <c r="QHX613" s="3933"/>
      <c r="QHY613" s="3933"/>
      <c r="QHZ613" s="3933"/>
      <c r="QIA613" s="621"/>
      <c r="QIB613" s="3933"/>
      <c r="QIC613" s="3933"/>
      <c r="QID613" s="3933"/>
      <c r="QIE613" s="621"/>
      <c r="QIF613" s="3933"/>
      <c r="QIG613" s="3933"/>
      <c r="QIH613" s="3933"/>
      <c r="QII613" s="621"/>
      <c r="QIJ613" s="3933"/>
      <c r="QIK613" s="3933"/>
      <c r="QIL613" s="3933"/>
      <c r="QIM613" s="621"/>
      <c r="QIN613" s="3933"/>
      <c r="QIO613" s="3933"/>
      <c r="QIP613" s="3933"/>
      <c r="QIQ613" s="621"/>
      <c r="QIR613" s="3933"/>
      <c r="QIS613" s="3933"/>
      <c r="QIT613" s="3933"/>
      <c r="QIU613" s="621"/>
      <c r="QIV613" s="3933"/>
      <c r="QIW613" s="3933"/>
      <c r="QIX613" s="3933"/>
      <c r="QIY613" s="621"/>
      <c r="QIZ613" s="3933"/>
      <c r="QJA613" s="3933"/>
      <c r="QJB613" s="3933"/>
      <c r="QJC613" s="621"/>
      <c r="QJD613" s="3933"/>
      <c r="QJE613" s="3933"/>
      <c r="QJF613" s="3933"/>
      <c r="QJG613" s="621"/>
      <c r="QJH613" s="3933"/>
      <c r="QJI613" s="3933"/>
      <c r="QJJ613" s="3933"/>
      <c r="QJK613" s="621"/>
      <c r="QJL613" s="3933"/>
      <c r="QJM613" s="3933"/>
      <c r="QJN613" s="3933"/>
      <c r="QJO613" s="621"/>
      <c r="QJP613" s="3933"/>
      <c r="QJQ613" s="3933"/>
      <c r="QJR613" s="3933"/>
      <c r="QJS613" s="621"/>
      <c r="QJT613" s="3933"/>
      <c r="QJU613" s="3933"/>
      <c r="QJV613" s="3933"/>
      <c r="QJW613" s="621"/>
      <c r="QJX613" s="3933"/>
      <c r="QJY613" s="3933"/>
      <c r="QJZ613" s="3933"/>
      <c r="QKA613" s="621"/>
      <c r="QKB613" s="3933"/>
      <c r="QKC613" s="3933"/>
      <c r="QKD613" s="3933"/>
      <c r="QKE613" s="621"/>
      <c r="QKF613" s="3933"/>
      <c r="QKG613" s="3933"/>
      <c r="QKH613" s="3933"/>
      <c r="QKI613" s="621"/>
      <c r="QKJ613" s="3933"/>
      <c r="QKK613" s="3933"/>
      <c r="QKL613" s="3933"/>
      <c r="QKM613" s="621"/>
      <c r="QKN613" s="3933"/>
      <c r="QKO613" s="3933"/>
      <c r="QKP613" s="3933"/>
      <c r="QKQ613" s="621"/>
      <c r="QKR613" s="3933"/>
      <c r="QKS613" s="3933"/>
      <c r="QKT613" s="3933"/>
      <c r="QKU613" s="621"/>
      <c r="QKV613" s="3933"/>
      <c r="QKW613" s="3933"/>
      <c r="QKX613" s="3933"/>
      <c r="QKY613" s="621"/>
      <c r="QKZ613" s="3933"/>
      <c r="QLA613" s="3933"/>
      <c r="QLB613" s="3933"/>
      <c r="QLC613" s="621"/>
      <c r="QLD613" s="3933"/>
      <c r="QLE613" s="3933"/>
      <c r="QLF613" s="3933"/>
      <c r="QLG613" s="621"/>
      <c r="QLH613" s="3933"/>
      <c r="QLI613" s="3933"/>
      <c r="QLJ613" s="3933"/>
      <c r="QLK613" s="621"/>
      <c r="QLL613" s="3933"/>
      <c r="QLM613" s="3933"/>
      <c r="QLN613" s="3933"/>
      <c r="QLO613" s="621"/>
      <c r="QLP613" s="3933"/>
      <c r="QLQ613" s="3933"/>
      <c r="QLR613" s="3933"/>
      <c r="QLS613" s="621"/>
      <c r="QLT613" s="3933"/>
      <c r="QLU613" s="3933"/>
      <c r="QLV613" s="3933"/>
      <c r="QLW613" s="621"/>
      <c r="QLX613" s="3933"/>
      <c r="QLY613" s="3933"/>
      <c r="QLZ613" s="3933"/>
      <c r="QMA613" s="621"/>
      <c r="QMB613" s="3933"/>
      <c r="QMC613" s="3933"/>
      <c r="QMD613" s="3933"/>
      <c r="QME613" s="621"/>
      <c r="QMF613" s="3933"/>
      <c r="QMG613" s="3933"/>
      <c r="QMH613" s="3933"/>
      <c r="QMI613" s="621"/>
      <c r="QMJ613" s="3933"/>
      <c r="QMK613" s="3933"/>
      <c r="QML613" s="3933"/>
      <c r="QMM613" s="621"/>
      <c r="QMN613" s="3933"/>
      <c r="QMO613" s="3933"/>
      <c r="QMP613" s="3933"/>
      <c r="QMQ613" s="621"/>
      <c r="QMR613" s="3933"/>
      <c r="QMS613" s="3933"/>
      <c r="QMT613" s="3933"/>
      <c r="QMU613" s="621"/>
      <c r="QMV613" s="3933"/>
      <c r="QMW613" s="3933"/>
      <c r="QMX613" s="3933"/>
      <c r="QMY613" s="621"/>
      <c r="QMZ613" s="3933"/>
      <c r="QNA613" s="3933"/>
      <c r="QNB613" s="3933"/>
      <c r="QNC613" s="621"/>
      <c r="QND613" s="3933"/>
      <c r="QNE613" s="3933"/>
      <c r="QNF613" s="3933"/>
      <c r="QNG613" s="621"/>
      <c r="QNH613" s="3933"/>
      <c r="QNI613" s="3933"/>
      <c r="QNJ613" s="3933"/>
      <c r="QNK613" s="621"/>
      <c r="QNL613" s="3933"/>
      <c r="QNM613" s="3933"/>
      <c r="QNN613" s="3933"/>
      <c r="QNO613" s="621"/>
      <c r="QNP613" s="3933"/>
      <c r="QNQ613" s="3933"/>
      <c r="QNR613" s="3933"/>
      <c r="QNS613" s="621"/>
      <c r="QNT613" s="3933"/>
      <c r="QNU613" s="3933"/>
      <c r="QNV613" s="3933"/>
      <c r="QNW613" s="621"/>
      <c r="QNX613" s="3933"/>
      <c r="QNY613" s="3933"/>
      <c r="QNZ613" s="3933"/>
      <c r="QOA613" s="621"/>
      <c r="QOB613" s="3933"/>
      <c r="QOC613" s="3933"/>
      <c r="QOD613" s="3933"/>
      <c r="QOE613" s="621"/>
      <c r="QOF613" s="3933"/>
      <c r="QOG613" s="3933"/>
      <c r="QOH613" s="3933"/>
      <c r="QOI613" s="621"/>
      <c r="QOJ613" s="3933"/>
      <c r="QOK613" s="3933"/>
      <c r="QOL613" s="3933"/>
      <c r="QOM613" s="621"/>
      <c r="QON613" s="3933"/>
      <c r="QOO613" s="3933"/>
      <c r="QOP613" s="3933"/>
      <c r="QOQ613" s="621"/>
      <c r="QOR613" s="3933"/>
      <c r="QOS613" s="3933"/>
      <c r="QOT613" s="3933"/>
      <c r="QOU613" s="621"/>
      <c r="QOV613" s="3933"/>
      <c r="QOW613" s="3933"/>
      <c r="QOX613" s="3933"/>
      <c r="QOY613" s="621"/>
      <c r="QOZ613" s="3933"/>
      <c r="QPA613" s="3933"/>
      <c r="QPB613" s="3933"/>
      <c r="QPC613" s="621"/>
      <c r="QPD613" s="3933"/>
      <c r="QPE613" s="3933"/>
      <c r="QPF613" s="3933"/>
      <c r="QPG613" s="621"/>
      <c r="QPH613" s="3933"/>
      <c r="QPI613" s="3933"/>
      <c r="QPJ613" s="3933"/>
      <c r="QPK613" s="621"/>
      <c r="QPL613" s="3933"/>
      <c r="QPM613" s="3933"/>
      <c r="QPN613" s="3933"/>
      <c r="QPO613" s="621"/>
      <c r="QPP613" s="3933"/>
      <c r="QPQ613" s="3933"/>
      <c r="QPR613" s="3933"/>
      <c r="QPS613" s="621"/>
      <c r="QPT613" s="3933"/>
      <c r="QPU613" s="3933"/>
      <c r="QPV613" s="3933"/>
      <c r="QPW613" s="621"/>
      <c r="QPX613" s="3933"/>
      <c r="QPY613" s="3933"/>
      <c r="QPZ613" s="3933"/>
      <c r="QQA613" s="621"/>
      <c r="QQB613" s="3933"/>
      <c r="QQC613" s="3933"/>
      <c r="QQD613" s="3933"/>
      <c r="QQE613" s="621"/>
      <c r="QQF613" s="3933"/>
      <c r="QQG613" s="3933"/>
      <c r="QQH613" s="3933"/>
      <c r="QQI613" s="621"/>
      <c r="QQJ613" s="3933"/>
      <c r="QQK613" s="3933"/>
      <c r="QQL613" s="3933"/>
      <c r="QQM613" s="621"/>
      <c r="QQN613" s="3933"/>
      <c r="QQO613" s="3933"/>
      <c r="QQP613" s="3933"/>
      <c r="QQQ613" s="621"/>
      <c r="QQR613" s="3933"/>
      <c r="QQS613" s="3933"/>
      <c r="QQT613" s="3933"/>
      <c r="QQU613" s="621"/>
      <c r="QQV613" s="3933"/>
      <c r="QQW613" s="3933"/>
      <c r="QQX613" s="3933"/>
      <c r="QQY613" s="621"/>
      <c r="QQZ613" s="3933"/>
      <c r="QRA613" s="3933"/>
      <c r="QRB613" s="3933"/>
      <c r="QRC613" s="621"/>
      <c r="QRD613" s="3933"/>
      <c r="QRE613" s="3933"/>
      <c r="QRF613" s="3933"/>
      <c r="QRG613" s="621"/>
      <c r="QRH613" s="3933"/>
      <c r="QRI613" s="3933"/>
      <c r="QRJ613" s="3933"/>
      <c r="QRK613" s="621"/>
      <c r="QRL613" s="3933"/>
      <c r="QRM613" s="3933"/>
      <c r="QRN613" s="3933"/>
      <c r="QRO613" s="621"/>
      <c r="QRP613" s="3933"/>
      <c r="QRQ613" s="3933"/>
      <c r="QRR613" s="3933"/>
      <c r="QRS613" s="621"/>
      <c r="QRT613" s="3933"/>
      <c r="QRU613" s="3933"/>
      <c r="QRV613" s="3933"/>
      <c r="QRW613" s="621"/>
      <c r="QRX613" s="3933"/>
      <c r="QRY613" s="3933"/>
      <c r="QRZ613" s="3933"/>
      <c r="QSA613" s="621"/>
      <c r="QSB613" s="3933"/>
      <c r="QSC613" s="3933"/>
      <c r="QSD613" s="3933"/>
      <c r="QSE613" s="621"/>
      <c r="QSF613" s="3933"/>
      <c r="QSG613" s="3933"/>
      <c r="QSH613" s="3933"/>
      <c r="QSI613" s="621"/>
      <c r="QSJ613" s="3933"/>
      <c r="QSK613" s="3933"/>
      <c r="QSL613" s="3933"/>
      <c r="QSM613" s="621"/>
      <c r="QSN613" s="3933"/>
      <c r="QSO613" s="3933"/>
      <c r="QSP613" s="3933"/>
      <c r="QSQ613" s="621"/>
      <c r="QSR613" s="3933"/>
      <c r="QSS613" s="3933"/>
      <c r="QST613" s="3933"/>
      <c r="QSU613" s="621"/>
      <c r="QSV613" s="3933"/>
      <c r="QSW613" s="3933"/>
      <c r="QSX613" s="3933"/>
      <c r="QSY613" s="621"/>
      <c r="QSZ613" s="3933"/>
      <c r="QTA613" s="3933"/>
      <c r="QTB613" s="3933"/>
      <c r="QTC613" s="621"/>
      <c r="QTD613" s="3933"/>
      <c r="QTE613" s="3933"/>
      <c r="QTF613" s="3933"/>
      <c r="QTG613" s="621"/>
      <c r="QTH613" s="3933"/>
      <c r="QTI613" s="3933"/>
      <c r="QTJ613" s="3933"/>
      <c r="QTK613" s="621"/>
      <c r="QTL613" s="3933"/>
      <c r="QTM613" s="3933"/>
      <c r="QTN613" s="3933"/>
      <c r="QTO613" s="621"/>
      <c r="QTP613" s="3933"/>
      <c r="QTQ613" s="3933"/>
      <c r="QTR613" s="3933"/>
      <c r="QTS613" s="621"/>
      <c r="QTT613" s="3933"/>
      <c r="QTU613" s="3933"/>
      <c r="QTV613" s="3933"/>
      <c r="QTW613" s="621"/>
      <c r="QTX613" s="3933"/>
      <c r="QTY613" s="3933"/>
      <c r="QTZ613" s="3933"/>
      <c r="QUA613" s="621"/>
      <c r="QUB613" s="3933"/>
      <c r="QUC613" s="3933"/>
      <c r="QUD613" s="3933"/>
      <c r="QUE613" s="621"/>
      <c r="QUF613" s="3933"/>
      <c r="QUG613" s="3933"/>
      <c r="QUH613" s="3933"/>
      <c r="QUI613" s="621"/>
      <c r="QUJ613" s="3933"/>
      <c r="QUK613" s="3933"/>
      <c r="QUL613" s="3933"/>
      <c r="QUM613" s="621"/>
      <c r="QUN613" s="3933"/>
      <c r="QUO613" s="3933"/>
      <c r="QUP613" s="3933"/>
      <c r="QUQ613" s="621"/>
      <c r="QUR613" s="3933"/>
      <c r="QUS613" s="3933"/>
      <c r="QUT613" s="3933"/>
      <c r="QUU613" s="621"/>
      <c r="QUV613" s="3933"/>
      <c r="QUW613" s="3933"/>
      <c r="QUX613" s="3933"/>
      <c r="QUY613" s="621"/>
      <c r="QUZ613" s="3933"/>
      <c r="QVA613" s="3933"/>
      <c r="QVB613" s="3933"/>
      <c r="QVC613" s="621"/>
      <c r="QVD613" s="3933"/>
      <c r="QVE613" s="3933"/>
      <c r="QVF613" s="3933"/>
      <c r="QVG613" s="621"/>
      <c r="QVH613" s="3933"/>
      <c r="QVI613" s="3933"/>
      <c r="QVJ613" s="3933"/>
      <c r="QVK613" s="621"/>
      <c r="QVL613" s="3933"/>
      <c r="QVM613" s="3933"/>
      <c r="QVN613" s="3933"/>
      <c r="QVO613" s="621"/>
      <c r="QVP613" s="3933"/>
      <c r="QVQ613" s="3933"/>
      <c r="QVR613" s="3933"/>
      <c r="QVS613" s="621"/>
      <c r="QVT613" s="3933"/>
      <c r="QVU613" s="3933"/>
      <c r="QVV613" s="3933"/>
      <c r="QVW613" s="621"/>
      <c r="QVX613" s="3933"/>
      <c r="QVY613" s="3933"/>
      <c r="QVZ613" s="3933"/>
      <c r="QWA613" s="621"/>
      <c r="QWB613" s="3933"/>
      <c r="QWC613" s="3933"/>
      <c r="QWD613" s="3933"/>
      <c r="QWE613" s="621"/>
      <c r="QWF613" s="3933"/>
      <c r="QWG613" s="3933"/>
      <c r="QWH613" s="3933"/>
      <c r="QWI613" s="621"/>
      <c r="QWJ613" s="3933"/>
      <c r="QWK613" s="3933"/>
      <c r="QWL613" s="3933"/>
      <c r="QWM613" s="621"/>
      <c r="QWN613" s="3933"/>
      <c r="QWO613" s="3933"/>
      <c r="QWP613" s="3933"/>
      <c r="QWQ613" s="621"/>
      <c r="QWR613" s="3933"/>
      <c r="QWS613" s="3933"/>
      <c r="QWT613" s="3933"/>
      <c r="QWU613" s="621"/>
      <c r="QWV613" s="3933"/>
      <c r="QWW613" s="3933"/>
      <c r="QWX613" s="3933"/>
      <c r="QWY613" s="621"/>
      <c r="QWZ613" s="3933"/>
      <c r="QXA613" s="3933"/>
      <c r="QXB613" s="3933"/>
      <c r="QXC613" s="621"/>
      <c r="QXD613" s="3933"/>
      <c r="QXE613" s="3933"/>
      <c r="QXF613" s="3933"/>
      <c r="QXG613" s="621"/>
      <c r="QXH613" s="3933"/>
      <c r="QXI613" s="3933"/>
      <c r="QXJ613" s="3933"/>
      <c r="QXK613" s="621"/>
      <c r="QXL613" s="3933"/>
      <c r="QXM613" s="3933"/>
      <c r="QXN613" s="3933"/>
      <c r="QXO613" s="621"/>
      <c r="QXP613" s="3933"/>
      <c r="QXQ613" s="3933"/>
      <c r="QXR613" s="3933"/>
      <c r="QXS613" s="621"/>
      <c r="QXT613" s="3933"/>
      <c r="QXU613" s="3933"/>
      <c r="QXV613" s="3933"/>
      <c r="QXW613" s="621"/>
      <c r="QXX613" s="3933"/>
      <c r="QXY613" s="3933"/>
      <c r="QXZ613" s="3933"/>
      <c r="QYA613" s="621"/>
      <c r="QYB613" s="3933"/>
      <c r="QYC613" s="3933"/>
      <c r="QYD613" s="3933"/>
      <c r="QYE613" s="621"/>
      <c r="QYF613" s="3933"/>
      <c r="QYG613" s="3933"/>
      <c r="QYH613" s="3933"/>
      <c r="QYI613" s="621"/>
      <c r="QYJ613" s="3933"/>
      <c r="QYK613" s="3933"/>
      <c r="QYL613" s="3933"/>
      <c r="QYM613" s="621"/>
      <c r="QYN613" s="3933"/>
      <c r="QYO613" s="3933"/>
      <c r="QYP613" s="3933"/>
      <c r="QYQ613" s="621"/>
      <c r="QYR613" s="3933"/>
      <c r="QYS613" s="3933"/>
      <c r="QYT613" s="3933"/>
      <c r="QYU613" s="621"/>
      <c r="QYV613" s="3933"/>
      <c r="QYW613" s="3933"/>
      <c r="QYX613" s="3933"/>
      <c r="QYY613" s="621"/>
      <c r="QYZ613" s="3933"/>
      <c r="QZA613" s="3933"/>
      <c r="QZB613" s="3933"/>
      <c r="QZC613" s="621"/>
      <c r="QZD613" s="3933"/>
      <c r="QZE613" s="3933"/>
      <c r="QZF613" s="3933"/>
      <c r="QZG613" s="621"/>
      <c r="QZH613" s="3933"/>
      <c r="QZI613" s="3933"/>
      <c r="QZJ613" s="3933"/>
      <c r="QZK613" s="621"/>
      <c r="QZL613" s="3933"/>
      <c r="QZM613" s="3933"/>
      <c r="QZN613" s="3933"/>
      <c r="QZO613" s="621"/>
      <c r="QZP613" s="3933"/>
      <c r="QZQ613" s="3933"/>
      <c r="QZR613" s="3933"/>
      <c r="QZS613" s="621"/>
      <c r="QZT613" s="3933"/>
      <c r="QZU613" s="3933"/>
      <c r="QZV613" s="3933"/>
      <c r="QZW613" s="621"/>
      <c r="QZX613" s="3933"/>
      <c r="QZY613" s="3933"/>
      <c r="QZZ613" s="3933"/>
      <c r="RAA613" s="621"/>
      <c r="RAB613" s="3933"/>
      <c r="RAC613" s="3933"/>
      <c r="RAD613" s="3933"/>
      <c r="RAE613" s="621"/>
      <c r="RAF613" s="3933"/>
      <c r="RAG613" s="3933"/>
      <c r="RAH613" s="3933"/>
      <c r="RAI613" s="621"/>
      <c r="RAJ613" s="3933"/>
      <c r="RAK613" s="3933"/>
      <c r="RAL613" s="3933"/>
      <c r="RAM613" s="621"/>
      <c r="RAN613" s="3933"/>
      <c r="RAO613" s="3933"/>
      <c r="RAP613" s="3933"/>
      <c r="RAQ613" s="621"/>
      <c r="RAR613" s="3933"/>
      <c r="RAS613" s="3933"/>
      <c r="RAT613" s="3933"/>
      <c r="RAU613" s="621"/>
      <c r="RAV613" s="3933"/>
      <c r="RAW613" s="3933"/>
      <c r="RAX613" s="3933"/>
      <c r="RAY613" s="621"/>
      <c r="RAZ613" s="3933"/>
      <c r="RBA613" s="3933"/>
      <c r="RBB613" s="3933"/>
      <c r="RBC613" s="621"/>
      <c r="RBD613" s="3933"/>
      <c r="RBE613" s="3933"/>
      <c r="RBF613" s="3933"/>
      <c r="RBG613" s="621"/>
      <c r="RBH613" s="3933"/>
      <c r="RBI613" s="3933"/>
      <c r="RBJ613" s="3933"/>
      <c r="RBK613" s="621"/>
      <c r="RBL613" s="3933"/>
      <c r="RBM613" s="3933"/>
      <c r="RBN613" s="3933"/>
      <c r="RBO613" s="621"/>
      <c r="RBP613" s="3933"/>
      <c r="RBQ613" s="3933"/>
      <c r="RBR613" s="3933"/>
      <c r="RBS613" s="621"/>
      <c r="RBT613" s="3933"/>
      <c r="RBU613" s="3933"/>
      <c r="RBV613" s="3933"/>
      <c r="RBW613" s="621"/>
      <c r="RBX613" s="3933"/>
      <c r="RBY613" s="3933"/>
      <c r="RBZ613" s="3933"/>
      <c r="RCA613" s="621"/>
      <c r="RCB613" s="3933"/>
      <c r="RCC613" s="3933"/>
      <c r="RCD613" s="3933"/>
      <c r="RCE613" s="621"/>
      <c r="RCF613" s="3933"/>
      <c r="RCG613" s="3933"/>
      <c r="RCH613" s="3933"/>
      <c r="RCI613" s="621"/>
      <c r="RCJ613" s="3933"/>
      <c r="RCK613" s="3933"/>
      <c r="RCL613" s="3933"/>
      <c r="RCM613" s="621"/>
      <c r="RCN613" s="3933"/>
      <c r="RCO613" s="3933"/>
      <c r="RCP613" s="3933"/>
      <c r="RCQ613" s="621"/>
      <c r="RCR613" s="3933"/>
      <c r="RCS613" s="3933"/>
      <c r="RCT613" s="3933"/>
      <c r="RCU613" s="621"/>
      <c r="RCV613" s="3933"/>
      <c r="RCW613" s="3933"/>
      <c r="RCX613" s="3933"/>
      <c r="RCY613" s="621"/>
      <c r="RCZ613" s="3933"/>
      <c r="RDA613" s="3933"/>
      <c r="RDB613" s="3933"/>
      <c r="RDC613" s="621"/>
      <c r="RDD613" s="3933"/>
      <c r="RDE613" s="3933"/>
      <c r="RDF613" s="3933"/>
      <c r="RDG613" s="621"/>
      <c r="RDH613" s="3933"/>
      <c r="RDI613" s="3933"/>
      <c r="RDJ613" s="3933"/>
      <c r="RDK613" s="621"/>
      <c r="RDL613" s="3933"/>
      <c r="RDM613" s="3933"/>
      <c r="RDN613" s="3933"/>
      <c r="RDO613" s="621"/>
      <c r="RDP613" s="3933"/>
      <c r="RDQ613" s="3933"/>
      <c r="RDR613" s="3933"/>
      <c r="RDS613" s="621"/>
      <c r="RDT613" s="3933"/>
      <c r="RDU613" s="3933"/>
      <c r="RDV613" s="3933"/>
      <c r="RDW613" s="621"/>
      <c r="RDX613" s="3933"/>
      <c r="RDY613" s="3933"/>
      <c r="RDZ613" s="3933"/>
      <c r="REA613" s="621"/>
      <c r="REB613" s="3933"/>
      <c r="REC613" s="3933"/>
      <c r="RED613" s="3933"/>
      <c r="REE613" s="621"/>
      <c r="REF613" s="3933"/>
      <c r="REG613" s="3933"/>
      <c r="REH613" s="3933"/>
      <c r="REI613" s="621"/>
      <c r="REJ613" s="3933"/>
      <c r="REK613" s="3933"/>
      <c r="REL613" s="3933"/>
      <c r="REM613" s="621"/>
      <c r="REN613" s="3933"/>
      <c r="REO613" s="3933"/>
      <c r="REP613" s="3933"/>
      <c r="REQ613" s="621"/>
      <c r="RER613" s="3933"/>
      <c r="RES613" s="3933"/>
      <c r="RET613" s="3933"/>
      <c r="REU613" s="621"/>
      <c r="REV613" s="3933"/>
      <c r="REW613" s="3933"/>
      <c r="REX613" s="3933"/>
      <c r="REY613" s="621"/>
      <c r="REZ613" s="3933"/>
      <c r="RFA613" s="3933"/>
      <c r="RFB613" s="3933"/>
      <c r="RFC613" s="621"/>
      <c r="RFD613" s="3933"/>
      <c r="RFE613" s="3933"/>
      <c r="RFF613" s="3933"/>
      <c r="RFG613" s="621"/>
      <c r="RFH613" s="3933"/>
      <c r="RFI613" s="3933"/>
      <c r="RFJ613" s="3933"/>
      <c r="RFK613" s="621"/>
      <c r="RFL613" s="3933"/>
      <c r="RFM613" s="3933"/>
      <c r="RFN613" s="3933"/>
      <c r="RFO613" s="621"/>
      <c r="RFP613" s="3933"/>
      <c r="RFQ613" s="3933"/>
      <c r="RFR613" s="3933"/>
      <c r="RFS613" s="621"/>
      <c r="RFT613" s="3933"/>
      <c r="RFU613" s="3933"/>
      <c r="RFV613" s="3933"/>
      <c r="RFW613" s="621"/>
      <c r="RFX613" s="3933"/>
      <c r="RFY613" s="3933"/>
      <c r="RFZ613" s="3933"/>
      <c r="RGA613" s="621"/>
      <c r="RGB613" s="3933"/>
      <c r="RGC613" s="3933"/>
      <c r="RGD613" s="3933"/>
      <c r="RGE613" s="621"/>
      <c r="RGF613" s="3933"/>
      <c r="RGG613" s="3933"/>
      <c r="RGH613" s="3933"/>
      <c r="RGI613" s="621"/>
      <c r="RGJ613" s="3933"/>
      <c r="RGK613" s="3933"/>
      <c r="RGL613" s="3933"/>
      <c r="RGM613" s="621"/>
      <c r="RGN613" s="3933"/>
      <c r="RGO613" s="3933"/>
      <c r="RGP613" s="3933"/>
      <c r="RGQ613" s="621"/>
      <c r="RGR613" s="3933"/>
      <c r="RGS613" s="3933"/>
      <c r="RGT613" s="3933"/>
      <c r="RGU613" s="621"/>
      <c r="RGV613" s="3933"/>
      <c r="RGW613" s="3933"/>
      <c r="RGX613" s="3933"/>
      <c r="RGY613" s="621"/>
      <c r="RGZ613" s="3933"/>
      <c r="RHA613" s="3933"/>
      <c r="RHB613" s="3933"/>
      <c r="RHC613" s="621"/>
      <c r="RHD613" s="3933"/>
      <c r="RHE613" s="3933"/>
      <c r="RHF613" s="3933"/>
      <c r="RHG613" s="621"/>
      <c r="RHH613" s="3933"/>
      <c r="RHI613" s="3933"/>
      <c r="RHJ613" s="3933"/>
      <c r="RHK613" s="621"/>
      <c r="RHL613" s="3933"/>
      <c r="RHM613" s="3933"/>
      <c r="RHN613" s="3933"/>
      <c r="RHO613" s="621"/>
      <c r="RHP613" s="3933"/>
      <c r="RHQ613" s="3933"/>
      <c r="RHR613" s="3933"/>
      <c r="RHS613" s="621"/>
      <c r="RHT613" s="3933"/>
      <c r="RHU613" s="3933"/>
      <c r="RHV613" s="3933"/>
      <c r="RHW613" s="621"/>
      <c r="RHX613" s="3933"/>
      <c r="RHY613" s="3933"/>
      <c r="RHZ613" s="3933"/>
      <c r="RIA613" s="621"/>
      <c r="RIB613" s="3933"/>
      <c r="RIC613" s="3933"/>
      <c r="RID613" s="3933"/>
      <c r="RIE613" s="621"/>
      <c r="RIF613" s="3933"/>
      <c r="RIG613" s="3933"/>
      <c r="RIH613" s="3933"/>
      <c r="RII613" s="621"/>
      <c r="RIJ613" s="3933"/>
      <c r="RIK613" s="3933"/>
      <c r="RIL613" s="3933"/>
      <c r="RIM613" s="621"/>
      <c r="RIN613" s="3933"/>
      <c r="RIO613" s="3933"/>
      <c r="RIP613" s="3933"/>
      <c r="RIQ613" s="621"/>
      <c r="RIR613" s="3933"/>
      <c r="RIS613" s="3933"/>
      <c r="RIT613" s="3933"/>
      <c r="RIU613" s="621"/>
      <c r="RIV613" s="3933"/>
      <c r="RIW613" s="3933"/>
      <c r="RIX613" s="3933"/>
      <c r="RIY613" s="621"/>
      <c r="RIZ613" s="3933"/>
      <c r="RJA613" s="3933"/>
      <c r="RJB613" s="3933"/>
      <c r="RJC613" s="621"/>
      <c r="RJD613" s="3933"/>
      <c r="RJE613" s="3933"/>
      <c r="RJF613" s="3933"/>
      <c r="RJG613" s="621"/>
      <c r="RJH613" s="3933"/>
      <c r="RJI613" s="3933"/>
      <c r="RJJ613" s="3933"/>
      <c r="RJK613" s="621"/>
      <c r="RJL613" s="3933"/>
      <c r="RJM613" s="3933"/>
      <c r="RJN613" s="3933"/>
      <c r="RJO613" s="621"/>
      <c r="RJP613" s="3933"/>
      <c r="RJQ613" s="3933"/>
      <c r="RJR613" s="3933"/>
      <c r="RJS613" s="621"/>
      <c r="RJT613" s="3933"/>
      <c r="RJU613" s="3933"/>
      <c r="RJV613" s="3933"/>
      <c r="RJW613" s="621"/>
      <c r="RJX613" s="3933"/>
      <c r="RJY613" s="3933"/>
      <c r="RJZ613" s="3933"/>
      <c r="RKA613" s="621"/>
      <c r="RKB613" s="3933"/>
      <c r="RKC613" s="3933"/>
      <c r="RKD613" s="3933"/>
      <c r="RKE613" s="621"/>
      <c r="RKF613" s="3933"/>
      <c r="RKG613" s="3933"/>
      <c r="RKH613" s="3933"/>
      <c r="RKI613" s="621"/>
      <c r="RKJ613" s="3933"/>
      <c r="RKK613" s="3933"/>
      <c r="RKL613" s="3933"/>
      <c r="RKM613" s="621"/>
      <c r="RKN613" s="3933"/>
      <c r="RKO613" s="3933"/>
      <c r="RKP613" s="3933"/>
      <c r="RKQ613" s="621"/>
      <c r="RKR613" s="3933"/>
      <c r="RKS613" s="3933"/>
      <c r="RKT613" s="3933"/>
      <c r="RKU613" s="621"/>
      <c r="RKV613" s="3933"/>
      <c r="RKW613" s="3933"/>
      <c r="RKX613" s="3933"/>
      <c r="RKY613" s="621"/>
      <c r="RKZ613" s="3933"/>
      <c r="RLA613" s="3933"/>
      <c r="RLB613" s="3933"/>
      <c r="RLC613" s="621"/>
      <c r="RLD613" s="3933"/>
      <c r="RLE613" s="3933"/>
      <c r="RLF613" s="3933"/>
      <c r="RLG613" s="621"/>
      <c r="RLH613" s="3933"/>
      <c r="RLI613" s="3933"/>
      <c r="RLJ613" s="3933"/>
      <c r="RLK613" s="621"/>
      <c r="RLL613" s="3933"/>
      <c r="RLM613" s="3933"/>
      <c r="RLN613" s="3933"/>
      <c r="RLO613" s="621"/>
      <c r="RLP613" s="3933"/>
      <c r="RLQ613" s="3933"/>
      <c r="RLR613" s="3933"/>
      <c r="RLS613" s="621"/>
      <c r="RLT613" s="3933"/>
      <c r="RLU613" s="3933"/>
      <c r="RLV613" s="3933"/>
      <c r="RLW613" s="621"/>
      <c r="RLX613" s="3933"/>
      <c r="RLY613" s="3933"/>
      <c r="RLZ613" s="3933"/>
      <c r="RMA613" s="621"/>
      <c r="RMB613" s="3933"/>
      <c r="RMC613" s="3933"/>
      <c r="RMD613" s="3933"/>
      <c r="RME613" s="621"/>
      <c r="RMF613" s="3933"/>
      <c r="RMG613" s="3933"/>
      <c r="RMH613" s="3933"/>
      <c r="RMI613" s="621"/>
      <c r="RMJ613" s="3933"/>
      <c r="RMK613" s="3933"/>
      <c r="RML613" s="3933"/>
      <c r="RMM613" s="621"/>
      <c r="RMN613" s="3933"/>
      <c r="RMO613" s="3933"/>
      <c r="RMP613" s="3933"/>
      <c r="RMQ613" s="621"/>
      <c r="RMR613" s="3933"/>
      <c r="RMS613" s="3933"/>
      <c r="RMT613" s="3933"/>
      <c r="RMU613" s="621"/>
      <c r="RMV613" s="3933"/>
      <c r="RMW613" s="3933"/>
      <c r="RMX613" s="3933"/>
      <c r="RMY613" s="621"/>
      <c r="RMZ613" s="3933"/>
      <c r="RNA613" s="3933"/>
      <c r="RNB613" s="3933"/>
      <c r="RNC613" s="621"/>
      <c r="RND613" s="3933"/>
      <c r="RNE613" s="3933"/>
      <c r="RNF613" s="3933"/>
      <c r="RNG613" s="621"/>
      <c r="RNH613" s="3933"/>
      <c r="RNI613" s="3933"/>
      <c r="RNJ613" s="3933"/>
      <c r="RNK613" s="621"/>
      <c r="RNL613" s="3933"/>
      <c r="RNM613" s="3933"/>
      <c r="RNN613" s="3933"/>
      <c r="RNO613" s="621"/>
      <c r="RNP613" s="3933"/>
      <c r="RNQ613" s="3933"/>
      <c r="RNR613" s="3933"/>
      <c r="RNS613" s="621"/>
      <c r="RNT613" s="3933"/>
      <c r="RNU613" s="3933"/>
      <c r="RNV613" s="3933"/>
      <c r="RNW613" s="621"/>
      <c r="RNX613" s="3933"/>
      <c r="RNY613" s="3933"/>
      <c r="RNZ613" s="3933"/>
      <c r="ROA613" s="621"/>
      <c r="ROB613" s="3933"/>
      <c r="ROC613" s="3933"/>
      <c r="ROD613" s="3933"/>
      <c r="ROE613" s="621"/>
      <c r="ROF613" s="3933"/>
      <c r="ROG613" s="3933"/>
      <c r="ROH613" s="3933"/>
      <c r="ROI613" s="621"/>
      <c r="ROJ613" s="3933"/>
      <c r="ROK613" s="3933"/>
      <c r="ROL613" s="3933"/>
      <c r="ROM613" s="621"/>
      <c r="RON613" s="3933"/>
      <c r="ROO613" s="3933"/>
      <c r="ROP613" s="3933"/>
      <c r="ROQ613" s="621"/>
      <c r="ROR613" s="3933"/>
      <c r="ROS613" s="3933"/>
      <c r="ROT613" s="3933"/>
      <c r="ROU613" s="621"/>
      <c r="ROV613" s="3933"/>
      <c r="ROW613" s="3933"/>
      <c r="ROX613" s="3933"/>
      <c r="ROY613" s="621"/>
      <c r="ROZ613" s="3933"/>
      <c r="RPA613" s="3933"/>
      <c r="RPB613" s="3933"/>
      <c r="RPC613" s="621"/>
      <c r="RPD613" s="3933"/>
      <c r="RPE613" s="3933"/>
      <c r="RPF613" s="3933"/>
      <c r="RPG613" s="621"/>
      <c r="RPH613" s="3933"/>
      <c r="RPI613" s="3933"/>
      <c r="RPJ613" s="3933"/>
      <c r="RPK613" s="621"/>
      <c r="RPL613" s="3933"/>
      <c r="RPM613" s="3933"/>
      <c r="RPN613" s="3933"/>
      <c r="RPO613" s="621"/>
      <c r="RPP613" s="3933"/>
      <c r="RPQ613" s="3933"/>
      <c r="RPR613" s="3933"/>
      <c r="RPS613" s="621"/>
      <c r="RPT613" s="3933"/>
      <c r="RPU613" s="3933"/>
      <c r="RPV613" s="3933"/>
      <c r="RPW613" s="621"/>
      <c r="RPX613" s="3933"/>
      <c r="RPY613" s="3933"/>
      <c r="RPZ613" s="3933"/>
      <c r="RQA613" s="621"/>
      <c r="RQB613" s="3933"/>
      <c r="RQC613" s="3933"/>
      <c r="RQD613" s="3933"/>
      <c r="RQE613" s="621"/>
      <c r="RQF613" s="3933"/>
      <c r="RQG613" s="3933"/>
      <c r="RQH613" s="3933"/>
      <c r="RQI613" s="621"/>
      <c r="RQJ613" s="3933"/>
      <c r="RQK613" s="3933"/>
      <c r="RQL613" s="3933"/>
      <c r="RQM613" s="621"/>
      <c r="RQN613" s="3933"/>
      <c r="RQO613" s="3933"/>
      <c r="RQP613" s="3933"/>
      <c r="RQQ613" s="621"/>
      <c r="RQR613" s="3933"/>
      <c r="RQS613" s="3933"/>
      <c r="RQT613" s="3933"/>
      <c r="RQU613" s="621"/>
      <c r="RQV613" s="3933"/>
      <c r="RQW613" s="3933"/>
      <c r="RQX613" s="3933"/>
      <c r="RQY613" s="621"/>
      <c r="RQZ613" s="3933"/>
      <c r="RRA613" s="3933"/>
      <c r="RRB613" s="3933"/>
      <c r="RRC613" s="621"/>
      <c r="RRD613" s="3933"/>
      <c r="RRE613" s="3933"/>
      <c r="RRF613" s="3933"/>
      <c r="RRG613" s="621"/>
      <c r="RRH613" s="3933"/>
      <c r="RRI613" s="3933"/>
      <c r="RRJ613" s="3933"/>
      <c r="RRK613" s="621"/>
      <c r="RRL613" s="3933"/>
      <c r="RRM613" s="3933"/>
      <c r="RRN613" s="3933"/>
      <c r="RRO613" s="621"/>
      <c r="RRP613" s="3933"/>
      <c r="RRQ613" s="3933"/>
      <c r="RRR613" s="3933"/>
      <c r="RRS613" s="621"/>
      <c r="RRT613" s="3933"/>
      <c r="RRU613" s="3933"/>
      <c r="RRV613" s="3933"/>
      <c r="RRW613" s="621"/>
      <c r="RRX613" s="3933"/>
      <c r="RRY613" s="3933"/>
      <c r="RRZ613" s="3933"/>
      <c r="RSA613" s="621"/>
      <c r="RSB613" s="3933"/>
      <c r="RSC613" s="3933"/>
      <c r="RSD613" s="3933"/>
      <c r="RSE613" s="621"/>
      <c r="RSF613" s="3933"/>
      <c r="RSG613" s="3933"/>
      <c r="RSH613" s="3933"/>
      <c r="RSI613" s="621"/>
      <c r="RSJ613" s="3933"/>
      <c r="RSK613" s="3933"/>
      <c r="RSL613" s="3933"/>
      <c r="RSM613" s="621"/>
      <c r="RSN613" s="3933"/>
      <c r="RSO613" s="3933"/>
      <c r="RSP613" s="3933"/>
      <c r="RSQ613" s="621"/>
      <c r="RSR613" s="3933"/>
      <c r="RSS613" s="3933"/>
      <c r="RST613" s="3933"/>
      <c r="RSU613" s="621"/>
      <c r="RSV613" s="3933"/>
      <c r="RSW613" s="3933"/>
      <c r="RSX613" s="3933"/>
      <c r="RSY613" s="621"/>
      <c r="RSZ613" s="3933"/>
      <c r="RTA613" s="3933"/>
      <c r="RTB613" s="3933"/>
      <c r="RTC613" s="621"/>
      <c r="RTD613" s="3933"/>
      <c r="RTE613" s="3933"/>
      <c r="RTF613" s="3933"/>
      <c r="RTG613" s="621"/>
      <c r="RTH613" s="3933"/>
      <c r="RTI613" s="3933"/>
      <c r="RTJ613" s="3933"/>
      <c r="RTK613" s="621"/>
      <c r="RTL613" s="3933"/>
      <c r="RTM613" s="3933"/>
      <c r="RTN613" s="3933"/>
      <c r="RTO613" s="621"/>
      <c r="RTP613" s="3933"/>
      <c r="RTQ613" s="3933"/>
      <c r="RTR613" s="3933"/>
      <c r="RTS613" s="621"/>
      <c r="RTT613" s="3933"/>
      <c r="RTU613" s="3933"/>
      <c r="RTV613" s="3933"/>
      <c r="RTW613" s="621"/>
      <c r="RTX613" s="3933"/>
      <c r="RTY613" s="3933"/>
      <c r="RTZ613" s="3933"/>
      <c r="RUA613" s="621"/>
      <c r="RUB613" s="3933"/>
      <c r="RUC613" s="3933"/>
      <c r="RUD613" s="3933"/>
      <c r="RUE613" s="621"/>
      <c r="RUF613" s="3933"/>
      <c r="RUG613" s="3933"/>
      <c r="RUH613" s="3933"/>
      <c r="RUI613" s="621"/>
      <c r="RUJ613" s="3933"/>
      <c r="RUK613" s="3933"/>
      <c r="RUL613" s="3933"/>
      <c r="RUM613" s="621"/>
      <c r="RUN613" s="3933"/>
      <c r="RUO613" s="3933"/>
      <c r="RUP613" s="3933"/>
      <c r="RUQ613" s="621"/>
      <c r="RUR613" s="3933"/>
      <c r="RUS613" s="3933"/>
      <c r="RUT613" s="3933"/>
      <c r="RUU613" s="621"/>
      <c r="RUV613" s="3933"/>
      <c r="RUW613" s="3933"/>
      <c r="RUX613" s="3933"/>
      <c r="RUY613" s="621"/>
      <c r="RUZ613" s="3933"/>
      <c r="RVA613" s="3933"/>
      <c r="RVB613" s="3933"/>
      <c r="RVC613" s="621"/>
      <c r="RVD613" s="3933"/>
      <c r="RVE613" s="3933"/>
      <c r="RVF613" s="3933"/>
      <c r="RVG613" s="621"/>
      <c r="RVH613" s="3933"/>
      <c r="RVI613" s="3933"/>
      <c r="RVJ613" s="3933"/>
      <c r="RVK613" s="621"/>
      <c r="RVL613" s="3933"/>
      <c r="RVM613" s="3933"/>
      <c r="RVN613" s="3933"/>
      <c r="RVO613" s="621"/>
      <c r="RVP613" s="3933"/>
      <c r="RVQ613" s="3933"/>
      <c r="RVR613" s="3933"/>
      <c r="RVS613" s="621"/>
      <c r="RVT613" s="3933"/>
      <c r="RVU613" s="3933"/>
      <c r="RVV613" s="3933"/>
      <c r="RVW613" s="621"/>
      <c r="RVX613" s="3933"/>
      <c r="RVY613" s="3933"/>
      <c r="RVZ613" s="3933"/>
      <c r="RWA613" s="621"/>
      <c r="RWB613" s="3933"/>
      <c r="RWC613" s="3933"/>
      <c r="RWD613" s="3933"/>
      <c r="RWE613" s="621"/>
      <c r="RWF613" s="3933"/>
      <c r="RWG613" s="3933"/>
      <c r="RWH613" s="3933"/>
      <c r="RWI613" s="621"/>
      <c r="RWJ613" s="3933"/>
      <c r="RWK613" s="3933"/>
      <c r="RWL613" s="3933"/>
      <c r="RWM613" s="621"/>
      <c r="RWN613" s="3933"/>
      <c r="RWO613" s="3933"/>
      <c r="RWP613" s="3933"/>
      <c r="RWQ613" s="621"/>
      <c r="RWR613" s="3933"/>
      <c r="RWS613" s="3933"/>
      <c r="RWT613" s="3933"/>
      <c r="RWU613" s="621"/>
      <c r="RWV613" s="3933"/>
      <c r="RWW613" s="3933"/>
      <c r="RWX613" s="3933"/>
      <c r="RWY613" s="621"/>
      <c r="RWZ613" s="3933"/>
      <c r="RXA613" s="3933"/>
      <c r="RXB613" s="3933"/>
      <c r="RXC613" s="621"/>
      <c r="RXD613" s="3933"/>
      <c r="RXE613" s="3933"/>
      <c r="RXF613" s="3933"/>
      <c r="RXG613" s="621"/>
      <c r="RXH613" s="3933"/>
      <c r="RXI613" s="3933"/>
      <c r="RXJ613" s="3933"/>
      <c r="RXK613" s="621"/>
      <c r="RXL613" s="3933"/>
      <c r="RXM613" s="3933"/>
      <c r="RXN613" s="3933"/>
      <c r="RXO613" s="621"/>
      <c r="RXP613" s="3933"/>
      <c r="RXQ613" s="3933"/>
      <c r="RXR613" s="3933"/>
      <c r="RXS613" s="621"/>
      <c r="RXT613" s="3933"/>
      <c r="RXU613" s="3933"/>
      <c r="RXV613" s="3933"/>
      <c r="RXW613" s="621"/>
      <c r="RXX613" s="3933"/>
      <c r="RXY613" s="3933"/>
      <c r="RXZ613" s="3933"/>
      <c r="RYA613" s="621"/>
      <c r="RYB613" s="3933"/>
      <c r="RYC613" s="3933"/>
      <c r="RYD613" s="3933"/>
      <c r="RYE613" s="621"/>
      <c r="RYF613" s="3933"/>
      <c r="RYG613" s="3933"/>
      <c r="RYH613" s="3933"/>
      <c r="RYI613" s="621"/>
      <c r="RYJ613" s="3933"/>
      <c r="RYK613" s="3933"/>
      <c r="RYL613" s="3933"/>
      <c r="RYM613" s="621"/>
      <c r="RYN613" s="3933"/>
      <c r="RYO613" s="3933"/>
      <c r="RYP613" s="3933"/>
      <c r="RYQ613" s="621"/>
      <c r="RYR613" s="3933"/>
      <c r="RYS613" s="3933"/>
      <c r="RYT613" s="3933"/>
      <c r="RYU613" s="621"/>
      <c r="RYV613" s="3933"/>
      <c r="RYW613" s="3933"/>
      <c r="RYX613" s="3933"/>
      <c r="RYY613" s="621"/>
      <c r="RYZ613" s="3933"/>
      <c r="RZA613" s="3933"/>
      <c r="RZB613" s="3933"/>
      <c r="RZC613" s="621"/>
      <c r="RZD613" s="3933"/>
      <c r="RZE613" s="3933"/>
      <c r="RZF613" s="3933"/>
      <c r="RZG613" s="621"/>
      <c r="RZH613" s="3933"/>
      <c r="RZI613" s="3933"/>
      <c r="RZJ613" s="3933"/>
      <c r="RZK613" s="621"/>
      <c r="RZL613" s="3933"/>
      <c r="RZM613" s="3933"/>
      <c r="RZN613" s="3933"/>
      <c r="RZO613" s="621"/>
      <c r="RZP613" s="3933"/>
      <c r="RZQ613" s="3933"/>
      <c r="RZR613" s="3933"/>
      <c r="RZS613" s="621"/>
      <c r="RZT613" s="3933"/>
      <c r="RZU613" s="3933"/>
      <c r="RZV613" s="3933"/>
      <c r="RZW613" s="621"/>
      <c r="RZX613" s="3933"/>
      <c r="RZY613" s="3933"/>
      <c r="RZZ613" s="3933"/>
      <c r="SAA613" s="621"/>
      <c r="SAB613" s="3933"/>
      <c r="SAC613" s="3933"/>
      <c r="SAD613" s="3933"/>
      <c r="SAE613" s="621"/>
      <c r="SAF613" s="3933"/>
      <c r="SAG613" s="3933"/>
      <c r="SAH613" s="3933"/>
      <c r="SAI613" s="621"/>
      <c r="SAJ613" s="3933"/>
      <c r="SAK613" s="3933"/>
      <c r="SAL613" s="3933"/>
      <c r="SAM613" s="621"/>
      <c r="SAN613" s="3933"/>
      <c r="SAO613" s="3933"/>
      <c r="SAP613" s="3933"/>
      <c r="SAQ613" s="621"/>
      <c r="SAR613" s="3933"/>
      <c r="SAS613" s="3933"/>
      <c r="SAT613" s="3933"/>
      <c r="SAU613" s="621"/>
      <c r="SAV613" s="3933"/>
      <c r="SAW613" s="3933"/>
      <c r="SAX613" s="3933"/>
      <c r="SAY613" s="621"/>
      <c r="SAZ613" s="3933"/>
      <c r="SBA613" s="3933"/>
      <c r="SBB613" s="3933"/>
      <c r="SBC613" s="621"/>
      <c r="SBD613" s="3933"/>
      <c r="SBE613" s="3933"/>
      <c r="SBF613" s="3933"/>
      <c r="SBG613" s="621"/>
      <c r="SBH613" s="3933"/>
      <c r="SBI613" s="3933"/>
      <c r="SBJ613" s="3933"/>
      <c r="SBK613" s="621"/>
      <c r="SBL613" s="3933"/>
      <c r="SBM613" s="3933"/>
      <c r="SBN613" s="3933"/>
      <c r="SBO613" s="621"/>
      <c r="SBP613" s="3933"/>
      <c r="SBQ613" s="3933"/>
      <c r="SBR613" s="3933"/>
      <c r="SBS613" s="621"/>
      <c r="SBT613" s="3933"/>
      <c r="SBU613" s="3933"/>
      <c r="SBV613" s="3933"/>
      <c r="SBW613" s="621"/>
      <c r="SBX613" s="3933"/>
      <c r="SBY613" s="3933"/>
      <c r="SBZ613" s="3933"/>
      <c r="SCA613" s="621"/>
      <c r="SCB613" s="3933"/>
      <c r="SCC613" s="3933"/>
      <c r="SCD613" s="3933"/>
      <c r="SCE613" s="621"/>
      <c r="SCF613" s="3933"/>
      <c r="SCG613" s="3933"/>
      <c r="SCH613" s="3933"/>
      <c r="SCI613" s="621"/>
      <c r="SCJ613" s="3933"/>
      <c r="SCK613" s="3933"/>
      <c r="SCL613" s="3933"/>
      <c r="SCM613" s="621"/>
      <c r="SCN613" s="3933"/>
      <c r="SCO613" s="3933"/>
      <c r="SCP613" s="3933"/>
      <c r="SCQ613" s="621"/>
      <c r="SCR613" s="3933"/>
      <c r="SCS613" s="3933"/>
      <c r="SCT613" s="3933"/>
      <c r="SCU613" s="621"/>
      <c r="SCV613" s="3933"/>
      <c r="SCW613" s="3933"/>
      <c r="SCX613" s="3933"/>
      <c r="SCY613" s="621"/>
      <c r="SCZ613" s="3933"/>
      <c r="SDA613" s="3933"/>
      <c r="SDB613" s="3933"/>
      <c r="SDC613" s="621"/>
      <c r="SDD613" s="3933"/>
      <c r="SDE613" s="3933"/>
      <c r="SDF613" s="3933"/>
      <c r="SDG613" s="621"/>
      <c r="SDH613" s="3933"/>
      <c r="SDI613" s="3933"/>
      <c r="SDJ613" s="3933"/>
      <c r="SDK613" s="621"/>
      <c r="SDL613" s="3933"/>
      <c r="SDM613" s="3933"/>
      <c r="SDN613" s="3933"/>
      <c r="SDO613" s="621"/>
      <c r="SDP613" s="3933"/>
      <c r="SDQ613" s="3933"/>
      <c r="SDR613" s="3933"/>
      <c r="SDS613" s="621"/>
      <c r="SDT613" s="3933"/>
      <c r="SDU613" s="3933"/>
      <c r="SDV613" s="3933"/>
      <c r="SDW613" s="621"/>
      <c r="SDX613" s="3933"/>
      <c r="SDY613" s="3933"/>
      <c r="SDZ613" s="3933"/>
      <c r="SEA613" s="621"/>
      <c r="SEB613" s="3933"/>
      <c r="SEC613" s="3933"/>
      <c r="SED613" s="3933"/>
      <c r="SEE613" s="621"/>
      <c r="SEF613" s="3933"/>
      <c r="SEG613" s="3933"/>
      <c r="SEH613" s="3933"/>
      <c r="SEI613" s="621"/>
      <c r="SEJ613" s="3933"/>
      <c r="SEK613" s="3933"/>
      <c r="SEL613" s="3933"/>
      <c r="SEM613" s="621"/>
      <c r="SEN613" s="3933"/>
      <c r="SEO613" s="3933"/>
      <c r="SEP613" s="3933"/>
      <c r="SEQ613" s="621"/>
      <c r="SER613" s="3933"/>
      <c r="SES613" s="3933"/>
      <c r="SET613" s="3933"/>
      <c r="SEU613" s="621"/>
      <c r="SEV613" s="3933"/>
      <c r="SEW613" s="3933"/>
      <c r="SEX613" s="3933"/>
      <c r="SEY613" s="621"/>
      <c r="SEZ613" s="3933"/>
      <c r="SFA613" s="3933"/>
      <c r="SFB613" s="3933"/>
      <c r="SFC613" s="621"/>
      <c r="SFD613" s="3933"/>
      <c r="SFE613" s="3933"/>
      <c r="SFF613" s="3933"/>
      <c r="SFG613" s="621"/>
      <c r="SFH613" s="3933"/>
      <c r="SFI613" s="3933"/>
      <c r="SFJ613" s="3933"/>
      <c r="SFK613" s="621"/>
      <c r="SFL613" s="3933"/>
      <c r="SFM613" s="3933"/>
      <c r="SFN613" s="3933"/>
      <c r="SFO613" s="621"/>
      <c r="SFP613" s="3933"/>
      <c r="SFQ613" s="3933"/>
      <c r="SFR613" s="3933"/>
      <c r="SFS613" s="621"/>
      <c r="SFT613" s="3933"/>
      <c r="SFU613" s="3933"/>
      <c r="SFV613" s="3933"/>
      <c r="SFW613" s="621"/>
      <c r="SFX613" s="3933"/>
      <c r="SFY613" s="3933"/>
      <c r="SFZ613" s="3933"/>
      <c r="SGA613" s="621"/>
      <c r="SGB613" s="3933"/>
      <c r="SGC613" s="3933"/>
      <c r="SGD613" s="3933"/>
      <c r="SGE613" s="621"/>
      <c r="SGF613" s="3933"/>
      <c r="SGG613" s="3933"/>
      <c r="SGH613" s="3933"/>
      <c r="SGI613" s="621"/>
      <c r="SGJ613" s="3933"/>
      <c r="SGK613" s="3933"/>
      <c r="SGL613" s="3933"/>
      <c r="SGM613" s="621"/>
      <c r="SGN613" s="3933"/>
      <c r="SGO613" s="3933"/>
      <c r="SGP613" s="3933"/>
      <c r="SGQ613" s="621"/>
      <c r="SGR613" s="3933"/>
      <c r="SGS613" s="3933"/>
      <c r="SGT613" s="3933"/>
      <c r="SGU613" s="621"/>
      <c r="SGV613" s="3933"/>
      <c r="SGW613" s="3933"/>
      <c r="SGX613" s="3933"/>
      <c r="SGY613" s="621"/>
      <c r="SGZ613" s="3933"/>
      <c r="SHA613" s="3933"/>
      <c r="SHB613" s="3933"/>
      <c r="SHC613" s="621"/>
      <c r="SHD613" s="3933"/>
      <c r="SHE613" s="3933"/>
      <c r="SHF613" s="3933"/>
      <c r="SHG613" s="621"/>
      <c r="SHH613" s="3933"/>
      <c r="SHI613" s="3933"/>
      <c r="SHJ613" s="3933"/>
      <c r="SHK613" s="621"/>
      <c r="SHL613" s="3933"/>
      <c r="SHM613" s="3933"/>
      <c r="SHN613" s="3933"/>
      <c r="SHO613" s="621"/>
      <c r="SHP613" s="3933"/>
      <c r="SHQ613" s="3933"/>
      <c r="SHR613" s="3933"/>
      <c r="SHS613" s="621"/>
      <c r="SHT613" s="3933"/>
      <c r="SHU613" s="3933"/>
      <c r="SHV613" s="3933"/>
      <c r="SHW613" s="621"/>
      <c r="SHX613" s="3933"/>
      <c r="SHY613" s="3933"/>
      <c r="SHZ613" s="3933"/>
      <c r="SIA613" s="621"/>
      <c r="SIB613" s="3933"/>
      <c r="SIC613" s="3933"/>
      <c r="SID613" s="3933"/>
      <c r="SIE613" s="621"/>
      <c r="SIF613" s="3933"/>
      <c r="SIG613" s="3933"/>
      <c r="SIH613" s="3933"/>
      <c r="SII613" s="621"/>
      <c r="SIJ613" s="3933"/>
      <c r="SIK613" s="3933"/>
      <c r="SIL613" s="3933"/>
      <c r="SIM613" s="621"/>
      <c r="SIN613" s="3933"/>
      <c r="SIO613" s="3933"/>
      <c r="SIP613" s="3933"/>
      <c r="SIQ613" s="621"/>
      <c r="SIR613" s="3933"/>
      <c r="SIS613" s="3933"/>
      <c r="SIT613" s="3933"/>
      <c r="SIU613" s="621"/>
      <c r="SIV613" s="3933"/>
      <c r="SIW613" s="3933"/>
      <c r="SIX613" s="3933"/>
      <c r="SIY613" s="621"/>
      <c r="SIZ613" s="3933"/>
      <c r="SJA613" s="3933"/>
      <c r="SJB613" s="3933"/>
      <c r="SJC613" s="621"/>
      <c r="SJD613" s="3933"/>
      <c r="SJE613" s="3933"/>
      <c r="SJF613" s="3933"/>
      <c r="SJG613" s="621"/>
      <c r="SJH613" s="3933"/>
      <c r="SJI613" s="3933"/>
      <c r="SJJ613" s="3933"/>
      <c r="SJK613" s="621"/>
      <c r="SJL613" s="3933"/>
      <c r="SJM613" s="3933"/>
      <c r="SJN613" s="3933"/>
      <c r="SJO613" s="621"/>
      <c r="SJP613" s="3933"/>
      <c r="SJQ613" s="3933"/>
      <c r="SJR613" s="3933"/>
      <c r="SJS613" s="621"/>
      <c r="SJT613" s="3933"/>
      <c r="SJU613" s="3933"/>
      <c r="SJV613" s="3933"/>
      <c r="SJW613" s="621"/>
      <c r="SJX613" s="3933"/>
      <c r="SJY613" s="3933"/>
      <c r="SJZ613" s="3933"/>
      <c r="SKA613" s="621"/>
      <c r="SKB613" s="3933"/>
      <c r="SKC613" s="3933"/>
      <c r="SKD613" s="3933"/>
      <c r="SKE613" s="621"/>
      <c r="SKF613" s="3933"/>
      <c r="SKG613" s="3933"/>
      <c r="SKH613" s="3933"/>
      <c r="SKI613" s="621"/>
      <c r="SKJ613" s="3933"/>
      <c r="SKK613" s="3933"/>
      <c r="SKL613" s="3933"/>
      <c r="SKM613" s="621"/>
      <c r="SKN613" s="3933"/>
      <c r="SKO613" s="3933"/>
      <c r="SKP613" s="3933"/>
      <c r="SKQ613" s="621"/>
      <c r="SKR613" s="3933"/>
      <c r="SKS613" s="3933"/>
      <c r="SKT613" s="3933"/>
      <c r="SKU613" s="621"/>
      <c r="SKV613" s="3933"/>
      <c r="SKW613" s="3933"/>
      <c r="SKX613" s="3933"/>
      <c r="SKY613" s="621"/>
      <c r="SKZ613" s="3933"/>
      <c r="SLA613" s="3933"/>
      <c r="SLB613" s="3933"/>
      <c r="SLC613" s="621"/>
      <c r="SLD613" s="3933"/>
      <c r="SLE613" s="3933"/>
      <c r="SLF613" s="3933"/>
      <c r="SLG613" s="621"/>
      <c r="SLH613" s="3933"/>
      <c r="SLI613" s="3933"/>
      <c r="SLJ613" s="3933"/>
      <c r="SLK613" s="621"/>
      <c r="SLL613" s="3933"/>
      <c r="SLM613" s="3933"/>
      <c r="SLN613" s="3933"/>
      <c r="SLO613" s="621"/>
      <c r="SLP613" s="3933"/>
      <c r="SLQ613" s="3933"/>
      <c r="SLR613" s="3933"/>
      <c r="SLS613" s="621"/>
      <c r="SLT613" s="3933"/>
      <c r="SLU613" s="3933"/>
      <c r="SLV613" s="3933"/>
      <c r="SLW613" s="621"/>
      <c r="SLX613" s="3933"/>
      <c r="SLY613" s="3933"/>
      <c r="SLZ613" s="3933"/>
      <c r="SMA613" s="621"/>
      <c r="SMB613" s="3933"/>
      <c r="SMC613" s="3933"/>
      <c r="SMD613" s="3933"/>
      <c r="SME613" s="621"/>
      <c r="SMF613" s="3933"/>
      <c r="SMG613" s="3933"/>
      <c r="SMH613" s="3933"/>
      <c r="SMI613" s="621"/>
      <c r="SMJ613" s="3933"/>
      <c r="SMK613" s="3933"/>
      <c r="SML613" s="3933"/>
      <c r="SMM613" s="621"/>
      <c r="SMN613" s="3933"/>
      <c r="SMO613" s="3933"/>
      <c r="SMP613" s="3933"/>
      <c r="SMQ613" s="621"/>
      <c r="SMR613" s="3933"/>
      <c r="SMS613" s="3933"/>
      <c r="SMT613" s="3933"/>
      <c r="SMU613" s="621"/>
      <c r="SMV613" s="3933"/>
      <c r="SMW613" s="3933"/>
      <c r="SMX613" s="3933"/>
      <c r="SMY613" s="621"/>
      <c r="SMZ613" s="3933"/>
      <c r="SNA613" s="3933"/>
      <c r="SNB613" s="3933"/>
      <c r="SNC613" s="621"/>
      <c r="SND613" s="3933"/>
      <c r="SNE613" s="3933"/>
      <c r="SNF613" s="3933"/>
      <c r="SNG613" s="621"/>
      <c r="SNH613" s="3933"/>
      <c r="SNI613" s="3933"/>
      <c r="SNJ613" s="3933"/>
      <c r="SNK613" s="621"/>
      <c r="SNL613" s="3933"/>
      <c r="SNM613" s="3933"/>
      <c r="SNN613" s="3933"/>
      <c r="SNO613" s="621"/>
      <c r="SNP613" s="3933"/>
      <c r="SNQ613" s="3933"/>
      <c r="SNR613" s="3933"/>
      <c r="SNS613" s="621"/>
      <c r="SNT613" s="3933"/>
      <c r="SNU613" s="3933"/>
      <c r="SNV613" s="3933"/>
      <c r="SNW613" s="621"/>
      <c r="SNX613" s="3933"/>
      <c r="SNY613" s="3933"/>
      <c r="SNZ613" s="3933"/>
      <c r="SOA613" s="621"/>
      <c r="SOB613" s="3933"/>
      <c r="SOC613" s="3933"/>
      <c r="SOD613" s="3933"/>
      <c r="SOE613" s="621"/>
      <c r="SOF613" s="3933"/>
      <c r="SOG613" s="3933"/>
      <c r="SOH613" s="3933"/>
      <c r="SOI613" s="621"/>
      <c r="SOJ613" s="3933"/>
      <c r="SOK613" s="3933"/>
      <c r="SOL613" s="3933"/>
      <c r="SOM613" s="621"/>
      <c r="SON613" s="3933"/>
      <c r="SOO613" s="3933"/>
      <c r="SOP613" s="3933"/>
      <c r="SOQ613" s="621"/>
      <c r="SOR613" s="3933"/>
      <c r="SOS613" s="3933"/>
      <c r="SOT613" s="3933"/>
      <c r="SOU613" s="621"/>
      <c r="SOV613" s="3933"/>
      <c r="SOW613" s="3933"/>
      <c r="SOX613" s="3933"/>
      <c r="SOY613" s="621"/>
      <c r="SOZ613" s="3933"/>
      <c r="SPA613" s="3933"/>
      <c r="SPB613" s="3933"/>
      <c r="SPC613" s="621"/>
      <c r="SPD613" s="3933"/>
      <c r="SPE613" s="3933"/>
      <c r="SPF613" s="3933"/>
      <c r="SPG613" s="621"/>
      <c r="SPH613" s="3933"/>
      <c r="SPI613" s="3933"/>
      <c r="SPJ613" s="3933"/>
      <c r="SPK613" s="621"/>
      <c r="SPL613" s="3933"/>
      <c r="SPM613" s="3933"/>
      <c r="SPN613" s="3933"/>
      <c r="SPO613" s="621"/>
      <c r="SPP613" s="3933"/>
      <c r="SPQ613" s="3933"/>
      <c r="SPR613" s="3933"/>
      <c r="SPS613" s="621"/>
      <c r="SPT613" s="3933"/>
      <c r="SPU613" s="3933"/>
      <c r="SPV613" s="3933"/>
      <c r="SPW613" s="621"/>
      <c r="SPX613" s="3933"/>
      <c r="SPY613" s="3933"/>
      <c r="SPZ613" s="3933"/>
      <c r="SQA613" s="621"/>
      <c r="SQB613" s="3933"/>
      <c r="SQC613" s="3933"/>
      <c r="SQD613" s="3933"/>
      <c r="SQE613" s="621"/>
      <c r="SQF613" s="3933"/>
      <c r="SQG613" s="3933"/>
      <c r="SQH613" s="3933"/>
      <c r="SQI613" s="621"/>
      <c r="SQJ613" s="3933"/>
      <c r="SQK613" s="3933"/>
      <c r="SQL613" s="3933"/>
      <c r="SQM613" s="621"/>
      <c r="SQN613" s="3933"/>
      <c r="SQO613" s="3933"/>
      <c r="SQP613" s="3933"/>
      <c r="SQQ613" s="621"/>
      <c r="SQR613" s="3933"/>
      <c r="SQS613" s="3933"/>
      <c r="SQT613" s="3933"/>
      <c r="SQU613" s="621"/>
      <c r="SQV613" s="3933"/>
      <c r="SQW613" s="3933"/>
      <c r="SQX613" s="3933"/>
      <c r="SQY613" s="621"/>
      <c r="SQZ613" s="3933"/>
      <c r="SRA613" s="3933"/>
      <c r="SRB613" s="3933"/>
      <c r="SRC613" s="621"/>
      <c r="SRD613" s="3933"/>
      <c r="SRE613" s="3933"/>
      <c r="SRF613" s="3933"/>
      <c r="SRG613" s="621"/>
      <c r="SRH613" s="3933"/>
      <c r="SRI613" s="3933"/>
      <c r="SRJ613" s="3933"/>
      <c r="SRK613" s="621"/>
      <c r="SRL613" s="3933"/>
      <c r="SRM613" s="3933"/>
      <c r="SRN613" s="3933"/>
      <c r="SRO613" s="621"/>
      <c r="SRP613" s="3933"/>
      <c r="SRQ613" s="3933"/>
      <c r="SRR613" s="3933"/>
      <c r="SRS613" s="621"/>
      <c r="SRT613" s="3933"/>
      <c r="SRU613" s="3933"/>
      <c r="SRV613" s="3933"/>
      <c r="SRW613" s="621"/>
      <c r="SRX613" s="3933"/>
      <c r="SRY613" s="3933"/>
      <c r="SRZ613" s="3933"/>
      <c r="SSA613" s="621"/>
      <c r="SSB613" s="3933"/>
      <c r="SSC613" s="3933"/>
      <c r="SSD613" s="3933"/>
      <c r="SSE613" s="621"/>
      <c r="SSF613" s="3933"/>
      <c r="SSG613" s="3933"/>
      <c r="SSH613" s="3933"/>
      <c r="SSI613" s="621"/>
      <c r="SSJ613" s="3933"/>
      <c r="SSK613" s="3933"/>
      <c r="SSL613" s="3933"/>
      <c r="SSM613" s="621"/>
      <c r="SSN613" s="3933"/>
      <c r="SSO613" s="3933"/>
      <c r="SSP613" s="3933"/>
      <c r="SSQ613" s="621"/>
      <c r="SSR613" s="3933"/>
      <c r="SSS613" s="3933"/>
      <c r="SST613" s="3933"/>
      <c r="SSU613" s="621"/>
      <c r="SSV613" s="3933"/>
      <c r="SSW613" s="3933"/>
      <c r="SSX613" s="3933"/>
      <c r="SSY613" s="621"/>
      <c r="SSZ613" s="3933"/>
      <c r="STA613" s="3933"/>
      <c r="STB613" s="3933"/>
      <c r="STC613" s="621"/>
      <c r="STD613" s="3933"/>
      <c r="STE613" s="3933"/>
      <c r="STF613" s="3933"/>
      <c r="STG613" s="621"/>
      <c r="STH613" s="3933"/>
      <c r="STI613" s="3933"/>
      <c r="STJ613" s="3933"/>
      <c r="STK613" s="621"/>
      <c r="STL613" s="3933"/>
      <c r="STM613" s="3933"/>
      <c r="STN613" s="3933"/>
      <c r="STO613" s="621"/>
      <c r="STP613" s="3933"/>
      <c r="STQ613" s="3933"/>
      <c r="STR613" s="3933"/>
      <c r="STS613" s="621"/>
      <c r="STT613" s="3933"/>
      <c r="STU613" s="3933"/>
      <c r="STV613" s="3933"/>
      <c r="STW613" s="621"/>
      <c r="STX613" s="3933"/>
      <c r="STY613" s="3933"/>
      <c r="STZ613" s="3933"/>
      <c r="SUA613" s="621"/>
      <c r="SUB613" s="3933"/>
      <c r="SUC613" s="3933"/>
      <c r="SUD613" s="3933"/>
      <c r="SUE613" s="621"/>
      <c r="SUF613" s="3933"/>
      <c r="SUG613" s="3933"/>
      <c r="SUH613" s="3933"/>
      <c r="SUI613" s="621"/>
      <c r="SUJ613" s="3933"/>
      <c r="SUK613" s="3933"/>
      <c r="SUL613" s="3933"/>
      <c r="SUM613" s="621"/>
      <c r="SUN613" s="3933"/>
      <c r="SUO613" s="3933"/>
      <c r="SUP613" s="3933"/>
      <c r="SUQ613" s="621"/>
      <c r="SUR613" s="3933"/>
      <c r="SUS613" s="3933"/>
      <c r="SUT613" s="3933"/>
      <c r="SUU613" s="621"/>
      <c r="SUV613" s="3933"/>
      <c r="SUW613" s="3933"/>
      <c r="SUX613" s="3933"/>
      <c r="SUY613" s="621"/>
      <c r="SUZ613" s="3933"/>
      <c r="SVA613" s="3933"/>
      <c r="SVB613" s="3933"/>
      <c r="SVC613" s="621"/>
      <c r="SVD613" s="3933"/>
      <c r="SVE613" s="3933"/>
      <c r="SVF613" s="3933"/>
      <c r="SVG613" s="621"/>
      <c r="SVH613" s="3933"/>
      <c r="SVI613" s="3933"/>
      <c r="SVJ613" s="3933"/>
      <c r="SVK613" s="621"/>
      <c r="SVL613" s="3933"/>
      <c r="SVM613" s="3933"/>
      <c r="SVN613" s="3933"/>
      <c r="SVO613" s="621"/>
      <c r="SVP613" s="3933"/>
      <c r="SVQ613" s="3933"/>
      <c r="SVR613" s="3933"/>
      <c r="SVS613" s="621"/>
      <c r="SVT613" s="3933"/>
      <c r="SVU613" s="3933"/>
      <c r="SVV613" s="3933"/>
      <c r="SVW613" s="621"/>
      <c r="SVX613" s="3933"/>
      <c r="SVY613" s="3933"/>
      <c r="SVZ613" s="3933"/>
      <c r="SWA613" s="621"/>
      <c r="SWB613" s="3933"/>
      <c r="SWC613" s="3933"/>
      <c r="SWD613" s="3933"/>
      <c r="SWE613" s="621"/>
      <c r="SWF613" s="3933"/>
      <c r="SWG613" s="3933"/>
      <c r="SWH613" s="3933"/>
      <c r="SWI613" s="621"/>
      <c r="SWJ613" s="3933"/>
      <c r="SWK613" s="3933"/>
      <c r="SWL613" s="3933"/>
      <c r="SWM613" s="621"/>
      <c r="SWN613" s="3933"/>
      <c r="SWO613" s="3933"/>
      <c r="SWP613" s="3933"/>
      <c r="SWQ613" s="621"/>
      <c r="SWR613" s="3933"/>
      <c r="SWS613" s="3933"/>
      <c r="SWT613" s="3933"/>
      <c r="SWU613" s="621"/>
      <c r="SWV613" s="3933"/>
      <c r="SWW613" s="3933"/>
      <c r="SWX613" s="3933"/>
      <c r="SWY613" s="621"/>
      <c r="SWZ613" s="3933"/>
      <c r="SXA613" s="3933"/>
      <c r="SXB613" s="3933"/>
      <c r="SXC613" s="621"/>
      <c r="SXD613" s="3933"/>
      <c r="SXE613" s="3933"/>
      <c r="SXF613" s="3933"/>
      <c r="SXG613" s="621"/>
      <c r="SXH613" s="3933"/>
      <c r="SXI613" s="3933"/>
      <c r="SXJ613" s="3933"/>
      <c r="SXK613" s="621"/>
      <c r="SXL613" s="3933"/>
      <c r="SXM613" s="3933"/>
      <c r="SXN613" s="3933"/>
      <c r="SXO613" s="621"/>
      <c r="SXP613" s="3933"/>
      <c r="SXQ613" s="3933"/>
      <c r="SXR613" s="3933"/>
      <c r="SXS613" s="621"/>
      <c r="SXT613" s="3933"/>
      <c r="SXU613" s="3933"/>
      <c r="SXV613" s="3933"/>
      <c r="SXW613" s="621"/>
      <c r="SXX613" s="3933"/>
      <c r="SXY613" s="3933"/>
      <c r="SXZ613" s="3933"/>
      <c r="SYA613" s="621"/>
      <c r="SYB613" s="3933"/>
      <c r="SYC613" s="3933"/>
      <c r="SYD613" s="3933"/>
      <c r="SYE613" s="621"/>
      <c r="SYF613" s="3933"/>
      <c r="SYG613" s="3933"/>
      <c r="SYH613" s="3933"/>
      <c r="SYI613" s="621"/>
      <c r="SYJ613" s="3933"/>
      <c r="SYK613" s="3933"/>
      <c r="SYL613" s="3933"/>
      <c r="SYM613" s="621"/>
      <c r="SYN613" s="3933"/>
      <c r="SYO613" s="3933"/>
      <c r="SYP613" s="3933"/>
      <c r="SYQ613" s="621"/>
      <c r="SYR613" s="3933"/>
      <c r="SYS613" s="3933"/>
      <c r="SYT613" s="3933"/>
      <c r="SYU613" s="621"/>
      <c r="SYV613" s="3933"/>
      <c r="SYW613" s="3933"/>
      <c r="SYX613" s="3933"/>
      <c r="SYY613" s="621"/>
      <c r="SYZ613" s="3933"/>
      <c r="SZA613" s="3933"/>
      <c r="SZB613" s="3933"/>
      <c r="SZC613" s="621"/>
      <c r="SZD613" s="3933"/>
      <c r="SZE613" s="3933"/>
      <c r="SZF613" s="3933"/>
      <c r="SZG613" s="621"/>
      <c r="SZH613" s="3933"/>
      <c r="SZI613" s="3933"/>
      <c r="SZJ613" s="3933"/>
      <c r="SZK613" s="621"/>
      <c r="SZL613" s="3933"/>
      <c r="SZM613" s="3933"/>
      <c r="SZN613" s="3933"/>
      <c r="SZO613" s="621"/>
      <c r="SZP613" s="3933"/>
      <c r="SZQ613" s="3933"/>
      <c r="SZR613" s="3933"/>
      <c r="SZS613" s="621"/>
      <c r="SZT613" s="3933"/>
      <c r="SZU613" s="3933"/>
      <c r="SZV613" s="3933"/>
      <c r="SZW613" s="621"/>
      <c r="SZX613" s="3933"/>
      <c r="SZY613" s="3933"/>
      <c r="SZZ613" s="3933"/>
      <c r="TAA613" s="621"/>
      <c r="TAB613" s="3933"/>
      <c r="TAC613" s="3933"/>
      <c r="TAD613" s="3933"/>
      <c r="TAE613" s="621"/>
      <c r="TAF613" s="3933"/>
      <c r="TAG613" s="3933"/>
      <c r="TAH613" s="3933"/>
      <c r="TAI613" s="621"/>
      <c r="TAJ613" s="3933"/>
      <c r="TAK613" s="3933"/>
      <c r="TAL613" s="3933"/>
      <c r="TAM613" s="621"/>
      <c r="TAN613" s="3933"/>
      <c r="TAO613" s="3933"/>
      <c r="TAP613" s="3933"/>
      <c r="TAQ613" s="621"/>
      <c r="TAR613" s="3933"/>
      <c r="TAS613" s="3933"/>
      <c r="TAT613" s="3933"/>
      <c r="TAU613" s="621"/>
      <c r="TAV613" s="3933"/>
      <c r="TAW613" s="3933"/>
      <c r="TAX613" s="3933"/>
      <c r="TAY613" s="621"/>
      <c r="TAZ613" s="3933"/>
      <c r="TBA613" s="3933"/>
      <c r="TBB613" s="3933"/>
      <c r="TBC613" s="621"/>
      <c r="TBD613" s="3933"/>
      <c r="TBE613" s="3933"/>
      <c r="TBF613" s="3933"/>
      <c r="TBG613" s="621"/>
      <c r="TBH613" s="3933"/>
      <c r="TBI613" s="3933"/>
      <c r="TBJ613" s="3933"/>
      <c r="TBK613" s="621"/>
      <c r="TBL613" s="3933"/>
      <c r="TBM613" s="3933"/>
      <c r="TBN613" s="3933"/>
      <c r="TBO613" s="621"/>
      <c r="TBP613" s="3933"/>
      <c r="TBQ613" s="3933"/>
      <c r="TBR613" s="3933"/>
      <c r="TBS613" s="621"/>
      <c r="TBT613" s="3933"/>
      <c r="TBU613" s="3933"/>
      <c r="TBV613" s="3933"/>
      <c r="TBW613" s="621"/>
      <c r="TBX613" s="3933"/>
      <c r="TBY613" s="3933"/>
      <c r="TBZ613" s="3933"/>
      <c r="TCA613" s="621"/>
      <c r="TCB613" s="3933"/>
      <c r="TCC613" s="3933"/>
      <c r="TCD613" s="3933"/>
      <c r="TCE613" s="621"/>
      <c r="TCF613" s="3933"/>
      <c r="TCG613" s="3933"/>
      <c r="TCH613" s="3933"/>
      <c r="TCI613" s="621"/>
      <c r="TCJ613" s="3933"/>
      <c r="TCK613" s="3933"/>
      <c r="TCL613" s="3933"/>
      <c r="TCM613" s="621"/>
      <c r="TCN613" s="3933"/>
      <c r="TCO613" s="3933"/>
      <c r="TCP613" s="3933"/>
      <c r="TCQ613" s="621"/>
      <c r="TCR613" s="3933"/>
      <c r="TCS613" s="3933"/>
      <c r="TCT613" s="3933"/>
      <c r="TCU613" s="621"/>
      <c r="TCV613" s="3933"/>
      <c r="TCW613" s="3933"/>
      <c r="TCX613" s="3933"/>
      <c r="TCY613" s="621"/>
      <c r="TCZ613" s="3933"/>
      <c r="TDA613" s="3933"/>
      <c r="TDB613" s="3933"/>
      <c r="TDC613" s="621"/>
      <c r="TDD613" s="3933"/>
      <c r="TDE613" s="3933"/>
      <c r="TDF613" s="3933"/>
      <c r="TDG613" s="621"/>
      <c r="TDH613" s="3933"/>
      <c r="TDI613" s="3933"/>
      <c r="TDJ613" s="3933"/>
      <c r="TDK613" s="621"/>
      <c r="TDL613" s="3933"/>
      <c r="TDM613" s="3933"/>
      <c r="TDN613" s="3933"/>
      <c r="TDO613" s="621"/>
      <c r="TDP613" s="3933"/>
      <c r="TDQ613" s="3933"/>
      <c r="TDR613" s="3933"/>
      <c r="TDS613" s="621"/>
      <c r="TDT613" s="3933"/>
      <c r="TDU613" s="3933"/>
      <c r="TDV613" s="3933"/>
      <c r="TDW613" s="621"/>
      <c r="TDX613" s="3933"/>
      <c r="TDY613" s="3933"/>
      <c r="TDZ613" s="3933"/>
      <c r="TEA613" s="621"/>
      <c r="TEB613" s="3933"/>
      <c r="TEC613" s="3933"/>
      <c r="TED613" s="3933"/>
      <c r="TEE613" s="621"/>
      <c r="TEF613" s="3933"/>
      <c r="TEG613" s="3933"/>
      <c r="TEH613" s="3933"/>
      <c r="TEI613" s="621"/>
      <c r="TEJ613" s="3933"/>
      <c r="TEK613" s="3933"/>
      <c r="TEL613" s="3933"/>
      <c r="TEM613" s="621"/>
      <c r="TEN613" s="3933"/>
      <c r="TEO613" s="3933"/>
      <c r="TEP613" s="3933"/>
      <c r="TEQ613" s="621"/>
      <c r="TER613" s="3933"/>
      <c r="TES613" s="3933"/>
      <c r="TET613" s="3933"/>
      <c r="TEU613" s="621"/>
      <c r="TEV613" s="3933"/>
      <c r="TEW613" s="3933"/>
      <c r="TEX613" s="3933"/>
      <c r="TEY613" s="621"/>
      <c r="TEZ613" s="3933"/>
      <c r="TFA613" s="3933"/>
      <c r="TFB613" s="3933"/>
      <c r="TFC613" s="621"/>
      <c r="TFD613" s="3933"/>
      <c r="TFE613" s="3933"/>
      <c r="TFF613" s="3933"/>
      <c r="TFG613" s="621"/>
      <c r="TFH613" s="3933"/>
      <c r="TFI613" s="3933"/>
      <c r="TFJ613" s="3933"/>
      <c r="TFK613" s="621"/>
      <c r="TFL613" s="3933"/>
      <c r="TFM613" s="3933"/>
      <c r="TFN613" s="3933"/>
      <c r="TFO613" s="621"/>
      <c r="TFP613" s="3933"/>
      <c r="TFQ613" s="3933"/>
      <c r="TFR613" s="3933"/>
      <c r="TFS613" s="621"/>
      <c r="TFT613" s="3933"/>
      <c r="TFU613" s="3933"/>
      <c r="TFV613" s="3933"/>
      <c r="TFW613" s="621"/>
      <c r="TFX613" s="3933"/>
      <c r="TFY613" s="3933"/>
      <c r="TFZ613" s="3933"/>
      <c r="TGA613" s="621"/>
      <c r="TGB613" s="3933"/>
      <c r="TGC613" s="3933"/>
      <c r="TGD613" s="3933"/>
      <c r="TGE613" s="621"/>
      <c r="TGF613" s="3933"/>
      <c r="TGG613" s="3933"/>
      <c r="TGH613" s="3933"/>
      <c r="TGI613" s="621"/>
      <c r="TGJ613" s="3933"/>
      <c r="TGK613" s="3933"/>
      <c r="TGL613" s="3933"/>
      <c r="TGM613" s="621"/>
      <c r="TGN613" s="3933"/>
      <c r="TGO613" s="3933"/>
      <c r="TGP613" s="3933"/>
      <c r="TGQ613" s="621"/>
      <c r="TGR613" s="3933"/>
      <c r="TGS613" s="3933"/>
      <c r="TGT613" s="3933"/>
      <c r="TGU613" s="621"/>
      <c r="TGV613" s="3933"/>
      <c r="TGW613" s="3933"/>
      <c r="TGX613" s="3933"/>
      <c r="TGY613" s="621"/>
      <c r="TGZ613" s="3933"/>
      <c r="THA613" s="3933"/>
      <c r="THB613" s="3933"/>
      <c r="THC613" s="621"/>
      <c r="THD613" s="3933"/>
      <c r="THE613" s="3933"/>
      <c r="THF613" s="3933"/>
      <c r="THG613" s="621"/>
      <c r="THH613" s="3933"/>
      <c r="THI613" s="3933"/>
      <c r="THJ613" s="3933"/>
      <c r="THK613" s="621"/>
      <c r="THL613" s="3933"/>
      <c r="THM613" s="3933"/>
      <c r="THN613" s="3933"/>
      <c r="THO613" s="621"/>
      <c r="THP613" s="3933"/>
      <c r="THQ613" s="3933"/>
      <c r="THR613" s="3933"/>
      <c r="THS613" s="621"/>
      <c r="THT613" s="3933"/>
      <c r="THU613" s="3933"/>
      <c r="THV613" s="3933"/>
      <c r="THW613" s="621"/>
      <c r="THX613" s="3933"/>
      <c r="THY613" s="3933"/>
      <c r="THZ613" s="3933"/>
      <c r="TIA613" s="621"/>
      <c r="TIB613" s="3933"/>
      <c r="TIC613" s="3933"/>
      <c r="TID613" s="3933"/>
      <c r="TIE613" s="621"/>
      <c r="TIF613" s="3933"/>
      <c r="TIG613" s="3933"/>
      <c r="TIH613" s="3933"/>
      <c r="TII613" s="621"/>
      <c r="TIJ613" s="3933"/>
      <c r="TIK613" s="3933"/>
      <c r="TIL613" s="3933"/>
      <c r="TIM613" s="621"/>
      <c r="TIN613" s="3933"/>
      <c r="TIO613" s="3933"/>
      <c r="TIP613" s="3933"/>
      <c r="TIQ613" s="621"/>
      <c r="TIR613" s="3933"/>
      <c r="TIS613" s="3933"/>
      <c r="TIT613" s="3933"/>
      <c r="TIU613" s="621"/>
      <c r="TIV613" s="3933"/>
      <c r="TIW613" s="3933"/>
      <c r="TIX613" s="3933"/>
      <c r="TIY613" s="621"/>
      <c r="TIZ613" s="3933"/>
      <c r="TJA613" s="3933"/>
      <c r="TJB613" s="3933"/>
      <c r="TJC613" s="621"/>
      <c r="TJD613" s="3933"/>
      <c r="TJE613" s="3933"/>
      <c r="TJF613" s="3933"/>
      <c r="TJG613" s="621"/>
      <c r="TJH613" s="3933"/>
      <c r="TJI613" s="3933"/>
      <c r="TJJ613" s="3933"/>
      <c r="TJK613" s="621"/>
      <c r="TJL613" s="3933"/>
      <c r="TJM613" s="3933"/>
      <c r="TJN613" s="3933"/>
      <c r="TJO613" s="621"/>
      <c r="TJP613" s="3933"/>
      <c r="TJQ613" s="3933"/>
      <c r="TJR613" s="3933"/>
      <c r="TJS613" s="621"/>
      <c r="TJT613" s="3933"/>
      <c r="TJU613" s="3933"/>
      <c r="TJV613" s="3933"/>
      <c r="TJW613" s="621"/>
      <c r="TJX613" s="3933"/>
      <c r="TJY613" s="3933"/>
      <c r="TJZ613" s="3933"/>
      <c r="TKA613" s="621"/>
      <c r="TKB613" s="3933"/>
      <c r="TKC613" s="3933"/>
      <c r="TKD613" s="3933"/>
      <c r="TKE613" s="621"/>
      <c r="TKF613" s="3933"/>
      <c r="TKG613" s="3933"/>
      <c r="TKH613" s="3933"/>
      <c r="TKI613" s="621"/>
      <c r="TKJ613" s="3933"/>
      <c r="TKK613" s="3933"/>
      <c r="TKL613" s="3933"/>
      <c r="TKM613" s="621"/>
      <c r="TKN613" s="3933"/>
      <c r="TKO613" s="3933"/>
      <c r="TKP613" s="3933"/>
      <c r="TKQ613" s="621"/>
      <c r="TKR613" s="3933"/>
      <c r="TKS613" s="3933"/>
      <c r="TKT613" s="3933"/>
      <c r="TKU613" s="621"/>
      <c r="TKV613" s="3933"/>
      <c r="TKW613" s="3933"/>
      <c r="TKX613" s="3933"/>
      <c r="TKY613" s="621"/>
      <c r="TKZ613" s="3933"/>
      <c r="TLA613" s="3933"/>
      <c r="TLB613" s="3933"/>
      <c r="TLC613" s="621"/>
      <c r="TLD613" s="3933"/>
      <c r="TLE613" s="3933"/>
      <c r="TLF613" s="3933"/>
      <c r="TLG613" s="621"/>
      <c r="TLH613" s="3933"/>
      <c r="TLI613" s="3933"/>
      <c r="TLJ613" s="3933"/>
      <c r="TLK613" s="621"/>
      <c r="TLL613" s="3933"/>
      <c r="TLM613" s="3933"/>
      <c r="TLN613" s="3933"/>
      <c r="TLO613" s="621"/>
      <c r="TLP613" s="3933"/>
      <c r="TLQ613" s="3933"/>
      <c r="TLR613" s="3933"/>
      <c r="TLS613" s="621"/>
      <c r="TLT613" s="3933"/>
      <c r="TLU613" s="3933"/>
      <c r="TLV613" s="3933"/>
      <c r="TLW613" s="621"/>
      <c r="TLX613" s="3933"/>
      <c r="TLY613" s="3933"/>
      <c r="TLZ613" s="3933"/>
      <c r="TMA613" s="621"/>
      <c r="TMB613" s="3933"/>
      <c r="TMC613" s="3933"/>
      <c r="TMD613" s="3933"/>
      <c r="TME613" s="621"/>
      <c r="TMF613" s="3933"/>
      <c r="TMG613" s="3933"/>
      <c r="TMH613" s="3933"/>
      <c r="TMI613" s="621"/>
      <c r="TMJ613" s="3933"/>
      <c r="TMK613" s="3933"/>
      <c r="TML613" s="3933"/>
      <c r="TMM613" s="621"/>
      <c r="TMN613" s="3933"/>
      <c r="TMO613" s="3933"/>
      <c r="TMP613" s="3933"/>
      <c r="TMQ613" s="621"/>
      <c r="TMR613" s="3933"/>
      <c r="TMS613" s="3933"/>
      <c r="TMT613" s="3933"/>
      <c r="TMU613" s="621"/>
      <c r="TMV613" s="3933"/>
      <c r="TMW613" s="3933"/>
      <c r="TMX613" s="3933"/>
      <c r="TMY613" s="621"/>
      <c r="TMZ613" s="3933"/>
      <c r="TNA613" s="3933"/>
      <c r="TNB613" s="3933"/>
      <c r="TNC613" s="621"/>
      <c r="TND613" s="3933"/>
      <c r="TNE613" s="3933"/>
      <c r="TNF613" s="3933"/>
      <c r="TNG613" s="621"/>
      <c r="TNH613" s="3933"/>
      <c r="TNI613" s="3933"/>
      <c r="TNJ613" s="3933"/>
      <c r="TNK613" s="621"/>
      <c r="TNL613" s="3933"/>
      <c r="TNM613" s="3933"/>
      <c r="TNN613" s="3933"/>
      <c r="TNO613" s="621"/>
      <c r="TNP613" s="3933"/>
      <c r="TNQ613" s="3933"/>
      <c r="TNR613" s="3933"/>
      <c r="TNS613" s="621"/>
      <c r="TNT613" s="3933"/>
      <c r="TNU613" s="3933"/>
      <c r="TNV613" s="3933"/>
      <c r="TNW613" s="621"/>
      <c r="TNX613" s="3933"/>
      <c r="TNY613" s="3933"/>
      <c r="TNZ613" s="3933"/>
      <c r="TOA613" s="621"/>
      <c r="TOB613" s="3933"/>
      <c r="TOC613" s="3933"/>
      <c r="TOD613" s="3933"/>
      <c r="TOE613" s="621"/>
      <c r="TOF613" s="3933"/>
      <c r="TOG613" s="3933"/>
      <c r="TOH613" s="3933"/>
      <c r="TOI613" s="621"/>
      <c r="TOJ613" s="3933"/>
      <c r="TOK613" s="3933"/>
      <c r="TOL613" s="3933"/>
      <c r="TOM613" s="621"/>
      <c r="TON613" s="3933"/>
      <c r="TOO613" s="3933"/>
      <c r="TOP613" s="3933"/>
      <c r="TOQ613" s="621"/>
      <c r="TOR613" s="3933"/>
      <c r="TOS613" s="3933"/>
      <c r="TOT613" s="3933"/>
      <c r="TOU613" s="621"/>
      <c r="TOV613" s="3933"/>
      <c r="TOW613" s="3933"/>
      <c r="TOX613" s="3933"/>
      <c r="TOY613" s="621"/>
      <c r="TOZ613" s="3933"/>
      <c r="TPA613" s="3933"/>
      <c r="TPB613" s="3933"/>
      <c r="TPC613" s="621"/>
      <c r="TPD613" s="3933"/>
      <c r="TPE613" s="3933"/>
      <c r="TPF613" s="3933"/>
      <c r="TPG613" s="621"/>
      <c r="TPH613" s="3933"/>
      <c r="TPI613" s="3933"/>
      <c r="TPJ613" s="3933"/>
      <c r="TPK613" s="621"/>
      <c r="TPL613" s="3933"/>
      <c r="TPM613" s="3933"/>
      <c r="TPN613" s="3933"/>
      <c r="TPO613" s="621"/>
      <c r="TPP613" s="3933"/>
      <c r="TPQ613" s="3933"/>
      <c r="TPR613" s="3933"/>
      <c r="TPS613" s="621"/>
      <c r="TPT613" s="3933"/>
      <c r="TPU613" s="3933"/>
      <c r="TPV613" s="3933"/>
      <c r="TPW613" s="621"/>
      <c r="TPX613" s="3933"/>
      <c r="TPY613" s="3933"/>
      <c r="TPZ613" s="3933"/>
      <c r="TQA613" s="621"/>
      <c r="TQB613" s="3933"/>
      <c r="TQC613" s="3933"/>
      <c r="TQD613" s="3933"/>
      <c r="TQE613" s="621"/>
      <c r="TQF613" s="3933"/>
      <c r="TQG613" s="3933"/>
      <c r="TQH613" s="3933"/>
      <c r="TQI613" s="621"/>
      <c r="TQJ613" s="3933"/>
      <c r="TQK613" s="3933"/>
      <c r="TQL613" s="3933"/>
      <c r="TQM613" s="621"/>
      <c r="TQN613" s="3933"/>
      <c r="TQO613" s="3933"/>
      <c r="TQP613" s="3933"/>
      <c r="TQQ613" s="621"/>
      <c r="TQR613" s="3933"/>
      <c r="TQS613" s="3933"/>
      <c r="TQT613" s="3933"/>
      <c r="TQU613" s="621"/>
      <c r="TQV613" s="3933"/>
      <c r="TQW613" s="3933"/>
      <c r="TQX613" s="3933"/>
      <c r="TQY613" s="621"/>
      <c r="TQZ613" s="3933"/>
      <c r="TRA613" s="3933"/>
      <c r="TRB613" s="3933"/>
      <c r="TRC613" s="621"/>
      <c r="TRD613" s="3933"/>
      <c r="TRE613" s="3933"/>
      <c r="TRF613" s="3933"/>
      <c r="TRG613" s="621"/>
      <c r="TRH613" s="3933"/>
      <c r="TRI613" s="3933"/>
      <c r="TRJ613" s="3933"/>
      <c r="TRK613" s="621"/>
      <c r="TRL613" s="3933"/>
      <c r="TRM613" s="3933"/>
      <c r="TRN613" s="3933"/>
      <c r="TRO613" s="621"/>
      <c r="TRP613" s="3933"/>
      <c r="TRQ613" s="3933"/>
      <c r="TRR613" s="3933"/>
      <c r="TRS613" s="621"/>
      <c r="TRT613" s="3933"/>
      <c r="TRU613" s="3933"/>
      <c r="TRV613" s="3933"/>
      <c r="TRW613" s="621"/>
      <c r="TRX613" s="3933"/>
      <c r="TRY613" s="3933"/>
      <c r="TRZ613" s="3933"/>
      <c r="TSA613" s="621"/>
      <c r="TSB613" s="3933"/>
      <c r="TSC613" s="3933"/>
      <c r="TSD613" s="3933"/>
      <c r="TSE613" s="621"/>
      <c r="TSF613" s="3933"/>
      <c r="TSG613" s="3933"/>
      <c r="TSH613" s="3933"/>
      <c r="TSI613" s="621"/>
      <c r="TSJ613" s="3933"/>
      <c r="TSK613" s="3933"/>
      <c r="TSL613" s="3933"/>
      <c r="TSM613" s="621"/>
      <c r="TSN613" s="3933"/>
      <c r="TSO613" s="3933"/>
      <c r="TSP613" s="3933"/>
      <c r="TSQ613" s="621"/>
      <c r="TSR613" s="3933"/>
      <c r="TSS613" s="3933"/>
      <c r="TST613" s="3933"/>
      <c r="TSU613" s="621"/>
      <c r="TSV613" s="3933"/>
      <c r="TSW613" s="3933"/>
      <c r="TSX613" s="3933"/>
      <c r="TSY613" s="621"/>
      <c r="TSZ613" s="3933"/>
      <c r="TTA613" s="3933"/>
      <c r="TTB613" s="3933"/>
      <c r="TTC613" s="621"/>
      <c r="TTD613" s="3933"/>
      <c r="TTE613" s="3933"/>
      <c r="TTF613" s="3933"/>
      <c r="TTG613" s="621"/>
      <c r="TTH613" s="3933"/>
      <c r="TTI613" s="3933"/>
      <c r="TTJ613" s="3933"/>
      <c r="TTK613" s="621"/>
      <c r="TTL613" s="3933"/>
      <c r="TTM613" s="3933"/>
      <c r="TTN613" s="3933"/>
      <c r="TTO613" s="621"/>
      <c r="TTP613" s="3933"/>
      <c r="TTQ613" s="3933"/>
      <c r="TTR613" s="3933"/>
      <c r="TTS613" s="621"/>
      <c r="TTT613" s="3933"/>
      <c r="TTU613" s="3933"/>
      <c r="TTV613" s="3933"/>
      <c r="TTW613" s="621"/>
      <c r="TTX613" s="3933"/>
      <c r="TTY613" s="3933"/>
      <c r="TTZ613" s="3933"/>
      <c r="TUA613" s="621"/>
      <c r="TUB613" s="3933"/>
      <c r="TUC613" s="3933"/>
      <c r="TUD613" s="3933"/>
      <c r="TUE613" s="621"/>
      <c r="TUF613" s="3933"/>
      <c r="TUG613" s="3933"/>
      <c r="TUH613" s="3933"/>
      <c r="TUI613" s="621"/>
      <c r="TUJ613" s="3933"/>
      <c r="TUK613" s="3933"/>
      <c r="TUL613" s="3933"/>
      <c r="TUM613" s="621"/>
      <c r="TUN613" s="3933"/>
      <c r="TUO613" s="3933"/>
      <c r="TUP613" s="3933"/>
      <c r="TUQ613" s="621"/>
      <c r="TUR613" s="3933"/>
      <c r="TUS613" s="3933"/>
      <c r="TUT613" s="3933"/>
      <c r="TUU613" s="621"/>
      <c r="TUV613" s="3933"/>
      <c r="TUW613" s="3933"/>
      <c r="TUX613" s="3933"/>
      <c r="TUY613" s="621"/>
      <c r="TUZ613" s="3933"/>
      <c r="TVA613" s="3933"/>
      <c r="TVB613" s="3933"/>
      <c r="TVC613" s="621"/>
      <c r="TVD613" s="3933"/>
      <c r="TVE613" s="3933"/>
      <c r="TVF613" s="3933"/>
      <c r="TVG613" s="621"/>
      <c r="TVH613" s="3933"/>
      <c r="TVI613" s="3933"/>
      <c r="TVJ613" s="3933"/>
      <c r="TVK613" s="621"/>
      <c r="TVL613" s="3933"/>
      <c r="TVM613" s="3933"/>
      <c r="TVN613" s="3933"/>
      <c r="TVO613" s="621"/>
      <c r="TVP613" s="3933"/>
      <c r="TVQ613" s="3933"/>
      <c r="TVR613" s="3933"/>
      <c r="TVS613" s="621"/>
      <c r="TVT613" s="3933"/>
      <c r="TVU613" s="3933"/>
      <c r="TVV613" s="3933"/>
      <c r="TVW613" s="621"/>
      <c r="TVX613" s="3933"/>
      <c r="TVY613" s="3933"/>
      <c r="TVZ613" s="3933"/>
      <c r="TWA613" s="621"/>
      <c r="TWB613" s="3933"/>
      <c r="TWC613" s="3933"/>
      <c r="TWD613" s="3933"/>
      <c r="TWE613" s="621"/>
      <c r="TWF613" s="3933"/>
      <c r="TWG613" s="3933"/>
      <c r="TWH613" s="3933"/>
      <c r="TWI613" s="621"/>
      <c r="TWJ613" s="3933"/>
      <c r="TWK613" s="3933"/>
      <c r="TWL613" s="3933"/>
      <c r="TWM613" s="621"/>
      <c r="TWN613" s="3933"/>
      <c r="TWO613" s="3933"/>
      <c r="TWP613" s="3933"/>
      <c r="TWQ613" s="621"/>
      <c r="TWR613" s="3933"/>
      <c r="TWS613" s="3933"/>
      <c r="TWT613" s="3933"/>
      <c r="TWU613" s="621"/>
      <c r="TWV613" s="3933"/>
      <c r="TWW613" s="3933"/>
      <c r="TWX613" s="3933"/>
      <c r="TWY613" s="621"/>
      <c r="TWZ613" s="3933"/>
      <c r="TXA613" s="3933"/>
      <c r="TXB613" s="3933"/>
      <c r="TXC613" s="621"/>
      <c r="TXD613" s="3933"/>
      <c r="TXE613" s="3933"/>
      <c r="TXF613" s="3933"/>
      <c r="TXG613" s="621"/>
      <c r="TXH613" s="3933"/>
      <c r="TXI613" s="3933"/>
      <c r="TXJ613" s="3933"/>
      <c r="TXK613" s="621"/>
      <c r="TXL613" s="3933"/>
      <c r="TXM613" s="3933"/>
      <c r="TXN613" s="3933"/>
      <c r="TXO613" s="621"/>
      <c r="TXP613" s="3933"/>
      <c r="TXQ613" s="3933"/>
      <c r="TXR613" s="3933"/>
      <c r="TXS613" s="621"/>
      <c r="TXT613" s="3933"/>
      <c r="TXU613" s="3933"/>
      <c r="TXV613" s="3933"/>
      <c r="TXW613" s="621"/>
      <c r="TXX613" s="3933"/>
      <c r="TXY613" s="3933"/>
      <c r="TXZ613" s="3933"/>
      <c r="TYA613" s="621"/>
      <c r="TYB613" s="3933"/>
      <c r="TYC613" s="3933"/>
      <c r="TYD613" s="3933"/>
      <c r="TYE613" s="621"/>
      <c r="TYF613" s="3933"/>
      <c r="TYG613" s="3933"/>
      <c r="TYH613" s="3933"/>
      <c r="TYI613" s="621"/>
      <c r="TYJ613" s="3933"/>
      <c r="TYK613" s="3933"/>
      <c r="TYL613" s="3933"/>
      <c r="TYM613" s="621"/>
      <c r="TYN613" s="3933"/>
      <c r="TYO613" s="3933"/>
      <c r="TYP613" s="3933"/>
      <c r="TYQ613" s="621"/>
      <c r="TYR613" s="3933"/>
      <c r="TYS613" s="3933"/>
      <c r="TYT613" s="3933"/>
      <c r="TYU613" s="621"/>
      <c r="TYV613" s="3933"/>
      <c r="TYW613" s="3933"/>
      <c r="TYX613" s="3933"/>
      <c r="TYY613" s="621"/>
      <c r="TYZ613" s="3933"/>
      <c r="TZA613" s="3933"/>
      <c r="TZB613" s="3933"/>
      <c r="TZC613" s="621"/>
      <c r="TZD613" s="3933"/>
      <c r="TZE613" s="3933"/>
      <c r="TZF613" s="3933"/>
      <c r="TZG613" s="621"/>
      <c r="TZH613" s="3933"/>
      <c r="TZI613" s="3933"/>
      <c r="TZJ613" s="3933"/>
      <c r="TZK613" s="621"/>
      <c r="TZL613" s="3933"/>
      <c r="TZM613" s="3933"/>
      <c r="TZN613" s="3933"/>
      <c r="TZO613" s="621"/>
      <c r="TZP613" s="3933"/>
      <c r="TZQ613" s="3933"/>
      <c r="TZR613" s="3933"/>
      <c r="TZS613" s="621"/>
      <c r="TZT613" s="3933"/>
      <c r="TZU613" s="3933"/>
      <c r="TZV613" s="3933"/>
      <c r="TZW613" s="621"/>
      <c r="TZX613" s="3933"/>
      <c r="TZY613" s="3933"/>
      <c r="TZZ613" s="3933"/>
      <c r="UAA613" s="621"/>
      <c r="UAB613" s="3933"/>
      <c r="UAC613" s="3933"/>
      <c r="UAD613" s="3933"/>
      <c r="UAE613" s="621"/>
      <c r="UAF613" s="3933"/>
      <c r="UAG613" s="3933"/>
      <c r="UAH613" s="3933"/>
      <c r="UAI613" s="621"/>
      <c r="UAJ613" s="3933"/>
      <c r="UAK613" s="3933"/>
      <c r="UAL613" s="3933"/>
      <c r="UAM613" s="621"/>
      <c r="UAN613" s="3933"/>
      <c r="UAO613" s="3933"/>
      <c r="UAP613" s="3933"/>
      <c r="UAQ613" s="621"/>
      <c r="UAR613" s="3933"/>
      <c r="UAS613" s="3933"/>
      <c r="UAT613" s="3933"/>
      <c r="UAU613" s="621"/>
      <c r="UAV613" s="3933"/>
      <c r="UAW613" s="3933"/>
      <c r="UAX613" s="3933"/>
      <c r="UAY613" s="621"/>
      <c r="UAZ613" s="3933"/>
      <c r="UBA613" s="3933"/>
      <c r="UBB613" s="3933"/>
      <c r="UBC613" s="621"/>
      <c r="UBD613" s="3933"/>
      <c r="UBE613" s="3933"/>
      <c r="UBF613" s="3933"/>
      <c r="UBG613" s="621"/>
      <c r="UBH613" s="3933"/>
      <c r="UBI613" s="3933"/>
      <c r="UBJ613" s="3933"/>
      <c r="UBK613" s="621"/>
      <c r="UBL613" s="3933"/>
      <c r="UBM613" s="3933"/>
      <c r="UBN613" s="3933"/>
      <c r="UBO613" s="621"/>
      <c r="UBP613" s="3933"/>
      <c r="UBQ613" s="3933"/>
      <c r="UBR613" s="3933"/>
      <c r="UBS613" s="621"/>
      <c r="UBT613" s="3933"/>
      <c r="UBU613" s="3933"/>
      <c r="UBV613" s="3933"/>
      <c r="UBW613" s="621"/>
      <c r="UBX613" s="3933"/>
      <c r="UBY613" s="3933"/>
      <c r="UBZ613" s="3933"/>
      <c r="UCA613" s="621"/>
      <c r="UCB613" s="3933"/>
      <c r="UCC613" s="3933"/>
      <c r="UCD613" s="3933"/>
      <c r="UCE613" s="621"/>
      <c r="UCF613" s="3933"/>
      <c r="UCG613" s="3933"/>
      <c r="UCH613" s="3933"/>
      <c r="UCI613" s="621"/>
      <c r="UCJ613" s="3933"/>
      <c r="UCK613" s="3933"/>
      <c r="UCL613" s="3933"/>
      <c r="UCM613" s="621"/>
      <c r="UCN613" s="3933"/>
      <c r="UCO613" s="3933"/>
      <c r="UCP613" s="3933"/>
      <c r="UCQ613" s="621"/>
      <c r="UCR613" s="3933"/>
      <c r="UCS613" s="3933"/>
      <c r="UCT613" s="3933"/>
      <c r="UCU613" s="621"/>
      <c r="UCV613" s="3933"/>
      <c r="UCW613" s="3933"/>
      <c r="UCX613" s="3933"/>
      <c r="UCY613" s="621"/>
      <c r="UCZ613" s="3933"/>
      <c r="UDA613" s="3933"/>
      <c r="UDB613" s="3933"/>
      <c r="UDC613" s="621"/>
      <c r="UDD613" s="3933"/>
      <c r="UDE613" s="3933"/>
      <c r="UDF613" s="3933"/>
      <c r="UDG613" s="621"/>
      <c r="UDH613" s="3933"/>
      <c r="UDI613" s="3933"/>
      <c r="UDJ613" s="3933"/>
      <c r="UDK613" s="621"/>
      <c r="UDL613" s="3933"/>
      <c r="UDM613" s="3933"/>
      <c r="UDN613" s="3933"/>
      <c r="UDO613" s="621"/>
      <c r="UDP613" s="3933"/>
      <c r="UDQ613" s="3933"/>
      <c r="UDR613" s="3933"/>
      <c r="UDS613" s="621"/>
      <c r="UDT613" s="3933"/>
      <c r="UDU613" s="3933"/>
      <c r="UDV613" s="3933"/>
      <c r="UDW613" s="621"/>
      <c r="UDX613" s="3933"/>
      <c r="UDY613" s="3933"/>
      <c r="UDZ613" s="3933"/>
      <c r="UEA613" s="621"/>
      <c r="UEB613" s="3933"/>
      <c r="UEC613" s="3933"/>
      <c r="UED613" s="3933"/>
      <c r="UEE613" s="621"/>
      <c r="UEF613" s="3933"/>
      <c r="UEG613" s="3933"/>
      <c r="UEH613" s="3933"/>
      <c r="UEI613" s="621"/>
      <c r="UEJ613" s="3933"/>
      <c r="UEK613" s="3933"/>
      <c r="UEL613" s="3933"/>
      <c r="UEM613" s="621"/>
      <c r="UEN613" s="3933"/>
      <c r="UEO613" s="3933"/>
      <c r="UEP613" s="3933"/>
      <c r="UEQ613" s="621"/>
      <c r="UER613" s="3933"/>
      <c r="UES613" s="3933"/>
      <c r="UET613" s="3933"/>
      <c r="UEU613" s="621"/>
      <c r="UEV613" s="3933"/>
      <c r="UEW613" s="3933"/>
      <c r="UEX613" s="3933"/>
      <c r="UEY613" s="621"/>
      <c r="UEZ613" s="3933"/>
      <c r="UFA613" s="3933"/>
      <c r="UFB613" s="3933"/>
      <c r="UFC613" s="621"/>
      <c r="UFD613" s="3933"/>
      <c r="UFE613" s="3933"/>
      <c r="UFF613" s="3933"/>
      <c r="UFG613" s="621"/>
      <c r="UFH613" s="3933"/>
      <c r="UFI613" s="3933"/>
      <c r="UFJ613" s="3933"/>
      <c r="UFK613" s="621"/>
      <c r="UFL613" s="3933"/>
      <c r="UFM613" s="3933"/>
      <c r="UFN613" s="3933"/>
      <c r="UFO613" s="621"/>
      <c r="UFP613" s="3933"/>
      <c r="UFQ613" s="3933"/>
      <c r="UFR613" s="3933"/>
      <c r="UFS613" s="621"/>
      <c r="UFT613" s="3933"/>
      <c r="UFU613" s="3933"/>
      <c r="UFV613" s="3933"/>
      <c r="UFW613" s="621"/>
      <c r="UFX613" s="3933"/>
      <c r="UFY613" s="3933"/>
      <c r="UFZ613" s="3933"/>
      <c r="UGA613" s="621"/>
      <c r="UGB613" s="3933"/>
      <c r="UGC613" s="3933"/>
      <c r="UGD613" s="3933"/>
      <c r="UGE613" s="621"/>
      <c r="UGF613" s="3933"/>
      <c r="UGG613" s="3933"/>
      <c r="UGH613" s="3933"/>
      <c r="UGI613" s="621"/>
      <c r="UGJ613" s="3933"/>
      <c r="UGK613" s="3933"/>
      <c r="UGL613" s="3933"/>
      <c r="UGM613" s="621"/>
      <c r="UGN613" s="3933"/>
      <c r="UGO613" s="3933"/>
      <c r="UGP613" s="3933"/>
      <c r="UGQ613" s="621"/>
      <c r="UGR613" s="3933"/>
      <c r="UGS613" s="3933"/>
      <c r="UGT613" s="3933"/>
      <c r="UGU613" s="621"/>
      <c r="UGV613" s="3933"/>
      <c r="UGW613" s="3933"/>
      <c r="UGX613" s="3933"/>
      <c r="UGY613" s="621"/>
      <c r="UGZ613" s="3933"/>
      <c r="UHA613" s="3933"/>
      <c r="UHB613" s="3933"/>
      <c r="UHC613" s="621"/>
      <c r="UHD613" s="3933"/>
      <c r="UHE613" s="3933"/>
      <c r="UHF613" s="3933"/>
      <c r="UHG613" s="621"/>
      <c r="UHH613" s="3933"/>
      <c r="UHI613" s="3933"/>
      <c r="UHJ613" s="3933"/>
      <c r="UHK613" s="621"/>
      <c r="UHL613" s="3933"/>
      <c r="UHM613" s="3933"/>
      <c r="UHN613" s="3933"/>
      <c r="UHO613" s="621"/>
      <c r="UHP613" s="3933"/>
      <c r="UHQ613" s="3933"/>
      <c r="UHR613" s="3933"/>
      <c r="UHS613" s="621"/>
      <c r="UHT613" s="3933"/>
      <c r="UHU613" s="3933"/>
      <c r="UHV613" s="3933"/>
      <c r="UHW613" s="621"/>
      <c r="UHX613" s="3933"/>
      <c r="UHY613" s="3933"/>
      <c r="UHZ613" s="3933"/>
      <c r="UIA613" s="621"/>
      <c r="UIB613" s="3933"/>
      <c r="UIC613" s="3933"/>
      <c r="UID613" s="3933"/>
      <c r="UIE613" s="621"/>
      <c r="UIF613" s="3933"/>
      <c r="UIG613" s="3933"/>
      <c r="UIH613" s="3933"/>
      <c r="UII613" s="621"/>
      <c r="UIJ613" s="3933"/>
      <c r="UIK613" s="3933"/>
      <c r="UIL613" s="3933"/>
      <c r="UIM613" s="621"/>
      <c r="UIN613" s="3933"/>
      <c r="UIO613" s="3933"/>
      <c r="UIP613" s="3933"/>
      <c r="UIQ613" s="621"/>
      <c r="UIR613" s="3933"/>
      <c r="UIS613" s="3933"/>
      <c r="UIT613" s="3933"/>
      <c r="UIU613" s="621"/>
      <c r="UIV613" s="3933"/>
      <c r="UIW613" s="3933"/>
      <c r="UIX613" s="3933"/>
      <c r="UIY613" s="621"/>
      <c r="UIZ613" s="3933"/>
      <c r="UJA613" s="3933"/>
      <c r="UJB613" s="3933"/>
      <c r="UJC613" s="621"/>
      <c r="UJD613" s="3933"/>
      <c r="UJE613" s="3933"/>
      <c r="UJF613" s="3933"/>
      <c r="UJG613" s="621"/>
      <c r="UJH613" s="3933"/>
      <c r="UJI613" s="3933"/>
      <c r="UJJ613" s="3933"/>
      <c r="UJK613" s="621"/>
      <c r="UJL613" s="3933"/>
      <c r="UJM613" s="3933"/>
      <c r="UJN613" s="3933"/>
      <c r="UJO613" s="621"/>
      <c r="UJP613" s="3933"/>
      <c r="UJQ613" s="3933"/>
      <c r="UJR613" s="3933"/>
      <c r="UJS613" s="621"/>
      <c r="UJT613" s="3933"/>
      <c r="UJU613" s="3933"/>
      <c r="UJV613" s="3933"/>
      <c r="UJW613" s="621"/>
      <c r="UJX613" s="3933"/>
      <c r="UJY613" s="3933"/>
      <c r="UJZ613" s="3933"/>
      <c r="UKA613" s="621"/>
      <c r="UKB613" s="3933"/>
      <c r="UKC613" s="3933"/>
      <c r="UKD613" s="3933"/>
      <c r="UKE613" s="621"/>
      <c r="UKF613" s="3933"/>
      <c r="UKG613" s="3933"/>
      <c r="UKH613" s="3933"/>
      <c r="UKI613" s="621"/>
      <c r="UKJ613" s="3933"/>
      <c r="UKK613" s="3933"/>
      <c r="UKL613" s="3933"/>
      <c r="UKM613" s="621"/>
      <c r="UKN613" s="3933"/>
      <c r="UKO613" s="3933"/>
      <c r="UKP613" s="3933"/>
      <c r="UKQ613" s="621"/>
      <c r="UKR613" s="3933"/>
      <c r="UKS613" s="3933"/>
      <c r="UKT613" s="3933"/>
      <c r="UKU613" s="621"/>
      <c r="UKV613" s="3933"/>
      <c r="UKW613" s="3933"/>
      <c r="UKX613" s="3933"/>
      <c r="UKY613" s="621"/>
      <c r="UKZ613" s="3933"/>
      <c r="ULA613" s="3933"/>
      <c r="ULB613" s="3933"/>
      <c r="ULC613" s="621"/>
      <c r="ULD613" s="3933"/>
      <c r="ULE613" s="3933"/>
      <c r="ULF613" s="3933"/>
      <c r="ULG613" s="621"/>
      <c r="ULH613" s="3933"/>
      <c r="ULI613" s="3933"/>
      <c r="ULJ613" s="3933"/>
      <c r="ULK613" s="621"/>
      <c r="ULL613" s="3933"/>
      <c r="ULM613" s="3933"/>
      <c r="ULN613" s="3933"/>
      <c r="ULO613" s="621"/>
      <c r="ULP613" s="3933"/>
      <c r="ULQ613" s="3933"/>
      <c r="ULR613" s="3933"/>
      <c r="ULS613" s="621"/>
      <c r="ULT613" s="3933"/>
      <c r="ULU613" s="3933"/>
      <c r="ULV613" s="3933"/>
      <c r="ULW613" s="621"/>
      <c r="ULX613" s="3933"/>
      <c r="ULY613" s="3933"/>
      <c r="ULZ613" s="3933"/>
      <c r="UMA613" s="621"/>
      <c r="UMB613" s="3933"/>
      <c r="UMC613" s="3933"/>
      <c r="UMD613" s="3933"/>
      <c r="UME613" s="621"/>
      <c r="UMF613" s="3933"/>
      <c r="UMG613" s="3933"/>
      <c r="UMH613" s="3933"/>
      <c r="UMI613" s="621"/>
      <c r="UMJ613" s="3933"/>
      <c r="UMK613" s="3933"/>
      <c r="UML613" s="3933"/>
      <c r="UMM613" s="621"/>
      <c r="UMN613" s="3933"/>
      <c r="UMO613" s="3933"/>
      <c r="UMP613" s="3933"/>
      <c r="UMQ613" s="621"/>
      <c r="UMR613" s="3933"/>
      <c r="UMS613" s="3933"/>
      <c r="UMT613" s="3933"/>
      <c r="UMU613" s="621"/>
      <c r="UMV613" s="3933"/>
      <c r="UMW613" s="3933"/>
      <c r="UMX613" s="3933"/>
      <c r="UMY613" s="621"/>
      <c r="UMZ613" s="3933"/>
      <c r="UNA613" s="3933"/>
      <c r="UNB613" s="3933"/>
      <c r="UNC613" s="621"/>
      <c r="UND613" s="3933"/>
      <c r="UNE613" s="3933"/>
      <c r="UNF613" s="3933"/>
      <c r="UNG613" s="621"/>
      <c r="UNH613" s="3933"/>
      <c r="UNI613" s="3933"/>
      <c r="UNJ613" s="3933"/>
      <c r="UNK613" s="621"/>
      <c r="UNL613" s="3933"/>
      <c r="UNM613" s="3933"/>
      <c r="UNN613" s="3933"/>
      <c r="UNO613" s="621"/>
      <c r="UNP613" s="3933"/>
      <c r="UNQ613" s="3933"/>
      <c r="UNR613" s="3933"/>
      <c r="UNS613" s="621"/>
      <c r="UNT613" s="3933"/>
      <c r="UNU613" s="3933"/>
      <c r="UNV613" s="3933"/>
      <c r="UNW613" s="621"/>
      <c r="UNX613" s="3933"/>
      <c r="UNY613" s="3933"/>
      <c r="UNZ613" s="3933"/>
      <c r="UOA613" s="621"/>
      <c r="UOB613" s="3933"/>
      <c r="UOC613" s="3933"/>
      <c r="UOD613" s="3933"/>
      <c r="UOE613" s="621"/>
      <c r="UOF613" s="3933"/>
      <c r="UOG613" s="3933"/>
      <c r="UOH613" s="3933"/>
      <c r="UOI613" s="621"/>
      <c r="UOJ613" s="3933"/>
      <c r="UOK613" s="3933"/>
      <c r="UOL613" s="3933"/>
      <c r="UOM613" s="621"/>
      <c r="UON613" s="3933"/>
      <c r="UOO613" s="3933"/>
      <c r="UOP613" s="3933"/>
      <c r="UOQ613" s="621"/>
      <c r="UOR613" s="3933"/>
      <c r="UOS613" s="3933"/>
      <c r="UOT613" s="3933"/>
      <c r="UOU613" s="621"/>
      <c r="UOV613" s="3933"/>
      <c r="UOW613" s="3933"/>
      <c r="UOX613" s="3933"/>
      <c r="UOY613" s="621"/>
      <c r="UOZ613" s="3933"/>
      <c r="UPA613" s="3933"/>
      <c r="UPB613" s="3933"/>
      <c r="UPC613" s="621"/>
      <c r="UPD613" s="3933"/>
      <c r="UPE613" s="3933"/>
      <c r="UPF613" s="3933"/>
      <c r="UPG613" s="621"/>
      <c r="UPH613" s="3933"/>
      <c r="UPI613" s="3933"/>
      <c r="UPJ613" s="3933"/>
      <c r="UPK613" s="621"/>
      <c r="UPL613" s="3933"/>
      <c r="UPM613" s="3933"/>
      <c r="UPN613" s="3933"/>
      <c r="UPO613" s="621"/>
      <c r="UPP613" s="3933"/>
      <c r="UPQ613" s="3933"/>
      <c r="UPR613" s="3933"/>
      <c r="UPS613" s="621"/>
      <c r="UPT613" s="3933"/>
      <c r="UPU613" s="3933"/>
      <c r="UPV613" s="3933"/>
      <c r="UPW613" s="621"/>
      <c r="UPX613" s="3933"/>
      <c r="UPY613" s="3933"/>
      <c r="UPZ613" s="3933"/>
      <c r="UQA613" s="621"/>
      <c r="UQB613" s="3933"/>
      <c r="UQC613" s="3933"/>
      <c r="UQD613" s="3933"/>
      <c r="UQE613" s="621"/>
      <c r="UQF613" s="3933"/>
      <c r="UQG613" s="3933"/>
      <c r="UQH613" s="3933"/>
      <c r="UQI613" s="621"/>
      <c r="UQJ613" s="3933"/>
      <c r="UQK613" s="3933"/>
      <c r="UQL613" s="3933"/>
      <c r="UQM613" s="621"/>
      <c r="UQN613" s="3933"/>
      <c r="UQO613" s="3933"/>
      <c r="UQP613" s="3933"/>
      <c r="UQQ613" s="621"/>
      <c r="UQR613" s="3933"/>
      <c r="UQS613" s="3933"/>
      <c r="UQT613" s="3933"/>
      <c r="UQU613" s="621"/>
      <c r="UQV613" s="3933"/>
      <c r="UQW613" s="3933"/>
      <c r="UQX613" s="3933"/>
      <c r="UQY613" s="621"/>
      <c r="UQZ613" s="3933"/>
      <c r="URA613" s="3933"/>
      <c r="URB613" s="3933"/>
      <c r="URC613" s="621"/>
      <c r="URD613" s="3933"/>
      <c r="URE613" s="3933"/>
      <c r="URF613" s="3933"/>
      <c r="URG613" s="621"/>
      <c r="URH613" s="3933"/>
      <c r="URI613" s="3933"/>
      <c r="URJ613" s="3933"/>
      <c r="URK613" s="621"/>
      <c r="URL613" s="3933"/>
      <c r="URM613" s="3933"/>
      <c r="URN613" s="3933"/>
      <c r="URO613" s="621"/>
      <c r="URP613" s="3933"/>
      <c r="URQ613" s="3933"/>
      <c r="URR613" s="3933"/>
      <c r="URS613" s="621"/>
      <c r="URT613" s="3933"/>
      <c r="URU613" s="3933"/>
      <c r="URV613" s="3933"/>
      <c r="URW613" s="621"/>
      <c r="URX613" s="3933"/>
      <c r="URY613" s="3933"/>
      <c r="URZ613" s="3933"/>
      <c r="USA613" s="621"/>
      <c r="USB613" s="3933"/>
      <c r="USC613" s="3933"/>
      <c r="USD613" s="3933"/>
      <c r="USE613" s="621"/>
      <c r="USF613" s="3933"/>
      <c r="USG613" s="3933"/>
      <c r="USH613" s="3933"/>
      <c r="USI613" s="621"/>
      <c r="USJ613" s="3933"/>
      <c r="USK613" s="3933"/>
      <c r="USL613" s="3933"/>
      <c r="USM613" s="621"/>
      <c r="USN613" s="3933"/>
      <c r="USO613" s="3933"/>
      <c r="USP613" s="3933"/>
      <c r="USQ613" s="621"/>
      <c r="USR613" s="3933"/>
      <c r="USS613" s="3933"/>
      <c r="UST613" s="3933"/>
      <c r="USU613" s="621"/>
      <c r="USV613" s="3933"/>
      <c r="USW613" s="3933"/>
      <c r="USX613" s="3933"/>
      <c r="USY613" s="621"/>
      <c r="USZ613" s="3933"/>
      <c r="UTA613" s="3933"/>
      <c r="UTB613" s="3933"/>
      <c r="UTC613" s="621"/>
      <c r="UTD613" s="3933"/>
      <c r="UTE613" s="3933"/>
      <c r="UTF613" s="3933"/>
      <c r="UTG613" s="621"/>
      <c r="UTH613" s="3933"/>
      <c r="UTI613" s="3933"/>
      <c r="UTJ613" s="3933"/>
      <c r="UTK613" s="621"/>
      <c r="UTL613" s="3933"/>
      <c r="UTM613" s="3933"/>
      <c r="UTN613" s="3933"/>
      <c r="UTO613" s="621"/>
      <c r="UTP613" s="3933"/>
      <c r="UTQ613" s="3933"/>
      <c r="UTR613" s="3933"/>
      <c r="UTS613" s="621"/>
      <c r="UTT613" s="3933"/>
      <c r="UTU613" s="3933"/>
      <c r="UTV613" s="3933"/>
      <c r="UTW613" s="621"/>
      <c r="UTX613" s="3933"/>
      <c r="UTY613" s="3933"/>
      <c r="UTZ613" s="3933"/>
      <c r="UUA613" s="621"/>
      <c r="UUB613" s="3933"/>
      <c r="UUC613" s="3933"/>
      <c r="UUD613" s="3933"/>
      <c r="UUE613" s="621"/>
      <c r="UUF613" s="3933"/>
      <c r="UUG613" s="3933"/>
      <c r="UUH613" s="3933"/>
      <c r="UUI613" s="621"/>
      <c r="UUJ613" s="3933"/>
      <c r="UUK613" s="3933"/>
      <c r="UUL613" s="3933"/>
      <c r="UUM613" s="621"/>
      <c r="UUN613" s="3933"/>
      <c r="UUO613" s="3933"/>
      <c r="UUP613" s="3933"/>
      <c r="UUQ613" s="621"/>
      <c r="UUR613" s="3933"/>
      <c r="UUS613" s="3933"/>
      <c r="UUT613" s="3933"/>
      <c r="UUU613" s="621"/>
      <c r="UUV613" s="3933"/>
      <c r="UUW613" s="3933"/>
      <c r="UUX613" s="3933"/>
      <c r="UUY613" s="621"/>
      <c r="UUZ613" s="3933"/>
      <c r="UVA613" s="3933"/>
      <c r="UVB613" s="3933"/>
      <c r="UVC613" s="621"/>
      <c r="UVD613" s="3933"/>
      <c r="UVE613" s="3933"/>
      <c r="UVF613" s="3933"/>
      <c r="UVG613" s="621"/>
      <c r="UVH613" s="3933"/>
      <c r="UVI613" s="3933"/>
      <c r="UVJ613" s="3933"/>
      <c r="UVK613" s="621"/>
      <c r="UVL613" s="3933"/>
      <c r="UVM613" s="3933"/>
      <c r="UVN613" s="3933"/>
      <c r="UVO613" s="621"/>
      <c r="UVP613" s="3933"/>
      <c r="UVQ613" s="3933"/>
      <c r="UVR613" s="3933"/>
      <c r="UVS613" s="621"/>
      <c r="UVT613" s="3933"/>
      <c r="UVU613" s="3933"/>
      <c r="UVV613" s="3933"/>
      <c r="UVW613" s="621"/>
      <c r="UVX613" s="3933"/>
      <c r="UVY613" s="3933"/>
      <c r="UVZ613" s="3933"/>
      <c r="UWA613" s="621"/>
      <c r="UWB613" s="3933"/>
      <c r="UWC613" s="3933"/>
      <c r="UWD613" s="3933"/>
      <c r="UWE613" s="621"/>
      <c r="UWF613" s="3933"/>
      <c r="UWG613" s="3933"/>
      <c r="UWH613" s="3933"/>
      <c r="UWI613" s="621"/>
      <c r="UWJ613" s="3933"/>
      <c r="UWK613" s="3933"/>
      <c r="UWL613" s="3933"/>
      <c r="UWM613" s="621"/>
      <c r="UWN613" s="3933"/>
      <c r="UWO613" s="3933"/>
      <c r="UWP613" s="3933"/>
      <c r="UWQ613" s="621"/>
      <c r="UWR613" s="3933"/>
      <c r="UWS613" s="3933"/>
      <c r="UWT613" s="3933"/>
      <c r="UWU613" s="621"/>
      <c r="UWV613" s="3933"/>
      <c r="UWW613" s="3933"/>
      <c r="UWX613" s="3933"/>
      <c r="UWY613" s="621"/>
      <c r="UWZ613" s="3933"/>
      <c r="UXA613" s="3933"/>
      <c r="UXB613" s="3933"/>
      <c r="UXC613" s="621"/>
      <c r="UXD613" s="3933"/>
      <c r="UXE613" s="3933"/>
      <c r="UXF613" s="3933"/>
      <c r="UXG613" s="621"/>
      <c r="UXH613" s="3933"/>
      <c r="UXI613" s="3933"/>
      <c r="UXJ613" s="3933"/>
      <c r="UXK613" s="621"/>
      <c r="UXL613" s="3933"/>
      <c r="UXM613" s="3933"/>
      <c r="UXN613" s="3933"/>
      <c r="UXO613" s="621"/>
      <c r="UXP613" s="3933"/>
      <c r="UXQ613" s="3933"/>
      <c r="UXR613" s="3933"/>
      <c r="UXS613" s="621"/>
      <c r="UXT613" s="3933"/>
      <c r="UXU613" s="3933"/>
      <c r="UXV613" s="3933"/>
      <c r="UXW613" s="621"/>
      <c r="UXX613" s="3933"/>
      <c r="UXY613" s="3933"/>
      <c r="UXZ613" s="3933"/>
      <c r="UYA613" s="621"/>
      <c r="UYB613" s="3933"/>
      <c r="UYC613" s="3933"/>
      <c r="UYD613" s="3933"/>
      <c r="UYE613" s="621"/>
      <c r="UYF613" s="3933"/>
      <c r="UYG613" s="3933"/>
      <c r="UYH613" s="3933"/>
      <c r="UYI613" s="621"/>
      <c r="UYJ613" s="3933"/>
      <c r="UYK613" s="3933"/>
      <c r="UYL613" s="3933"/>
      <c r="UYM613" s="621"/>
      <c r="UYN613" s="3933"/>
      <c r="UYO613" s="3933"/>
      <c r="UYP613" s="3933"/>
      <c r="UYQ613" s="621"/>
      <c r="UYR613" s="3933"/>
      <c r="UYS613" s="3933"/>
      <c r="UYT613" s="3933"/>
      <c r="UYU613" s="621"/>
      <c r="UYV613" s="3933"/>
      <c r="UYW613" s="3933"/>
      <c r="UYX613" s="3933"/>
      <c r="UYY613" s="621"/>
      <c r="UYZ613" s="3933"/>
      <c r="UZA613" s="3933"/>
      <c r="UZB613" s="3933"/>
      <c r="UZC613" s="621"/>
      <c r="UZD613" s="3933"/>
      <c r="UZE613" s="3933"/>
      <c r="UZF613" s="3933"/>
      <c r="UZG613" s="621"/>
      <c r="UZH613" s="3933"/>
      <c r="UZI613" s="3933"/>
      <c r="UZJ613" s="3933"/>
      <c r="UZK613" s="621"/>
      <c r="UZL613" s="3933"/>
      <c r="UZM613" s="3933"/>
      <c r="UZN613" s="3933"/>
      <c r="UZO613" s="621"/>
      <c r="UZP613" s="3933"/>
      <c r="UZQ613" s="3933"/>
      <c r="UZR613" s="3933"/>
      <c r="UZS613" s="621"/>
      <c r="UZT613" s="3933"/>
      <c r="UZU613" s="3933"/>
      <c r="UZV613" s="3933"/>
      <c r="UZW613" s="621"/>
      <c r="UZX613" s="3933"/>
      <c r="UZY613" s="3933"/>
      <c r="UZZ613" s="3933"/>
      <c r="VAA613" s="621"/>
      <c r="VAB613" s="3933"/>
      <c r="VAC613" s="3933"/>
      <c r="VAD613" s="3933"/>
      <c r="VAE613" s="621"/>
      <c r="VAF613" s="3933"/>
      <c r="VAG613" s="3933"/>
      <c r="VAH613" s="3933"/>
      <c r="VAI613" s="621"/>
      <c r="VAJ613" s="3933"/>
      <c r="VAK613" s="3933"/>
      <c r="VAL613" s="3933"/>
      <c r="VAM613" s="621"/>
      <c r="VAN613" s="3933"/>
      <c r="VAO613" s="3933"/>
      <c r="VAP613" s="3933"/>
      <c r="VAQ613" s="621"/>
      <c r="VAR613" s="3933"/>
      <c r="VAS613" s="3933"/>
      <c r="VAT613" s="3933"/>
      <c r="VAU613" s="621"/>
      <c r="VAV613" s="3933"/>
      <c r="VAW613" s="3933"/>
      <c r="VAX613" s="3933"/>
      <c r="VAY613" s="621"/>
      <c r="VAZ613" s="3933"/>
      <c r="VBA613" s="3933"/>
      <c r="VBB613" s="3933"/>
      <c r="VBC613" s="621"/>
      <c r="VBD613" s="3933"/>
      <c r="VBE613" s="3933"/>
      <c r="VBF613" s="3933"/>
      <c r="VBG613" s="621"/>
      <c r="VBH613" s="3933"/>
      <c r="VBI613" s="3933"/>
      <c r="VBJ613" s="3933"/>
      <c r="VBK613" s="621"/>
      <c r="VBL613" s="3933"/>
      <c r="VBM613" s="3933"/>
      <c r="VBN613" s="3933"/>
      <c r="VBO613" s="621"/>
      <c r="VBP613" s="3933"/>
      <c r="VBQ613" s="3933"/>
      <c r="VBR613" s="3933"/>
      <c r="VBS613" s="621"/>
      <c r="VBT613" s="3933"/>
      <c r="VBU613" s="3933"/>
      <c r="VBV613" s="3933"/>
      <c r="VBW613" s="621"/>
      <c r="VBX613" s="3933"/>
      <c r="VBY613" s="3933"/>
      <c r="VBZ613" s="3933"/>
      <c r="VCA613" s="621"/>
      <c r="VCB613" s="3933"/>
      <c r="VCC613" s="3933"/>
      <c r="VCD613" s="3933"/>
      <c r="VCE613" s="621"/>
      <c r="VCF613" s="3933"/>
      <c r="VCG613" s="3933"/>
      <c r="VCH613" s="3933"/>
      <c r="VCI613" s="621"/>
      <c r="VCJ613" s="3933"/>
      <c r="VCK613" s="3933"/>
      <c r="VCL613" s="3933"/>
      <c r="VCM613" s="621"/>
      <c r="VCN613" s="3933"/>
      <c r="VCO613" s="3933"/>
      <c r="VCP613" s="3933"/>
      <c r="VCQ613" s="621"/>
      <c r="VCR613" s="3933"/>
      <c r="VCS613" s="3933"/>
      <c r="VCT613" s="3933"/>
      <c r="VCU613" s="621"/>
      <c r="VCV613" s="3933"/>
      <c r="VCW613" s="3933"/>
      <c r="VCX613" s="3933"/>
      <c r="VCY613" s="621"/>
      <c r="VCZ613" s="3933"/>
      <c r="VDA613" s="3933"/>
      <c r="VDB613" s="3933"/>
      <c r="VDC613" s="621"/>
      <c r="VDD613" s="3933"/>
      <c r="VDE613" s="3933"/>
      <c r="VDF613" s="3933"/>
      <c r="VDG613" s="621"/>
      <c r="VDH613" s="3933"/>
      <c r="VDI613" s="3933"/>
      <c r="VDJ613" s="3933"/>
      <c r="VDK613" s="621"/>
      <c r="VDL613" s="3933"/>
      <c r="VDM613" s="3933"/>
      <c r="VDN613" s="3933"/>
      <c r="VDO613" s="621"/>
      <c r="VDP613" s="3933"/>
      <c r="VDQ613" s="3933"/>
      <c r="VDR613" s="3933"/>
      <c r="VDS613" s="621"/>
      <c r="VDT613" s="3933"/>
      <c r="VDU613" s="3933"/>
      <c r="VDV613" s="3933"/>
      <c r="VDW613" s="621"/>
      <c r="VDX613" s="3933"/>
      <c r="VDY613" s="3933"/>
      <c r="VDZ613" s="3933"/>
      <c r="VEA613" s="621"/>
      <c r="VEB613" s="3933"/>
      <c r="VEC613" s="3933"/>
      <c r="VED613" s="3933"/>
      <c r="VEE613" s="621"/>
      <c r="VEF613" s="3933"/>
      <c r="VEG613" s="3933"/>
      <c r="VEH613" s="3933"/>
      <c r="VEI613" s="621"/>
      <c r="VEJ613" s="3933"/>
      <c r="VEK613" s="3933"/>
      <c r="VEL613" s="3933"/>
      <c r="VEM613" s="621"/>
      <c r="VEN613" s="3933"/>
      <c r="VEO613" s="3933"/>
      <c r="VEP613" s="3933"/>
      <c r="VEQ613" s="621"/>
      <c r="VER613" s="3933"/>
      <c r="VES613" s="3933"/>
      <c r="VET613" s="3933"/>
      <c r="VEU613" s="621"/>
      <c r="VEV613" s="3933"/>
      <c r="VEW613" s="3933"/>
      <c r="VEX613" s="3933"/>
      <c r="VEY613" s="621"/>
      <c r="VEZ613" s="3933"/>
      <c r="VFA613" s="3933"/>
      <c r="VFB613" s="3933"/>
      <c r="VFC613" s="621"/>
      <c r="VFD613" s="3933"/>
      <c r="VFE613" s="3933"/>
      <c r="VFF613" s="3933"/>
      <c r="VFG613" s="621"/>
      <c r="VFH613" s="3933"/>
      <c r="VFI613" s="3933"/>
      <c r="VFJ613" s="3933"/>
      <c r="VFK613" s="621"/>
      <c r="VFL613" s="3933"/>
      <c r="VFM613" s="3933"/>
      <c r="VFN613" s="3933"/>
      <c r="VFO613" s="621"/>
      <c r="VFP613" s="3933"/>
      <c r="VFQ613" s="3933"/>
      <c r="VFR613" s="3933"/>
      <c r="VFS613" s="621"/>
      <c r="VFT613" s="3933"/>
      <c r="VFU613" s="3933"/>
      <c r="VFV613" s="3933"/>
      <c r="VFW613" s="621"/>
      <c r="VFX613" s="3933"/>
      <c r="VFY613" s="3933"/>
      <c r="VFZ613" s="3933"/>
      <c r="VGA613" s="621"/>
      <c r="VGB613" s="3933"/>
      <c r="VGC613" s="3933"/>
      <c r="VGD613" s="3933"/>
      <c r="VGE613" s="621"/>
      <c r="VGF613" s="3933"/>
      <c r="VGG613" s="3933"/>
      <c r="VGH613" s="3933"/>
      <c r="VGI613" s="621"/>
      <c r="VGJ613" s="3933"/>
      <c r="VGK613" s="3933"/>
      <c r="VGL613" s="3933"/>
      <c r="VGM613" s="621"/>
      <c r="VGN613" s="3933"/>
      <c r="VGO613" s="3933"/>
      <c r="VGP613" s="3933"/>
      <c r="VGQ613" s="621"/>
      <c r="VGR613" s="3933"/>
      <c r="VGS613" s="3933"/>
      <c r="VGT613" s="3933"/>
      <c r="VGU613" s="621"/>
      <c r="VGV613" s="3933"/>
      <c r="VGW613" s="3933"/>
      <c r="VGX613" s="3933"/>
      <c r="VGY613" s="621"/>
      <c r="VGZ613" s="3933"/>
      <c r="VHA613" s="3933"/>
      <c r="VHB613" s="3933"/>
      <c r="VHC613" s="621"/>
      <c r="VHD613" s="3933"/>
      <c r="VHE613" s="3933"/>
      <c r="VHF613" s="3933"/>
      <c r="VHG613" s="621"/>
      <c r="VHH613" s="3933"/>
      <c r="VHI613" s="3933"/>
      <c r="VHJ613" s="3933"/>
      <c r="VHK613" s="621"/>
      <c r="VHL613" s="3933"/>
      <c r="VHM613" s="3933"/>
      <c r="VHN613" s="3933"/>
      <c r="VHO613" s="621"/>
      <c r="VHP613" s="3933"/>
      <c r="VHQ613" s="3933"/>
      <c r="VHR613" s="3933"/>
      <c r="VHS613" s="621"/>
      <c r="VHT613" s="3933"/>
      <c r="VHU613" s="3933"/>
      <c r="VHV613" s="3933"/>
      <c r="VHW613" s="621"/>
      <c r="VHX613" s="3933"/>
      <c r="VHY613" s="3933"/>
      <c r="VHZ613" s="3933"/>
      <c r="VIA613" s="621"/>
      <c r="VIB613" s="3933"/>
      <c r="VIC613" s="3933"/>
      <c r="VID613" s="3933"/>
      <c r="VIE613" s="621"/>
      <c r="VIF613" s="3933"/>
      <c r="VIG613" s="3933"/>
      <c r="VIH613" s="3933"/>
      <c r="VII613" s="621"/>
      <c r="VIJ613" s="3933"/>
      <c r="VIK613" s="3933"/>
      <c r="VIL613" s="3933"/>
      <c r="VIM613" s="621"/>
      <c r="VIN613" s="3933"/>
      <c r="VIO613" s="3933"/>
      <c r="VIP613" s="3933"/>
      <c r="VIQ613" s="621"/>
      <c r="VIR613" s="3933"/>
      <c r="VIS613" s="3933"/>
      <c r="VIT613" s="3933"/>
      <c r="VIU613" s="621"/>
      <c r="VIV613" s="3933"/>
      <c r="VIW613" s="3933"/>
      <c r="VIX613" s="3933"/>
      <c r="VIY613" s="621"/>
      <c r="VIZ613" s="3933"/>
      <c r="VJA613" s="3933"/>
      <c r="VJB613" s="3933"/>
      <c r="VJC613" s="621"/>
      <c r="VJD613" s="3933"/>
      <c r="VJE613" s="3933"/>
      <c r="VJF613" s="3933"/>
      <c r="VJG613" s="621"/>
      <c r="VJH613" s="3933"/>
      <c r="VJI613" s="3933"/>
      <c r="VJJ613" s="3933"/>
      <c r="VJK613" s="621"/>
      <c r="VJL613" s="3933"/>
      <c r="VJM613" s="3933"/>
      <c r="VJN613" s="3933"/>
      <c r="VJO613" s="621"/>
      <c r="VJP613" s="3933"/>
      <c r="VJQ613" s="3933"/>
      <c r="VJR613" s="3933"/>
      <c r="VJS613" s="621"/>
      <c r="VJT613" s="3933"/>
      <c r="VJU613" s="3933"/>
      <c r="VJV613" s="3933"/>
      <c r="VJW613" s="621"/>
      <c r="VJX613" s="3933"/>
      <c r="VJY613" s="3933"/>
      <c r="VJZ613" s="3933"/>
      <c r="VKA613" s="621"/>
      <c r="VKB613" s="3933"/>
      <c r="VKC613" s="3933"/>
      <c r="VKD613" s="3933"/>
      <c r="VKE613" s="621"/>
      <c r="VKF613" s="3933"/>
      <c r="VKG613" s="3933"/>
      <c r="VKH613" s="3933"/>
      <c r="VKI613" s="621"/>
      <c r="VKJ613" s="3933"/>
      <c r="VKK613" s="3933"/>
      <c r="VKL613" s="3933"/>
      <c r="VKM613" s="621"/>
      <c r="VKN613" s="3933"/>
      <c r="VKO613" s="3933"/>
      <c r="VKP613" s="3933"/>
      <c r="VKQ613" s="621"/>
      <c r="VKR613" s="3933"/>
      <c r="VKS613" s="3933"/>
      <c r="VKT613" s="3933"/>
      <c r="VKU613" s="621"/>
      <c r="VKV613" s="3933"/>
      <c r="VKW613" s="3933"/>
      <c r="VKX613" s="3933"/>
      <c r="VKY613" s="621"/>
      <c r="VKZ613" s="3933"/>
      <c r="VLA613" s="3933"/>
      <c r="VLB613" s="3933"/>
      <c r="VLC613" s="621"/>
      <c r="VLD613" s="3933"/>
      <c r="VLE613" s="3933"/>
      <c r="VLF613" s="3933"/>
      <c r="VLG613" s="621"/>
      <c r="VLH613" s="3933"/>
      <c r="VLI613" s="3933"/>
      <c r="VLJ613" s="3933"/>
      <c r="VLK613" s="621"/>
      <c r="VLL613" s="3933"/>
      <c r="VLM613" s="3933"/>
      <c r="VLN613" s="3933"/>
      <c r="VLO613" s="621"/>
      <c r="VLP613" s="3933"/>
      <c r="VLQ613" s="3933"/>
      <c r="VLR613" s="3933"/>
      <c r="VLS613" s="621"/>
      <c r="VLT613" s="3933"/>
      <c r="VLU613" s="3933"/>
      <c r="VLV613" s="3933"/>
      <c r="VLW613" s="621"/>
      <c r="VLX613" s="3933"/>
      <c r="VLY613" s="3933"/>
      <c r="VLZ613" s="3933"/>
      <c r="VMA613" s="621"/>
      <c r="VMB613" s="3933"/>
      <c r="VMC613" s="3933"/>
      <c r="VMD613" s="3933"/>
      <c r="VME613" s="621"/>
      <c r="VMF613" s="3933"/>
      <c r="VMG613" s="3933"/>
      <c r="VMH613" s="3933"/>
      <c r="VMI613" s="621"/>
      <c r="VMJ613" s="3933"/>
      <c r="VMK613" s="3933"/>
      <c r="VML613" s="3933"/>
      <c r="VMM613" s="621"/>
      <c r="VMN613" s="3933"/>
      <c r="VMO613" s="3933"/>
      <c r="VMP613" s="3933"/>
      <c r="VMQ613" s="621"/>
      <c r="VMR613" s="3933"/>
      <c r="VMS613" s="3933"/>
      <c r="VMT613" s="3933"/>
      <c r="VMU613" s="621"/>
      <c r="VMV613" s="3933"/>
      <c r="VMW613" s="3933"/>
      <c r="VMX613" s="3933"/>
      <c r="VMY613" s="621"/>
      <c r="VMZ613" s="3933"/>
      <c r="VNA613" s="3933"/>
      <c r="VNB613" s="3933"/>
      <c r="VNC613" s="621"/>
      <c r="VND613" s="3933"/>
      <c r="VNE613" s="3933"/>
      <c r="VNF613" s="3933"/>
      <c r="VNG613" s="621"/>
      <c r="VNH613" s="3933"/>
      <c r="VNI613" s="3933"/>
      <c r="VNJ613" s="3933"/>
      <c r="VNK613" s="621"/>
      <c r="VNL613" s="3933"/>
      <c r="VNM613" s="3933"/>
      <c r="VNN613" s="3933"/>
      <c r="VNO613" s="621"/>
      <c r="VNP613" s="3933"/>
      <c r="VNQ613" s="3933"/>
      <c r="VNR613" s="3933"/>
      <c r="VNS613" s="621"/>
      <c r="VNT613" s="3933"/>
      <c r="VNU613" s="3933"/>
      <c r="VNV613" s="3933"/>
      <c r="VNW613" s="621"/>
      <c r="VNX613" s="3933"/>
      <c r="VNY613" s="3933"/>
      <c r="VNZ613" s="3933"/>
      <c r="VOA613" s="621"/>
      <c r="VOB613" s="3933"/>
      <c r="VOC613" s="3933"/>
      <c r="VOD613" s="3933"/>
      <c r="VOE613" s="621"/>
      <c r="VOF613" s="3933"/>
      <c r="VOG613" s="3933"/>
      <c r="VOH613" s="3933"/>
      <c r="VOI613" s="621"/>
      <c r="VOJ613" s="3933"/>
      <c r="VOK613" s="3933"/>
      <c r="VOL613" s="3933"/>
      <c r="VOM613" s="621"/>
      <c r="VON613" s="3933"/>
      <c r="VOO613" s="3933"/>
      <c r="VOP613" s="3933"/>
      <c r="VOQ613" s="621"/>
      <c r="VOR613" s="3933"/>
      <c r="VOS613" s="3933"/>
      <c r="VOT613" s="3933"/>
      <c r="VOU613" s="621"/>
      <c r="VOV613" s="3933"/>
      <c r="VOW613" s="3933"/>
      <c r="VOX613" s="3933"/>
      <c r="VOY613" s="621"/>
      <c r="VOZ613" s="3933"/>
      <c r="VPA613" s="3933"/>
      <c r="VPB613" s="3933"/>
      <c r="VPC613" s="621"/>
      <c r="VPD613" s="3933"/>
      <c r="VPE613" s="3933"/>
      <c r="VPF613" s="3933"/>
      <c r="VPG613" s="621"/>
      <c r="VPH613" s="3933"/>
      <c r="VPI613" s="3933"/>
      <c r="VPJ613" s="3933"/>
      <c r="VPK613" s="621"/>
      <c r="VPL613" s="3933"/>
      <c r="VPM613" s="3933"/>
      <c r="VPN613" s="3933"/>
      <c r="VPO613" s="621"/>
      <c r="VPP613" s="3933"/>
      <c r="VPQ613" s="3933"/>
      <c r="VPR613" s="3933"/>
      <c r="VPS613" s="621"/>
      <c r="VPT613" s="3933"/>
      <c r="VPU613" s="3933"/>
      <c r="VPV613" s="3933"/>
      <c r="VPW613" s="621"/>
      <c r="VPX613" s="3933"/>
      <c r="VPY613" s="3933"/>
      <c r="VPZ613" s="3933"/>
      <c r="VQA613" s="621"/>
      <c r="VQB613" s="3933"/>
      <c r="VQC613" s="3933"/>
      <c r="VQD613" s="3933"/>
      <c r="VQE613" s="621"/>
      <c r="VQF613" s="3933"/>
      <c r="VQG613" s="3933"/>
      <c r="VQH613" s="3933"/>
      <c r="VQI613" s="621"/>
      <c r="VQJ613" s="3933"/>
      <c r="VQK613" s="3933"/>
      <c r="VQL613" s="3933"/>
      <c r="VQM613" s="621"/>
      <c r="VQN613" s="3933"/>
      <c r="VQO613" s="3933"/>
      <c r="VQP613" s="3933"/>
      <c r="VQQ613" s="621"/>
      <c r="VQR613" s="3933"/>
      <c r="VQS613" s="3933"/>
      <c r="VQT613" s="3933"/>
      <c r="VQU613" s="621"/>
      <c r="VQV613" s="3933"/>
      <c r="VQW613" s="3933"/>
      <c r="VQX613" s="3933"/>
      <c r="VQY613" s="621"/>
      <c r="VQZ613" s="3933"/>
      <c r="VRA613" s="3933"/>
      <c r="VRB613" s="3933"/>
      <c r="VRC613" s="621"/>
      <c r="VRD613" s="3933"/>
      <c r="VRE613" s="3933"/>
      <c r="VRF613" s="3933"/>
      <c r="VRG613" s="621"/>
      <c r="VRH613" s="3933"/>
      <c r="VRI613" s="3933"/>
      <c r="VRJ613" s="3933"/>
      <c r="VRK613" s="621"/>
      <c r="VRL613" s="3933"/>
      <c r="VRM613" s="3933"/>
      <c r="VRN613" s="3933"/>
      <c r="VRO613" s="621"/>
      <c r="VRP613" s="3933"/>
      <c r="VRQ613" s="3933"/>
      <c r="VRR613" s="3933"/>
      <c r="VRS613" s="621"/>
      <c r="VRT613" s="3933"/>
      <c r="VRU613" s="3933"/>
      <c r="VRV613" s="3933"/>
      <c r="VRW613" s="621"/>
      <c r="VRX613" s="3933"/>
      <c r="VRY613" s="3933"/>
      <c r="VRZ613" s="3933"/>
      <c r="VSA613" s="621"/>
      <c r="VSB613" s="3933"/>
      <c r="VSC613" s="3933"/>
      <c r="VSD613" s="3933"/>
      <c r="VSE613" s="621"/>
      <c r="VSF613" s="3933"/>
      <c r="VSG613" s="3933"/>
      <c r="VSH613" s="3933"/>
      <c r="VSI613" s="621"/>
      <c r="VSJ613" s="3933"/>
      <c r="VSK613" s="3933"/>
      <c r="VSL613" s="3933"/>
      <c r="VSM613" s="621"/>
      <c r="VSN613" s="3933"/>
      <c r="VSO613" s="3933"/>
      <c r="VSP613" s="3933"/>
      <c r="VSQ613" s="621"/>
      <c r="VSR613" s="3933"/>
      <c r="VSS613" s="3933"/>
      <c r="VST613" s="3933"/>
      <c r="VSU613" s="621"/>
      <c r="VSV613" s="3933"/>
      <c r="VSW613" s="3933"/>
      <c r="VSX613" s="3933"/>
      <c r="VSY613" s="621"/>
      <c r="VSZ613" s="3933"/>
      <c r="VTA613" s="3933"/>
      <c r="VTB613" s="3933"/>
      <c r="VTC613" s="621"/>
      <c r="VTD613" s="3933"/>
      <c r="VTE613" s="3933"/>
      <c r="VTF613" s="3933"/>
      <c r="VTG613" s="621"/>
      <c r="VTH613" s="3933"/>
      <c r="VTI613" s="3933"/>
      <c r="VTJ613" s="3933"/>
      <c r="VTK613" s="621"/>
      <c r="VTL613" s="3933"/>
      <c r="VTM613" s="3933"/>
      <c r="VTN613" s="3933"/>
      <c r="VTO613" s="621"/>
      <c r="VTP613" s="3933"/>
      <c r="VTQ613" s="3933"/>
      <c r="VTR613" s="3933"/>
      <c r="VTS613" s="621"/>
      <c r="VTT613" s="3933"/>
      <c r="VTU613" s="3933"/>
      <c r="VTV613" s="3933"/>
      <c r="VTW613" s="621"/>
      <c r="VTX613" s="3933"/>
      <c r="VTY613" s="3933"/>
      <c r="VTZ613" s="3933"/>
      <c r="VUA613" s="621"/>
      <c r="VUB613" s="3933"/>
      <c r="VUC613" s="3933"/>
      <c r="VUD613" s="3933"/>
      <c r="VUE613" s="621"/>
      <c r="VUF613" s="3933"/>
      <c r="VUG613" s="3933"/>
      <c r="VUH613" s="3933"/>
      <c r="VUI613" s="621"/>
      <c r="VUJ613" s="3933"/>
      <c r="VUK613" s="3933"/>
      <c r="VUL613" s="3933"/>
      <c r="VUM613" s="621"/>
      <c r="VUN613" s="3933"/>
      <c r="VUO613" s="3933"/>
      <c r="VUP613" s="3933"/>
      <c r="VUQ613" s="621"/>
      <c r="VUR613" s="3933"/>
      <c r="VUS613" s="3933"/>
      <c r="VUT613" s="3933"/>
      <c r="VUU613" s="621"/>
      <c r="VUV613" s="3933"/>
      <c r="VUW613" s="3933"/>
      <c r="VUX613" s="3933"/>
      <c r="VUY613" s="621"/>
      <c r="VUZ613" s="3933"/>
      <c r="VVA613" s="3933"/>
      <c r="VVB613" s="3933"/>
      <c r="VVC613" s="621"/>
      <c r="VVD613" s="3933"/>
      <c r="VVE613" s="3933"/>
      <c r="VVF613" s="3933"/>
      <c r="VVG613" s="621"/>
      <c r="VVH613" s="3933"/>
      <c r="VVI613" s="3933"/>
      <c r="VVJ613" s="3933"/>
      <c r="VVK613" s="621"/>
      <c r="VVL613" s="3933"/>
      <c r="VVM613" s="3933"/>
      <c r="VVN613" s="3933"/>
      <c r="VVO613" s="621"/>
      <c r="VVP613" s="3933"/>
      <c r="VVQ613" s="3933"/>
      <c r="VVR613" s="3933"/>
      <c r="VVS613" s="621"/>
      <c r="VVT613" s="3933"/>
      <c r="VVU613" s="3933"/>
      <c r="VVV613" s="3933"/>
      <c r="VVW613" s="621"/>
      <c r="VVX613" s="3933"/>
      <c r="VVY613" s="3933"/>
      <c r="VVZ613" s="3933"/>
      <c r="VWA613" s="621"/>
      <c r="VWB613" s="3933"/>
      <c r="VWC613" s="3933"/>
      <c r="VWD613" s="3933"/>
      <c r="VWE613" s="621"/>
      <c r="VWF613" s="3933"/>
      <c r="VWG613" s="3933"/>
      <c r="VWH613" s="3933"/>
      <c r="VWI613" s="621"/>
      <c r="VWJ613" s="3933"/>
      <c r="VWK613" s="3933"/>
      <c r="VWL613" s="3933"/>
      <c r="VWM613" s="621"/>
      <c r="VWN613" s="3933"/>
      <c r="VWO613" s="3933"/>
      <c r="VWP613" s="3933"/>
      <c r="VWQ613" s="621"/>
      <c r="VWR613" s="3933"/>
      <c r="VWS613" s="3933"/>
      <c r="VWT613" s="3933"/>
      <c r="VWU613" s="621"/>
      <c r="VWV613" s="3933"/>
      <c r="VWW613" s="3933"/>
      <c r="VWX613" s="3933"/>
      <c r="VWY613" s="621"/>
      <c r="VWZ613" s="3933"/>
      <c r="VXA613" s="3933"/>
      <c r="VXB613" s="3933"/>
      <c r="VXC613" s="621"/>
      <c r="VXD613" s="3933"/>
      <c r="VXE613" s="3933"/>
      <c r="VXF613" s="3933"/>
      <c r="VXG613" s="621"/>
      <c r="VXH613" s="3933"/>
      <c r="VXI613" s="3933"/>
      <c r="VXJ613" s="3933"/>
      <c r="VXK613" s="621"/>
      <c r="VXL613" s="3933"/>
      <c r="VXM613" s="3933"/>
      <c r="VXN613" s="3933"/>
      <c r="VXO613" s="621"/>
      <c r="VXP613" s="3933"/>
      <c r="VXQ613" s="3933"/>
      <c r="VXR613" s="3933"/>
      <c r="VXS613" s="621"/>
      <c r="VXT613" s="3933"/>
      <c r="VXU613" s="3933"/>
      <c r="VXV613" s="3933"/>
      <c r="VXW613" s="621"/>
      <c r="VXX613" s="3933"/>
      <c r="VXY613" s="3933"/>
      <c r="VXZ613" s="3933"/>
      <c r="VYA613" s="621"/>
      <c r="VYB613" s="3933"/>
      <c r="VYC613" s="3933"/>
      <c r="VYD613" s="3933"/>
      <c r="VYE613" s="621"/>
      <c r="VYF613" s="3933"/>
      <c r="VYG613" s="3933"/>
      <c r="VYH613" s="3933"/>
      <c r="VYI613" s="621"/>
      <c r="VYJ613" s="3933"/>
      <c r="VYK613" s="3933"/>
      <c r="VYL613" s="3933"/>
      <c r="VYM613" s="621"/>
      <c r="VYN613" s="3933"/>
      <c r="VYO613" s="3933"/>
      <c r="VYP613" s="3933"/>
      <c r="VYQ613" s="621"/>
      <c r="VYR613" s="3933"/>
      <c r="VYS613" s="3933"/>
      <c r="VYT613" s="3933"/>
      <c r="VYU613" s="621"/>
      <c r="VYV613" s="3933"/>
      <c r="VYW613" s="3933"/>
      <c r="VYX613" s="3933"/>
      <c r="VYY613" s="621"/>
      <c r="VYZ613" s="3933"/>
      <c r="VZA613" s="3933"/>
      <c r="VZB613" s="3933"/>
      <c r="VZC613" s="621"/>
      <c r="VZD613" s="3933"/>
      <c r="VZE613" s="3933"/>
      <c r="VZF613" s="3933"/>
      <c r="VZG613" s="621"/>
      <c r="VZH613" s="3933"/>
      <c r="VZI613" s="3933"/>
      <c r="VZJ613" s="3933"/>
      <c r="VZK613" s="621"/>
      <c r="VZL613" s="3933"/>
      <c r="VZM613" s="3933"/>
      <c r="VZN613" s="3933"/>
      <c r="VZO613" s="621"/>
      <c r="VZP613" s="3933"/>
      <c r="VZQ613" s="3933"/>
      <c r="VZR613" s="3933"/>
      <c r="VZS613" s="621"/>
      <c r="VZT613" s="3933"/>
      <c r="VZU613" s="3933"/>
      <c r="VZV613" s="3933"/>
      <c r="VZW613" s="621"/>
      <c r="VZX613" s="3933"/>
      <c r="VZY613" s="3933"/>
      <c r="VZZ613" s="3933"/>
      <c r="WAA613" s="621"/>
      <c r="WAB613" s="3933"/>
      <c r="WAC613" s="3933"/>
      <c r="WAD613" s="3933"/>
      <c r="WAE613" s="621"/>
      <c r="WAF613" s="3933"/>
      <c r="WAG613" s="3933"/>
      <c r="WAH613" s="3933"/>
      <c r="WAI613" s="621"/>
      <c r="WAJ613" s="3933"/>
      <c r="WAK613" s="3933"/>
      <c r="WAL613" s="3933"/>
      <c r="WAM613" s="621"/>
      <c r="WAN613" s="3933"/>
      <c r="WAO613" s="3933"/>
      <c r="WAP613" s="3933"/>
      <c r="WAQ613" s="621"/>
      <c r="WAR613" s="3933"/>
      <c r="WAS613" s="3933"/>
      <c r="WAT613" s="3933"/>
      <c r="WAU613" s="621"/>
      <c r="WAV613" s="3933"/>
      <c r="WAW613" s="3933"/>
      <c r="WAX613" s="3933"/>
      <c r="WAY613" s="621"/>
      <c r="WAZ613" s="3933"/>
      <c r="WBA613" s="3933"/>
      <c r="WBB613" s="3933"/>
      <c r="WBC613" s="621"/>
      <c r="WBD613" s="3933"/>
      <c r="WBE613" s="3933"/>
      <c r="WBF613" s="3933"/>
      <c r="WBG613" s="621"/>
      <c r="WBH613" s="3933"/>
      <c r="WBI613" s="3933"/>
      <c r="WBJ613" s="3933"/>
      <c r="WBK613" s="621"/>
      <c r="WBL613" s="3933"/>
      <c r="WBM613" s="3933"/>
      <c r="WBN613" s="3933"/>
      <c r="WBO613" s="621"/>
      <c r="WBP613" s="3933"/>
      <c r="WBQ613" s="3933"/>
      <c r="WBR613" s="3933"/>
      <c r="WBS613" s="621"/>
      <c r="WBT613" s="3933"/>
      <c r="WBU613" s="3933"/>
      <c r="WBV613" s="3933"/>
      <c r="WBW613" s="621"/>
      <c r="WBX613" s="3933"/>
      <c r="WBY613" s="3933"/>
      <c r="WBZ613" s="3933"/>
      <c r="WCA613" s="621"/>
      <c r="WCB613" s="3933"/>
      <c r="WCC613" s="3933"/>
      <c r="WCD613" s="3933"/>
      <c r="WCE613" s="621"/>
      <c r="WCF613" s="3933"/>
      <c r="WCG613" s="3933"/>
      <c r="WCH613" s="3933"/>
      <c r="WCI613" s="621"/>
      <c r="WCJ613" s="3933"/>
      <c r="WCK613" s="3933"/>
      <c r="WCL613" s="3933"/>
      <c r="WCM613" s="621"/>
      <c r="WCN613" s="3933"/>
      <c r="WCO613" s="3933"/>
      <c r="WCP613" s="3933"/>
      <c r="WCQ613" s="621"/>
      <c r="WCR613" s="3933"/>
      <c r="WCS613" s="3933"/>
      <c r="WCT613" s="3933"/>
      <c r="WCU613" s="621"/>
      <c r="WCV613" s="3933"/>
      <c r="WCW613" s="3933"/>
      <c r="WCX613" s="3933"/>
      <c r="WCY613" s="621"/>
      <c r="WCZ613" s="3933"/>
      <c r="WDA613" s="3933"/>
      <c r="WDB613" s="3933"/>
      <c r="WDC613" s="621"/>
      <c r="WDD613" s="3933"/>
      <c r="WDE613" s="3933"/>
      <c r="WDF613" s="3933"/>
      <c r="WDG613" s="621"/>
      <c r="WDH613" s="3933"/>
      <c r="WDI613" s="3933"/>
      <c r="WDJ613" s="3933"/>
      <c r="WDK613" s="621"/>
      <c r="WDL613" s="3933"/>
      <c r="WDM613" s="3933"/>
      <c r="WDN613" s="3933"/>
      <c r="WDO613" s="621"/>
      <c r="WDP613" s="3933"/>
      <c r="WDQ613" s="3933"/>
      <c r="WDR613" s="3933"/>
      <c r="WDS613" s="621"/>
      <c r="WDT613" s="3933"/>
      <c r="WDU613" s="3933"/>
      <c r="WDV613" s="3933"/>
      <c r="WDW613" s="621"/>
      <c r="WDX613" s="3933"/>
      <c r="WDY613" s="3933"/>
      <c r="WDZ613" s="3933"/>
      <c r="WEA613" s="621"/>
      <c r="WEB613" s="3933"/>
      <c r="WEC613" s="3933"/>
      <c r="WED613" s="3933"/>
      <c r="WEE613" s="621"/>
      <c r="WEF613" s="3933"/>
      <c r="WEG613" s="3933"/>
      <c r="WEH613" s="3933"/>
      <c r="WEI613" s="621"/>
      <c r="WEJ613" s="3933"/>
      <c r="WEK613" s="3933"/>
      <c r="WEL613" s="3933"/>
      <c r="WEM613" s="621"/>
      <c r="WEN613" s="3933"/>
      <c r="WEO613" s="3933"/>
      <c r="WEP613" s="3933"/>
      <c r="WEQ613" s="621"/>
      <c r="WER613" s="3933"/>
      <c r="WES613" s="3933"/>
      <c r="WET613" s="3933"/>
      <c r="WEU613" s="621"/>
      <c r="WEV613" s="3933"/>
      <c r="WEW613" s="3933"/>
      <c r="WEX613" s="3933"/>
      <c r="WEY613" s="621"/>
      <c r="WEZ613" s="3933"/>
      <c r="WFA613" s="3933"/>
      <c r="WFB613" s="3933"/>
      <c r="WFC613" s="621"/>
      <c r="WFD613" s="3933"/>
      <c r="WFE613" s="3933"/>
      <c r="WFF613" s="3933"/>
      <c r="WFG613" s="621"/>
      <c r="WFH613" s="3933"/>
      <c r="WFI613" s="3933"/>
      <c r="WFJ613" s="3933"/>
      <c r="WFK613" s="621"/>
      <c r="WFL613" s="3933"/>
      <c r="WFM613" s="3933"/>
      <c r="WFN613" s="3933"/>
      <c r="WFO613" s="621"/>
      <c r="WFP613" s="3933"/>
      <c r="WFQ613" s="3933"/>
      <c r="WFR613" s="3933"/>
      <c r="WFS613" s="621"/>
      <c r="WFT613" s="3933"/>
      <c r="WFU613" s="3933"/>
      <c r="WFV613" s="3933"/>
      <c r="WFW613" s="621"/>
      <c r="WFX613" s="3933"/>
      <c r="WFY613" s="3933"/>
      <c r="WFZ613" s="3933"/>
      <c r="WGA613" s="621"/>
      <c r="WGB613" s="3933"/>
      <c r="WGC613" s="3933"/>
      <c r="WGD613" s="3933"/>
      <c r="WGE613" s="621"/>
      <c r="WGF613" s="3933"/>
      <c r="WGG613" s="3933"/>
      <c r="WGH613" s="3933"/>
      <c r="WGI613" s="621"/>
      <c r="WGJ613" s="3933"/>
      <c r="WGK613" s="3933"/>
      <c r="WGL613" s="3933"/>
      <c r="WGM613" s="621"/>
      <c r="WGN613" s="3933"/>
      <c r="WGO613" s="3933"/>
      <c r="WGP613" s="3933"/>
      <c r="WGQ613" s="621"/>
      <c r="WGR613" s="3933"/>
      <c r="WGS613" s="3933"/>
      <c r="WGT613" s="3933"/>
      <c r="WGU613" s="621"/>
      <c r="WGV613" s="3933"/>
      <c r="WGW613" s="3933"/>
      <c r="WGX613" s="3933"/>
      <c r="WGY613" s="621"/>
      <c r="WGZ613" s="3933"/>
      <c r="WHA613" s="3933"/>
      <c r="WHB613" s="3933"/>
      <c r="WHC613" s="621"/>
      <c r="WHD613" s="3933"/>
      <c r="WHE613" s="3933"/>
      <c r="WHF613" s="3933"/>
      <c r="WHG613" s="621"/>
      <c r="WHH613" s="3933"/>
      <c r="WHI613" s="3933"/>
      <c r="WHJ613" s="3933"/>
      <c r="WHK613" s="621"/>
      <c r="WHL613" s="3933"/>
      <c r="WHM613" s="3933"/>
      <c r="WHN613" s="3933"/>
      <c r="WHO613" s="621"/>
      <c r="WHP613" s="3933"/>
      <c r="WHQ613" s="3933"/>
      <c r="WHR613" s="3933"/>
      <c r="WHS613" s="621"/>
      <c r="WHT613" s="3933"/>
      <c r="WHU613" s="3933"/>
      <c r="WHV613" s="3933"/>
      <c r="WHW613" s="621"/>
      <c r="WHX613" s="3933"/>
      <c r="WHY613" s="3933"/>
      <c r="WHZ613" s="3933"/>
      <c r="WIA613" s="621"/>
      <c r="WIB613" s="3933"/>
      <c r="WIC613" s="3933"/>
      <c r="WID613" s="3933"/>
      <c r="WIE613" s="621"/>
      <c r="WIF613" s="3933"/>
      <c r="WIG613" s="3933"/>
      <c r="WIH613" s="3933"/>
      <c r="WII613" s="621"/>
      <c r="WIJ613" s="3933"/>
      <c r="WIK613" s="3933"/>
      <c r="WIL613" s="3933"/>
      <c r="WIM613" s="621"/>
      <c r="WIN613" s="3933"/>
      <c r="WIO613" s="3933"/>
      <c r="WIP613" s="3933"/>
      <c r="WIQ613" s="621"/>
      <c r="WIR613" s="3933"/>
      <c r="WIS613" s="3933"/>
      <c r="WIT613" s="3933"/>
      <c r="WIU613" s="621"/>
      <c r="WIV613" s="3933"/>
      <c r="WIW613" s="3933"/>
      <c r="WIX613" s="3933"/>
      <c r="WIY613" s="621"/>
      <c r="WIZ613" s="3933"/>
      <c r="WJA613" s="3933"/>
      <c r="WJB613" s="3933"/>
      <c r="WJC613" s="621"/>
      <c r="WJD613" s="3933"/>
      <c r="WJE613" s="3933"/>
      <c r="WJF613" s="3933"/>
      <c r="WJG613" s="621"/>
      <c r="WJH613" s="3933"/>
      <c r="WJI613" s="3933"/>
      <c r="WJJ613" s="3933"/>
      <c r="WJK613" s="621"/>
      <c r="WJL613" s="3933"/>
      <c r="WJM613" s="3933"/>
      <c r="WJN613" s="3933"/>
      <c r="WJO613" s="621"/>
      <c r="WJP613" s="3933"/>
      <c r="WJQ613" s="3933"/>
      <c r="WJR613" s="3933"/>
      <c r="WJS613" s="621"/>
      <c r="WJT613" s="3933"/>
      <c r="WJU613" s="3933"/>
      <c r="WJV613" s="3933"/>
      <c r="WJW613" s="621"/>
      <c r="WJX613" s="3933"/>
      <c r="WJY613" s="3933"/>
      <c r="WJZ613" s="3933"/>
      <c r="WKA613" s="621"/>
      <c r="WKB613" s="3933"/>
      <c r="WKC613" s="3933"/>
      <c r="WKD613" s="3933"/>
      <c r="WKE613" s="621"/>
      <c r="WKF613" s="3933"/>
      <c r="WKG613" s="3933"/>
      <c r="WKH613" s="3933"/>
      <c r="WKI613" s="621"/>
      <c r="WKJ613" s="3933"/>
      <c r="WKK613" s="3933"/>
      <c r="WKL613" s="3933"/>
      <c r="WKM613" s="621"/>
      <c r="WKN613" s="3933"/>
      <c r="WKO613" s="3933"/>
      <c r="WKP613" s="3933"/>
      <c r="WKQ613" s="621"/>
      <c r="WKR613" s="3933"/>
      <c r="WKS613" s="3933"/>
      <c r="WKT613" s="3933"/>
      <c r="WKU613" s="621"/>
      <c r="WKV613" s="3933"/>
      <c r="WKW613" s="3933"/>
      <c r="WKX613" s="3933"/>
      <c r="WKY613" s="621"/>
      <c r="WKZ613" s="3933"/>
      <c r="WLA613" s="3933"/>
      <c r="WLB613" s="3933"/>
      <c r="WLC613" s="621"/>
      <c r="WLD613" s="3933"/>
      <c r="WLE613" s="3933"/>
      <c r="WLF613" s="3933"/>
      <c r="WLG613" s="621"/>
      <c r="WLH613" s="3933"/>
      <c r="WLI613" s="3933"/>
      <c r="WLJ613" s="3933"/>
      <c r="WLK613" s="621"/>
      <c r="WLL613" s="3933"/>
      <c r="WLM613" s="3933"/>
      <c r="WLN613" s="3933"/>
      <c r="WLO613" s="621"/>
      <c r="WLP613" s="3933"/>
      <c r="WLQ613" s="3933"/>
      <c r="WLR613" s="3933"/>
      <c r="WLS613" s="621"/>
      <c r="WLT613" s="3933"/>
      <c r="WLU613" s="3933"/>
      <c r="WLV613" s="3933"/>
      <c r="WLW613" s="621"/>
      <c r="WLX613" s="3933"/>
      <c r="WLY613" s="3933"/>
      <c r="WLZ613" s="3933"/>
      <c r="WMA613" s="621"/>
      <c r="WMB613" s="3933"/>
      <c r="WMC613" s="3933"/>
      <c r="WMD613" s="3933"/>
      <c r="WME613" s="621"/>
      <c r="WMF613" s="3933"/>
      <c r="WMG613" s="3933"/>
      <c r="WMH613" s="3933"/>
      <c r="WMI613" s="621"/>
      <c r="WMJ613" s="3933"/>
      <c r="WMK613" s="3933"/>
      <c r="WML613" s="3933"/>
      <c r="WMM613" s="621"/>
      <c r="WMN613" s="3933"/>
      <c r="WMO613" s="3933"/>
      <c r="WMP613" s="3933"/>
      <c r="WMQ613" s="621"/>
      <c r="WMR613" s="3933"/>
      <c r="WMS613" s="3933"/>
      <c r="WMT613" s="3933"/>
      <c r="WMU613" s="621"/>
      <c r="WMV613" s="3933"/>
      <c r="WMW613" s="3933"/>
      <c r="WMX613" s="3933"/>
      <c r="WMY613" s="621"/>
      <c r="WMZ613" s="3933"/>
      <c r="WNA613" s="3933"/>
      <c r="WNB613" s="3933"/>
      <c r="WNC613" s="621"/>
      <c r="WND613" s="3933"/>
      <c r="WNE613" s="3933"/>
      <c r="WNF613" s="3933"/>
      <c r="WNG613" s="621"/>
      <c r="WNH613" s="3933"/>
      <c r="WNI613" s="3933"/>
      <c r="WNJ613" s="3933"/>
      <c r="WNK613" s="621"/>
      <c r="WNL613" s="3933"/>
      <c r="WNM613" s="3933"/>
      <c r="WNN613" s="3933"/>
      <c r="WNO613" s="621"/>
      <c r="WNP613" s="3933"/>
      <c r="WNQ613" s="3933"/>
      <c r="WNR613" s="3933"/>
      <c r="WNS613" s="621"/>
      <c r="WNT613" s="3933"/>
      <c r="WNU613" s="3933"/>
      <c r="WNV613" s="3933"/>
      <c r="WNW613" s="621"/>
      <c r="WNX613" s="3933"/>
      <c r="WNY613" s="3933"/>
      <c r="WNZ613" s="3933"/>
      <c r="WOA613" s="621"/>
      <c r="WOB613" s="3933"/>
      <c r="WOC613" s="3933"/>
      <c r="WOD613" s="3933"/>
      <c r="WOE613" s="621"/>
      <c r="WOF613" s="3933"/>
      <c r="WOG613" s="3933"/>
      <c r="WOH613" s="3933"/>
      <c r="WOI613" s="621"/>
      <c r="WOJ613" s="3933"/>
      <c r="WOK613" s="3933"/>
      <c r="WOL613" s="3933"/>
      <c r="WOM613" s="621"/>
      <c r="WON613" s="3933"/>
      <c r="WOO613" s="3933"/>
      <c r="WOP613" s="3933"/>
      <c r="WOQ613" s="621"/>
      <c r="WOR613" s="3933"/>
      <c r="WOS613" s="3933"/>
      <c r="WOT613" s="3933"/>
      <c r="WOU613" s="621"/>
      <c r="WOV613" s="3933"/>
      <c r="WOW613" s="3933"/>
      <c r="WOX613" s="3933"/>
      <c r="WOY613" s="621"/>
      <c r="WOZ613" s="3933"/>
      <c r="WPA613" s="3933"/>
      <c r="WPB613" s="3933"/>
      <c r="WPC613" s="621"/>
      <c r="WPD613" s="3933"/>
      <c r="WPE613" s="3933"/>
      <c r="WPF613" s="3933"/>
      <c r="WPG613" s="621"/>
      <c r="WPH613" s="3933"/>
      <c r="WPI613" s="3933"/>
      <c r="WPJ613" s="3933"/>
      <c r="WPK613" s="621"/>
      <c r="WPL613" s="3933"/>
      <c r="WPM613" s="3933"/>
      <c r="WPN613" s="3933"/>
      <c r="WPO613" s="621"/>
      <c r="WPP613" s="3933"/>
      <c r="WPQ613" s="3933"/>
      <c r="WPR613" s="3933"/>
      <c r="WPS613" s="621"/>
      <c r="WPT613" s="3933"/>
      <c r="WPU613" s="3933"/>
      <c r="WPV613" s="3933"/>
      <c r="WPW613" s="621"/>
      <c r="WPX613" s="3933"/>
      <c r="WPY613" s="3933"/>
      <c r="WPZ613" s="3933"/>
      <c r="WQA613" s="621"/>
      <c r="WQB613" s="3933"/>
      <c r="WQC613" s="3933"/>
      <c r="WQD613" s="3933"/>
      <c r="WQE613" s="621"/>
      <c r="WQF613" s="3933"/>
      <c r="WQG613" s="3933"/>
      <c r="WQH613" s="3933"/>
      <c r="WQI613" s="621"/>
      <c r="WQJ613" s="3933"/>
      <c r="WQK613" s="3933"/>
      <c r="WQL613" s="3933"/>
      <c r="WQM613" s="621"/>
      <c r="WQN613" s="3933"/>
      <c r="WQO613" s="3933"/>
      <c r="WQP613" s="3933"/>
      <c r="WQQ613" s="621"/>
      <c r="WQR613" s="3933"/>
      <c r="WQS613" s="3933"/>
      <c r="WQT613" s="3933"/>
      <c r="WQU613" s="621"/>
      <c r="WQV613" s="3933"/>
      <c r="WQW613" s="3933"/>
      <c r="WQX613" s="3933"/>
      <c r="WQY613" s="621"/>
      <c r="WQZ613" s="3933"/>
      <c r="WRA613" s="3933"/>
      <c r="WRB613" s="3933"/>
      <c r="WRC613" s="621"/>
      <c r="WRD613" s="3933"/>
      <c r="WRE613" s="3933"/>
      <c r="WRF613" s="3933"/>
      <c r="WRG613" s="621"/>
      <c r="WRH613" s="3933"/>
      <c r="WRI613" s="3933"/>
      <c r="WRJ613" s="3933"/>
      <c r="WRK613" s="621"/>
      <c r="WRL613" s="3933"/>
      <c r="WRM613" s="3933"/>
      <c r="WRN613" s="3933"/>
      <c r="WRO613" s="621"/>
      <c r="WRP613" s="3933"/>
      <c r="WRQ613" s="3933"/>
      <c r="WRR613" s="3933"/>
      <c r="WRS613" s="621"/>
      <c r="WRT613" s="3933"/>
      <c r="WRU613" s="3933"/>
      <c r="WRV613" s="3933"/>
      <c r="WRW613" s="621"/>
      <c r="WRX613" s="3933"/>
      <c r="WRY613" s="3933"/>
      <c r="WRZ613" s="3933"/>
      <c r="WSA613" s="621"/>
      <c r="WSB613" s="3933"/>
      <c r="WSC613" s="3933"/>
      <c r="WSD613" s="3933"/>
      <c r="WSE613" s="621"/>
      <c r="WSF613" s="3933"/>
      <c r="WSG613" s="3933"/>
      <c r="WSH613" s="3933"/>
      <c r="WSI613" s="621"/>
      <c r="WSJ613" s="3933"/>
      <c r="WSK613" s="3933"/>
      <c r="WSL613" s="3933"/>
      <c r="WSM613" s="621"/>
      <c r="WSN613" s="3933"/>
      <c r="WSO613" s="3933"/>
      <c r="WSP613" s="3933"/>
      <c r="WSQ613" s="621"/>
      <c r="WSR613" s="3933"/>
      <c r="WSS613" s="3933"/>
      <c r="WST613" s="3933"/>
      <c r="WSU613" s="621"/>
      <c r="WSV613" s="3933"/>
      <c r="WSW613" s="3933"/>
      <c r="WSX613" s="3933"/>
      <c r="WSY613" s="621"/>
      <c r="WSZ613" s="3933"/>
      <c r="WTA613" s="3933"/>
      <c r="WTB613" s="3933"/>
      <c r="WTC613" s="621"/>
      <c r="WTD613" s="3933"/>
      <c r="WTE613" s="3933"/>
      <c r="WTF613" s="3933"/>
      <c r="WTG613" s="621"/>
      <c r="WTH613" s="3933"/>
      <c r="WTI613" s="3933"/>
      <c r="WTJ613" s="3933"/>
      <c r="WTK613" s="621"/>
      <c r="WTL613" s="3933"/>
      <c r="WTM613" s="3933"/>
      <c r="WTN613" s="3933"/>
      <c r="WTO613" s="621"/>
      <c r="WTP613" s="3933"/>
      <c r="WTQ613" s="3933"/>
      <c r="WTR613" s="3933"/>
      <c r="WTS613" s="621"/>
      <c r="WTT613" s="3933"/>
      <c r="WTU613" s="3933"/>
      <c r="WTV613" s="3933"/>
      <c r="WTW613" s="621"/>
      <c r="WTX613" s="3933"/>
      <c r="WTY613" s="3933"/>
      <c r="WTZ613" s="3933"/>
      <c r="WUA613" s="621"/>
      <c r="WUB613" s="3933"/>
      <c r="WUC613" s="3933"/>
      <c r="WUD613" s="3933"/>
      <c r="WUE613" s="621"/>
      <c r="WUF613" s="3933"/>
      <c r="WUG613" s="3933"/>
      <c r="WUH613" s="3933"/>
      <c r="WUI613" s="621"/>
      <c r="WUJ613" s="3933"/>
      <c r="WUK613" s="3933"/>
      <c r="WUL613" s="3933"/>
      <c r="WUM613" s="621"/>
      <c r="WUN613" s="3933"/>
      <c r="WUO613" s="3933"/>
      <c r="WUP613" s="3933"/>
      <c r="WUQ613" s="621"/>
      <c r="WUR613" s="3933"/>
      <c r="WUS613" s="3933"/>
      <c r="WUT613" s="3933"/>
      <c r="WUU613" s="621"/>
      <c r="WUV613" s="3933"/>
      <c r="WUW613" s="3933"/>
      <c r="WUX613" s="3933"/>
      <c r="WUY613" s="621"/>
      <c r="WUZ613" s="3933"/>
      <c r="WVA613" s="3933"/>
      <c r="WVB613" s="3933"/>
      <c r="WVC613" s="621"/>
      <c r="WVD613" s="3933"/>
      <c r="WVE613" s="3933"/>
      <c r="WVF613" s="3933"/>
      <c r="WVG613" s="621"/>
      <c r="WVH613" s="3933"/>
      <c r="WVI613" s="3933"/>
      <c r="WVJ613" s="3933"/>
      <c r="WVK613" s="621"/>
      <c r="WVL613" s="3933"/>
      <c r="WVM613" s="3933"/>
      <c r="WVN613" s="3933"/>
      <c r="WVO613" s="621"/>
      <c r="WVP613" s="3933"/>
      <c r="WVQ613" s="3933"/>
      <c r="WVR613" s="3933"/>
      <c r="WVS613" s="621"/>
      <c r="WVT613" s="3933"/>
      <c r="WVU613" s="3933"/>
      <c r="WVV613" s="3933"/>
      <c r="WVW613" s="621"/>
      <c r="WVX613" s="3933"/>
      <c r="WVY613" s="3933"/>
      <c r="WVZ613" s="3933"/>
      <c r="WWA613" s="621"/>
      <c r="WWB613" s="3933"/>
      <c r="WWC613" s="3933"/>
      <c r="WWD613" s="3933"/>
      <c r="WWE613" s="621"/>
      <c r="WWF613" s="3933"/>
      <c r="WWG613" s="3933"/>
      <c r="WWH613" s="3933"/>
      <c r="WWI613" s="621"/>
      <c r="WWJ613" s="3933"/>
      <c r="WWK613" s="3933"/>
      <c r="WWL613" s="3933"/>
      <c r="WWM613" s="621"/>
      <c r="WWN613" s="3933"/>
      <c r="WWO613" s="3933"/>
      <c r="WWP613" s="3933"/>
      <c r="WWQ613" s="621"/>
      <c r="WWR613" s="3933"/>
      <c r="WWS613" s="3933"/>
      <c r="WWT613" s="3933"/>
      <c r="WWU613" s="621"/>
      <c r="WWV613" s="3933"/>
      <c r="WWW613" s="3933"/>
      <c r="WWX613" s="3933"/>
      <c r="WWY613" s="621"/>
      <c r="WWZ613" s="3933"/>
      <c r="WXA613" s="3933"/>
      <c r="WXB613" s="3933"/>
      <c r="WXC613" s="621"/>
      <c r="WXD613" s="3933"/>
      <c r="WXE613" s="3933"/>
      <c r="WXF613" s="3933"/>
      <c r="WXG613" s="621"/>
      <c r="WXH613" s="3933"/>
      <c r="WXI613" s="3933"/>
      <c r="WXJ613" s="3933"/>
      <c r="WXK613" s="621"/>
      <c r="WXL613" s="3933"/>
      <c r="WXM613" s="3933"/>
      <c r="WXN613" s="3933"/>
      <c r="WXO613" s="621"/>
      <c r="WXP613" s="3933"/>
      <c r="WXQ613" s="3933"/>
      <c r="WXR613" s="3933"/>
      <c r="WXS613" s="621"/>
      <c r="WXT613" s="3933"/>
      <c r="WXU613" s="3933"/>
      <c r="WXV613" s="3933"/>
      <c r="WXW613" s="621"/>
      <c r="WXX613" s="3933"/>
      <c r="WXY613" s="3933"/>
      <c r="WXZ613" s="3933"/>
      <c r="WYA613" s="621"/>
      <c r="WYB613" s="3933"/>
      <c r="WYC613" s="3933"/>
      <c r="WYD613" s="3933"/>
      <c r="WYE613" s="621"/>
      <c r="WYF613" s="3933"/>
      <c r="WYG613" s="3933"/>
      <c r="WYH613" s="3933"/>
      <c r="WYI613" s="621"/>
      <c r="WYJ613" s="3933"/>
      <c r="WYK613" s="3933"/>
      <c r="WYL613" s="3933"/>
      <c r="WYM613" s="621"/>
      <c r="WYN613" s="3933"/>
      <c r="WYO613" s="3933"/>
      <c r="WYP613" s="3933"/>
      <c r="WYQ613" s="621"/>
      <c r="WYR613" s="3933"/>
      <c r="WYS613" s="3933"/>
      <c r="WYT613" s="3933"/>
      <c r="WYU613" s="621"/>
      <c r="WYV613" s="3933"/>
      <c r="WYW613" s="3933"/>
      <c r="WYX613" s="3933"/>
      <c r="WYY613" s="621"/>
      <c r="WYZ613" s="3933"/>
      <c r="WZA613" s="3933"/>
      <c r="WZB613" s="3933"/>
      <c r="WZC613" s="621"/>
      <c r="WZD613" s="3933"/>
      <c r="WZE613" s="3933"/>
      <c r="WZF613" s="3933"/>
      <c r="WZG613" s="621"/>
      <c r="WZH613" s="3933"/>
      <c r="WZI613" s="3933"/>
      <c r="WZJ613" s="3933"/>
      <c r="WZK613" s="621"/>
      <c r="WZL613" s="3933"/>
      <c r="WZM613" s="3933"/>
      <c r="WZN613" s="3933"/>
      <c r="WZO613" s="621"/>
      <c r="WZP613" s="3933"/>
      <c r="WZQ613" s="3933"/>
      <c r="WZR613" s="3933"/>
      <c r="WZS613" s="621"/>
      <c r="WZT613" s="3933"/>
      <c r="WZU613" s="3933"/>
      <c r="WZV613" s="3933"/>
      <c r="WZW613" s="621"/>
      <c r="WZX613" s="3933"/>
      <c r="WZY613" s="3933"/>
      <c r="WZZ613" s="3933"/>
      <c r="XAA613" s="621"/>
      <c r="XAB613" s="3933"/>
      <c r="XAC613" s="3933"/>
      <c r="XAD613" s="3933"/>
      <c r="XAE613" s="621"/>
      <c r="XAF613" s="3933"/>
      <c r="XAG613" s="3933"/>
      <c r="XAH613" s="3933"/>
      <c r="XAI613" s="621"/>
      <c r="XAJ613" s="3933"/>
      <c r="XAK613" s="3933"/>
      <c r="XAL613" s="3933"/>
      <c r="XAM613" s="621"/>
      <c r="XAN613" s="3933"/>
      <c r="XAO613" s="3933"/>
      <c r="XAP613" s="3933"/>
      <c r="XAQ613" s="621"/>
      <c r="XAR613" s="3933"/>
      <c r="XAS613" s="3933"/>
      <c r="XAT613" s="3933"/>
      <c r="XAU613" s="621"/>
      <c r="XAV613" s="3933"/>
      <c r="XAW613" s="3933"/>
      <c r="XAX613" s="3933"/>
      <c r="XAY613" s="621"/>
      <c r="XAZ613" s="3933"/>
      <c r="XBA613" s="3933"/>
      <c r="XBB613" s="3933"/>
      <c r="XBC613" s="621"/>
      <c r="XBD613" s="3933"/>
      <c r="XBE613" s="3933"/>
      <c r="XBF613" s="3933"/>
      <c r="XBG613" s="621"/>
      <c r="XBH613" s="3933"/>
      <c r="XBI613" s="3933"/>
      <c r="XBJ613" s="3933"/>
      <c r="XBK613" s="621"/>
      <c r="XBL613" s="3933"/>
      <c r="XBM613" s="3933"/>
      <c r="XBN613" s="3933"/>
      <c r="XBO613" s="621"/>
      <c r="XBP613" s="3933"/>
      <c r="XBQ613" s="3933"/>
      <c r="XBR613" s="3933"/>
      <c r="XBS613" s="621"/>
      <c r="XBT613" s="3933"/>
      <c r="XBU613" s="3933"/>
      <c r="XBV613" s="3933"/>
      <c r="XBW613" s="621"/>
      <c r="XBX613" s="3933"/>
      <c r="XBY613" s="3933"/>
      <c r="XBZ613" s="3933"/>
      <c r="XCA613" s="621"/>
      <c r="XCB613" s="3933"/>
      <c r="XCC613" s="3933"/>
      <c r="XCD613" s="3933"/>
      <c r="XCE613" s="621"/>
      <c r="XCF613" s="3933"/>
      <c r="XCG613" s="3933"/>
      <c r="XCH613" s="3933"/>
      <c r="XCI613" s="621"/>
      <c r="XCJ613" s="3933"/>
      <c r="XCK613" s="3933"/>
      <c r="XCL613" s="3933"/>
      <c r="XCM613" s="621"/>
      <c r="XCN613" s="3933"/>
      <c r="XCO613" s="3933"/>
      <c r="XCP613" s="3933"/>
      <c r="XCQ613" s="621"/>
      <c r="XCR613" s="3933"/>
      <c r="XCS613" s="3933"/>
      <c r="XCT613" s="3933"/>
      <c r="XCU613" s="621"/>
      <c r="XCV613" s="3933"/>
      <c r="XCW613" s="3933"/>
      <c r="XCX613" s="3933"/>
      <c r="XCY613" s="621"/>
      <c r="XCZ613" s="3933"/>
      <c r="XDA613" s="3933"/>
      <c r="XDB613" s="3933"/>
      <c r="XDC613" s="621"/>
      <c r="XDD613" s="3933"/>
      <c r="XDE613" s="3933"/>
      <c r="XDF613" s="3933"/>
      <c r="XDG613" s="621"/>
      <c r="XDH613" s="3933"/>
      <c r="XDI613" s="3933"/>
      <c r="XDJ613" s="3933"/>
      <c r="XDK613" s="621"/>
      <c r="XDL613" s="3933"/>
      <c r="XDM613" s="3933"/>
      <c r="XDN613" s="3933"/>
      <c r="XDO613" s="621"/>
      <c r="XDP613" s="3933"/>
      <c r="XDQ613" s="3933"/>
      <c r="XDR613" s="3933"/>
      <c r="XDS613" s="621"/>
      <c r="XDT613" s="3933"/>
      <c r="XDU613" s="3933"/>
      <c r="XDV613" s="3933"/>
      <c r="XDW613" s="621"/>
      <c r="XDX613" s="3933"/>
      <c r="XDY613" s="3933"/>
      <c r="XDZ613" s="3933"/>
      <c r="XEA613" s="621"/>
      <c r="XEB613" s="3933"/>
      <c r="XEC613" s="3933"/>
      <c r="XED613" s="3933"/>
      <c r="XEE613" s="621"/>
      <c r="XEF613" s="3933"/>
      <c r="XEG613" s="3933"/>
      <c r="XEH613" s="3933"/>
      <c r="XEI613" s="621"/>
      <c r="XEJ613" s="3933"/>
      <c r="XEK613" s="3933"/>
      <c r="XEL613" s="3933"/>
      <c r="XEM613" s="621"/>
      <c r="XEN613" s="3933"/>
      <c r="XEO613" s="3933"/>
      <c r="XEP613" s="3933"/>
      <c r="XEQ613" s="621"/>
      <c r="XER613" s="3933"/>
      <c r="XES613" s="3933"/>
      <c r="XET613" s="3933"/>
      <c r="XEU613" s="621"/>
      <c r="XEV613" s="633"/>
      <c r="XEW613" s="633"/>
      <c r="XEX613" s="633"/>
      <c r="XEY613" s="621"/>
      <c r="XEZ613" s="633"/>
      <c r="XFA613" s="633"/>
      <c r="XFB613" s="633"/>
    </row>
    <row r="614" spans="1:16382" customFormat="1" ht="15" customHeight="1">
      <c r="A614" s="663"/>
      <c r="B614" s="667"/>
      <c r="D614" s="613"/>
      <c r="E614" s="1090" t="str">
        <f t="shared" si="32"/>
        <v>Vehículo de Hidrógeno</v>
      </c>
      <c r="F614" s="1294" cm="1">
        <f t="array" ref="F614:M614">INDEX(FACTOR_ACTIVIDAD_CARGA_URBANA_POR_TECNOLOGIA,VEHICULO_HIDROGENO,0)*INDEX(SF_RENDIMIENTO_MODO_CARRETERO_URBANO,VEHICULO_HIDROGENO,0)</f>
        <v>0</v>
      </c>
      <c r="G614" s="1557">
        <v>0</v>
      </c>
      <c r="H614" s="1294">
        <v>0</v>
      </c>
      <c r="I614" s="1294">
        <v>0</v>
      </c>
      <c r="J614" s="1294">
        <v>0</v>
      </c>
      <c r="K614" s="1294">
        <v>0</v>
      </c>
      <c r="L614" s="1294">
        <v>0</v>
      </c>
      <c r="M614" s="1294">
        <v>0</v>
      </c>
      <c r="N614" s="1053"/>
      <c r="O614" s="620"/>
      <c r="Q614" s="633"/>
      <c r="R614" s="633"/>
      <c r="S614" s="621"/>
      <c r="T614" s="3933"/>
      <c r="U614" s="3933"/>
      <c r="V614" s="3933"/>
      <c r="W614" s="621"/>
      <c r="X614" s="3933"/>
      <c r="Y614" s="3933"/>
      <c r="Z614" s="3933"/>
      <c r="AA614" s="621"/>
      <c r="AB614" s="3933"/>
      <c r="AC614" s="3933"/>
      <c r="AD614" s="3933"/>
      <c r="AE614" s="621"/>
      <c r="AF614" s="3933"/>
      <c r="AG614" s="3933"/>
      <c r="AH614" s="3933"/>
      <c r="AI614" s="621"/>
      <c r="AJ614" s="3933"/>
      <c r="AK614" s="3933"/>
      <c r="AL614" s="3933"/>
      <c r="AM614" s="621"/>
      <c r="AN614" s="3933"/>
      <c r="AO614" s="3933"/>
      <c r="AP614" s="3933"/>
      <c r="AQ614" s="621"/>
      <c r="AR614" s="3933"/>
      <c r="AS614" s="3933"/>
      <c r="AT614" s="3933"/>
      <c r="AU614" s="621"/>
      <c r="AV614" s="3933"/>
      <c r="AW614" s="3933"/>
      <c r="AX614" s="3933"/>
      <c r="AY614" s="621"/>
      <c r="AZ614" s="3933"/>
      <c r="BA614" s="3933"/>
      <c r="BB614" s="3933"/>
      <c r="BC614" s="621"/>
      <c r="BD614" s="3933"/>
      <c r="BE614" s="3933"/>
      <c r="BF614" s="3933"/>
      <c r="BG614" s="621"/>
      <c r="BH614" s="3933"/>
      <c r="BI614" s="3933"/>
      <c r="BJ614" s="3933"/>
      <c r="BK614" s="621"/>
      <c r="BL614" s="3933"/>
      <c r="BM614" s="3933"/>
      <c r="BN614" s="3933"/>
      <c r="BO614" s="621"/>
      <c r="BP614" s="3933"/>
      <c r="BQ614" s="3933"/>
      <c r="BR614" s="3933"/>
      <c r="BS614" s="621"/>
      <c r="BT614" s="3933"/>
      <c r="BU614" s="3933"/>
      <c r="BV614" s="3933"/>
      <c r="BW614" s="621"/>
      <c r="BX614" s="3933"/>
      <c r="BY614" s="3933"/>
      <c r="BZ614" s="3933"/>
      <c r="CA614" s="621"/>
      <c r="CB614" s="3933"/>
      <c r="CC614" s="3933"/>
      <c r="CD614" s="3933"/>
      <c r="CE614" s="621"/>
      <c r="CF614" s="3933"/>
      <c r="CG614" s="3933"/>
      <c r="CH614" s="3933"/>
      <c r="CI614" s="621"/>
      <c r="CJ614" s="3933"/>
      <c r="CK614" s="3933"/>
      <c r="CL614" s="3933"/>
      <c r="CM614" s="621"/>
      <c r="CN614" s="3933"/>
      <c r="CO614" s="3933"/>
      <c r="CP614" s="3933"/>
      <c r="CQ614" s="621"/>
      <c r="CR614" s="3933"/>
      <c r="CS614" s="3933"/>
      <c r="CT614" s="3933"/>
      <c r="CU614" s="621"/>
      <c r="CV614" s="3933"/>
      <c r="CW614" s="3933"/>
      <c r="CX614" s="3933"/>
      <c r="CY614" s="621"/>
      <c r="CZ614" s="3933"/>
      <c r="DA614" s="3933"/>
      <c r="DB614" s="3933"/>
      <c r="DC614" s="621"/>
      <c r="DD614" s="3933"/>
      <c r="DE614" s="3933"/>
      <c r="DF614" s="3933"/>
      <c r="DG614" s="621"/>
      <c r="DH614" s="3933"/>
      <c r="DI614" s="3933"/>
      <c r="DJ614" s="3933"/>
      <c r="DK614" s="621"/>
      <c r="DL614" s="3933"/>
      <c r="DM614" s="3933"/>
      <c r="DN614" s="3933"/>
      <c r="DO614" s="621"/>
      <c r="DP614" s="3933"/>
      <c r="DQ614" s="3933"/>
      <c r="DR614" s="3933"/>
      <c r="DS614" s="621"/>
      <c r="DT614" s="3933"/>
      <c r="DU614" s="3933"/>
      <c r="DV614" s="3933"/>
      <c r="DW614" s="621"/>
      <c r="DX614" s="3933"/>
      <c r="DY614" s="3933"/>
      <c r="DZ614" s="3933"/>
      <c r="EA614" s="621"/>
      <c r="EB614" s="3933"/>
      <c r="EC614" s="3933"/>
      <c r="ED614" s="3933"/>
      <c r="EE614" s="621"/>
      <c r="EF614" s="3933"/>
      <c r="EG614" s="3933"/>
      <c r="EH614" s="3933"/>
      <c r="EI614" s="621"/>
      <c r="EJ614" s="3933"/>
      <c r="EK614" s="3933"/>
      <c r="EL614" s="3933"/>
      <c r="EM614" s="621"/>
      <c r="EN614" s="3933"/>
      <c r="EO614" s="3933"/>
      <c r="EP614" s="3933"/>
      <c r="EQ614" s="621"/>
      <c r="ER614" s="3933"/>
      <c r="ES614" s="3933"/>
      <c r="ET614" s="3933"/>
      <c r="EU614" s="621"/>
      <c r="EV614" s="3933"/>
      <c r="EW614" s="3933"/>
      <c r="EX614" s="3933"/>
      <c r="EY614" s="621"/>
      <c r="EZ614" s="3933"/>
      <c r="FA614" s="3933"/>
      <c r="FB614" s="3933"/>
      <c r="FC614" s="621"/>
      <c r="FD614" s="3933"/>
      <c r="FE614" s="3933"/>
      <c r="FF614" s="3933"/>
      <c r="FG614" s="621"/>
      <c r="FH614" s="3933"/>
      <c r="FI614" s="3933"/>
      <c r="FJ614" s="3933"/>
      <c r="FK614" s="621"/>
      <c r="FL614" s="3933"/>
      <c r="FM614" s="3933"/>
      <c r="FN614" s="3933"/>
      <c r="FO614" s="621"/>
      <c r="FP614" s="3933"/>
      <c r="FQ614" s="3933"/>
      <c r="FR614" s="3933"/>
      <c r="FS614" s="621"/>
      <c r="FT614" s="3933"/>
      <c r="FU614" s="3933"/>
      <c r="FV614" s="3933"/>
      <c r="FW614" s="621"/>
      <c r="FX614" s="3933"/>
      <c r="FY614" s="3933"/>
      <c r="FZ614" s="3933"/>
      <c r="GA614" s="621"/>
      <c r="GB614" s="3933"/>
      <c r="GC614" s="3933"/>
      <c r="GD614" s="3933"/>
      <c r="GE614" s="621"/>
      <c r="GF614" s="3933"/>
      <c r="GG614" s="3933"/>
      <c r="GH614" s="3933"/>
      <c r="GI614" s="621"/>
      <c r="GJ614" s="3933"/>
      <c r="GK614" s="3933"/>
      <c r="GL614" s="3933"/>
      <c r="GM614" s="621"/>
      <c r="GN614" s="3933"/>
      <c r="GO614" s="3933"/>
      <c r="GP614" s="3933"/>
      <c r="GQ614" s="621"/>
      <c r="GR614" s="3933"/>
      <c r="GS614" s="3933"/>
      <c r="GT614" s="3933"/>
      <c r="GU614" s="621"/>
      <c r="GV614" s="3933"/>
      <c r="GW614" s="3933"/>
      <c r="GX614" s="3933"/>
      <c r="GY614" s="621"/>
      <c r="GZ614" s="3933"/>
      <c r="HA614" s="3933"/>
      <c r="HB614" s="3933"/>
      <c r="HC614" s="621"/>
      <c r="HD614" s="3933"/>
      <c r="HE614" s="3933"/>
      <c r="HF614" s="3933"/>
      <c r="HG614" s="621"/>
      <c r="HH614" s="3933"/>
      <c r="HI614" s="3933"/>
      <c r="HJ614" s="3933"/>
      <c r="HK614" s="621"/>
      <c r="HL614" s="3933"/>
      <c r="HM614" s="3933"/>
      <c r="HN614" s="3933"/>
      <c r="HO614" s="621"/>
      <c r="HP614" s="3933"/>
      <c r="HQ614" s="3933"/>
      <c r="HR614" s="3933"/>
      <c r="HS614" s="621"/>
      <c r="HT614" s="3933"/>
      <c r="HU614" s="3933"/>
      <c r="HV614" s="3933"/>
      <c r="HW614" s="621"/>
      <c r="HX614" s="3933"/>
      <c r="HY614" s="3933"/>
      <c r="HZ614" s="3933"/>
      <c r="IA614" s="621"/>
      <c r="IB614" s="3933"/>
      <c r="IC614" s="3933"/>
      <c r="ID614" s="3933"/>
      <c r="IE614" s="621"/>
      <c r="IF614" s="3933"/>
      <c r="IG614" s="3933"/>
      <c r="IH614" s="3933"/>
      <c r="II614" s="621"/>
      <c r="IJ614" s="3933"/>
      <c r="IK614" s="3933"/>
      <c r="IL614" s="3933"/>
      <c r="IM614" s="621"/>
      <c r="IN614" s="3933"/>
      <c r="IO614" s="3933"/>
      <c r="IP614" s="3933"/>
      <c r="IQ614" s="621"/>
      <c r="IR614" s="3933"/>
      <c r="IS614" s="3933"/>
      <c r="IT614" s="3933"/>
      <c r="IU614" s="621"/>
      <c r="IV614" s="3933"/>
      <c r="IW614" s="3933"/>
      <c r="IX614" s="3933"/>
      <c r="IY614" s="621"/>
      <c r="IZ614" s="3933"/>
      <c r="JA614" s="3933"/>
      <c r="JB614" s="3933"/>
      <c r="JC614" s="621"/>
      <c r="JD614" s="3933"/>
      <c r="JE614" s="3933"/>
      <c r="JF614" s="3933"/>
      <c r="JG614" s="621"/>
      <c r="JH614" s="3933"/>
      <c r="JI614" s="3933"/>
      <c r="JJ614" s="3933"/>
      <c r="JK614" s="621"/>
      <c r="JL614" s="3933"/>
      <c r="JM614" s="3933"/>
      <c r="JN614" s="3933"/>
      <c r="JO614" s="621"/>
      <c r="JP614" s="3933"/>
      <c r="JQ614" s="3933"/>
      <c r="JR614" s="3933"/>
      <c r="JS614" s="621"/>
      <c r="JT614" s="3933"/>
      <c r="JU614" s="3933"/>
      <c r="JV614" s="3933"/>
      <c r="JW614" s="621"/>
      <c r="JX614" s="3933"/>
      <c r="JY614" s="3933"/>
      <c r="JZ614" s="3933"/>
      <c r="KA614" s="621"/>
      <c r="KB614" s="3933"/>
      <c r="KC614" s="3933"/>
      <c r="KD614" s="3933"/>
      <c r="KE614" s="621"/>
      <c r="KF614" s="3933"/>
      <c r="KG614" s="3933"/>
      <c r="KH614" s="3933"/>
      <c r="KI614" s="621"/>
      <c r="KJ614" s="3933"/>
      <c r="KK614" s="3933"/>
      <c r="KL614" s="3933"/>
      <c r="KM614" s="621"/>
      <c r="KN614" s="3933"/>
      <c r="KO614" s="3933"/>
      <c r="KP614" s="3933"/>
      <c r="KQ614" s="621"/>
      <c r="KR614" s="3933"/>
      <c r="KS614" s="3933"/>
      <c r="KT614" s="3933"/>
      <c r="KU614" s="621"/>
      <c r="KV614" s="3933"/>
      <c r="KW614" s="3933"/>
      <c r="KX614" s="3933"/>
      <c r="KY614" s="621"/>
      <c r="KZ614" s="3933"/>
      <c r="LA614" s="3933"/>
      <c r="LB614" s="3933"/>
      <c r="LC614" s="621"/>
      <c r="LD614" s="3933"/>
      <c r="LE614" s="3933"/>
      <c r="LF614" s="3933"/>
      <c r="LG614" s="621"/>
      <c r="LH614" s="3933"/>
      <c r="LI614" s="3933"/>
      <c r="LJ614" s="3933"/>
      <c r="LK614" s="621"/>
      <c r="LL614" s="3933"/>
      <c r="LM614" s="3933"/>
      <c r="LN614" s="3933"/>
      <c r="LO614" s="621"/>
      <c r="LP614" s="3933"/>
      <c r="LQ614" s="3933"/>
      <c r="LR614" s="3933"/>
      <c r="LS614" s="621"/>
      <c r="LT614" s="3933"/>
      <c r="LU614" s="3933"/>
      <c r="LV614" s="3933"/>
      <c r="LW614" s="621"/>
      <c r="LX614" s="3933"/>
      <c r="LY614" s="3933"/>
      <c r="LZ614" s="3933"/>
      <c r="MA614" s="621"/>
      <c r="MB614" s="3933"/>
      <c r="MC614" s="3933"/>
      <c r="MD614" s="3933"/>
      <c r="ME614" s="621"/>
      <c r="MF614" s="3933"/>
      <c r="MG614" s="3933"/>
      <c r="MH614" s="3933"/>
      <c r="MI614" s="621"/>
      <c r="MJ614" s="3933"/>
      <c r="MK614" s="3933"/>
      <c r="ML614" s="3933"/>
      <c r="MM614" s="621"/>
      <c r="MN614" s="3933"/>
      <c r="MO614" s="3933"/>
      <c r="MP614" s="3933"/>
      <c r="MQ614" s="621"/>
      <c r="MR614" s="3933"/>
      <c r="MS614" s="3933"/>
      <c r="MT614" s="3933"/>
      <c r="MU614" s="621"/>
      <c r="MV614" s="3933"/>
      <c r="MW614" s="3933"/>
      <c r="MX614" s="3933"/>
      <c r="MY614" s="621"/>
      <c r="MZ614" s="3933"/>
      <c r="NA614" s="3933"/>
      <c r="NB614" s="3933"/>
      <c r="NC614" s="621"/>
      <c r="ND614" s="3933"/>
      <c r="NE614" s="3933"/>
      <c r="NF614" s="3933"/>
      <c r="NG614" s="621"/>
      <c r="NH614" s="3933"/>
      <c r="NI614" s="3933"/>
      <c r="NJ614" s="3933"/>
      <c r="NK614" s="621"/>
      <c r="NL614" s="3933"/>
      <c r="NM614" s="3933"/>
      <c r="NN614" s="3933"/>
      <c r="NO614" s="621"/>
      <c r="NP614" s="3933"/>
      <c r="NQ614" s="3933"/>
      <c r="NR614" s="3933"/>
      <c r="NS614" s="621"/>
      <c r="NT614" s="3933"/>
      <c r="NU614" s="3933"/>
      <c r="NV614" s="3933"/>
      <c r="NW614" s="621"/>
      <c r="NX614" s="3933"/>
      <c r="NY614" s="3933"/>
      <c r="NZ614" s="3933"/>
      <c r="OA614" s="621"/>
      <c r="OB614" s="3933"/>
      <c r="OC614" s="3933"/>
      <c r="OD614" s="3933"/>
      <c r="OE614" s="621"/>
      <c r="OF614" s="3933"/>
      <c r="OG614" s="3933"/>
      <c r="OH614" s="3933"/>
      <c r="OI614" s="621"/>
      <c r="OJ614" s="3933"/>
      <c r="OK614" s="3933"/>
      <c r="OL614" s="3933"/>
      <c r="OM614" s="621"/>
      <c r="ON614" s="3933"/>
      <c r="OO614" s="3933"/>
      <c r="OP614" s="3933"/>
      <c r="OQ614" s="621"/>
      <c r="OR614" s="3933"/>
      <c r="OS614" s="3933"/>
      <c r="OT614" s="3933"/>
      <c r="OU614" s="621"/>
      <c r="OV614" s="3933"/>
      <c r="OW614" s="3933"/>
      <c r="OX614" s="3933"/>
      <c r="OY614" s="621"/>
      <c r="OZ614" s="3933"/>
      <c r="PA614" s="3933"/>
      <c r="PB614" s="3933"/>
      <c r="PC614" s="621"/>
      <c r="PD614" s="3933"/>
      <c r="PE614" s="3933"/>
      <c r="PF614" s="3933"/>
      <c r="PG614" s="621"/>
      <c r="PH614" s="3933"/>
      <c r="PI614" s="3933"/>
      <c r="PJ614" s="3933"/>
      <c r="PK614" s="621"/>
      <c r="PL614" s="3933"/>
      <c r="PM614" s="3933"/>
      <c r="PN614" s="3933"/>
      <c r="PO614" s="621"/>
      <c r="PP614" s="3933"/>
      <c r="PQ614" s="3933"/>
      <c r="PR614" s="3933"/>
      <c r="PS614" s="621"/>
      <c r="PT614" s="3933"/>
      <c r="PU614" s="3933"/>
      <c r="PV614" s="3933"/>
      <c r="PW614" s="621"/>
      <c r="PX614" s="3933"/>
      <c r="PY614" s="3933"/>
      <c r="PZ614" s="3933"/>
      <c r="QA614" s="621"/>
      <c r="QB614" s="3933"/>
      <c r="QC614" s="3933"/>
      <c r="QD614" s="3933"/>
      <c r="QE614" s="621"/>
      <c r="QF614" s="3933"/>
      <c r="QG614" s="3933"/>
      <c r="QH614" s="3933"/>
      <c r="QI614" s="621"/>
      <c r="QJ614" s="3933"/>
      <c r="QK614" s="3933"/>
      <c r="QL614" s="3933"/>
      <c r="QM614" s="621"/>
      <c r="QN614" s="3933"/>
      <c r="QO614" s="3933"/>
      <c r="QP614" s="3933"/>
      <c r="QQ614" s="621"/>
      <c r="QR614" s="3933"/>
      <c r="QS614" s="3933"/>
      <c r="QT614" s="3933"/>
      <c r="QU614" s="621"/>
      <c r="QV614" s="3933"/>
      <c r="QW614" s="3933"/>
      <c r="QX614" s="3933"/>
      <c r="QY614" s="621"/>
      <c r="QZ614" s="3933"/>
      <c r="RA614" s="3933"/>
      <c r="RB614" s="3933"/>
      <c r="RC614" s="621"/>
      <c r="RD614" s="3933"/>
      <c r="RE614" s="3933"/>
      <c r="RF614" s="3933"/>
      <c r="RG614" s="621"/>
      <c r="RH614" s="3933"/>
      <c r="RI614" s="3933"/>
      <c r="RJ614" s="3933"/>
      <c r="RK614" s="621"/>
      <c r="RL614" s="3933"/>
      <c r="RM614" s="3933"/>
      <c r="RN614" s="3933"/>
      <c r="RO614" s="621"/>
      <c r="RP614" s="3933"/>
      <c r="RQ614" s="3933"/>
      <c r="RR614" s="3933"/>
      <c r="RS614" s="621"/>
      <c r="RT614" s="3933"/>
      <c r="RU614" s="3933"/>
      <c r="RV614" s="3933"/>
      <c r="RW614" s="621"/>
      <c r="RX614" s="3933"/>
      <c r="RY614" s="3933"/>
      <c r="RZ614" s="3933"/>
      <c r="SA614" s="621"/>
      <c r="SB614" s="3933"/>
      <c r="SC614" s="3933"/>
      <c r="SD614" s="3933"/>
      <c r="SE614" s="621"/>
      <c r="SF614" s="3933"/>
      <c r="SG614" s="3933"/>
      <c r="SH614" s="3933"/>
      <c r="SI614" s="621"/>
      <c r="SJ614" s="3933"/>
      <c r="SK614" s="3933"/>
      <c r="SL614" s="3933"/>
      <c r="SM614" s="621"/>
      <c r="SN614" s="3933"/>
      <c r="SO614" s="3933"/>
      <c r="SP614" s="3933"/>
      <c r="SQ614" s="621"/>
      <c r="SR614" s="3933"/>
      <c r="SS614" s="3933"/>
      <c r="ST614" s="3933"/>
      <c r="SU614" s="621"/>
      <c r="SV614" s="3933"/>
      <c r="SW614" s="3933"/>
      <c r="SX614" s="3933"/>
      <c r="SY614" s="621"/>
      <c r="SZ614" s="3933"/>
      <c r="TA614" s="3933"/>
      <c r="TB614" s="3933"/>
      <c r="TC614" s="621"/>
      <c r="TD614" s="3933"/>
      <c r="TE614" s="3933"/>
      <c r="TF614" s="3933"/>
      <c r="TG614" s="621"/>
      <c r="TH614" s="3933"/>
      <c r="TI614" s="3933"/>
      <c r="TJ614" s="3933"/>
      <c r="TK614" s="621"/>
      <c r="TL614" s="3933"/>
      <c r="TM614" s="3933"/>
      <c r="TN614" s="3933"/>
      <c r="TO614" s="621"/>
      <c r="TP614" s="3933"/>
      <c r="TQ614" s="3933"/>
      <c r="TR614" s="3933"/>
      <c r="TS614" s="621"/>
      <c r="TT614" s="3933"/>
      <c r="TU614" s="3933"/>
      <c r="TV614" s="3933"/>
      <c r="TW614" s="621"/>
      <c r="TX614" s="3933"/>
      <c r="TY614" s="3933"/>
      <c r="TZ614" s="3933"/>
      <c r="UA614" s="621"/>
      <c r="UB614" s="3933"/>
      <c r="UC614" s="3933"/>
      <c r="UD614" s="3933"/>
      <c r="UE614" s="621"/>
      <c r="UF614" s="3933"/>
      <c r="UG614" s="3933"/>
      <c r="UH614" s="3933"/>
      <c r="UI614" s="621"/>
      <c r="UJ614" s="3933"/>
      <c r="UK614" s="3933"/>
      <c r="UL614" s="3933"/>
      <c r="UM614" s="621"/>
      <c r="UN614" s="3933"/>
      <c r="UO614" s="3933"/>
      <c r="UP614" s="3933"/>
      <c r="UQ614" s="621"/>
      <c r="UR614" s="3933"/>
      <c r="US614" s="3933"/>
      <c r="UT614" s="3933"/>
      <c r="UU614" s="621"/>
      <c r="UV614" s="3933"/>
      <c r="UW614" s="3933"/>
      <c r="UX614" s="3933"/>
      <c r="UY614" s="621"/>
      <c r="UZ614" s="3933"/>
      <c r="VA614" s="3933"/>
      <c r="VB614" s="3933"/>
      <c r="VC614" s="621"/>
      <c r="VD614" s="3933"/>
      <c r="VE614" s="3933"/>
      <c r="VF614" s="3933"/>
      <c r="VG614" s="621"/>
      <c r="VH614" s="3933"/>
      <c r="VI614" s="3933"/>
      <c r="VJ614" s="3933"/>
      <c r="VK614" s="621"/>
      <c r="VL614" s="3933"/>
      <c r="VM614" s="3933"/>
      <c r="VN614" s="3933"/>
      <c r="VO614" s="621"/>
      <c r="VP614" s="3933"/>
      <c r="VQ614" s="3933"/>
      <c r="VR614" s="3933"/>
      <c r="VS614" s="621"/>
      <c r="VT614" s="3933"/>
      <c r="VU614" s="3933"/>
      <c r="VV614" s="3933"/>
      <c r="VW614" s="621"/>
      <c r="VX614" s="3933"/>
      <c r="VY614" s="3933"/>
      <c r="VZ614" s="3933"/>
      <c r="WA614" s="621"/>
      <c r="WB614" s="3933"/>
      <c r="WC614" s="3933"/>
      <c r="WD614" s="3933"/>
      <c r="WE614" s="621"/>
      <c r="WF614" s="3933"/>
      <c r="WG614" s="3933"/>
      <c r="WH614" s="3933"/>
      <c r="WI614" s="621"/>
      <c r="WJ614" s="3933"/>
      <c r="WK614" s="3933"/>
      <c r="WL614" s="3933"/>
      <c r="WM614" s="621"/>
      <c r="WN614" s="3933"/>
      <c r="WO614" s="3933"/>
      <c r="WP614" s="3933"/>
      <c r="WQ614" s="621"/>
      <c r="WR614" s="3933"/>
      <c r="WS614" s="3933"/>
      <c r="WT614" s="3933"/>
      <c r="WU614" s="621"/>
      <c r="WV614" s="3933"/>
      <c r="WW614" s="3933"/>
      <c r="WX614" s="3933"/>
      <c r="WY614" s="621"/>
      <c r="WZ614" s="3933"/>
      <c r="XA614" s="3933"/>
      <c r="XB614" s="3933"/>
      <c r="XC614" s="621"/>
      <c r="XD614" s="3933"/>
      <c r="XE614" s="3933"/>
      <c r="XF614" s="3933"/>
      <c r="XG614" s="621"/>
      <c r="XH614" s="3933"/>
      <c r="XI614" s="3933"/>
      <c r="XJ614" s="3933"/>
      <c r="XK614" s="621"/>
      <c r="XL614" s="3933"/>
      <c r="XM614" s="3933"/>
      <c r="XN614" s="3933"/>
      <c r="XO614" s="621"/>
      <c r="XP614" s="3933"/>
      <c r="XQ614" s="3933"/>
      <c r="XR614" s="3933"/>
      <c r="XS614" s="621"/>
      <c r="XT614" s="3933"/>
      <c r="XU614" s="3933"/>
      <c r="XV614" s="3933"/>
      <c r="XW614" s="621"/>
      <c r="XX614" s="3933"/>
      <c r="XY614" s="3933"/>
      <c r="XZ614" s="3933"/>
      <c r="YA614" s="621"/>
      <c r="YB614" s="3933"/>
      <c r="YC614" s="3933"/>
      <c r="YD614" s="3933"/>
      <c r="YE614" s="621"/>
      <c r="YF614" s="3933"/>
      <c r="YG614" s="3933"/>
      <c r="YH614" s="3933"/>
      <c r="YI614" s="621"/>
      <c r="YJ614" s="3933"/>
      <c r="YK614" s="3933"/>
      <c r="YL614" s="3933"/>
      <c r="YM614" s="621"/>
      <c r="YN614" s="3933"/>
      <c r="YO614" s="3933"/>
      <c r="YP614" s="3933"/>
      <c r="YQ614" s="621"/>
      <c r="YR614" s="3933"/>
      <c r="YS614" s="3933"/>
      <c r="YT614" s="3933"/>
      <c r="YU614" s="621"/>
      <c r="YV614" s="3933"/>
      <c r="YW614" s="3933"/>
      <c r="YX614" s="3933"/>
      <c r="YY614" s="621"/>
      <c r="YZ614" s="3933"/>
      <c r="ZA614" s="3933"/>
      <c r="ZB614" s="3933"/>
      <c r="ZC614" s="621"/>
      <c r="ZD614" s="3933"/>
      <c r="ZE614" s="3933"/>
      <c r="ZF614" s="3933"/>
      <c r="ZG614" s="621"/>
      <c r="ZH614" s="3933"/>
      <c r="ZI614" s="3933"/>
      <c r="ZJ614" s="3933"/>
      <c r="ZK614" s="621"/>
      <c r="ZL614" s="3933"/>
      <c r="ZM614" s="3933"/>
      <c r="ZN614" s="3933"/>
      <c r="ZO614" s="621"/>
      <c r="ZP614" s="3933"/>
      <c r="ZQ614" s="3933"/>
      <c r="ZR614" s="3933"/>
      <c r="ZS614" s="621"/>
      <c r="ZT614" s="3933"/>
      <c r="ZU614" s="3933"/>
      <c r="ZV614" s="3933"/>
      <c r="ZW614" s="621"/>
      <c r="ZX614" s="3933"/>
      <c r="ZY614" s="3933"/>
      <c r="ZZ614" s="3933"/>
      <c r="AAA614" s="621"/>
      <c r="AAB614" s="3933"/>
      <c r="AAC614" s="3933"/>
      <c r="AAD614" s="3933"/>
      <c r="AAE614" s="621"/>
      <c r="AAF614" s="3933"/>
      <c r="AAG614" s="3933"/>
      <c r="AAH614" s="3933"/>
      <c r="AAI614" s="621"/>
      <c r="AAJ614" s="3933"/>
      <c r="AAK614" s="3933"/>
      <c r="AAL614" s="3933"/>
      <c r="AAM614" s="621"/>
      <c r="AAN614" s="3933"/>
      <c r="AAO614" s="3933"/>
      <c r="AAP614" s="3933"/>
      <c r="AAQ614" s="621"/>
      <c r="AAR614" s="3933"/>
      <c r="AAS614" s="3933"/>
      <c r="AAT614" s="3933"/>
      <c r="AAU614" s="621"/>
      <c r="AAV614" s="3933"/>
      <c r="AAW614" s="3933"/>
      <c r="AAX614" s="3933"/>
      <c r="AAY614" s="621"/>
      <c r="AAZ614" s="3933"/>
      <c r="ABA614" s="3933"/>
      <c r="ABB614" s="3933"/>
      <c r="ABC614" s="621"/>
      <c r="ABD614" s="3933"/>
      <c r="ABE614" s="3933"/>
      <c r="ABF614" s="3933"/>
      <c r="ABG614" s="621"/>
      <c r="ABH614" s="3933"/>
      <c r="ABI614" s="3933"/>
      <c r="ABJ614" s="3933"/>
      <c r="ABK614" s="621"/>
      <c r="ABL614" s="3933"/>
      <c r="ABM614" s="3933"/>
      <c r="ABN614" s="3933"/>
      <c r="ABO614" s="621"/>
      <c r="ABP614" s="3933"/>
      <c r="ABQ614" s="3933"/>
      <c r="ABR614" s="3933"/>
      <c r="ABS614" s="621"/>
      <c r="ABT614" s="3933"/>
      <c r="ABU614" s="3933"/>
      <c r="ABV614" s="3933"/>
      <c r="ABW614" s="621"/>
      <c r="ABX614" s="3933"/>
      <c r="ABY614" s="3933"/>
      <c r="ABZ614" s="3933"/>
      <c r="ACA614" s="621"/>
      <c r="ACB614" s="3933"/>
      <c r="ACC614" s="3933"/>
      <c r="ACD614" s="3933"/>
      <c r="ACE614" s="621"/>
      <c r="ACF614" s="3933"/>
      <c r="ACG614" s="3933"/>
      <c r="ACH614" s="3933"/>
      <c r="ACI614" s="621"/>
      <c r="ACJ614" s="3933"/>
      <c r="ACK614" s="3933"/>
      <c r="ACL614" s="3933"/>
      <c r="ACM614" s="621"/>
      <c r="ACN614" s="3933"/>
      <c r="ACO614" s="3933"/>
      <c r="ACP614" s="3933"/>
      <c r="ACQ614" s="621"/>
      <c r="ACR614" s="3933"/>
      <c r="ACS614" s="3933"/>
      <c r="ACT614" s="3933"/>
      <c r="ACU614" s="621"/>
      <c r="ACV614" s="3933"/>
      <c r="ACW614" s="3933"/>
      <c r="ACX614" s="3933"/>
      <c r="ACY614" s="621"/>
      <c r="ACZ614" s="3933"/>
      <c r="ADA614" s="3933"/>
      <c r="ADB614" s="3933"/>
      <c r="ADC614" s="621"/>
      <c r="ADD614" s="3933"/>
      <c r="ADE614" s="3933"/>
      <c r="ADF614" s="3933"/>
      <c r="ADG614" s="621"/>
      <c r="ADH614" s="3933"/>
      <c r="ADI614" s="3933"/>
      <c r="ADJ614" s="3933"/>
      <c r="ADK614" s="621"/>
      <c r="ADL614" s="3933"/>
      <c r="ADM614" s="3933"/>
      <c r="ADN614" s="3933"/>
      <c r="ADO614" s="621"/>
      <c r="ADP614" s="3933"/>
      <c r="ADQ614" s="3933"/>
      <c r="ADR614" s="3933"/>
      <c r="ADS614" s="621"/>
      <c r="ADT614" s="3933"/>
      <c r="ADU614" s="3933"/>
      <c r="ADV614" s="3933"/>
      <c r="ADW614" s="621"/>
      <c r="ADX614" s="3933"/>
      <c r="ADY614" s="3933"/>
      <c r="ADZ614" s="3933"/>
      <c r="AEA614" s="621"/>
      <c r="AEB614" s="3933"/>
      <c r="AEC614" s="3933"/>
      <c r="AED614" s="3933"/>
      <c r="AEE614" s="621"/>
      <c r="AEF614" s="3933"/>
      <c r="AEG614" s="3933"/>
      <c r="AEH614" s="3933"/>
      <c r="AEI614" s="621"/>
      <c r="AEJ614" s="3933"/>
      <c r="AEK614" s="3933"/>
      <c r="AEL614" s="3933"/>
      <c r="AEM614" s="621"/>
      <c r="AEN614" s="3933"/>
      <c r="AEO614" s="3933"/>
      <c r="AEP614" s="3933"/>
      <c r="AEQ614" s="621"/>
      <c r="AER614" s="3933"/>
      <c r="AES614" s="3933"/>
      <c r="AET614" s="3933"/>
      <c r="AEU614" s="621"/>
      <c r="AEV614" s="3933"/>
      <c r="AEW614" s="3933"/>
      <c r="AEX614" s="3933"/>
      <c r="AEY614" s="621"/>
      <c r="AEZ614" s="3933"/>
      <c r="AFA614" s="3933"/>
      <c r="AFB614" s="3933"/>
      <c r="AFC614" s="621"/>
      <c r="AFD614" s="3933"/>
      <c r="AFE614" s="3933"/>
      <c r="AFF614" s="3933"/>
      <c r="AFG614" s="621"/>
      <c r="AFH614" s="3933"/>
      <c r="AFI614" s="3933"/>
      <c r="AFJ614" s="3933"/>
      <c r="AFK614" s="621"/>
      <c r="AFL614" s="3933"/>
      <c r="AFM614" s="3933"/>
      <c r="AFN614" s="3933"/>
      <c r="AFO614" s="621"/>
      <c r="AFP614" s="3933"/>
      <c r="AFQ614" s="3933"/>
      <c r="AFR614" s="3933"/>
      <c r="AFS614" s="621"/>
      <c r="AFT614" s="3933"/>
      <c r="AFU614" s="3933"/>
      <c r="AFV614" s="3933"/>
      <c r="AFW614" s="621"/>
      <c r="AFX614" s="3933"/>
      <c r="AFY614" s="3933"/>
      <c r="AFZ614" s="3933"/>
      <c r="AGA614" s="621"/>
      <c r="AGB614" s="3933"/>
      <c r="AGC614" s="3933"/>
      <c r="AGD614" s="3933"/>
      <c r="AGE614" s="621"/>
      <c r="AGF614" s="3933"/>
      <c r="AGG614" s="3933"/>
      <c r="AGH614" s="3933"/>
      <c r="AGI614" s="621"/>
      <c r="AGJ614" s="3933"/>
      <c r="AGK614" s="3933"/>
      <c r="AGL614" s="3933"/>
      <c r="AGM614" s="621"/>
      <c r="AGN614" s="3933"/>
      <c r="AGO614" s="3933"/>
      <c r="AGP614" s="3933"/>
      <c r="AGQ614" s="621"/>
      <c r="AGR614" s="3933"/>
      <c r="AGS614" s="3933"/>
      <c r="AGT614" s="3933"/>
      <c r="AGU614" s="621"/>
      <c r="AGV614" s="3933"/>
      <c r="AGW614" s="3933"/>
      <c r="AGX614" s="3933"/>
      <c r="AGY614" s="621"/>
      <c r="AGZ614" s="3933"/>
      <c r="AHA614" s="3933"/>
      <c r="AHB614" s="3933"/>
      <c r="AHC614" s="621"/>
      <c r="AHD614" s="3933"/>
      <c r="AHE614" s="3933"/>
      <c r="AHF614" s="3933"/>
      <c r="AHG614" s="621"/>
      <c r="AHH614" s="3933"/>
      <c r="AHI614" s="3933"/>
      <c r="AHJ614" s="3933"/>
      <c r="AHK614" s="621"/>
      <c r="AHL614" s="3933"/>
      <c r="AHM614" s="3933"/>
      <c r="AHN614" s="3933"/>
      <c r="AHO614" s="621"/>
      <c r="AHP614" s="3933"/>
      <c r="AHQ614" s="3933"/>
      <c r="AHR614" s="3933"/>
      <c r="AHS614" s="621"/>
      <c r="AHT614" s="3933"/>
      <c r="AHU614" s="3933"/>
      <c r="AHV614" s="3933"/>
      <c r="AHW614" s="621"/>
      <c r="AHX614" s="3933"/>
      <c r="AHY614" s="3933"/>
      <c r="AHZ614" s="3933"/>
      <c r="AIA614" s="621"/>
      <c r="AIB614" s="3933"/>
      <c r="AIC614" s="3933"/>
      <c r="AID614" s="3933"/>
      <c r="AIE614" s="621"/>
      <c r="AIF614" s="3933"/>
      <c r="AIG614" s="3933"/>
      <c r="AIH614" s="3933"/>
      <c r="AII614" s="621"/>
      <c r="AIJ614" s="3933"/>
      <c r="AIK614" s="3933"/>
      <c r="AIL614" s="3933"/>
      <c r="AIM614" s="621"/>
      <c r="AIN614" s="3933"/>
      <c r="AIO614" s="3933"/>
      <c r="AIP614" s="3933"/>
      <c r="AIQ614" s="621"/>
      <c r="AIR614" s="3933"/>
      <c r="AIS614" s="3933"/>
      <c r="AIT614" s="3933"/>
      <c r="AIU614" s="621"/>
      <c r="AIV614" s="3933"/>
      <c r="AIW614" s="3933"/>
      <c r="AIX614" s="3933"/>
      <c r="AIY614" s="621"/>
      <c r="AIZ614" s="3933"/>
      <c r="AJA614" s="3933"/>
      <c r="AJB614" s="3933"/>
      <c r="AJC614" s="621"/>
      <c r="AJD614" s="3933"/>
      <c r="AJE614" s="3933"/>
      <c r="AJF614" s="3933"/>
      <c r="AJG614" s="621"/>
      <c r="AJH614" s="3933"/>
      <c r="AJI614" s="3933"/>
      <c r="AJJ614" s="3933"/>
      <c r="AJK614" s="621"/>
      <c r="AJL614" s="3933"/>
      <c r="AJM614" s="3933"/>
      <c r="AJN614" s="3933"/>
      <c r="AJO614" s="621"/>
      <c r="AJP614" s="3933"/>
      <c r="AJQ614" s="3933"/>
      <c r="AJR614" s="3933"/>
      <c r="AJS614" s="621"/>
      <c r="AJT614" s="3933"/>
      <c r="AJU614" s="3933"/>
      <c r="AJV614" s="3933"/>
      <c r="AJW614" s="621"/>
      <c r="AJX614" s="3933"/>
      <c r="AJY614" s="3933"/>
      <c r="AJZ614" s="3933"/>
      <c r="AKA614" s="621"/>
      <c r="AKB614" s="3933"/>
      <c r="AKC614" s="3933"/>
      <c r="AKD614" s="3933"/>
      <c r="AKE614" s="621"/>
      <c r="AKF614" s="3933"/>
      <c r="AKG614" s="3933"/>
      <c r="AKH614" s="3933"/>
      <c r="AKI614" s="621"/>
      <c r="AKJ614" s="3933"/>
      <c r="AKK614" s="3933"/>
      <c r="AKL614" s="3933"/>
      <c r="AKM614" s="621"/>
      <c r="AKN614" s="3933"/>
      <c r="AKO614" s="3933"/>
      <c r="AKP614" s="3933"/>
      <c r="AKQ614" s="621"/>
      <c r="AKR614" s="3933"/>
      <c r="AKS614" s="3933"/>
      <c r="AKT614" s="3933"/>
      <c r="AKU614" s="621"/>
      <c r="AKV614" s="3933"/>
      <c r="AKW614" s="3933"/>
      <c r="AKX614" s="3933"/>
      <c r="AKY614" s="621"/>
      <c r="AKZ614" s="3933"/>
      <c r="ALA614" s="3933"/>
      <c r="ALB614" s="3933"/>
      <c r="ALC614" s="621"/>
      <c r="ALD614" s="3933"/>
      <c r="ALE614" s="3933"/>
      <c r="ALF614" s="3933"/>
      <c r="ALG614" s="621"/>
      <c r="ALH614" s="3933"/>
      <c r="ALI614" s="3933"/>
      <c r="ALJ614" s="3933"/>
      <c r="ALK614" s="621"/>
      <c r="ALL614" s="3933"/>
      <c r="ALM614" s="3933"/>
      <c r="ALN614" s="3933"/>
      <c r="ALO614" s="621"/>
      <c r="ALP614" s="3933"/>
      <c r="ALQ614" s="3933"/>
      <c r="ALR614" s="3933"/>
      <c r="ALS614" s="621"/>
      <c r="ALT614" s="3933"/>
      <c r="ALU614" s="3933"/>
      <c r="ALV614" s="3933"/>
      <c r="ALW614" s="621"/>
      <c r="ALX614" s="3933"/>
      <c r="ALY614" s="3933"/>
      <c r="ALZ614" s="3933"/>
      <c r="AMA614" s="621"/>
      <c r="AMB614" s="3933"/>
      <c r="AMC614" s="3933"/>
      <c r="AMD614" s="3933"/>
      <c r="AME614" s="621"/>
      <c r="AMF614" s="3933"/>
      <c r="AMG614" s="3933"/>
      <c r="AMH614" s="3933"/>
      <c r="AMI614" s="621"/>
      <c r="AMJ614" s="3933"/>
      <c r="AMK614" s="3933"/>
      <c r="AML614" s="3933"/>
      <c r="AMM614" s="621"/>
      <c r="AMN614" s="3933"/>
      <c r="AMO614" s="3933"/>
      <c r="AMP614" s="3933"/>
      <c r="AMQ614" s="621"/>
      <c r="AMR614" s="3933"/>
      <c r="AMS614" s="3933"/>
      <c r="AMT614" s="3933"/>
      <c r="AMU614" s="621"/>
      <c r="AMV614" s="3933"/>
      <c r="AMW614" s="3933"/>
      <c r="AMX614" s="3933"/>
      <c r="AMY614" s="621"/>
      <c r="AMZ614" s="3933"/>
      <c r="ANA614" s="3933"/>
      <c r="ANB614" s="3933"/>
      <c r="ANC614" s="621"/>
      <c r="AND614" s="3933"/>
      <c r="ANE614" s="3933"/>
      <c r="ANF614" s="3933"/>
      <c r="ANG614" s="621"/>
      <c r="ANH614" s="3933"/>
      <c r="ANI614" s="3933"/>
      <c r="ANJ614" s="3933"/>
      <c r="ANK614" s="621"/>
      <c r="ANL614" s="3933"/>
      <c r="ANM614" s="3933"/>
      <c r="ANN614" s="3933"/>
      <c r="ANO614" s="621"/>
      <c r="ANP614" s="3933"/>
      <c r="ANQ614" s="3933"/>
      <c r="ANR614" s="3933"/>
      <c r="ANS614" s="621"/>
      <c r="ANT614" s="3933"/>
      <c r="ANU614" s="3933"/>
      <c r="ANV614" s="3933"/>
      <c r="ANW614" s="621"/>
      <c r="ANX614" s="3933"/>
      <c r="ANY614" s="3933"/>
      <c r="ANZ614" s="3933"/>
      <c r="AOA614" s="621"/>
      <c r="AOB614" s="3933"/>
      <c r="AOC614" s="3933"/>
      <c r="AOD614" s="3933"/>
      <c r="AOE614" s="621"/>
      <c r="AOF614" s="3933"/>
      <c r="AOG614" s="3933"/>
      <c r="AOH614" s="3933"/>
      <c r="AOI614" s="621"/>
      <c r="AOJ614" s="3933"/>
      <c r="AOK614" s="3933"/>
      <c r="AOL614" s="3933"/>
      <c r="AOM614" s="621"/>
      <c r="AON614" s="3933"/>
      <c r="AOO614" s="3933"/>
      <c r="AOP614" s="3933"/>
      <c r="AOQ614" s="621"/>
      <c r="AOR614" s="3933"/>
      <c r="AOS614" s="3933"/>
      <c r="AOT614" s="3933"/>
      <c r="AOU614" s="621"/>
      <c r="AOV614" s="3933"/>
      <c r="AOW614" s="3933"/>
      <c r="AOX614" s="3933"/>
      <c r="AOY614" s="621"/>
      <c r="AOZ614" s="3933"/>
      <c r="APA614" s="3933"/>
      <c r="APB614" s="3933"/>
      <c r="APC614" s="621"/>
      <c r="APD614" s="3933"/>
      <c r="APE614" s="3933"/>
      <c r="APF614" s="3933"/>
      <c r="APG614" s="621"/>
      <c r="APH614" s="3933"/>
      <c r="API614" s="3933"/>
      <c r="APJ614" s="3933"/>
      <c r="APK614" s="621"/>
      <c r="APL614" s="3933"/>
      <c r="APM614" s="3933"/>
      <c r="APN614" s="3933"/>
      <c r="APO614" s="621"/>
      <c r="APP614" s="3933"/>
      <c r="APQ614" s="3933"/>
      <c r="APR614" s="3933"/>
      <c r="APS614" s="621"/>
      <c r="APT614" s="3933"/>
      <c r="APU614" s="3933"/>
      <c r="APV614" s="3933"/>
      <c r="APW614" s="621"/>
      <c r="APX614" s="3933"/>
      <c r="APY614" s="3933"/>
      <c r="APZ614" s="3933"/>
      <c r="AQA614" s="621"/>
      <c r="AQB614" s="3933"/>
      <c r="AQC614" s="3933"/>
      <c r="AQD614" s="3933"/>
      <c r="AQE614" s="621"/>
      <c r="AQF614" s="3933"/>
      <c r="AQG614" s="3933"/>
      <c r="AQH614" s="3933"/>
      <c r="AQI614" s="621"/>
      <c r="AQJ614" s="3933"/>
      <c r="AQK614" s="3933"/>
      <c r="AQL614" s="3933"/>
      <c r="AQM614" s="621"/>
      <c r="AQN614" s="3933"/>
      <c r="AQO614" s="3933"/>
      <c r="AQP614" s="3933"/>
      <c r="AQQ614" s="621"/>
      <c r="AQR614" s="3933"/>
      <c r="AQS614" s="3933"/>
      <c r="AQT614" s="3933"/>
      <c r="AQU614" s="621"/>
      <c r="AQV614" s="3933"/>
      <c r="AQW614" s="3933"/>
      <c r="AQX614" s="3933"/>
      <c r="AQY614" s="621"/>
      <c r="AQZ614" s="3933"/>
      <c r="ARA614" s="3933"/>
      <c r="ARB614" s="3933"/>
      <c r="ARC614" s="621"/>
      <c r="ARD614" s="3933"/>
      <c r="ARE614" s="3933"/>
      <c r="ARF614" s="3933"/>
      <c r="ARG614" s="621"/>
      <c r="ARH614" s="3933"/>
      <c r="ARI614" s="3933"/>
      <c r="ARJ614" s="3933"/>
      <c r="ARK614" s="621"/>
      <c r="ARL614" s="3933"/>
      <c r="ARM614" s="3933"/>
      <c r="ARN614" s="3933"/>
      <c r="ARO614" s="621"/>
      <c r="ARP614" s="3933"/>
      <c r="ARQ614" s="3933"/>
      <c r="ARR614" s="3933"/>
      <c r="ARS614" s="621"/>
      <c r="ART614" s="3933"/>
      <c r="ARU614" s="3933"/>
      <c r="ARV614" s="3933"/>
      <c r="ARW614" s="621"/>
      <c r="ARX614" s="3933"/>
      <c r="ARY614" s="3933"/>
      <c r="ARZ614" s="3933"/>
      <c r="ASA614" s="621"/>
      <c r="ASB614" s="3933"/>
      <c r="ASC614" s="3933"/>
      <c r="ASD614" s="3933"/>
      <c r="ASE614" s="621"/>
      <c r="ASF614" s="3933"/>
      <c r="ASG614" s="3933"/>
      <c r="ASH614" s="3933"/>
      <c r="ASI614" s="621"/>
      <c r="ASJ614" s="3933"/>
      <c r="ASK614" s="3933"/>
      <c r="ASL614" s="3933"/>
      <c r="ASM614" s="621"/>
      <c r="ASN614" s="3933"/>
      <c r="ASO614" s="3933"/>
      <c r="ASP614" s="3933"/>
      <c r="ASQ614" s="621"/>
      <c r="ASR614" s="3933"/>
      <c r="ASS614" s="3933"/>
      <c r="AST614" s="3933"/>
      <c r="ASU614" s="621"/>
      <c r="ASV614" s="3933"/>
      <c r="ASW614" s="3933"/>
      <c r="ASX614" s="3933"/>
      <c r="ASY614" s="621"/>
      <c r="ASZ614" s="3933"/>
      <c r="ATA614" s="3933"/>
      <c r="ATB614" s="3933"/>
      <c r="ATC614" s="621"/>
      <c r="ATD614" s="3933"/>
      <c r="ATE614" s="3933"/>
      <c r="ATF614" s="3933"/>
      <c r="ATG614" s="621"/>
      <c r="ATH614" s="3933"/>
      <c r="ATI614" s="3933"/>
      <c r="ATJ614" s="3933"/>
      <c r="ATK614" s="621"/>
      <c r="ATL614" s="3933"/>
      <c r="ATM614" s="3933"/>
      <c r="ATN614" s="3933"/>
      <c r="ATO614" s="621"/>
      <c r="ATP614" s="3933"/>
      <c r="ATQ614" s="3933"/>
      <c r="ATR614" s="3933"/>
      <c r="ATS614" s="621"/>
      <c r="ATT614" s="3933"/>
      <c r="ATU614" s="3933"/>
      <c r="ATV614" s="3933"/>
      <c r="ATW614" s="621"/>
      <c r="ATX614" s="3933"/>
      <c r="ATY614" s="3933"/>
      <c r="ATZ614" s="3933"/>
      <c r="AUA614" s="621"/>
      <c r="AUB614" s="3933"/>
      <c r="AUC614" s="3933"/>
      <c r="AUD614" s="3933"/>
      <c r="AUE614" s="621"/>
      <c r="AUF614" s="3933"/>
      <c r="AUG614" s="3933"/>
      <c r="AUH614" s="3933"/>
      <c r="AUI614" s="621"/>
      <c r="AUJ614" s="3933"/>
      <c r="AUK614" s="3933"/>
      <c r="AUL614" s="3933"/>
      <c r="AUM614" s="621"/>
      <c r="AUN614" s="3933"/>
      <c r="AUO614" s="3933"/>
      <c r="AUP614" s="3933"/>
      <c r="AUQ614" s="621"/>
      <c r="AUR614" s="3933"/>
      <c r="AUS614" s="3933"/>
      <c r="AUT614" s="3933"/>
      <c r="AUU614" s="621"/>
      <c r="AUV614" s="3933"/>
      <c r="AUW614" s="3933"/>
      <c r="AUX614" s="3933"/>
      <c r="AUY614" s="621"/>
      <c r="AUZ614" s="3933"/>
      <c r="AVA614" s="3933"/>
      <c r="AVB614" s="3933"/>
      <c r="AVC614" s="621"/>
      <c r="AVD614" s="3933"/>
      <c r="AVE614" s="3933"/>
      <c r="AVF614" s="3933"/>
      <c r="AVG614" s="621"/>
      <c r="AVH614" s="3933"/>
      <c r="AVI614" s="3933"/>
      <c r="AVJ614" s="3933"/>
      <c r="AVK614" s="621"/>
      <c r="AVL614" s="3933"/>
      <c r="AVM614" s="3933"/>
      <c r="AVN614" s="3933"/>
      <c r="AVO614" s="621"/>
      <c r="AVP614" s="3933"/>
      <c r="AVQ614" s="3933"/>
      <c r="AVR614" s="3933"/>
      <c r="AVS614" s="621"/>
      <c r="AVT614" s="3933"/>
      <c r="AVU614" s="3933"/>
      <c r="AVV614" s="3933"/>
      <c r="AVW614" s="621"/>
      <c r="AVX614" s="3933"/>
      <c r="AVY614" s="3933"/>
      <c r="AVZ614" s="3933"/>
      <c r="AWA614" s="621"/>
      <c r="AWB614" s="3933"/>
      <c r="AWC614" s="3933"/>
      <c r="AWD614" s="3933"/>
      <c r="AWE614" s="621"/>
      <c r="AWF614" s="3933"/>
      <c r="AWG614" s="3933"/>
      <c r="AWH614" s="3933"/>
      <c r="AWI614" s="621"/>
      <c r="AWJ614" s="3933"/>
      <c r="AWK614" s="3933"/>
      <c r="AWL614" s="3933"/>
      <c r="AWM614" s="621"/>
      <c r="AWN614" s="3933"/>
      <c r="AWO614" s="3933"/>
      <c r="AWP614" s="3933"/>
      <c r="AWQ614" s="621"/>
      <c r="AWR614" s="3933"/>
      <c r="AWS614" s="3933"/>
      <c r="AWT614" s="3933"/>
      <c r="AWU614" s="621"/>
      <c r="AWV614" s="3933"/>
      <c r="AWW614" s="3933"/>
      <c r="AWX614" s="3933"/>
      <c r="AWY614" s="621"/>
      <c r="AWZ614" s="3933"/>
      <c r="AXA614" s="3933"/>
      <c r="AXB614" s="3933"/>
      <c r="AXC614" s="621"/>
      <c r="AXD614" s="3933"/>
      <c r="AXE614" s="3933"/>
      <c r="AXF614" s="3933"/>
      <c r="AXG614" s="621"/>
      <c r="AXH614" s="3933"/>
      <c r="AXI614" s="3933"/>
      <c r="AXJ614" s="3933"/>
      <c r="AXK614" s="621"/>
      <c r="AXL614" s="3933"/>
      <c r="AXM614" s="3933"/>
      <c r="AXN614" s="3933"/>
      <c r="AXO614" s="621"/>
      <c r="AXP614" s="3933"/>
      <c r="AXQ614" s="3933"/>
      <c r="AXR614" s="3933"/>
      <c r="AXS614" s="621"/>
      <c r="AXT614" s="3933"/>
      <c r="AXU614" s="3933"/>
      <c r="AXV614" s="3933"/>
      <c r="AXW614" s="621"/>
      <c r="AXX614" s="3933"/>
      <c r="AXY614" s="3933"/>
      <c r="AXZ614" s="3933"/>
      <c r="AYA614" s="621"/>
      <c r="AYB614" s="3933"/>
      <c r="AYC614" s="3933"/>
      <c r="AYD614" s="3933"/>
      <c r="AYE614" s="621"/>
      <c r="AYF614" s="3933"/>
      <c r="AYG614" s="3933"/>
      <c r="AYH614" s="3933"/>
      <c r="AYI614" s="621"/>
      <c r="AYJ614" s="3933"/>
      <c r="AYK614" s="3933"/>
      <c r="AYL614" s="3933"/>
      <c r="AYM614" s="621"/>
      <c r="AYN614" s="3933"/>
      <c r="AYO614" s="3933"/>
      <c r="AYP614" s="3933"/>
      <c r="AYQ614" s="621"/>
      <c r="AYR614" s="3933"/>
      <c r="AYS614" s="3933"/>
      <c r="AYT614" s="3933"/>
      <c r="AYU614" s="621"/>
      <c r="AYV614" s="3933"/>
      <c r="AYW614" s="3933"/>
      <c r="AYX614" s="3933"/>
      <c r="AYY614" s="621"/>
      <c r="AYZ614" s="3933"/>
      <c r="AZA614" s="3933"/>
      <c r="AZB614" s="3933"/>
      <c r="AZC614" s="621"/>
      <c r="AZD614" s="3933"/>
      <c r="AZE614" s="3933"/>
      <c r="AZF614" s="3933"/>
      <c r="AZG614" s="621"/>
      <c r="AZH614" s="3933"/>
      <c r="AZI614" s="3933"/>
      <c r="AZJ614" s="3933"/>
      <c r="AZK614" s="621"/>
      <c r="AZL614" s="3933"/>
      <c r="AZM614" s="3933"/>
      <c r="AZN614" s="3933"/>
      <c r="AZO614" s="621"/>
      <c r="AZP614" s="3933"/>
      <c r="AZQ614" s="3933"/>
      <c r="AZR614" s="3933"/>
      <c r="AZS614" s="621"/>
      <c r="AZT614" s="3933"/>
      <c r="AZU614" s="3933"/>
      <c r="AZV614" s="3933"/>
      <c r="AZW614" s="621"/>
      <c r="AZX614" s="3933"/>
      <c r="AZY614" s="3933"/>
      <c r="AZZ614" s="3933"/>
      <c r="BAA614" s="621"/>
      <c r="BAB614" s="3933"/>
      <c r="BAC614" s="3933"/>
      <c r="BAD614" s="3933"/>
      <c r="BAE614" s="621"/>
      <c r="BAF614" s="3933"/>
      <c r="BAG614" s="3933"/>
      <c r="BAH614" s="3933"/>
      <c r="BAI614" s="621"/>
      <c r="BAJ614" s="3933"/>
      <c r="BAK614" s="3933"/>
      <c r="BAL614" s="3933"/>
      <c r="BAM614" s="621"/>
      <c r="BAN614" s="3933"/>
      <c r="BAO614" s="3933"/>
      <c r="BAP614" s="3933"/>
      <c r="BAQ614" s="621"/>
      <c r="BAR614" s="3933"/>
      <c r="BAS614" s="3933"/>
      <c r="BAT614" s="3933"/>
      <c r="BAU614" s="621"/>
      <c r="BAV614" s="3933"/>
      <c r="BAW614" s="3933"/>
      <c r="BAX614" s="3933"/>
      <c r="BAY614" s="621"/>
      <c r="BAZ614" s="3933"/>
      <c r="BBA614" s="3933"/>
      <c r="BBB614" s="3933"/>
      <c r="BBC614" s="621"/>
      <c r="BBD614" s="3933"/>
      <c r="BBE614" s="3933"/>
      <c r="BBF614" s="3933"/>
      <c r="BBG614" s="621"/>
      <c r="BBH614" s="3933"/>
      <c r="BBI614" s="3933"/>
      <c r="BBJ614" s="3933"/>
      <c r="BBK614" s="621"/>
      <c r="BBL614" s="3933"/>
      <c r="BBM614" s="3933"/>
      <c r="BBN614" s="3933"/>
      <c r="BBO614" s="621"/>
      <c r="BBP614" s="3933"/>
      <c r="BBQ614" s="3933"/>
      <c r="BBR614" s="3933"/>
      <c r="BBS614" s="621"/>
      <c r="BBT614" s="3933"/>
      <c r="BBU614" s="3933"/>
      <c r="BBV614" s="3933"/>
      <c r="BBW614" s="621"/>
      <c r="BBX614" s="3933"/>
      <c r="BBY614" s="3933"/>
      <c r="BBZ614" s="3933"/>
      <c r="BCA614" s="621"/>
      <c r="BCB614" s="3933"/>
      <c r="BCC614" s="3933"/>
      <c r="BCD614" s="3933"/>
      <c r="BCE614" s="621"/>
      <c r="BCF614" s="3933"/>
      <c r="BCG614" s="3933"/>
      <c r="BCH614" s="3933"/>
      <c r="BCI614" s="621"/>
      <c r="BCJ614" s="3933"/>
      <c r="BCK614" s="3933"/>
      <c r="BCL614" s="3933"/>
      <c r="BCM614" s="621"/>
      <c r="BCN614" s="3933"/>
      <c r="BCO614" s="3933"/>
      <c r="BCP614" s="3933"/>
      <c r="BCQ614" s="621"/>
      <c r="BCR614" s="3933"/>
      <c r="BCS614" s="3933"/>
      <c r="BCT614" s="3933"/>
      <c r="BCU614" s="621"/>
      <c r="BCV614" s="3933"/>
      <c r="BCW614" s="3933"/>
      <c r="BCX614" s="3933"/>
      <c r="BCY614" s="621"/>
      <c r="BCZ614" s="3933"/>
      <c r="BDA614" s="3933"/>
      <c r="BDB614" s="3933"/>
      <c r="BDC614" s="621"/>
      <c r="BDD614" s="3933"/>
      <c r="BDE614" s="3933"/>
      <c r="BDF614" s="3933"/>
      <c r="BDG614" s="621"/>
      <c r="BDH614" s="3933"/>
      <c r="BDI614" s="3933"/>
      <c r="BDJ614" s="3933"/>
      <c r="BDK614" s="621"/>
      <c r="BDL614" s="3933"/>
      <c r="BDM614" s="3933"/>
      <c r="BDN614" s="3933"/>
      <c r="BDO614" s="621"/>
      <c r="BDP614" s="3933"/>
      <c r="BDQ614" s="3933"/>
      <c r="BDR614" s="3933"/>
      <c r="BDS614" s="621"/>
      <c r="BDT614" s="3933"/>
      <c r="BDU614" s="3933"/>
      <c r="BDV614" s="3933"/>
      <c r="BDW614" s="621"/>
      <c r="BDX614" s="3933"/>
      <c r="BDY614" s="3933"/>
      <c r="BDZ614" s="3933"/>
      <c r="BEA614" s="621"/>
      <c r="BEB614" s="3933"/>
      <c r="BEC614" s="3933"/>
      <c r="BED614" s="3933"/>
      <c r="BEE614" s="621"/>
      <c r="BEF614" s="3933"/>
      <c r="BEG614" s="3933"/>
      <c r="BEH614" s="3933"/>
      <c r="BEI614" s="621"/>
      <c r="BEJ614" s="3933"/>
      <c r="BEK614" s="3933"/>
      <c r="BEL614" s="3933"/>
      <c r="BEM614" s="621"/>
      <c r="BEN614" s="3933"/>
      <c r="BEO614" s="3933"/>
      <c r="BEP614" s="3933"/>
      <c r="BEQ614" s="621"/>
      <c r="BER614" s="3933"/>
      <c r="BES614" s="3933"/>
      <c r="BET614" s="3933"/>
      <c r="BEU614" s="621"/>
      <c r="BEV614" s="3933"/>
      <c r="BEW614" s="3933"/>
      <c r="BEX614" s="3933"/>
      <c r="BEY614" s="621"/>
      <c r="BEZ614" s="3933"/>
      <c r="BFA614" s="3933"/>
      <c r="BFB614" s="3933"/>
      <c r="BFC614" s="621"/>
      <c r="BFD614" s="3933"/>
      <c r="BFE614" s="3933"/>
      <c r="BFF614" s="3933"/>
      <c r="BFG614" s="621"/>
      <c r="BFH614" s="3933"/>
      <c r="BFI614" s="3933"/>
      <c r="BFJ614" s="3933"/>
      <c r="BFK614" s="621"/>
      <c r="BFL614" s="3933"/>
      <c r="BFM614" s="3933"/>
      <c r="BFN614" s="3933"/>
      <c r="BFO614" s="621"/>
      <c r="BFP614" s="3933"/>
      <c r="BFQ614" s="3933"/>
      <c r="BFR614" s="3933"/>
      <c r="BFS614" s="621"/>
      <c r="BFT614" s="3933"/>
      <c r="BFU614" s="3933"/>
      <c r="BFV614" s="3933"/>
      <c r="BFW614" s="621"/>
      <c r="BFX614" s="3933"/>
      <c r="BFY614" s="3933"/>
      <c r="BFZ614" s="3933"/>
      <c r="BGA614" s="621"/>
      <c r="BGB614" s="3933"/>
      <c r="BGC614" s="3933"/>
      <c r="BGD614" s="3933"/>
      <c r="BGE614" s="621"/>
      <c r="BGF614" s="3933"/>
      <c r="BGG614" s="3933"/>
      <c r="BGH614" s="3933"/>
      <c r="BGI614" s="621"/>
      <c r="BGJ614" s="3933"/>
      <c r="BGK614" s="3933"/>
      <c r="BGL614" s="3933"/>
      <c r="BGM614" s="621"/>
      <c r="BGN614" s="3933"/>
      <c r="BGO614" s="3933"/>
      <c r="BGP614" s="3933"/>
      <c r="BGQ614" s="621"/>
      <c r="BGR614" s="3933"/>
      <c r="BGS614" s="3933"/>
      <c r="BGT614" s="3933"/>
      <c r="BGU614" s="621"/>
      <c r="BGV614" s="3933"/>
      <c r="BGW614" s="3933"/>
      <c r="BGX614" s="3933"/>
      <c r="BGY614" s="621"/>
      <c r="BGZ614" s="3933"/>
      <c r="BHA614" s="3933"/>
      <c r="BHB614" s="3933"/>
      <c r="BHC614" s="621"/>
      <c r="BHD614" s="3933"/>
      <c r="BHE614" s="3933"/>
      <c r="BHF614" s="3933"/>
      <c r="BHG614" s="621"/>
      <c r="BHH614" s="3933"/>
      <c r="BHI614" s="3933"/>
      <c r="BHJ614" s="3933"/>
      <c r="BHK614" s="621"/>
      <c r="BHL614" s="3933"/>
      <c r="BHM614" s="3933"/>
      <c r="BHN614" s="3933"/>
      <c r="BHO614" s="621"/>
      <c r="BHP614" s="3933"/>
      <c r="BHQ614" s="3933"/>
      <c r="BHR614" s="3933"/>
      <c r="BHS614" s="621"/>
      <c r="BHT614" s="3933"/>
      <c r="BHU614" s="3933"/>
      <c r="BHV614" s="3933"/>
      <c r="BHW614" s="621"/>
      <c r="BHX614" s="3933"/>
      <c r="BHY614" s="3933"/>
      <c r="BHZ614" s="3933"/>
      <c r="BIA614" s="621"/>
      <c r="BIB614" s="3933"/>
      <c r="BIC614" s="3933"/>
      <c r="BID614" s="3933"/>
      <c r="BIE614" s="621"/>
      <c r="BIF614" s="3933"/>
      <c r="BIG614" s="3933"/>
      <c r="BIH614" s="3933"/>
      <c r="BII614" s="621"/>
      <c r="BIJ614" s="3933"/>
      <c r="BIK614" s="3933"/>
      <c r="BIL614" s="3933"/>
      <c r="BIM614" s="621"/>
      <c r="BIN614" s="3933"/>
      <c r="BIO614" s="3933"/>
      <c r="BIP614" s="3933"/>
      <c r="BIQ614" s="621"/>
      <c r="BIR614" s="3933"/>
      <c r="BIS614" s="3933"/>
      <c r="BIT614" s="3933"/>
      <c r="BIU614" s="621"/>
      <c r="BIV614" s="3933"/>
      <c r="BIW614" s="3933"/>
      <c r="BIX614" s="3933"/>
      <c r="BIY614" s="621"/>
      <c r="BIZ614" s="3933"/>
      <c r="BJA614" s="3933"/>
      <c r="BJB614" s="3933"/>
      <c r="BJC614" s="621"/>
      <c r="BJD614" s="3933"/>
      <c r="BJE614" s="3933"/>
      <c r="BJF614" s="3933"/>
      <c r="BJG614" s="621"/>
      <c r="BJH614" s="3933"/>
      <c r="BJI614" s="3933"/>
      <c r="BJJ614" s="3933"/>
      <c r="BJK614" s="621"/>
      <c r="BJL614" s="3933"/>
      <c r="BJM614" s="3933"/>
      <c r="BJN614" s="3933"/>
      <c r="BJO614" s="621"/>
      <c r="BJP614" s="3933"/>
      <c r="BJQ614" s="3933"/>
      <c r="BJR614" s="3933"/>
      <c r="BJS614" s="621"/>
      <c r="BJT614" s="3933"/>
      <c r="BJU614" s="3933"/>
      <c r="BJV614" s="3933"/>
      <c r="BJW614" s="621"/>
      <c r="BJX614" s="3933"/>
      <c r="BJY614" s="3933"/>
      <c r="BJZ614" s="3933"/>
      <c r="BKA614" s="621"/>
      <c r="BKB614" s="3933"/>
      <c r="BKC614" s="3933"/>
      <c r="BKD614" s="3933"/>
      <c r="BKE614" s="621"/>
      <c r="BKF614" s="3933"/>
      <c r="BKG614" s="3933"/>
      <c r="BKH614" s="3933"/>
      <c r="BKI614" s="621"/>
      <c r="BKJ614" s="3933"/>
      <c r="BKK614" s="3933"/>
      <c r="BKL614" s="3933"/>
      <c r="BKM614" s="621"/>
      <c r="BKN614" s="3933"/>
      <c r="BKO614" s="3933"/>
      <c r="BKP614" s="3933"/>
      <c r="BKQ614" s="621"/>
      <c r="BKR614" s="3933"/>
      <c r="BKS614" s="3933"/>
      <c r="BKT614" s="3933"/>
      <c r="BKU614" s="621"/>
      <c r="BKV614" s="3933"/>
      <c r="BKW614" s="3933"/>
      <c r="BKX614" s="3933"/>
      <c r="BKY614" s="621"/>
      <c r="BKZ614" s="3933"/>
      <c r="BLA614" s="3933"/>
      <c r="BLB614" s="3933"/>
      <c r="BLC614" s="621"/>
      <c r="BLD614" s="3933"/>
      <c r="BLE614" s="3933"/>
      <c r="BLF614" s="3933"/>
      <c r="BLG614" s="621"/>
      <c r="BLH614" s="3933"/>
      <c r="BLI614" s="3933"/>
      <c r="BLJ614" s="3933"/>
      <c r="BLK614" s="621"/>
      <c r="BLL614" s="3933"/>
      <c r="BLM614" s="3933"/>
      <c r="BLN614" s="3933"/>
      <c r="BLO614" s="621"/>
      <c r="BLP614" s="3933"/>
      <c r="BLQ614" s="3933"/>
      <c r="BLR614" s="3933"/>
      <c r="BLS614" s="621"/>
      <c r="BLT614" s="3933"/>
      <c r="BLU614" s="3933"/>
      <c r="BLV614" s="3933"/>
      <c r="BLW614" s="621"/>
      <c r="BLX614" s="3933"/>
      <c r="BLY614" s="3933"/>
      <c r="BLZ614" s="3933"/>
      <c r="BMA614" s="621"/>
      <c r="BMB614" s="3933"/>
      <c r="BMC614" s="3933"/>
      <c r="BMD614" s="3933"/>
      <c r="BME614" s="621"/>
      <c r="BMF614" s="3933"/>
      <c r="BMG614" s="3933"/>
      <c r="BMH614" s="3933"/>
      <c r="BMI614" s="621"/>
      <c r="BMJ614" s="3933"/>
      <c r="BMK614" s="3933"/>
      <c r="BML614" s="3933"/>
      <c r="BMM614" s="621"/>
      <c r="BMN614" s="3933"/>
      <c r="BMO614" s="3933"/>
      <c r="BMP614" s="3933"/>
      <c r="BMQ614" s="621"/>
      <c r="BMR614" s="3933"/>
      <c r="BMS614" s="3933"/>
      <c r="BMT614" s="3933"/>
      <c r="BMU614" s="621"/>
      <c r="BMV614" s="3933"/>
      <c r="BMW614" s="3933"/>
      <c r="BMX614" s="3933"/>
      <c r="BMY614" s="621"/>
      <c r="BMZ614" s="3933"/>
      <c r="BNA614" s="3933"/>
      <c r="BNB614" s="3933"/>
      <c r="BNC614" s="621"/>
      <c r="BND614" s="3933"/>
      <c r="BNE614" s="3933"/>
      <c r="BNF614" s="3933"/>
      <c r="BNG614" s="621"/>
      <c r="BNH614" s="3933"/>
      <c r="BNI614" s="3933"/>
      <c r="BNJ614" s="3933"/>
      <c r="BNK614" s="621"/>
      <c r="BNL614" s="3933"/>
      <c r="BNM614" s="3933"/>
      <c r="BNN614" s="3933"/>
      <c r="BNO614" s="621"/>
      <c r="BNP614" s="3933"/>
      <c r="BNQ614" s="3933"/>
      <c r="BNR614" s="3933"/>
      <c r="BNS614" s="621"/>
      <c r="BNT614" s="3933"/>
      <c r="BNU614" s="3933"/>
      <c r="BNV614" s="3933"/>
      <c r="BNW614" s="621"/>
      <c r="BNX614" s="3933"/>
      <c r="BNY614" s="3933"/>
      <c r="BNZ614" s="3933"/>
      <c r="BOA614" s="621"/>
      <c r="BOB614" s="3933"/>
      <c r="BOC614" s="3933"/>
      <c r="BOD614" s="3933"/>
      <c r="BOE614" s="621"/>
      <c r="BOF614" s="3933"/>
      <c r="BOG614" s="3933"/>
      <c r="BOH614" s="3933"/>
      <c r="BOI614" s="621"/>
      <c r="BOJ614" s="3933"/>
      <c r="BOK614" s="3933"/>
      <c r="BOL614" s="3933"/>
      <c r="BOM614" s="621"/>
      <c r="BON614" s="3933"/>
      <c r="BOO614" s="3933"/>
      <c r="BOP614" s="3933"/>
      <c r="BOQ614" s="621"/>
      <c r="BOR614" s="3933"/>
      <c r="BOS614" s="3933"/>
      <c r="BOT614" s="3933"/>
      <c r="BOU614" s="621"/>
      <c r="BOV614" s="3933"/>
      <c r="BOW614" s="3933"/>
      <c r="BOX614" s="3933"/>
      <c r="BOY614" s="621"/>
      <c r="BOZ614" s="3933"/>
      <c r="BPA614" s="3933"/>
      <c r="BPB614" s="3933"/>
      <c r="BPC614" s="621"/>
      <c r="BPD614" s="3933"/>
      <c r="BPE614" s="3933"/>
      <c r="BPF614" s="3933"/>
      <c r="BPG614" s="621"/>
      <c r="BPH614" s="3933"/>
      <c r="BPI614" s="3933"/>
      <c r="BPJ614" s="3933"/>
      <c r="BPK614" s="621"/>
      <c r="BPL614" s="3933"/>
      <c r="BPM614" s="3933"/>
      <c r="BPN614" s="3933"/>
      <c r="BPO614" s="621"/>
      <c r="BPP614" s="3933"/>
      <c r="BPQ614" s="3933"/>
      <c r="BPR614" s="3933"/>
      <c r="BPS614" s="621"/>
      <c r="BPT614" s="3933"/>
      <c r="BPU614" s="3933"/>
      <c r="BPV614" s="3933"/>
      <c r="BPW614" s="621"/>
      <c r="BPX614" s="3933"/>
      <c r="BPY614" s="3933"/>
      <c r="BPZ614" s="3933"/>
      <c r="BQA614" s="621"/>
      <c r="BQB614" s="3933"/>
      <c r="BQC614" s="3933"/>
      <c r="BQD614" s="3933"/>
      <c r="BQE614" s="621"/>
      <c r="BQF614" s="3933"/>
      <c r="BQG614" s="3933"/>
      <c r="BQH614" s="3933"/>
      <c r="BQI614" s="621"/>
      <c r="BQJ614" s="3933"/>
      <c r="BQK614" s="3933"/>
      <c r="BQL614" s="3933"/>
      <c r="BQM614" s="621"/>
      <c r="BQN614" s="3933"/>
      <c r="BQO614" s="3933"/>
      <c r="BQP614" s="3933"/>
      <c r="BQQ614" s="621"/>
      <c r="BQR614" s="3933"/>
      <c r="BQS614" s="3933"/>
      <c r="BQT614" s="3933"/>
      <c r="BQU614" s="621"/>
      <c r="BQV614" s="3933"/>
      <c r="BQW614" s="3933"/>
      <c r="BQX614" s="3933"/>
      <c r="BQY614" s="621"/>
      <c r="BQZ614" s="3933"/>
      <c r="BRA614" s="3933"/>
      <c r="BRB614" s="3933"/>
      <c r="BRC614" s="621"/>
      <c r="BRD614" s="3933"/>
      <c r="BRE614" s="3933"/>
      <c r="BRF614" s="3933"/>
      <c r="BRG614" s="621"/>
      <c r="BRH614" s="3933"/>
      <c r="BRI614" s="3933"/>
      <c r="BRJ614" s="3933"/>
      <c r="BRK614" s="621"/>
      <c r="BRL614" s="3933"/>
      <c r="BRM614" s="3933"/>
      <c r="BRN614" s="3933"/>
      <c r="BRO614" s="621"/>
      <c r="BRP614" s="3933"/>
      <c r="BRQ614" s="3933"/>
      <c r="BRR614" s="3933"/>
      <c r="BRS614" s="621"/>
      <c r="BRT614" s="3933"/>
      <c r="BRU614" s="3933"/>
      <c r="BRV614" s="3933"/>
      <c r="BRW614" s="621"/>
      <c r="BRX614" s="3933"/>
      <c r="BRY614" s="3933"/>
      <c r="BRZ614" s="3933"/>
      <c r="BSA614" s="621"/>
      <c r="BSB614" s="3933"/>
      <c r="BSC614" s="3933"/>
      <c r="BSD614" s="3933"/>
      <c r="BSE614" s="621"/>
      <c r="BSF614" s="3933"/>
      <c r="BSG614" s="3933"/>
      <c r="BSH614" s="3933"/>
      <c r="BSI614" s="621"/>
      <c r="BSJ614" s="3933"/>
      <c r="BSK614" s="3933"/>
      <c r="BSL614" s="3933"/>
      <c r="BSM614" s="621"/>
      <c r="BSN614" s="3933"/>
      <c r="BSO614" s="3933"/>
      <c r="BSP614" s="3933"/>
      <c r="BSQ614" s="621"/>
      <c r="BSR614" s="3933"/>
      <c r="BSS614" s="3933"/>
      <c r="BST614" s="3933"/>
      <c r="BSU614" s="621"/>
      <c r="BSV614" s="3933"/>
      <c r="BSW614" s="3933"/>
      <c r="BSX614" s="3933"/>
      <c r="BSY614" s="621"/>
      <c r="BSZ614" s="3933"/>
      <c r="BTA614" s="3933"/>
      <c r="BTB614" s="3933"/>
      <c r="BTC614" s="621"/>
      <c r="BTD614" s="3933"/>
      <c r="BTE614" s="3933"/>
      <c r="BTF614" s="3933"/>
      <c r="BTG614" s="621"/>
      <c r="BTH614" s="3933"/>
      <c r="BTI614" s="3933"/>
      <c r="BTJ614" s="3933"/>
      <c r="BTK614" s="621"/>
      <c r="BTL614" s="3933"/>
      <c r="BTM614" s="3933"/>
      <c r="BTN614" s="3933"/>
      <c r="BTO614" s="621"/>
      <c r="BTP614" s="3933"/>
      <c r="BTQ614" s="3933"/>
      <c r="BTR614" s="3933"/>
      <c r="BTS614" s="621"/>
      <c r="BTT614" s="3933"/>
      <c r="BTU614" s="3933"/>
      <c r="BTV614" s="3933"/>
      <c r="BTW614" s="621"/>
      <c r="BTX614" s="3933"/>
      <c r="BTY614" s="3933"/>
      <c r="BTZ614" s="3933"/>
      <c r="BUA614" s="621"/>
      <c r="BUB614" s="3933"/>
      <c r="BUC614" s="3933"/>
      <c r="BUD614" s="3933"/>
      <c r="BUE614" s="621"/>
      <c r="BUF614" s="3933"/>
      <c r="BUG614" s="3933"/>
      <c r="BUH614" s="3933"/>
      <c r="BUI614" s="621"/>
      <c r="BUJ614" s="3933"/>
      <c r="BUK614" s="3933"/>
      <c r="BUL614" s="3933"/>
      <c r="BUM614" s="621"/>
      <c r="BUN614" s="3933"/>
      <c r="BUO614" s="3933"/>
      <c r="BUP614" s="3933"/>
      <c r="BUQ614" s="621"/>
      <c r="BUR614" s="3933"/>
      <c r="BUS614" s="3933"/>
      <c r="BUT614" s="3933"/>
      <c r="BUU614" s="621"/>
      <c r="BUV614" s="3933"/>
      <c r="BUW614" s="3933"/>
      <c r="BUX614" s="3933"/>
      <c r="BUY614" s="621"/>
      <c r="BUZ614" s="3933"/>
      <c r="BVA614" s="3933"/>
      <c r="BVB614" s="3933"/>
      <c r="BVC614" s="621"/>
      <c r="BVD614" s="3933"/>
      <c r="BVE614" s="3933"/>
      <c r="BVF614" s="3933"/>
      <c r="BVG614" s="621"/>
      <c r="BVH614" s="3933"/>
      <c r="BVI614" s="3933"/>
      <c r="BVJ614" s="3933"/>
      <c r="BVK614" s="621"/>
      <c r="BVL614" s="3933"/>
      <c r="BVM614" s="3933"/>
      <c r="BVN614" s="3933"/>
      <c r="BVO614" s="621"/>
      <c r="BVP614" s="3933"/>
      <c r="BVQ614" s="3933"/>
      <c r="BVR614" s="3933"/>
      <c r="BVS614" s="621"/>
      <c r="BVT614" s="3933"/>
      <c r="BVU614" s="3933"/>
      <c r="BVV614" s="3933"/>
      <c r="BVW614" s="621"/>
      <c r="BVX614" s="3933"/>
      <c r="BVY614" s="3933"/>
      <c r="BVZ614" s="3933"/>
      <c r="BWA614" s="621"/>
      <c r="BWB614" s="3933"/>
      <c r="BWC614" s="3933"/>
      <c r="BWD614" s="3933"/>
      <c r="BWE614" s="621"/>
      <c r="BWF614" s="3933"/>
      <c r="BWG614" s="3933"/>
      <c r="BWH614" s="3933"/>
      <c r="BWI614" s="621"/>
      <c r="BWJ614" s="3933"/>
      <c r="BWK614" s="3933"/>
      <c r="BWL614" s="3933"/>
      <c r="BWM614" s="621"/>
      <c r="BWN614" s="3933"/>
      <c r="BWO614" s="3933"/>
      <c r="BWP614" s="3933"/>
      <c r="BWQ614" s="621"/>
      <c r="BWR614" s="3933"/>
      <c r="BWS614" s="3933"/>
      <c r="BWT614" s="3933"/>
      <c r="BWU614" s="621"/>
      <c r="BWV614" s="3933"/>
      <c r="BWW614" s="3933"/>
      <c r="BWX614" s="3933"/>
      <c r="BWY614" s="621"/>
      <c r="BWZ614" s="3933"/>
      <c r="BXA614" s="3933"/>
      <c r="BXB614" s="3933"/>
      <c r="BXC614" s="621"/>
      <c r="BXD614" s="3933"/>
      <c r="BXE614" s="3933"/>
      <c r="BXF614" s="3933"/>
      <c r="BXG614" s="621"/>
      <c r="BXH614" s="3933"/>
      <c r="BXI614" s="3933"/>
      <c r="BXJ614" s="3933"/>
      <c r="BXK614" s="621"/>
      <c r="BXL614" s="3933"/>
      <c r="BXM614" s="3933"/>
      <c r="BXN614" s="3933"/>
      <c r="BXO614" s="621"/>
      <c r="BXP614" s="3933"/>
      <c r="BXQ614" s="3933"/>
      <c r="BXR614" s="3933"/>
      <c r="BXS614" s="621"/>
      <c r="BXT614" s="3933"/>
      <c r="BXU614" s="3933"/>
      <c r="BXV614" s="3933"/>
      <c r="BXW614" s="621"/>
      <c r="BXX614" s="3933"/>
      <c r="BXY614" s="3933"/>
      <c r="BXZ614" s="3933"/>
      <c r="BYA614" s="621"/>
      <c r="BYB614" s="3933"/>
      <c r="BYC614" s="3933"/>
      <c r="BYD614" s="3933"/>
      <c r="BYE614" s="621"/>
      <c r="BYF614" s="3933"/>
      <c r="BYG614" s="3933"/>
      <c r="BYH614" s="3933"/>
      <c r="BYI614" s="621"/>
      <c r="BYJ614" s="3933"/>
      <c r="BYK614" s="3933"/>
      <c r="BYL614" s="3933"/>
      <c r="BYM614" s="621"/>
      <c r="BYN614" s="3933"/>
      <c r="BYO614" s="3933"/>
      <c r="BYP614" s="3933"/>
      <c r="BYQ614" s="621"/>
      <c r="BYR614" s="3933"/>
      <c r="BYS614" s="3933"/>
      <c r="BYT614" s="3933"/>
      <c r="BYU614" s="621"/>
      <c r="BYV614" s="3933"/>
      <c r="BYW614" s="3933"/>
      <c r="BYX614" s="3933"/>
      <c r="BYY614" s="621"/>
      <c r="BYZ614" s="3933"/>
      <c r="BZA614" s="3933"/>
      <c r="BZB614" s="3933"/>
      <c r="BZC614" s="621"/>
      <c r="BZD614" s="3933"/>
      <c r="BZE614" s="3933"/>
      <c r="BZF614" s="3933"/>
      <c r="BZG614" s="621"/>
      <c r="BZH614" s="3933"/>
      <c r="BZI614" s="3933"/>
      <c r="BZJ614" s="3933"/>
      <c r="BZK614" s="621"/>
      <c r="BZL614" s="3933"/>
      <c r="BZM614" s="3933"/>
      <c r="BZN614" s="3933"/>
      <c r="BZO614" s="621"/>
      <c r="BZP614" s="3933"/>
      <c r="BZQ614" s="3933"/>
      <c r="BZR614" s="3933"/>
      <c r="BZS614" s="621"/>
      <c r="BZT614" s="3933"/>
      <c r="BZU614" s="3933"/>
      <c r="BZV614" s="3933"/>
      <c r="BZW614" s="621"/>
      <c r="BZX614" s="3933"/>
      <c r="BZY614" s="3933"/>
      <c r="BZZ614" s="3933"/>
      <c r="CAA614" s="621"/>
      <c r="CAB614" s="3933"/>
      <c r="CAC614" s="3933"/>
      <c r="CAD614" s="3933"/>
      <c r="CAE614" s="621"/>
      <c r="CAF614" s="3933"/>
      <c r="CAG614" s="3933"/>
      <c r="CAH614" s="3933"/>
      <c r="CAI614" s="621"/>
      <c r="CAJ614" s="3933"/>
      <c r="CAK614" s="3933"/>
      <c r="CAL614" s="3933"/>
      <c r="CAM614" s="621"/>
      <c r="CAN614" s="3933"/>
      <c r="CAO614" s="3933"/>
      <c r="CAP614" s="3933"/>
      <c r="CAQ614" s="621"/>
      <c r="CAR614" s="3933"/>
      <c r="CAS614" s="3933"/>
      <c r="CAT614" s="3933"/>
      <c r="CAU614" s="621"/>
      <c r="CAV614" s="3933"/>
      <c r="CAW614" s="3933"/>
      <c r="CAX614" s="3933"/>
      <c r="CAY614" s="621"/>
      <c r="CAZ614" s="3933"/>
      <c r="CBA614" s="3933"/>
      <c r="CBB614" s="3933"/>
      <c r="CBC614" s="621"/>
      <c r="CBD614" s="3933"/>
      <c r="CBE614" s="3933"/>
      <c r="CBF614" s="3933"/>
      <c r="CBG614" s="621"/>
      <c r="CBH614" s="3933"/>
      <c r="CBI614" s="3933"/>
      <c r="CBJ614" s="3933"/>
      <c r="CBK614" s="621"/>
      <c r="CBL614" s="3933"/>
      <c r="CBM614" s="3933"/>
      <c r="CBN614" s="3933"/>
      <c r="CBO614" s="621"/>
      <c r="CBP614" s="3933"/>
      <c r="CBQ614" s="3933"/>
      <c r="CBR614" s="3933"/>
      <c r="CBS614" s="621"/>
      <c r="CBT614" s="3933"/>
      <c r="CBU614" s="3933"/>
      <c r="CBV614" s="3933"/>
      <c r="CBW614" s="621"/>
      <c r="CBX614" s="3933"/>
      <c r="CBY614" s="3933"/>
      <c r="CBZ614" s="3933"/>
      <c r="CCA614" s="621"/>
      <c r="CCB614" s="3933"/>
      <c r="CCC614" s="3933"/>
      <c r="CCD614" s="3933"/>
      <c r="CCE614" s="621"/>
      <c r="CCF614" s="3933"/>
      <c r="CCG614" s="3933"/>
      <c r="CCH614" s="3933"/>
      <c r="CCI614" s="621"/>
      <c r="CCJ614" s="3933"/>
      <c r="CCK614" s="3933"/>
      <c r="CCL614" s="3933"/>
      <c r="CCM614" s="621"/>
      <c r="CCN614" s="3933"/>
      <c r="CCO614" s="3933"/>
      <c r="CCP614" s="3933"/>
      <c r="CCQ614" s="621"/>
      <c r="CCR614" s="3933"/>
      <c r="CCS614" s="3933"/>
      <c r="CCT614" s="3933"/>
      <c r="CCU614" s="621"/>
      <c r="CCV614" s="3933"/>
      <c r="CCW614" s="3933"/>
      <c r="CCX614" s="3933"/>
      <c r="CCY614" s="621"/>
      <c r="CCZ614" s="3933"/>
      <c r="CDA614" s="3933"/>
      <c r="CDB614" s="3933"/>
      <c r="CDC614" s="621"/>
      <c r="CDD614" s="3933"/>
      <c r="CDE614" s="3933"/>
      <c r="CDF614" s="3933"/>
      <c r="CDG614" s="621"/>
      <c r="CDH614" s="3933"/>
      <c r="CDI614" s="3933"/>
      <c r="CDJ614" s="3933"/>
      <c r="CDK614" s="621"/>
      <c r="CDL614" s="3933"/>
      <c r="CDM614" s="3933"/>
      <c r="CDN614" s="3933"/>
      <c r="CDO614" s="621"/>
      <c r="CDP614" s="3933"/>
      <c r="CDQ614" s="3933"/>
      <c r="CDR614" s="3933"/>
      <c r="CDS614" s="621"/>
      <c r="CDT614" s="3933"/>
      <c r="CDU614" s="3933"/>
      <c r="CDV614" s="3933"/>
      <c r="CDW614" s="621"/>
      <c r="CDX614" s="3933"/>
      <c r="CDY614" s="3933"/>
      <c r="CDZ614" s="3933"/>
      <c r="CEA614" s="621"/>
      <c r="CEB614" s="3933"/>
      <c r="CEC614" s="3933"/>
      <c r="CED614" s="3933"/>
      <c r="CEE614" s="621"/>
      <c r="CEF614" s="3933"/>
      <c r="CEG614" s="3933"/>
      <c r="CEH614" s="3933"/>
      <c r="CEI614" s="621"/>
      <c r="CEJ614" s="3933"/>
      <c r="CEK614" s="3933"/>
      <c r="CEL614" s="3933"/>
      <c r="CEM614" s="621"/>
      <c r="CEN614" s="3933"/>
      <c r="CEO614" s="3933"/>
      <c r="CEP614" s="3933"/>
      <c r="CEQ614" s="621"/>
      <c r="CER614" s="3933"/>
      <c r="CES614" s="3933"/>
      <c r="CET614" s="3933"/>
      <c r="CEU614" s="621"/>
      <c r="CEV614" s="3933"/>
      <c r="CEW614" s="3933"/>
      <c r="CEX614" s="3933"/>
      <c r="CEY614" s="621"/>
      <c r="CEZ614" s="3933"/>
      <c r="CFA614" s="3933"/>
      <c r="CFB614" s="3933"/>
      <c r="CFC614" s="621"/>
      <c r="CFD614" s="3933"/>
      <c r="CFE614" s="3933"/>
      <c r="CFF614" s="3933"/>
      <c r="CFG614" s="621"/>
      <c r="CFH614" s="3933"/>
      <c r="CFI614" s="3933"/>
      <c r="CFJ614" s="3933"/>
      <c r="CFK614" s="621"/>
      <c r="CFL614" s="3933"/>
      <c r="CFM614" s="3933"/>
      <c r="CFN614" s="3933"/>
      <c r="CFO614" s="621"/>
      <c r="CFP614" s="3933"/>
      <c r="CFQ614" s="3933"/>
      <c r="CFR614" s="3933"/>
      <c r="CFS614" s="621"/>
      <c r="CFT614" s="3933"/>
      <c r="CFU614" s="3933"/>
      <c r="CFV614" s="3933"/>
      <c r="CFW614" s="621"/>
      <c r="CFX614" s="3933"/>
      <c r="CFY614" s="3933"/>
      <c r="CFZ614" s="3933"/>
      <c r="CGA614" s="621"/>
      <c r="CGB614" s="3933"/>
      <c r="CGC614" s="3933"/>
      <c r="CGD614" s="3933"/>
      <c r="CGE614" s="621"/>
      <c r="CGF614" s="3933"/>
      <c r="CGG614" s="3933"/>
      <c r="CGH614" s="3933"/>
      <c r="CGI614" s="621"/>
      <c r="CGJ614" s="3933"/>
      <c r="CGK614" s="3933"/>
      <c r="CGL614" s="3933"/>
      <c r="CGM614" s="621"/>
      <c r="CGN614" s="3933"/>
      <c r="CGO614" s="3933"/>
      <c r="CGP614" s="3933"/>
      <c r="CGQ614" s="621"/>
      <c r="CGR614" s="3933"/>
      <c r="CGS614" s="3933"/>
      <c r="CGT614" s="3933"/>
      <c r="CGU614" s="621"/>
      <c r="CGV614" s="3933"/>
      <c r="CGW614" s="3933"/>
      <c r="CGX614" s="3933"/>
      <c r="CGY614" s="621"/>
      <c r="CGZ614" s="3933"/>
      <c r="CHA614" s="3933"/>
      <c r="CHB614" s="3933"/>
      <c r="CHC614" s="621"/>
      <c r="CHD614" s="3933"/>
      <c r="CHE614" s="3933"/>
      <c r="CHF614" s="3933"/>
      <c r="CHG614" s="621"/>
      <c r="CHH614" s="3933"/>
      <c r="CHI614" s="3933"/>
      <c r="CHJ614" s="3933"/>
      <c r="CHK614" s="621"/>
      <c r="CHL614" s="3933"/>
      <c r="CHM614" s="3933"/>
      <c r="CHN614" s="3933"/>
      <c r="CHO614" s="621"/>
      <c r="CHP614" s="3933"/>
      <c r="CHQ614" s="3933"/>
      <c r="CHR614" s="3933"/>
      <c r="CHS614" s="621"/>
      <c r="CHT614" s="3933"/>
      <c r="CHU614" s="3933"/>
      <c r="CHV614" s="3933"/>
      <c r="CHW614" s="621"/>
      <c r="CHX614" s="3933"/>
      <c r="CHY614" s="3933"/>
      <c r="CHZ614" s="3933"/>
      <c r="CIA614" s="621"/>
      <c r="CIB614" s="3933"/>
      <c r="CIC614" s="3933"/>
      <c r="CID614" s="3933"/>
      <c r="CIE614" s="621"/>
      <c r="CIF614" s="3933"/>
      <c r="CIG614" s="3933"/>
      <c r="CIH614" s="3933"/>
      <c r="CII614" s="621"/>
      <c r="CIJ614" s="3933"/>
      <c r="CIK614" s="3933"/>
      <c r="CIL614" s="3933"/>
      <c r="CIM614" s="621"/>
      <c r="CIN614" s="3933"/>
      <c r="CIO614" s="3933"/>
      <c r="CIP614" s="3933"/>
      <c r="CIQ614" s="621"/>
      <c r="CIR614" s="3933"/>
      <c r="CIS614" s="3933"/>
      <c r="CIT614" s="3933"/>
      <c r="CIU614" s="621"/>
      <c r="CIV614" s="3933"/>
      <c r="CIW614" s="3933"/>
      <c r="CIX614" s="3933"/>
      <c r="CIY614" s="621"/>
      <c r="CIZ614" s="3933"/>
      <c r="CJA614" s="3933"/>
      <c r="CJB614" s="3933"/>
      <c r="CJC614" s="621"/>
      <c r="CJD614" s="3933"/>
      <c r="CJE614" s="3933"/>
      <c r="CJF614" s="3933"/>
      <c r="CJG614" s="621"/>
      <c r="CJH614" s="3933"/>
      <c r="CJI614" s="3933"/>
      <c r="CJJ614" s="3933"/>
      <c r="CJK614" s="621"/>
      <c r="CJL614" s="3933"/>
      <c r="CJM614" s="3933"/>
      <c r="CJN614" s="3933"/>
      <c r="CJO614" s="621"/>
      <c r="CJP614" s="3933"/>
      <c r="CJQ614" s="3933"/>
      <c r="CJR614" s="3933"/>
      <c r="CJS614" s="621"/>
      <c r="CJT614" s="3933"/>
      <c r="CJU614" s="3933"/>
      <c r="CJV614" s="3933"/>
      <c r="CJW614" s="621"/>
      <c r="CJX614" s="3933"/>
      <c r="CJY614" s="3933"/>
      <c r="CJZ614" s="3933"/>
      <c r="CKA614" s="621"/>
      <c r="CKB614" s="3933"/>
      <c r="CKC614" s="3933"/>
      <c r="CKD614" s="3933"/>
      <c r="CKE614" s="621"/>
      <c r="CKF614" s="3933"/>
      <c r="CKG614" s="3933"/>
      <c r="CKH614" s="3933"/>
      <c r="CKI614" s="621"/>
      <c r="CKJ614" s="3933"/>
      <c r="CKK614" s="3933"/>
      <c r="CKL614" s="3933"/>
      <c r="CKM614" s="621"/>
      <c r="CKN614" s="3933"/>
      <c r="CKO614" s="3933"/>
      <c r="CKP614" s="3933"/>
      <c r="CKQ614" s="621"/>
      <c r="CKR614" s="3933"/>
      <c r="CKS614" s="3933"/>
      <c r="CKT614" s="3933"/>
      <c r="CKU614" s="621"/>
      <c r="CKV614" s="3933"/>
      <c r="CKW614" s="3933"/>
      <c r="CKX614" s="3933"/>
      <c r="CKY614" s="621"/>
      <c r="CKZ614" s="3933"/>
      <c r="CLA614" s="3933"/>
      <c r="CLB614" s="3933"/>
      <c r="CLC614" s="621"/>
      <c r="CLD614" s="3933"/>
      <c r="CLE614" s="3933"/>
      <c r="CLF614" s="3933"/>
      <c r="CLG614" s="621"/>
      <c r="CLH614" s="3933"/>
      <c r="CLI614" s="3933"/>
      <c r="CLJ614" s="3933"/>
      <c r="CLK614" s="621"/>
      <c r="CLL614" s="3933"/>
      <c r="CLM614" s="3933"/>
      <c r="CLN614" s="3933"/>
      <c r="CLO614" s="621"/>
      <c r="CLP614" s="3933"/>
      <c r="CLQ614" s="3933"/>
      <c r="CLR614" s="3933"/>
      <c r="CLS614" s="621"/>
      <c r="CLT614" s="3933"/>
      <c r="CLU614" s="3933"/>
      <c r="CLV614" s="3933"/>
      <c r="CLW614" s="621"/>
      <c r="CLX614" s="3933"/>
      <c r="CLY614" s="3933"/>
      <c r="CLZ614" s="3933"/>
      <c r="CMA614" s="621"/>
      <c r="CMB614" s="3933"/>
      <c r="CMC614" s="3933"/>
      <c r="CMD614" s="3933"/>
      <c r="CME614" s="621"/>
      <c r="CMF614" s="3933"/>
      <c r="CMG614" s="3933"/>
      <c r="CMH614" s="3933"/>
      <c r="CMI614" s="621"/>
      <c r="CMJ614" s="3933"/>
      <c r="CMK614" s="3933"/>
      <c r="CML614" s="3933"/>
      <c r="CMM614" s="621"/>
      <c r="CMN614" s="3933"/>
      <c r="CMO614" s="3933"/>
      <c r="CMP614" s="3933"/>
      <c r="CMQ614" s="621"/>
      <c r="CMR614" s="3933"/>
      <c r="CMS614" s="3933"/>
      <c r="CMT614" s="3933"/>
      <c r="CMU614" s="621"/>
      <c r="CMV614" s="3933"/>
      <c r="CMW614" s="3933"/>
      <c r="CMX614" s="3933"/>
      <c r="CMY614" s="621"/>
      <c r="CMZ614" s="3933"/>
      <c r="CNA614" s="3933"/>
      <c r="CNB614" s="3933"/>
      <c r="CNC614" s="621"/>
      <c r="CND614" s="3933"/>
      <c r="CNE614" s="3933"/>
      <c r="CNF614" s="3933"/>
      <c r="CNG614" s="621"/>
      <c r="CNH614" s="3933"/>
      <c r="CNI614" s="3933"/>
      <c r="CNJ614" s="3933"/>
      <c r="CNK614" s="621"/>
      <c r="CNL614" s="3933"/>
      <c r="CNM614" s="3933"/>
      <c r="CNN614" s="3933"/>
      <c r="CNO614" s="621"/>
      <c r="CNP614" s="3933"/>
      <c r="CNQ614" s="3933"/>
      <c r="CNR614" s="3933"/>
      <c r="CNS614" s="621"/>
      <c r="CNT614" s="3933"/>
      <c r="CNU614" s="3933"/>
      <c r="CNV614" s="3933"/>
      <c r="CNW614" s="621"/>
      <c r="CNX614" s="3933"/>
      <c r="CNY614" s="3933"/>
      <c r="CNZ614" s="3933"/>
      <c r="COA614" s="621"/>
      <c r="COB614" s="3933"/>
      <c r="COC614" s="3933"/>
      <c r="COD614" s="3933"/>
      <c r="COE614" s="621"/>
      <c r="COF614" s="3933"/>
      <c r="COG614" s="3933"/>
      <c r="COH614" s="3933"/>
      <c r="COI614" s="621"/>
      <c r="COJ614" s="3933"/>
      <c r="COK614" s="3933"/>
      <c r="COL614" s="3933"/>
      <c r="COM614" s="621"/>
      <c r="CON614" s="3933"/>
      <c r="COO614" s="3933"/>
      <c r="COP614" s="3933"/>
      <c r="COQ614" s="621"/>
      <c r="COR614" s="3933"/>
      <c r="COS614" s="3933"/>
      <c r="COT614" s="3933"/>
      <c r="COU614" s="621"/>
      <c r="COV614" s="3933"/>
      <c r="COW614" s="3933"/>
      <c r="COX614" s="3933"/>
      <c r="COY614" s="621"/>
      <c r="COZ614" s="3933"/>
      <c r="CPA614" s="3933"/>
      <c r="CPB614" s="3933"/>
      <c r="CPC614" s="621"/>
      <c r="CPD614" s="3933"/>
      <c r="CPE614" s="3933"/>
      <c r="CPF614" s="3933"/>
      <c r="CPG614" s="621"/>
      <c r="CPH614" s="3933"/>
      <c r="CPI614" s="3933"/>
      <c r="CPJ614" s="3933"/>
      <c r="CPK614" s="621"/>
      <c r="CPL614" s="3933"/>
      <c r="CPM614" s="3933"/>
      <c r="CPN614" s="3933"/>
      <c r="CPO614" s="621"/>
      <c r="CPP614" s="3933"/>
      <c r="CPQ614" s="3933"/>
      <c r="CPR614" s="3933"/>
      <c r="CPS614" s="621"/>
      <c r="CPT614" s="3933"/>
      <c r="CPU614" s="3933"/>
      <c r="CPV614" s="3933"/>
      <c r="CPW614" s="621"/>
      <c r="CPX614" s="3933"/>
      <c r="CPY614" s="3933"/>
      <c r="CPZ614" s="3933"/>
      <c r="CQA614" s="621"/>
      <c r="CQB614" s="3933"/>
      <c r="CQC614" s="3933"/>
      <c r="CQD614" s="3933"/>
      <c r="CQE614" s="621"/>
      <c r="CQF614" s="3933"/>
      <c r="CQG614" s="3933"/>
      <c r="CQH614" s="3933"/>
      <c r="CQI614" s="621"/>
      <c r="CQJ614" s="3933"/>
      <c r="CQK614" s="3933"/>
      <c r="CQL614" s="3933"/>
      <c r="CQM614" s="621"/>
      <c r="CQN614" s="3933"/>
      <c r="CQO614" s="3933"/>
      <c r="CQP614" s="3933"/>
      <c r="CQQ614" s="621"/>
      <c r="CQR614" s="3933"/>
      <c r="CQS614" s="3933"/>
      <c r="CQT614" s="3933"/>
      <c r="CQU614" s="621"/>
      <c r="CQV614" s="3933"/>
      <c r="CQW614" s="3933"/>
      <c r="CQX614" s="3933"/>
      <c r="CQY614" s="621"/>
      <c r="CQZ614" s="3933"/>
      <c r="CRA614" s="3933"/>
      <c r="CRB614" s="3933"/>
      <c r="CRC614" s="621"/>
      <c r="CRD614" s="3933"/>
      <c r="CRE614" s="3933"/>
      <c r="CRF614" s="3933"/>
      <c r="CRG614" s="621"/>
      <c r="CRH614" s="3933"/>
      <c r="CRI614" s="3933"/>
      <c r="CRJ614" s="3933"/>
      <c r="CRK614" s="621"/>
      <c r="CRL614" s="3933"/>
      <c r="CRM614" s="3933"/>
      <c r="CRN614" s="3933"/>
      <c r="CRO614" s="621"/>
      <c r="CRP614" s="3933"/>
      <c r="CRQ614" s="3933"/>
      <c r="CRR614" s="3933"/>
      <c r="CRS614" s="621"/>
      <c r="CRT614" s="3933"/>
      <c r="CRU614" s="3933"/>
      <c r="CRV614" s="3933"/>
      <c r="CRW614" s="621"/>
      <c r="CRX614" s="3933"/>
      <c r="CRY614" s="3933"/>
      <c r="CRZ614" s="3933"/>
      <c r="CSA614" s="621"/>
      <c r="CSB614" s="3933"/>
      <c r="CSC614" s="3933"/>
      <c r="CSD614" s="3933"/>
      <c r="CSE614" s="621"/>
      <c r="CSF614" s="3933"/>
      <c r="CSG614" s="3933"/>
      <c r="CSH614" s="3933"/>
      <c r="CSI614" s="621"/>
      <c r="CSJ614" s="3933"/>
      <c r="CSK614" s="3933"/>
      <c r="CSL614" s="3933"/>
      <c r="CSM614" s="621"/>
      <c r="CSN614" s="3933"/>
      <c r="CSO614" s="3933"/>
      <c r="CSP614" s="3933"/>
      <c r="CSQ614" s="621"/>
      <c r="CSR614" s="3933"/>
      <c r="CSS614" s="3933"/>
      <c r="CST614" s="3933"/>
      <c r="CSU614" s="621"/>
      <c r="CSV614" s="3933"/>
      <c r="CSW614" s="3933"/>
      <c r="CSX614" s="3933"/>
      <c r="CSY614" s="621"/>
      <c r="CSZ614" s="3933"/>
      <c r="CTA614" s="3933"/>
      <c r="CTB614" s="3933"/>
      <c r="CTC614" s="621"/>
      <c r="CTD614" s="3933"/>
      <c r="CTE614" s="3933"/>
      <c r="CTF614" s="3933"/>
      <c r="CTG614" s="621"/>
      <c r="CTH614" s="3933"/>
      <c r="CTI614" s="3933"/>
      <c r="CTJ614" s="3933"/>
      <c r="CTK614" s="621"/>
      <c r="CTL614" s="3933"/>
      <c r="CTM614" s="3933"/>
      <c r="CTN614" s="3933"/>
      <c r="CTO614" s="621"/>
      <c r="CTP614" s="3933"/>
      <c r="CTQ614" s="3933"/>
      <c r="CTR614" s="3933"/>
      <c r="CTS614" s="621"/>
      <c r="CTT614" s="3933"/>
      <c r="CTU614" s="3933"/>
      <c r="CTV614" s="3933"/>
      <c r="CTW614" s="621"/>
      <c r="CTX614" s="3933"/>
      <c r="CTY614" s="3933"/>
      <c r="CTZ614" s="3933"/>
      <c r="CUA614" s="621"/>
      <c r="CUB614" s="3933"/>
      <c r="CUC614" s="3933"/>
      <c r="CUD614" s="3933"/>
      <c r="CUE614" s="621"/>
      <c r="CUF614" s="3933"/>
      <c r="CUG614" s="3933"/>
      <c r="CUH614" s="3933"/>
      <c r="CUI614" s="621"/>
      <c r="CUJ614" s="3933"/>
      <c r="CUK614" s="3933"/>
      <c r="CUL614" s="3933"/>
      <c r="CUM614" s="621"/>
      <c r="CUN614" s="3933"/>
      <c r="CUO614" s="3933"/>
      <c r="CUP614" s="3933"/>
      <c r="CUQ614" s="621"/>
      <c r="CUR614" s="3933"/>
      <c r="CUS614" s="3933"/>
      <c r="CUT614" s="3933"/>
      <c r="CUU614" s="621"/>
      <c r="CUV614" s="3933"/>
      <c r="CUW614" s="3933"/>
      <c r="CUX614" s="3933"/>
      <c r="CUY614" s="621"/>
      <c r="CUZ614" s="3933"/>
      <c r="CVA614" s="3933"/>
      <c r="CVB614" s="3933"/>
      <c r="CVC614" s="621"/>
      <c r="CVD614" s="3933"/>
      <c r="CVE614" s="3933"/>
      <c r="CVF614" s="3933"/>
      <c r="CVG614" s="621"/>
      <c r="CVH614" s="3933"/>
      <c r="CVI614" s="3933"/>
      <c r="CVJ614" s="3933"/>
      <c r="CVK614" s="621"/>
      <c r="CVL614" s="3933"/>
      <c r="CVM614" s="3933"/>
      <c r="CVN614" s="3933"/>
      <c r="CVO614" s="621"/>
      <c r="CVP614" s="3933"/>
      <c r="CVQ614" s="3933"/>
      <c r="CVR614" s="3933"/>
      <c r="CVS614" s="621"/>
      <c r="CVT614" s="3933"/>
      <c r="CVU614" s="3933"/>
      <c r="CVV614" s="3933"/>
      <c r="CVW614" s="621"/>
      <c r="CVX614" s="3933"/>
      <c r="CVY614" s="3933"/>
      <c r="CVZ614" s="3933"/>
      <c r="CWA614" s="621"/>
      <c r="CWB614" s="3933"/>
      <c r="CWC614" s="3933"/>
      <c r="CWD614" s="3933"/>
      <c r="CWE614" s="621"/>
      <c r="CWF614" s="3933"/>
      <c r="CWG614" s="3933"/>
      <c r="CWH614" s="3933"/>
      <c r="CWI614" s="621"/>
      <c r="CWJ614" s="3933"/>
      <c r="CWK614" s="3933"/>
      <c r="CWL614" s="3933"/>
      <c r="CWM614" s="621"/>
      <c r="CWN614" s="3933"/>
      <c r="CWO614" s="3933"/>
      <c r="CWP614" s="3933"/>
      <c r="CWQ614" s="621"/>
      <c r="CWR614" s="3933"/>
      <c r="CWS614" s="3933"/>
      <c r="CWT614" s="3933"/>
      <c r="CWU614" s="621"/>
      <c r="CWV614" s="3933"/>
      <c r="CWW614" s="3933"/>
      <c r="CWX614" s="3933"/>
      <c r="CWY614" s="621"/>
      <c r="CWZ614" s="3933"/>
      <c r="CXA614" s="3933"/>
      <c r="CXB614" s="3933"/>
      <c r="CXC614" s="621"/>
      <c r="CXD614" s="3933"/>
      <c r="CXE614" s="3933"/>
      <c r="CXF614" s="3933"/>
      <c r="CXG614" s="621"/>
      <c r="CXH614" s="3933"/>
      <c r="CXI614" s="3933"/>
      <c r="CXJ614" s="3933"/>
      <c r="CXK614" s="621"/>
      <c r="CXL614" s="3933"/>
      <c r="CXM614" s="3933"/>
      <c r="CXN614" s="3933"/>
      <c r="CXO614" s="621"/>
      <c r="CXP614" s="3933"/>
      <c r="CXQ614" s="3933"/>
      <c r="CXR614" s="3933"/>
      <c r="CXS614" s="621"/>
      <c r="CXT614" s="3933"/>
      <c r="CXU614" s="3933"/>
      <c r="CXV614" s="3933"/>
      <c r="CXW614" s="621"/>
      <c r="CXX614" s="3933"/>
      <c r="CXY614" s="3933"/>
      <c r="CXZ614" s="3933"/>
      <c r="CYA614" s="621"/>
      <c r="CYB614" s="3933"/>
      <c r="CYC614" s="3933"/>
      <c r="CYD614" s="3933"/>
      <c r="CYE614" s="621"/>
      <c r="CYF614" s="3933"/>
      <c r="CYG614" s="3933"/>
      <c r="CYH614" s="3933"/>
      <c r="CYI614" s="621"/>
      <c r="CYJ614" s="3933"/>
      <c r="CYK614" s="3933"/>
      <c r="CYL614" s="3933"/>
      <c r="CYM614" s="621"/>
      <c r="CYN614" s="3933"/>
      <c r="CYO614" s="3933"/>
      <c r="CYP614" s="3933"/>
      <c r="CYQ614" s="621"/>
      <c r="CYR614" s="3933"/>
      <c r="CYS614" s="3933"/>
      <c r="CYT614" s="3933"/>
      <c r="CYU614" s="621"/>
      <c r="CYV614" s="3933"/>
      <c r="CYW614" s="3933"/>
      <c r="CYX614" s="3933"/>
      <c r="CYY614" s="621"/>
      <c r="CYZ614" s="3933"/>
      <c r="CZA614" s="3933"/>
      <c r="CZB614" s="3933"/>
      <c r="CZC614" s="621"/>
      <c r="CZD614" s="3933"/>
      <c r="CZE614" s="3933"/>
      <c r="CZF614" s="3933"/>
      <c r="CZG614" s="621"/>
      <c r="CZH614" s="3933"/>
      <c r="CZI614" s="3933"/>
      <c r="CZJ614" s="3933"/>
      <c r="CZK614" s="621"/>
      <c r="CZL614" s="3933"/>
      <c r="CZM614" s="3933"/>
      <c r="CZN614" s="3933"/>
      <c r="CZO614" s="621"/>
      <c r="CZP614" s="3933"/>
      <c r="CZQ614" s="3933"/>
      <c r="CZR614" s="3933"/>
      <c r="CZS614" s="621"/>
      <c r="CZT614" s="3933"/>
      <c r="CZU614" s="3933"/>
      <c r="CZV614" s="3933"/>
      <c r="CZW614" s="621"/>
      <c r="CZX614" s="3933"/>
      <c r="CZY614" s="3933"/>
      <c r="CZZ614" s="3933"/>
      <c r="DAA614" s="621"/>
      <c r="DAB614" s="3933"/>
      <c r="DAC614" s="3933"/>
      <c r="DAD614" s="3933"/>
      <c r="DAE614" s="621"/>
      <c r="DAF614" s="3933"/>
      <c r="DAG614" s="3933"/>
      <c r="DAH614" s="3933"/>
      <c r="DAI614" s="621"/>
      <c r="DAJ614" s="3933"/>
      <c r="DAK614" s="3933"/>
      <c r="DAL614" s="3933"/>
      <c r="DAM614" s="621"/>
      <c r="DAN614" s="3933"/>
      <c r="DAO614" s="3933"/>
      <c r="DAP614" s="3933"/>
      <c r="DAQ614" s="621"/>
      <c r="DAR614" s="3933"/>
      <c r="DAS614" s="3933"/>
      <c r="DAT614" s="3933"/>
      <c r="DAU614" s="621"/>
      <c r="DAV614" s="3933"/>
      <c r="DAW614" s="3933"/>
      <c r="DAX614" s="3933"/>
      <c r="DAY614" s="621"/>
      <c r="DAZ614" s="3933"/>
      <c r="DBA614" s="3933"/>
      <c r="DBB614" s="3933"/>
      <c r="DBC614" s="621"/>
      <c r="DBD614" s="3933"/>
      <c r="DBE614" s="3933"/>
      <c r="DBF614" s="3933"/>
      <c r="DBG614" s="621"/>
      <c r="DBH614" s="3933"/>
      <c r="DBI614" s="3933"/>
      <c r="DBJ614" s="3933"/>
      <c r="DBK614" s="621"/>
      <c r="DBL614" s="3933"/>
      <c r="DBM614" s="3933"/>
      <c r="DBN614" s="3933"/>
      <c r="DBO614" s="621"/>
      <c r="DBP614" s="3933"/>
      <c r="DBQ614" s="3933"/>
      <c r="DBR614" s="3933"/>
      <c r="DBS614" s="621"/>
      <c r="DBT614" s="3933"/>
      <c r="DBU614" s="3933"/>
      <c r="DBV614" s="3933"/>
      <c r="DBW614" s="621"/>
      <c r="DBX614" s="3933"/>
      <c r="DBY614" s="3933"/>
      <c r="DBZ614" s="3933"/>
      <c r="DCA614" s="621"/>
      <c r="DCB614" s="3933"/>
      <c r="DCC614" s="3933"/>
      <c r="DCD614" s="3933"/>
      <c r="DCE614" s="621"/>
      <c r="DCF614" s="3933"/>
      <c r="DCG614" s="3933"/>
      <c r="DCH614" s="3933"/>
      <c r="DCI614" s="621"/>
      <c r="DCJ614" s="3933"/>
      <c r="DCK614" s="3933"/>
      <c r="DCL614" s="3933"/>
      <c r="DCM614" s="621"/>
      <c r="DCN614" s="3933"/>
      <c r="DCO614" s="3933"/>
      <c r="DCP614" s="3933"/>
      <c r="DCQ614" s="621"/>
      <c r="DCR614" s="3933"/>
      <c r="DCS614" s="3933"/>
      <c r="DCT614" s="3933"/>
      <c r="DCU614" s="621"/>
      <c r="DCV614" s="3933"/>
      <c r="DCW614" s="3933"/>
      <c r="DCX614" s="3933"/>
      <c r="DCY614" s="621"/>
      <c r="DCZ614" s="3933"/>
      <c r="DDA614" s="3933"/>
      <c r="DDB614" s="3933"/>
      <c r="DDC614" s="621"/>
      <c r="DDD614" s="3933"/>
      <c r="DDE614" s="3933"/>
      <c r="DDF614" s="3933"/>
      <c r="DDG614" s="621"/>
      <c r="DDH614" s="3933"/>
      <c r="DDI614" s="3933"/>
      <c r="DDJ614" s="3933"/>
      <c r="DDK614" s="621"/>
      <c r="DDL614" s="3933"/>
      <c r="DDM614" s="3933"/>
      <c r="DDN614" s="3933"/>
      <c r="DDO614" s="621"/>
      <c r="DDP614" s="3933"/>
      <c r="DDQ614" s="3933"/>
      <c r="DDR614" s="3933"/>
      <c r="DDS614" s="621"/>
      <c r="DDT614" s="3933"/>
      <c r="DDU614" s="3933"/>
      <c r="DDV614" s="3933"/>
      <c r="DDW614" s="621"/>
      <c r="DDX614" s="3933"/>
      <c r="DDY614" s="3933"/>
      <c r="DDZ614" s="3933"/>
      <c r="DEA614" s="621"/>
      <c r="DEB614" s="3933"/>
      <c r="DEC614" s="3933"/>
      <c r="DED614" s="3933"/>
      <c r="DEE614" s="621"/>
      <c r="DEF614" s="3933"/>
      <c r="DEG614" s="3933"/>
      <c r="DEH614" s="3933"/>
      <c r="DEI614" s="621"/>
      <c r="DEJ614" s="3933"/>
      <c r="DEK614" s="3933"/>
      <c r="DEL614" s="3933"/>
      <c r="DEM614" s="621"/>
      <c r="DEN614" s="3933"/>
      <c r="DEO614" s="3933"/>
      <c r="DEP614" s="3933"/>
      <c r="DEQ614" s="621"/>
      <c r="DER614" s="3933"/>
      <c r="DES614" s="3933"/>
      <c r="DET614" s="3933"/>
      <c r="DEU614" s="621"/>
      <c r="DEV614" s="3933"/>
      <c r="DEW614" s="3933"/>
      <c r="DEX614" s="3933"/>
      <c r="DEY614" s="621"/>
      <c r="DEZ614" s="3933"/>
      <c r="DFA614" s="3933"/>
      <c r="DFB614" s="3933"/>
      <c r="DFC614" s="621"/>
      <c r="DFD614" s="3933"/>
      <c r="DFE614" s="3933"/>
      <c r="DFF614" s="3933"/>
      <c r="DFG614" s="621"/>
      <c r="DFH614" s="3933"/>
      <c r="DFI614" s="3933"/>
      <c r="DFJ614" s="3933"/>
      <c r="DFK614" s="621"/>
      <c r="DFL614" s="3933"/>
      <c r="DFM614" s="3933"/>
      <c r="DFN614" s="3933"/>
      <c r="DFO614" s="621"/>
      <c r="DFP614" s="3933"/>
      <c r="DFQ614" s="3933"/>
      <c r="DFR614" s="3933"/>
      <c r="DFS614" s="621"/>
      <c r="DFT614" s="3933"/>
      <c r="DFU614" s="3933"/>
      <c r="DFV614" s="3933"/>
      <c r="DFW614" s="621"/>
      <c r="DFX614" s="3933"/>
      <c r="DFY614" s="3933"/>
      <c r="DFZ614" s="3933"/>
      <c r="DGA614" s="621"/>
      <c r="DGB614" s="3933"/>
      <c r="DGC614" s="3933"/>
      <c r="DGD614" s="3933"/>
      <c r="DGE614" s="621"/>
      <c r="DGF614" s="3933"/>
      <c r="DGG614" s="3933"/>
      <c r="DGH614" s="3933"/>
      <c r="DGI614" s="621"/>
      <c r="DGJ614" s="3933"/>
      <c r="DGK614" s="3933"/>
      <c r="DGL614" s="3933"/>
      <c r="DGM614" s="621"/>
      <c r="DGN614" s="3933"/>
      <c r="DGO614" s="3933"/>
      <c r="DGP614" s="3933"/>
      <c r="DGQ614" s="621"/>
      <c r="DGR614" s="3933"/>
      <c r="DGS614" s="3933"/>
      <c r="DGT614" s="3933"/>
      <c r="DGU614" s="621"/>
      <c r="DGV614" s="3933"/>
      <c r="DGW614" s="3933"/>
      <c r="DGX614" s="3933"/>
      <c r="DGY614" s="621"/>
      <c r="DGZ614" s="3933"/>
      <c r="DHA614" s="3933"/>
      <c r="DHB614" s="3933"/>
      <c r="DHC614" s="621"/>
      <c r="DHD614" s="3933"/>
      <c r="DHE614" s="3933"/>
      <c r="DHF614" s="3933"/>
      <c r="DHG614" s="621"/>
      <c r="DHH614" s="3933"/>
      <c r="DHI614" s="3933"/>
      <c r="DHJ614" s="3933"/>
      <c r="DHK614" s="621"/>
      <c r="DHL614" s="3933"/>
      <c r="DHM614" s="3933"/>
      <c r="DHN614" s="3933"/>
      <c r="DHO614" s="621"/>
      <c r="DHP614" s="3933"/>
      <c r="DHQ614" s="3933"/>
      <c r="DHR614" s="3933"/>
      <c r="DHS614" s="621"/>
      <c r="DHT614" s="3933"/>
      <c r="DHU614" s="3933"/>
      <c r="DHV614" s="3933"/>
      <c r="DHW614" s="621"/>
      <c r="DHX614" s="3933"/>
      <c r="DHY614" s="3933"/>
      <c r="DHZ614" s="3933"/>
      <c r="DIA614" s="621"/>
      <c r="DIB614" s="3933"/>
      <c r="DIC614" s="3933"/>
      <c r="DID614" s="3933"/>
      <c r="DIE614" s="621"/>
      <c r="DIF614" s="3933"/>
      <c r="DIG614" s="3933"/>
      <c r="DIH614" s="3933"/>
      <c r="DII614" s="621"/>
      <c r="DIJ614" s="3933"/>
      <c r="DIK614" s="3933"/>
      <c r="DIL614" s="3933"/>
      <c r="DIM614" s="621"/>
      <c r="DIN614" s="3933"/>
      <c r="DIO614" s="3933"/>
      <c r="DIP614" s="3933"/>
      <c r="DIQ614" s="621"/>
      <c r="DIR614" s="3933"/>
      <c r="DIS614" s="3933"/>
      <c r="DIT614" s="3933"/>
      <c r="DIU614" s="621"/>
      <c r="DIV614" s="3933"/>
      <c r="DIW614" s="3933"/>
      <c r="DIX614" s="3933"/>
      <c r="DIY614" s="621"/>
      <c r="DIZ614" s="3933"/>
      <c r="DJA614" s="3933"/>
      <c r="DJB614" s="3933"/>
      <c r="DJC614" s="621"/>
      <c r="DJD614" s="3933"/>
      <c r="DJE614" s="3933"/>
      <c r="DJF614" s="3933"/>
      <c r="DJG614" s="621"/>
      <c r="DJH614" s="3933"/>
      <c r="DJI614" s="3933"/>
      <c r="DJJ614" s="3933"/>
      <c r="DJK614" s="621"/>
      <c r="DJL614" s="3933"/>
      <c r="DJM614" s="3933"/>
      <c r="DJN614" s="3933"/>
      <c r="DJO614" s="621"/>
      <c r="DJP614" s="3933"/>
      <c r="DJQ614" s="3933"/>
      <c r="DJR614" s="3933"/>
      <c r="DJS614" s="621"/>
      <c r="DJT614" s="3933"/>
      <c r="DJU614" s="3933"/>
      <c r="DJV614" s="3933"/>
      <c r="DJW614" s="621"/>
      <c r="DJX614" s="3933"/>
      <c r="DJY614" s="3933"/>
      <c r="DJZ614" s="3933"/>
      <c r="DKA614" s="621"/>
      <c r="DKB614" s="3933"/>
      <c r="DKC614" s="3933"/>
      <c r="DKD614" s="3933"/>
      <c r="DKE614" s="621"/>
      <c r="DKF614" s="3933"/>
      <c r="DKG614" s="3933"/>
      <c r="DKH614" s="3933"/>
      <c r="DKI614" s="621"/>
      <c r="DKJ614" s="3933"/>
      <c r="DKK614" s="3933"/>
      <c r="DKL614" s="3933"/>
      <c r="DKM614" s="621"/>
      <c r="DKN614" s="3933"/>
      <c r="DKO614" s="3933"/>
      <c r="DKP614" s="3933"/>
      <c r="DKQ614" s="621"/>
      <c r="DKR614" s="3933"/>
      <c r="DKS614" s="3933"/>
      <c r="DKT614" s="3933"/>
      <c r="DKU614" s="621"/>
      <c r="DKV614" s="3933"/>
      <c r="DKW614" s="3933"/>
      <c r="DKX614" s="3933"/>
      <c r="DKY614" s="621"/>
      <c r="DKZ614" s="3933"/>
      <c r="DLA614" s="3933"/>
      <c r="DLB614" s="3933"/>
      <c r="DLC614" s="621"/>
      <c r="DLD614" s="3933"/>
      <c r="DLE614" s="3933"/>
      <c r="DLF614" s="3933"/>
      <c r="DLG614" s="621"/>
      <c r="DLH614" s="3933"/>
      <c r="DLI614" s="3933"/>
      <c r="DLJ614" s="3933"/>
      <c r="DLK614" s="621"/>
      <c r="DLL614" s="3933"/>
      <c r="DLM614" s="3933"/>
      <c r="DLN614" s="3933"/>
      <c r="DLO614" s="621"/>
      <c r="DLP614" s="3933"/>
      <c r="DLQ614" s="3933"/>
      <c r="DLR614" s="3933"/>
      <c r="DLS614" s="621"/>
      <c r="DLT614" s="3933"/>
      <c r="DLU614" s="3933"/>
      <c r="DLV614" s="3933"/>
      <c r="DLW614" s="621"/>
      <c r="DLX614" s="3933"/>
      <c r="DLY614" s="3933"/>
      <c r="DLZ614" s="3933"/>
      <c r="DMA614" s="621"/>
      <c r="DMB614" s="3933"/>
      <c r="DMC614" s="3933"/>
      <c r="DMD614" s="3933"/>
      <c r="DME614" s="621"/>
      <c r="DMF614" s="3933"/>
      <c r="DMG614" s="3933"/>
      <c r="DMH614" s="3933"/>
      <c r="DMI614" s="621"/>
      <c r="DMJ614" s="3933"/>
      <c r="DMK614" s="3933"/>
      <c r="DML614" s="3933"/>
      <c r="DMM614" s="621"/>
      <c r="DMN614" s="3933"/>
      <c r="DMO614" s="3933"/>
      <c r="DMP614" s="3933"/>
      <c r="DMQ614" s="621"/>
      <c r="DMR614" s="3933"/>
      <c r="DMS614" s="3933"/>
      <c r="DMT614" s="3933"/>
      <c r="DMU614" s="621"/>
      <c r="DMV614" s="3933"/>
      <c r="DMW614" s="3933"/>
      <c r="DMX614" s="3933"/>
      <c r="DMY614" s="621"/>
      <c r="DMZ614" s="3933"/>
      <c r="DNA614" s="3933"/>
      <c r="DNB614" s="3933"/>
      <c r="DNC614" s="621"/>
      <c r="DND614" s="3933"/>
      <c r="DNE614" s="3933"/>
      <c r="DNF614" s="3933"/>
      <c r="DNG614" s="621"/>
      <c r="DNH614" s="3933"/>
      <c r="DNI614" s="3933"/>
      <c r="DNJ614" s="3933"/>
      <c r="DNK614" s="621"/>
      <c r="DNL614" s="3933"/>
      <c r="DNM614" s="3933"/>
      <c r="DNN614" s="3933"/>
      <c r="DNO614" s="621"/>
      <c r="DNP614" s="3933"/>
      <c r="DNQ614" s="3933"/>
      <c r="DNR614" s="3933"/>
      <c r="DNS614" s="621"/>
      <c r="DNT614" s="3933"/>
      <c r="DNU614" s="3933"/>
      <c r="DNV614" s="3933"/>
      <c r="DNW614" s="621"/>
      <c r="DNX614" s="3933"/>
      <c r="DNY614" s="3933"/>
      <c r="DNZ614" s="3933"/>
      <c r="DOA614" s="621"/>
      <c r="DOB614" s="3933"/>
      <c r="DOC614" s="3933"/>
      <c r="DOD614" s="3933"/>
      <c r="DOE614" s="621"/>
      <c r="DOF614" s="3933"/>
      <c r="DOG614" s="3933"/>
      <c r="DOH614" s="3933"/>
      <c r="DOI614" s="621"/>
      <c r="DOJ614" s="3933"/>
      <c r="DOK614" s="3933"/>
      <c r="DOL614" s="3933"/>
      <c r="DOM614" s="621"/>
      <c r="DON614" s="3933"/>
      <c r="DOO614" s="3933"/>
      <c r="DOP614" s="3933"/>
      <c r="DOQ614" s="621"/>
      <c r="DOR614" s="3933"/>
      <c r="DOS614" s="3933"/>
      <c r="DOT614" s="3933"/>
      <c r="DOU614" s="621"/>
      <c r="DOV614" s="3933"/>
      <c r="DOW614" s="3933"/>
      <c r="DOX614" s="3933"/>
      <c r="DOY614" s="621"/>
      <c r="DOZ614" s="3933"/>
      <c r="DPA614" s="3933"/>
      <c r="DPB614" s="3933"/>
      <c r="DPC614" s="621"/>
      <c r="DPD614" s="3933"/>
      <c r="DPE614" s="3933"/>
      <c r="DPF614" s="3933"/>
      <c r="DPG614" s="621"/>
      <c r="DPH614" s="3933"/>
      <c r="DPI614" s="3933"/>
      <c r="DPJ614" s="3933"/>
      <c r="DPK614" s="621"/>
      <c r="DPL614" s="3933"/>
      <c r="DPM614" s="3933"/>
      <c r="DPN614" s="3933"/>
      <c r="DPO614" s="621"/>
      <c r="DPP614" s="3933"/>
      <c r="DPQ614" s="3933"/>
      <c r="DPR614" s="3933"/>
      <c r="DPS614" s="621"/>
      <c r="DPT614" s="3933"/>
      <c r="DPU614" s="3933"/>
      <c r="DPV614" s="3933"/>
      <c r="DPW614" s="621"/>
      <c r="DPX614" s="3933"/>
      <c r="DPY614" s="3933"/>
      <c r="DPZ614" s="3933"/>
      <c r="DQA614" s="621"/>
      <c r="DQB614" s="3933"/>
      <c r="DQC614" s="3933"/>
      <c r="DQD614" s="3933"/>
      <c r="DQE614" s="621"/>
      <c r="DQF614" s="3933"/>
      <c r="DQG614" s="3933"/>
      <c r="DQH614" s="3933"/>
      <c r="DQI614" s="621"/>
      <c r="DQJ614" s="3933"/>
      <c r="DQK614" s="3933"/>
      <c r="DQL614" s="3933"/>
      <c r="DQM614" s="621"/>
      <c r="DQN614" s="3933"/>
      <c r="DQO614" s="3933"/>
      <c r="DQP614" s="3933"/>
      <c r="DQQ614" s="621"/>
      <c r="DQR614" s="3933"/>
      <c r="DQS614" s="3933"/>
      <c r="DQT614" s="3933"/>
      <c r="DQU614" s="621"/>
      <c r="DQV614" s="3933"/>
      <c r="DQW614" s="3933"/>
      <c r="DQX614" s="3933"/>
      <c r="DQY614" s="621"/>
      <c r="DQZ614" s="3933"/>
      <c r="DRA614" s="3933"/>
      <c r="DRB614" s="3933"/>
      <c r="DRC614" s="621"/>
      <c r="DRD614" s="3933"/>
      <c r="DRE614" s="3933"/>
      <c r="DRF614" s="3933"/>
      <c r="DRG614" s="621"/>
      <c r="DRH614" s="3933"/>
      <c r="DRI614" s="3933"/>
      <c r="DRJ614" s="3933"/>
      <c r="DRK614" s="621"/>
      <c r="DRL614" s="3933"/>
      <c r="DRM614" s="3933"/>
      <c r="DRN614" s="3933"/>
      <c r="DRO614" s="621"/>
      <c r="DRP614" s="3933"/>
      <c r="DRQ614" s="3933"/>
      <c r="DRR614" s="3933"/>
      <c r="DRS614" s="621"/>
      <c r="DRT614" s="3933"/>
      <c r="DRU614" s="3933"/>
      <c r="DRV614" s="3933"/>
      <c r="DRW614" s="621"/>
      <c r="DRX614" s="3933"/>
      <c r="DRY614" s="3933"/>
      <c r="DRZ614" s="3933"/>
      <c r="DSA614" s="621"/>
      <c r="DSB614" s="3933"/>
      <c r="DSC614" s="3933"/>
      <c r="DSD614" s="3933"/>
      <c r="DSE614" s="621"/>
      <c r="DSF614" s="3933"/>
      <c r="DSG614" s="3933"/>
      <c r="DSH614" s="3933"/>
      <c r="DSI614" s="621"/>
      <c r="DSJ614" s="3933"/>
      <c r="DSK614" s="3933"/>
      <c r="DSL614" s="3933"/>
      <c r="DSM614" s="621"/>
      <c r="DSN614" s="3933"/>
      <c r="DSO614" s="3933"/>
      <c r="DSP614" s="3933"/>
      <c r="DSQ614" s="621"/>
      <c r="DSR614" s="3933"/>
      <c r="DSS614" s="3933"/>
      <c r="DST614" s="3933"/>
      <c r="DSU614" s="621"/>
      <c r="DSV614" s="3933"/>
      <c r="DSW614" s="3933"/>
      <c r="DSX614" s="3933"/>
      <c r="DSY614" s="621"/>
      <c r="DSZ614" s="3933"/>
      <c r="DTA614" s="3933"/>
      <c r="DTB614" s="3933"/>
      <c r="DTC614" s="621"/>
      <c r="DTD614" s="3933"/>
      <c r="DTE614" s="3933"/>
      <c r="DTF614" s="3933"/>
      <c r="DTG614" s="621"/>
      <c r="DTH614" s="3933"/>
      <c r="DTI614" s="3933"/>
      <c r="DTJ614" s="3933"/>
      <c r="DTK614" s="621"/>
      <c r="DTL614" s="3933"/>
      <c r="DTM614" s="3933"/>
      <c r="DTN614" s="3933"/>
      <c r="DTO614" s="621"/>
      <c r="DTP614" s="3933"/>
      <c r="DTQ614" s="3933"/>
      <c r="DTR614" s="3933"/>
      <c r="DTS614" s="621"/>
      <c r="DTT614" s="3933"/>
      <c r="DTU614" s="3933"/>
      <c r="DTV614" s="3933"/>
      <c r="DTW614" s="621"/>
      <c r="DTX614" s="3933"/>
      <c r="DTY614" s="3933"/>
      <c r="DTZ614" s="3933"/>
      <c r="DUA614" s="621"/>
      <c r="DUB614" s="3933"/>
      <c r="DUC614" s="3933"/>
      <c r="DUD614" s="3933"/>
      <c r="DUE614" s="621"/>
      <c r="DUF614" s="3933"/>
      <c r="DUG614" s="3933"/>
      <c r="DUH614" s="3933"/>
      <c r="DUI614" s="621"/>
      <c r="DUJ614" s="3933"/>
      <c r="DUK614" s="3933"/>
      <c r="DUL614" s="3933"/>
      <c r="DUM614" s="621"/>
      <c r="DUN614" s="3933"/>
      <c r="DUO614" s="3933"/>
      <c r="DUP614" s="3933"/>
      <c r="DUQ614" s="621"/>
      <c r="DUR614" s="3933"/>
      <c r="DUS614" s="3933"/>
      <c r="DUT614" s="3933"/>
      <c r="DUU614" s="621"/>
      <c r="DUV614" s="3933"/>
      <c r="DUW614" s="3933"/>
      <c r="DUX614" s="3933"/>
      <c r="DUY614" s="621"/>
      <c r="DUZ614" s="3933"/>
      <c r="DVA614" s="3933"/>
      <c r="DVB614" s="3933"/>
      <c r="DVC614" s="621"/>
      <c r="DVD614" s="3933"/>
      <c r="DVE614" s="3933"/>
      <c r="DVF614" s="3933"/>
      <c r="DVG614" s="621"/>
      <c r="DVH614" s="3933"/>
      <c r="DVI614" s="3933"/>
      <c r="DVJ614" s="3933"/>
      <c r="DVK614" s="621"/>
      <c r="DVL614" s="3933"/>
      <c r="DVM614" s="3933"/>
      <c r="DVN614" s="3933"/>
      <c r="DVO614" s="621"/>
      <c r="DVP614" s="3933"/>
      <c r="DVQ614" s="3933"/>
      <c r="DVR614" s="3933"/>
      <c r="DVS614" s="621"/>
      <c r="DVT614" s="3933"/>
      <c r="DVU614" s="3933"/>
      <c r="DVV614" s="3933"/>
      <c r="DVW614" s="621"/>
      <c r="DVX614" s="3933"/>
      <c r="DVY614" s="3933"/>
      <c r="DVZ614" s="3933"/>
      <c r="DWA614" s="621"/>
      <c r="DWB614" s="3933"/>
      <c r="DWC614" s="3933"/>
      <c r="DWD614" s="3933"/>
      <c r="DWE614" s="621"/>
      <c r="DWF614" s="3933"/>
      <c r="DWG614" s="3933"/>
      <c r="DWH614" s="3933"/>
      <c r="DWI614" s="621"/>
      <c r="DWJ614" s="3933"/>
      <c r="DWK614" s="3933"/>
      <c r="DWL614" s="3933"/>
      <c r="DWM614" s="621"/>
      <c r="DWN614" s="3933"/>
      <c r="DWO614" s="3933"/>
      <c r="DWP614" s="3933"/>
      <c r="DWQ614" s="621"/>
      <c r="DWR614" s="3933"/>
      <c r="DWS614" s="3933"/>
      <c r="DWT614" s="3933"/>
      <c r="DWU614" s="621"/>
      <c r="DWV614" s="3933"/>
      <c r="DWW614" s="3933"/>
      <c r="DWX614" s="3933"/>
      <c r="DWY614" s="621"/>
      <c r="DWZ614" s="3933"/>
      <c r="DXA614" s="3933"/>
      <c r="DXB614" s="3933"/>
      <c r="DXC614" s="621"/>
      <c r="DXD614" s="3933"/>
      <c r="DXE614" s="3933"/>
      <c r="DXF614" s="3933"/>
      <c r="DXG614" s="621"/>
      <c r="DXH614" s="3933"/>
      <c r="DXI614" s="3933"/>
      <c r="DXJ614" s="3933"/>
      <c r="DXK614" s="621"/>
      <c r="DXL614" s="3933"/>
      <c r="DXM614" s="3933"/>
      <c r="DXN614" s="3933"/>
      <c r="DXO614" s="621"/>
      <c r="DXP614" s="3933"/>
      <c r="DXQ614" s="3933"/>
      <c r="DXR614" s="3933"/>
      <c r="DXS614" s="621"/>
      <c r="DXT614" s="3933"/>
      <c r="DXU614" s="3933"/>
      <c r="DXV614" s="3933"/>
      <c r="DXW614" s="621"/>
      <c r="DXX614" s="3933"/>
      <c r="DXY614" s="3933"/>
      <c r="DXZ614" s="3933"/>
      <c r="DYA614" s="621"/>
      <c r="DYB614" s="3933"/>
      <c r="DYC614" s="3933"/>
      <c r="DYD614" s="3933"/>
      <c r="DYE614" s="621"/>
      <c r="DYF614" s="3933"/>
      <c r="DYG614" s="3933"/>
      <c r="DYH614" s="3933"/>
      <c r="DYI614" s="621"/>
      <c r="DYJ614" s="3933"/>
      <c r="DYK614" s="3933"/>
      <c r="DYL614" s="3933"/>
      <c r="DYM614" s="621"/>
      <c r="DYN614" s="3933"/>
      <c r="DYO614" s="3933"/>
      <c r="DYP614" s="3933"/>
      <c r="DYQ614" s="621"/>
      <c r="DYR614" s="3933"/>
      <c r="DYS614" s="3933"/>
      <c r="DYT614" s="3933"/>
      <c r="DYU614" s="621"/>
      <c r="DYV614" s="3933"/>
      <c r="DYW614" s="3933"/>
      <c r="DYX614" s="3933"/>
      <c r="DYY614" s="621"/>
      <c r="DYZ614" s="3933"/>
      <c r="DZA614" s="3933"/>
      <c r="DZB614" s="3933"/>
      <c r="DZC614" s="621"/>
      <c r="DZD614" s="3933"/>
      <c r="DZE614" s="3933"/>
      <c r="DZF614" s="3933"/>
      <c r="DZG614" s="621"/>
      <c r="DZH614" s="3933"/>
      <c r="DZI614" s="3933"/>
      <c r="DZJ614" s="3933"/>
      <c r="DZK614" s="621"/>
      <c r="DZL614" s="3933"/>
      <c r="DZM614" s="3933"/>
      <c r="DZN614" s="3933"/>
      <c r="DZO614" s="621"/>
      <c r="DZP614" s="3933"/>
      <c r="DZQ614" s="3933"/>
      <c r="DZR614" s="3933"/>
      <c r="DZS614" s="621"/>
      <c r="DZT614" s="3933"/>
      <c r="DZU614" s="3933"/>
      <c r="DZV614" s="3933"/>
      <c r="DZW614" s="621"/>
      <c r="DZX614" s="3933"/>
      <c r="DZY614" s="3933"/>
      <c r="DZZ614" s="3933"/>
      <c r="EAA614" s="621"/>
      <c r="EAB614" s="3933"/>
      <c r="EAC614" s="3933"/>
      <c r="EAD614" s="3933"/>
      <c r="EAE614" s="621"/>
      <c r="EAF614" s="3933"/>
      <c r="EAG614" s="3933"/>
      <c r="EAH614" s="3933"/>
      <c r="EAI614" s="621"/>
      <c r="EAJ614" s="3933"/>
      <c r="EAK614" s="3933"/>
      <c r="EAL614" s="3933"/>
      <c r="EAM614" s="621"/>
      <c r="EAN614" s="3933"/>
      <c r="EAO614" s="3933"/>
      <c r="EAP614" s="3933"/>
      <c r="EAQ614" s="621"/>
      <c r="EAR614" s="3933"/>
      <c r="EAS614" s="3933"/>
      <c r="EAT614" s="3933"/>
      <c r="EAU614" s="621"/>
      <c r="EAV614" s="3933"/>
      <c r="EAW614" s="3933"/>
      <c r="EAX614" s="3933"/>
      <c r="EAY614" s="621"/>
      <c r="EAZ614" s="3933"/>
      <c r="EBA614" s="3933"/>
      <c r="EBB614" s="3933"/>
      <c r="EBC614" s="621"/>
      <c r="EBD614" s="3933"/>
      <c r="EBE614" s="3933"/>
      <c r="EBF614" s="3933"/>
      <c r="EBG614" s="621"/>
      <c r="EBH614" s="3933"/>
      <c r="EBI614" s="3933"/>
      <c r="EBJ614" s="3933"/>
      <c r="EBK614" s="621"/>
      <c r="EBL614" s="3933"/>
      <c r="EBM614" s="3933"/>
      <c r="EBN614" s="3933"/>
      <c r="EBO614" s="621"/>
      <c r="EBP614" s="3933"/>
      <c r="EBQ614" s="3933"/>
      <c r="EBR614" s="3933"/>
      <c r="EBS614" s="621"/>
      <c r="EBT614" s="3933"/>
      <c r="EBU614" s="3933"/>
      <c r="EBV614" s="3933"/>
      <c r="EBW614" s="621"/>
      <c r="EBX614" s="3933"/>
      <c r="EBY614" s="3933"/>
      <c r="EBZ614" s="3933"/>
      <c r="ECA614" s="621"/>
      <c r="ECB614" s="3933"/>
      <c r="ECC614" s="3933"/>
      <c r="ECD614" s="3933"/>
      <c r="ECE614" s="621"/>
      <c r="ECF614" s="3933"/>
      <c r="ECG614" s="3933"/>
      <c r="ECH614" s="3933"/>
      <c r="ECI614" s="621"/>
      <c r="ECJ614" s="3933"/>
      <c r="ECK614" s="3933"/>
      <c r="ECL614" s="3933"/>
      <c r="ECM614" s="621"/>
      <c r="ECN614" s="3933"/>
      <c r="ECO614" s="3933"/>
      <c r="ECP614" s="3933"/>
      <c r="ECQ614" s="621"/>
      <c r="ECR614" s="3933"/>
      <c r="ECS614" s="3933"/>
      <c r="ECT614" s="3933"/>
      <c r="ECU614" s="621"/>
      <c r="ECV614" s="3933"/>
      <c r="ECW614" s="3933"/>
      <c r="ECX614" s="3933"/>
      <c r="ECY614" s="621"/>
      <c r="ECZ614" s="3933"/>
      <c r="EDA614" s="3933"/>
      <c r="EDB614" s="3933"/>
      <c r="EDC614" s="621"/>
      <c r="EDD614" s="3933"/>
      <c r="EDE614" s="3933"/>
      <c r="EDF614" s="3933"/>
      <c r="EDG614" s="621"/>
      <c r="EDH614" s="3933"/>
      <c r="EDI614" s="3933"/>
      <c r="EDJ614" s="3933"/>
      <c r="EDK614" s="621"/>
      <c r="EDL614" s="3933"/>
      <c r="EDM614" s="3933"/>
      <c r="EDN614" s="3933"/>
      <c r="EDO614" s="621"/>
      <c r="EDP614" s="3933"/>
      <c r="EDQ614" s="3933"/>
      <c r="EDR614" s="3933"/>
      <c r="EDS614" s="621"/>
      <c r="EDT614" s="3933"/>
      <c r="EDU614" s="3933"/>
      <c r="EDV614" s="3933"/>
      <c r="EDW614" s="621"/>
      <c r="EDX614" s="3933"/>
      <c r="EDY614" s="3933"/>
      <c r="EDZ614" s="3933"/>
      <c r="EEA614" s="621"/>
      <c r="EEB614" s="3933"/>
      <c r="EEC614" s="3933"/>
      <c r="EED614" s="3933"/>
      <c r="EEE614" s="621"/>
      <c r="EEF614" s="3933"/>
      <c r="EEG614" s="3933"/>
      <c r="EEH614" s="3933"/>
      <c r="EEI614" s="621"/>
      <c r="EEJ614" s="3933"/>
      <c r="EEK614" s="3933"/>
      <c r="EEL614" s="3933"/>
      <c r="EEM614" s="621"/>
      <c r="EEN614" s="3933"/>
      <c r="EEO614" s="3933"/>
      <c r="EEP614" s="3933"/>
      <c r="EEQ614" s="621"/>
      <c r="EER614" s="3933"/>
      <c r="EES614" s="3933"/>
      <c r="EET614" s="3933"/>
      <c r="EEU614" s="621"/>
      <c r="EEV614" s="3933"/>
      <c r="EEW614" s="3933"/>
      <c r="EEX614" s="3933"/>
      <c r="EEY614" s="621"/>
      <c r="EEZ614" s="3933"/>
      <c r="EFA614" s="3933"/>
      <c r="EFB614" s="3933"/>
      <c r="EFC614" s="621"/>
      <c r="EFD614" s="3933"/>
      <c r="EFE614" s="3933"/>
      <c r="EFF614" s="3933"/>
      <c r="EFG614" s="621"/>
      <c r="EFH614" s="3933"/>
      <c r="EFI614" s="3933"/>
      <c r="EFJ614" s="3933"/>
      <c r="EFK614" s="621"/>
      <c r="EFL614" s="3933"/>
      <c r="EFM614" s="3933"/>
      <c r="EFN614" s="3933"/>
      <c r="EFO614" s="621"/>
      <c r="EFP614" s="3933"/>
      <c r="EFQ614" s="3933"/>
      <c r="EFR614" s="3933"/>
      <c r="EFS614" s="621"/>
      <c r="EFT614" s="3933"/>
      <c r="EFU614" s="3933"/>
      <c r="EFV614" s="3933"/>
      <c r="EFW614" s="621"/>
      <c r="EFX614" s="3933"/>
      <c r="EFY614" s="3933"/>
      <c r="EFZ614" s="3933"/>
      <c r="EGA614" s="621"/>
      <c r="EGB614" s="3933"/>
      <c r="EGC614" s="3933"/>
      <c r="EGD614" s="3933"/>
      <c r="EGE614" s="621"/>
      <c r="EGF614" s="3933"/>
      <c r="EGG614" s="3933"/>
      <c r="EGH614" s="3933"/>
      <c r="EGI614" s="621"/>
      <c r="EGJ614" s="3933"/>
      <c r="EGK614" s="3933"/>
      <c r="EGL614" s="3933"/>
      <c r="EGM614" s="621"/>
      <c r="EGN614" s="3933"/>
      <c r="EGO614" s="3933"/>
      <c r="EGP614" s="3933"/>
      <c r="EGQ614" s="621"/>
      <c r="EGR614" s="3933"/>
      <c r="EGS614" s="3933"/>
      <c r="EGT614" s="3933"/>
      <c r="EGU614" s="621"/>
      <c r="EGV614" s="3933"/>
      <c r="EGW614" s="3933"/>
      <c r="EGX614" s="3933"/>
      <c r="EGY614" s="621"/>
      <c r="EGZ614" s="3933"/>
      <c r="EHA614" s="3933"/>
      <c r="EHB614" s="3933"/>
      <c r="EHC614" s="621"/>
      <c r="EHD614" s="3933"/>
      <c r="EHE614" s="3933"/>
      <c r="EHF614" s="3933"/>
      <c r="EHG614" s="621"/>
      <c r="EHH614" s="3933"/>
      <c r="EHI614" s="3933"/>
      <c r="EHJ614" s="3933"/>
      <c r="EHK614" s="621"/>
      <c r="EHL614" s="3933"/>
      <c r="EHM614" s="3933"/>
      <c r="EHN614" s="3933"/>
      <c r="EHO614" s="621"/>
      <c r="EHP614" s="3933"/>
      <c r="EHQ614" s="3933"/>
      <c r="EHR614" s="3933"/>
      <c r="EHS614" s="621"/>
      <c r="EHT614" s="3933"/>
      <c r="EHU614" s="3933"/>
      <c r="EHV614" s="3933"/>
      <c r="EHW614" s="621"/>
      <c r="EHX614" s="3933"/>
      <c r="EHY614" s="3933"/>
      <c r="EHZ614" s="3933"/>
      <c r="EIA614" s="621"/>
      <c r="EIB614" s="3933"/>
      <c r="EIC614" s="3933"/>
      <c r="EID614" s="3933"/>
      <c r="EIE614" s="621"/>
      <c r="EIF614" s="3933"/>
      <c r="EIG614" s="3933"/>
      <c r="EIH614" s="3933"/>
      <c r="EII614" s="621"/>
      <c r="EIJ614" s="3933"/>
      <c r="EIK614" s="3933"/>
      <c r="EIL614" s="3933"/>
      <c r="EIM614" s="621"/>
      <c r="EIN614" s="3933"/>
      <c r="EIO614" s="3933"/>
      <c r="EIP614" s="3933"/>
      <c r="EIQ614" s="621"/>
      <c r="EIR614" s="3933"/>
      <c r="EIS614" s="3933"/>
      <c r="EIT614" s="3933"/>
      <c r="EIU614" s="621"/>
      <c r="EIV614" s="3933"/>
      <c r="EIW614" s="3933"/>
      <c r="EIX614" s="3933"/>
      <c r="EIY614" s="621"/>
      <c r="EIZ614" s="3933"/>
      <c r="EJA614" s="3933"/>
      <c r="EJB614" s="3933"/>
      <c r="EJC614" s="621"/>
      <c r="EJD614" s="3933"/>
      <c r="EJE614" s="3933"/>
      <c r="EJF614" s="3933"/>
      <c r="EJG614" s="621"/>
      <c r="EJH614" s="3933"/>
      <c r="EJI614" s="3933"/>
      <c r="EJJ614" s="3933"/>
      <c r="EJK614" s="621"/>
      <c r="EJL614" s="3933"/>
      <c r="EJM614" s="3933"/>
      <c r="EJN614" s="3933"/>
      <c r="EJO614" s="621"/>
      <c r="EJP614" s="3933"/>
      <c r="EJQ614" s="3933"/>
      <c r="EJR614" s="3933"/>
      <c r="EJS614" s="621"/>
      <c r="EJT614" s="3933"/>
      <c r="EJU614" s="3933"/>
      <c r="EJV614" s="3933"/>
      <c r="EJW614" s="621"/>
      <c r="EJX614" s="3933"/>
      <c r="EJY614" s="3933"/>
      <c r="EJZ614" s="3933"/>
      <c r="EKA614" s="621"/>
      <c r="EKB614" s="3933"/>
      <c r="EKC614" s="3933"/>
      <c r="EKD614" s="3933"/>
      <c r="EKE614" s="621"/>
      <c r="EKF614" s="3933"/>
      <c r="EKG614" s="3933"/>
      <c r="EKH614" s="3933"/>
      <c r="EKI614" s="621"/>
      <c r="EKJ614" s="3933"/>
      <c r="EKK614" s="3933"/>
      <c r="EKL614" s="3933"/>
      <c r="EKM614" s="621"/>
      <c r="EKN614" s="3933"/>
      <c r="EKO614" s="3933"/>
      <c r="EKP614" s="3933"/>
      <c r="EKQ614" s="621"/>
      <c r="EKR614" s="3933"/>
      <c r="EKS614" s="3933"/>
      <c r="EKT614" s="3933"/>
      <c r="EKU614" s="621"/>
      <c r="EKV614" s="3933"/>
      <c r="EKW614" s="3933"/>
      <c r="EKX614" s="3933"/>
      <c r="EKY614" s="621"/>
      <c r="EKZ614" s="3933"/>
      <c r="ELA614" s="3933"/>
      <c r="ELB614" s="3933"/>
      <c r="ELC614" s="621"/>
      <c r="ELD614" s="3933"/>
      <c r="ELE614" s="3933"/>
      <c r="ELF614" s="3933"/>
      <c r="ELG614" s="621"/>
      <c r="ELH614" s="3933"/>
      <c r="ELI614" s="3933"/>
      <c r="ELJ614" s="3933"/>
      <c r="ELK614" s="621"/>
      <c r="ELL614" s="3933"/>
      <c r="ELM614" s="3933"/>
      <c r="ELN614" s="3933"/>
      <c r="ELO614" s="621"/>
      <c r="ELP614" s="3933"/>
      <c r="ELQ614" s="3933"/>
      <c r="ELR614" s="3933"/>
      <c r="ELS614" s="621"/>
      <c r="ELT614" s="3933"/>
      <c r="ELU614" s="3933"/>
      <c r="ELV614" s="3933"/>
      <c r="ELW614" s="621"/>
      <c r="ELX614" s="3933"/>
      <c r="ELY614" s="3933"/>
      <c r="ELZ614" s="3933"/>
      <c r="EMA614" s="621"/>
      <c r="EMB614" s="3933"/>
      <c r="EMC614" s="3933"/>
      <c r="EMD614" s="3933"/>
      <c r="EME614" s="621"/>
      <c r="EMF614" s="3933"/>
      <c r="EMG614" s="3933"/>
      <c r="EMH614" s="3933"/>
      <c r="EMI614" s="621"/>
      <c r="EMJ614" s="3933"/>
      <c r="EMK614" s="3933"/>
      <c r="EML614" s="3933"/>
      <c r="EMM614" s="621"/>
      <c r="EMN614" s="3933"/>
      <c r="EMO614" s="3933"/>
      <c r="EMP614" s="3933"/>
      <c r="EMQ614" s="621"/>
      <c r="EMR614" s="3933"/>
      <c r="EMS614" s="3933"/>
      <c r="EMT614" s="3933"/>
      <c r="EMU614" s="621"/>
      <c r="EMV614" s="3933"/>
      <c r="EMW614" s="3933"/>
      <c r="EMX614" s="3933"/>
      <c r="EMY614" s="621"/>
      <c r="EMZ614" s="3933"/>
      <c r="ENA614" s="3933"/>
      <c r="ENB614" s="3933"/>
      <c r="ENC614" s="621"/>
      <c r="END614" s="3933"/>
      <c r="ENE614" s="3933"/>
      <c r="ENF614" s="3933"/>
      <c r="ENG614" s="621"/>
      <c r="ENH614" s="3933"/>
      <c r="ENI614" s="3933"/>
      <c r="ENJ614" s="3933"/>
      <c r="ENK614" s="621"/>
      <c r="ENL614" s="3933"/>
      <c r="ENM614" s="3933"/>
      <c r="ENN614" s="3933"/>
      <c r="ENO614" s="621"/>
      <c r="ENP614" s="3933"/>
      <c r="ENQ614" s="3933"/>
      <c r="ENR614" s="3933"/>
      <c r="ENS614" s="621"/>
      <c r="ENT614" s="3933"/>
      <c r="ENU614" s="3933"/>
      <c r="ENV614" s="3933"/>
      <c r="ENW614" s="621"/>
      <c r="ENX614" s="3933"/>
      <c r="ENY614" s="3933"/>
      <c r="ENZ614" s="3933"/>
      <c r="EOA614" s="621"/>
      <c r="EOB614" s="3933"/>
      <c r="EOC614" s="3933"/>
      <c r="EOD614" s="3933"/>
      <c r="EOE614" s="621"/>
      <c r="EOF614" s="3933"/>
      <c r="EOG614" s="3933"/>
      <c r="EOH614" s="3933"/>
      <c r="EOI614" s="621"/>
      <c r="EOJ614" s="3933"/>
      <c r="EOK614" s="3933"/>
      <c r="EOL614" s="3933"/>
      <c r="EOM614" s="621"/>
      <c r="EON614" s="3933"/>
      <c r="EOO614" s="3933"/>
      <c r="EOP614" s="3933"/>
      <c r="EOQ614" s="621"/>
      <c r="EOR614" s="3933"/>
      <c r="EOS614" s="3933"/>
      <c r="EOT614" s="3933"/>
      <c r="EOU614" s="621"/>
      <c r="EOV614" s="3933"/>
      <c r="EOW614" s="3933"/>
      <c r="EOX614" s="3933"/>
      <c r="EOY614" s="621"/>
      <c r="EOZ614" s="3933"/>
      <c r="EPA614" s="3933"/>
      <c r="EPB614" s="3933"/>
      <c r="EPC614" s="621"/>
      <c r="EPD614" s="3933"/>
      <c r="EPE614" s="3933"/>
      <c r="EPF614" s="3933"/>
      <c r="EPG614" s="621"/>
      <c r="EPH614" s="3933"/>
      <c r="EPI614" s="3933"/>
      <c r="EPJ614" s="3933"/>
      <c r="EPK614" s="621"/>
      <c r="EPL614" s="3933"/>
      <c r="EPM614" s="3933"/>
      <c r="EPN614" s="3933"/>
      <c r="EPO614" s="621"/>
      <c r="EPP614" s="3933"/>
      <c r="EPQ614" s="3933"/>
      <c r="EPR614" s="3933"/>
      <c r="EPS614" s="621"/>
      <c r="EPT614" s="3933"/>
      <c r="EPU614" s="3933"/>
      <c r="EPV614" s="3933"/>
      <c r="EPW614" s="621"/>
      <c r="EPX614" s="3933"/>
      <c r="EPY614" s="3933"/>
      <c r="EPZ614" s="3933"/>
      <c r="EQA614" s="621"/>
      <c r="EQB614" s="3933"/>
      <c r="EQC614" s="3933"/>
      <c r="EQD614" s="3933"/>
      <c r="EQE614" s="621"/>
      <c r="EQF614" s="3933"/>
      <c r="EQG614" s="3933"/>
      <c r="EQH614" s="3933"/>
      <c r="EQI614" s="621"/>
      <c r="EQJ614" s="3933"/>
      <c r="EQK614" s="3933"/>
      <c r="EQL614" s="3933"/>
      <c r="EQM614" s="621"/>
      <c r="EQN614" s="3933"/>
      <c r="EQO614" s="3933"/>
      <c r="EQP614" s="3933"/>
      <c r="EQQ614" s="621"/>
      <c r="EQR614" s="3933"/>
      <c r="EQS614" s="3933"/>
      <c r="EQT614" s="3933"/>
      <c r="EQU614" s="621"/>
      <c r="EQV614" s="3933"/>
      <c r="EQW614" s="3933"/>
      <c r="EQX614" s="3933"/>
      <c r="EQY614" s="621"/>
      <c r="EQZ614" s="3933"/>
      <c r="ERA614" s="3933"/>
      <c r="ERB614" s="3933"/>
      <c r="ERC614" s="621"/>
      <c r="ERD614" s="3933"/>
      <c r="ERE614" s="3933"/>
      <c r="ERF614" s="3933"/>
      <c r="ERG614" s="621"/>
      <c r="ERH614" s="3933"/>
      <c r="ERI614" s="3933"/>
      <c r="ERJ614" s="3933"/>
      <c r="ERK614" s="621"/>
      <c r="ERL614" s="3933"/>
      <c r="ERM614" s="3933"/>
      <c r="ERN614" s="3933"/>
      <c r="ERO614" s="621"/>
      <c r="ERP614" s="3933"/>
      <c r="ERQ614" s="3933"/>
      <c r="ERR614" s="3933"/>
      <c r="ERS614" s="621"/>
      <c r="ERT614" s="3933"/>
      <c r="ERU614" s="3933"/>
      <c r="ERV614" s="3933"/>
      <c r="ERW614" s="621"/>
      <c r="ERX614" s="3933"/>
      <c r="ERY614" s="3933"/>
      <c r="ERZ614" s="3933"/>
      <c r="ESA614" s="621"/>
      <c r="ESB614" s="3933"/>
      <c r="ESC614" s="3933"/>
      <c r="ESD614" s="3933"/>
      <c r="ESE614" s="621"/>
      <c r="ESF614" s="3933"/>
      <c r="ESG614" s="3933"/>
      <c r="ESH614" s="3933"/>
      <c r="ESI614" s="621"/>
      <c r="ESJ614" s="3933"/>
      <c r="ESK614" s="3933"/>
      <c r="ESL614" s="3933"/>
      <c r="ESM614" s="621"/>
      <c r="ESN614" s="3933"/>
      <c r="ESO614" s="3933"/>
      <c r="ESP614" s="3933"/>
      <c r="ESQ614" s="621"/>
      <c r="ESR614" s="3933"/>
      <c r="ESS614" s="3933"/>
      <c r="EST614" s="3933"/>
      <c r="ESU614" s="621"/>
      <c r="ESV614" s="3933"/>
      <c r="ESW614" s="3933"/>
      <c r="ESX614" s="3933"/>
      <c r="ESY614" s="621"/>
      <c r="ESZ614" s="3933"/>
      <c r="ETA614" s="3933"/>
      <c r="ETB614" s="3933"/>
      <c r="ETC614" s="621"/>
      <c r="ETD614" s="3933"/>
      <c r="ETE614" s="3933"/>
      <c r="ETF614" s="3933"/>
      <c r="ETG614" s="621"/>
      <c r="ETH614" s="3933"/>
      <c r="ETI614" s="3933"/>
      <c r="ETJ614" s="3933"/>
      <c r="ETK614" s="621"/>
      <c r="ETL614" s="3933"/>
      <c r="ETM614" s="3933"/>
      <c r="ETN614" s="3933"/>
      <c r="ETO614" s="621"/>
      <c r="ETP614" s="3933"/>
      <c r="ETQ614" s="3933"/>
      <c r="ETR614" s="3933"/>
      <c r="ETS614" s="621"/>
      <c r="ETT614" s="3933"/>
      <c r="ETU614" s="3933"/>
      <c r="ETV614" s="3933"/>
      <c r="ETW614" s="621"/>
      <c r="ETX614" s="3933"/>
      <c r="ETY614" s="3933"/>
      <c r="ETZ614" s="3933"/>
      <c r="EUA614" s="621"/>
      <c r="EUB614" s="3933"/>
      <c r="EUC614" s="3933"/>
      <c r="EUD614" s="3933"/>
      <c r="EUE614" s="621"/>
      <c r="EUF614" s="3933"/>
      <c r="EUG614" s="3933"/>
      <c r="EUH614" s="3933"/>
      <c r="EUI614" s="621"/>
      <c r="EUJ614" s="3933"/>
      <c r="EUK614" s="3933"/>
      <c r="EUL614" s="3933"/>
      <c r="EUM614" s="621"/>
      <c r="EUN614" s="3933"/>
      <c r="EUO614" s="3933"/>
      <c r="EUP614" s="3933"/>
      <c r="EUQ614" s="621"/>
      <c r="EUR614" s="3933"/>
      <c r="EUS614" s="3933"/>
      <c r="EUT614" s="3933"/>
      <c r="EUU614" s="621"/>
      <c r="EUV614" s="3933"/>
      <c r="EUW614" s="3933"/>
      <c r="EUX614" s="3933"/>
      <c r="EUY614" s="621"/>
      <c r="EUZ614" s="3933"/>
      <c r="EVA614" s="3933"/>
      <c r="EVB614" s="3933"/>
      <c r="EVC614" s="621"/>
      <c r="EVD614" s="3933"/>
      <c r="EVE614" s="3933"/>
      <c r="EVF614" s="3933"/>
      <c r="EVG614" s="621"/>
      <c r="EVH614" s="3933"/>
      <c r="EVI614" s="3933"/>
      <c r="EVJ614" s="3933"/>
      <c r="EVK614" s="621"/>
      <c r="EVL614" s="3933"/>
      <c r="EVM614" s="3933"/>
      <c r="EVN614" s="3933"/>
      <c r="EVO614" s="621"/>
      <c r="EVP614" s="3933"/>
      <c r="EVQ614" s="3933"/>
      <c r="EVR614" s="3933"/>
      <c r="EVS614" s="621"/>
      <c r="EVT614" s="3933"/>
      <c r="EVU614" s="3933"/>
      <c r="EVV614" s="3933"/>
      <c r="EVW614" s="621"/>
      <c r="EVX614" s="3933"/>
      <c r="EVY614" s="3933"/>
      <c r="EVZ614" s="3933"/>
      <c r="EWA614" s="621"/>
      <c r="EWB614" s="3933"/>
      <c r="EWC614" s="3933"/>
      <c r="EWD614" s="3933"/>
      <c r="EWE614" s="621"/>
      <c r="EWF614" s="3933"/>
      <c r="EWG614" s="3933"/>
      <c r="EWH614" s="3933"/>
      <c r="EWI614" s="621"/>
      <c r="EWJ614" s="3933"/>
      <c r="EWK614" s="3933"/>
      <c r="EWL614" s="3933"/>
      <c r="EWM614" s="621"/>
      <c r="EWN614" s="3933"/>
      <c r="EWO614" s="3933"/>
      <c r="EWP614" s="3933"/>
      <c r="EWQ614" s="621"/>
      <c r="EWR614" s="3933"/>
      <c r="EWS614" s="3933"/>
      <c r="EWT614" s="3933"/>
      <c r="EWU614" s="621"/>
      <c r="EWV614" s="3933"/>
      <c r="EWW614" s="3933"/>
      <c r="EWX614" s="3933"/>
      <c r="EWY614" s="621"/>
      <c r="EWZ614" s="3933"/>
      <c r="EXA614" s="3933"/>
      <c r="EXB614" s="3933"/>
      <c r="EXC614" s="621"/>
      <c r="EXD614" s="3933"/>
      <c r="EXE614" s="3933"/>
      <c r="EXF614" s="3933"/>
      <c r="EXG614" s="621"/>
      <c r="EXH614" s="3933"/>
      <c r="EXI614" s="3933"/>
      <c r="EXJ614" s="3933"/>
      <c r="EXK614" s="621"/>
      <c r="EXL614" s="3933"/>
      <c r="EXM614" s="3933"/>
      <c r="EXN614" s="3933"/>
      <c r="EXO614" s="621"/>
      <c r="EXP614" s="3933"/>
      <c r="EXQ614" s="3933"/>
      <c r="EXR614" s="3933"/>
      <c r="EXS614" s="621"/>
      <c r="EXT614" s="3933"/>
      <c r="EXU614" s="3933"/>
      <c r="EXV614" s="3933"/>
      <c r="EXW614" s="621"/>
      <c r="EXX614" s="3933"/>
      <c r="EXY614" s="3933"/>
      <c r="EXZ614" s="3933"/>
      <c r="EYA614" s="621"/>
      <c r="EYB614" s="3933"/>
      <c r="EYC614" s="3933"/>
      <c r="EYD614" s="3933"/>
      <c r="EYE614" s="621"/>
      <c r="EYF614" s="3933"/>
      <c r="EYG614" s="3933"/>
      <c r="EYH614" s="3933"/>
      <c r="EYI614" s="621"/>
      <c r="EYJ614" s="3933"/>
      <c r="EYK614" s="3933"/>
      <c r="EYL614" s="3933"/>
      <c r="EYM614" s="621"/>
      <c r="EYN614" s="3933"/>
      <c r="EYO614" s="3933"/>
      <c r="EYP614" s="3933"/>
      <c r="EYQ614" s="621"/>
      <c r="EYR614" s="3933"/>
      <c r="EYS614" s="3933"/>
      <c r="EYT614" s="3933"/>
      <c r="EYU614" s="621"/>
      <c r="EYV614" s="3933"/>
      <c r="EYW614" s="3933"/>
      <c r="EYX614" s="3933"/>
      <c r="EYY614" s="621"/>
      <c r="EYZ614" s="3933"/>
      <c r="EZA614" s="3933"/>
      <c r="EZB614" s="3933"/>
      <c r="EZC614" s="621"/>
      <c r="EZD614" s="3933"/>
      <c r="EZE614" s="3933"/>
      <c r="EZF614" s="3933"/>
      <c r="EZG614" s="621"/>
      <c r="EZH614" s="3933"/>
      <c r="EZI614" s="3933"/>
      <c r="EZJ614" s="3933"/>
      <c r="EZK614" s="621"/>
      <c r="EZL614" s="3933"/>
      <c r="EZM614" s="3933"/>
      <c r="EZN614" s="3933"/>
      <c r="EZO614" s="621"/>
      <c r="EZP614" s="3933"/>
      <c r="EZQ614" s="3933"/>
      <c r="EZR614" s="3933"/>
      <c r="EZS614" s="621"/>
      <c r="EZT614" s="3933"/>
      <c r="EZU614" s="3933"/>
      <c r="EZV614" s="3933"/>
      <c r="EZW614" s="621"/>
      <c r="EZX614" s="3933"/>
      <c r="EZY614" s="3933"/>
      <c r="EZZ614" s="3933"/>
      <c r="FAA614" s="621"/>
      <c r="FAB614" s="3933"/>
      <c r="FAC614" s="3933"/>
      <c r="FAD614" s="3933"/>
      <c r="FAE614" s="621"/>
      <c r="FAF614" s="3933"/>
      <c r="FAG614" s="3933"/>
      <c r="FAH614" s="3933"/>
      <c r="FAI614" s="621"/>
      <c r="FAJ614" s="3933"/>
      <c r="FAK614" s="3933"/>
      <c r="FAL614" s="3933"/>
      <c r="FAM614" s="621"/>
      <c r="FAN614" s="3933"/>
      <c r="FAO614" s="3933"/>
      <c r="FAP614" s="3933"/>
      <c r="FAQ614" s="621"/>
      <c r="FAR614" s="3933"/>
      <c r="FAS614" s="3933"/>
      <c r="FAT614" s="3933"/>
      <c r="FAU614" s="621"/>
      <c r="FAV614" s="3933"/>
      <c r="FAW614" s="3933"/>
      <c r="FAX614" s="3933"/>
      <c r="FAY614" s="621"/>
      <c r="FAZ614" s="3933"/>
      <c r="FBA614" s="3933"/>
      <c r="FBB614" s="3933"/>
      <c r="FBC614" s="621"/>
      <c r="FBD614" s="3933"/>
      <c r="FBE614" s="3933"/>
      <c r="FBF614" s="3933"/>
      <c r="FBG614" s="621"/>
      <c r="FBH614" s="3933"/>
      <c r="FBI614" s="3933"/>
      <c r="FBJ614" s="3933"/>
      <c r="FBK614" s="621"/>
      <c r="FBL614" s="3933"/>
      <c r="FBM614" s="3933"/>
      <c r="FBN614" s="3933"/>
      <c r="FBO614" s="621"/>
      <c r="FBP614" s="3933"/>
      <c r="FBQ614" s="3933"/>
      <c r="FBR614" s="3933"/>
      <c r="FBS614" s="621"/>
      <c r="FBT614" s="3933"/>
      <c r="FBU614" s="3933"/>
      <c r="FBV614" s="3933"/>
      <c r="FBW614" s="621"/>
      <c r="FBX614" s="3933"/>
      <c r="FBY614" s="3933"/>
      <c r="FBZ614" s="3933"/>
      <c r="FCA614" s="621"/>
      <c r="FCB614" s="3933"/>
      <c r="FCC614" s="3933"/>
      <c r="FCD614" s="3933"/>
      <c r="FCE614" s="621"/>
      <c r="FCF614" s="3933"/>
      <c r="FCG614" s="3933"/>
      <c r="FCH614" s="3933"/>
      <c r="FCI614" s="621"/>
      <c r="FCJ614" s="3933"/>
      <c r="FCK614" s="3933"/>
      <c r="FCL614" s="3933"/>
      <c r="FCM614" s="621"/>
      <c r="FCN614" s="3933"/>
      <c r="FCO614" s="3933"/>
      <c r="FCP614" s="3933"/>
      <c r="FCQ614" s="621"/>
      <c r="FCR614" s="3933"/>
      <c r="FCS614" s="3933"/>
      <c r="FCT614" s="3933"/>
      <c r="FCU614" s="621"/>
      <c r="FCV614" s="3933"/>
      <c r="FCW614" s="3933"/>
      <c r="FCX614" s="3933"/>
      <c r="FCY614" s="621"/>
      <c r="FCZ614" s="3933"/>
      <c r="FDA614" s="3933"/>
      <c r="FDB614" s="3933"/>
      <c r="FDC614" s="621"/>
      <c r="FDD614" s="3933"/>
      <c r="FDE614" s="3933"/>
      <c r="FDF614" s="3933"/>
      <c r="FDG614" s="621"/>
      <c r="FDH614" s="3933"/>
      <c r="FDI614" s="3933"/>
      <c r="FDJ614" s="3933"/>
      <c r="FDK614" s="621"/>
      <c r="FDL614" s="3933"/>
      <c r="FDM614" s="3933"/>
      <c r="FDN614" s="3933"/>
      <c r="FDO614" s="621"/>
      <c r="FDP614" s="3933"/>
      <c r="FDQ614" s="3933"/>
      <c r="FDR614" s="3933"/>
      <c r="FDS614" s="621"/>
      <c r="FDT614" s="3933"/>
      <c r="FDU614" s="3933"/>
      <c r="FDV614" s="3933"/>
      <c r="FDW614" s="621"/>
      <c r="FDX614" s="3933"/>
      <c r="FDY614" s="3933"/>
      <c r="FDZ614" s="3933"/>
      <c r="FEA614" s="621"/>
      <c r="FEB614" s="3933"/>
      <c r="FEC614" s="3933"/>
      <c r="FED614" s="3933"/>
      <c r="FEE614" s="621"/>
      <c r="FEF614" s="3933"/>
      <c r="FEG614" s="3933"/>
      <c r="FEH614" s="3933"/>
      <c r="FEI614" s="621"/>
      <c r="FEJ614" s="3933"/>
      <c r="FEK614" s="3933"/>
      <c r="FEL614" s="3933"/>
      <c r="FEM614" s="621"/>
      <c r="FEN614" s="3933"/>
      <c r="FEO614" s="3933"/>
      <c r="FEP614" s="3933"/>
      <c r="FEQ614" s="621"/>
      <c r="FER614" s="3933"/>
      <c r="FES614" s="3933"/>
      <c r="FET614" s="3933"/>
      <c r="FEU614" s="621"/>
      <c r="FEV614" s="3933"/>
      <c r="FEW614" s="3933"/>
      <c r="FEX614" s="3933"/>
      <c r="FEY614" s="621"/>
      <c r="FEZ614" s="3933"/>
      <c r="FFA614" s="3933"/>
      <c r="FFB614" s="3933"/>
      <c r="FFC614" s="621"/>
      <c r="FFD614" s="3933"/>
      <c r="FFE614" s="3933"/>
      <c r="FFF614" s="3933"/>
      <c r="FFG614" s="621"/>
      <c r="FFH614" s="3933"/>
      <c r="FFI614" s="3933"/>
      <c r="FFJ614" s="3933"/>
      <c r="FFK614" s="621"/>
      <c r="FFL614" s="3933"/>
      <c r="FFM614" s="3933"/>
      <c r="FFN614" s="3933"/>
      <c r="FFO614" s="621"/>
      <c r="FFP614" s="3933"/>
      <c r="FFQ614" s="3933"/>
      <c r="FFR614" s="3933"/>
      <c r="FFS614" s="621"/>
      <c r="FFT614" s="3933"/>
      <c r="FFU614" s="3933"/>
      <c r="FFV614" s="3933"/>
      <c r="FFW614" s="621"/>
      <c r="FFX614" s="3933"/>
      <c r="FFY614" s="3933"/>
      <c r="FFZ614" s="3933"/>
      <c r="FGA614" s="621"/>
      <c r="FGB614" s="3933"/>
      <c r="FGC614" s="3933"/>
      <c r="FGD614" s="3933"/>
      <c r="FGE614" s="621"/>
      <c r="FGF614" s="3933"/>
      <c r="FGG614" s="3933"/>
      <c r="FGH614" s="3933"/>
      <c r="FGI614" s="621"/>
      <c r="FGJ614" s="3933"/>
      <c r="FGK614" s="3933"/>
      <c r="FGL614" s="3933"/>
      <c r="FGM614" s="621"/>
      <c r="FGN614" s="3933"/>
      <c r="FGO614" s="3933"/>
      <c r="FGP614" s="3933"/>
      <c r="FGQ614" s="621"/>
      <c r="FGR614" s="3933"/>
      <c r="FGS614" s="3933"/>
      <c r="FGT614" s="3933"/>
      <c r="FGU614" s="621"/>
      <c r="FGV614" s="3933"/>
      <c r="FGW614" s="3933"/>
      <c r="FGX614" s="3933"/>
      <c r="FGY614" s="621"/>
      <c r="FGZ614" s="3933"/>
      <c r="FHA614" s="3933"/>
      <c r="FHB614" s="3933"/>
      <c r="FHC614" s="621"/>
      <c r="FHD614" s="3933"/>
      <c r="FHE614" s="3933"/>
      <c r="FHF614" s="3933"/>
      <c r="FHG614" s="621"/>
      <c r="FHH614" s="3933"/>
      <c r="FHI614" s="3933"/>
      <c r="FHJ614" s="3933"/>
      <c r="FHK614" s="621"/>
      <c r="FHL614" s="3933"/>
      <c r="FHM614" s="3933"/>
      <c r="FHN614" s="3933"/>
      <c r="FHO614" s="621"/>
      <c r="FHP614" s="3933"/>
      <c r="FHQ614" s="3933"/>
      <c r="FHR614" s="3933"/>
      <c r="FHS614" s="621"/>
      <c r="FHT614" s="3933"/>
      <c r="FHU614" s="3933"/>
      <c r="FHV614" s="3933"/>
      <c r="FHW614" s="621"/>
      <c r="FHX614" s="3933"/>
      <c r="FHY614" s="3933"/>
      <c r="FHZ614" s="3933"/>
      <c r="FIA614" s="621"/>
      <c r="FIB614" s="3933"/>
      <c r="FIC614" s="3933"/>
      <c r="FID614" s="3933"/>
      <c r="FIE614" s="621"/>
      <c r="FIF614" s="3933"/>
      <c r="FIG614" s="3933"/>
      <c r="FIH614" s="3933"/>
      <c r="FII614" s="621"/>
      <c r="FIJ614" s="3933"/>
      <c r="FIK614" s="3933"/>
      <c r="FIL614" s="3933"/>
      <c r="FIM614" s="621"/>
      <c r="FIN614" s="3933"/>
      <c r="FIO614" s="3933"/>
      <c r="FIP614" s="3933"/>
      <c r="FIQ614" s="621"/>
      <c r="FIR614" s="3933"/>
      <c r="FIS614" s="3933"/>
      <c r="FIT614" s="3933"/>
      <c r="FIU614" s="621"/>
      <c r="FIV614" s="3933"/>
      <c r="FIW614" s="3933"/>
      <c r="FIX614" s="3933"/>
      <c r="FIY614" s="621"/>
      <c r="FIZ614" s="3933"/>
      <c r="FJA614" s="3933"/>
      <c r="FJB614" s="3933"/>
      <c r="FJC614" s="621"/>
      <c r="FJD614" s="3933"/>
      <c r="FJE614" s="3933"/>
      <c r="FJF614" s="3933"/>
      <c r="FJG614" s="621"/>
      <c r="FJH614" s="3933"/>
      <c r="FJI614" s="3933"/>
      <c r="FJJ614" s="3933"/>
      <c r="FJK614" s="621"/>
      <c r="FJL614" s="3933"/>
      <c r="FJM614" s="3933"/>
      <c r="FJN614" s="3933"/>
      <c r="FJO614" s="621"/>
      <c r="FJP614" s="3933"/>
      <c r="FJQ614" s="3933"/>
      <c r="FJR614" s="3933"/>
      <c r="FJS614" s="621"/>
      <c r="FJT614" s="3933"/>
      <c r="FJU614" s="3933"/>
      <c r="FJV614" s="3933"/>
      <c r="FJW614" s="621"/>
      <c r="FJX614" s="3933"/>
      <c r="FJY614" s="3933"/>
      <c r="FJZ614" s="3933"/>
      <c r="FKA614" s="621"/>
      <c r="FKB614" s="3933"/>
      <c r="FKC614" s="3933"/>
      <c r="FKD614" s="3933"/>
      <c r="FKE614" s="621"/>
      <c r="FKF614" s="3933"/>
      <c r="FKG614" s="3933"/>
      <c r="FKH614" s="3933"/>
      <c r="FKI614" s="621"/>
      <c r="FKJ614" s="3933"/>
      <c r="FKK614" s="3933"/>
      <c r="FKL614" s="3933"/>
      <c r="FKM614" s="621"/>
      <c r="FKN614" s="3933"/>
      <c r="FKO614" s="3933"/>
      <c r="FKP614" s="3933"/>
      <c r="FKQ614" s="621"/>
      <c r="FKR614" s="3933"/>
      <c r="FKS614" s="3933"/>
      <c r="FKT614" s="3933"/>
      <c r="FKU614" s="621"/>
      <c r="FKV614" s="3933"/>
      <c r="FKW614" s="3933"/>
      <c r="FKX614" s="3933"/>
      <c r="FKY614" s="621"/>
      <c r="FKZ614" s="3933"/>
      <c r="FLA614" s="3933"/>
      <c r="FLB614" s="3933"/>
      <c r="FLC614" s="621"/>
      <c r="FLD614" s="3933"/>
      <c r="FLE614" s="3933"/>
      <c r="FLF614" s="3933"/>
      <c r="FLG614" s="621"/>
      <c r="FLH614" s="3933"/>
      <c r="FLI614" s="3933"/>
      <c r="FLJ614" s="3933"/>
      <c r="FLK614" s="621"/>
      <c r="FLL614" s="3933"/>
      <c r="FLM614" s="3933"/>
      <c r="FLN614" s="3933"/>
      <c r="FLO614" s="621"/>
      <c r="FLP614" s="3933"/>
      <c r="FLQ614" s="3933"/>
      <c r="FLR614" s="3933"/>
      <c r="FLS614" s="621"/>
      <c r="FLT614" s="3933"/>
      <c r="FLU614" s="3933"/>
      <c r="FLV614" s="3933"/>
      <c r="FLW614" s="621"/>
      <c r="FLX614" s="3933"/>
      <c r="FLY614" s="3933"/>
      <c r="FLZ614" s="3933"/>
      <c r="FMA614" s="621"/>
      <c r="FMB614" s="3933"/>
      <c r="FMC614" s="3933"/>
      <c r="FMD614" s="3933"/>
      <c r="FME614" s="621"/>
      <c r="FMF614" s="3933"/>
      <c r="FMG614" s="3933"/>
      <c r="FMH614" s="3933"/>
      <c r="FMI614" s="621"/>
      <c r="FMJ614" s="3933"/>
      <c r="FMK614" s="3933"/>
      <c r="FML614" s="3933"/>
      <c r="FMM614" s="621"/>
      <c r="FMN614" s="3933"/>
      <c r="FMO614" s="3933"/>
      <c r="FMP614" s="3933"/>
      <c r="FMQ614" s="621"/>
      <c r="FMR614" s="3933"/>
      <c r="FMS614" s="3933"/>
      <c r="FMT614" s="3933"/>
      <c r="FMU614" s="621"/>
      <c r="FMV614" s="3933"/>
      <c r="FMW614" s="3933"/>
      <c r="FMX614" s="3933"/>
      <c r="FMY614" s="621"/>
      <c r="FMZ614" s="3933"/>
      <c r="FNA614" s="3933"/>
      <c r="FNB614" s="3933"/>
      <c r="FNC614" s="621"/>
      <c r="FND614" s="3933"/>
      <c r="FNE614" s="3933"/>
      <c r="FNF614" s="3933"/>
      <c r="FNG614" s="621"/>
      <c r="FNH614" s="3933"/>
      <c r="FNI614" s="3933"/>
      <c r="FNJ614" s="3933"/>
      <c r="FNK614" s="621"/>
      <c r="FNL614" s="3933"/>
      <c r="FNM614" s="3933"/>
      <c r="FNN614" s="3933"/>
      <c r="FNO614" s="621"/>
      <c r="FNP614" s="3933"/>
      <c r="FNQ614" s="3933"/>
      <c r="FNR614" s="3933"/>
      <c r="FNS614" s="621"/>
      <c r="FNT614" s="3933"/>
      <c r="FNU614" s="3933"/>
      <c r="FNV614" s="3933"/>
      <c r="FNW614" s="621"/>
      <c r="FNX614" s="3933"/>
      <c r="FNY614" s="3933"/>
      <c r="FNZ614" s="3933"/>
      <c r="FOA614" s="621"/>
      <c r="FOB614" s="3933"/>
      <c r="FOC614" s="3933"/>
      <c r="FOD614" s="3933"/>
      <c r="FOE614" s="621"/>
      <c r="FOF614" s="3933"/>
      <c r="FOG614" s="3933"/>
      <c r="FOH614" s="3933"/>
      <c r="FOI614" s="621"/>
      <c r="FOJ614" s="3933"/>
      <c r="FOK614" s="3933"/>
      <c r="FOL614" s="3933"/>
      <c r="FOM614" s="621"/>
      <c r="FON614" s="3933"/>
      <c r="FOO614" s="3933"/>
      <c r="FOP614" s="3933"/>
      <c r="FOQ614" s="621"/>
      <c r="FOR614" s="3933"/>
      <c r="FOS614" s="3933"/>
      <c r="FOT614" s="3933"/>
      <c r="FOU614" s="621"/>
      <c r="FOV614" s="3933"/>
      <c r="FOW614" s="3933"/>
      <c r="FOX614" s="3933"/>
      <c r="FOY614" s="621"/>
      <c r="FOZ614" s="3933"/>
      <c r="FPA614" s="3933"/>
      <c r="FPB614" s="3933"/>
      <c r="FPC614" s="621"/>
      <c r="FPD614" s="3933"/>
      <c r="FPE614" s="3933"/>
      <c r="FPF614" s="3933"/>
      <c r="FPG614" s="621"/>
      <c r="FPH614" s="3933"/>
      <c r="FPI614" s="3933"/>
      <c r="FPJ614" s="3933"/>
      <c r="FPK614" s="621"/>
      <c r="FPL614" s="3933"/>
      <c r="FPM614" s="3933"/>
      <c r="FPN614" s="3933"/>
      <c r="FPO614" s="621"/>
      <c r="FPP614" s="3933"/>
      <c r="FPQ614" s="3933"/>
      <c r="FPR614" s="3933"/>
      <c r="FPS614" s="621"/>
      <c r="FPT614" s="3933"/>
      <c r="FPU614" s="3933"/>
      <c r="FPV614" s="3933"/>
      <c r="FPW614" s="621"/>
      <c r="FPX614" s="3933"/>
      <c r="FPY614" s="3933"/>
      <c r="FPZ614" s="3933"/>
      <c r="FQA614" s="621"/>
      <c r="FQB614" s="3933"/>
      <c r="FQC614" s="3933"/>
      <c r="FQD614" s="3933"/>
      <c r="FQE614" s="621"/>
      <c r="FQF614" s="3933"/>
      <c r="FQG614" s="3933"/>
      <c r="FQH614" s="3933"/>
      <c r="FQI614" s="621"/>
      <c r="FQJ614" s="3933"/>
      <c r="FQK614" s="3933"/>
      <c r="FQL614" s="3933"/>
      <c r="FQM614" s="621"/>
      <c r="FQN614" s="3933"/>
      <c r="FQO614" s="3933"/>
      <c r="FQP614" s="3933"/>
      <c r="FQQ614" s="621"/>
      <c r="FQR614" s="3933"/>
      <c r="FQS614" s="3933"/>
      <c r="FQT614" s="3933"/>
      <c r="FQU614" s="621"/>
      <c r="FQV614" s="3933"/>
      <c r="FQW614" s="3933"/>
      <c r="FQX614" s="3933"/>
      <c r="FQY614" s="621"/>
      <c r="FQZ614" s="3933"/>
      <c r="FRA614" s="3933"/>
      <c r="FRB614" s="3933"/>
      <c r="FRC614" s="621"/>
      <c r="FRD614" s="3933"/>
      <c r="FRE614" s="3933"/>
      <c r="FRF614" s="3933"/>
      <c r="FRG614" s="621"/>
      <c r="FRH614" s="3933"/>
      <c r="FRI614" s="3933"/>
      <c r="FRJ614" s="3933"/>
      <c r="FRK614" s="621"/>
      <c r="FRL614" s="3933"/>
      <c r="FRM614" s="3933"/>
      <c r="FRN614" s="3933"/>
      <c r="FRO614" s="621"/>
      <c r="FRP614" s="3933"/>
      <c r="FRQ614" s="3933"/>
      <c r="FRR614" s="3933"/>
      <c r="FRS614" s="621"/>
      <c r="FRT614" s="3933"/>
      <c r="FRU614" s="3933"/>
      <c r="FRV614" s="3933"/>
      <c r="FRW614" s="621"/>
      <c r="FRX614" s="3933"/>
      <c r="FRY614" s="3933"/>
      <c r="FRZ614" s="3933"/>
      <c r="FSA614" s="621"/>
      <c r="FSB614" s="3933"/>
      <c r="FSC614" s="3933"/>
      <c r="FSD614" s="3933"/>
      <c r="FSE614" s="621"/>
      <c r="FSF614" s="3933"/>
      <c r="FSG614" s="3933"/>
      <c r="FSH614" s="3933"/>
      <c r="FSI614" s="621"/>
      <c r="FSJ614" s="3933"/>
      <c r="FSK614" s="3933"/>
      <c r="FSL614" s="3933"/>
      <c r="FSM614" s="621"/>
      <c r="FSN614" s="3933"/>
      <c r="FSO614" s="3933"/>
      <c r="FSP614" s="3933"/>
      <c r="FSQ614" s="621"/>
      <c r="FSR614" s="3933"/>
      <c r="FSS614" s="3933"/>
      <c r="FST614" s="3933"/>
      <c r="FSU614" s="621"/>
      <c r="FSV614" s="3933"/>
      <c r="FSW614" s="3933"/>
      <c r="FSX614" s="3933"/>
      <c r="FSY614" s="621"/>
      <c r="FSZ614" s="3933"/>
      <c r="FTA614" s="3933"/>
      <c r="FTB614" s="3933"/>
      <c r="FTC614" s="621"/>
      <c r="FTD614" s="3933"/>
      <c r="FTE614" s="3933"/>
      <c r="FTF614" s="3933"/>
      <c r="FTG614" s="621"/>
      <c r="FTH614" s="3933"/>
      <c r="FTI614" s="3933"/>
      <c r="FTJ614" s="3933"/>
      <c r="FTK614" s="621"/>
      <c r="FTL614" s="3933"/>
      <c r="FTM614" s="3933"/>
      <c r="FTN614" s="3933"/>
      <c r="FTO614" s="621"/>
      <c r="FTP614" s="3933"/>
      <c r="FTQ614" s="3933"/>
      <c r="FTR614" s="3933"/>
      <c r="FTS614" s="621"/>
      <c r="FTT614" s="3933"/>
      <c r="FTU614" s="3933"/>
      <c r="FTV614" s="3933"/>
      <c r="FTW614" s="621"/>
      <c r="FTX614" s="3933"/>
      <c r="FTY614" s="3933"/>
      <c r="FTZ614" s="3933"/>
      <c r="FUA614" s="621"/>
      <c r="FUB614" s="3933"/>
      <c r="FUC614" s="3933"/>
      <c r="FUD614" s="3933"/>
      <c r="FUE614" s="621"/>
      <c r="FUF614" s="3933"/>
      <c r="FUG614" s="3933"/>
      <c r="FUH614" s="3933"/>
      <c r="FUI614" s="621"/>
      <c r="FUJ614" s="3933"/>
      <c r="FUK614" s="3933"/>
      <c r="FUL614" s="3933"/>
      <c r="FUM614" s="621"/>
      <c r="FUN614" s="3933"/>
      <c r="FUO614" s="3933"/>
      <c r="FUP614" s="3933"/>
      <c r="FUQ614" s="621"/>
      <c r="FUR614" s="3933"/>
      <c r="FUS614" s="3933"/>
      <c r="FUT614" s="3933"/>
      <c r="FUU614" s="621"/>
      <c r="FUV614" s="3933"/>
      <c r="FUW614" s="3933"/>
      <c r="FUX614" s="3933"/>
      <c r="FUY614" s="621"/>
      <c r="FUZ614" s="3933"/>
      <c r="FVA614" s="3933"/>
      <c r="FVB614" s="3933"/>
      <c r="FVC614" s="621"/>
      <c r="FVD614" s="3933"/>
      <c r="FVE614" s="3933"/>
      <c r="FVF614" s="3933"/>
      <c r="FVG614" s="621"/>
      <c r="FVH614" s="3933"/>
      <c r="FVI614" s="3933"/>
      <c r="FVJ614" s="3933"/>
      <c r="FVK614" s="621"/>
      <c r="FVL614" s="3933"/>
      <c r="FVM614" s="3933"/>
      <c r="FVN614" s="3933"/>
      <c r="FVO614" s="621"/>
      <c r="FVP614" s="3933"/>
      <c r="FVQ614" s="3933"/>
      <c r="FVR614" s="3933"/>
      <c r="FVS614" s="621"/>
      <c r="FVT614" s="3933"/>
      <c r="FVU614" s="3933"/>
      <c r="FVV614" s="3933"/>
      <c r="FVW614" s="621"/>
      <c r="FVX614" s="3933"/>
      <c r="FVY614" s="3933"/>
      <c r="FVZ614" s="3933"/>
      <c r="FWA614" s="621"/>
      <c r="FWB614" s="3933"/>
      <c r="FWC614" s="3933"/>
      <c r="FWD614" s="3933"/>
      <c r="FWE614" s="621"/>
      <c r="FWF614" s="3933"/>
      <c r="FWG614" s="3933"/>
      <c r="FWH614" s="3933"/>
      <c r="FWI614" s="621"/>
      <c r="FWJ614" s="3933"/>
      <c r="FWK614" s="3933"/>
      <c r="FWL614" s="3933"/>
      <c r="FWM614" s="621"/>
      <c r="FWN614" s="3933"/>
      <c r="FWO614" s="3933"/>
      <c r="FWP614" s="3933"/>
      <c r="FWQ614" s="621"/>
      <c r="FWR614" s="3933"/>
      <c r="FWS614" s="3933"/>
      <c r="FWT614" s="3933"/>
      <c r="FWU614" s="621"/>
      <c r="FWV614" s="3933"/>
      <c r="FWW614" s="3933"/>
      <c r="FWX614" s="3933"/>
      <c r="FWY614" s="621"/>
      <c r="FWZ614" s="3933"/>
      <c r="FXA614" s="3933"/>
      <c r="FXB614" s="3933"/>
      <c r="FXC614" s="621"/>
      <c r="FXD614" s="3933"/>
      <c r="FXE614" s="3933"/>
      <c r="FXF614" s="3933"/>
      <c r="FXG614" s="621"/>
      <c r="FXH614" s="3933"/>
      <c r="FXI614" s="3933"/>
      <c r="FXJ614" s="3933"/>
      <c r="FXK614" s="621"/>
      <c r="FXL614" s="3933"/>
      <c r="FXM614" s="3933"/>
      <c r="FXN614" s="3933"/>
      <c r="FXO614" s="621"/>
      <c r="FXP614" s="3933"/>
      <c r="FXQ614" s="3933"/>
      <c r="FXR614" s="3933"/>
      <c r="FXS614" s="621"/>
      <c r="FXT614" s="3933"/>
      <c r="FXU614" s="3933"/>
      <c r="FXV614" s="3933"/>
      <c r="FXW614" s="621"/>
      <c r="FXX614" s="3933"/>
      <c r="FXY614" s="3933"/>
      <c r="FXZ614" s="3933"/>
      <c r="FYA614" s="621"/>
      <c r="FYB614" s="3933"/>
      <c r="FYC614" s="3933"/>
      <c r="FYD614" s="3933"/>
      <c r="FYE614" s="621"/>
      <c r="FYF614" s="3933"/>
      <c r="FYG614" s="3933"/>
      <c r="FYH614" s="3933"/>
      <c r="FYI614" s="621"/>
      <c r="FYJ614" s="3933"/>
      <c r="FYK614" s="3933"/>
      <c r="FYL614" s="3933"/>
      <c r="FYM614" s="621"/>
      <c r="FYN614" s="3933"/>
      <c r="FYO614" s="3933"/>
      <c r="FYP614" s="3933"/>
      <c r="FYQ614" s="621"/>
      <c r="FYR614" s="3933"/>
      <c r="FYS614" s="3933"/>
      <c r="FYT614" s="3933"/>
      <c r="FYU614" s="621"/>
      <c r="FYV614" s="3933"/>
      <c r="FYW614" s="3933"/>
      <c r="FYX614" s="3933"/>
      <c r="FYY614" s="621"/>
      <c r="FYZ614" s="3933"/>
      <c r="FZA614" s="3933"/>
      <c r="FZB614" s="3933"/>
      <c r="FZC614" s="621"/>
      <c r="FZD614" s="3933"/>
      <c r="FZE614" s="3933"/>
      <c r="FZF614" s="3933"/>
      <c r="FZG614" s="621"/>
      <c r="FZH614" s="3933"/>
      <c r="FZI614" s="3933"/>
      <c r="FZJ614" s="3933"/>
      <c r="FZK614" s="621"/>
      <c r="FZL614" s="3933"/>
      <c r="FZM614" s="3933"/>
      <c r="FZN614" s="3933"/>
      <c r="FZO614" s="621"/>
      <c r="FZP614" s="3933"/>
      <c r="FZQ614" s="3933"/>
      <c r="FZR614" s="3933"/>
      <c r="FZS614" s="621"/>
      <c r="FZT614" s="3933"/>
      <c r="FZU614" s="3933"/>
      <c r="FZV614" s="3933"/>
      <c r="FZW614" s="621"/>
      <c r="FZX614" s="3933"/>
      <c r="FZY614" s="3933"/>
      <c r="FZZ614" s="3933"/>
      <c r="GAA614" s="621"/>
      <c r="GAB614" s="3933"/>
      <c r="GAC614" s="3933"/>
      <c r="GAD614" s="3933"/>
      <c r="GAE614" s="621"/>
      <c r="GAF614" s="3933"/>
      <c r="GAG614" s="3933"/>
      <c r="GAH614" s="3933"/>
      <c r="GAI614" s="621"/>
      <c r="GAJ614" s="3933"/>
      <c r="GAK614" s="3933"/>
      <c r="GAL614" s="3933"/>
      <c r="GAM614" s="621"/>
      <c r="GAN614" s="3933"/>
      <c r="GAO614" s="3933"/>
      <c r="GAP614" s="3933"/>
      <c r="GAQ614" s="621"/>
      <c r="GAR614" s="3933"/>
      <c r="GAS614" s="3933"/>
      <c r="GAT614" s="3933"/>
      <c r="GAU614" s="621"/>
      <c r="GAV614" s="3933"/>
      <c r="GAW614" s="3933"/>
      <c r="GAX614" s="3933"/>
      <c r="GAY614" s="621"/>
      <c r="GAZ614" s="3933"/>
      <c r="GBA614" s="3933"/>
      <c r="GBB614" s="3933"/>
      <c r="GBC614" s="621"/>
      <c r="GBD614" s="3933"/>
      <c r="GBE614" s="3933"/>
      <c r="GBF614" s="3933"/>
      <c r="GBG614" s="621"/>
      <c r="GBH614" s="3933"/>
      <c r="GBI614" s="3933"/>
      <c r="GBJ614" s="3933"/>
      <c r="GBK614" s="621"/>
      <c r="GBL614" s="3933"/>
      <c r="GBM614" s="3933"/>
      <c r="GBN614" s="3933"/>
      <c r="GBO614" s="621"/>
      <c r="GBP614" s="3933"/>
      <c r="GBQ614" s="3933"/>
      <c r="GBR614" s="3933"/>
      <c r="GBS614" s="621"/>
      <c r="GBT614" s="3933"/>
      <c r="GBU614" s="3933"/>
      <c r="GBV614" s="3933"/>
      <c r="GBW614" s="621"/>
      <c r="GBX614" s="3933"/>
      <c r="GBY614" s="3933"/>
      <c r="GBZ614" s="3933"/>
      <c r="GCA614" s="621"/>
      <c r="GCB614" s="3933"/>
      <c r="GCC614" s="3933"/>
      <c r="GCD614" s="3933"/>
      <c r="GCE614" s="621"/>
      <c r="GCF614" s="3933"/>
      <c r="GCG614" s="3933"/>
      <c r="GCH614" s="3933"/>
      <c r="GCI614" s="621"/>
      <c r="GCJ614" s="3933"/>
      <c r="GCK614" s="3933"/>
      <c r="GCL614" s="3933"/>
      <c r="GCM614" s="621"/>
      <c r="GCN614" s="3933"/>
      <c r="GCO614" s="3933"/>
      <c r="GCP614" s="3933"/>
      <c r="GCQ614" s="621"/>
      <c r="GCR614" s="3933"/>
      <c r="GCS614" s="3933"/>
      <c r="GCT614" s="3933"/>
      <c r="GCU614" s="621"/>
      <c r="GCV614" s="3933"/>
      <c r="GCW614" s="3933"/>
      <c r="GCX614" s="3933"/>
      <c r="GCY614" s="621"/>
      <c r="GCZ614" s="3933"/>
      <c r="GDA614" s="3933"/>
      <c r="GDB614" s="3933"/>
      <c r="GDC614" s="621"/>
      <c r="GDD614" s="3933"/>
      <c r="GDE614" s="3933"/>
      <c r="GDF614" s="3933"/>
      <c r="GDG614" s="621"/>
      <c r="GDH614" s="3933"/>
      <c r="GDI614" s="3933"/>
      <c r="GDJ614" s="3933"/>
      <c r="GDK614" s="621"/>
      <c r="GDL614" s="3933"/>
      <c r="GDM614" s="3933"/>
      <c r="GDN614" s="3933"/>
      <c r="GDO614" s="621"/>
      <c r="GDP614" s="3933"/>
      <c r="GDQ614" s="3933"/>
      <c r="GDR614" s="3933"/>
      <c r="GDS614" s="621"/>
      <c r="GDT614" s="3933"/>
      <c r="GDU614" s="3933"/>
      <c r="GDV614" s="3933"/>
      <c r="GDW614" s="621"/>
      <c r="GDX614" s="3933"/>
      <c r="GDY614" s="3933"/>
      <c r="GDZ614" s="3933"/>
      <c r="GEA614" s="621"/>
      <c r="GEB614" s="3933"/>
      <c r="GEC614" s="3933"/>
      <c r="GED614" s="3933"/>
      <c r="GEE614" s="621"/>
      <c r="GEF614" s="3933"/>
      <c r="GEG614" s="3933"/>
      <c r="GEH614" s="3933"/>
      <c r="GEI614" s="621"/>
      <c r="GEJ614" s="3933"/>
      <c r="GEK614" s="3933"/>
      <c r="GEL614" s="3933"/>
      <c r="GEM614" s="621"/>
      <c r="GEN614" s="3933"/>
      <c r="GEO614" s="3933"/>
      <c r="GEP614" s="3933"/>
      <c r="GEQ614" s="621"/>
      <c r="GER614" s="3933"/>
      <c r="GES614" s="3933"/>
      <c r="GET614" s="3933"/>
      <c r="GEU614" s="621"/>
      <c r="GEV614" s="3933"/>
      <c r="GEW614" s="3933"/>
      <c r="GEX614" s="3933"/>
      <c r="GEY614" s="621"/>
      <c r="GEZ614" s="3933"/>
      <c r="GFA614" s="3933"/>
      <c r="GFB614" s="3933"/>
      <c r="GFC614" s="621"/>
      <c r="GFD614" s="3933"/>
      <c r="GFE614" s="3933"/>
      <c r="GFF614" s="3933"/>
      <c r="GFG614" s="621"/>
      <c r="GFH614" s="3933"/>
      <c r="GFI614" s="3933"/>
      <c r="GFJ614" s="3933"/>
      <c r="GFK614" s="621"/>
      <c r="GFL614" s="3933"/>
      <c r="GFM614" s="3933"/>
      <c r="GFN614" s="3933"/>
      <c r="GFO614" s="621"/>
      <c r="GFP614" s="3933"/>
      <c r="GFQ614" s="3933"/>
      <c r="GFR614" s="3933"/>
      <c r="GFS614" s="621"/>
      <c r="GFT614" s="3933"/>
      <c r="GFU614" s="3933"/>
      <c r="GFV614" s="3933"/>
      <c r="GFW614" s="621"/>
      <c r="GFX614" s="3933"/>
      <c r="GFY614" s="3933"/>
      <c r="GFZ614" s="3933"/>
      <c r="GGA614" s="621"/>
      <c r="GGB614" s="3933"/>
      <c r="GGC614" s="3933"/>
      <c r="GGD614" s="3933"/>
      <c r="GGE614" s="621"/>
      <c r="GGF614" s="3933"/>
      <c r="GGG614" s="3933"/>
      <c r="GGH614" s="3933"/>
      <c r="GGI614" s="621"/>
      <c r="GGJ614" s="3933"/>
      <c r="GGK614" s="3933"/>
      <c r="GGL614" s="3933"/>
      <c r="GGM614" s="621"/>
      <c r="GGN614" s="3933"/>
      <c r="GGO614" s="3933"/>
      <c r="GGP614" s="3933"/>
      <c r="GGQ614" s="621"/>
      <c r="GGR614" s="3933"/>
      <c r="GGS614" s="3933"/>
      <c r="GGT614" s="3933"/>
      <c r="GGU614" s="621"/>
      <c r="GGV614" s="3933"/>
      <c r="GGW614" s="3933"/>
      <c r="GGX614" s="3933"/>
      <c r="GGY614" s="621"/>
      <c r="GGZ614" s="3933"/>
      <c r="GHA614" s="3933"/>
      <c r="GHB614" s="3933"/>
      <c r="GHC614" s="621"/>
      <c r="GHD614" s="3933"/>
      <c r="GHE614" s="3933"/>
      <c r="GHF614" s="3933"/>
      <c r="GHG614" s="621"/>
      <c r="GHH614" s="3933"/>
      <c r="GHI614" s="3933"/>
      <c r="GHJ614" s="3933"/>
      <c r="GHK614" s="621"/>
      <c r="GHL614" s="3933"/>
      <c r="GHM614" s="3933"/>
      <c r="GHN614" s="3933"/>
      <c r="GHO614" s="621"/>
      <c r="GHP614" s="3933"/>
      <c r="GHQ614" s="3933"/>
      <c r="GHR614" s="3933"/>
      <c r="GHS614" s="621"/>
      <c r="GHT614" s="3933"/>
      <c r="GHU614" s="3933"/>
      <c r="GHV614" s="3933"/>
      <c r="GHW614" s="621"/>
      <c r="GHX614" s="3933"/>
      <c r="GHY614" s="3933"/>
      <c r="GHZ614" s="3933"/>
      <c r="GIA614" s="621"/>
      <c r="GIB614" s="3933"/>
      <c r="GIC614" s="3933"/>
      <c r="GID614" s="3933"/>
      <c r="GIE614" s="621"/>
      <c r="GIF614" s="3933"/>
      <c r="GIG614" s="3933"/>
      <c r="GIH614" s="3933"/>
      <c r="GII614" s="621"/>
      <c r="GIJ614" s="3933"/>
      <c r="GIK614" s="3933"/>
      <c r="GIL614" s="3933"/>
      <c r="GIM614" s="621"/>
      <c r="GIN614" s="3933"/>
      <c r="GIO614" s="3933"/>
      <c r="GIP614" s="3933"/>
      <c r="GIQ614" s="621"/>
      <c r="GIR614" s="3933"/>
      <c r="GIS614" s="3933"/>
      <c r="GIT614" s="3933"/>
      <c r="GIU614" s="621"/>
      <c r="GIV614" s="3933"/>
      <c r="GIW614" s="3933"/>
      <c r="GIX614" s="3933"/>
      <c r="GIY614" s="621"/>
      <c r="GIZ614" s="3933"/>
      <c r="GJA614" s="3933"/>
      <c r="GJB614" s="3933"/>
      <c r="GJC614" s="621"/>
      <c r="GJD614" s="3933"/>
      <c r="GJE614" s="3933"/>
      <c r="GJF614" s="3933"/>
      <c r="GJG614" s="621"/>
      <c r="GJH614" s="3933"/>
      <c r="GJI614" s="3933"/>
      <c r="GJJ614" s="3933"/>
      <c r="GJK614" s="621"/>
      <c r="GJL614" s="3933"/>
      <c r="GJM614" s="3933"/>
      <c r="GJN614" s="3933"/>
      <c r="GJO614" s="621"/>
      <c r="GJP614" s="3933"/>
      <c r="GJQ614" s="3933"/>
      <c r="GJR614" s="3933"/>
      <c r="GJS614" s="621"/>
      <c r="GJT614" s="3933"/>
      <c r="GJU614" s="3933"/>
      <c r="GJV614" s="3933"/>
      <c r="GJW614" s="621"/>
      <c r="GJX614" s="3933"/>
      <c r="GJY614" s="3933"/>
      <c r="GJZ614" s="3933"/>
      <c r="GKA614" s="621"/>
      <c r="GKB614" s="3933"/>
      <c r="GKC614" s="3933"/>
      <c r="GKD614" s="3933"/>
      <c r="GKE614" s="621"/>
      <c r="GKF614" s="3933"/>
      <c r="GKG614" s="3933"/>
      <c r="GKH614" s="3933"/>
      <c r="GKI614" s="621"/>
      <c r="GKJ614" s="3933"/>
      <c r="GKK614" s="3933"/>
      <c r="GKL614" s="3933"/>
      <c r="GKM614" s="621"/>
      <c r="GKN614" s="3933"/>
      <c r="GKO614" s="3933"/>
      <c r="GKP614" s="3933"/>
      <c r="GKQ614" s="621"/>
      <c r="GKR614" s="3933"/>
      <c r="GKS614" s="3933"/>
      <c r="GKT614" s="3933"/>
      <c r="GKU614" s="621"/>
      <c r="GKV614" s="3933"/>
      <c r="GKW614" s="3933"/>
      <c r="GKX614" s="3933"/>
      <c r="GKY614" s="621"/>
      <c r="GKZ614" s="3933"/>
      <c r="GLA614" s="3933"/>
      <c r="GLB614" s="3933"/>
      <c r="GLC614" s="621"/>
      <c r="GLD614" s="3933"/>
      <c r="GLE614" s="3933"/>
      <c r="GLF614" s="3933"/>
      <c r="GLG614" s="621"/>
      <c r="GLH614" s="3933"/>
      <c r="GLI614" s="3933"/>
      <c r="GLJ614" s="3933"/>
      <c r="GLK614" s="621"/>
      <c r="GLL614" s="3933"/>
      <c r="GLM614" s="3933"/>
      <c r="GLN614" s="3933"/>
      <c r="GLO614" s="621"/>
      <c r="GLP614" s="3933"/>
      <c r="GLQ614" s="3933"/>
      <c r="GLR614" s="3933"/>
      <c r="GLS614" s="621"/>
      <c r="GLT614" s="3933"/>
      <c r="GLU614" s="3933"/>
      <c r="GLV614" s="3933"/>
      <c r="GLW614" s="621"/>
      <c r="GLX614" s="3933"/>
      <c r="GLY614" s="3933"/>
      <c r="GLZ614" s="3933"/>
      <c r="GMA614" s="621"/>
      <c r="GMB614" s="3933"/>
      <c r="GMC614" s="3933"/>
      <c r="GMD614" s="3933"/>
      <c r="GME614" s="621"/>
      <c r="GMF614" s="3933"/>
      <c r="GMG614" s="3933"/>
      <c r="GMH614" s="3933"/>
      <c r="GMI614" s="621"/>
      <c r="GMJ614" s="3933"/>
      <c r="GMK614" s="3933"/>
      <c r="GML614" s="3933"/>
      <c r="GMM614" s="621"/>
      <c r="GMN614" s="3933"/>
      <c r="GMO614" s="3933"/>
      <c r="GMP614" s="3933"/>
      <c r="GMQ614" s="621"/>
      <c r="GMR614" s="3933"/>
      <c r="GMS614" s="3933"/>
      <c r="GMT614" s="3933"/>
      <c r="GMU614" s="621"/>
      <c r="GMV614" s="3933"/>
      <c r="GMW614" s="3933"/>
      <c r="GMX614" s="3933"/>
      <c r="GMY614" s="621"/>
      <c r="GMZ614" s="3933"/>
      <c r="GNA614" s="3933"/>
      <c r="GNB614" s="3933"/>
      <c r="GNC614" s="621"/>
      <c r="GND614" s="3933"/>
      <c r="GNE614" s="3933"/>
      <c r="GNF614" s="3933"/>
      <c r="GNG614" s="621"/>
      <c r="GNH614" s="3933"/>
      <c r="GNI614" s="3933"/>
      <c r="GNJ614" s="3933"/>
      <c r="GNK614" s="621"/>
      <c r="GNL614" s="3933"/>
      <c r="GNM614" s="3933"/>
      <c r="GNN614" s="3933"/>
      <c r="GNO614" s="621"/>
      <c r="GNP614" s="3933"/>
      <c r="GNQ614" s="3933"/>
      <c r="GNR614" s="3933"/>
      <c r="GNS614" s="621"/>
      <c r="GNT614" s="3933"/>
      <c r="GNU614" s="3933"/>
      <c r="GNV614" s="3933"/>
      <c r="GNW614" s="621"/>
      <c r="GNX614" s="3933"/>
      <c r="GNY614" s="3933"/>
      <c r="GNZ614" s="3933"/>
      <c r="GOA614" s="621"/>
      <c r="GOB614" s="3933"/>
      <c r="GOC614" s="3933"/>
      <c r="GOD614" s="3933"/>
      <c r="GOE614" s="621"/>
      <c r="GOF614" s="3933"/>
      <c r="GOG614" s="3933"/>
      <c r="GOH614" s="3933"/>
      <c r="GOI614" s="621"/>
      <c r="GOJ614" s="3933"/>
      <c r="GOK614" s="3933"/>
      <c r="GOL614" s="3933"/>
      <c r="GOM614" s="621"/>
      <c r="GON614" s="3933"/>
      <c r="GOO614" s="3933"/>
      <c r="GOP614" s="3933"/>
      <c r="GOQ614" s="621"/>
      <c r="GOR614" s="3933"/>
      <c r="GOS614" s="3933"/>
      <c r="GOT614" s="3933"/>
      <c r="GOU614" s="621"/>
      <c r="GOV614" s="3933"/>
      <c r="GOW614" s="3933"/>
      <c r="GOX614" s="3933"/>
      <c r="GOY614" s="621"/>
      <c r="GOZ614" s="3933"/>
      <c r="GPA614" s="3933"/>
      <c r="GPB614" s="3933"/>
      <c r="GPC614" s="621"/>
      <c r="GPD614" s="3933"/>
      <c r="GPE614" s="3933"/>
      <c r="GPF614" s="3933"/>
      <c r="GPG614" s="621"/>
      <c r="GPH614" s="3933"/>
      <c r="GPI614" s="3933"/>
      <c r="GPJ614" s="3933"/>
      <c r="GPK614" s="621"/>
      <c r="GPL614" s="3933"/>
      <c r="GPM614" s="3933"/>
      <c r="GPN614" s="3933"/>
      <c r="GPO614" s="621"/>
      <c r="GPP614" s="3933"/>
      <c r="GPQ614" s="3933"/>
      <c r="GPR614" s="3933"/>
      <c r="GPS614" s="621"/>
      <c r="GPT614" s="3933"/>
      <c r="GPU614" s="3933"/>
      <c r="GPV614" s="3933"/>
      <c r="GPW614" s="621"/>
      <c r="GPX614" s="3933"/>
      <c r="GPY614" s="3933"/>
      <c r="GPZ614" s="3933"/>
      <c r="GQA614" s="621"/>
      <c r="GQB614" s="3933"/>
      <c r="GQC614" s="3933"/>
      <c r="GQD614" s="3933"/>
      <c r="GQE614" s="621"/>
      <c r="GQF614" s="3933"/>
      <c r="GQG614" s="3933"/>
      <c r="GQH614" s="3933"/>
      <c r="GQI614" s="621"/>
      <c r="GQJ614" s="3933"/>
      <c r="GQK614" s="3933"/>
      <c r="GQL614" s="3933"/>
      <c r="GQM614" s="621"/>
      <c r="GQN614" s="3933"/>
      <c r="GQO614" s="3933"/>
      <c r="GQP614" s="3933"/>
      <c r="GQQ614" s="621"/>
      <c r="GQR614" s="3933"/>
      <c r="GQS614" s="3933"/>
      <c r="GQT614" s="3933"/>
      <c r="GQU614" s="621"/>
      <c r="GQV614" s="3933"/>
      <c r="GQW614" s="3933"/>
      <c r="GQX614" s="3933"/>
      <c r="GQY614" s="621"/>
      <c r="GQZ614" s="3933"/>
      <c r="GRA614" s="3933"/>
      <c r="GRB614" s="3933"/>
      <c r="GRC614" s="621"/>
      <c r="GRD614" s="3933"/>
      <c r="GRE614" s="3933"/>
      <c r="GRF614" s="3933"/>
      <c r="GRG614" s="621"/>
      <c r="GRH614" s="3933"/>
      <c r="GRI614" s="3933"/>
      <c r="GRJ614" s="3933"/>
      <c r="GRK614" s="621"/>
      <c r="GRL614" s="3933"/>
      <c r="GRM614" s="3933"/>
      <c r="GRN614" s="3933"/>
      <c r="GRO614" s="621"/>
      <c r="GRP614" s="3933"/>
      <c r="GRQ614" s="3933"/>
      <c r="GRR614" s="3933"/>
      <c r="GRS614" s="621"/>
      <c r="GRT614" s="3933"/>
      <c r="GRU614" s="3933"/>
      <c r="GRV614" s="3933"/>
      <c r="GRW614" s="621"/>
      <c r="GRX614" s="3933"/>
      <c r="GRY614" s="3933"/>
      <c r="GRZ614" s="3933"/>
      <c r="GSA614" s="621"/>
      <c r="GSB614" s="3933"/>
      <c r="GSC614" s="3933"/>
      <c r="GSD614" s="3933"/>
      <c r="GSE614" s="621"/>
      <c r="GSF614" s="3933"/>
      <c r="GSG614" s="3933"/>
      <c r="GSH614" s="3933"/>
      <c r="GSI614" s="621"/>
      <c r="GSJ614" s="3933"/>
      <c r="GSK614" s="3933"/>
      <c r="GSL614" s="3933"/>
      <c r="GSM614" s="621"/>
      <c r="GSN614" s="3933"/>
      <c r="GSO614" s="3933"/>
      <c r="GSP614" s="3933"/>
      <c r="GSQ614" s="621"/>
      <c r="GSR614" s="3933"/>
      <c r="GSS614" s="3933"/>
      <c r="GST614" s="3933"/>
      <c r="GSU614" s="621"/>
      <c r="GSV614" s="3933"/>
      <c r="GSW614" s="3933"/>
      <c r="GSX614" s="3933"/>
      <c r="GSY614" s="621"/>
      <c r="GSZ614" s="3933"/>
      <c r="GTA614" s="3933"/>
      <c r="GTB614" s="3933"/>
      <c r="GTC614" s="621"/>
      <c r="GTD614" s="3933"/>
      <c r="GTE614" s="3933"/>
      <c r="GTF614" s="3933"/>
      <c r="GTG614" s="621"/>
      <c r="GTH614" s="3933"/>
      <c r="GTI614" s="3933"/>
      <c r="GTJ614" s="3933"/>
      <c r="GTK614" s="621"/>
      <c r="GTL614" s="3933"/>
      <c r="GTM614" s="3933"/>
      <c r="GTN614" s="3933"/>
      <c r="GTO614" s="621"/>
      <c r="GTP614" s="3933"/>
      <c r="GTQ614" s="3933"/>
      <c r="GTR614" s="3933"/>
      <c r="GTS614" s="621"/>
      <c r="GTT614" s="3933"/>
      <c r="GTU614" s="3933"/>
      <c r="GTV614" s="3933"/>
      <c r="GTW614" s="621"/>
      <c r="GTX614" s="3933"/>
      <c r="GTY614" s="3933"/>
      <c r="GTZ614" s="3933"/>
      <c r="GUA614" s="621"/>
      <c r="GUB614" s="3933"/>
      <c r="GUC614" s="3933"/>
      <c r="GUD614" s="3933"/>
      <c r="GUE614" s="621"/>
      <c r="GUF614" s="3933"/>
      <c r="GUG614" s="3933"/>
      <c r="GUH614" s="3933"/>
      <c r="GUI614" s="621"/>
      <c r="GUJ614" s="3933"/>
      <c r="GUK614" s="3933"/>
      <c r="GUL614" s="3933"/>
      <c r="GUM614" s="621"/>
      <c r="GUN614" s="3933"/>
      <c r="GUO614" s="3933"/>
      <c r="GUP614" s="3933"/>
      <c r="GUQ614" s="621"/>
      <c r="GUR614" s="3933"/>
      <c r="GUS614" s="3933"/>
      <c r="GUT614" s="3933"/>
      <c r="GUU614" s="621"/>
      <c r="GUV614" s="3933"/>
      <c r="GUW614" s="3933"/>
      <c r="GUX614" s="3933"/>
      <c r="GUY614" s="621"/>
      <c r="GUZ614" s="3933"/>
      <c r="GVA614" s="3933"/>
      <c r="GVB614" s="3933"/>
      <c r="GVC614" s="621"/>
      <c r="GVD614" s="3933"/>
      <c r="GVE614" s="3933"/>
      <c r="GVF614" s="3933"/>
      <c r="GVG614" s="621"/>
      <c r="GVH614" s="3933"/>
      <c r="GVI614" s="3933"/>
      <c r="GVJ614" s="3933"/>
      <c r="GVK614" s="621"/>
      <c r="GVL614" s="3933"/>
      <c r="GVM614" s="3933"/>
      <c r="GVN614" s="3933"/>
      <c r="GVO614" s="621"/>
      <c r="GVP614" s="3933"/>
      <c r="GVQ614" s="3933"/>
      <c r="GVR614" s="3933"/>
      <c r="GVS614" s="621"/>
      <c r="GVT614" s="3933"/>
      <c r="GVU614" s="3933"/>
      <c r="GVV614" s="3933"/>
      <c r="GVW614" s="621"/>
      <c r="GVX614" s="3933"/>
      <c r="GVY614" s="3933"/>
      <c r="GVZ614" s="3933"/>
      <c r="GWA614" s="621"/>
      <c r="GWB614" s="3933"/>
      <c r="GWC614" s="3933"/>
      <c r="GWD614" s="3933"/>
      <c r="GWE614" s="621"/>
      <c r="GWF614" s="3933"/>
      <c r="GWG614" s="3933"/>
      <c r="GWH614" s="3933"/>
      <c r="GWI614" s="621"/>
      <c r="GWJ614" s="3933"/>
      <c r="GWK614" s="3933"/>
      <c r="GWL614" s="3933"/>
      <c r="GWM614" s="621"/>
      <c r="GWN614" s="3933"/>
      <c r="GWO614" s="3933"/>
      <c r="GWP614" s="3933"/>
      <c r="GWQ614" s="621"/>
      <c r="GWR614" s="3933"/>
      <c r="GWS614" s="3933"/>
      <c r="GWT614" s="3933"/>
      <c r="GWU614" s="621"/>
      <c r="GWV614" s="3933"/>
      <c r="GWW614" s="3933"/>
      <c r="GWX614" s="3933"/>
      <c r="GWY614" s="621"/>
      <c r="GWZ614" s="3933"/>
      <c r="GXA614" s="3933"/>
      <c r="GXB614" s="3933"/>
      <c r="GXC614" s="621"/>
      <c r="GXD614" s="3933"/>
      <c r="GXE614" s="3933"/>
      <c r="GXF614" s="3933"/>
      <c r="GXG614" s="621"/>
      <c r="GXH614" s="3933"/>
      <c r="GXI614" s="3933"/>
      <c r="GXJ614" s="3933"/>
      <c r="GXK614" s="621"/>
      <c r="GXL614" s="3933"/>
      <c r="GXM614" s="3933"/>
      <c r="GXN614" s="3933"/>
      <c r="GXO614" s="621"/>
      <c r="GXP614" s="3933"/>
      <c r="GXQ614" s="3933"/>
      <c r="GXR614" s="3933"/>
      <c r="GXS614" s="621"/>
      <c r="GXT614" s="3933"/>
      <c r="GXU614" s="3933"/>
      <c r="GXV614" s="3933"/>
      <c r="GXW614" s="621"/>
      <c r="GXX614" s="3933"/>
      <c r="GXY614" s="3933"/>
      <c r="GXZ614" s="3933"/>
      <c r="GYA614" s="621"/>
      <c r="GYB614" s="3933"/>
      <c r="GYC614" s="3933"/>
      <c r="GYD614" s="3933"/>
      <c r="GYE614" s="621"/>
      <c r="GYF614" s="3933"/>
      <c r="GYG614" s="3933"/>
      <c r="GYH614" s="3933"/>
      <c r="GYI614" s="621"/>
      <c r="GYJ614" s="3933"/>
      <c r="GYK614" s="3933"/>
      <c r="GYL614" s="3933"/>
      <c r="GYM614" s="621"/>
      <c r="GYN614" s="3933"/>
      <c r="GYO614" s="3933"/>
      <c r="GYP614" s="3933"/>
      <c r="GYQ614" s="621"/>
      <c r="GYR614" s="3933"/>
      <c r="GYS614" s="3933"/>
      <c r="GYT614" s="3933"/>
      <c r="GYU614" s="621"/>
      <c r="GYV614" s="3933"/>
      <c r="GYW614" s="3933"/>
      <c r="GYX614" s="3933"/>
      <c r="GYY614" s="621"/>
      <c r="GYZ614" s="3933"/>
      <c r="GZA614" s="3933"/>
      <c r="GZB614" s="3933"/>
      <c r="GZC614" s="621"/>
      <c r="GZD614" s="3933"/>
      <c r="GZE614" s="3933"/>
      <c r="GZF614" s="3933"/>
      <c r="GZG614" s="621"/>
      <c r="GZH614" s="3933"/>
      <c r="GZI614" s="3933"/>
      <c r="GZJ614" s="3933"/>
      <c r="GZK614" s="621"/>
      <c r="GZL614" s="3933"/>
      <c r="GZM614" s="3933"/>
      <c r="GZN614" s="3933"/>
      <c r="GZO614" s="621"/>
      <c r="GZP614" s="3933"/>
      <c r="GZQ614" s="3933"/>
      <c r="GZR614" s="3933"/>
      <c r="GZS614" s="621"/>
      <c r="GZT614" s="3933"/>
      <c r="GZU614" s="3933"/>
      <c r="GZV614" s="3933"/>
      <c r="GZW614" s="621"/>
      <c r="GZX614" s="3933"/>
      <c r="GZY614" s="3933"/>
      <c r="GZZ614" s="3933"/>
      <c r="HAA614" s="621"/>
      <c r="HAB614" s="3933"/>
      <c r="HAC614" s="3933"/>
      <c r="HAD614" s="3933"/>
      <c r="HAE614" s="621"/>
      <c r="HAF614" s="3933"/>
      <c r="HAG614" s="3933"/>
      <c r="HAH614" s="3933"/>
      <c r="HAI614" s="621"/>
      <c r="HAJ614" s="3933"/>
      <c r="HAK614" s="3933"/>
      <c r="HAL614" s="3933"/>
      <c r="HAM614" s="621"/>
      <c r="HAN614" s="3933"/>
      <c r="HAO614" s="3933"/>
      <c r="HAP614" s="3933"/>
      <c r="HAQ614" s="621"/>
      <c r="HAR614" s="3933"/>
      <c r="HAS614" s="3933"/>
      <c r="HAT614" s="3933"/>
      <c r="HAU614" s="621"/>
      <c r="HAV614" s="3933"/>
      <c r="HAW614" s="3933"/>
      <c r="HAX614" s="3933"/>
      <c r="HAY614" s="621"/>
      <c r="HAZ614" s="3933"/>
      <c r="HBA614" s="3933"/>
      <c r="HBB614" s="3933"/>
      <c r="HBC614" s="621"/>
      <c r="HBD614" s="3933"/>
      <c r="HBE614" s="3933"/>
      <c r="HBF614" s="3933"/>
      <c r="HBG614" s="621"/>
      <c r="HBH614" s="3933"/>
      <c r="HBI614" s="3933"/>
      <c r="HBJ614" s="3933"/>
      <c r="HBK614" s="621"/>
      <c r="HBL614" s="3933"/>
      <c r="HBM614" s="3933"/>
      <c r="HBN614" s="3933"/>
      <c r="HBO614" s="621"/>
      <c r="HBP614" s="3933"/>
      <c r="HBQ614" s="3933"/>
      <c r="HBR614" s="3933"/>
      <c r="HBS614" s="621"/>
      <c r="HBT614" s="3933"/>
      <c r="HBU614" s="3933"/>
      <c r="HBV614" s="3933"/>
      <c r="HBW614" s="621"/>
      <c r="HBX614" s="3933"/>
      <c r="HBY614" s="3933"/>
      <c r="HBZ614" s="3933"/>
      <c r="HCA614" s="621"/>
      <c r="HCB614" s="3933"/>
      <c r="HCC614" s="3933"/>
      <c r="HCD614" s="3933"/>
      <c r="HCE614" s="621"/>
      <c r="HCF614" s="3933"/>
      <c r="HCG614" s="3933"/>
      <c r="HCH614" s="3933"/>
      <c r="HCI614" s="621"/>
      <c r="HCJ614" s="3933"/>
      <c r="HCK614" s="3933"/>
      <c r="HCL614" s="3933"/>
      <c r="HCM614" s="621"/>
      <c r="HCN614" s="3933"/>
      <c r="HCO614" s="3933"/>
      <c r="HCP614" s="3933"/>
      <c r="HCQ614" s="621"/>
      <c r="HCR614" s="3933"/>
      <c r="HCS614" s="3933"/>
      <c r="HCT614" s="3933"/>
      <c r="HCU614" s="621"/>
      <c r="HCV614" s="3933"/>
      <c r="HCW614" s="3933"/>
      <c r="HCX614" s="3933"/>
      <c r="HCY614" s="621"/>
      <c r="HCZ614" s="3933"/>
      <c r="HDA614" s="3933"/>
      <c r="HDB614" s="3933"/>
      <c r="HDC614" s="621"/>
      <c r="HDD614" s="3933"/>
      <c r="HDE614" s="3933"/>
      <c r="HDF614" s="3933"/>
      <c r="HDG614" s="621"/>
      <c r="HDH614" s="3933"/>
      <c r="HDI614" s="3933"/>
      <c r="HDJ614" s="3933"/>
      <c r="HDK614" s="621"/>
      <c r="HDL614" s="3933"/>
      <c r="HDM614" s="3933"/>
      <c r="HDN614" s="3933"/>
      <c r="HDO614" s="621"/>
      <c r="HDP614" s="3933"/>
      <c r="HDQ614" s="3933"/>
      <c r="HDR614" s="3933"/>
      <c r="HDS614" s="621"/>
      <c r="HDT614" s="3933"/>
      <c r="HDU614" s="3933"/>
      <c r="HDV614" s="3933"/>
      <c r="HDW614" s="621"/>
      <c r="HDX614" s="3933"/>
      <c r="HDY614" s="3933"/>
      <c r="HDZ614" s="3933"/>
      <c r="HEA614" s="621"/>
      <c r="HEB614" s="3933"/>
      <c r="HEC614" s="3933"/>
      <c r="HED614" s="3933"/>
      <c r="HEE614" s="621"/>
      <c r="HEF614" s="3933"/>
      <c r="HEG614" s="3933"/>
      <c r="HEH614" s="3933"/>
      <c r="HEI614" s="621"/>
      <c r="HEJ614" s="3933"/>
      <c r="HEK614" s="3933"/>
      <c r="HEL614" s="3933"/>
      <c r="HEM614" s="621"/>
      <c r="HEN614" s="3933"/>
      <c r="HEO614" s="3933"/>
      <c r="HEP614" s="3933"/>
      <c r="HEQ614" s="621"/>
      <c r="HER614" s="3933"/>
      <c r="HES614" s="3933"/>
      <c r="HET614" s="3933"/>
      <c r="HEU614" s="621"/>
      <c r="HEV614" s="3933"/>
      <c r="HEW614" s="3933"/>
      <c r="HEX614" s="3933"/>
      <c r="HEY614" s="621"/>
      <c r="HEZ614" s="3933"/>
      <c r="HFA614" s="3933"/>
      <c r="HFB614" s="3933"/>
      <c r="HFC614" s="621"/>
      <c r="HFD614" s="3933"/>
      <c r="HFE614" s="3933"/>
      <c r="HFF614" s="3933"/>
      <c r="HFG614" s="621"/>
      <c r="HFH614" s="3933"/>
      <c r="HFI614" s="3933"/>
      <c r="HFJ614" s="3933"/>
      <c r="HFK614" s="621"/>
      <c r="HFL614" s="3933"/>
      <c r="HFM614" s="3933"/>
      <c r="HFN614" s="3933"/>
      <c r="HFO614" s="621"/>
      <c r="HFP614" s="3933"/>
      <c r="HFQ614" s="3933"/>
      <c r="HFR614" s="3933"/>
      <c r="HFS614" s="621"/>
      <c r="HFT614" s="3933"/>
      <c r="HFU614" s="3933"/>
      <c r="HFV614" s="3933"/>
      <c r="HFW614" s="621"/>
      <c r="HFX614" s="3933"/>
      <c r="HFY614" s="3933"/>
      <c r="HFZ614" s="3933"/>
      <c r="HGA614" s="621"/>
      <c r="HGB614" s="3933"/>
      <c r="HGC614" s="3933"/>
      <c r="HGD614" s="3933"/>
      <c r="HGE614" s="621"/>
      <c r="HGF614" s="3933"/>
      <c r="HGG614" s="3933"/>
      <c r="HGH614" s="3933"/>
      <c r="HGI614" s="621"/>
      <c r="HGJ614" s="3933"/>
      <c r="HGK614" s="3933"/>
      <c r="HGL614" s="3933"/>
      <c r="HGM614" s="621"/>
      <c r="HGN614" s="3933"/>
      <c r="HGO614" s="3933"/>
      <c r="HGP614" s="3933"/>
      <c r="HGQ614" s="621"/>
      <c r="HGR614" s="3933"/>
      <c r="HGS614" s="3933"/>
      <c r="HGT614" s="3933"/>
      <c r="HGU614" s="621"/>
      <c r="HGV614" s="3933"/>
      <c r="HGW614" s="3933"/>
      <c r="HGX614" s="3933"/>
      <c r="HGY614" s="621"/>
      <c r="HGZ614" s="3933"/>
      <c r="HHA614" s="3933"/>
      <c r="HHB614" s="3933"/>
      <c r="HHC614" s="621"/>
      <c r="HHD614" s="3933"/>
      <c r="HHE614" s="3933"/>
      <c r="HHF614" s="3933"/>
      <c r="HHG614" s="621"/>
      <c r="HHH614" s="3933"/>
      <c r="HHI614" s="3933"/>
      <c r="HHJ614" s="3933"/>
      <c r="HHK614" s="621"/>
      <c r="HHL614" s="3933"/>
      <c r="HHM614" s="3933"/>
      <c r="HHN614" s="3933"/>
      <c r="HHO614" s="621"/>
      <c r="HHP614" s="3933"/>
      <c r="HHQ614" s="3933"/>
      <c r="HHR614" s="3933"/>
      <c r="HHS614" s="621"/>
      <c r="HHT614" s="3933"/>
      <c r="HHU614" s="3933"/>
      <c r="HHV614" s="3933"/>
      <c r="HHW614" s="621"/>
      <c r="HHX614" s="3933"/>
      <c r="HHY614" s="3933"/>
      <c r="HHZ614" s="3933"/>
      <c r="HIA614" s="621"/>
      <c r="HIB614" s="3933"/>
      <c r="HIC614" s="3933"/>
      <c r="HID614" s="3933"/>
      <c r="HIE614" s="621"/>
      <c r="HIF614" s="3933"/>
      <c r="HIG614" s="3933"/>
      <c r="HIH614" s="3933"/>
      <c r="HII614" s="621"/>
      <c r="HIJ614" s="3933"/>
      <c r="HIK614" s="3933"/>
      <c r="HIL614" s="3933"/>
      <c r="HIM614" s="621"/>
      <c r="HIN614" s="3933"/>
      <c r="HIO614" s="3933"/>
      <c r="HIP614" s="3933"/>
      <c r="HIQ614" s="621"/>
      <c r="HIR614" s="3933"/>
      <c r="HIS614" s="3933"/>
      <c r="HIT614" s="3933"/>
      <c r="HIU614" s="621"/>
      <c r="HIV614" s="3933"/>
      <c r="HIW614" s="3933"/>
      <c r="HIX614" s="3933"/>
      <c r="HIY614" s="621"/>
      <c r="HIZ614" s="3933"/>
      <c r="HJA614" s="3933"/>
      <c r="HJB614" s="3933"/>
      <c r="HJC614" s="621"/>
      <c r="HJD614" s="3933"/>
      <c r="HJE614" s="3933"/>
      <c r="HJF614" s="3933"/>
      <c r="HJG614" s="621"/>
      <c r="HJH614" s="3933"/>
      <c r="HJI614" s="3933"/>
      <c r="HJJ614" s="3933"/>
      <c r="HJK614" s="621"/>
      <c r="HJL614" s="3933"/>
      <c r="HJM614" s="3933"/>
      <c r="HJN614" s="3933"/>
      <c r="HJO614" s="621"/>
      <c r="HJP614" s="3933"/>
      <c r="HJQ614" s="3933"/>
      <c r="HJR614" s="3933"/>
      <c r="HJS614" s="621"/>
      <c r="HJT614" s="3933"/>
      <c r="HJU614" s="3933"/>
      <c r="HJV614" s="3933"/>
      <c r="HJW614" s="621"/>
      <c r="HJX614" s="3933"/>
      <c r="HJY614" s="3933"/>
      <c r="HJZ614" s="3933"/>
      <c r="HKA614" s="621"/>
      <c r="HKB614" s="3933"/>
      <c r="HKC614" s="3933"/>
      <c r="HKD614" s="3933"/>
      <c r="HKE614" s="621"/>
      <c r="HKF614" s="3933"/>
      <c r="HKG614" s="3933"/>
      <c r="HKH614" s="3933"/>
      <c r="HKI614" s="621"/>
      <c r="HKJ614" s="3933"/>
      <c r="HKK614" s="3933"/>
      <c r="HKL614" s="3933"/>
      <c r="HKM614" s="621"/>
      <c r="HKN614" s="3933"/>
      <c r="HKO614" s="3933"/>
      <c r="HKP614" s="3933"/>
      <c r="HKQ614" s="621"/>
      <c r="HKR614" s="3933"/>
      <c r="HKS614" s="3933"/>
      <c r="HKT614" s="3933"/>
      <c r="HKU614" s="621"/>
      <c r="HKV614" s="3933"/>
      <c r="HKW614" s="3933"/>
      <c r="HKX614" s="3933"/>
      <c r="HKY614" s="621"/>
      <c r="HKZ614" s="3933"/>
      <c r="HLA614" s="3933"/>
      <c r="HLB614" s="3933"/>
      <c r="HLC614" s="621"/>
      <c r="HLD614" s="3933"/>
      <c r="HLE614" s="3933"/>
      <c r="HLF614" s="3933"/>
      <c r="HLG614" s="621"/>
      <c r="HLH614" s="3933"/>
      <c r="HLI614" s="3933"/>
      <c r="HLJ614" s="3933"/>
      <c r="HLK614" s="621"/>
      <c r="HLL614" s="3933"/>
      <c r="HLM614" s="3933"/>
      <c r="HLN614" s="3933"/>
      <c r="HLO614" s="621"/>
      <c r="HLP614" s="3933"/>
      <c r="HLQ614" s="3933"/>
      <c r="HLR614" s="3933"/>
      <c r="HLS614" s="621"/>
      <c r="HLT614" s="3933"/>
      <c r="HLU614" s="3933"/>
      <c r="HLV614" s="3933"/>
      <c r="HLW614" s="621"/>
      <c r="HLX614" s="3933"/>
      <c r="HLY614" s="3933"/>
      <c r="HLZ614" s="3933"/>
      <c r="HMA614" s="621"/>
      <c r="HMB614" s="3933"/>
      <c r="HMC614" s="3933"/>
      <c r="HMD614" s="3933"/>
      <c r="HME614" s="621"/>
      <c r="HMF614" s="3933"/>
      <c r="HMG614" s="3933"/>
      <c r="HMH614" s="3933"/>
      <c r="HMI614" s="621"/>
      <c r="HMJ614" s="3933"/>
      <c r="HMK614" s="3933"/>
      <c r="HML614" s="3933"/>
      <c r="HMM614" s="621"/>
      <c r="HMN614" s="3933"/>
      <c r="HMO614" s="3933"/>
      <c r="HMP614" s="3933"/>
      <c r="HMQ614" s="621"/>
      <c r="HMR614" s="3933"/>
      <c r="HMS614" s="3933"/>
      <c r="HMT614" s="3933"/>
      <c r="HMU614" s="621"/>
      <c r="HMV614" s="3933"/>
      <c r="HMW614" s="3933"/>
      <c r="HMX614" s="3933"/>
      <c r="HMY614" s="621"/>
      <c r="HMZ614" s="3933"/>
      <c r="HNA614" s="3933"/>
      <c r="HNB614" s="3933"/>
      <c r="HNC614" s="621"/>
      <c r="HND614" s="3933"/>
      <c r="HNE614" s="3933"/>
      <c r="HNF614" s="3933"/>
      <c r="HNG614" s="621"/>
      <c r="HNH614" s="3933"/>
      <c r="HNI614" s="3933"/>
      <c r="HNJ614" s="3933"/>
      <c r="HNK614" s="621"/>
      <c r="HNL614" s="3933"/>
      <c r="HNM614" s="3933"/>
      <c r="HNN614" s="3933"/>
      <c r="HNO614" s="621"/>
      <c r="HNP614" s="3933"/>
      <c r="HNQ614" s="3933"/>
      <c r="HNR614" s="3933"/>
      <c r="HNS614" s="621"/>
      <c r="HNT614" s="3933"/>
      <c r="HNU614" s="3933"/>
      <c r="HNV614" s="3933"/>
      <c r="HNW614" s="621"/>
      <c r="HNX614" s="3933"/>
      <c r="HNY614" s="3933"/>
      <c r="HNZ614" s="3933"/>
      <c r="HOA614" s="621"/>
      <c r="HOB614" s="3933"/>
      <c r="HOC614" s="3933"/>
      <c r="HOD614" s="3933"/>
      <c r="HOE614" s="621"/>
      <c r="HOF614" s="3933"/>
      <c r="HOG614" s="3933"/>
      <c r="HOH614" s="3933"/>
      <c r="HOI614" s="621"/>
      <c r="HOJ614" s="3933"/>
      <c r="HOK614" s="3933"/>
      <c r="HOL614" s="3933"/>
      <c r="HOM614" s="621"/>
      <c r="HON614" s="3933"/>
      <c r="HOO614" s="3933"/>
      <c r="HOP614" s="3933"/>
      <c r="HOQ614" s="621"/>
      <c r="HOR614" s="3933"/>
      <c r="HOS614" s="3933"/>
      <c r="HOT614" s="3933"/>
      <c r="HOU614" s="621"/>
      <c r="HOV614" s="3933"/>
      <c r="HOW614" s="3933"/>
      <c r="HOX614" s="3933"/>
      <c r="HOY614" s="621"/>
      <c r="HOZ614" s="3933"/>
      <c r="HPA614" s="3933"/>
      <c r="HPB614" s="3933"/>
      <c r="HPC614" s="621"/>
      <c r="HPD614" s="3933"/>
      <c r="HPE614" s="3933"/>
      <c r="HPF614" s="3933"/>
      <c r="HPG614" s="621"/>
      <c r="HPH614" s="3933"/>
      <c r="HPI614" s="3933"/>
      <c r="HPJ614" s="3933"/>
      <c r="HPK614" s="621"/>
      <c r="HPL614" s="3933"/>
      <c r="HPM614" s="3933"/>
      <c r="HPN614" s="3933"/>
      <c r="HPO614" s="621"/>
      <c r="HPP614" s="3933"/>
      <c r="HPQ614" s="3933"/>
      <c r="HPR614" s="3933"/>
      <c r="HPS614" s="621"/>
      <c r="HPT614" s="3933"/>
      <c r="HPU614" s="3933"/>
      <c r="HPV614" s="3933"/>
      <c r="HPW614" s="621"/>
      <c r="HPX614" s="3933"/>
      <c r="HPY614" s="3933"/>
      <c r="HPZ614" s="3933"/>
      <c r="HQA614" s="621"/>
      <c r="HQB614" s="3933"/>
      <c r="HQC614" s="3933"/>
      <c r="HQD614" s="3933"/>
      <c r="HQE614" s="621"/>
      <c r="HQF614" s="3933"/>
      <c r="HQG614" s="3933"/>
      <c r="HQH614" s="3933"/>
      <c r="HQI614" s="621"/>
      <c r="HQJ614" s="3933"/>
      <c r="HQK614" s="3933"/>
      <c r="HQL614" s="3933"/>
      <c r="HQM614" s="621"/>
      <c r="HQN614" s="3933"/>
      <c r="HQO614" s="3933"/>
      <c r="HQP614" s="3933"/>
      <c r="HQQ614" s="621"/>
      <c r="HQR614" s="3933"/>
      <c r="HQS614" s="3933"/>
      <c r="HQT614" s="3933"/>
      <c r="HQU614" s="621"/>
      <c r="HQV614" s="3933"/>
      <c r="HQW614" s="3933"/>
      <c r="HQX614" s="3933"/>
      <c r="HQY614" s="621"/>
      <c r="HQZ614" s="3933"/>
      <c r="HRA614" s="3933"/>
      <c r="HRB614" s="3933"/>
      <c r="HRC614" s="621"/>
      <c r="HRD614" s="3933"/>
      <c r="HRE614" s="3933"/>
      <c r="HRF614" s="3933"/>
      <c r="HRG614" s="621"/>
      <c r="HRH614" s="3933"/>
      <c r="HRI614" s="3933"/>
      <c r="HRJ614" s="3933"/>
      <c r="HRK614" s="621"/>
      <c r="HRL614" s="3933"/>
      <c r="HRM614" s="3933"/>
      <c r="HRN614" s="3933"/>
      <c r="HRO614" s="621"/>
      <c r="HRP614" s="3933"/>
      <c r="HRQ614" s="3933"/>
      <c r="HRR614" s="3933"/>
      <c r="HRS614" s="621"/>
      <c r="HRT614" s="3933"/>
      <c r="HRU614" s="3933"/>
      <c r="HRV614" s="3933"/>
      <c r="HRW614" s="621"/>
      <c r="HRX614" s="3933"/>
      <c r="HRY614" s="3933"/>
      <c r="HRZ614" s="3933"/>
      <c r="HSA614" s="621"/>
      <c r="HSB614" s="3933"/>
      <c r="HSC614" s="3933"/>
      <c r="HSD614" s="3933"/>
      <c r="HSE614" s="621"/>
      <c r="HSF614" s="3933"/>
      <c r="HSG614" s="3933"/>
      <c r="HSH614" s="3933"/>
      <c r="HSI614" s="621"/>
      <c r="HSJ614" s="3933"/>
      <c r="HSK614" s="3933"/>
      <c r="HSL614" s="3933"/>
      <c r="HSM614" s="621"/>
      <c r="HSN614" s="3933"/>
      <c r="HSO614" s="3933"/>
      <c r="HSP614" s="3933"/>
      <c r="HSQ614" s="621"/>
      <c r="HSR614" s="3933"/>
      <c r="HSS614" s="3933"/>
      <c r="HST614" s="3933"/>
      <c r="HSU614" s="621"/>
      <c r="HSV614" s="3933"/>
      <c r="HSW614" s="3933"/>
      <c r="HSX614" s="3933"/>
      <c r="HSY614" s="621"/>
      <c r="HSZ614" s="3933"/>
      <c r="HTA614" s="3933"/>
      <c r="HTB614" s="3933"/>
      <c r="HTC614" s="621"/>
      <c r="HTD614" s="3933"/>
      <c r="HTE614" s="3933"/>
      <c r="HTF614" s="3933"/>
      <c r="HTG614" s="621"/>
      <c r="HTH614" s="3933"/>
      <c r="HTI614" s="3933"/>
      <c r="HTJ614" s="3933"/>
      <c r="HTK614" s="621"/>
      <c r="HTL614" s="3933"/>
      <c r="HTM614" s="3933"/>
      <c r="HTN614" s="3933"/>
      <c r="HTO614" s="621"/>
      <c r="HTP614" s="3933"/>
      <c r="HTQ614" s="3933"/>
      <c r="HTR614" s="3933"/>
      <c r="HTS614" s="621"/>
      <c r="HTT614" s="3933"/>
      <c r="HTU614" s="3933"/>
      <c r="HTV614" s="3933"/>
      <c r="HTW614" s="621"/>
      <c r="HTX614" s="3933"/>
      <c r="HTY614" s="3933"/>
      <c r="HTZ614" s="3933"/>
      <c r="HUA614" s="621"/>
      <c r="HUB614" s="3933"/>
      <c r="HUC614" s="3933"/>
      <c r="HUD614" s="3933"/>
      <c r="HUE614" s="621"/>
      <c r="HUF614" s="3933"/>
      <c r="HUG614" s="3933"/>
      <c r="HUH614" s="3933"/>
      <c r="HUI614" s="621"/>
      <c r="HUJ614" s="3933"/>
      <c r="HUK614" s="3933"/>
      <c r="HUL614" s="3933"/>
      <c r="HUM614" s="621"/>
      <c r="HUN614" s="3933"/>
      <c r="HUO614" s="3933"/>
      <c r="HUP614" s="3933"/>
      <c r="HUQ614" s="621"/>
      <c r="HUR614" s="3933"/>
      <c r="HUS614" s="3933"/>
      <c r="HUT614" s="3933"/>
      <c r="HUU614" s="621"/>
      <c r="HUV614" s="3933"/>
      <c r="HUW614" s="3933"/>
      <c r="HUX614" s="3933"/>
      <c r="HUY614" s="621"/>
      <c r="HUZ614" s="3933"/>
      <c r="HVA614" s="3933"/>
      <c r="HVB614" s="3933"/>
      <c r="HVC614" s="621"/>
      <c r="HVD614" s="3933"/>
      <c r="HVE614" s="3933"/>
      <c r="HVF614" s="3933"/>
      <c r="HVG614" s="621"/>
      <c r="HVH614" s="3933"/>
      <c r="HVI614" s="3933"/>
      <c r="HVJ614" s="3933"/>
      <c r="HVK614" s="621"/>
      <c r="HVL614" s="3933"/>
      <c r="HVM614" s="3933"/>
      <c r="HVN614" s="3933"/>
      <c r="HVO614" s="621"/>
      <c r="HVP614" s="3933"/>
      <c r="HVQ614" s="3933"/>
      <c r="HVR614" s="3933"/>
      <c r="HVS614" s="621"/>
      <c r="HVT614" s="3933"/>
      <c r="HVU614" s="3933"/>
      <c r="HVV614" s="3933"/>
      <c r="HVW614" s="621"/>
      <c r="HVX614" s="3933"/>
      <c r="HVY614" s="3933"/>
      <c r="HVZ614" s="3933"/>
      <c r="HWA614" s="621"/>
      <c r="HWB614" s="3933"/>
      <c r="HWC614" s="3933"/>
      <c r="HWD614" s="3933"/>
      <c r="HWE614" s="621"/>
      <c r="HWF614" s="3933"/>
      <c r="HWG614" s="3933"/>
      <c r="HWH614" s="3933"/>
      <c r="HWI614" s="621"/>
      <c r="HWJ614" s="3933"/>
      <c r="HWK614" s="3933"/>
      <c r="HWL614" s="3933"/>
      <c r="HWM614" s="621"/>
      <c r="HWN614" s="3933"/>
      <c r="HWO614" s="3933"/>
      <c r="HWP614" s="3933"/>
      <c r="HWQ614" s="621"/>
      <c r="HWR614" s="3933"/>
      <c r="HWS614" s="3933"/>
      <c r="HWT614" s="3933"/>
      <c r="HWU614" s="621"/>
      <c r="HWV614" s="3933"/>
      <c r="HWW614" s="3933"/>
      <c r="HWX614" s="3933"/>
      <c r="HWY614" s="621"/>
      <c r="HWZ614" s="3933"/>
      <c r="HXA614" s="3933"/>
      <c r="HXB614" s="3933"/>
      <c r="HXC614" s="621"/>
      <c r="HXD614" s="3933"/>
      <c r="HXE614" s="3933"/>
      <c r="HXF614" s="3933"/>
      <c r="HXG614" s="621"/>
      <c r="HXH614" s="3933"/>
      <c r="HXI614" s="3933"/>
      <c r="HXJ614" s="3933"/>
      <c r="HXK614" s="621"/>
      <c r="HXL614" s="3933"/>
      <c r="HXM614" s="3933"/>
      <c r="HXN614" s="3933"/>
      <c r="HXO614" s="621"/>
      <c r="HXP614" s="3933"/>
      <c r="HXQ614" s="3933"/>
      <c r="HXR614" s="3933"/>
      <c r="HXS614" s="621"/>
      <c r="HXT614" s="3933"/>
      <c r="HXU614" s="3933"/>
      <c r="HXV614" s="3933"/>
      <c r="HXW614" s="621"/>
      <c r="HXX614" s="3933"/>
      <c r="HXY614" s="3933"/>
      <c r="HXZ614" s="3933"/>
      <c r="HYA614" s="621"/>
      <c r="HYB614" s="3933"/>
      <c r="HYC614" s="3933"/>
      <c r="HYD614" s="3933"/>
      <c r="HYE614" s="621"/>
      <c r="HYF614" s="3933"/>
      <c r="HYG614" s="3933"/>
      <c r="HYH614" s="3933"/>
      <c r="HYI614" s="621"/>
      <c r="HYJ614" s="3933"/>
      <c r="HYK614" s="3933"/>
      <c r="HYL614" s="3933"/>
      <c r="HYM614" s="621"/>
      <c r="HYN614" s="3933"/>
      <c r="HYO614" s="3933"/>
      <c r="HYP614" s="3933"/>
      <c r="HYQ614" s="621"/>
      <c r="HYR614" s="3933"/>
      <c r="HYS614" s="3933"/>
      <c r="HYT614" s="3933"/>
      <c r="HYU614" s="621"/>
      <c r="HYV614" s="3933"/>
      <c r="HYW614" s="3933"/>
      <c r="HYX614" s="3933"/>
      <c r="HYY614" s="621"/>
      <c r="HYZ614" s="3933"/>
      <c r="HZA614" s="3933"/>
      <c r="HZB614" s="3933"/>
      <c r="HZC614" s="621"/>
      <c r="HZD614" s="3933"/>
      <c r="HZE614" s="3933"/>
      <c r="HZF614" s="3933"/>
      <c r="HZG614" s="621"/>
      <c r="HZH614" s="3933"/>
      <c r="HZI614" s="3933"/>
      <c r="HZJ614" s="3933"/>
      <c r="HZK614" s="621"/>
      <c r="HZL614" s="3933"/>
      <c r="HZM614" s="3933"/>
      <c r="HZN614" s="3933"/>
      <c r="HZO614" s="621"/>
      <c r="HZP614" s="3933"/>
      <c r="HZQ614" s="3933"/>
      <c r="HZR614" s="3933"/>
      <c r="HZS614" s="621"/>
      <c r="HZT614" s="3933"/>
      <c r="HZU614" s="3933"/>
      <c r="HZV614" s="3933"/>
      <c r="HZW614" s="621"/>
      <c r="HZX614" s="3933"/>
      <c r="HZY614" s="3933"/>
      <c r="HZZ614" s="3933"/>
      <c r="IAA614" s="621"/>
      <c r="IAB614" s="3933"/>
      <c r="IAC614" s="3933"/>
      <c r="IAD614" s="3933"/>
      <c r="IAE614" s="621"/>
      <c r="IAF614" s="3933"/>
      <c r="IAG614" s="3933"/>
      <c r="IAH614" s="3933"/>
      <c r="IAI614" s="621"/>
      <c r="IAJ614" s="3933"/>
      <c r="IAK614" s="3933"/>
      <c r="IAL614" s="3933"/>
      <c r="IAM614" s="621"/>
      <c r="IAN614" s="3933"/>
      <c r="IAO614" s="3933"/>
      <c r="IAP614" s="3933"/>
      <c r="IAQ614" s="621"/>
      <c r="IAR614" s="3933"/>
      <c r="IAS614" s="3933"/>
      <c r="IAT614" s="3933"/>
      <c r="IAU614" s="621"/>
      <c r="IAV614" s="3933"/>
      <c r="IAW614" s="3933"/>
      <c r="IAX614" s="3933"/>
      <c r="IAY614" s="621"/>
      <c r="IAZ614" s="3933"/>
      <c r="IBA614" s="3933"/>
      <c r="IBB614" s="3933"/>
      <c r="IBC614" s="621"/>
      <c r="IBD614" s="3933"/>
      <c r="IBE614" s="3933"/>
      <c r="IBF614" s="3933"/>
      <c r="IBG614" s="621"/>
      <c r="IBH614" s="3933"/>
      <c r="IBI614" s="3933"/>
      <c r="IBJ614" s="3933"/>
      <c r="IBK614" s="621"/>
      <c r="IBL614" s="3933"/>
      <c r="IBM614" s="3933"/>
      <c r="IBN614" s="3933"/>
      <c r="IBO614" s="621"/>
      <c r="IBP614" s="3933"/>
      <c r="IBQ614" s="3933"/>
      <c r="IBR614" s="3933"/>
      <c r="IBS614" s="621"/>
      <c r="IBT614" s="3933"/>
      <c r="IBU614" s="3933"/>
      <c r="IBV614" s="3933"/>
      <c r="IBW614" s="621"/>
      <c r="IBX614" s="3933"/>
      <c r="IBY614" s="3933"/>
      <c r="IBZ614" s="3933"/>
      <c r="ICA614" s="621"/>
      <c r="ICB614" s="3933"/>
      <c r="ICC614" s="3933"/>
      <c r="ICD614" s="3933"/>
      <c r="ICE614" s="621"/>
      <c r="ICF614" s="3933"/>
      <c r="ICG614" s="3933"/>
      <c r="ICH614" s="3933"/>
      <c r="ICI614" s="621"/>
      <c r="ICJ614" s="3933"/>
      <c r="ICK614" s="3933"/>
      <c r="ICL614" s="3933"/>
      <c r="ICM614" s="621"/>
      <c r="ICN614" s="3933"/>
      <c r="ICO614" s="3933"/>
      <c r="ICP614" s="3933"/>
      <c r="ICQ614" s="621"/>
      <c r="ICR614" s="3933"/>
      <c r="ICS614" s="3933"/>
      <c r="ICT614" s="3933"/>
      <c r="ICU614" s="621"/>
      <c r="ICV614" s="3933"/>
      <c r="ICW614" s="3933"/>
      <c r="ICX614" s="3933"/>
      <c r="ICY614" s="621"/>
      <c r="ICZ614" s="3933"/>
      <c r="IDA614" s="3933"/>
      <c r="IDB614" s="3933"/>
      <c r="IDC614" s="621"/>
      <c r="IDD614" s="3933"/>
      <c r="IDE614" s="3933"/>
      <c r="IDF614" s="3933"/>
      <c r="IDG614" s="621"/>
      <c r="IDH614" s="3933"/>
      <c r="IDI614" s="3933"/>
      <c r="IDJ614" s="3933"/>
      <c r="IDK614" s="621"/>
      <c r="IDL614" s="3933"/>
      <c r="IDM614" s="3933"/>
      <c r="IDN614" s="3933"/>
      <c r="IDO614" s="621"/>
      <c r="IDP614" s="3933"/>
      <c r="IDQ614" s="3933"/>
      <c r="IDR614" s="3933"/>
      <c r="IDS614" s="621"/>
      <c r="IDT614" s="3933"/>
      <c r="IDU614" s="3933"/>
      <c r="IDV614" s="3933"/>
      <c r="IDW614" s="621"/>
      <c r="IDX614" s="3933"/>
      <c r="IDY614" s="3933"/>
      <c r="IDZ614" s="3933"/>
      <c r="IEA614" s="621"/>
      <c r="IEB614" s="3933"/>
      <c r="IEC614" s="3933"/>
      <c r="IED614" s="3933"/>
      <c r="IEE614" s="621"/>
      <c r="IEF614" s="3933"/>
      <c r="IEG614" s="3933"/>
      <c r="IEH614" s="3933"/>
      <c r="IEI614" s="621"/>
      <c r="IEJ614" s="3933"/>
      <c r="IEK614" s="3933"/>
      <c r="IEL614" s="3933"/>
      <c r="IEM614" s="621"/>
      <c r="IEN614" s="3933"/>
      <c r="IEO614" s="3933"/>
      <c r="IEP614" s="3933"/>
      <c r="IEQ614" s="621"/>
      <c r="IER614" s="3933"/>
      <c r="IES614" s="3933"/>
      <c r="IET614" s="3933"/>
      <c r="IEU614" s="621"/>
      <c r="IEV614" s="3933"/>
      <c r="IEW614" s="3933"/>
      <c r="IEX614" s="3933"/>
      <c r="IEY614" s="621"/>
      <c r="IEZ614" s="3933"/>
      <c r="IFA614" s="3933"/>
      <c r="IFB614" s="3933"/>
      <c r="IFC614" s="621"/>
      <c r="IFD614" s="3933"/>
      <c r="IFE614" s="3933"/>
      <c r="IFF614" s="3933"/>
      <c r="IFG614" s="621"/>
      <c r="IFH614" s="3933"/>
      <c r="IFI614" s="3933"/>
      <c r="IFJ614" s="3933"/>
      <c r="IFK614" s="621"/>
      <c r="IFL614" s="3933"/>
      <c r="IFM614" s="3933"/>
      <c r="IFN614" s="3933"/>
      <c r="IFO614" s="621"/>
      <c r="IFP614" s="3933"/>
      <c r="IFQ614" s="3933"/>
      <c r="IFR614" s="3933"/>
      <c r="IFS614" s="621"/>
      <c r="IFT614" s="3933"/>
      <c r="IFU614" s="3933"/>
      <c r="IFV614" s="3933"/>
      <c r="IFW614" s="621"/>
      <c r="IFX614" s="3933"/>
      <c r="IFY614" s="3933"/>
      <c r="IFZ614" s="3933"/>
      <c r="IGA614" s="621"/>
      <c r="IGB614" s="3933"/>
      <c r="IGC614" s="3933"/>
      <c r="IGD614" s="3933"/>
      <c r="IGE614" s="621"/>
      <c r="IGF614" s="3933"/>
      <c r="IGG614" s="3933"/>
      <c r="IGH614" s="3933"/>
      <c r="IGI614" s="621"/>
      <c r="IGJ614" s="3933"/>
      <c r="IGK614" s="3933"/>
      <c r="IGL614" s="3933"/>
      <c r="IGM614" s="621"/>
      <c r="IGN614" s="3933"/>
      <c r="IGO614" s="3933"/>
      <c r="IGP614" s="3933"/>
      <c r="IGQ614" s="621"/>
      <c r="IGR614" s="3933"/>
      <c r="IGS614" s="3933"/>
      <c r="IGT614" s="3933"/>
      <c r="IGU614" s="621"/>
      <c r="IGV614" s="3933"/>
      <c r="IGW614" s="3933"/>
      <c r="IGX614" s="3933"/>
      <c r="IGY614" s="621"/>
      <c r="IGZ614" s="3933"/>
      <c r="IHA614" s="3933"/>
      <c r="IHB614" s="3933"/>
      <c r="IHC614" s="621"/>
      <c r="IHD614" s="3933"/>
      <c r="IHE614" s="3933"/>
      <c r="IHF614" s="3933"/>
      <c r="IHG614" s="621"/>
      <c r="IHH614" s="3933"/>
      <c r="IHI614" s="3933"/>
      <c r="IHJ614" s="3933"/>
      <c r="IHK614" s="621"/>
      <c r="IHL614" s="3933"/>
      <c r="IHM614" s="3933"/>
      <c r="IHN614" s="3933"/>
      <c r="IHO614" s="621"/>
      <c r="IHP614" s="3933"/>
      <c r="IHQ614" s="3933"/>
      <c r="IHR614" s="3933"/>
      <c r="IHS614" s="621"/>
      <c r="IHT614" s="3933"/>
      <c r="IHU614" s="3933"/>
      <c r="IHV614" s="3933"/>
      <c r="IHW614" s="621"/>
      <c r="IHX614" s="3933"/>
      <c r="IHY614" s="3933"/>
      <c r="IHZ614" s="3933"/>
      <c r="IIA614" s="621"/>
      <c r="IIB614" s="3933"/>
      <c r="IIC614" s="3933"/>
      <c r="IID614" s="3933"/>
      <c r="IIE614" s="621"/>
      <c r="IIF614" s="3933"/>
      <c r="IIG614" s="3933"/>
      <c r="IIH614" s="3933"/>
      <c r="III614" s="621"/>
      <c r="IIJ614" s="3933"/>
      <c r="IIK614" s="3933"/>
      <c r="IIL614" s="3933"/>
      <c r="IIM614" s="621"/>
      <c r="IIN614" s="3933"/>
      <c r="IIO614" s="3933"/>
      <c r="IIP614" s="3933"/>
      <c r="IIQ614" s="621"/>
      <c r="IIR614" s="3933"/>
      <c r="IIS614" s="3933"/>
      <c r="IIT614" s="3933"/>
      <c r="IIU614" s="621"/>
      <c r="IIV614" s="3933"/>
      <c r="IIW614" s="3933"/>
      <c r="IIX614" s="3933"/>
      <c r="IIY614" s="621"/>
      <c r="IIZ614" s="3933"/>
      <c r="IJA614" s="3933"/>
      <c r="IJB614" s="3933"/>
      <c r="IJC614" s="621"/>
      <c r="IJD614" s="3933"/>
      <c r="IJE614" s="3933"/>
      <c r="IJF614" s="3933"/>
      <c r="IJG614" s="621"/>
      <c r="IJH614" s="3933"/>
      <c r="IJI614" s="3933"/>
      <c r="IJJ614" s="3933"/>
      <c r="IJK614" s="621"/>
      <c r="IJL614" s="3933"/>
      <c r="IJM614" s="3933"/>
      <c r="IJN614" s="3933"/>
      <c r="IJO614" s="621"/>
      <c r="IJP614" s="3933"/>
      <c r="IJQ614" s="3933"/>
      <c r="IJR614" s="3933"/>
      <c r="IJS614" s="621"/>
      <c r="IJT614" s="3933"/>
      <c r="IJU614" s="3933"/>
      <c r="IJV614" s="3933"/>
      <c r="IJW614" s="621"/>
      <c r="IJX614" s="3933"/>
      <c r="IJY614" s="3933"/>
      <c r="IJZ614" s="3933"/>
      <c r="IKA614" s="621"/>
      <c r="IKB614" s="3933"/>
      <c r="IKC614" s="3933"/>
      <c r="IKD614" s="3933"/>
      <c r="IKE614" s="621"/>
      <c r="IKF614" s="3933"/>
      <c r="IKG614" s="3933"/>
      <c r="IKH614" s="3933"/>
      <c r="IKI614" s="621"/>
      <c r="IKJ614" s="3933"/>
      <c r="IKK614" s="3933"/>
      <c r="IKL614" s="3933"/>
      <c r="IKM614" s="621"/>
      <c r="IKN614" s="3933"/>
      <c r="IKO614" s="3933"/>
      <c r="IKP614" s="3933"/>
      <c r="IKQ614" s="621"/>
      <c r="IKR614" s="3933"/>
      <c r="IKS614" s="3933"/>
      <c r="IKT614" s="3933"/>
      <c r="IKU614" s="621"/>
      <c r="IKV614" s="3933"/>
      <c r="IKW614" s="3933"/>
      <c r="IKX614" s="3933"/>
      <c r="IKY614" s="621"/>
      <c r="IKZ614" s="3933"/>
      <c r="ILA614" s="3933"/>
      <c r="ILB614" s="3933"/>
      <c r="ILC614" s="621"/>
      <c r="ILD614" s="3933"/>
      <c r="ILE614" s="3933"/>
      <c r="ILF614" s="3933"/>
      <c r="ILG614" s="621"/>
      <c r="ILH614" s="3933"/>
      <c r="ILI614" s="3933"/>
      <c r="ILJ614" s="3933"/>
      <c r="ILK614" s="621"/>
      <c r="ILL614" s="3933"/>
      <c r="ILM614" s="3933"/>
      <c r="ILN614" s="3933"/>
      <c r="ILO614" s="621"/>
      <c r="ILP614" s="3933"/>
      <c r="ILQ614" s="3933"/>
      <c r="ILR614" s="3933"/>
      <c r="ILS614" s="621"/>
      <c r="ILT614" s="3933"/>
      <c r="ILU614" s="3933"/>
      <c r="ILV614" s="3933"/>
      <c r="ILW614" s="621"/>
      <c r="ILX614" s="3933"/>
      <c r="ILY614" s="3933"/>
      <c r="ILZ614" s="3933"/>
      <c r="IMA614" s="621"/>
      <c r="IMB614" s="3933"/>
      <c r="IMC614" s="3933"/>
      <c r="IMD614" s="3933"/>
      <c r="IME614" s="621"/>
      <c r="IMF614" s="3933"/>
      <c r="IMG614" s="3933"/>
      <c r="IMH614" s="3933"/>
      <c r="IMI614" s="621"/>
      <c r="IMJ614" s="3933"/>
      <c r="IMK614" s="3933"/>
      <c r="IML614" s="3933"/>
      <c r="IMM614" s="621"/>
      <c r="IMN614" s="3933"/>
      <c r="IMO614" s="3933"/>
      <c r="IMP614" s="3933"/>
      <c r="IMQ614" s="621"/>
      <c r="IMR614" s="3933"/>
      <c r="IMS614" s="3933"/>
      <c r="IMT614" s="3933"/>
      <c r="IMU614" s="621"/>
      <c r="IMV614" s="3933"/>
      <c r="IMW614" s="3933"/>
      <c r="IMX614" s="3933"/>
      <c r="IMY614" s="621"/>
      <c r="IMZ614" s="3933"/>
      <c r="INA614" s="3933"/>
      <c r="INB614" s="3933"/>
      <c r="INC614" s="621"/>
      <c r="IND614" s="3933"/>
      <c r="INE614" s="3933"/>
      <c r="INF614" s="3933"/>
      <c r="ING614" s="621"/>
      <c r="INH614" s="3933"/>
      <c r="INI614" s="3933"/>
      <c r="INJ614" s="3933"/>
      <c r="INK614" s="621"/>
      <c r="INL614" s="3933"/>
      <c r="INM614" s="3933"/>
      <c r="INN614" s="3933"/>
      <c r="INO614" s="621"/>
      <c r="INP614" s="3933"/>
      <c r="INQ614" s="3933"/>
      <c r="INR614" s="3933"/>
      <c r="INS614" s="621"/>
      <c r="INT614" s="3933"/>
      <c r="INU614" s="3933"/>
      <c r="INV614" s="3933"/>
      <c r="INW614" s="621"/>
      <c r="INX614" s="3933"/>
      <c r="INY614" s="3933"/>
      <c r="INZ614" s="3933"/>
      <c r="IOA614" s="621"/>
      <c r="IOB614" s="3933"/>
      <c r="IOC614" s="3933"/>
      <c r="IOD614" s="3933"/>
      <c r="IOE614" s="621"/>
      <c r="IOF614" s="3933"/>
      <c r="IOG614" s="3933"/>
      <c r="IOH614" s="3933"/>
      <c r="IOI614" s="621"/>
      <c r="IOJ614" s="3933"/>
      <c r="IOK614" s="3933"/>
      <c r="IOL614" s="3933"/>
      <c r="IOM614" s="621"/>
      <c r="ION614" s="3933"/>
      <c r="IOO614" s="3933"/>
      <c r="IOP614" s="3933"/>
      <c r="IOQ614" s="621"/>
      <c r="IOR614" s="3933"/>
      <c r="IOS614" s="3933"/>
      <c r="IOT614" s="3933"/>
      <c r="IOU614" s="621"/>
      <c r="IOV614" s="3933"/>
      <c r="IOW614" s="3933"/>
      <c r="IOX614" s="3933"/>
      <c r="IOY614" s="621"/>
      <c r="IOZ614" s="3933"/>
      <c r="IPA614" s="3933"/>
      <c r="IPB614" s="3933"/>
      <c r="IPC614" s="621"/>
      <c r="IPD614" s="3933"/>
      <c r="IPE614" s="3933"/>
      <c r="IPF614" s="3933"/>
      <c r="IPG614" s="621"/>
      <c r="IPH614" s="3933"/>
      <c r="IPI614" s="3933"/>
      <c r="IPJ614" s="3933"/>
      <c r="IPK614" s="621"/>
      <c r="IPL614" s="3933"/>
      <c r="IPM614" s="3933"/>
      <c r="IPN614" s="3933"/>
      <c r="IPO614" s="621"/>
      <c r="IPP614" s="3933"/>
      <c r="IPQ614" s="3933"/>
      <c r="IPR614" s="3933"/>
      <c r="IPS614" s="621"/>
      <c r="IPT614" s="3933"/>
      <c r="IPU614" s="3933"/>
      <c r="IPV614" s="3933"/>
      <c r="IPW614" s="621"/>
      <c r="IPX614" s="3933"/>
      <c r="IPY614" s="3933"/>
      <c r="IPZ614" s="3933"/>
      <c r="IQA614" s="621"/>
      <c r="IQB614" s="3933"/>
      <c r="IQC614" s="3933"/>
      <c r="IQD614" s="3933"/>
      <c r="IQE614" s="621"/>
      <c r="IQF614" s="3933"/>
      <c r="IQG614" s="3933"/>
      <c r="IQH614" s="3933"/>
      <c r="IQI614" s="621"/>
      <c r="IQJ614" s="3933"/>
      <c r="IQK614" s="3933"/>
      <c r="IQL614" s="3933"/>
      <c r="IQM614" s="621"/>
      <c r="IQN614" s="3933"/>
      <c r="IQO614" s="3933"/>
      <c r="IQP614" s="3933"/>
      <c r="IQQ614" s="621"/>
      <c r="IQR614" s="3933"/>
      <c r="IQS614" s="3933"/>
      <c r="IQT614" s="3933"/>
      <c r="IQU614" s="621"/>
      <c r="IQV614" s="3933"/>
      <c r="IQW614" s="3933"/>
      <c r="IQX614" s="3933"/>
      <c r="IQY614" s="621"/>
      <c r="IQZ614" s="3933"/>
      <c r="IRA614" s="3933"/>
      <c r="IRB614" s="3933"/>
      <c r="IRC614" s="621"/>
      <c r="IRD614" s="3933"/>
      <c r="IRE614" s="3933"/>
      <c r="IRF614" s="3933"/>
      <c r="IRG614" s="621"/>
      <c r="IRH614" s="3933"/>
      <c r="IRI614" s="3933"/>
      <c r="IRJ614" s="3933"/>
      <c r="IRK614" s="621"/>
      <c r="IRL614" s="3933"/>
      <c r="IRM614" s="3933"/>
      <c r="IRN614" s="3933"/>
      <c r="IRO614" s="621"/>
      <c r="IRP614" s="3933"/>
      <c r="IRQ614" s="3933"/>
      <c r="IRR614" s="3933"/>
      <c r="IRS614" s="621"/>
      <c r="IRT614" s="3933"/>
      <c r="IRU614" s="3933"/>
      <c r="IRV614" s="3933"/>
      <c r="IRW614" s="621"/>
      <c r="IRX614" s="3933"/>
      <c r="IRY614" s="3933"/>
      <c r="IRZ614" s="3933"/>
      <c r="ISA614" s="621"/>
      <c r="ISB614" s="3933"/>
      <c r="ISC614" s="3933"/>
      <c r="ISD614" s="3933"/>
      <c r="ISE614" s="621"/>
      <c r="ISF614" s="3933"/>
      <c r="ISG614" s="3933"/>
      <c r="ISH614" s="3933"/>
      <c r="ISI614" s="621"/>
      <c r="ISJ614" s="3933"/>
      <c r="ISK614" s="3933"/>
      <c r="ISL614" s="3933"/>
      <c r="ISM614" s="621"/>
      <c r="ISN614" s="3933"/>
      <c r="ISO614" s="3933"/>
      <c r="ISP614" s="3933"/>
      <c r="ISQ614" s="621"/>
      <c r="ISR614" s="3933"/>
      <c r="ISS614" s="3933"/>
      <c r="IST614" s="3933"/>
      <c r="ISU614" s="621"/>
      <c r="ISV614" s="3933"/>
      <c r="ISW614" s="3933"/>
      <c r="ISX614" s="3933"/>
      <c r="ISY614" s="621"/>
      <c r="ISZ614" s="3933"/>
      <c r="ITA614" s="3933"/>
      <c r="ITB614" s="3933"/>
      <c r="ITC614" s="621"/>
      <c r="ITD614" s="3933"/>
      <c r="ITE614" s="3933"/>
      <c r="ITF614" s="3933"/>
      <c r="ITG614" s="621"/>
      <c r="ITH614" s="3933"/>
      <c r="ITI614" s="3933"/>
      <c r="ITJ614" s="3933"/>
      <c r="ITK614" s="621"/>
      <c r="ITL614" s="3933"/>
      <c r="ITM614" s="3933"/>
      <c r="ITN614" s="3933"/>
      <c r="ITO614" s="621"/>
      <c r="ITP614" s="3933"/>
      <c r="ITQ614" s="3933"/>
      <c r="ITR614" s="3933"/>
      <c r="ITS614" s="621"/>
      <c r="ITT614" s="3933"/>
      <c r="ITU614" s="3933"/>
      <c r="ITV614" s="3933"/>
      <c r="ITW614" s="621"/>
      <c r="ITX614" s="3933"/>
      <c r="ITY614" s="3933"/>
      <c r="ITZ614" s="3933"/>
      <c r="IUA614" s="621"/>
      <c r="IUB614" s="3933"/>
      <c r="IUC614" s="3933"/>
      <c r="IUD614" s="3933"/>
      <c r="IUE614" s="621"/>
      <c r="IUF614" s="3933"/>
      <c r="IUG614" s="3933"/>
      <c r="IUH614" s="3933"/>
      <c r="IUI614" s="621"/>
      <c r="IUJ614" s="3933"/>
      <c r="IUK614" s="3933"/>
      <c r="IUL614" s="3933"/>
      <c r="IUM614" s="621"/>
      <c r="IUN614" s="3933"/>
      <c r="IUO614" s="3933"/>
      <c r="IUP614" s="3933"/>
      <c r="IUQ614" s="621"/>
      <c r="IUR614" s="3933"/>
      <c r="IUS614" s="3933"/>
      <c r="IUT614" s="3933"/>
      <c r="IUU614" s="621"/>
      <c r="IUV614" s="3933"/>
      <c r="IUW614" s="3933"/>
      <c r="IUX614" s="3933"/>
      <c r="IUY614" s="621"/>
      <c r="IUZ614" s="3933"/>
      <c r="IVA614" s="3933"/>
      <c r="IVB614" s="3933"/>
      <c r="IVC614" s="621"/>
      <c r="IVD614" s="3933"/>
      <c r="IVE614" s="3933"/>
      <c r="IVF614" s="3933"/>
      <c r="IVG614" s="621"/>
      <c r="IVH614" s="3933"/>
      <c r="IVI614" s="3933"/>
      <c r="IVJ614" s="3933"/>
      <c r="IVK614" s="621"/>
      <c r="IVL614" s="3933"/>
      <c r="IVM614" s="3933"/>
      <c r="IVN614" s="3933"/>
      <c r="IVO614" s="621"/>
      <c r="IVP614" s="3933"/>
      <c r="IVQ614" s="3933"/>
      <c r="IVR614" s="3933"/>
      <c r="IVS614" s="621"/>
      <c r="IVT614" s="3933"/>
      <c r="IVU614" s="3933"/>
      <c r="IVV614" s="3933"/>
      <c r="IVW614" s="621"/>
      <c r="IVX614" s="3933"/>
      <c r="IVY614" s="3933"/>
      <c r="IVZ614" s="3933"/>
      <c r="IWA614" s="621"/>
      <c r="IWB614" s="3933"/>
      <c r="IWC614" s="3933"/>
      <c r="IWD614" s="3933"/>
      <c r="IWE614" s="621"/>
      <c r="IWF614" s="3933"/>
      <c r="IWG614" s="3933"/>
      <c r="IWH614" s="3933"/>
      <c r="IWI614" s="621"/>
      <c r="IWJ614" s="3933"/>
      <c r="IWK614" s="3933"/>
      <c r="IWL614" s="3933"/>
      <c r="IWM614" s="621"/>
      <c r="IWN614" s="3933"/>
      <c r="IWO614" s="3933"/>
      <c r="IWP614" s="3933"/>
      <c r="IWQ614" s="621"/>
      <c r="IWR614" s="3933"/>
      <c r="IWS614" s="3933"/>
      <c r="IWT614" s="3933"/>
      <c r="IWU614" s="621"/>
      <c r="IWV614" s="3933"/>
      <c r="IWW614" s="3933"/>
      <c r="IWX614" s="3933"/>
      <c r="IWY614" s="621"/>
      <c r="IWZ614" s="3933"/>
      <c r="IXA614" s="3933"/>
      <c r="IXB614" s="3933"/>
      <c r="IXC614" s="621"/>
      <c r="IXD614" s="3933"/>
      <c r="IXE614" s="3933"/>
      <c r="IXF614" s="3933"/>
      <c r="IXG614" s="621"/>
      <c r="IXH614" s="3933"/>
      <c r="IXI614" s="3933"/>
      <c r="IXJ614" s="3933"/>
      <c r="IXK614" s="621"/>
      <c r="IXL614" s="3933"/>
      <c r="IXM614" s="3933"/>
      <c r="IXN614" s="3933"/>
      <c r="IXO614" s="621"/>
      <c r="IXP614" s="3933"/>
      <c r="IXQ614" s="3933"/>
      <c r="IXR614" s="3933"/>
      <c r="IXS614" s="621"/>
      <c r="IXT614" s="3933"/>
      <c r="IXU614" s="3933"/>
      <c r="IXV614" s="3933"/>
      <c r="IXW614" s="621"/>
      <c r="IXX614" s="3933"/>
      <c r="IXY614" s="3933"/>
      <c r="IXZ614" s="3933"/>
      <c r="IYA614" s="621"/>
      <c r="IYB614" s="3933"/>
      <c r="IYC614" s="3933"/>
      <c r="IYD614" s="3933"/>
      <c r="IYE614" s="621"/>
      <c r="IYF614" s="3933"/>
      <c r="IYG614" s="3933"/>
      <c r="IYH614" s="3933"/>
      <c r="IYI614" s="621"/>
      <c r="IYJ614" s="3933"/>
      <c r="IYK614" s="3933"/>
      <c r="IYL614" s="3933"/>
      <c r="IYM614" s="621"/>
      <c r="IYN614" s="3933"/>
      <c r="IYO614" s="3933"/>
      <c r="IYP614" s="3933"/>
      <c r="IYQ614" s="621"/>
      <c r="IYR614" s="3933"/>
      <c r="IYS614" s="3933"/>
      <c r="IYT614" s="3933"/>
      <c r="IYU614" s="621"/>
      <c r="IYV614" s="3933"/>
      <c r="IYW614" s="3933"/>
      <c r="IYX614" s="3933"/>
      <c r="IYY614" s="621"/>
      <c r="IYZ614" s="3933"/>
      <c r="IZA614" s="3933"/>
      <c r="IZB614" s="3933"/>
      <c r="IZC614" s="621"/>
      <c r="IZD614" s="3933"/>
      <c r="IZE614" s="3933"/>
      <c r="IZF614" s="3933"/>
      <c r="IZG614" s="621"/>
      <c r="IZH614" s="3933"/>
      <c r="IZI614" s="3933"/>
      <c r="IZJ614" s="3933"/>
      <c r="IZK614" s="621"/>
      <c r="IZL614" s="3933"/>
      <c r="IZM614" s="3933"/>
      <c r="IZN614" s="3933"/>
      <c r="IZO614" s="621"/>
      <c r="IZP614" s="3933"/>
      <c r="IZQ614" s="3933"/>
      <c r="IZR614" s="3933"/>
      <c r="IZS614" s="621"/>
      <c r="IZT614" s="3933"/>
      <c r="IZU614" s="3933"/>
      <c r="IZV614" s="3933"/>
      <c r="IZW614" s="621"/>
      <c r="IZX614" s="3933"/>
      <c r="IZY614" s="3933"/>
      <c r="IZZ614" s="3933"/>
      <c r="JAA614" s="621"/>
      <c r="JAB614" s="3933"/>
      <c r="JAC614" s="3933"/>
      <c r="JAD614" s="3933"/>
      <c r="JAE614" s="621"/>
      <c r="JAF614" s="3933"/>
      <c r="JAG614" s="3933"/>
      <c r="JAH614" s="3933"/>
      <c r="JAI614" s="621"/>
      <c r="JAJ614" s="3933"/>
      <c r="JAK614" s="3933"/>
      <c r="JAL614" s="3933"/>
      <c r="JAM614" s="621"/>
      <c r="JAN614" s="3933"/>
      <c r="JAO614" s="3933"/>
      <c r="JAP614" s="3933"/>
      <c r="JAQ614" s="621"/>
      <c r="JAR614" s="3933"/>
      <c r="JAS614" s="3933"/>
      <c r="JAT614" s="3933"/>
      <c r="JAU614" s="621"/>
      <c r="JAV614" s="3933"/>
      <c r="JAW614" s="3933"/>
      <c r="JAX614" s="3933"/>
      <c r="JAY614" s="621"/>
      <c r="JAZ614" s="3933"/>
      <c r="JBA614" s="3933"/>
      <c r="JBB614" s="3933"/>
      <c r="JBC614" s="621"/>
      <c r="JBD614" s="3933"/>
      <c r="JBE614" s="3933"/>
      <c r="JBF614" s="3933"/>
      <c r="JBG614" s="621"/>
      <c r="JBH614" s="3933"/>
      <c r="JBI614" s="3933"/>
      <c r="JBJ614" s="3933"/>
      <c r="JBK614" s="621"/>
      <c r="JBL614" s="3933"/>
      <c r="JBM614" s="3933"/>
      <c r="JBN614" s="3933"/>
      <c r="JBO614" s="621"/>
      <c r="JBP614" s="3933"/>
      <c r="JBQ614" s="3933"/>
      <c r="JBR614" s="3933"/>
      <c r="JBS614" s="621"/>
      <c r="JBT614" s="3933"/>
      <c r="JBU614" s="3933"/>
      <c r="JBV614" s="3933"/>
      <c r="JBW614" s="621"/>
      <c r="JBX614" s="3933"/>
      <c r="JBY614" s="3933"/>
      <c r="JBZ614" s="3933"/>
      <c r="JCA614" s="621"/>
      <c r="JCB614" s="3933"/>
      <c r="JCC614" s="3933"/>
      <c r="JCD614" s="3933"/>
      <c r="JCE614" s="621"/>
      <c r="JCF614" s="3933"/>
      <c r="JCG614" s="3933"/>
      <c r="JCH614" s="3933"/>
      <c r="JCI614" s="621"/>
      <c r="JCJ614" s="3933"/>
      <c r="JCK614" s="3933"/>
      <c r="JCL614" s="3933"/>
      <c r="JCM614" s="621"/>
      <c r="JCN614" s="3933"/>
      <c r="JCO614" s="3933"/>
      <c r="JCP614" s="3933"/>
      <c r="JCQ614" s="621"/>
      <c r="JCR614" s="3933"/>
      <c r="JCS614" s="3933"/>
      <c r="JCT614" s="3933"/>
      <c r="JCU614" s="621"/>
      <c r="JCV614" s="3933"/>
      <c r="JCW614" s="3933"/>
      <c r="JCX614" s="3933"/>
      <c r="JCY614" s="621"/>
      <c r="JCZ614" s="3933"/>
      <c r="JDA614" s="3933"/>
      <c r="JDB614" s="3933"/>
      <c r="JDC614" s="621"/>
      <c r="JDD614" s="3933"/>
      <c r="JDE614" s="3933"/>
      <c r="JDF614" s="3933"/>
      <c r="JDG614" s="621"/>
      <c r="JDH614" s="3933"/>
      <c r="JDI614" s="3933"/>
      <c r="JDJ614" s="3933"/>
      <c r="JDK614" s="621"/>
      <c r="JDL614" s="3933"/>
      <c r="JDM614" s="3933"/>
      <c r="JDN614" s="3933"/>
      <c r="JDO614" s="621"/>
      <c r="JDP614" s="3933"/>
      <c r="JDQ614" s="3933"/>
      <c r="JDR614" s="3933"/>
      <c r="JDS614" s="621"/>
      <c r="JDT614" s="3933"/>
      <c r="JDU614" s="3933"/>
      <c r="JDV614" s="3933"/>
      <c r="JDW614" s="621"/>
      <c r="JDX614" s="3933"/>
      <c r="JDY614" s="3933"/>
      <c r="JDZ614" s="3933"/>
      <c r="JEA614" s="621"/>
      <c r="JEB614" s="3933"/>
      <c r="JEC614" s="3933"/>
      <c r="JED614" s="3933"/>
      <c r="JEE614" s="621"/>
      <c r="JEF614" s="3933"/>
      <c r="JEG614" s="3933"/>
      <c r="JEH614" s="3933"/>
      <c r="JEI614" s="621"/>
      <c r="JEJ614" s="3933"/>
      <c r="JEK614" s="3933"/>
      <c r="JEL614" s="3933"/>
      <c r="JEM614" s="621"/>
      <c r="JEN614" s="3933"/>
      <c r="JEO614" s="3933"/>
      <c r="JEP614" s="3933"/>
      <c r="JEQ614" s="621"/>
      <c r="JER614" s="3933"/>
      <c r="JES614" s="3933"/>
      <c r="JET614" s="3933"/>
      <c r="JEU614" s="621"/>
      <c r="JEV614" s="3933"/>
      <c r="JEW614" s="3933"/>
      <c r="JEX614" s="3933"/>
      <c r="JEY614" s="621"/>
      <c r="JEZ614" s="3933"/>
      <c r="JFA614" s="3933"/>
      <c r="JFB614" s="3933"/>
      <c r="JFC614" s="621"/>
      <c r="JFD614" s="3933"/>
      <c r="JFE614" s="3933"/>
      <c r="JFF614" s="3933"/>
      <c r="JFG614" s="621"/>
      <c r="JFH614" s="3933"/>
      <c r="JFI614" s="3933"/>
      <c r="JFJ614" s="3933"/>
      <c r="JFK614" s="621"/>
      <c r="JFL614" s="3933"/>
      <c r="JFM614" s="3933"/>
      <c r="JFN614" s="3933"/>
      <c r="JFO614" s="621"/>
      <c r="JFP614" s="3933"/>
      <c r="JFQ614" s="3933"/>
      <c r="JFR614" s="3933"/>
      <c r="JFS614" s="621"/>
      <c r="JFT614" s="3933"/>
      <c r="JFU614" s="3933"/>
      <c r="JFV614" s="3933"/>
      <c r="JFW614" s="621"/>
      <c r="JFX614" s="3933"/>
      <c r="JFY614" s="3933"/>
      <c r="JFZ614" s="3933"/>
      <c r="JGA614" s="621"/>
      <c r="JGB614" s="3933"/>
      <c r="JGC614" s="3933"/>
      <c r="JGD614" s="3933"/>
      <c r="JGE614" s="621"/>
      <c r="JGF614" s="3933"/>
      <c r="JGG614" s="3933"/>
      <c r="JGH614" s="3933"/>
      <c r="JGI614" s="621"/>
      <c r="JGJ614" s="3933"/>
      <c r="JGK614" s="3933"/>
      <c r="JGL614" s="3933"/>
      <c r="JGM614" s="621"/>
      <c r="JGN614" s="3933"/>
      <c r="JGO614" s="3933"/>
      <c r="JGP614" s="3933"/>
      <c r="JGQ614" s="621"/>
      <c r="JGR614" s="3933"/>
      <c r="JGS614" s="3933"/>
      <c r="JGT614" s="3933"/>
      <c r="JGU614" s="621"/>
      <c r="JGV614" s="3933"/>
      <c r="JGW614" s="3933"/>
      <c r="JGX614" s="3933"/>
      <c r="JGY614" s="621"/>
      <c r="JGZ614" s="3933"/>
      <c r="JHA614" s="3933"/>
      <c r="JHB614" s="3933"/>
      <c r="JHC614" s="621"/>
      <c r="JHD614" s="3933"/>
      <c r="JHE614" s="3933"/>
      <c r="JHF614" s="3933"/>
      <c r="JHG614" s="621"/>
      <c r="JHH614" s="3933"/>
      <c r="JHI614" s="3933"/>
      <c r="JHJ614" s="3933"/>
      <c r="JHK614" s="621"/>
      <c r="JHL614" s="3933"/>
      <c r="JHM614" s="3933"/>
      <c r="JHN614" s="3933"/>
      <c r="JHO614" s="621"/>
      <c r="JHP614" s="3933"/>
      <c r="JHQ614" s="3933"/>
      <c r="JHR614" s="3933"/>
      <c r="JHS614" s="621"/>
      <c r="JHT614" s="3933"/>
      <c r="JHU614" s="3933"/>
      <c r="JHV614" s="3933"/>
      <c r="JHW614" s="621"/>
      <c r="JHX614" s="3933"/>
      <c r="JHY614" s="3933"/>
      <c r="JHZ614" s="3933"/>
      <c r="JIA614" s="621"/>
      <c r="JIB614" s="3933"/>
      <c r="JIC614" s="3933"/>
      <c r="JID614" s="3933"/>
      <c r="JIE614" s="621"/>
      <c r="JIF614" s="3933"/>
      <c r="JIG614" s="3933"/>
      <c r="JIH614" s="3933"/>
      <c r="JII614" s="621"/>
      <c r="JIJ614" s="3933"/>
      <c r="JIK614" s="3933"/>
      <c r="JIL614" s="3933"/>
      <c r="JIM614" s="621"/>
      <c r="JIN614" s="3933"/>
      <c r="JIO614" s="3933"/>
      <c r="JIP614" s="3933"/>
      <c r="JIQ614" s="621"/>
      <c r="JIR614" s="3933"/>
      <c r="JIS614" s="3933"/>
      <c r="JIT614" s="3933"/>
      <c r="JIU614" s="621"/>
      <c r="JIV614" s="3933"/>
      <c r="JIW614" s="3933"/>
      <c r="JIX614" s="3933"/>
      <c r="JIY614" s="621"/>
      <c r="JIZ614" s="3933"/>
      <c r="JJA614" s="3933"/>
      <c r="JJB614" s="3933"/>
      <c r="JJC614" s="621"/>
      <c r="JJD614" s="3933"/>
      <c r="JJE614" s="3933"/>
      <c r="JJF614" s="3933"/>
      <c r="JJG614" s="621"/>
      <c r="JJH614" s="3933"/>
      <c r="JJI614" s="3933"/>
      <c r="JJJ614" s="3933"/>
      <c r="JJK614" s="621"/>
      <c r="JJL614" s="3933"/>
      <c r="JJM614" s="3933"/>
      <c r="JJN614" s="3933"/>
      <c r="JJO614" s="621"/>
      <c r="JJP614" s="3933"/>
      <c r="JJQ614" s="3933"/>
      <c r="JJR614" s="3933"/>
      <c r="JJS614" s="621"/>
      <c r="JJT614" s="3933"/>
      <c r="JJU614" s="3933"/>
      <c r="JJV614" s="3933"/>
      <c r="JJW614" s="621"/>
      <c r="JJX614" s="3933"/>
      <c r="JJY614" s="3933"/>
      <c r="JJZ614" s="3933"/>
      <c r="JKA614" s="621"/>
      <c r="JKB614" s="3933"/>
      <c r="JKC614" s="3933"/>
      <c r="JKD614" s="3933"/>
      <c r="JKE614" s="621"/>
      <c r="JKF614" s="3933"/>
      <c r="JKG614" s="3933"/>
      <c r="JKH614" s="3933"/>
      <c r="JKI614" s="621"/>
      <c r="JKJ614" s="3933"/>
      <c r="JKK614" s="3933"/>
      <c r="JKL614" s="3933"/>
      <c r="JKM614" s="621"/>
      <c r="JKN614" s="3933"/>
      <c r="JKO614" s="3933"/>
      <c r="JKP614" s="3933"/>
      <c r="JKQ614" s="621"/>
      <c r="JKR614" s="3933"/>
      <c r="JKS614" s="3933"/>
      <c r="JKT614" s="3933"/>
      <c r="JKU614" s="621"/>
      <c r="JKV614" s="3933"/>
      <c r="JKW614" s="3933"/>
      <c r="JKX614" s="3933"/>
      <c r="JKY614" s="621"/>
      <c r="JKZ614" s="3933"/>
      <c r="JLA614" s="3933"/>
      <c r="JLB614" s="3933"/>
      <c r="JLC614" s="621"/>
      <c r="JLD614" s="3933"/>
      <c r="JLE614" s="3933"/>
      <c r="JLF614" s="3933"/>
      <c r="JLG614" s="621"/>
      <c r="JLH614" s="3933"/>
      <c r="JLI614" s="3933"/>
      <c r="JLJ614" s="3933"/>
      <c r="JLK614" s="621"/>
      <c r="JLL614" s="3933"/>
      <c r="JLM614" s="3933"/>
      <c r="JLN614" s="3933"/>
      <c r="JLO614" s="621"/>
      <c r="JLP614" s="3933"/>
      <c r="JLQ614" s="3933"/>
      <c r="JLR614" s="3933"/>
      <c r="JLS614" s="621"/>
      <c r="JLT614" s="3933"/>
      <c r="JLU614" s="3933"/>
      <c r="JLV614" s="3933"/>
      <c r="JLW614" s="621"/>
      <c r="JLX614" s="3933"/>
      <c r="JLY614" s="3933"/>
      <c r="JLZ614" s="3933"/>
      <c r="JMA614" s="621"/>
      <c r="JMB614" s="3933"/>
      <c r="JMC614" s="3933"/>
      <c r="JMD614" s="3933"/>
      <c r="JME614" s="621"/>
      <c r="JMF614" s="3933"/>
      <c r="JMG614" s="3933"/>
      <c r="JMH614" s="3933"/>
      <c r="JMI614" s="621"/>
      <c r="JMJ614" s="3933"/>
      <c r="JMK614" s="3933"/>
      <c r="JML614" s="3933"/>
      <c r="JMM614" s="621"/>
      <c r="JMN614" s="3933"/>
      <c r="JMO614" s="3933"/>
      <c r="JMP614" s="3933"/>
      <c r="JMQ614" s="621"/>
      <c r="JMR614" s="3933"/>
      <c r="JMS614" s="3933"/>
      <c r="JMT614" s="3933"/>
      <c r="JMU614" s="621"/>
      <c r="JMV614" s="3933"/>
      <c r="JMW614" s="3933"/>
      <c r="JMX614" s="3933"/>
      <c r="JMY614" s="621"/>
      <c r="JMZ614" s="3933"/>
      <c r="JNA614" s="3933"/>
      <c r="JNB614" s="3933"/>
      <c r="JNC614" s="621"/>
      <c r="JND614" s="3933"/>
      <c r="JNE614" s="3933"/>
      <c r="JNF614" s="3933"/>
      <c r="JNG614" s="621"/>
      <c r="JNH614" s="3933"/>
      <c r="JNI614" s="3933"/>
      <c r="JNJ614" s="3933"/>
      <c r="JNK614" s="621"/>
      <c r="JNL614" s="3933"/>
      <c r="JNM614" s="3933"/>
      <c r="JNN614" s="3933"/>
      <c r="JNO614" s="621"/>
      <c r="JNP614" s="3933"/>
      <c r="JNQ614" s="3933"/>
      <c r="JNR614" s="3933"/>
      <c r="JNS614" s="621"/>
      <c r="JNT614" s="3933"/>
      <c r="JNU614" s="3933"/>
      <c r="JNV614" s="3933"/>
      <c r="JNW614" s="621"/>
      <c r="JNX614" s="3933"/>
      <c r="JNY614" s="3933"/>
      <c r="JNZ614" s="3933"/>
      <c r="JOA614" s="621"/>
      <c r="JOB614" s="3933"/>
      <c r="JOC614" s="3933"/>
      <c r="JOD614" s="3933"/>
      <c r="JOE614" s="621"/>
      <c r="JOF614" s="3933"/>
      <c r="JOG614" s="3933"/>
      <c r="JOH614" s="3933"/>
      <c r="JOI614" s="621"/>
      <c r="JOJ614" s="3933"/>
      <c r="JOK614" s="3933"/>
      <c r="JOL614" s="3933"/>
      <c r="JOM614" s="621"/>
      <c r="JON614" s="3933"/>
      <c r="JOO614" s="3933"/>
      <c r="JOP614" s="3933"/>
      <c r="JOQ614" s="621"/>
      <c r="JOR614" s="3933"/>
      <c r="JOS614" s="3933"/>
      <c r="JOT614" s="3933"/>
      <c r="JOU614" s="621"/>
      <c r="JOV614" s="3933"/>
      <c r="JOW614" s="3933"/>
      <c r="JOX614" s="3933"/>
      <c r="JOY614" s="621"/>
      <c r="JOZ614" s="3933"/>
      <c r="JPA614" s="3933"/>
      <c r="JPB614" s="3933"/>
      <c r="JPC614" s="621"/>
      <c r="JPD614" s="3933"/>
      <c r="JPE614" s="3933"/>
      <c r="JPF614" s="3933"/>
      <c r="JPG614" s="621"/>
      <c r="JPH614" s="3933"/>
      <c r="JPI614" s="3933"/>
      <c r="JPJ614" s="3933"/>
      <c r="JPK614" s="621"/>
      <c r="JPL614" s="3933"/>
      <c r="JPM614" s="3933"/>
      <c r="JPN614" s="3933"/>
      <c r="JPO614" s="621"/>
      <c r="JPP614" s="3933"/>
      <c r="JPQ614" s="3933"/>
      <c r="JPR614" s="3933"/>
      <c r="JPS614" s="621"/>
      <c r="JPT614" s="3933"/>
      <c r="JPU614" s="3933"/>
      <c r="JPV614" s="3933"/>
      <c r="JPW614" s="621"/>
      <c r="JPX614" s="3933"/>
      <c r="JPY614" s="3933"/>
      <c r="JPZ614" s="3933"/>
      <c r="JQA614" s="621"/>
      <c r="JQB614" s="3933"/>
      <c r="JQC614" s="3933"/>
      <c r="JQD614" s="3933"/>
      <c r="JQE614" s="621"/>
      <c r="JQF614" s="3933"/>
      <c r="JQG614" s="3933"/>
      <c r="JQH614" s="3933"/>
      <c r="JQI614" s="621"/>
      <c r="JQJ614" s="3933"/>
      <c r="JQK614" s="3933"/>
      <c r="JQL614" s="3933"/>
      <c r="JQM614" s="621"/>
      <c r="JQN614" s="3933"/>
      <c r="JQO614" s="3933"/>
      <c r="JQP614" s="3933"/>
      <c r="JQQ614" s="621"/>
      <c r="JQR614" s="3933"/>
      <c r="JQS614" s="3933"/>
      <c r="JQT614" s="3933"/>
      <c r="JQU614" s="621"/>
      <c r="JQV614" s="3933"/>
      <c r="JQW614" s="3933"/>
      <c r="JQX614" s="3933"/>
      <c r="JQY614" s="621"/>
      <c r="JQZ614" s="3933"/>
      <c r="JRA614" s="3933"/>
      <c r="JRB614" s="3933"/>
      <c r="JRC614" s="621"/>
      <c r="JRD614" s="3933"/>
      <c r="JRE614" s="3933"/>
      <c r="JRF614" s="3933"/>
      <c r="JRG614" s="621"/>
      <c r="JRH614" s="3933"/>
      <c r="JRI614" s="3933"/>
      <c r="JRJ614" s="3933"/>
      <c r="JRK614" s="621"/>
      <c r="JRL614" s="3933"/>
      <c r="JRM614" s="3933"/>
      <c r="JRN614" s="3933"/>
      <c r="JRO614" s="621"/>
      <c r="JRP614" s="3933"/>
      <c r="JRQ614" s="3933"/>
      <c r="JRR614" s="3933"/>
      <c r="JRS614" s="621"/>
      <c r="JRT614" s="3933"/>
      <c r="JRU614" s="3933"/>
      <c r="JRV614" s="3933"/>
      <c r="JRW614" s="621"/>
      <c r="JRX614" s="3933"/>
      <c r="JRY614" s="3933"/>
      <c r="JRZ614" s="3933"/>
      <c r="JSA614" s="621"/>
      <c r="JSB614" s="3933"/>
      <c r="JSC614" s="3933"/>
      <c r="JSD614" s="3933"/>
      <c r="JSE614" s="621"/>
      <c r="JSF614" s="3933"/>
      <c r="JSG614" s="3933"/>
      <c r="JSH614" s="3933"/>
      <c r="JSI614" s="621"/>
      <c r="JSJ614" s="3933"/>
      <c r="JSK614" s="3933"/>
      <c r="JSL614" s="3933"/>
      <c r="JSM614" s="621"/>
      <c r="JSN614" s="3933"/>
      <c r="JSO614" s="3933"/>
      <c r="JSP614" s="3933"/>
      <c r="JSQ614" s="621"/>
      <c r="JSR614" s="3933"/>
      <c r="JSS614" s="3933"/>
      <c r="JST614" s="3933"/>
      <c r="JSU614" s="621"/>
      <c r="JSV614" s="3933"/>
      <c r="JSW614" s="3933"/>
      <c r="JSX614" s="3933"/>
      <c r="JSY614" s="621"/>
      <c r="JSZ614" s="3933"/>
      <c r="JTA614" s="3933"/>
      <c r="JTB614" s="3933"/>
      <c r="JTC614" s="621"/>
      <c r="JTD614" s="3933"/>
      <c r="JTE614" s="3933"/>
      <c r="JTF614" s="3933"/>
      <c r="JTG614" s="621"/>
      <c r="JTH614" s="3933"/>
      <c r="JTI614" s="3933"/>
      <c r="JTJ614" s="3933"/>
      <c r="JTK614" s="621"/>
      <c r="JTL614" s="3933"/>
      <c r="JTM614" s="3933"/>
      <c r="JTN614" s="3933"/>
      <c r="JTO614" s="621"/>
      <c r="JTP614" s="3933"/>
      <c r="JTQ614" s="3933"/>
      <c r="JTR614" s="3933"/>
      <c r="JTS614" s="621"/>
      <c r="JTT614" s="3933"/>
      <c r="JTU614" s="3933"/>
      <c r="JTV614" s="3933"/>
      <c r="JTW614" s="621"/>
      <c r="JTX614" s="3933"/>
      <c r="JTY614" s="3933"/>
      <c r="JTZ614" s="3933"/>
      <c r="JUA614" s="621"/>
      <c r="JUB614" s="3933"/>
      <c r="JUC614" s="3933"/>
      <c r="JUD614" s="3933"/>
      <c r="JUE614" s="621"/>
      <c r="JUF614" s="3933"/>
      <c r="JUG614" s="3933"/>
      <c r="JUH614" s="3933"/>
      <c r="JUI614" s="621"/>
      <c r="JUJ614" s="3933"/>
      <c r="JUK614" s="3933"/>
      <c r="JUL614" s="3933"/>
      <c r="JUM614" s="621"/>
      <c r="JUN614" s="3933"/>
      <c r="JUO614" s="3933"/>
      <c r="JUP614" s="3933"/>
      <c r="JUQ614" s="621"/>
      <c r="JUR614" s="3933"/>
      <c r="JUS614" s="3933"/>
      <c r="JUT614" s="3933"/>
      <c r="JUU614" s="621"/>
      <c r="JUV614" s="3933"/>
      <c r="JUW614" s="3933"/>
      <c r="JUX614" s="3933"/>
      <c r="JUY614" s="621"/>
      <c r="JUZ614" s="3933"/>
      <c r="JVA614" s="3933"/>
      <c r="JVB614" s="3933"/>
      <c r="JVC614" s="621"/>
      <c r="JVD614" s="3933"/>
      <c r="JVE614" s="3933"/>
      <c r="JVF614" s="3933"/>
      <c r="JVG614" s="621"/>
      <c r="JVH614" s="3933"/>
      <c r="JVI614" s="3933"/>
      <c r="JVJ614" s="3933"/>
      <c r="JVK614" s="621"/>
      <c r="JVL614" s="3933"/>
      <c r="JVM614" s="3933"/>
      <c r="JVN614" s="3933"/>
      <c r="JVO614" s="621"/>
      <c r="JVP614" s="3933"/>
      <c r="JVQ614" s="3933"/>
      <c r="JVR614" s="3933"/>
      <c r="JVS614" s="621"/>
      <c r="JVT614" s="3933"/>
      <c r="JVU614" s="3933"/>
      <c r="JVV614" s="3933"/>
      <c r="JVW614" s="621"/>
      <c r="JVX614" s="3933"/>
      <c r="JVY614" s="3933"/>
      <c r="JVZ614" s="3933"/>
      <c r="JWA614" s="621"/>
      <c r="JWB614" s="3933"/>
      <c r="JWC614" s="3933"/>
      <c r="JWD614" s="3933"/>
      <c r="JWE614" s="621"/>
      <c r="JWF614" s="3933"/>
      <c r="JWG614" s="3933"/>
      <c r="JWH614" s="3933"/>
      <c r="JWI614" s="621"/>
      <c r="JWJ614" s="3933"/>
      <c r="JWK614" s="3933"/>
      <c r="JWL614" s="3933"/>
      <c r="JWM614" s="621"/>
      <c r="JWN614" s="3933"/>
      <c r="JWO614" s="3933"/>
      <c r="JWP614" s="3933"/>
      <c r="JWQ614" s="621"/>
      <c r="JWR614" s="3933"/>
      <c r="JWS614" s="3933"/>
      <c r="JWT614" s="3933"/>
      <c r="JWU614" s="621"/>
      <c r="JWV614" s="3933"/>
      <c r="JWW614" s="3933"/>
      <c r="JWX614" s="3933"/>
      <c r="JWY614" s="621"/>
      <c r="JWZ614" s="3933"/>
      <c r="JXA614" s="3933"/>
      <c r="JXB614" s="3933"/>
      <c r="JXC614" s="621"/>
      <c r="JXD614" s="3933"/>
      <c r="JXE614" s="3933"/>
      <c r="JXF614" s="3933"/>
      <c r="JXG614" s="621"/>
      <c r="JXH614" s="3933"/>
      <c r="JXI614" s="3933"/>
      <c r="JXJ614" s="3933"/>
      <c r="JXK614" s="621"/>
      <c r="JXL614" s="3933"/>
      <c r="JXM614" s="3933"/>
      <c r="JXN614" s="3933"/>
      <c r="JXO614" s="621"/>
      <c r="JXP614" s="3933"/>
      <c r="JXQ614" s="3933"/>
      <c r="JXR614" s="3933"/>
      <c r="JXS614" s="621"/>
      <c r="JXT614" s="3933"/>
      <c r="JXU614" s="3933"/>
      <c r="JXV614" s="3933"/>
      <c r="JXW614" s="621"/>
      <c r="JXX614" s="3933"/>
      <c r="JXY614" s="3933"/>
      <c r="JXZ614" s="3933"/>
      <c r="JYA614" s="621"/>
      <c r="JYB614" s="3933"/>
      <c r="JYC614" s="3933"/>
      <c r="JYD614" s="3933"/>
      <c r="JYE614" s="621"/>
      <c r="JYF614" s="3933"/>
      <c r="JYG614" s="3933"/>
      <c r="JYH614" s="3933"/>
      <c r="JYI614" s="621"/>
      <c r="JYJ614" s="3933"/>
      <c r="JYK614" s="3933"/>
      <c r="JYL614" s="3933"/>
      <c r="JYM614" s="621"/>
      <c r="JYN614" s="3933"/>
      <c r="JYO614" s="3933"/>
      <c r="JYP614" s="3933"/>
      <c r="JYQ614" s="621"/>
      <c r="JYR614" s="3933"/>
      <c r="JYS614" s="3933"/>
      <c r="JYT614" s="3933"/>
      <c r="JYU614" s="621"/>
      <c r="JYV614" s="3933"/>
      <c r="JYW614" s="3933"/>
      <c r="JYX614" s="3933"/>
      <c r="JYY614" s="621"/>
      <c r="JYZ614" s="3933"/>
      <c r="JZA614" s="3933"/>
      <c r="JZB614" s="3933"/>
      <c r="JZC614" s="621"/>
      <c r="JZD614" s="3933"/>
      <c r="JZE614" s="3933"/>
      <c r="JZF614" s="3933"/>
      <c r="JZG614" s="621"/>
      <c r="JZH614" s="3933"/>
      <c r="JZI614" s="3933"/>
      <c r="JZJ614" s="3933"/>
      <c r="JZK614" s="621"/>
      <c r="JZL614" s="3933"/>
      <c r="JZM614" s="3933"/>
      <c r="JZN614" s="3933"/>
      <c r="JZO614" s="621"/>
      <c r="JZP614" s="3933"/>
      <c r="JZQ614" s="3933"/>
      <c r="JZR614" s="3933"/>
      <c r="JZS614" s="621"/>
      <c r="JZT614" s="3933"/>
      <c r="JZU614" s="3933"/>
      <c r="JZV614" s="3933"/>
      <c r="JZW614" s="621"/>
      <c r="JZX614" s="3933"/>
      <c r="JZY614" s="3933"/>
      <c r="JZZ614" s="3933"/>
      <c r="KAA614" s="621"/>
      <c r="KAB614" s="3933"/>
      <c r="KAC614" s="3933"/>
      <c r="KAD614" s="3933"/>
      <c r="KAE614" s="621"/>
      <c r="KAF614" s="3933"/>
      <c r="KAG614" s="3933"/>
      <c r="KAH614" s="3933"/>
      <c r="KAI614" s="621"/>
      <c r="KAJ614" s="3933"/>
      <c r="KAK614" s="3933"/>
      <c r="KAL614" s="3933"/>
      <c r="KAM614" s="621"/>
      <c r="KAN614" s="3933"/>
      <c r="KAO614" s="3933"/>
      <c r="KAP614" s="3933"/>
      <c r="KAQ614" s="621"/>
      <c r="KAR614" s="3933"/>
      <c r="KAS614" s="3933"/>
      <c r="KAT614" s="3933"/>
      <c r="KAU614" s="621"/>
      <c r="KAV614" s="3933"/>
      <c r="KAW614" s="3933"/>
      <c r="KAX614" s="3933"/>
      <c r="KAY614" s="621"/>
      <c r="KAZ614" s="3933"/>
      <c r="KBA614" s="3933"/>
      <c r="KBB614" s="3933"/>
      <c r="KBC614" s="621"/>
      <c r="KBD614" s="3933"/>
      <c r="KBE614" s="3933"/>
      <c r="KBF614" s="3933"/>
      <c r="KBG614" s="621"/>
      <c r="KBH614" s="3933"/>
      <c r="KBI614" s="3933"/>
      <c r="KBJ614" s="3933"/>
      <c r="KBK614" s="621"/>
      <c r="KBL614" s="3933"/>
      <c r="KBM614" s="3933"/>
      <c r="KBN614" s="3933"/>
      <c r="KBO614" s="621"/>
      <c r="KBP614" s="3933"/>
      <c r="KBQ614" s="3933"/>
      <c r="KBR614" s="3933"/>
      <c r="KBS614" s="621"/>
      <c r="KBT614" s="3933"/>
      <c r="KBU614" s="3933"/>
      <c r="KBV614" s="3933"/>
      <c r="KBW614" s="621"/>
      <c r="KBX614" s="3933"/>
      <c r="KBY614" s="3933"/>
      <c r="KBZ614" s="3933"/>
      <c r="KCA614" s="621"/>
      <c r="KCB614" s="3933"/>
      <c r="KCC614" s="3933"/>
      <c r="KCD614" s="3933"/>
      <c r="KCE614" s="621"/>
      <c r="KCF614" s="3933"/>
      <c r="KCG614" s="3933"/>
      <c r="KCH614" s="3933"/>
      <c r="KCI614" s="621"/>
      <c r="KCJ614" s="3933"/>
      <c r="KCK614" s="3933"/>
      <c r="KCL614" s="3933"/>
      <c r="KCM614" s="621"/>
      <c r="KCN614" s="3933"/>
      <c r="KCO614" s="3933"/>
      <c r="KCP614" s="3933"/>
      <c r="KCQ614" s="621"/>
      <c r="KCR614" s="3933"/>
      <c r="KCS614" s="3933"/>
      <c r="KCT614" s="3933"/>
      <c r="KCU614" s="621"/>
      <c r="KCV614" s="3933"/>
      <c r="KCW614" s="3933"/>
      <c r="KCX614" s="3933"/>
      <c r="KCY614" s="621"/>
      <c r="KCZ614" s="3933"/>
      <c r="KDA614" s="3933"/>
      <c r="KDB614" s="3933"/>
      <c r="KDC614" s="621"/>
      <c r="KDD614" s="3933"/>
      <c r="KDE614" s="3933"/>
      <c r="KDF614" s="3933"/>
      <c r="KDG614" s="621"/>
      <c r="KDH614" s="3933"/>
      <c r="KDI614" s="3933"/>
      <c r="KDJ614" s="3933"/>
      <c r="KDK614" s="621"/>
      <c r="KDL614" s="3933"/>
      <c r="KDM614" s="3933"/>
      <c r="KDN614" s="3933"/>
      <c r="KDO614" s="621"/>
      <c r="KDP614" s="3933"/>
      <c r="KDQ614" s="3933"/>
      <c r="KDR614" s="3933"/>
      <c r="KDS614" s="621"/>
      <c r="KDT614" s="3933"/>
      <c r="KDU614" s="3933"/>
      <c r="KDV614" s="3933"/>
      <c r="KDW614" s="621"/>
      <c r="KDX614" s="3933"/>
      <c r="KDY614" s="3933"/>
      <c r="KDZ614" s="3933"/>
      <c r="KEA614" s="621"/>
      <c r="KEB614" s="3933"/>
      <c r="KEC614" s="3933"/>
      <c r="KED614" s="3933"/>
      <c r="KEE614" s="621"/>
      <c r="KEF614" s="3933"/>
      <c r="KEG614" s="3933"/>
      <c r="KEH614" s="3933"/>
      <c r="KEI614" s="621"/>
      <c r="KEJ614" s="3933"/>
      <c r="KEK614" s="3933"/>
      <c r="KEL614" s="3933"/>
      <c r="KEM614" s="621"/>
      <c r="KEN614" s="3933"/>
      <c r="KEO614" s="3933"/>
      <c r="KEP614" s="3933"/>
      <c r="KEQ614" s="621"/>
      <c r="KER614" s="3933"/>
      <c r="KES614" s="3933"/>
      <c r="KET614" s="3933"/>
      <c r="KEU614" s="621"/>
      <c r="KEV614" s="3933"/>
      <c r="KEW614" s="3933"/>
      <c r="KEX614" s="3933"/>
      <c r="KEY614" s="621"/>
      <c r="KEZ614" s="3933"/>
      <c r="KFA614" s="3933"/>
      <c r="KFB614" s="3933"/>
      <c r="KFC614" s="621"/>
      <c r="KFD614" s="3933"/>
      <c r="KFE614" s="3933"/>
      <c r="KFF614" s="3933"/>
      <c r="KFG614" s="621"/>
      <c r="KFH614" s="3933"/>
      <c r="KFI614" s="3933"/>
      <c r="KFJ614" s="3933"/>
      <c r="KFK614" s="621"/>
      <c r="KFL614" s="3933"/>
      <c r="KFM614" s="3933"/>
      <c r="KFN614" s="3933"/>
      <c r="KFO614" s="621"/>
      <c r="KFP614" s="3933"/>
      <c r="KFQ614" s="3933"/>
      <c r="KFR614" s="3933"/>
      <c r="KFS614" s="621"/>
      <c r="KFT614" s="3933"/>
      <c r="KFU614" s="3933"/>
      <c r="KFV614" s="3933"/>
      <c r="KFW614" s="621"/>
      <c r="KFX614" s="3933"/>
      <c r="KFY614" s="3933"/>
      <c r="KFZ614" s="3933"/>
      <c r="KGA614" s="621"/>
      <c r="KGB614" s="3933"/>
      <c r="KGC614" s="3933"/>
      <c r="KGD614" s="3933"/>
      <c r="KGE614" s="621"/>
      <c r="KGF614" s="3933"/>
      <c r="KGG614" s="3933"/>
      <c r="KGH614" s="3933"/>
      <c r="KGI614" s="621"/>
      <c r="KGJ614" s="3933"/>
      <c r="KGK614" s="3933"/>
      <c r="KGL614" s="3933"/>
      <c r="KGM614" s="621"/>
      <c r="KGN614" s="3933"/>
      <c r="KGO614" s="3933"/>
      <c r="KGP614" s="3933"/>
      <c r="KGQ614" s="621"/>
      <c r="KGR614" s="3933"/>
      <c r="KGS614" s="3933"/>
      <c r="KGT614" s="3933"/>
      <c r="KGU614" s="621"/>
      <c r="KGV614" s="3933"/>
      <c r="KGW614" s="3933"/>
      <c r="KGX614" s="3933"/>
      <c r="KGY614" s="621"/>
      <c r="KGZ614" s="3933"/>
      <c r="KHA614" s="3933"/>
      <c r="KHB614" s="3933"/>
      <c r="KHC614" s="621"/>
      <c r="KHD614" s="3933"/>
      <c r="KHE614" s="3933"/>
      <c r="KHF614" s="3933"/>
      <c r="KHG614" s="621"/>
      <c r="KHH614" s="3933"/>
      <c r="KHI614" s="3933"/>
      <c r="KHJ614" s="3933"/>
      <c r="KHK614" s="621"/>
      <c r="KHL614" s="3933"/>
      <c r="KHM614" s="3933"/>
      <c r="KHN614" s="3933"/>
      <c r="KHO614" s="621"/>
      <c r="KHP614" s="3933"/>
      <c r="KHQ614" s="3933"/>
      <c r="KHR614" s="3933"/>
      <c r="KHS614" s="621"/>
      <c r="KHT614" s="3933"/>
      <c r="KHU614" s="3933"/>
      <c r="KHV614" s="3933"/>
      <c r="KHW614" s="621"/>
      <c r="KHX614" s="3933"/>
      <c r="KHY614" s="3933"/>
      <c r="KHZ614" s="3933"/>
      <c r="KIA614" s="621"/>
      <c r="KIB614" s="3933"/>
      <c r="KIC614" s="3933"/>
      <c r="KID614" s="3933"/>
      <c r="KIE614" s="621"/>
      <c r="KIF614" s="3933"/>
      <c r="KIG614" s="3933"/>
      <c r="KIH614" s="3933"/>
      <c r="KII614" s="621"/>
      <c r="KIJ614" s="3933"/>
      <c r="KIK614" s="3933"/>
      <c r="KIL614" s="3933"/>
      <c r="KIM614" s="621"/>
      <c r="KIN614" s="3933"/>
      <c r="KIO614" s="3933"/>
      <c r="KIP614" s="3933"/>
      <c r="KIQ614" s="621"/>
      <c r="KIR614" s="3933"/>
      <c r="KIS614" s="3933"/>
      <c r="KIT614" s="3933"/>
      <c r="KIU614" s="621"/>
      <c r="KIV614" s="3933"/>
      <c r="KIW614" s="3933"/>
      <c r="KIX614" s="3933"/>
      <c r="KIY614" s="621"/>
      <c r="KIZ614" s="3933"/>
      <c r="KJA614" s="3933"/>
      <c r="KJB614" s="3933"/>
      <c r="KJC614" s="621"/>
      <c r="KJD614" s="3933"/>
      <c r="KJE614" s="3933"/>
      <c r="KJF614" s="3933"/>
      <c r="KJG614" s="621"/>
      <c r="KJH614" s="3933"/>
      <c r="KJI614" s="3933"/>
      <c r="KJJ614" s="3933"/>
      <c r="KJK614" s="621"/>
      <c r="KJL614" s="3933"/>
      <c r="KJM614" s="3933"/>
      <c r="KJN614" s="3933"/>
      <c r="KJO614" s="621"/>
      <c r="KJP614" s="3933"/>
      <c r="KJQ614" s="3933"/>
      <c r="KJR614" s="3933"/>
      <c r="KJS614" s="621"/>
      <c r="KJT614" s="3933"/>
      <c r="KJU614" s="3933"/>
      <c r="KJV614" s="3933"/>
      <c r="KJW614" s="621"/>
      <c r="KJX614" s="3933"/>
      <c r="KJY614" s="3933"/>
      <c r="KJZ614" s="3933"/>
      <c r="KKA614" s="621"/>
      <c r="KKB614" s="3933"/>
      <c r="KKC614" s="3933"/>
      <c r="KKD614" s="3933"/>
      <c r="KKE614" s="621"/>
      <c r="KKF614" s="3933"/>
      <c r="KKG614" s="3933"/>
      <c r="KKH614" s="3933"/>
      <c r="KKI614" s="621"/>
      <c r="KKJ614" s="3933"/>
      <c r="KKK614" s="3933"/>
      <c r="KKL614" s="3933"/>
      <c r="KKM614" s="621"/>
      <c r="KKN614" s="3933"/>
      <c r="KKO614" s="3933"/>
      <c r="KKP614" s="3933"/>
      <c r="KKQ614" s="621"/>
      <c r="KKR614" s="3933"/>
      <c r="KKS614" s="3933"/>
      <c r="KKT614" s="3933"/>
      <c r="KKU614" s="621"/>
      <c r="KKV614" s="3933"/>
      <c r="KKW614" s="3933"/>
      <c r="KKX614" s="3933"/>
      <c r="KKY614" s="621"/>
      <c r="KKZ614" s="3933"/>
      <c r="KLA614" s="3933"/>
      <c r="KLB614" s="3933"/>
      <c r="KLC614" s="621"/>
      <c r="KLD614" s="3933"/>
      <c r="KLE614" s="3933"/>
      <c r="KLF614" s="3933"/>
      <c r="KLG614" s="621"/>
      <c r="KLH614" s="3933"/>
      <c r="KLI614" s="3933"/>
      <c r="KLJ614" s="3933"/>
      <c r="KLK614" s="621"/>
      <c r="KLL614" s="3933"/>
      <c r="KLM614" s="3933"/>
      <c r="KLN614" s="3933"/>
      <c r="KLO614" s="621"/>
      <c r="KLP614" s="3933"/>
      <c r="KLQ614" s="3933"/>
      <c r="KLR614" s="3933"/>
      <c r="KLS614" s="621"/>
      <c r="KLT614" s="3933"/>
      <c r="KLU614" s="3933"/>
      <c r="KLV614" s="3933"/>
      <c r="KLW614" s="621"/>
      <c r="KLX614" s="3933"/>
      <c r="KLY614" s="3933"/>
      <c r="KLZ614" s="3933"/>
      <c r="KMA614" s="621"/>
      <c r="KMB614" s="3933"/>
      <c r="KMC614" s="3933"/>
      <c r="KMD614" s="3933"/>
      <c r="KME614" s="621"/>
      <c r="KMF614" s="3933"/>
      <c r="KMG614" s="3933"/>
      <c r="KMH614" s="3933"/>
      <c r="KMI614" s="621"/>
      <c r="KMJ614" s="3933"/>
      <c r="KMK614" s="3933"/>
      <c r="KML614" s="3933"/>
      <c r="KMM614" s="621"/>
      <c r="KMN614" s="3933"/>
      <c r="KMO614" s="3933"/>
      <c r="KMP614" s="3933"/>
      <c r="KMQ614" s="621"/>
      <c r="KMR614" s="3933"/>
      <c r="KMS614" s="3933"/>
      <c r="KMT614" s="3933"/>
      <c r="KMU614" s="621"/>
      <c r="KMV614" s="3933"/>
      <c r="KMW614" s="3933"/>
      <c r="KMX614" s="3933"/>
      <c r="KMY614" s="621"/>
      <c r="KMZ614" s="3933"/>
      <c r="KNA614" s="3933"/>
      <c r="KNB614" s="3933"/>
      <c r="KNC614" s="621"/>
      <c r="KND614" s="3933"/>
      <c r="KNE614" s="3933"/>
      <c r="KNF614" s="3933"/>
      <c r="KNG614" s="621"/>
      <c r="KNH614" s="3933"/>
      <c r="KNI614" s="3933"/>
      <c r="KNJ614" s="3933"/>
      <c r="KNK614" s="621"/>
      <c r="KNL614" s="3933"/>
      <c r="KNM614" s="3933"/>
      <c r="KNN614" s="3933"/>
      <c r="KNO614" s="621"/>
      <c r="KNP614" s="3933"/>
      <c r="KNQ614" s="3933"/>
      <c r="KNR614" s="3933"/>
      <c r="KNS614" s="621"/>
      <c r="KNT614" s="3933"/>
      <c r="KNU614" s="3933"/>
      <c r="KNV614" s="3933"/>
      <c r="KNW614" s="621"/>
      <c r="KNX614" s="3933"/>
      <c r="KNY614" s="3933"/>
      <c r="KNZ614" s="3933"/>
      <c r="KOA614" s="621"/>
      <c r="KOB614" s="3933"/>
      <c r="KOC614" s="3933"/>
      <c r="KOD614" s="3933"/>
      <c r="KOE614" s="621"/>
      <c r="KOF614" s="3933"/>
      <c r="KOG614" s="3933"/>
      <c r="KOH614" s="3933"/>
      <c r="KOI614" s="621"/>
      <c r="KOJ614" s="3933"/>
      <c r="KOK614" s="3933"/>
      <c r="KOL614" s="3933"/>
      <c r="KOM614" s="621"/>
      <c r="KON614" s="3933"/>
      <c r="KOO614" s="3933"/>
      <c r="KOP614" s="3933"/>
      <c r="KOQ614" s="621"/>
      <c r="KOR614" s="3933"/>
      <c r="KOS614" s="3933"/>
      <c r="KOT614" s="3933"/>
      <c r="KOU614" s="621"/>
      <c r="KOV614" s="3933"/>
      <c r="KOW614" s="3933"/>
      <c r="KOX614" s="3933"/>
      <c r="KOY614" s="621"/>
      <c r="KOZ614" s="3933"/>
      <c r="KPA614" s="3933"/>
      <c r="KPB614" s="3933"/>
      <c r="KPC614" s="621"/>
      <c r="KPD614" s="3933"/>
      <c r="KPE614" s="3933"/>
      <c r="KPF614" s="3933"/>
      <c r="KPG614" s="621"/>
      <c r="KPH614" s="3933"/>
      <c r="KPI614" s="3933"/>
      <c r="KPJ614" s="3933"/>
      <c r="KPK614" s="621"/>
      <c r="KPL614" s="3933"/>
      <c r="KPM614" s="3933"/>
      <c r="KPN614" s="3933"/>
      <c r="KPO614" s="621"/>
      <c r="KPP614" s="3933"/>
      <c r="KPQ614" s="3933"/>
      <c r="KPR614" s="3933"/>
      <c r="KPS614" s="621"/>
      <c r="KPT614" s="3933"/>
      <c r="KPU614" s="3933"/>
      <c r="KPV614" s="3933"/>
      <c r="KPW614" s="621"/>
      <c r="KPX614" s="3933"/>
      <c r="KPY614" s="3933"/>
      <c r="KPZ614" s="3933"/>
      <c r="KQA614" s="621"/>
      <c r="KQB614" s="3933"/>
      <c r="KQC614" s="3933"/>
      <c r="KQD614" s="3933"/>
      <c r="KQE614" s="621"/>
      <c r="KQF614" s="3933"/>
      <c r="KQG614" s="3933"/>
      <c r="KQH614" s="3933"/>
      <c r="KQI614" s="621"/>
      <c r="KQJ614" s="3933"/>
      <c r="KQK614" s="3933"/>
      <c r="KQL614" s="3933"/>
      <c r="KQM614" s="621"/>
      <c r="KQN614" s="3933"/>
      <c r="KQO614" s="3933"/>
      <c r="KQP614" s="3933"/>
      <c r="KQQ614" s="621"/>
      <c r="KQR614" s="3933"/>
      <c r="KQS614" s="3933"/>
      <c r="KQT614" s="3933"/>
      <c r="KQU614" s="621"/>
      <c r="KQV614" s="3933"/>
      <c r="KQW614" s="3933"/>
      <c r="KQX614" s="3933"/>
      <c r="KQY614" s="621"/>
      <c r="KQZ614" s="3933"/>
      <c r="KRA614" s="3933"/>
      <c r="KRB614" s="3933"/>
      <c r="KRC614" s="621"/>
      <c r="KRD614" s="3933"/>
      <c r="KRE614" s="3933"/>
      <c r="KRF614" s="3933"/>
      <c r="KRG614" s="621"/>
      <c r="KRH614" s="3933"/>
      <c r="KRI614" s="3933"/>
      <c r="KRJ614" s="3933"/>
      <c r="KRK614" s="621"/>
      <c r="KRL614" s="3933"/>
      <c r="KRM614" s="3933"/>
      <c r="KRN614" s="3933"/>
      <c r="KRO614" s="621"/>
      <c r="KRP614" s="3933"/>
      <c r="KRQ614" s="3933"/>
      <c r="KRR614" s="3933"/>
      <c r="KRS614" s="621"/>
      <c r="KRT614" s="3933"/>
      <c r="KRU614" s="3933"/>
      <c r="KRV614" s="3933"/>
      <c r="KRW614" s="621"/>
      <c r="KRX614" s="3933"/>
      <c r="KRY614" s="3933"/>
      <c r="KRZ614" s="3933"/>
      <c r="KSA614" s="621"/>
      <c r="KSB614" s="3933"/>
      <c r="KSC614" s="3933"/>
      <c r="KSD614" s="3933"/>
      <c r="KSE614" s="621"/>
      <c r="KSF614" s="3933"/>
      <c r="KSG614" s="3933"/>
      <c r="KSH614" s="3933"/>
      <c r="KSI614" s="621"/>
      <c r="KSJ614" s="3933"/>
      <c r="KSK614" s="3933"/>
      <c r="KSL614" s="3933"/>
      <c r="KSM614" s="621"/>
      <c r="KSN614" s="3933"/>
      <c r="KSO614" s="3933"/>
      <c r="KSP614" s="3933"/>
      <c r="KSQ614" s="621"/>
      <c r="KSR614" s="3933"/>
      <c r="KSS614" s="3933"/>
      <c r="KST614" s="3933"/>
      <c r="KSU614" s="621"/>
      <c r="KSV614" s="3933"/>
      <c r="KSW614" s="3933"/>
      <c r="KSX614" s="3933"/>
      <c r="KSY614" s="621"/>
      <c r="KSZ614" s="3933"/>
      <c r="KTA614" s="3933"/>
      <c r="KTB614" s="3933"/>
      <c r="KTC614" s="621"/>
      <c r="KTD614" s="3933"/>
      <c r="KTE614" s="3933"/>
      <c r="KTF614" s="3933"/>
      <c r="KTG614" s="621"/>
      <c r="KTH614" s="3933"/>
      <c r="KTI614" s="3933"/>
      <c r="KTJ614" s="3933"/>
      <c r="KTK614" s="621"/>
      <c r="KTL614" s="3933"/>
      <c r="KTM614" s="3933"/>
      <c r="KTN614" s="3933"/>
      <c r="KTO614" s="621"/>
      <c r="KTP614" s="3933"/>
      <c r="KTQ614" s="3933"/>
      <c r="KTR614" s="3933"/>
      <c r="KTS614" s="621"/>
      <c r="KTT614" s="3933"/>
      <c r="KTU614" s="3933"/>
      <c r="KTV614" s="3933"/>
      <c r="KTW614" s="621"/>
      <c r="KTX614" s="3933"/>
      <c r="KTY614" s="3933"/>
      <c r="KTZ614" s="3933"/>
      <c r="KUA614" s="621"/>
      <c r="KUB614" s="3933"/>
      <c r="KUC614" s="3933"/>
      <c r="KUD614" s="3933"/>
      <c r="KUE614" s="621"/>
      <c r="KUF614" s="3933"/>
      <c r="KUG614" s="3933"/>
      <c r="KUH614" s="3933"/>
      <c r="KUI614" s="621"/>
      <c r="KUJ614" s="3933"/>
      <c r="KUK614" s="3933"/>
      <c r="KUL614" s="3933"/>
      <c r="KUM614" s="621"/>
      <c r="KUN614" s="3933"/>
      <c r="KUO614" s="3933"/>
      <c r="KUP614" s="3933"/>
      <c r="KUQ614" s="621"/>
      <c r="KUR614" s="3933"/>
      <c r="KUS614" s="3933"/>
      <c r="KUT614" s="3933"/>
      <c r="KUU614" s="621"/>
      <c r="KUV614" s="3933"/>
      <c r="KUW614" s="3933"/>
      <c r="KUX614" s="3933"/>
      <c r="KUY614" s="621"/>
      <c r="KUZ614" s="3933"/>
      <c r="KVA614" s="3933"/>
      <c r="KVB614" s="3933"/>
      <c r="KVC614" s="621"/>
      <c r="KVD614" s="3933"/>
      <c r="KVE614" s="3933"/>
      <c r="KVF614" s="3933"/>
      <c r="KVG614" s="621"/>
      <c r="KVH614" s="3933"/>
      <c r="KVI614" s="3933"/>
      <c r="KVJ614" s="3933"/>
      <c r="KVK614" s="621"/>
      <c r="KVL614" s="3933"/>
      <c r="KVM614" s="3933"/>
      <c r="KVN614" s="3933"/>
      <c r="KVO614" s="621"/>
      <c r="KVP614" s="3933"/>
      <c r="KVQ614" s="3933"/>
      <c r="KVR614" s="3933"/>
      <c r="KVS614" s="621"/>
      <c r="KVT614" s="3933"/>
      <c r="KVU614" s="3933"/>
      <c r="KVV614" s="3933"/>
      <c r="KVW614" s="621"/>
      <c r="KVX614" s="3933"/>
      <c r="KVY614" s="3933"/>
      <c r="KVZ614" s="3933"/>
      <c r="KWA614" s="621"/>
      <c r="KWB614" s="3933"/>
      <c r="KWC614" s="3933"/>
      <c r="KWD614" s="3933"/>
      <c r="KWE614" s="621"/>
      <c r="KWF614" s="3933"/>
      <c r="KWG614" s="3933"/>
      <c r="KWH614" s="3933"/>
      <c r="KWI614" s="621"/>
      <c r="KWJ614" s="3933"/>
      <c r="KWK614" s="3933"/>
      <c r="KWL614" s="3933"/>
      <c r="KWM614" s="621"/>
      <c r="KWN614" s="3933"/>
      <c r="KWO614" s="3933"/>
      <c r="KWP614" s="3933"/>
      <c r="KWQ614" s="621"/>
      <c r="KWR614" s="3933"/>
      <c r="KWS614" s="3933"/>
      <c r="KWT614" s="3933"/>
      <c r="KWU614" s="621"/>
      <c r="KWV614" s="3933"/>
      <c r="KWW614" s="3933"/>
      <c r="KWX614" s="3933"/>
      <c r="KWY614" s="621"/>
      <c r="KWZ614" s="3933"/>
      <c r="KXA614" s="3933"/>
      <c r="KXB614" s="3933"/>
      <c r="KXC614" s="621"/>
      <c r="KXD614" s="3933"/>
      <c r="KXE614" s="3933"/>
      <c r="KXF614" s="3933"/>
      <c r="KXG614" s="621"/>
      <c r="KXH614" s="3933"/>
      <c r="KXI614" s="3933"/>
      <c r="KXJ614" s="3933"/>
      <c r="KXK614" s="621"/>
      <c r="KXL614" s="3933"/>
      <c r="KXM614" s="3933"/>
      <c r="KXN614" s="3933"/>
      <c r="KXO614" s="621"/>
      <c r="KXP614" s="3933"/>
      <c r="KXQ614" s="3933"/>
      <c r="KXR614" s="3933"/>
      <c r="KXS614" s="621"/>
      <c r="KXT614" s="3933"/>
      <c r="KXU614" s="3933"/>
      <c r="KXV614" s="3933"/>
      <c r="KXW614" s="621"/>
      <c r="KXX614" s="3933"/>
      <c r="KXY614" s="3933"/>
      <c r="KXZ614" s="3933"/>
      <c r="KYA614" s="621"/>
      <c r="KYB614" s="3933"/>
      <c r="KYC614" s="3933"/>
      <c r="KYD614" s="3933"/>
      <c r="KYE614" s="621"/>
      <c r="KYF614" s="3933"/>
      <c r="KYG614" s="3933"/>
      <c r="KYH614" s="3933"/>
      <c r="KYI614" s="621"/>
      <c r="KYJ614" s="3933"/>
      <c r="KYK614" s="3933"/>
      <c r="KYL614" s="3933"/>
      <c r="KYM614" s="621"/>
      <c r="KYN614" s="3933"/>
      <c r="KYO614" s="3933"/>
      <c r="KYP614" s="3933"/>
      <c r="KYQ614" s="621"/>
      <c r="KYR614" s="3933"/>
      <c r="KYS614" s="3933"/>
      <c r="KYT614" s="3933"/>
      <c r="KYU614" s="621"/>
      <c r="KYV614" s="3933"/>
      <c r="KYW614" s="3933"/>
      <c r="KYX614" s="3933"/>
      <c r="KYY614" s="621"/>
      <c r="KYZ614" s="3933"/>
      <c r="KZA614" s="3933"/>
      <c r="KZB614" s="3933"/>
      <c r="KZC614" s="621"/>
      <c r="KZD614" s="3933"/>
      <c r="KZE614" s="3933"/>
      <c r="KZF614" s="3933"/>
      <c r="KZG614" s="621"/>
      <c r="KZH614" s="3933"/>
      <c r="KZI614" s="3933"/>
      <c r="KZJ614" s="3933"/>
      <c r="KZK614" s="621"/>
      <c r="KZL614" s="3933"/>
      <c r="KZM614" s="3933"/>
      <c r="KZN614" s="3933"/>
      <c r="KZO614" s="621"/>
      <c r="KZP614" s="3933"/>
      <c r="KZQ614" s="3933"/>
      <c r="KZR614" s="3933"/>
      <c r="KZS614" s="621"/>
      <c r="KZT614" s="3933"/>
      <c r="KZU614" s="3933"/>
      <c r="KZV614" s="3933"/>
      <c r="KZW614" s="621"/>
      <c r="KZX614" s="3933"/>
      <c r="KZY614" s="3933"/>
      <c r="KZZ614" s="3933"/>
      <c r="LAA614" s="621"/>
      <c r="LAB614" s="3933"/>
      <c r="LAC614" s="3933"/>
      <c r="LAD614" s="3933"/>
      <c r="LAE614" s="621"/>
      <c r="LAF614" s="3933"/>
      <c r="LAG614" s="3933"/>
      <c r="LAH614" s="3933"/>
      <c r="LAI614" s="621"/>
      <c r="LAJ614" s="3933"/>
      <c r="LAK614" s="3933"/>
      <c r="LAL614" s="3933"/>
      <c r="LAM614" s="621"/>
      <c r="LAN614" s="3933"/>
      <c r="LAO614" s="3933"/>
      <c r="LAP614" s="3933"/>
      <c r="LAQ614" s="621"/>
      <c r="LAR614" s="3933"/>
      <c r="LAS614" s="3933"/>
      <c r="LAT614" s="3933"/>
      <c r="LAU614" s="621"/>
      <c r="LAV614" s="3933"/>
      <c r="LAW614" s="3933"/>
      <c r="LAX614" s="3933"/>
      <c r="LAY614" s="621"/>
      <c r="LAZ614" s="3933"/>
      <c r="LBA614" s="3933"/>
      <c r="LBB614" s="3933"/>
      <c r="LBC614" s="621"/>
      <c r="LBD614" s="3933"/>
      <c r="LBE614" s="3933"/>
      <c r="LBF614" s="3933"/>
      <c r="LBG614" s="621"/>
      <c r="LBH614" s="3933"/>
      <c r="LBI614" s="3933"/>
      <c r="LBJ614" s="3933"/>
      <c r="LBK614" s="621"/>
      <c r="LBL614" s="3933"/>
      <c r="LBM614" s="3933"/>
      <c r="LBN614" s="3933"/>
      <c r="LBO614" s="621"/>
      <c r="LBP614" s="3933"/>
      <c r="LBQ614" s="3933"/>
      <c r="LBR614" s="3933"/>
      <c r="LBS614" s="621"/>
      <c r="LBT614" s="3933"/>
      <c r="LBU614" s="3933"/>
      <c r="LBV614" s="3933"/>
      <c r="LBW614" s="621"/>
      <c r="LBX614" s="3933"/>
      <c r="LBY614" s="3933"/>
      <c r="LBZ614" s="3933"/>
      <c r="LCA614" s="621"/>
      <c r="LCB614" s="3933"/>
      <c r="LCC614" s="3933"/>
      <c r="LCD614" s="3933"/>
      <c r="LCE614" s="621"/>
      <c r="LCF614" s="3933"/>
      <c r="LCG614" s="3933"/>
      <c r="LCH614" s="3933"/>
      <c r="LCI614" s="621"/>
      <c r="LCJ614" s="3933"/>
      <c r="LCK614" s="3933"/>
      <c r="LCL614" s="3933"/>
      <c r="LCM614" s="621"/>
      <c r="LCN614" s="3933"/>
      <c r="LCO614" s="3933"/>
      <c r="LCP614" s="3933"/>
      <c r="LCQ614" s="621"/>
      <c r="LCR614" s="3933"/>
      <c r="LCS614" s="3933"/>
      <c r="LCT614" s="3933"/>
      <c r="LCU614" s="621"/>
      <c r="LCV614" s="3933"/>
      <c r="LCW614" s="3933"/>
      <c r="LCX614" s="3933"/>
      <c r="LCY614" s="621"/>
      <c r="LCZ614" s="3933"/>
      <c r="LDA614" s="3933"/>
      <c r="LDB614" s="3933"/>
      <c r="LDC614" s="621"/>
      <c r="LDD614" s="3933"/>
      <c r="LDE614" s="3933"/>
      <c r="LDF614" s="3933"/>
      <c r="LDG614" s="621"/>
      <c r="LDH614" s="3933"/>
      <c r="LDI614" s="3933"/>
      <c r="LDJ614" s="3933"/>
      <c r="LDK614" s="621"/>
      <c r="LDL614" s="3933"/>
      <c r="LDM614" s="3933"/>
      <c r="LDN614" s="3933"/>
      <c r="LDO614" s="621"/>
      <c r="LDP614" s="3933"/>
      <c r="LDQ614" s="3933"/>
      <c r="LDR614" s="3933"/>
      <c r="LDS614" s="621"/>
      <c r="LDT614" s="3933"/>
      <c r="LDU614" s="3933"/>
      <c r="LDV614" s="3933"/>
      <c r="LDW614" s="621"/>
      <c r="LDX614" s="3933"/>
      <c r="LDY614" s="3933"/>
      <c r="LDZ614" s="3933"/>
      <c r="LEA614" s="621"/>
      <c r="LEB614" s="3933"/>
      <c r="LEC614" s="3933"/>
      <c r="LED614" s="3933"/>
      <c r="LEE614" s="621"/>
      <c r="LEF614" s="3933"/>
      <c r="LEG614" s="3933"/>
      <c r="LEH614" s="3933"/>
      <c r="LEI614" s="621"/>
      <c r="LEJ614" s="3933"/>
      <c r="LEK614" s="3933"/>
      <c r="LEL614" s="3933"/>
      <c r="LEM614" s="621"/>
      <c r="LEN614" s="3933"/>
      <c r="LEO614" s="3933"/>
      <c r="LEP614" s="3933"/>
      <c r="LEQ614" s="621"/>
      <c r="LER614" s="3933"/>
      <c r="LES614" s="3933"/>
      <c r="LET614" s="3933"/>
      <c r="LEU614" s="621"/>
      <c r="LEV614" s="3933"/>
      <c r="LEW614" s="3933"/>
      <c r="LEX614" s="3933"/>
      <c r="LEY614" s="621"/>
      <c r="LEZ614" s="3933"/>
      <c r="LFA614" s="3933"/>
      <c r="LFB614" s="3933"/>
      <c r="LFC614" s="621"/>
      <c r="LFD614" s="3933"/>
      <c r="LFE614" s="3933"/>
      <c r="LFF614" s="3933"/>
      <c r="LFG614" s="621"/>
      <c r="LFH614" s="3933"/>
      <c r="LFI614" s="3933"/>
      <c r="LFJ614" s="3933"/>
      <c r="LFK614" s="621"/>
      <c r="LFL614" s="3933"/>
      <c r="LFM614" s="3933"/>
      <c r="LFN614" s="3933"/>
      <c r="LFO614" s="621"/>
      <c r="LFP614" s="3933"/>
      <c r="LFQ614" s="3933"/>
      <c r="LFR614" s="3933"/>
      <c r="LFS614" s="621"/>
      <c r="LFT614" s="3933"/>
      <c r="LFU614" s="3933"/>
      <c r="LFV614" s="3933"/>
      <c r="LFW614" s="621"/>
      <c r="LFX614" s="3933"/>
      <c r="LFY614" s="3933"/>
      <c r="LFZ614" s="3933"/>
      <c r="LGA614" s="621"/>
      <c r="LGB614" s="3933"/>
      <c r="LGC614" s="3933"/>
      <c r="LGD614" s="3933"/>
      <c r="LGE614" s="621"/>
      <c r="LGF614" s="3933"/>
      <c r="LGG614" s="3933"/>
      <c r="LGH614" s="3933"/>
      <c r="LGI614" s="621"/>
      <c r="LGJ614" s="3933"/>
      <c r="LGK614" s="3933"/>
      <c r="LGL614" s="3933"/>
      <c r="LGM614" s="621"/>
      <c r="LGN614" s="3933"/>
      <c r="LGO614" s="3933"/>
      <c r="LGP614" s="3933"/>
      <c r="LGQ614" s="621"/>
      <c r="LGR614" s="3933"/>
      <c r="LGS614" s="3933"/>
      <c r="LGT614" s="3933"/>
      <c r="LGU614" s="621"/>
      <c r="LGV614" s="3933"/>
      <c r="LGW614" s="3933"/>
      <c r="LGX614" s="3933"/>
      <c r="LGY614" s="621"/>
      <c r="LGZ614" s="3933"/>
      <c r="LHA614" s="3933"/>
      <c r="LHB614" s="3933"/>
      <c r="LHC614" s="621"/>
      <c r="LHD614" s="3933"/>
      <c r="LHE614" s="3933"/>
      <c r="LHF614" s="3933"/>
      <c r="LHG614" s="621"/>
      <c r="LHH614" s="3933"/>
      <c r="LHI614" s="3933"/>
      <c r="LHJ614" s="3933"/>
      <c r="LHK614" s="621"/>
      <c r="LHL614" s="3933"/>
      <c r="LHM614" s="3933"/>
      <c r="LHN614" s="3933"/>
      <c r="LHO614" s="621"/>
      <c r="LHP614" s="3933"/>
      <c r="LHQ614" s="3933"/>
      <c r="LHR614" s="3933"/>
      <c r="LHS614" s="621"/>
      <c r="LHT614" s="3933"/>
      <c r="LHU614" s="3933"/>
      <c r="LHV614" s="3933"/>
      <c r="LHW614" s="621"/>
      <c r="LHX614" s="3933"/>
      <c r="LHY614" s="3933"/>
      <c r="LHZ614" s="3933"/>
      <c r="LIA614" s="621"/>
      <c r="LIB614" s="3933"/>
      <c r="LIC614" s="3933"/>
      <c r="LID614" s="3933"/>
      <c r="LIE614" s="621"/>
      <c r="LIF614" s="3933"/>
      <c r="LIG614" s="3933"/>
      <c r="LIH614" s="3933"/>
      <c r="LII614" s="621"/>
      <c r="LIJ614" s="3933"/>
      <c r="LIK614" s="3933"/>
      <c r="LIL614" s="3933"/>
      <c r="LIM614" s="621"/>
      <c r="LIN614" s="3933"/>
      <c r="LIO614" s="3933"/>
      <c r="LIP614" s="3933"/>
      <c r="LIQ614" s="621"/>
      <c r="LIR614" s="3933"/>
      <c r="LIS614" s="3933"/>
      <c r="LIT614" s="3933"/>
      <c r="LIU614" s="621"/>
      <c r="LIV614" s="3933"/>
      <c r="LIW614" s="3933"/>
      <c r="LIX614" s="3933"/>
      <c r="LIY614" s="621"/>
      <c r="LIZ614" s="3933"/>
      <c r="LJA614" s="3933"/>
      <c r="LJB614" s="3933"/>
      <c r="LJC614" s="621"/>
      <c r="LJD614" s="3933"/>
      <c r="LJE614" s="3933"/>
      <c r="LJF614" s="3933"/>
      <c r="LJG614" s="621"/>
      <c r="LJH614" s="3933"/>
      <c r="LJI614" s="3933"/>
      <c r="LJJ614" s="3933"/>
      <c r="LJK614" s="621"/>
      <c r="LJL614" s="3933"/>
      <c r="LJM614" s="3933"/>
      <c r="LJN614" s="3933"/>
      <c r="LJO614" s="621"/>
      <c r="LJP614" s="3933"/>
      <c r="LJQ614" s="3933"/>
      <c r="LJR614" s="3933"/>
      <c r="LJS614" s="621"/>
      <c r="LJT614" s="3933"/>
      <c r="LJU614" s="3933"/>
      <c r="LJV614" s="3933"/>
      <c r="LJW614" s="621"/>
      <c r="LJX614" s="3933"/>
      <c r="LJY614" s="3933"/>
      <c r="LJZ614" s="3933"/>
      <c r="LKA614" s="621"/>
      <c r="LKB614" s="3933"/>
      <c r="LKC614" s="3933"/>
      <c r="LKD614" s="3933"/>
      <c r="LKE614" s="621"/>
      <c r="LKF614" s="3933"/>
      <c r="LKG614" s="3933"/>
      <c r="LKH614" s="3933"/>
      <c r="LKI614" s="621"/>
      <c r="LKJ614" s="3933"/>
      <c r="LKK614" s="3933"/>
      <c r="LKL614" s="3933"/>
      <c r="LKM614" s="621"/>
      <c r="LKN614" s="3933"/>
      <c r="LKO614" s="3933"/>
      <c r="LKP614" s="3933"/>
      <c r="LKQ614" s="621"/>
      <c r="LKR614" s="3933"/>
      <c r="LKS614" s="3933"/>
      <c r="LKT614" s="3933"/>
      <c r="LKU614" s="621"/>
      <c r="LKV614" s="3933"/>
      <c r="LKW614" s="3933"/>
      <c r="LKX614" s="3933"/>
      <c r="LKY614" s="621"/>
      <c r="LKZ614" s="3933"/>
      <c r="LLA614" s="3933"/>
      <c r="LLB614" s="3933"/>
      <c r="LLC614" s="621"/>
      <c r="LLD614" s="3933"/>
      <c r="LLE614" s="3933"/>
      <c r="LLF614" s="3933"/>
      <c r="LLG614" s="621"/>
      <c r="LLH614" s="3933"/>
      <c r="LLI614" s="3933"/>
      <c r="LLJ614" s="3933"/>
      <c r="LLK614" s="621"/>
      <c r="LLL614" s="3933"/>
      <c r="LLM614" s="3933"/>
      <c r="LLN614" s="3933"/>
      <c r="LLO614" s="621"/>
      <c r="LLP614" s="3933"/>
      <c r="LLQ614" s="3933"/>
      <c r="LLR614" s="3933"/>
      <c r="LLS614" s="621"/>
      <c r="LLT614" s="3933"/>
      <c r="LLU614" s="3933"/>
      <c r="LLV614" s="3933"/>
      <c r="LLW614" s="621"/>
      <c r="LLX614" s="3933"/>
      <c r="LLY614" s="3933"/>
      <c r="LLZ614" s="3933"/>
      <c r="LMA614" s="621"/>
      <c r="LMB614" s="3933"/>
      <c r="LMC614" s="3933"/>
      <c r="LMD614" s="3933"/>
      <c r="LME614" s="621"/>
      <c r="LMF614" s="3933"/>
      <c r="LMG614" s="3933"/>
      <c r="LMH614" s="3933"/>
      <c r="LMI614" s="621"/>
      <c r="LMJ614" s="3933"/>
      <c r="LMK614" s="3933"/>
      <c r="LML614" s="3933"/>
      <c r="LMM614" s="621"/>
      <c r="LMN614" s="3933"/>
      <c r="LMO614" s="3933"/>
      <c r="LMP614" s="3933"/>
      <c r="LMQ614" s="621"/>
      <c r="LMR614" s="3933"/>
      <c r="LMS614" s="3933"/>
      <c r="LMT614" s="3933"/>
      <c r="LMU614" s="621"/>
      <c r="LMV614" s="3933"/>
      <c r="LMW614" s="3933"/>
      <c r="LMX614" s="3933"/>
      <c r="LMY614" s="621"/>
      <c r="LMZ614" s="3933"/>
      <c r="LNA614" s="3933"/>
      <c r="LNB614" s="3933"/>
      <c r="LNC614" s="621"/>
      <c r="LND614" s="3933"/>
      <c r="LNE614" s="3933"/>
      <c r="LNF614" s="3933"/>
      <c r="LNG614" s="621"/>
      <c r="LNH614" s="3933"/>
      <c r="LNI614" s="3933"/>
      <c r="LNJ614" s="3933"/>
      <c r="LNK614" s="621"/>
      <c r="LNL614" s="3933"/>
      <c r="LNM614" s="3933"/>
      <c r="LNN614" s="3933"/>
      <c r="LNO614" s="621"/>
      <c r="LNP614" s="3933"/>
      <c r="LNQ614" s="3933"/>
      <c r="LNR614" s="3933"/>
      <c r="LNS614" s="621"/>
      <c r="LNT614" s="3933"/>
      <c r="LNU614" s="3933"/>
      <c r="LNV614" s="3933"/>
      <c r="LNW614" s="621"/>
      <c r="LNX614" s="3933"/>
      <c r="LNY614" s="3933"/>
      <c r="LNZ614" s="3933"/>
      <c r="LOA614" s="621"/>
      <c r="LOB614" s="3933"/>
      <c r="LOC614" s="3933"/>
      <c r="LOD614" s="3933"/>
      <c r="LOE614" s="621"/>
      <c r="LOF614" s="3933"/>
      <c r="LOG614" s="3933"/>
      <c r="LOH614" s="3933"/>
      <c r="LOI614" s="621"/>
      <c r="LOJ614" s="3933"/>
      <c r="LOK614" s="3933"/>
      <c r="LOL614" s="3933"/>
      <c r="LOM614" s="621"/>
      <c r="LON614" s="3933"/>
      <c r="LOO614" s="3933"/>
      <c r="LOP614" s="3933"/>
      <c r="LOQ614" s="621"/>
      <c r="LOR614" s="3933"/>
      <c r="LOS614" s="3933"/>
      <c r="LOT614" s="3933"/>
      <c r="LOU614" s="621"/>
      <c r="LOV614" s="3933"/>
      <c r="LOW614" s="3933"/>
      <c r="LOX614" s="3933"/>
      <c r="LOY614" s="621"/>
      <c r="LOZ614" s="3933"/>
      <c r="LPA614" s="3933"/>
      <c r="LPB614" s="3933"/>
      <c r="LPC614" s="621"/>
      <c r="LPD614" s="3933"/>
      <c r="LPE614" s="3933"/>
      <c r="LPF614" s="3933"/>
      <c r="LPG614" s="621"/>
      <c r="LPH614" s="3933"/>
      <c r="LPI614" s="3933"/>
      <c r="LPJ614" s="3933"/>
      <c r="LPK614" s="621"/>
      <c r="LPL614" s="3933"/>
      <c r="LPM614" s="3933"/>
      <c r="LPN614" s="3933"/>
      <c r="LPO614" s="621"/>
      <c r="LPP614" s="3933"/>
      <c r="LPQ614" s="3933"/>
      <c r="LPR614" s="3933"/>
      <c r="LPS614" s="621"/>
      <c r="LPT614" s="3933"/>
      <c r="LPU614" s="3933"/>
      <c r="LPV614" s="3933"/>
      <c r="LPW614" s="621"/>
      <c r="LPX614" s="3933"/>
      <c r="LPY614" s="3933"/>
      <c r="LPZ614" s="3933"/>
      <c r="LQA614" s="621"/>
      <c r="LQB614" s="3933"/>
      <c r="LQC614" s="3933"/>
      <c r="LQD614" s="3933"/>
      <c r="LQE614" s="621"/>
      <c r="LQF614" s="3933"/>
      <c r="LQG614" s="3933"/>
      <c r="LQH614" s="3933"/>
      <c r="LQI614" s="621"/>
      <c r="LQJ614" s="3933"/>
      <c r="LQK614" s="3933"/>
      <c r="LQL614" s="3933"/>
      <c r="LQM614" s="621"/>
      <c r="LQN614" s="3933"/>
      <c r="LQO614" s="3933"/>
      <c r="LQP614" s="3933"/>
      <c r="LQQ614" s="621"/>
      <c r="LQR614" s="3933"/>
      <c r="LQS614" s="3933"/>
      <c r="LQT614" s="3933"/>
      <c r="LQU614" s="621"/>
      <c r="LQV614" s="3933"/>
      <c r="LQW614" s="3933"/>
      <c r="LQX614" s="3933"/>
      <c r="LQY614" s="621"/>
      <c r="LQZ614" s="3933"/>
      <c r="LRA614" s="3933"/>
      <c r="LRB614" s="3933"/>
      <c r="LRC614" s="621"/>
      <c r="LRD614" s="3933"/>
      <c r="LRE614" s="3933"/>
      <c r="LRF614" s="3933"/>
      <c r="LRG614" s="621"/>
      <c r="LRH614" s="3933"/>
      <c r="LRI614" s="3933"/>
      <c r="LRJ614" s="3933"/>
      <c r="LRK614" s="621"/>
      <c r="LRL614" s="3933"/>
      <c r="LRM614" s="3933"/>
      <c r="LRN614" s="3933"/>
      <c r="LRO614" s="621"/>
      <c r="LRP614" s="3933"/>
      <c r="LRQ614" s="3933"/>
      <c r="LRR614" s="3933"/>
      <c r="LRS614" s="621"/>
      <c r="LRT614" s="3933"/>
      <c r="LRU614" s="3933"/>
      <c r="LRV614" s="3933"/>
      <c r="LRW614" s="621"/>
      <c r="LRX614" s="3933"/>
      <c r="LRY614" s="3933"/>
      <c r="LRZ614" s="3933"/>
      <c r="LSA614" s="621"/>
      <c r="LSB614" s="3933"/>
      <c r="LSC614" s="3933"/>
      <c r="LSD614" s="3933"/>
      <c r="LSE614" s="621"/>
      <c r="LSF614" s="3933"/>
      <c r="LSG614" s="3933"/>
      <c r="LSH614" s="3933"/>
      <c r="LSI614" s="621"/>
      <c r="LSJ614" s="3933"/>
      <c r="LSK614" s="3933"/>
      <c r="LSL614" s="3933"/>
      <c r="LSM614" s="621"/>
      <c r="LSN614" s="3933"/>
      <c r="LSO614" s="3933"/>
      <c r="LSP614" s="3933"/>
      <c r="LSQ614" s="621"/>
      <c r="LSR614" s="3933"/>
      <c r="LSS614" s="3933"/>
      <c r="LST614" s="3933"/>
      <c r="LSU614" s="621"/>
      <c r="LSV614" s="3933"/>
      <c r="LSW614" s="3933"/>
      <c r="LSX614" s="3933"/>
      <c r="LSY614" s="621"/>
      <c r="LSZ614" s="3933"/>
      <c r="LTA614" s="3933"/>
      <c r="LTB614" s="3933"/>
      <c r="LTC614" s="621"/>
      <c r="LTD614" s="3933"/>
      <c r="LTE614" s="3933"/>
      <c r="LTF614" s="3933"/>
      <c r="LTG614" s="621"/>
      <c r="LTH614" s="3933"/>
      <c r="LTI614" s="3933"/>
      <c r="LTJ614" s="3933"/>
      <c r="LTK614" s="621"/>
      <c r="LTL614" s="3933"/>
      <c r="LTM614" s="3933"/>
      <c r="LTN614" s="3933"/>
      <c r="LTO614" s="621"/>
      <c r="LTP614" s="3933"/>
      <c r="LTQ614" s="3933"/>
      <c r="LTR614" s="3933"/>
      <c r="LTS614" s="621"/>
      <c r="LTT614" s="3933"/>
      <c r="LTU614" s="3933"/>
      <c r="LTV614" s="3933"/>
      <c r="LTW614" s="621"/>
      <c r="LTX614" s="3933"/>
      <c r="LTY614" s="3933"/>
      <c r="LTZ614" s="3933"/>
      <c r="LUA614" s="621"/>
      <c r="LUB614" s="3933"/>
      <c r="LUC614" s="3933"/>
      <c r="LUD614" s="3933"/>
      <c r="LUE614" s="621"/>
      <c r="LUF614" s="3933"/>
      <c r="LUG614" s="3933"/>
      <c r="LUH614" s="3933"/>
      <c r="LUI614" s="621"/>
      <c r="LUJ614" s="3933"/>
      <c r="LUK614" s="3933"/>
      <c r="LUL614" s="3933"/>
      <c r="LUM614" s="621"/>
      <c r="LUN614" s="3933"/>
      <c r="LUO614" s="3933"/>
      <c r="LUP614" s="3933"/>
      <c r="LUQ614" s="621"/>
      <c r="LUR614" s="3933"/>
      <c r="LUS614" s="3933"/>
      <c r="LUT614" s="3933"/>
      <c r="LUU614" s="621"/>
      <c r="LUV614" s="3933"/>
      <c r="LUW614" s="3933"/>
      <c r="LUX614" s="3933"/>
      <c r="LUY614" s="621"/>
      <c r="LUZ614" s="3933"/>
      <c r="LVA614" s="3933"/>
      <c r="LVB614" s="3933"/>
      <c r="LVC614" s="621"/>
      <c r="LVD614" s="3933"/>
      <c r="LVE614" s="3933"/>
      <c r="LVF614" s="3933"/>
      <c r="LVG614" s="621"/>
      <c r="LVH614" s="3933"/>
      <c r="LVI614" s="3933"/>
      <c r="LVJ614" s="3933"/>
      <c r="LVK614" s="621"/>
      <c r="LVL614" s="3933"/>
      <c r="LVM614" s="3933"/>
      <c r="LVN614" s="3933"/>
      <c r="LVO614" s="621"/>
      <c r="LVP614" s="3933"/>
      <c r="LVQ614" s="3933"/>
      <c r="LVR614" s="3933"/>
      <c r="LVS614" s="621"/>
      <c r="LVT614" s="3933"/>
      <c r="LVU614" s="3933"/>
      <c r="LVV614" s="3933"/>
      <c r="LVW614" s="621"/>
      <c r="LVX614" s="3933"/>
      <c r="LVY614" s="3933"/>
      <c r="LVZ614" s="3933"/>
      <c r="LWA614" s="621"/>
      <c r="LWB614" s="3933"/>
      <c r="LWC614" s="3933"/>
      <c r="LWD614" s="3933"/>
      <c r="LWE614" s="621"/>
      <c r="LWF614" s="3933"/>
      <c r="LWG614" s="3933"/>
      <c r="LWH614" s="3933"/>
      <c r="LWI614" s="621"/>
      <c r="LWJ614" s="3933"/>
      <c r="LWK614" s="3933"/>
      <c r="LWL614" s="3933"/>
      <c r="LWM614" s="621"/>
      <c r="LWN614" s="3933"/>
      <c r="LWO614" s="3933"/>
      <c r="LWP614" s="3933"/>
      <c r="LWQ614" s="621"/>
      <c r="LWR614" s="3933"/>
      <c r="LWS614" s="3933"/>
      <c r="LWT614" s="3933"/>
      <c r="LWU614" s="621"/>
      <c r="LWV614" s="3933"/>
      <c r="LWW614" s="3933"/>
      <c r="LWX614" s="3933"/>
      <c r="LWY614" s="621"/>
      <c r="LWZ614" s="3933"/>
      <c r="LXA614" s="3933"/>
      <c r="LXB614" s="3933"/>
      <c r="LXC614" s="621"/>
      <c r="LXD614" s="3933"/>
      <c r="LXE614" s="3933"/>
      <c r="LXF614" s="3933"/>
      <c r="LXG614" s="621"/>
      <c r="LXH614" s="3933"/>
      <c r="LXI614" s="3933"/>
      <c r="LXJ614" s="3933"/>
      <c r="LXK614" s="621"/>
      <c r="LXL614" s="3933"/>
      <c r="LXM614" s="3933"/>
      <c r="LXN614" s="3933"/>
      <c r="LXO614" s="621"/>
      <c r="LXP614" s="3933"/>
      <c r="LXQ614" s="3933"/>
      <c r="LXR614" s="3933"/>
      <c r="LXS614" s="621"/>
      <c r="LXT614" s="3933"/>
      <c r="LXU614" s="3933"/>
      <c r="LXV614" s="3933"/>
      <c r="LXW614" s="621"/>
      <c r="LXX614" s="3933"/>
      <c r="LXY614" s="3933"/>
      <c r="LXZ614" s="3933"/>
      <c r="LYA614" s="621"/>
      <c r="LYB614" s="3933"/>
      <c r="LYC614" s="3933"/>
      <c r="LYD614" s="3933"/>
      <c r="LYE614" s="621"/>
      <c r="LYF614" s="3933"/>
      <c r="LYG614" s="3933"/>
      <c r="LYH614" s="3933"/>
      <c r="LYI614" s="621"/>
      <c r="LYJ614" s="3933"/>
      <c r="LYK614" s="3933"/>
      <c r="LYL614" s="3933"/>
      <c r="LYM614" s="621"/>
      <c r="LYN614" s="3933"/>
      <c r="LYO614" s="3933"/>
      <c r="LYP614" s="3933"/>
      <c r="LYQ614" s="621"/>
      <c r="LYR614" s="3933"/>
      <c r="LYS614" s="3933"/>
      <c r="LYT614" s="3933"/>
      <c r="LYU614" s="621"/>
      <c r="LYV614" s="3933"/>
      <c r="LYW614" s="3933"/>
      <c r="LYX614" s="3933"/>
      <c r="LYY614" s="621"/>
      <c r="LYZ614" s="3933"/>
      <c r="LZA614" s="3933"/>
      <c r="LZB614" s="3933"/>
      <c r="LZC614" s="621"/>
      <c r="LZD614" s="3933"/>
      <c r="LZE614" s="3933"/>
      <c r="LZF614" s="3933"/>
      <c r="LZG614" s="621"/>
      <c r="LZH614" s="3933"/>
      <c r="LZI614" s="3933"/>
      <c r="LZJ614" s="3933"/>
      <c r="LZK614" s="621"/>
      <c r="LZL614" s="3933"/>
      <c r="LZM614" s="3933"/>
      <c r="LZN614" s="3933"/>
      <c r="LZO614" s="621"/>
      <c r="LZP614" s="3933"/>
      <c r="LZQ614" s="3933"/>
      <c r="LZR614" s="3933"/>
      <c r="LZS614" s="621"/>
      <c r="LZT614" s="3933"/>
      <c r="LZU614" s="3933"/>
      <c r="LZV614" s="3933"/>
      <c r="LZW614" s="621"/>
      <c r="LZX614" s="3933"/>
      <c r="LZY614" s="3933"/>
      <c r="LZZ614" s="3933"/>
      <c r="MAA614" s="621"/>
      <c r="MAB614" s="3933"/>
      <c r="MAC614" s="3933"/>
      <c r="MAD614" s="3933"/>
      <c r="MAE614" s="621"/>
      <c r="MAF614" s="3933"/>
      <c r="MAG614" s="3933"/>
      <c r="MAH614" s="3933"/>
      <c r="MAI614" s="621"/>
      <c r="MAJ614" s="3933"/>
      <c r="MAK614" s="3933"/>
      <c r="MAL614" s="3933"/>
      <c r="MAM614" s="621"/>
      <c r="MAN614" s="3933"/>
      <c r="MAO614" s="3933"/>
      <c r="MAP614" s="3933"/>
      <c r="MAQ614" s="621"/>
      <c r="MAR614" s="3933"/>
      <c r="MAS614" s="3933"/>
      <c r="MAT614" s="3933"/>
      <c r="MAU614" s="621"/>
      <c r="MAV614" s="3933"/>
      <c r="MAW614" s="3933"/>
      <c r="MAX614" s="3933"/>
      <c r="MAY614" s="621"/>
      <c r="MAZ614" s="3933"/>
      <c r="MBA614" s="3933"/>
      <c r="MBB614" s="3933"/>
      <c r="MBC614" s="621"/>
      <c r="MBD614" s="3933"/>
      <c r="MBE614" s="3933"/>
      <c r="MBF614" s="3933"/>
      <c r="MBG614" s="621"/>
      <c r="MBH614" s="3933"/>
      <c r="MBI614" s="3933"/>
      <c r="MBJ614" s="3933"/>
      <c r="MBK614" s="621"/>
      <c r="MBL614" s="3933"/>
      <c r="MBM614" s="3933"/>
      <c r="MBN614" s="3933"/>
      <c r="MBO614" s="621"/>
      <c r="MBP614" s="3933"/>
      <c r="MBQ614" s="3933"/>
      <c r="MBR614" s="3933"/>
      <c r="MBS614" s="621"/>
      <c r="MBT614" s="3933"/>
      <c r="MBU614" s="3933"/>
      <c r="MBV614" s="3933"/>
      <c r="MBW614" s="621"/>
      <c r="MBX614" s="3933"/>
      <c r="MBY614" s="3933"/>
      <c r="MBZ614" s="3933"/>
      <c r="MCA614" s="621"/>
      <c r="MCB614" s="3933"/>
      <c r="MCC614" s="3933"/>
      <c r="MCD614" s="3933"/>
      <c r="MCE614" s="621"/>
      <c r="MCF614" s="3933"/>
      <c r="MCG614" s="3933"/>
      <c r="MCH614" s="3933"/>
      <c r="MCI614" s="621"/>
      <c r="MCJ614" s="3933"/>
      <c r="MCK614" s="3933"/>
      <c r="MCL614" s="3933"/>
      <c r="MCM614" s="621"/>
      <c r="MCN614" s="3933"/>
      <c r="MCO614" s="3933"/>
      <c r="MCP614" s="3933"/>
      <c r="MCQ614" s="621"/>
      <c r="MCR614" s="3933"/>
      <c r="MCS614" s="3933"/>
      <c r="MCT614" s="3933"/>
      <c r="MCU614" s="621"/>
      <c r="MCV614" s="3933"/>
      <c r="MCW614" s="3933"/>
      <c r="MCX614" s="3933"/>
      <c r="MCY614" s="621"/>
      <c r="MCZ614" s="3933"/>
      <c r="MDA614" s="3933"/>
      <c r="MDB614" s="3933"/>
      <c r="MDC614" s="621"/>
      <c r="MDD614" s="3933"/>
      <c r="MDE614" s="3933"/>
      <c r="MDF614" s="3933"/>
      <c r="MDG614" s="621"/>
      <c r="MDH614" s="3933"/>
      <c r="MDI614" s="3933"/>
      <c r="MDJ614" s="3933"/>
      <c r="MDK614" s="621"/>
      <c r="MDL614" s="3933"/>
      <c r="MDM614" s="3933"/>
      <c r="MDN614" s="3933"/>
      <c r="MDO614" s="621"/>
      <c r="MDP614" s="3933"/>
      <c r="MDQ614" s="3933"/>
      <c r="MDR614" s="3933"/>
      <c r="MDS614" s="621"/>
      <c r="MDT614" s="3933"/>
      <c r="MDU614" s="3933"/>
      <c r="MDV614" s="3933"/>
      <c r="MDW614" s="621"/>
      <c r="MDX614" s="3933"/>
      <c r="MDY614" s="3933"/>
      <c r="MDZ614" s="3933"/>
      <c r="MEA614" s="621"/>
      <c r="MEB614" s="3933"/>
      <c r="MEC614" s="3933"/>
      <c r="MED614" s="3933"/>
      <c r="MEE614" s="621"/>
      <c r="MEF614" s="3933"/>
      <c r="MEG614" s="3933"/>
      <c r="MEH614" s="3933"/>
      <c r="MEI614" s="621"/>
      <c r="MEJ614" s="3933"/>
      <c r="MEK614" s="3933"/>
      <c r="MEL614" s="3933"/>
      <c r="MEM614" s="621"/>
      <c r="MEN614" s="3933"/>
      <c r="MEO614" s="3933"/>
      <c r="MEP614" s="3933"/>
      <c r="MEQ614" s="621"/>
      <c r="MER614" s="3933"/>
      <c r="MES614" s="3933"/>
      <c r="MET614" s="3933"/>
      <c r="MEU614" s="621"/>
      <c r="MEV614" s="3933"/>
      <c r="MEW614" s="3933"/>
      <c r="MEX614" s="3933"/>
      <c r="MEY614" s="621"/>
      <c r="MEZ614" s="3933"/>
      <c r="MFA614" s="3933"/>
      <c r="MFB614" s="3933"/>
      <c r="MFC614" s="621"/>
      <c r="MFD614" s="3933"/>
      <c r="MFE614" s="3933"/>
      <c r="MFF614" s="3933"/>
      <c r="MFG614" s="621"/>
      <c r="MFH614" s="3933"/>
      <c r="MFI614" s="3933"/>
      <c r="MFJ614" s="3933"/>
      <c r="MFK614" s="621"/>
      <c r="MFL614" s="3933"/>
      <c r="MFM614" s="3933"/>
      <c r="MFN614" s="3933"/>
      <c r="MFO614" s="621"/>
      <c r="MFP614" s="3933"/>
      <c r="MFQ614" s="3933"/>
      <c r="MFR614" s="3933"/>
      <c r="MFS614" s="621"/>
      <c r="MFT614" s="3933"/>
      <c r="MFU614" s="3933"/>
      <c r="MFV614" s="3933"/>
      <c r="MFW614" s="621"/>
      <c r="MFX614" s="3933"/>
      <c r="MFY614" s="3933"/>
      <c r="MFZ614" s="3933"/>
      <c r="MGA614" s="621"/>
      <c r="MGB614" s="3933"/>
      <c r="MGC614" s="3933"/>
      <c r="MGD614" s="3933"/>
      <c r="MGE614" s="621"/>
      <c r="MGF614" s="3933"/>
      <c r="MGG614" s="3933"/>
      <c r="MGH614" s="3933"/>
      <c r="MGI614" s="621"/>
      <c r="MGJ614" s="3933"/>
      <c r="MGK614" s="3933"/>
      <c r="MGL614" s="3933"/>
      <c r="MGM614" s="621"/>
      <c r="MGN614" s="3933"/>
      <c r="MGO614" s="3933"/>
      <c r="MGP614" s="3933"/>
      <c r="MGQ614" s="621"/>
      <c r="MGR614" s="3933"/>
      <c r="MGS614" s="3933"/>
      <c r="MGT614" s="3933"/>
      <c r="MGU614" s="621"/>
      <c r="MGV614" s="3933"/>
      <c r="MGW614" s="3933"/>
      <c r="MGX614" s="3933"/>
      <c r="MGY614" s="621"/>
      <c r="MGZ614" s="3933"/>
      <c r="MHA614" s="3933"/>
      <c r="MHB614" s="3933"/>
      <c r="MHC614" s="621"/>
      <c r="MHD614" s="3933"/>
      <c r="MHE614" s="3933"/>
      <c r="MHF614" s="3933"/>
      <c r="MHG614" s="621"/>
      <c r="MHH614" s="3933"/>
      <c r="MHI614" s="3933"/>
      <c r="MHJ614" s="3933"/>
      <c r="MHK614" s="621"/>
      <c r="MHL614" s="3933"/>
      <c r="MHM614" s="3933"/>
      <c r="MHN614" s="3933"/>
      <c r="MHO614" s="621"/>
      <c r="MHP614" s="3933"/>
      <c r="MHQ614" s="3933"/>
      <c r="MHR614" s="3933"/>
      <c r="MHS614" s="621"/>
      <c r="MHT614" s="3933"/>
      <c r="MHU614" s="3933"/>
      <c r="MHV614" s="3933"/>
      <c r="MHW614" s="621"/>
      <c r="MHX614" s="3933"/>
      <c r="MHY614" s="3933"/>
      <c r="MHZ614" s="3933"/>
      <c r="MIA614" s="621"/>
      <c r="MIB614" s="3933"/>
      <c r="MIC614" s="3933"/>
      <c r="MID614" s="3933"/>
      <c r="MIE614" s="621"/>
      <c r="MIF614" s="3933"/>
      <c r="MIG614" s="3933"/>
      <c r="MIH614" s="3933"/>
      <c r="MII614" s="621"/>
      <c r="MIJ614" s="3933"/>
      <c r="MIK614" s="3933"/>
      <c r="MIL614" s="3933"/>
      <c r="MIM614" s="621"/>
      <c r="MIN614" s="3933"/>
      <c r="MIO614" s="3933"/>
      <c r="MIP614" s="3933"/>
      <c r="MIQ614" s="621"/>
      <c r="MIR614" s="3933"/>
      <c r="MIS614" s="3933"/>
      <c r="MIT614" s="3933"/>
      <c r="MIU614" s="621"/>
      <c r="MIV614" s="3933"/>
      <c r="MIW614" s="3933"/>
      <c r="MIX614" s="3933"/>
      <c r="MIY614" s="621"/>
      <c r="MIZ614" s="3933"/>
      <c r="MJA614" s="3933"/>
      <c r="MJB614" s="3933"/>
      <c r="MJC614" s="621"/>
      <c r="MJD614" s="3933"/>
      <c r="MJE614" s="3933"/>
      <c r="MJF614" s="3933"/>
      <c r="MJG614" s="621"/>
      <c r="MJH614" s="3933"/>
      <c r="MJI614" s="3933"/>
      <c r="MJJ614" s="3933"/>
      <c r="MJK614" s="621"/>
      <c r="MJL614" s="3933"/>
      <c r="MJM614" s="3933"/>
      <c r="MJN614" s="3933"/>
      <c r="MJO614" s="621"/>
      <c r="MJP614" s="3933"/>
      <c r="MJQ614" s="3933"/>
      <c r="MJR614" s="3933"/>
      <c r="MJS614" s="621"/>
      <c r="MJT614" s="3933"/>
      <c r="MJU614" s="3933"/>
      <c r="MJV614" s="3933"/>
      <c r="MJW614" s="621"/>
      <c r="MJX614" s="3933"/>
      <c r="MJY614" s="3933"/>
      <c r="MJZ614" s="3933"/>
      <c r="MKA614" s="621"/>
      <c r="MKB614" s="3933"/>
      <c r="MKC614" s="3933"/>
      <c r="MKD614" s="3933"/>
      <c r="MKE614" s="621"/>
      <c r="MKF614" s="3933"/>
      <c r="MKG614" s="3933"/>
      <c r="MKH614" s="3933"/>
      <c r="MKI614" s="621"/>
      <c r="MKJ614" s="3933"/>
      <c r="MKK614" s="3933"/>
      <c r="MKL614" s="3933"/>
      <c r="MKM614" s="621"/>
      <c r="MKN614" s="3933"/>
      <c r="MKO614" s="3933"/>
      <c r="MKP614" s="3933"/>
      <c r="MKQ614" s="621"/>
      <c r="MKR614" s="3933"/>
      <c r="MKS614" s="3933"/>
      <c r="MKT614" s="3933"/>
      <c r="MKU614" s="621"/>
      <c r="MKV614" s="3933"/>
      <c r="MKW614" s="3933"/>
      <c r="MKX614" s="3933"/>
      <c r="MKY614" s="621"/>
      <c r="MKZ614" s="3933"/>
      <c r="MLA614" s="3933"/>
      <c r="MLB614" s="3933"/>
      <c r="MLC614" s="621"/>
      <c r="MLD614" s="3933"/>
      <c r="MLE614" s="3933"/>
      <c r="MLF614" s="3933"/>
      <c r="MLG614" s="621"/>
      <c r="MLH614" s="3933"/>
      <c r="MLI614" s="3933"/>
      <c r="MLJ614" s="3933"/>
      <c r="MLK614" s="621"/>
      <c r="MLL614" s="3933"/>
      <c r="MLM614" s="3933"/>
      <c r="MLN614" s="3933"/>
      <c r="MLO614" s="621"/>
      <c r="MLP614" s="3933"/>
      <c r="MLQ614" s="3933"/>
      <c r="MLR614" s="3933"/>
      <c r="MLS614" s="621"/>
      <c r="MLT614" s="3933"/>
      <c r="MLU614" s="3933"/>
      <c r="MLV614" s="3933"/>
      <c r="MLW614" s="621"/>
      <c r="MLX614" s="3933"/>
      <c r="MLY614" s="3933"/>
      <c r="MLZ614" s="3933"/>
      <c r="MMA614" s="621"/>
      <c r="MMB614" s="3933"/>
      <c r="MMC614" s="3933"/>
      <c r="MMD614" s="3933"/>
      <c r="MME614" s="621"/>
      <c r="MMF614" s="3933"/>
      <c r="MMG614" s="3933"/>
      <c r="MMH614" s="3933"/>
      <c r="MMI614" s="621"/>
      <c r="MMJ614" s="3933"/>
      <c r="MMK614" s="3933"/>
      <c r="MML614" s="3933"/>
      <c r="MMM614" s="621"/>
      <c r="MMN614" s="3933"/>
      <c r="MMO614" s="3933"/>
      <c r="MMP614" s="3933"/>
      <c r="MMQ614" s="621"/>
      <c r="MMR614" s="3933"/>
      <c r="MMS614" s="3933"/>
      <c r="MMT614" s="3933"/>
      <c r="MMU614" s="621"/>
      <c r="MMV614" s="3933"/>
      <c r="MMW614" s="3933"/>
      <c r="MMX614" s="3933"/>
      <c r="MMY614" s="621"/>
      <c r="MMZ614" s="3933"/>
      <c r="MNA614" s="3933"/>
      <c r="MNB614" s="3933"/>
      <c r="MNC614" s="621"/>
      <c r="MND614" s="3933"/>
      <c r="MNE614" s="3933"/>
      <c r="MNF614" s="3933"/>
      <c r="MNG614" s="621"/>
      <c r="MNH614" s="3933"/>
      <c r="MNI614" s="3933"/>
      <c r="MNJ614" s="3933"/>
      <c r="MNK614" s="621"/>
      <c r="MNL614" s="3933"/>
      <c r="MNM614" s="3933"/>
      <c r="MNN614" s="3933"/>
      <c r="MNO614" s="621"/>
      <c r="MNP614" s="3933"/>
      <c r="MNQ614" s="3933"/>
      <c r="MNR614" s="3933"/>
      <c r="MNS614" s="621"/>
      <c r="MNT614" s="3933"/>
      <c r="MNU614" s="3933"/>
      <c r="MNV614" s="3933"/>
      <c r="MNW614" s="621"/>
      <c r="MNX614" s="3933"/>
      <c r="MNY614" s="3933"/>
      <c r="MNZ614" s="3933"/>
      <c r="MOA614" s="621"/>
      <c r="MOB614" s="3933"/>
      <c r="MOC614" s="3933"/>
      <c r="MOD614" s="3933"/>
      <c r="MOE614" s="621"/>
      <c r="MOF614" s="3933"/>
      <c r="MOG614" s="3933"/>
      <c r="MOH614" s="3933"/>
      <c r="MOI614" s="621"/>
      <c r="MOJ614" s="3933"/>
      <c r="MOK614" s="3933"/>
      <c r="MOL614" s="3933"/>
      <c r="MOM614" s="621"/>
      <c r="MON614" s="3933"/>
      <c r="MOO614" s="3933"/>
      <c r="MOP614" s="3933"/>
      <c r="MOQ614" s="621"/>
      <c r="MOR614" s="3933"/>
      <c r="MOS614" s="3933"/>
      <c r="MOT614" s="3933"/>
      <c r="MOU614" s="621"/>
      <c r="MOV614" s="3933"/>
      <c r="MOW614" s="3933"/>
      <c r="MOX614" s="3933"/>
      <c r="MOY614" s="621"/>
      <c r="MOZ614" s="3933"/>
      <c r="MPA614" s="3933"/>
      <c r="MPB614" s="3933"/>
      <c r="MPC614" s="621"/>
      <c r="MPD614" s="3933"/>
      <c r="MPE614" s="3933"/>
      <c r="MPF614" s="3933"/>
      <c r="MPG614" s="621"/>
      <c r="MPH614" s="3933"/>
      <c r="MPI614" s="3933"/>
      <c r="MPJ614" s="3933"/>
      <c r="MPK614" s="621"/>
      <c r="MPL614" s="3933"/>
      <c r="MPM614" s="3933"/>
      <c r="MPN614" s="3933"/>
      <c r="MPO614" s="621"/>
      <c r="MPP614" s="3933"/>
      <c r="MPQ614" s="3933"/>
      <c r="MPR614" s="3933"/>
      <c r="MPS614" s="621"/>
      <c r="MPT614" s="3933"/>
      <c r="MPU614" s="3933"/>
      <c r="MPV614" s="3933"/>
      <c r="MPW614" s="621"/>
      <c r="MPX614" s="3933"/>
      <c r="MPY614" s="3933"/>
      <c r="MPZ614" s="3933"/>
      <c r="MQA614" s="621"/>
      <c r="MQB614" s="3933"/>
      <c r="MQC614" s="3933"/>
      <c r="MQD614" s="3933"/>
      <c r="MQE614" s="621"/>
      <c r="MQF614" s="3933"/>
      <c r="MQG614" s="3933"/>
      <c r="MQH614" s="3933"/>
      <c r="MQI614" s="621"/>
      <c r="MQJ614" s="3933"/>
      <c r="MQK614" s="3933"/>
      <c r="MQL614" s="3933"/>
      <c r="MQM614" s="621"/>
      <c r="MQN614" s="3933"/>
      <c r="MQO614" s="3933"/>
      <c r="MQP614" s="3933"/>
      <c r="MQQ614" s="621"/>
      <c r="MQR614" s="3933"/>
      <c r="MQS614" s="3933"/>
      <c r="MQT614" s="3933"/>
      <c r="MQU614" s="621"/>
      <c r="MQV614" s="3933"/>
      <c r="MQW614" s="3933"/>
      <c r="MQX614" s="3933"/>
      <c r="MQY614" s="621"/>
      <c r="MQZ614" s="3933"/>
      <c r="MRA614" s="3933"/>
      <c r="MRB614" s="3933"/>
      <c r="MRC614" s="621"/>
      <c r="MRD614" s="3933"/>
      <c r="MRE614" s="3933"/>
      <c r="MRF614" s="3933"/>
      <c r="MRG614" s="621"/>
      <c r="MRH614" s="3933"/>
      <c r="MRI614" s="3933"/>
      <c r="MRJ614" s="3933"/>
      <c r="MRK614" s="621"/>
      <c r="MRL614" s="3933"/>
      <c r="MRM614" s="3933"/>
      <c r="MRN614" s="3933"/>
      <c r="MRO614" s="621"/>
      <c r="MRP614" s="3933"/>
      <c r="MRQ614" s="3933"/>
      <c r="MRR614" s="3933"/>
      <c r="MRS614" s="621"/>
      <c r="MRT614" s="3933"/>
      <c r="MRU614" s="3933"/>
      <c r="MRV614" s="3933"/>
      <c r="MRW614" s="621"/>
      <c r="MRX614" s="3933"/>
      <c r="MRY614" s="3933"/>
      <c r="MRZ614" s="3933"/>
      <c r="MSA614" s="621"/>
      <c r="MSB614" s="3933"/>
      <c r="MSC614" s="3933"/>
      <c r="MSD614" s="3933"/>
      <c r="MSE614" s="621"/>
      <c r="MSF614" s="3933"/>
      <c r="MSG614" s="3933"/>
      <c r="MSH614" s="3933"/>
      <c r="MSI614" s="621"/>
      <c r="MSJ614" s="3933"/>
      <c r="MSK614" s="3933"/>
      <c r="MSL614" s="3933"/>
      <c r="MSM614" s="621"/>
      <c r="MSN614" s="3933"/>
      <c r="MSO614" s="3933"/>
      <c r="MSP614" s="3933"/>
      <c r="MSQ614" s="621"/>
      <c r="MSR614" s="3933"/>
      <c r="MSS614" s="3933"/>
      <c r="MST614" s="3933"/>
      <c r="MSU614" s="621"/>
      <c r="MSV614" s="3933"/>
      <c r="MSW614" s="3933"/>
      <c r="MSX614" s="3933"/>
      <c r="MSY614" s="621"/>
      <c r="MSZ614" s="3933"/>
      <c r="MTA614" s="3933"/>
      <c r="MTB614" s="3933"/>
      <c r="MTC614" s="621"/>
      <c r="MTD614" s="3933"/>
      <c r="MTE614" s="3933"/>
      <c r="MTF614" s="3933"/>
      <c r="MTG614" s="621"/>
      <c r="MTH614" s="3933"/>
      <c r="MTI614" s="3933"/>
      <c r="MTJ614" s="3933"/>
      <c r="MTK614" s="621"/>
      <c r="MTL614" s="3933"/>
      <c r="MTM614" s="3933"/>
      <c r="MTN614" s="3933"/>
      <c r="MTO614" s="621"/>
      <c r="MTP614" s="3933"/>
      <c r="MTQ614" s="3933"/>
      <c r="MTR614" s="3933"/>
      <c r="MTS614" s="621"/>
      <c r="MTT614" s="3933"/>
      <c r="MTU614" s="3933"/>
      <c r="MTV614" s="3933"/>
      <c r="MTW614" s="621"/>
      <c r="MTX614" s="3933"/>
      <c r="MTY614" s="3933"/>
      <c r="MTZ614" s="3933"/>
      <c r="MUA614" s="621"/>
      <c r="MUB614" s="3933"/>
      <c r="MUC614" s="3933"/>
      <c r="MUD614" s="3933"/>
      <c r="MUE614" s="621"/>
      <c r="MUF614" s="3933"/>
      <c r="MUG614" s="3933"/>
      <c r="MUH614" s="3933"/>
      <c r="MUI614" s="621"/>
      <c r="MUJ614" s="3933"/>
      <c r="MUK614" s="3933"/>
      <c r="MUL614" s="3933"/>
      <c r="MUM614" s="621"/>
      <c r="MUN614" s="3933"/>
      <c r="MUO614" s="3933"/>
      <c r="MUP614" s="3933"/>
      <c r="MUQ614" s="621"/>
      <c r="MUR614" s="3933"/>
      <c r="MUS614" s="3933"/>
      <c r="MUT614" s="3933"/>
      <c r="MUU614" s="621"/>
      <c r="MUV614" s="3933"/>
      <c r="MUW614" s="3933"/>
      <c r="MUX614" s="3933"/>
      <c r="MUY614" s="621"/>
      <c r="MUZ614" s="3933"/>
      <c r="MVA614" s="3933"/>
      <c r="MVB614" s="3933"/>
      <c r="MVC614" s="621"/>
      <c r="MVD614" s="3933"/>
      <c r="MVE614" s="3933"/>
      <c r="MVF614" s="3933"/>
      <c r="MVG614" s="621"/>
      <c r="MVH614" s="3933"/>
      <c r="MVI614" s="3933"/>
      <c r="MVJ614" s="3933"/>
      <c r="MVK614" s="621"/>
      <c r="MVL614" s="3933"/>
      <c r="MVM614" s="3933"/>
      <c r="MVN614" s="3933"/>
      <c r="MVO614" s="621"/>
      <c r="MVP614" s="3933"/>
      <c r="MVQ614" s="3933"/>
      <c r="MVR614" s="3933"/>
      <c r="MVS614" s="621"/>
      <c r="MVT614" s="3933"/>
      <c r="MVU614" s="3933"/>
      <c r="MVV614" s="3933"/>
      <c r="MVW614" s="621"/>
      <c r="MVX614" s="3933"/>
      <c r="MVY614" s="3933"/>
      <c r="MVZ614" s="3933"/>
      <c r="MWA614" s="621"/>
      <c r="MWB614" s="3933"/>
      <c r="MWC614" s="3933"/>
      <c r="MWD614" s="3933"/>
      <c r="MWE614" s="621"/>
      <c r="MWF614" s="3933"/>
      <c r="MWG614" s="3933"/>
      <c r="MWH614" s="3933"/>
      <c r="MWI614" s="621"/>
      <c r="MWJ614" s="3933"/>
      <c r="MWK614" s="3933"/>
      <c r="MWL614" s="3933"/>
      <c r="MWM614" s="621"/>
      <c r="MWN614" s="3933"/>
      <c r="MWO614" s="3933"/>
      <c r="MWP614" s="3933"/>
      <c r="MWQ614" s="621"/>
      <c r="MWR614" s="3933"/>
      <c r="MWS614" s="3933"/>
      <c r="MWT614" s="3933"/>
      <c r="MWU614" s="621"/>
      <c r="MWV614" s="3933"/>
      <c r="MWW614" s="3933"/>
      <c r="MWX614" s="3933"/>
      <c r="MWY614" s="621"/>
      <c r="MWZ614" s="3933"/>
      <c r="MXA614" s="3933"/>
      <c r="MXB614" s="3933"/>
      <c r="MXC614" s="621"/>
      <c r="MXD614" s="3933"/>
      <c r="MXE614" s="3933"/>
      <c r="MXF614" s="3933"/>
      <c r="MXG614" s="621"/>
      <c r="MXH614" s="3933"/>
      <c r="MXI614" s="3933"/>
      <c r="MXJ614" s="3933"/>
      <c r="MXK614" s="621"/>
      <c r="MXL614" s="3933"/>
      <c r="MXM614" s="3933"/>
      <c r="MXN614" s="3933"/>
      <c r="MXO614" s="621"/>
      <c r="MXP614" s="3933"/>
      <c r="MXQ614" s="3933"/>
      <c r="MXR614" s="3933"/>
      <c r="MXS614" s="621"/>
      <c r="MXT614" s="3933"/>
      <c r="MXU614" s="3933"/>
      <c r="MXV614" s="3933"/>
      <c r="MXW614" s="621"/>
      <c r="MXX614" s="3933"/>
      <c r="MXY614" s="3933"/>
      <c r="MXZ614" s="3933"/>
      <c r="MYA614" s="621"/>
      <c r="MYB614" s="3933"/>
      <c r="MYC614" s="3933"/>
      <c r="MYD614" s="3933"/>
      <c r="MYE614" s="621"/>
      <c r="MYF614" s="3933"/>
      <c r="MYG614" s="3933"/>
      <c r="MYH614" s="3933"/>
      <c r="MYI614" s="621"/>
      <c r="MYJ614" s="3933"/>
      <c r="MYK614" s="3933"/>
      <c r="MYL614" s="3933"/>
      <c r="MYM614" s="621"/>
      <c r="MYN614" s="3933"/>
      <c r="MYO614" s="3933"/>
      <c r="MYP614" s="3933"/>
      <c r="MYQ614" s="621"/>
      <c r="MYR614" s="3933"/>
      <c r="MYS614" s="3933"/>
      <c r="MYT614" s="3933"/>
      <c r="MYU614" s="621"/>
      <c r="MYV614" s="3933"/>
      <c r="MYW614" s="3933"/>
      <c r="MYX614" s="3933"/>
      <c r="MYY614" s="621"/>
      <c r="MYZ614" s="3933"/>
      <c r="MZA614" s="3933"/>
      <c r="MZB614" s="3933"/>
      <c r="MZC614" s="621"/>
      <c r="MZD614" s="3933"/>
      <c r="MZE614" s="3933"/>
      <c r="MZF614" s="3933"/>
      <c r="MZG614" s="621"/>
      <c r="MZH614" s="3933"/>
      <c r="MZI614" s="3933"/>
      <c r="MZJ614" s="3933"/>
      <c r="MZK614" s="621"/>
      <c r="MZL614" s="3933"/>
      <c r="MZM614" s="3933"/>
      <c r="MZN614" s="3933"/>
      <c r="MZO614" s="621"/>
      <c r="MZP614" s="3933"/>
      <c r="MZQ614" s="3933"/>
      <c r="MZR614" s="3933"/>
      <c r="MZS614" s="621"/>
      <c r="MZT614" s="3933"/>
      <c r="MZU614" s="3933"/>
      <c r="MZV614" s="3933"/>
      <c r="MZW614" s="621"/>
      <c r="MZX614" s="3933"/>
      <c r="MZY614" s="3933"/>
      <c r="MZZ614" s="3933"/>
      <c r="NAA614" s="621"/>
      <c r="NAB614" s="3933"/>
      <c r="NAC614" s="3933"/>
      <c r="NAD614" s="3933"/>
      <c r="NAE614" s="621"/>
      <c r="NAF614" s="3933"/>
      <c r="NAG614" s="3933"/>
      <c r="NAH614" s="3933"/>
      <c r="NAI614" s="621"/>
      <c r="NAJ614" s="3933"/>
      <c r="NAK614" s="3933"/>
      <c r="NAL614" s="3933"/>
      <c r="NAM614" s="621"/>
      <c r="NAN614" s="3933"/>
      <c r="NAO614" s="3933"/>
      <c r="NAP614" s="3933"/>
      <c r="NAQ614" s="621"/>
      <c r="NAR614" s="3933"/>
      <c r="NAS614" s="3933"/>
      <c r="NAT614" s="3933"/>
      <c r="NAU614" s="621"/>
      <c r="NAV614" s="3933"/>
      <c r="NAW614" s="3933"/>
      <c r="NAX614" s="3933"/>
      <c r="NAY614" s="621"/>
      <c r="NAZ614" s="3933"/>
      <c r="NBA614" s="3933"/>
      <c r="NBB614" s="3933"/>
      <c r="NBC614" s="621"/>
      <c r="NBD614" s="3933"/>
      <c r="NBE614" s="3933"/>
      <c r="NBF614" s="3933"/>
      <c r="NBG614" s="621"/>
      <c r="NBH614" s="3933"/>
      <c r="NBI614" s="3933"/>
      <c r="NBJ614" s="3933"/>
      <c r="NBK614" s="621"/>
      <c r="NBL614" s="3933"/>
      <c r="NBM614" s="3933"/>
      <c r="NBN614" s="3933"/>
      <c r="NBO614" s="621"/>
      <c r="NBP614" s="3933"/>
      <c r="NBQ614" s="3933"/>
      <c r="NBR614" s="3933"/>
      <c r="NBS614" s="621"/>
      <c r="NBT614" s="3933"/>
      <c r="NBU614" s="3933"/>
      <c r="NBV614" s="3933"/>
      <c r="NBW614" s="621"/>
      <c r="NBX614" s="3933"/>
      <c r="NBY614" s="3933"/>
      <c r="NBZ614" s="3933"/>
      <c r="NCA614" s="621"/>
      <c r="NCB614" s="3933"/>
      <c r="NCC614" s="3933"/>
      <c r="NCD614" s="3933"/>
      <c r="NCE614" s="621"/>
      <c r="NCF614" s="3933"/>
      <c r="NCG614" s="3933"/>
      <c r="NCH614" s="3933"/>
      <c r="NCI614" s="621"/>
      <c r="NCJ614" s="3933"/>
      <c r="NCK614" s="3933"/>
      <c r="NCL614" s="3933"/>
      <c r="NCM614" s="621"/>
      <c r="NCN614" s="3933"/>
      <c r="NCO614" s="3933"/>
      <c r="NCP614" s="3933"/>
      <c r="NCQ614" s="621"/>
      <c r="NCR614" s="3933"/>
      <c r="NCS614" s="3933"/>
      <c r="NCT614" s="3933"/>
      <c r="NCU614" s="621"/>
      <c r="NCV614" s="3933"/>
      <c r="NCW614" s="3933"/>
      <c r="NCX614" s="3933"/>
      <c r="NCY614" s="621"/>
      <c r="NCZ614" s="3933"/>
      <c r="NDA614" s="3933"/>
      <c r="NDB614" s="3933"/>
      <c r="NDC614" s="621"/>
      <c r="NDD614" s="3933"/>
      <c r="NDE614" s="3933"/>
      <c r="NDF614" s="3933"/>
      <c r="NDG614" s="621"/>
      <c r="NDH614" s="3933"/>
      <c r="NDI614" s="3933"/>
      <c r="NDJ614" s="3933"/>
      <c r="NDK614" s="621"/>
      <c r="NDL614" s="3933"/>
      <c r="NDM614" s="3933"/>
      <c r="NDN614" s="3933"/>
      <c r="NDO614" s="621"/>
      <c r="NDP614" s="3933"/>
      <c r="NDQ614" s="3933"/>
      <c r="NDR614" s="3933"/>
      <c r="NDS614" s="621"/>
      <c r="NDT614" s="3933"/>
      <c r="NDU614" s="3933"/>
      <c r="NDV614" s="3933"/>
      <c r="NDW614" s="621"/>
      <c r="NDX614" s="3933"/>
      <c r="NDY614" s="3933"/>
      <c r="NDZ614" s="3933"/>
      <c r="NEA614" s="621"/>
      <c r="NEB614" s="3933"/>
      <c r="NEC614" s="3933"/>
      <c r="NED614" s="3933"/>
      <c r="NEE614" s="621"/>
      <c r="NEF614" s="3933"/>
      <c r="NEG614" s="3933"/>
      <c r="NEH614" s="3933"/>
      <c r="NEI614" s="621"/>
      <c r="NEJ614" s="3933"/>
      <c r="NEK614" s="3933"/>
      <c r="NEL614" s="3933"/>
      <c r="NEM614" s="621"/>
      <c r="NEN614" s="3933"/>
      <c r="NEO614" s="3933"/>
      <c r="NEP614" s="3933"/>
      <c r="NEQ614" s="621"/>
      <c r="NER614" s="3933"/>
      <c r="NES614" s="3933"/>
      <c r="NET614" s="3933"/>
      <c r="NEU614" s="621"/>
      <c r="NEV614" s="3933"/>
      <c r="NEW614" s="3933"/>
      <c r="NEX614" s="3933"/>
      <c r="NEY614" s="621"/>
      <c r="NEZ614" s="3933"/>
      <c r="NFA614" s="3933"/>
      <c r="NFB614" s="3933"/>
      <c r="NFC614" s="621"/>
      <c r="NFD614" s="3933"/>
      <c r="NFE614" s="3933"/>
      <c r="NFF614" s="3933"/>
      <c r="NFG614" s="621"/>
      <c r="NFH614" s="3933"/>
      <c r="NFI614" s="3933"/>
      <c r="NFJ614" s="3933"/>
      <c r="NFK614" s="621"/>
      <c r="NFL614" s="3933"/>
      <c r="NFM614" s="3933"/>
      <c r="NFN614" s="3933"/>
      <c r="NFO614" s="621"/>
      <c r="NFP614" s="3933"/>
      <c r="NFQ614" s="3933"/>
      <c r="NFR614" s="3933"/>
      <c r="NFS614" s="621"/>
      <c r="NFT614" s="3933"/>
      <c r="NFU614" s="3933"/>
      <c r="NFV614" s="3933"/>
      <c r="NFW614" s="621"/>
      <c r="NFX614" s="3933"/>
      <c r="NFY614" s="3933"/>
      <c r="NFZ614" s="3933"/>
      <c r="NGA614" s="621"/>
      <c r="NGB614" s="3933"/>
      <c r="NGC614" s="3933"/>
      <c r="NGD614" s="3933"/>
      <c r="NGE614" s="621"/>
      <c r="NGF614" s="3933"/>
      <c r="NGG614" s="3933"/>
      <c r="NGH614" s="3933"/>
      <c r="NGI614" s="621"/>
      <c r="NGJ614" s="3933"/>
      <c r="NGK614" s="3933"/>
      <c r="NGL614" s="3933"/>
      <c r="NGM614" s="621"/>
      <c r="NGN614" s="3933"/>
      <c r="NGO614" s="3933"/>
      <c r="NGP614" s="3933"/>
      <c r="NGQ614" s="621"/>
      <c r="NGR614" s="3933"/>
      <c r="NGS614" s="3933"/>
      <c r="NGT614" s="3933"/>
      <c r="NGU614" s="621"/>
      <c r="NGV614" s="3933"/>
      <c r="NGW614" s="3933"/>
      <c r="NGX614" s="3933"/>
      <c r="NGY614" s="621"/>
      <c r="NGZ614" s="3933"/>
      <c r="NHA614" s="3933"/>
      <c r="NHB614" s="3933"/>
      <c r="NHC614" s="621"/>
      <c r="NHD614" s="3933"/>
      <c r="NHE614" s="3933"/>
      <c r="NHF614" s="3933"/>
      <c r="NHG614" s="621"/>
      <c r="NHH614" s="3933"/>
      <c r="NHI614" s="3933"/>
      <c r="NHJ614" s="3933"/>
      <c r="NHK614" s="621"/>
      <c r="NHL614" s="3933"/>
      <c r="NHM614" s="3933"/>
      <c r="NHN614" s="3933"/>
      <c r="NHO614" s="621"/>
      <c r="NHP614" s="3933"/>
      <c r="NHQ614" s="3933"/>
      <c r="NHR614" s="3933"/>
      <c r="NHS614" s="621"/>
      <c r="NHT614" s="3933"/>
      <c r="NHU614" s="3933"/>
      <c r="NHV614" s="3933"/>
      <c r="NHW614" s="621"/>
      <c r="NHX614" s="3933"/>
      <c r="NHY614" s="3933"/>
      <c r="NHZ614" s="3933"/>
      <c r="NIA614" s="621"/>
      <c r="NIB614" s="3933"/>
      <c r="NIC614" s="3933"/>
      <c r="NID614" s="3933"/>
      <c r="NIE614" s="621"/>
      <c r="NIF614" s="3933"/>
      <c r="NIG614" s="3933"/>
      <c r="NIH614" s="3933"/>
      <c r="NII614" s="621"/>
      <c r="NIJ614" s="3933"/>
      <c r="NIK614" s="3933"/>
      <c r="NIL614" s="3933"/>
      <c r="NIM614" s="621"/>
      <c r="NIN614" s="3933"/>
      <c r="NIO614" s="3933"/>
      <c r="NIP614" s="3933"/>
      <c r="NIQ614" s="621"/>
      <c r="NIR614" s="3933"/>
      <c r="NIS614" s="3933"/>
      <c r="NIT614" s="3933"/>
      <c r="NIU614" s="621"/>
      <c r="NIV614" s="3933"/>
      <c r="NIW614" s="3933"/>
      <c r="NIX614" s="3933"/>
      <c r="NIY614" s="621"/>
      <c r="NIZ614" s="3933"/>
      <c r="NJA614" s="3933"/>
      <c r="NJB614" s="3933"/>
      <c r="NJC614" s="621"/>
      <c r="NJD614" s="3933"/>
      <c r="NJE614" s="3933"/>
      <c r="NJF614" s="3933"/>
      <c r="NJG614" s="621"/>
      <c r="NJH614" s="3933"/>
      <c r="NJI614" s="3933"/>
      <c r="NJJ614" s="3933"/>
      <c r="NJK614" s="621"/>
      <c r="NJL614" s="3933"/>
      <c r="NJM614" s="3933"/>
      <c r="NJN614" s="3933"/>
      <c r="NJO614" s="621"/>
      <c r="NJP614" s="3933"/>
      <c r="NJQ614" s="3933"/>
      <c r="NJR614" s="3933"/>
      <c r="NJS614" s="621"/>
      <c r="NJT614" s="3933"/>
      <c r="NJU614" s="3933"/>
      <c r="NJV614" s="3933"/>
      <c r="NJW614" s="621"/>
      <c r="NJX614" s="3933"/>
      <c r="NJY614" s="3933"/>
      <c r="NJZ614" s="3933"/>
      <c r="NKA614" s="621"/>
      <c r="NKB614" s="3933"/>
      <c r="NKC614" s="3933"/>
      <c r="NKD614" s="3933"/>
      <c r="NKE614" s="621"/>
      <c r="NKF614" s="3933"/>
      <c r="NKG614" s="3933"/>
      <c r="NKH614" s="3933"/>
      <c r="NKI614" s="621"/>
      <c r="NKJ614" s="3933"/>
      <c r="NKK614" s="3933"/>
      <c r="NKL614" s="3933"/>
      <c r="NKM614" s="621"/>
      <c r="NKN614" s="3933"/>
      <c r="NKO614" s="3933"/>
      <c r="NKP614" s="3933"/>
      <c r="NKQ614" s="621"/>
      <c r="NKR614" s="3933"/>
      <c r="NKS614" s="3933"/>
      <c r="NKT614" s="3933"/>
      <c r="NKU614" s="621"/>
      <c r="NKV614" s="3933"/>
      <c r="NKW614" s="3933"/>
      <c r="NKX614" s="3933"/>
      <c r="NKY614" s="621"/>
      <c r="NKZ614" s="3933"/>
      <c r="NLA614" s="3933"/>
      <c r="NLB614" s="3933"/>
      <c r="NLC614" s="621"/>
      <c r="NLD614" s="3933"/>
      <c r="NLE614" s="3933"/>
      <c r="NLF614" s="3933"/>
      <c r="NLG614" s="621"/>
      <c r="NLH614" s="3933"/>
      <c r="NLI614" s="3933"/>
      <c r="NLJ614" s="3933"/>
      <c r="NLK614" s="621"/>
      <c r="NLL614" s="3933"/>
      <c r="NLM614" s="3933"/>
      <c r="NLN614" s="3933"/>
      <c r="NLO614" s="621"/>
      <c r="NLP614" s="3933"/>
      <c r="NLQ614" s="3933"/>
      <c r="NLR614" s="3933"/>
      <c r="NLS614" s="621"/>
      <c r="NLT614" s="3933"/>
      <c r="NLU614" s="3933"/>
      <c r="NLV614" s="3933"/>
      <c r="NLW614" s="621"/>
      <c r="NLX614" s="3933"/>
      <c r="NLY614" s="3933"/>
      <c r="NLZ614" s="3933"/>
      <c r="NMA614" s="621"/>
      <c r="NMB614" s="3933"/>
      <c r="NMC614" s="3933"/>
      <c r="NMD614" s="3933"/>
      <c r="NME614" s="621"/>
      <c r="NMF614" s="3933"/>
      <c r="NMG614" s="3933"/>
      <c r="NMH614" s="3933"/>
      <c r="NMI614" s="621"/>
      <c r="NMJ614" s="3933"/>
      <c r="NMK614" s="3933"/>
      <c r="NML614" s="3933"/>
      <c r="NMM614" s="621"/>
      <c r="NMN614" s="3933"/>
      <c r="NMO614" s="3933"/>
      <c r="NMP614" s="3933"/>
      <c r="NMQ614" s="621"/>
      <c r="NMR614" s="3933"/>
      <c r="NMS614" s="3933"/>
      <c r="NMT614" s="3933"/>
      <c r="NMU614" s="621"/>
      <c r="NMV614" s="3933"/>
      <c r="NMW614" s="3933"/>
      <c r="NMX614" s="3933"/>
      <c r="NMY614" s="621"/>
      <c r="NMZ614" s="3933"/>
      <c r="NNA614" s="3933"/>
      <c r="NNB614" s="3933"/>
      <c r="NNC614" s="621"/>
      <c r="NND614" s="3933"/>
      <c r="NNE614" s="3933"/>
      <c r="NNF614" s="3933"/>
      <c r="NNG614" s="621"/>
      <c r="NNH614" s="3933"/>
      <c r="NNI614" s="3933"/>
      <c r="NNJ614" s="3933"/>
      <c r="NNK614" s="621"/>
      <c r="NNL614" s="3933"/>
      <c r="NNM614" s="3933"/>
      <c r="NNN614" s="3933"/>
      <c r="NNO614" s="621"/>
      <c r="NNP614" s="3933"/>
      <c r="NNQ614" s="3933"/>
      <c r="NNR614" s="3933"/>
      <c r="NNS614" s="621"/>
      <c r="NNT614" s="3933"/>
      <c r="NNU614" s="3933"/>
      <c r="NNV614" s="3933"/>
      <c r="NNW614" s="621"/>
      <c r="NNX614" s="3933"/>
      <c r="NNY614" s="3933"/>
      <c r="NNZ614" s="3933"/>
      <c r="NOA614" s="621"/>
      <c r="NOB614" s="3933"/>
      <c r="NOC614" s="3933"/>
      <c r="NOD614" s="3933"/>
      <c r="NOE614" s="621"/>
      <c r="NOF614" s="3933"/>
      <c r="NOG614" s="3933"/>
      <c r="NOH614" s="3933"/>
      <c r="NOI614" s="621"/>
      <c r="NOJ614" s="3933"/>
      <c r="NOK614" s="3933"/>
      <c r="NOL614" s="3933"/>
      <c r="NOM614" s="621"/>
      <c r="NON614" s="3933"/>
      <c r="NOO614" s="3933"/>
      <c r="NOP614" s="3933"/>
      <c r="NOQ614" s="621"/>
      <c r="NOR614" s="3933"/>
      <c r="NOS614" s="3933"/>
      <c r="NOT614" s="3933"/>
      <c r="NOU614" s="621"/>
      <c r="NOV614" s="3933"/>
      <c r="NOW614" s="3933"/>
      <c r="NOX614" s="3933"/>
      <c r="NOY614" s="621"/>
      <c r="NOZ614" s="3933"/>
      <c r="NPA614" s="3933"/>
      <c r="NPB614" s="3933"/>
      <c r="NPC614" s="621"/>
      <c r="NPD614" s="3933"/>
      <c r="NPE614" s="3933"/>
      <c r="NPF614" s="3933"/>
      <c r="NPG614" s="621"/>
      <c r="NPH614" s="3933"/>
      <c r="NPI614" s="3933"/>
      <c r="NPJ614" s="3933"/>
      <c r="NPK614" s="621"/>
      <c r="NPL614" s="3933"/>
      <c r="NPM614" s="3933"/>
      <c r="NPN614" s="3933"/>
      <c r="NPO614" s="621"/>
      <c r="NPP614" s="3933"/>
      <c r="NPQ614" s="3933"/>
      <c r="NPR614" s="3933"/>
      <c r="NPS614" s="621"/>
      <c r="NPT614" s="3933"/>
      <c r="NPU614" s="3933"/>
      <c r="NPV614" s="3933"/>
      <c r="NPW614" s="621"/>
      <c r="NPX614" s="3933"/>
      <c r="NPY614" s="3933"/>
      <c r="NPZ614" s="3933"/>
      <c r="NQA614" s="621"/>
      <c r="NQB614" s="3933"/>
      <c r="NQC614" s="3933"/>
      <c r="NQD614" s="3933"/>
      <c r="NQE614" s="621"/>
      <c r="NQF614" s="3933"/>
      <c r="NQG614" s="3933"/>
      <c r="NQH614" s="3933"/>
      <c r="NQI614" s="621"/>
      <c r="NQJ614" s="3933"/>
      <c r="NQK614" s="3933"/>
      <c r="NQL614" s="3933"/>
      <c r="NQM614" s="621"/>
      <c r="NQN614" s="3933"/>
      <c r="NQO614" s="3933"/>
      <c r="NQP614" s="3933"/>
      <c r="NQQ614" s="621"/>
      <c r="NQR614" s="3933"/>
      <c r="NQS614" s="3933"/>
      <c r="NQT614" s="3933"/>
      <c r="NQU614" s="621"/>
      <c r="NQV614" s="3933"/>
      <c r="NQW614" s="3933"/>
      <c r="NQX614" s="3933"/>
      <c r="NQY614" s="621"/>
      <c r="NQZ614" s="3933"/>
      <c r="NRA614" s="3933"/>
      <c r="NRB614" s="3933"/>
      <c r="NRC614" s="621"/>
      <c r="NRD614" s="3933"/>
      <c r="NRE614" s="3933"/>
      <c r="NRF614" s="3933"/>
      <c r="NRG614" s="621"/>
      <c r="NRH614" s="3933"/>
      <c r="NRI614" s="3933"/>
      <c r="NRJ614" s="3933"/>
      <c r="NRK614" s="621"/>
      <c r="NRL614" s="3933"/>
      <c r="NRM614" s="3933"/>
      <c r="NRN614" s="3933"/>
      <c r="NRO614" s="621"/>
      <c r="NRP614" s="3933"/>
      <c r="NRQ614" s="3933"/>
      <c r="NRR614" s="3933"/>
      <c r="NRS614" s="621"/>
      <c r="NRT614" s="3933"/>
      <c r="NRU614" s="3933"/>
      <c r="NRV614" s="3933"/>
      <c r="NRW614" s="621"/>
      <c r="NRX614" s="3933"/>
      <c r="NRY614" s="3933"/>
      <c r="NRZ614" s="3933"/>
      <c r="NSA614" s="621"/>
      <c r="NSB614" s="3933"/>
      <c r="NSC614" s="3933"/>
      <c r="NSD614" s="3933"/>
      <c r="NSE614" s="621"/>
      <c r="NSF614" s="3933"/>
      <c r="NSG614" s="3933"/>
      <c r="NSH614" s="3933"/>
      <c r="NSI614" s="621"/>
      <c r="NSJ614" s="3933"/>
      <c r="NSK614" s="3933"/>
      <c r="NSL614" s="3933"/>
      <c r="NSM614" s="621"/>
      <c r="NSN614" s="3933"/>
      <c r="NSO614" s="3933"/>
      <c r="NSP614" s="3933"/>
      <c r="NSQ614" s="621"/>
      <c r="NSR614" s="3933"/>
      <c r="NSS614" s="3933"/>
      <c r="NST614" s="3933"/>
      <c r="NSU614" s="621"/>
      <c r="NSV614" s="3933"/>
      <c r="NSW614" s="3933"/>
      <c r="NSX614" s="3933"/>
      <c r="NSY614" s="621"/>
      <c r="NSZ614" s="3933"/>
      <c r="NTA614" s="3933"/>
      <c r="NTB614" s="3933"/>
      <c r="NTC614" s="621"/>
      <c r="NTD614" s="3933"/>
      <c r="NTE614" s="3933"/>
      <c r="NTF614" s="3933"/>
      <c r="NTG614" s="621"/>
      <c r="NTH614" s="3933"/>
      <c r="NTI614" s="3933"/>
      <c r="NTJ614" s="3933"/>
      <c r="NTK614" s="621"/>
      <c r="NTL614" s="3933"/>
      <c r="NTM614" s="3933"/>
      <c r="NTN614" s="3933"/>
      <c r="NTO614" s="621"/>
      <c r="NTP614" s="3933"/>
      <c r="NTQ614" s="3933"/>
      <c r="NTR614" s="3933"/>
      <c r="NTS614" s="621"/>
      <c r="NTT614" s="3933"/>
      <c r="NTU614" s="3933"/>
      <c r="NTV614" s="3933"/>
      <c r="NTW614" s="621"/>
      <c r="NTX614" s="3933"/>
      <c r="NTY614" s="3933"/>
      <c r="NTZ614" s="3933"/>
      <c r="NUA614" s="621"/>
      <c r="NUB614" s="3933"/>
      <c r="NUC614" s="3933"/>
      <c r="NUD614" s="3933"/>
      <c r="NUE614" s="621"/>
      <c r="NUF614" s="3933"/>
      <c r="NUG614" s="3933"/>
      <c r="NUH614" s="3933"/>
      <c r="NUI614" s="621"/>
      <c r="NUJ614" s="3933"/>
      <c r="NUK614" s="3933"/>
      <c r="NUL614" s="3933"/>
      <c r="NUM614" s="621"/>
      <c r="NUN614" s="3933"/>
      <c r="NUO614" s="3933"/>
      <c r="NUP614" s="3933"/>
      <c r="NUQ614" s="621"/>
      <c r="NUR614" s="3933"/>
      <c r="NUS614" s="3933"/>
      <c r="NUT614" s="3933"/>
      <c r="NUU614" s="621"/>
      <c r="NUV614" s="3933"/>
      <c r="NUW614" s="3933"/>
      <c r="NUX614" s="3933"/>
      <c r="NUY614" s="621"/>
      <c r="NUZ614" s="3933"/>
      <c r="NVA614" s="3933"/>
      <c r="NVB614" s="3933"/>
      <c r="NVC614" s="621"/>
      <c r="NVD614" s="3933"/>
      <c r="NVE614" s="3933"/>
      <c r="NVF614" s="3933"/>
      <c r="NVG614" s="621"/>
      <c r="NVH614" s="3933"/>
      <c r="NVI614" s="3933"/>
      <c r="NVJ614" s="3933"/>
      <c r="NVK614" s="621"/>
      <c r="NVL614" s="3933"/>
      <c r="NVM614" s="3933"/>
      <c r="NVN614" s="3933"/>
      <c r="NVO614" s="621"/>
      <c r="NVP614" s="3933"/>
      <c r="NVQ614" s="3933"/>
      <c r="NVR614" s="3933"/>
      <c r="NVS614" s="621"/>
      <c r="NVT614" s="3933"/>
      <c r="NVU614" s="3933"/>
      <c r="NVV614" s="3933"/>
      <c r="NVW614" s="621"/>
      <c r="NVX614" s="3933"/>
      <c r="NVY614" s="3933"/>
      <c r="NVZ614" s="3933"/>
      <c r="NWA614" s="621"/>
      <c r="NWB614" s="3933"/>
      <c r="NWC614" s="3933"/>
      <c r="NWD614" s="3933"/>
      <c r="NWE614" s="621"/>
      <c r="NWF614" s="3933"/>
      <c r="NWG614" s="3933"/>
      <c r="NWH614" s="3933"/>
      <c r="NWI614" s="621"/>
      <c r="NWJ614" s="3933"/>
      <c r="NWK614" s="3933"/>
      <c r="NWL614" s="3933"/>
      <c r="NWM614" s="621"/>
      <c r="NWN614" s="3933"/>
      <c r="NWO614" s="3933"/>
      <c r="NWP614" s="3933"/>
      <c r="NWQ614" s="621"/>
      <c r="NWR614" s="3933"/>
      <c r="NWS614" s="3933"/>
      <c r="NWT614" s="3933"/>
      <c r="NWU614" s="621"/>
      <c r="NWV614" s="3933"/>
      <c r="NWW614" s="3933"/>
      <c r="NWX614" s="3933"/>
      <c r="NWY614" s="621"/>
      <c r="NWZ614" s="3933"/>
      <c r="NXA614" s="3933"/>
      <c r="NXB614" s="3933"/>
      <c r="NXC614" s="621"/>
      <c r="NXD614" s="3933"/>
      <c r="NXE614" s="3933"/>
      <c r="NXF614" s="3933"/>
      <c r="NXG614" s="621"/>
      <c r="NXH614" s="3933"/>
      <c r="NXI614" s="3933"/>
      <c r="NXJ614" s="3933"/>
      <c r="NXK614" s="621"/>
      <c r="NXL614" s="3933"/>
      <c r="NXM614" s="3933"/>
      <c r="NXN614" s="3933"/>
      <c r="NXO614" s="621"/>
      <c r="NXP614" s="3933"/>
      <c r="NXQ614" s="3933"/>
      <c r="NXR614" s="3933"/>
      <c r="NXS614" s="621"/>
      <c r="NXT614" s="3933"/>
      <c r="NXU614" s="3933"/>
      <c r="NXV614" s="3933"/>
      <c r="NXW614" s="621"/>
      <c r="NXX614" s="3933"/>
      <c r="NXY614" s="3933"/>
      <c r="NXZ614" s="3933"/>
      <c r="NYA614" s="621"/>
      <c r="NYB614" s="3933"/>
      <c r="NYC614" s="3933"/>
      <c r="NYD614" s="3933"/>
      <c r="NYE614" s="621"/>
      <c r="NYF614" s="3933"/>
      <c r="NYG614" s="3933"/>
      <c r="NYH614" s="3933"/>
      <c r="NYI614" s="621"/>
      <c r="NYJ614" s="3933"/>
      <c r="NYK614" s="3933"/>
      <c r="NYL614" s="3933"/>
      <c r="NYM614" s="621"/>
      <c r="NYN614" s="3933"/>
      <c r="NYO614" s="3933"/>
      <c r="NYP614" s="3933"/>
      <c r="NYQ614" s="621"/>
      <c r="NYR614" s="3933"/>
      <c r="NYS614" s="3933"/>
      <c r="NYT614" s="3933"/>
      <c r="NYU614" s="621"/>
      <c r="NYV614" s="3933"/>
      <c r="NYW614" s="3933"/>
      <c r="NYX614" s="3933"/>
      <c r="NYY614" s="621"/>
      <c r="NYZ614" s="3933"/>
      <c r="NZA614" s="3933"/>
      <c r="NZB614" s="3933"/>
      <c r="NZC614" s="621"/>
      <c r="NZD614" s="3933"/>
      <c r="NZE614" s="3933"/>
      <c r="NZF614" s="3933"/>
      <c r="NZG614" s="621"/>
      <c r="NZH614" s="3933"/>
      <c r="NZI614" s="3933"/>
      <c r="NZJ614" s="3933"/>
      <c r="NZK614" s="621"/>
      <c r="NZL614" s="3933"/>
      <c r="NZM614" s="3933"/>
      <c r="NZN614" s="3933"/>
      <c r="NZO614" s="621"/>
      <c r="NZP614" s="3933"/>
      <c r="NZQ614" s="3933"/>
      <c r="NZR614" s="3933"/>
      <c r="NZS614" s="621"/>
      <c r="NZT614" s="3933"/>
      <c r="NZU614" s="3933"/>
      <c r="NZV614" s="3933"/>
      <c r="NZW614" s="621"/>
      <c r="NZX614" s="3933"/>
      <c r="NZY614" s="3933"/>
      <c r="NZZ614" s="3933"/>
      <c r="OAA614" s="621"/>
      <c r="OAB614" s="3933"/>
      <c r="OAC614" s="3933"/>
      <c r="OAD614" s="3933"/>
      <c r="OAE614" s="621"/>
      <c r="OAF614" s="3933"/>
      <c r="OAG614" s="3933"/>
      <c r="OAH614" s="3933"/>
      <c r="OAI614" s="621"/>
      <c r="OAJ614" s="3933"/>
      <c r="OAK614" s="3933"/>
      <c r="OAL614" s="3933"/>
      <c r="OAM614" s="621"/>
      <c r="OAN614" s="3933"/>
      <c r="OAO614" s="3933"/>
      <c r="OAP614" s="3933"/>
      <c r="OAQ614" s="621"/>
      <c r="OAR614" s="3933"/>
      <c r="OAS614" s="3933"/>
      <c r="OAT614" s="3933"/>
      <c r="OAU614" s="621"/>
      <c r="OAV614" s="3933"/>
      <c r="OAW614" s="3933"/>
      <c r="OAX614" s="3933"/>
      <c r="OAY614" s="621"/>
      <c r="OAZ614" s="3933"/>
      <c r="OBA614" s="3933"/>
      <c r="OBB614" s="3933"/>
      <c r="OBC614" s="621"/>
      <c r="OBD614" s="3933"/>
      <c r="OBE614" s="3933"/>
      <c r="OBF614" s="3933"/>
      <c r="OBG614" s="621"/>
      <c r="OBH614" s="3933"/>
      <c r="OBI614" s="3933"/>
      <c r="OBJ614" s="3933"/>
      <c r="OBK614" s="621"/>
      <c r="OBL614" s="3933"/>
      <c r="OBM614" s="3933"/>
      <c r="OBN614" s="3933"/>
      <c r="OBO614" s="621"/>
      <c r="OBP614" s="3933"/>
      <c r="OBQ614" s="3933"/>
      <c r="OBR614" s="3933"/>
      <c r="OBS614" s="621"/>
      <c r="OBT614" s="3933"/>
      <c r="OBU614" s="3933"/>
      <c r="OBV614" s="3933"/>
      <c r="OBW614" s="621"/>
      <c r="OBX614" s="3933"/>
      <c r="OBY614" s="3933"/>
      <c r="OBZ614" s="3933"/>
      <c r="OCA614" s="621"/>
      <c r="OCB614" s="3933"/>
      <c r="OCC614" s="3933"/>
      <c r="OCD614" s="3933"/>
      <c r="OCE614" s="621"/>
      <c r="OCF614" s="3933"/>
      <c r="OCG614" s="3933"/>
      <c r="OCH614" s="3933"/>
      <c r="OCI614" s="621"/>
      <c r="OCJ614" s="3933"/>
      <c r="OCK614" s="3933"/>
      <c r="OCL614" s="3933"/>
      <c r="OCM614" s="621"/>
      <c r="OCN614" s="3933"/>
      <c r="OCO614" s="3933"/>
      <c r="OCP614" s="3933"/>
      <c r="OCQ614" s="621"/>
      <c r="OCR614" s="3933"/>
      <c r="OCS614" s="3933"/>
      <c r="OCT614" s="3933"/>
      <c r="OCU614" s="621"/>
      <c r="OCV614" s="3933"/>
      <c r="OCW614" s="3933"/>
      <c r="OCX614" s="3933"/>
      <c r="OCY614" s="621"/>
      <c r="OCZ614" s="3933"/>
      <c r="ODA614" s="3933"/>
      <c r="ODB614" s="3933"/>
      <c r="ODC614" s="621"/>
      <c r="ODD614" s="3933"/>
      <c r="ODE614" s="3933"/>
      <c r="ODF614" s="3933"/>
      <c r="ODG614" s="621"/>
      <c r="ODH614" s="3933"/>
      <c r="ODI614" s="3933"/>
      <c r="ODJ614" s="3933"/>
      <c r="ODK614" s="621"/>
      <c r="ODL614" s="3933"/>
      <c r="ODM614" s="3933"/>
      <c r="ODN614" s="3933"/>
      <c r="ODO614" s="621"/>
      <c r="ODP614" s="3933"/>
      <c r="ODQ614" s="3933"/>
      <c r="ODR614" s="3933"/>
      <c r="ODS614" s="621"/>
      <c r="ODT614" s="3933"/>
      <c r="ODU614" s="3933"/>
      <c r="ODV614" s="3933"/>
      <c r="ODW614" s="621"/>
      <c r="ODX614" s="3933"/>
      <c r="ODY614" s="3933"/>
      <c r="ODZ614" s="3933"/>
      <c r="OEA614" s="621"/>
      <c r="OEB614" s="3933"/>
      <c r="OEC614" s="3933"/>
      <c r="OED614" s="3933"/>
      <c r="OEE614" s="621"/>
      <c r="OEF614" s="3933"/>
      <c r="OEG614" s="3933"/>
      <c r="OEH614" s="3933"/>
      <c r="OEI614" s="621"/>
      <c r="OEJ614" s="3933"/>
      <c r="OEK614" s="3933"/>
      <c r="OEL614" s="3933"/>
      <c r="OEM614" s="621"/>
      <c r="OEN614" s="3933"/>
      <c r="OEO614" s="3933"/>
      <c r="OEP614" s="3933"/>
      <c r="OEQ614" s="621"/>
      <c r="OER614" s="3933"/>
      <c r="OES614" s="3933"/>
      <c r="OET614" s="3933"/>
      <c r="OEU614" s="621"/>
      <c r="OEV614" s="3933"/>
      <c r="OEW614" s="3933"/>
      <c r="OEX614" s="3933"/>
      <c r="OEY614" s="621"/>
      <c r="OEZ614" s="3933"/>
      <c r="OFA614" s="3933"/>
      <c r="OFB614" s="3933"/>
      <c r="OFC614" s="621"/>
      <c r="OFD614" s="3933"/>
      <c r="OFE614" s="3933"/>
      <c r="OFF614" s="3933"/>
      <c r="OFG614" s="621"/>
      <c r="OFH614" s="3933"/>
      <c r="OFI614" s="3933"/>
      <c r="OFJ614" s="3933"/>
      <c r="OFK614" s="621"/>
      <c r="OFL614" s="3933"/>
      <c r="OFM614" s="3933"/>
      <c r="OFN614" s="3933"/>
      <c r="OFO614" s="621"/>
      <c r="OFP614" s="3933"/>
      <c r="OFQ614" s="3933"/>
      <c r="OFR614" s="3933"/>
      <c r="OFS614" s="621"/>
      <c r="OFT614" s="3933"/>
      <c r="OFU614" s="3933"/>
      <c r="OFV614" s="3933"/>
      <c r="OFW614" s="621"/>
      <c r="OFX614" s="3933"/>
      <c r="OFY614" s="3933"/>
      <c r="OFZ614" s="3933"/>
      <c r="OGA614" s="621"/>
      <c r="OGB614" s="3933"/>
      <c r="OGC614" s="3933"/>
      <c r="OGD614" s="3933"/>
      <c r="OGE614" s="621"/>
      <c r="OGF614" s="3933"/>
      <c r="OGG614" s="3933"/>
      <c r="OGH614" s="3933"/>
      <c r="OGI614" s="621"/>
      <c r="OGJ614" s="3933"/>
      <c r="OGK614" s="3933"/>
      <c r="OGL614" s="3933"/>
      <c r="OGM614" s="621"/>
      <c r="OGN614" s="3933"/>
      <c r="OGO614" s="3933"/>
      <c r="OGP614" s="3933"/>
      <c r="OGQ614" s="621"/>
      <c r="OGR614" s="3933"/>
      <c r="OGS614" s="3933"/>
      <c r="OGT614" s="3933"/>
      <c r="OGU614" s="621"/>
      <c r="OGV614" s="3933"/>
      <c r="OGW614" s="3933"/>
      <c r="OGX614" s="3933"/>
      <c r="OGY614" s="621"/>
      <c r="OGZ614" s="3933"/>
      <c r="OHA614" s="3933"/>
      <c r="OHB614" s="3933"/>
      <c r="OHC614" s="621"/>
      <c r="OHD614" s="3933"/>
      <c r="OHE614" s="3933"/>
      <c r="OHF614" s="3933"/>
      <c r="OHG614" s="621"/>
      <c r="OHH614" s="3933"/>
      <c r="OHI614" s="3933"/>
      <c r="OHJ614" s="3933"/>
      <c r="OHK614" s="621"/>
      <c r="OHL614" s="3933"/>
      <c r="OHM614" s="3933"/>
      <c r="OHN614" s="3933"/>
      <c r="OHO614" s="621"/>
      <c r="OHP614" s="3933"/>
      <c r="OHQ614" s="3933"/>
      <c r="OHR614" s="3933"/>
      <c r="OHS614" s="621"/>
      <c r="OHT614" s="3933"/>
      <c r="OHU614" s="3933"/>
      <c r="OHV614" s="3933"/>
      <c r="OHW614" s="621"/>
      <c r="OHX614" s="3933"/>
      <c r="OHY614" s="3933"/>
      <c r="OHZ614" s="3933"/>
      <c r="OIA614" s="621"/>
      <c r="OIB614" s="3933"/>
      <c r="OIC614" s="3933"/>
      <c r="OID614" s="3933"/>
      <c r="OIE614" s="621"/>
      <c r="OIF614" s="3933"/>
      <c r="OIG614" s="3933"/>
      <c r="OIH614" s="3933"/>
      <c r="OII614" s="621"/>
      <c r="OIJ614" s="3933"/>
      <c r="OIK614" s="3933"/>
      <c r="OIL614" s="3933"/>
      <c r="OIM614" s="621"/>
      <c r="OIN614" s="3933"/>
      <c r="OIO614" s="3933"/>
      <c r="OIP614" s="3933"/>
      <c r="OIQ614" s="621"/>
      <c r="OIR614" s="3933"/>
      <c r="OIS614" s="3933"/>
      <c r="OIT614" s="3933"/>
      <c r="OIU614" s="621"/>
      <c r="OIV614" s="3933"/>
      <c r="OIW614" s="3933"/>
      <c r="OIX614" s="3933"/>
      <c r="OIY614" s="621"/>
      <c r="OIZ614" s="3933"/>
      <c r="OJA614" s="3933"/>
      <c r="OJB614" s="3933"/>
      <c r="OJC614" s="621"/>
      <c r="OJD614" s="3933"/>
      <c r="OJE614" s="3933"/>
      <c r="OJF614" s="3933"/>
      <c r="OJG614" s="621"/>
      <c r="OJH614" s="3933"/>
      <c r="OJI614" s="3933"/>
      <c r="OJJ614" s="3933"/>
      <c r="OJK614" s="621"/>
      <c r="OJL614" s="3933"/>
      <c r="OJM614" s="3933"/>
      <c r="OJN614" s="3933"/>
      <c r="OJO614" s="621"/>
      <c r="OJP614" s="3933"/>
      <c r="OJQ614" s="3933"/>
      <c r="OJR614" s="3933"/>
      <c r="OJS614" s="621"/>
      <c r="OJT614" s="3933"/>
      <c r="OJU614" s="3933"/>
      <c r="OJV614" s="3933"/>
      <c r="OJW614" s="621"/>
      <c r="OJX614" s="3933"/>
      <c r="OJY614" s="3933"/>
      <c r="OJZ614" s="3933"/>
      <c r="OKA614" s="621"/>
      <c r="OKB614" s="3933"/>
      <c r="OKC614" s="3933"/>
      <c r="OKD614" s="3933"/>
      <c r="OKE614" s="621"/>
      <c r="OKF614" s="3933"/>
      <c r="OKG614" s="3933"/>
      <c r="OKH614" s="3933"/>
      <c r="OKI614" s="621"/>
      <c r="OKJ614" s="3933"/>
      <c r="OKK614" s="3933"/>
      <c r="OKL614" s="3933"/>
      <c r="OKM614" s="621"/>
      <c r="OKN614" s="3933"/>
      <c r="OKO614" s="3933"/>
      <c r="OKP614" s="3933"/>
      <c r="OKQ614" s="621"/>
      <c r="OKR614" s="3933"/>
      <c r="OKS614" s="3933"/>
      <c r="OKT614" s="3933"/>
      <c r="OKU614" s="621"/>
      <c r="OKV614" s="3933"/>
      <c r="OKW614" s="3933"/>
      <c r="OKX614" s="3933"/>
      <c r="OKY614" s="621"/>
      <c r="OKZ614" s="3933"/>
      <c r="OLA614" s="3933"/>
      <c r="OLB614" s="3933"/>
      <c r="OLC614" s="621"/>
      <c r="OLD614" s="3933"/>
      <c r="OLE614" s="3933"/>
      <c r="OLF614" s="3933"/>
      <c r="OLG614" s="621"/>
      <c r="OLH614" s="3933"/>
      <c r="OLI614" s="3933"/>
      <c r="OLJ614" s="3933"/>
      <c r="OLK614" s="621"/>
      <c r="OLL614" s="3933"/>
      <c r="OLM614" s="3933"/>
      <c r="OLN614" s="3933"/>
      <c r="OLO614" s="621"/>
      <c r="OLP614" s="3933"/>
      <c r="OLQ614" s="3933"/>
      <c r="OLR614" s="3933"/>
      <c r="OLS614" s="621"/>
      <c r="OLT614" s="3933"/>
      <c r="OLU614" s="3933"/>
      <c r="OLV614" s="3933"/>
      <c r="OLW614" s="621"/>
      <c r="OLX614" s="3933"/>
      <c r="OLY614" s="3933"/>
      <c r="OLZ614" s="3933"/>
      <c r="OMA614" s="621"/>
      <c r="OMB614" s="3933"/>
      <c r="OMC614" s="3933"/>
      <c r="OMD614" s="3933"/>
      <c r="OME614" s="621"/>
      <c r="OMF614" s="3933"/>
      <c r="OMG614" s="3933"/>
      <c r="OMH614" s="3933"/>
      <c r="OMI614" s="621"/>
      <c r="OMJ614" s="3933"/>
      <c r="OMK614" s="3933"/>
      <c r="OML614" s="3933"/>
      <c r="OMM614" s="621"/>
      <c r="OMN614" s="3933"/>
      <c r="OMO614" s="3933"/>
      <c r="OMP614" s="3933"/>
      <c r="OMQ614" s="621"/>
      <c r="OMR614" s="3933"/>
      <c r="OMS614" s="3933"/>
      <c r="OMT614" s="3933"/>
      <c r="OMU614" s="621"/>
      <c r="OMV614" s="3933"/>
      <c r="OMW614" s="3933"/>
      <c r="OMX614" s="3933"/>
      <c r="OMY614" s="621"/>
      <c r="OMZ614" s="3933"/>
      <c r="ONA614" s="3933"/>
      <c r="ONB614" s="3933"/>
      <c r="ONC614" s="621"/>
      <c r="OND614" s="3933"/>
      <c r="ONE614" s="3933"/>
      <c r="ONF614" s="3933"/>
      <c r="ONG614" s="621"/>
      <c r="ONH614" s="3933"/>
      <c r="ONI614" s="3933"/>
      <c r="ONJ614" s="3933"/>
      <c r="ONK614" s="621"/>
      <c r="ONL614" s="3933"/>
      <c r="ONM614" s="3933"/>
      <c r="ONN614" s="3933"/>
      <c r="ONO614" s="621"/>
      <c r="ONP614" s="3933"/>
      <c r="ONQ614" s="3933"/>
      <c r="ONR614" s="3933"/>
      <c r="ONS614" s="621"/>
      <c r="ONT614" s="3933"/>
      <c r="ONU614" s="3933"/>
      <c r="ONV614" s="3933"/>
      <c r="ONW614" s="621"/>
      <c r="ONX614" s="3933"/>
      <c r="ONY614" s="3933"/>
      <c r="ONZ614" s="3933"/>
      <c r="OOA614" s="621"/>
      <c r="OOB614" s="3933"/>
      <c r="OOC614" s="3933"/>
      <c r="OOD614" s="3933"/>
      <c r="OOE614" s="621"/>
      <c r="OOF614" s="3933"/>
      <c r="OOG614" s="3933"/>
      <c r="OOH614" s="3933"/>
      <c r="OOI614" s="621"/>
      <c r="OOJ614" s="3933"/>
      <c r="OOK614" s="3933"/>
      <c r="OOL614" s="3933"/>
      <c r="OOM614" s="621"/>
      <c r="OON614" s="3933"/>
      <c r="OOO614" s="3933"/>
      <c r="OOP614" s="3933"/>
      <c r="OOQ614" s="621"/>
      <c r="OOR614" s="3933"/>
      <c r="OOS614" s="3933"/>
      <c r="OOT614" s="3933"/>
      <c r="OOU614" s="621"/>
      <c r="OOV614" s="3933"/>
      <c r="OOW614" s="3933"/>
      <c r="OOX614" s="3933"/>
      <c r="OOY614" s="621"/>
      <c r="OOZ614" s="3933"/>
      <c r="OPA614" s="3933"/>
      <c r="OPB614" s="3933"/>
      <c r="OPC614" s="621"/>
      <c r="OPD614" s="3933"/>
      <c r="OPE614" s="3933"/>
      <c r="OPF614" s="3933"/>
      <c r="OPG614" s="621"/>
      <c r="OPH614" s="3933"/>
      <c r="OPI614" s="3933"/>
      <c r="OPJ614" s="3933"/>
      <c r="OPK614" s="621"/>
      <c r="OPL614" s="3933"/>
      <c r="OPM614" s="3933"/>
      <c r="OPN614" s="3933"/>
      <c r="OPO614" s="621"/>
      <c r="OPP614" s="3933"/>
      <c r="OPQ614" s="3933"/>
      <c r="OPR614" s="3933"/>
      <c r="OPS614" s="621"/>
      <c r="OPT614" s="3933"/>
      <c r="OPU614" s="3933"/>
      <c r="OPV614" s="3933"/>
      <c r="OPW614" s="621"/>
      <c r="OPX614" s="3933"/>
      <c r="OPY614" s="3933"/>
      <c r="OPZ614" s="3933"/>
      <c r="OQA614" s="621"/>
      <c r="OQB614" s="3933"/>
      <c r="OQC614" s="3933"/>
      <c r="OQD614" s="3933"/>
      <c r="OQE614" s="621"/>
      <c r="OQF614" s="3933"/>
      <c r="OQG614" s="3933"/>
      <c r="OQH614" s="3933"/>
      <c r="OQI614" s="621"/>
      <c r="OQJ614" s="3933"/>
      <c r="OQK614" s="3933"/>
      <c r="OQL614" s="3933"/>
      <c r="OQM614" s="621"/>
      <c r="OQN614" s="3933"/>
      <c r="OQO614" s="3933"/>
      <c r="OQP614" s="3933"/>
      <c r="OQQ614" s="621"/>
      <c r="OQR614" s="3933"/>
      <c r="OQS614" s="3933"/>
      <c r="OQT614" s="3933"/>
      <c r="OQU614" s="621"/>
      <c r="OQV614" s="3933"/>
      <c r="OQW614" s="3933"/>
      <c r="OQX614" s="3933"/>
      <c r="OQY614" s="621"/>
      <c r="OQZ614" s="3933"/>
      <c r="ORA614" s="3933"/>
      <c r="ORB614" s="3933"/>
      <c r="ORC614" s="621"/>
      <c r="ORD614" s="3933"/>
      <c r="ORE614" s="3933"/>
      <c r="ORF614" s="3933"/>
      <c r="ORG614" s="621"/>
      <c r="ORH614" s="3933"/>
      <c r="ORI614" s="3933"/>
      <c r="ORJ614" s="3933"/>
      <c r="ORK614" s="621"/>
      <c r="ORL614" s="3933"/>
      <c r="ORM614" s="3933"/>
      <c r="ORN614" s="3933"/>
      <c r="ORO614" s="621"/>
      <c r="ORP614" s="3933"/>
      <c r="ORQ614" s="3933"/>
      <c r="ORR614" s="3933"/>
      <c r="ORS614" s="621"/>
      <c r="ORT614" s="3933"/>
      <c r="ORU614" s="3933"/>
      <c r="ORV614" s="3933"/>
      <c r="ORW614" s="621"/>
      <c r="ORX614" s="3933"/>
      <c r="ORY614" s="3933"/>
      <c r="ORZ614" s="3933"/>
      <c r="OSA614" s="621"/>
      <c r="OSB614" s="3933"/>
      <c r="OSC614" s="3933"/>
      <c r="OSD614" s="3933"/>
      <c r="OSE614" s="621"/>
      <c r="OSF614" s="3933"/>
      <c r="OSG614" s="3933"/>
      <c r="OSH614" s="3933"/>
      <c r="OSI614" s="621"/>
      <c r="OSJ614" s="3933"/>
      <c r="OSK614" s="3933"/>
      <c r="OSL614" s="3933"/>
      <c r="OSM614" s="621"/>
      <c r="OSN614" s="3933"/>
      <c r="OSO614" s="3933"/>
      <c r="OSP614" s="3933"/>
      <c r="OSQ614" s="621"/>
      <c r="OSR614" s="3933"/>
      <c r="OSS614" s="3933"/>
      <c r="OST614" s="3933"/>
      <c r="OSU614" s="621"/>
      <c r="OSV614" s="3933"/>
      <c r="OSW614" s="3933"/>
      <c r="OSX614" s="3933"/>
      <c r="OSY614" s="621"/>
      <c r="OSZ614" s="3933"/>
      <c r="OTA614" s="3933"/>
      <c r="OTB614" s="3933"/>
      <c r="OTC614" s="621"/>
      <c r="OTD614" s="3933"/>
      <c r="OTE614" s="3933"/>
      <c r="OTF614" s="3933"/>
      <c r="OTG614" s="621"/>
      <c r="OTH614" s="3933"/>
      <c r="OTI614" s="3933"/>
      <c r="OTJ614" s="3933"/>
      <c r="OTK614" s="621"/>
      <c r="OTL614" s="3933"/>
      <c r="OTM614" s="3933"/>
      <c r="OTN614" s="3933"/>
      <c r="OTO614" s="621"/>
      <c r="OTP614" s="3933"/>
      <c r="OTQ614" s="3933"/>
      <c r="OTR614" s="3933"/>
      <c r="OTS614" s="621"/>
      <c r="OTT614" s="3933"/>
      <c r="OTU614" s="3933"/>
      <c r="OTV614" s="3933"/>
      <c r="OTW614" s="621"/>
      <c r="OTX614" s="3933"/>
      <c r="OTY614" s="3933"/>
      <c r="OTZ614" s="3933"/>
      <c r="OUA614" s="621"/>
      <c r="OUB614" s="3933"/>
      <c r="OUC614" s="3933"/>
      <c r="OUD614" s="3933"/>
      <c r="OUE614" s="621"/>
      <c r="OUF614" s="3933"/>
      <c r="OUG614" s="3933"/>
      <c r="OUH614" s="3933"/>
      <c r="OUI614" s="621"/>
      <c r="OUJ614" s="3933"/>
      <c r="OUK614" s="3933"/>
      <c r="OUL614" s="3933"/>
      <c r="OUM614" s="621"/>
      <c r="OUN614" s="3933"/>
      <c r="OUO614" s="3933"/>
      <c r="OUP614" s="3933"/>
      <c r="OUQ614" s="621"/>
      <c r="OUR614" s="3933"/>
      <c r="OUS614" s="3933"/>
      <c r="OUT614" s="3933"/>
      <c r="OUU614" s="621"/>
      <c r="OUV614" s="3933"/>
      <c r="OUW614" s="3933"/>
      <c r="OUX614" s="3933"/>
      <c r="OUY614" s="621"/>
      <c r="OUZ614" s="3933"/>
      <c r="OVA614" s="3933"/>
      <c r="OVB614" s="3933"/>
      <c r="OVC614" s="621"/>
      <c r="OVD614" s="3933"/>
      <c r="OVE614" s="3933"/>
      <c r="OVF614" s="3933"/>
      <c r="OVG614" s="621"/>
      <c r="OVH614" s="3933"/>
      <c r="OVI614" s="3933"/>
      <c r="OVJ614" s="3933"/>
      <c r="OVK614" s="621"/>
      <c r="OVL614" s="3933"/>
      <c r="OVM614" s="3933"/>
      <c r="OVN614" s="3933"/>
      <c r="OVO614" s="621"/>
      <c r="OVP614" s="3933"/>
      <c r="OVQ614" s="3933"/>
      <c r="OVR614" s="3933"/>
      <c r="OVS614" s="621"/>
      <c r="OVT614" s="3933"/>
      <c r="OVU614" s="3933"/>
      <c r="OVV614" s="3933"/>
      <c r="OVW614" s="621"/>
      <c r="OVX614" s="3933"/>
      <c r="OVY614" s="3933"/>
      <c r="OVZ614" s="3933"/>
      <c r="OWA614" s="621"/>
      <c r="OWB614" s="3933"/>
      <c r="OWC614" s="3933"/>
      <c r="OWD614" s="3933"/>
      <c r="OWE614" s="621"/>
      <c r="OWF614" s="3933"/>
      <c r="OWG614" s="3933"/>
      <c r="OWH614" s="3933"/>
      <c r="OWI614" s="621"/>
      <c r="OWJ614" s="3933"/>
      <c r="OWK614" s="3933"/>
      <c r="OWL614" s="3933"/>
      <c r="OWM614" s="621"/>
      <c r="OWN614" s="3933"/>
      <c r="OWO614" s="3933"/>
      <c r="OWP614" s="3933"/>
      <c r="OWQ614" s="621"/>
      <c r="OWR614" s="3933"/>
      <c r="OWS614" s="3933"/>
      <c r="OWT614" s="3933"/>
      <c r="OWU614" s="621"/>
      <c r="OWV614" s="3933"/>
      <c r="OWW614" s="3933"/>
      <c r="OWX614" s="3933"/>
      <c r="OWY614" s="621"/>
      <c r="OWZ614" s="3933"/>
      <c r="OXA614" s="3933"/>
      <c r="OXB614" s="3933"/>
      <c r="OXC614" s="621"/>
      <c r="OXD614" s="3933"/>
      <c r="OXE614" s="3933"/>
      <c r="OXF614" s="3933"/>
      <c r="OXG614" s="621"/>
      <c r="OXH614" s="3933"/>
      <c r="OXI614" s="3933"/>
      <c r="OXJ614" s="3933"/>
      <c r="OXK614" s="621"/>
      <c r="OXL614" s="3933"/>
      <c r="OXM614" s="3933"/>
      <c r="OXN614" s="3933"/>
      <c r="OXO614" s="621"/>
      <c r="OXP614" s="3933"/>
      <c r="OXQ614" s="3933"/>
      <c r="OXR614" s="3933"/>
      <c r="OXS614" s="621"/>
      <c r="OXT614" s="3933"/>
      <c r="OXU614" s="3933"/>
      <c r="OXV614" s="3933"/>
      <c r="OXW614" s="621"/>
      <c r="OXX614" s="3933"/>
      <c r="OXY614" s="3933"/>
      <c r="OXZ614" s="3933"/>
      <c r="OYA614" s="621"/>
      <c r="OYB614" s="3933"/>
      <c r="OYC614" s="3933"/>
      <c r="OYD614" s="3933"/>
      <c r="OYE614" s="621"/>
      <c r="OYF614" s="3933"/>
      <c r="OYG614" s="3933"/>
      <c r="OYH614" s="3933"/>
      <c r="OYI614" s="621"/>
      <c r="OYJ614" s="3933"/>
      <c r="OYK614" s="3933"/>
      <c r="OYL614" s="3933"/>
      <c r="OYM614" s="621"/>
      <c r="OYN614" s="3933"/>
      <c r="OYO614" s="3933"/>
      <c r="OYP614" s="3933"/>
      <c r="OYQ614" s="621"/>
      <c r="OYR614" s="3933"/>
      <c r="OYS614" s="3933"/>
      <c r="OYT614" s="3933"/>
      <c r="OYU614" s="621"/>
      <c r="OYV614" s="3933"/>
      <c r="OYW614" s="3933"/>
      <c r="OYX614" s="3933"/>
      <c r="OYY614" s="621"/>
      <c r="OYZ614" s="3933"/>
      <c r="OZA614" s="3933"/>
      <c r="OZB614" s="3933"/>
      <c r="OZC614" s="621"/>
      <c r="OZD614" s="3933"/>
      <c r="OZE614" s="3933"/>
      <c r="OZF614" s="3933"/>
      <c r="OZG614" s="621"/>
      <c r="OZH614" s="3933"/>
      <c r="OZI614" s="3933"/>
      <c r="OZJ614" s="3933"/>
      <c r="OZK614" s="621"/>
      <c r="OZL614" s="3933"/>
      <c r="OZM614" s="3933"/>
      <c r="OZN614" s="3933"/>
      <c r="OZO614" s="621"/>
      <c r="OZP614" s="3933"/>
      <c r="OZQ614" s="3933"/>
      <c r="OZR614" s="3933"/>
      <c r="OZS614" s="621"/>
      <c r="OZT614" s="3933"/>
      <c r="OZU614" s="3933"/>
      <c r="OZV614" s="3933"/>
      <c r="OZW614" s="621"/>
      <c r="OZX614" s="3933"/>
      <c r="OZY614" s="3933"/>
      <c r="OZZ614" s="3933"/>
      <c r="PAA614" s="621"/>
      <c r="PAB614" s="3933"/>
      <c r="PAC614" s="3933"/>
      <c r="PAD614" s="3933"/>
      <c r="PAE614" s="621"/>
      <c r="PAF614" s="3933"/>
      <c r="PAG614" s="3933"/>
      <c r="PAH614" s="3933"/>
      <c r="PAI614" s="621"/>
      <c r="PAJ614" s="3933"/>
      <c r="PAK614" s="3933"/>
      <c r="PAL614" s="3933"/>
      <c r="PAM614" s="621"/>
      <c r="PAN614" s="3933"/>
      <c r="PAO614" s="3933"/>
      <c r="PAP614" s="3933"/>
      <c r="PAQ614" s="621"/>
      <c r="PAR614" s="3933"/>
      <c r="PAS614" s="3933"/>
      <c r="PAT614" s="3933"/>
      <c r="PAU614" s="621"/>
      <c r="PAV614" s="3933"/>
      <c r="PAW614" s="3933"/>
      <c r="PAX614" s="3933"/>
      <c r="PAY614" s="621"/>
      <c r="PAZ614" s="3933"/>
      <c r="PBA614" s="3933"/>
      <c r="PBB614" s="3933"/>
      <c r="PBC614" s="621"/>
      <c r="PBD614" s="3933"/>
      <c r="PBE614" s="3933"/>
      <c r="PBF614" s="3933"/>
      <c r="PBG614" s="621"/>
      <c r="PBH614" s="3933"/>
      <c r="PBI614" s="3933"/>
      <c r="PBJ614" s="3933"/>
      <c r="PBK614" s="621"/>
      <c r="PBL614" s="3933"/>
      <c r="PBM614" s="3933"/>
      <c r="PBN614" s="3933"/>
      <c r="PBO614" s="621"/>
      <c r="PBP614" s="3933"/>
      <c r="PBQ614" s="3933"/>
      <c r="PBR614" s="3933"/>
      <c r="PBS614" s="621"/>
      <c r="PBT614" s="3933"/>
      <c r="PBU614" s="3933"/>
      <c r="PBV614" s="3933"/>
      <c r="PBW614" s="621"/>
      <c r="PBX614" s="3933"/>
      <c r="PBY614" s="3933"/>
      <c r="PBZ614" s="3933"/>
      <c r="PCA614" s="621"/>
      <c r="PCB614" s="3933"/>
      <c r="PCC614" s="3933"/>
      <c r="PCD614" s="3933"/>
      <c r="PCE614" s="621"/>
      <c r="PCF614" s="3933"/>
      <c r="PCG614" s="3933"/>
      <c r="PCH614" s="3933"/>
      <c r="PCI614" s="621"/>
      <c r="PCJ614" s="3933"/>
      <c r="PCK614" s="3933"/>
      <c r="PCL614" s="3933"/>
      <c r="PCM614" s="621"/>
      <c r="PCN614" s="3933"/>
      <c r="PCO614" s="3933"/>
      <c r="PCP614" s="3933"/>
      <c r="PCQ614" s="621"/>
      <c r="PCR614" s="3933"/>
      <c r="PCS614" s="3933"/>
      <c r="PCT614" s="3933"/>
      <c r="PCU614" s="621"/>
      <c r="PCV614" s="3933"/>
      <c r="PCW614" s="3933"/>
      <c r="PCX614" s="3933"/>
      <c r="PCY614" s="621"/>
      <c r="PCZ614" s="3933"/>
      <c r="PDA614" s="3933"/>
      <c r="PDB614" s="3933"/>
      <c r="PDC614" s="621"/>
      <c r="PDD614" s="3933"/>
      <c r="PDE614" s="3933"/>
      <c r="PDF614" s="3933"/>
      <c r="PDG614" s="621"/>
      <c r="PDH614" s="3933"/>
      <c r="PDI614" s="3933"/>
      <c r="PDJ614" s="3933"/>
      <c r="PDK614" s="621"/>
      <c r="PDL614" s="3933"/>
      <c r="PDM614" s="3933"/>
      <c r="PDN614" s="3933"/>
      <c r="PDO614" s="621"/>
      <c r="PDP614" s="3933"/>
      <c r="PDQ614" s="3933"/>
      <c r="PDR614" s="3933"/>
      <c r="PDS614" s="621"/>
      <c r="PDT614" s="3933"/>
      <c r="PDU614" s="3933"/>
      <c r="PDV614" s="3933"/>
      <c r="PDW614" s="621"/>
      <c r="PDX614" s="3933"/>
      <c r="PDY614" s="3933"/>
      <c r="PDZ614" s="3933"/>
      <c r="PEA614" s="621"/>
      <c r="PEB614" s="3933"/>
      <c r="PEC614" s="3933"/>
      <c r="PED614" s="3933"/>
      <c r="PEE614" s="621"/>
      <c r="PEF614" s="3933"/>
      <c r="PEG614" s="3933"/>
      <c r="PEH614" s="3933"/>
      <c r="PEI614" s="621"/>
      <c r="PEJ614" s="3933"/>
      <c r="PEK614" s="3933"/>
      <c r="PEL614" s="3933"/>
      <c r="PEM614" s="621"/>
      <c r="PEN614" s="3933"/>
      <c r="PEO614" s="3933"/>
      <c r="PEP614" s="3933"/>
      <c r="PEQ614" s="621"/>
      <c r="PER614" s="3933"/>
      <c r="PES614" s="3933"/>
      <c r="PET614" s="3933"/>
      <c r="PEU614" s="621"/>
      <c r="PEV614" s="3933"/>
      <c r="PEW614" s="3933"/>
      <c r="PEX614" s="3933"/>
      <c r="PEY614" s="621"/>
      <c r="PEZ614" s="3933"/>
      <c r="PFA614" s="3933"/>
      <c r="PFB614" s="3933"/>
      <c r="PFC614" s="621"/>
      <c r="PFD614" s="3933"/>
      <c r="PFE614" s="3933"/>
      <c r="PFF614" s="3933"/>
      <c r="PFG614" s="621"/>
      <c r="PFH614" s="3933"/>
      <c r="PFI614" s="3933"/>
      <c r="PFJ614" s="3933"/>
      <c r="PFK614" s="621"/>
      <c r="PFL614" s="3933"/>
      <c r="PFM614" s="3933"/>
      <c r="PFN614" s="3933"/>
      <c r="PFO614" s="621"/>
      <c r="PFP614" s="3933"/>
      <c r="PFQ614" s="3933"/>
      <c r="PFR614" s="3933"/>
      <c r="PFS614" s="621"/>
      <c r="PFT614" s="3933"/>
      <c r="PFU614" s="3933"/>
      <c r="PFV614" s="3933"/>
      <c r="PFW614" s="621"/>
      <c r="PFX614" s="3933"/>
      <c r="PFY614" s="3933"/>
      <c r="PFZ614" s="3933"/>
      <c r="PGA614" s="621"/>
      <c r="PGB614" s="3933"/>
      <c r="PGC614" s="3933"/>
      <c r="PGD614" s="3933"/>
      <c r="PGE614" s="621"/>
      <c r="PGF614" s="3933"/>
      <c r="PGG614" s="3933"/>
      <c r="PGH614" s="3933"/>
      <c r="PGI614" s="621"/>
      <c r="PGJ614" s="3933"/>
      <c r="PGK614" s="3933"/>
      <c r="PGL614" s="3933"/>
      <c r="PGM614" s="621"/>
      <c r="PGN614" s="3933"/>
      <c r="PGO614" s="3933"/>
      <c r="PGP614" s="3933"/>
      <c r="PGQ614" s="621"/>
      <c r="PGR614" s="3933"/>
      <c r="PGS614" s="3933"/>
      <c r="PGT614" s="3933"/>
      <c r="PGU614" s="621"/>
      <c r="PGV614" s="3933"/>
      <c r="PGW614" s="3933"/>
      <c r="PGX614" s="3933"/>
      <c r="PGY614" s="621"/>
      <c r="PGZ614" s="3933"/>
      <c r="PHA614" s="3933"/>
      <c r="PHB614" s="3933"/>
      <c r="PHC614" s="621"/>
      <c r="PHD614" s="3933"/>
      <c r="PHE614" s="3933"/>
      <c r="PHF614" s="3933"/>
      <c r="PHG614" s="621"/>
      <c r="PHH614" s="3933"/>
      <c r="PHI614" s="3933"/>
      <c r="PHJ614" s="3933"/>
      <c r="PHK614" s="621"/>
      <c r="PHL614" s="3933"/>
      <c r="PHM614" s="3933"/>
      <c r="PHN614" s="3933"/>
      <c r="PHO614" s="621"/>
      <c r="PHP614" s="3933"/>
      <c r="PHQ614" s="3933"/>
      <c r="PHR614" s="3933"/>
      <c r="PHS614" s="621"/>
      <c r="PHT614" s="3933"/>
      <c r="PHU614" s="3933"/>
      <c r="PHV614" s="3933"/>
      <c r="PHW614" s="621"/>
      <c r="PHX614" s="3933"/>
      <c r="PHY614" s="3933"/>
      <c r="PHZ614" s="3933"/>
      <c r="PIA614" s="621"/>
      <c r="PIB614" s="3933"/>
      <c r="PIC614" s="3933"/>
      <c r="PID614" s="3933"/>
      <c r="PIE614" s="621"/>
      <c r="PIF614" s="3933"/>
      <c r="PIG614" s="3933"/>
      <c r="PIH614" s="3933"/>
      <c r="PII614" s="621"/>
      <c r="PIJ614" s="3933"/>
      <c r="PIK614" s="3933"/>
      <c r="PIL614" s="3933"/>
      <c r="PIM614" s="621"/>
      <c r="PIN614" s="3933"/>
      <c r="PIO614" s="3933"/>
      <c r="PIP614" s="3933"/>
      <c r="PIQ614" s="621"/>
      <c r="PIR614" s="3933"/>
      <c r="PIS614" s="3933"/>
      <c r="PIT614" s="3933"/>
      <c r="PIU614" s="621"/>
      <c r="PIV614" s="3933"/>
      <c r="PIW614" s="3933"/>
      <c r="PIX614" s="3933"/>
      <c r="PIY614" s="621"/>
      <c r="PIZ614" s="3933"/>
      <c r="PJA614" s="3933"/>
      <c r="PJB614" s="3933"/>
      <c r="PJC614" s="621"/>
      <c r="PJD614" s="3933"/>
      <c r="PJE614" s="3933"/>
      <c r="PJF614" s="3933"/>
      <c r="PJG614" s="621"/>
      <c r="PJH614" s="3933"/>
      <c r="PJI614" s="3933"/>
      <c r="PJJ614" s="3933"/>
      <c r="PJK614" s="621"/>
      <c r="PJL614" s="3933"/>
      <c r="PJM614" s="3933"/>
      <c r="PJN614" s="3933"/>
      <c r="PJO614" s="621"/>
      <c r="PJP614" s="3933"/>
      <c r="PJQ614" s="3933"/>
      <c r="PJR614" s="3933"/>
      <c r="PJS614" s="621"/>
      <c r="PJT614" s="3933"/>
      <c r="PJU614" s="3933"/>
      <c r="PJV614" s="3933"/>
      <c r="PJW614" s="621"/>
      <c r="PJX614" s="3933"/>
      <c r="PJY614" s="3933"/>
      <c r="PJZ614" s="3933"/>
      <c r="PKA614" s="621"/>
      <c r="PKB614" s="3933"/>
      <c r="PKC614" s="3933"/>
      <c r="PKD614" s="3933"/>
      <c r="PKE614" s="621"/>
      <c r="PKF614" s="3933"/>
      <c r="PKG614" s="3933"/>
      <c r="PKH614" s="3933"/>
      <c r="PKI614" s="621"/>
      <c r="PKJ614" s="3933"/>
      <c r="PKK614" s="3933"/>
      <c r="PKL614" s="3933"/>
      <c r="PKM614" s="621"/>
      <c r="PKN614" s="3933"/>
      <c r="PKO614" s="3933"/>
      <c r="PKP614" s="3933"/>
      <c r="PKQ614" s="621"/>
      <c r="PKR614" s="3933"/>
      <c r="PKS614" s="3933"/>
      <c r="PKT614" s="3933"/>
      <c r="PKU614" s="621"/>
      <c r="PKV614" s="3933"/>
      <c r="PKW614" s="3933"/>
      <c r="PKX614" s="3933"/>
      <c r="PKY614" s="621"/>
      <c r="PKZ614" s="3933"/>
      <c r="PLA614" s="3933"/>
      <c r="PLB614" s="3933"/>
      <c r="PLC614" s="621"/>
      <c r="PLD614" s="3933"/>
      <c r="PLE614" s="3933"/>
      <c r="PLF614" s="3933"/>
      <c r="PLG614" s="621"/>
      <c r="PLH614" s="3933"/>
      <c r="PLI614" s="3933"/>
      <c r="PLJ614" s="3933"/>
      <c r="PLK614" s="621"/>
      <c r="PLL614" s="3933"/>
      <c r="PLM614" s="3933"/>
      <c r="PLN614" s="3933"/>
      <c r="PLO614" s="621"/>
      <c r="PLP614" s="3933"/>
      <c r="PLQ614" s="3933"/>
      <c r="PLR614" s="3933"/>
      <c r="PLS614" s="621"/>
      <c r="PLT614" s="3933"/>
      <c r="PLU614" s="3933"/>
      <c r="PLV614" s="3933"/>
      <c r="PLW614" s="621"/>
      <c r="PLX614" s="3933"/>
      <c r="PLY614" s="3933"/>
      <c r="PLZ614" s="3933"/>
      <c r="PMA614" s="621"/>
      <c r="PMB614" s="3933"/>
      <c r="PMC614" s="3933"/>
      <c r="PMD614" s="3933"/>
      <c r="PME614" s="621"/>
      <c r="PMF614" s="3933"/>
      <c r="PMG614" s="3933"/>
      <c r="PMH614" s="3933"/>
      <c r="PMI614" s="621"/>
      <c r="PMJ614" s="3933"/>
      <c r="PMK614" s="3933"/>
      <c r="PML614" s="3933"/>
      <c r="PMM614" s="621"/>
      <c r="PMN614" s="3933"/>
      <c r="PMO614" s="3933"/>
      <c r="PMP614" s="3933"/>
      <c r="PMQ614" s="621"/>
      <c r="PMR614" s="3933"/>
      <c r="PMS614" s="3933"/>
      <c r="PMT614" s="3933"/>
      <c r="PMU614" s="621"/>
      <c r="PMV614" s="3933"/>
      <c r="PMW614" s="3933"/>
      <c r="PMX614" s="3933"/>
      <c r="PMY614" s="621"/>
      <c r="PMZ614" s="3933"/>
      <c r="PNA614" s="3933"/>
      <c r="PNB614" s="3933"/>
      <c r="PNC614" s="621"/>
      <c r="PND614" s="3933"/>
      <c r="PNE614" s="3933"/>
      <c r="PNF614" s="3933"/>
      <c r="PNG614" s="621"/>
      <c r="PNH614" s="3933"/>
      <c r="PNI614" s="3933"/>
      <c r="PNJ614" s="3933"/>
      <c r="PNK614" s="621"/>
      <c r="PNL614" s="3933"/>
      <c r="PNM614" s="3933"/>
      <c r="PNN614" s="3933"/>
      <c r="PNO614" s="621"/>
      <c r="PNP614" s="3933"/>
      <c r="PNQ614" s="3933"/>
      <c r="PNR614" s="3933"/>
      <c r="PNS614" s="621"/>
      <c r="PNT614" s="3933"/>
      <c r="PNU614" s="3933"/>
      <c r="PNV614" s="3933"/>
      <c r="PNW614" s="621"/>
      <c r="PNX614" s="3933"/>
      <c r="PNY614" s="3933"/>
      <c r="PNZ614" s="3933"/>
      <c r="POA614" s="621"/>
      <c r="POB614" s="3933"/>
      <c r="POC614" s="3933"/>
      <c r="POD614" s="3933"/>
      <c r="POE614" s="621"/>
      <c r="POF614" s="3933"/>
      <c r="POG614" s="3933"/>
      <c r="POH614" s="3933"/>
      <c r="POI614" s="621"/>
      <c r="POJ614" s="3933"/>
      <c r="POK614" s="3933"/>
      <c r="POL614" s="3933"/>
      <c r="POM614" s="621"/>
      <c r="PON614" s="3933"/>
      <c r="POO614" s="3933"/>
      <c r="POP614" s="3933"/>
      <c r="POQ614" s="621"/>
      <c r="POR614" s="3933"/>
      <c r="POS614" s="3933"/>
      <c r="POT614" s="3933"/>
      <c r="POU614" s="621"/>
      <c r="POV614" s="3933"/>
      <c r="POW614" s="3933"/>
      <c r="POX614" s="3933"/>
      <c r="POY614" s="621"/>
      <c r="POZ614" s="3933"/>
      <c r="PPA614" s="3933"/>
      <c r="PPB614" s="3933"/>
      <c r="PPC614" s="621"/>
      <c r="PPD614" s="3933"/>
      <c r="PPE614" s="3933"/>
      <c r="PPF614" s="3933"/>
      <c r="PPG614" s="621"/>
      <c r="PPH614" s="3933"/>
      <c r="PPI614" s="3933"/>
      <c r="PPJ614" s="3933"/>
      <c r="PPK614" s="621"/>
      <c r="PPL614" s="3933"/>
      <c r="PPM614" s="3933"/>
      <c r="PPN614" s="3933"/>
      <c r="PPO614" s="621"/>
      <c r="PPP614" s="3933"/>
      <c r="PPQ614" s="3933"/>
      <c r="PPR614" s="3933"/>
      <c r="PPS614" s="621"/>
      <c r="PPT614" s="3933"/>
      <c r="PPU614" s="3933"/>
      <c r="PPV614" s="3933"/>
      <c r="PPW614" s="621"/>
      <c r="PPX614" s="3933"/>
      <c r="PPY614" s="3933"/>
      <c r="PPZ614" s="3933"/>
      <c r="PQA614" s="621"/>
      <c r="PQB614" s="3933"/>
      <c r="PQC614" s="3933"/>
      <c r="PQD614" s="3933"/>
      <c r="PQE614" s="621"/>
      <c r="PQF614" s="3933"/>
      <c r="PQG614" s="3933"/>
      <c r="PQH614" s="3933"/>
      <c r="PQI614" s="621"/>
      <c r="PQJ614" s="3933"/>
      <c r="PQK614" s="3933"/>
      <c r="PQL614" s="3933"/>
      <c r="PQM614" s="621"/>
      <c r="PQN614" s="3933"/>
      <c r="PQO614" s="3933"/>
      <c r="PQP614" s="3933"/>
      <c r="PQQ614" s="621"/>
      <c r="PQR614" s="3933"/>
      <c r="PQS614" s="3933"/>
      <c r="PQT614" s="3933"/>
      <c r="PQU614" s="621"/>
      <c r="PQV614" s="3933"/>
      <c r="PQW614" s="3933"/>
      <c r="PQX614" s="3933"/>
      <c r="PQY614" s="621"/>
      <c r="PQZ614" s="3933"/>
      <c r="PRA614" s="3933"/>
      <c r="PRB614" s="3933"/>
      <c r="PRC614" s="621"/>
      <c r="PRD614" s="3933"/>
      <c r="PRE614" s="3933"/>
      <c r="PRF614" s="3933"/>
      <c r="PRG614" s="621"/>
      <c r="PRH614" s="3933"/>
      <c r="PRI614" s="3933"/>
      <c r="PRJ614" s="3933"/>
      <c r="PRK614" s="621"/>
      <c r="PRL614" s="3933"/>
      <c r="PRM614" s="3933"/>
      <c r="PRN614" s="3933"/>
      <c r="PRO614" s="621"/>
      <c r="PRP614" s="3933"/>
      <c r="PRQ614" s="3933"/>
      <c r="PRR614" s="3933"/>
      <c r="PRS614" s="621"/>
      <c r="PRT614" s="3933"/>
      <c r="PRU614" s="3933"/>
      <c r="PRV614" s="3933"/>
      <c r="PRW614" s="621"/>
      <c r="PRX614" s="3933"/>
      <c r="PRY614" s="3933"/>
      <c r="PRZ614" s="3933"/>
      <c r="PSA614" s="621"/>
      <c r="PSB614" s="3933"/>
      <c r="PSC614" s="3933"/>
      <c r="PSD614" s="3933"/>
      <c r="PSE614" s="621"/>
      <c r="PSF614" s="3933"/>
      <c r="PSG614" s="3933"/>
      <c r="PSH614" s="3933"/>
      <c r="PSI614" s="621"/>
      <c r="PSJ614" s="3933"/>
      <c r="PSK614" s="3933"/>
      <c r="PSL614" s="3933"/>
      <c r="PSM614" s="621"/>
      <c r="PSN614" s="3933"/>
      <c r="PSO614" s="3933"/>
      <c r="PSP614" s="3933"/>
      <c r="PSQ614" s="621"/>
      <c r="PSR614" s="3933"/>
      <c r="PSS614" s="3933"/>
      <c r="PST614" s="3933"/>
      <c r="PSU614" s="621"/>
      <c r="PSV614" s="3933"/>
      <c r="PSW614" s="3933"/>
      <c r="PSX614" s="3933"/>
      <c r="PSY614" s="621"/>
      <c r="PSZ614" s="3933"/>
      <c r="PTA614" s="3933"/>
      <c r="PTB614" s="3933"/>
      <c r="PTC614" s="621"/>
      <c r="PTD614" s="3933"/>
      <c r="PTE614" s="3933"/>
      <c r="PTF614" s="3933"/>
      <c r="PTG614" s="621"/>
      <c r="PTH614" s="3933"/>
      <c r="PTI614" s="3933"/>
      <c r="PTJ614" s="3933"/>
      <c r="PTK614" s="621"/>
      <c r="PTL614" s="3933"/>
      <c r="PTM614" s="3933"/>
      <c r="PTN614" s="3933"/>
      <c r="PTO614" s="621"/>
      <c r="PTP614" s="3933"/>
      <c r="PTQ614" s="3933"/>
      <c r="PTR614" s="3933"/>
      <c r="PTS614" s="621"/>
      <c r="PTT614" s="3933"/>
      <c r="PTU614" s="3933"/>
      <c r="PTV614" s="3933"/>
      <c r="PTW614" s="621"/>
      <c r="PTX614" s="3933"/>
      <c r="PTY614" s="3933"/>
      <c r="PTZ614" s="3933"/>
      <c r="PUA614" s="621"/>
      <c r="PUB614" s="3933"/>
      <c r="PUC614" s="3933"/>
      <c r="PUD614" s="3933"/>
      <c r="PUE614" s="621"/>
      <c r="PUF614" s="3933"/>
      <c r="PUG614" s="3933"/>
      <c r="PUH614" s="3933"/>
      <c r="PUI614" s="621"/>
      <c r="PUJ614" s="3933"/>
      <c r="PUK614" s="3933"/>
      <c r="PUL614" s="3933"/>
      <c r="PUM614" s="621"/>
      <c r="PUN614" s="3933"/>
      <c r="PUO614" s="3933"/>
      <c r="PUP614" s="3933"/>
      <c r="PUQ614" s="621"/>
      <c r="PUR614" s="3933"/>
      <c r="PUS614" s="3933"/>
      <c r="PUT614" s="3933"/>
      <c r="PUU614" s="621"/>
      <c r="PUV614" s="3933"/>
      <c r="PUW614" s="3933"/>
      <c r="PUX614" s="3933"/>
      <c r="PUY614" s="621"/>
      <c r="PUZ614" s="3933"/>
      <c r="PVA614" s="3933"/>
      <c r="PVB614" s="3933"/>
      <c r="PVC614" s="621"/>
      <c r="PVD614" s="3933"/>
      <c r="PVE614" s="3933"/>
      <c r="PVF614" s="3933"/>
      <c r="PVG614" s="621"/>
      <c r="PVH614" s="3933"/>
      <c r="PVI614" s="3933"/>
      <c r="PVJ614" s="3933"/>
      <c r="PVK614" s="621"/>
      <c r="PVL614" s="3933"/>
      <c r="PVM614" s="3933"/>
      <c r="PVN614" s="3933"/>
      <c r="PVO614" s="621"/>
      <c r="PVP614" s="3933"/>
      <c r="PVQ614" s="3933"/>
      <c r="PVR614" s="3933"/>
      <c r="PVS614" s="621"/>
      <c r="PVT614" s="3933"/>
      <c r="PVU614" s="3933"/>
      <c r="PVV614" s="3933"/>
      <c r="PVW614" s="621"/>
      <c r="PVX614" s="3933"/>
      <c r="PVY614" s="3933"/>
      <c r="PVZ614" s="3933"/>
      <c r="PWA614" s="621"/>
      <c r="PWB614" s="3933"/>
      <c r="PWC614" s="3933"/>
      <c r="PWD614" s="3933"/>
      <c r="PWE614" s="621"/>
      <c r="PWF614" s="3933"/>
      <c r="PWG614" s="3933"/>
      <c r="PWH614" s="3933"/>
      <c r="PWI614" s="621"/>
      <c r="PWJ614" s="3933"/>
      <c r="PWK614" s="3933"/>
      <c r="PWL614" s="3933"/>
      <c r="PWM614" s="621"/>
      <c r="PWN614" s="3933"/>
      <c r="PWO614" s="3933"/>
      <c r="PWP614" s="3933"/>
      <c r="PWQ614" s="621"/>
      <c r="PWR614" s="3933"/>
      <c r="PWS614" s="3933"/>
      <c r="PWT614" s="3933"/>
      <c r="PWU614" s="621"/>
      <c r="PWV614" s="3933"/>
      <c r="PWW614" s="3933"/>
      <c r="PWX614" s="3933"/>
      <c r="PWY614" s="621"/>
      <c r="PWZ614" s="3933"/>
      <c r="PXA614" s="3933"/>
      <c r="PXB614" s="3933"/>
      <c r="PXC614" s="621"/>
      <c r="PXD614" s="3933"/>
      <c r="PXE614" s="3933"/>
      <c r="PXF614" s="3933"/>
      <c r="PXG614" s="621"/>
      <c r="PXH614" s="3933"/>
      <c r="PXI614" s="3933"/>
      <c r="PXJ614" s="3933"/>
      <c r="PXK614" s="621"/>
      <c r="PXL614" s="3933"/>
      <c r="PXM614" s="3933"/>
      <c r="PXN614" s="3933"/>
      <c r="PXO614" s="621"/>
      <c r="PXP614" s="3933"/>
      <c r="PXQ614" s="3933"/>
      <c r="PXR614" s="3933"/>
      <c r="PXS614" s="621"/>
      <c r="PXT614" s="3933"/>
      <c r="PXU614" s="3933"/>
      <c r="PXV614" s="3933"/>
      <c r="PXW614" s="621"/>
      <c r="PXX614" s="3933"/>
      <c r="PXY614" s="3933"/>
      <c r="PXZ614" s="3933"/>
      <c r="PYA614" s="621"/>
      <c r="PYB614" s="3933"/>
      <c r="PYC614" s="3933"/>
      <c r="PYD614" s="3933"/>
      <c r="PYE614" s="621"/>
      <c r="PYF614" s="3933"/>
      <c r="PYG614" s="3933"/>
      <c r="PYH614" s="3933"/>
      <c r="PYI614" s="621"/>
      <c r="PYJ614" s="3933"/>
      <c r="PYK614" s="3933"/>
      <c r="PYL614" s="3933"/>
      <c r="PYM614" s="621"/>
      <c r="PYN614" s="3933"/>
      <c r="PYO614" s="3933"/>
      <c r="PYP614" s="3933"/>
      <c r="PYQ614" s="621"/>
      <c r="PYR614" s="3933"/>
      <c r="PYS614" s="3933"/>
      <c r="PYT614" s="3933"/>
      <c r="PYU614" s="621"/>
      <c r="PYV614" s="3933"/>
      <c r="PYW614" s="3933"/>
      <c r="PYX614" s="3933"/>
      <c r="PYY614" s="621"/>
      <c r="PYZ614" s="3933"/>
      <c r="PZA614" s="3933"/>
      <c r="PZB614" s="3933"/>
      <c r="PZC614" s="621"/>
      <c r="PZD614" s="3933"/>
      <c r="PZE614" s="3933"/>
      <c r="PZF614" s="3933"/>
      <c r="PZG614" s="621"/>
      <c r="PZH614" s="3933"/>
      <c r="PZI614" s="3933"/>
      <c r="PZJ614" s="3933"/>
      <c r="PZK614" s="621"/>
      <c r="PZL614" s="3933"/>
      <c r="PZM614" s="3933"/>
      <c r="PZN614" s="3933"/>
      <c r="PZO614" s="621"/>
      <c r="PZP614" s="3933"/>
      <c r="PZQ614" s="3933"/>
      <c r="PZR614" s="3933"/>
      <c r="PZS614" s="621"/>
      <c r="PZT614" s="3933"/>
      <c r="PZU614" s="3933"/>
      <c r="PZV614" s="3933"/>
      <c r="PZW614" s="621"/>
      <c r="PZX614" s="3933"/>
      <c r="PZY614" s="3933"/>
      <c r="PZZ614" s="3933"/>
      <c r="QAA614" s="621"/>
      <c r="QAB614" s="3933"/>
      <c r="QAC614" s="3933"/>
      <c r="QAD614" s="3933"/>
      <c r="QAE614" s="621"/>
      <c r="QAF614" s="3933"/>
      <c r="QAG614" s="3933"/>
      <c r="QAH614" s="3933"/>
      <c r="QAI614" s="621"/>
      <c r="QAJ614" s="3933"/>
      <c r="QAK614" s="3933"/>
      <c r="QAL614" s="3933"/>
      <c r="QAM614" s="621"/>
      <c r="QAN614" s="3933"/>
      <c r="QAO614" s="3933"/>
      <c r="QAP614" s="3933"/>
      <c r="QAQ614" s="621"/>
      <c r="QAR614" s="3933"/>
      <c r="QAS614" s="3933"/>
      <c r="QAT614" s="3933"/>
      <c r="QAU614" s="621"/>
      <c r="QAV614" s="3933"/>
      <c r="QAW614" s="3933"/>
      <c r="QAX614" s="3933"/>
      <c r="QAY614" s="621"/>
      <c r="QAZ614" s="3933"/>
      <c r="QBA614" s="3933"/>
      <c r="QBB614" s="3933"/>
      <c r="QBC614" s="621"/>
      <c r="QBD614" s="3933"/>
      <c r="QBE614" s="3933"/>
      <c r="QBF614" s="3933"/>
      <c r="QBG614" s="621"/>
      <c r="QBH614" s="3933"/>
      <c r="QBI614" s="3933"/>
      <c r="QBJ614" s="3933"/>
      <c r="QBK614" s="621"/>
      <c r="QBL614" s="3933"/>
      <c r="QBM614" s="3933"/>
      <c r="QBN614" s="3933"/>
      <c r="QBO614" s="621"/>
      <c r="QBP614" s="3933"/>
      <c r="QBQ614" s="3933"/>
      <c r="QBR614" s="3933"/>
      <c r="QBS614" s="621"/>
      <c r="QBT614" s="3933"/>
      <c r="QBU614" s="3933"/>
      <c r="QBV614" s="3933"/>
      <c r="QBW614" s="621"/>
      <c r="QBX614" s="3933"/>
      <c r="QBY614" s="3933"/>
      <c r="QBZ614" s="3933"/>
      <c r="QCA614" s="621"/>
      <c r="QCB614" s="3933"/>
      <c r="QCC614" s="3933"/>
      <c r="QCD614" s="3933"/>
      <c r="QCE614" s="621"/>
      <c r="QCF614" s="3933"/>
      <c r="QCG614" s="3933"/>
      <c r="QCH614" s="3933"/>
      <c r="QCI614" s="621"/>
      <c r="QCJ614" s="3933"/>
      <c r="QCK614" s="3933"/>
      <c r="QCL614" s="3933"/>
      <c r="QCM614" s="621"/>
      <c r="QCN614" s="3933"/>
      <c r="QCO614" s="3933"/>
      <c r="QCP614" s="3933"/>
      <c r="QCQ614" s="621"/>
      <c r="QCR614" s="3933"/>
      <c r="QCS614" s="3933"/>
      <c r="QCT614" s="3933"/>
      <c r="QCU614" s="621"/>
      <c r="QCV614" s="3933"/>
      <c r="QCW614" s="3933"/>
      <c r="QCX614" s="3933"/>
      <c r="QCY614" s="621"/>
      <c r="QCZ614" s="3933"/>
      <c r="QDA614" s="3933"/>
      <c r="QDB614" s="3933"/>
      <c r="QDC614" s="621"/>
      <c r="QDD614" s="3933"/>
      <c r="QDE614" s="3933"/>
      <c r="QDF614" s="3933"/>
      <c r="QDG614" s="621"/>
      <c r="QDH614" s="3933"/>
      <c r="QDI614" s="3933"/>
      <c r="QDJ614" s="3933"/>
      <c r="QDK614" s="621"/>
      <c r="QDL614" s="3933"/>
      <c r="QDM614" s="3933"/>
      <c r="QDN614" s="3933"/>
      <c r="QDO614" s="621"/>
      <c r="QDP614" s="3933"/>
      <c r="QDQ614" s="3933"/>
      <c r="QDR614" s="3933"/>
      <c r="QDS614" s="621"/>
      <c r="QDT614" s="3933"/>
      <c r="QDU614" s="3933"/>
      <c r="QDV614" s="3933"/>
      <c r="QDW614" s="621"/>
      <c r="QDX614" s="3933"/>
      <c r="QDY614" s="3933"/>
      <c r="QDZ614" s="3933"/>
      <c r="QEA614" s="621"/>
      <c r="QEB614" s="3933"/>
      <c r="QEC614" s="3933"/>
      <c r="QED614" s="3933"/>
      <c r="QEE614" s="621"/>
      <c r="QEF614" s="3933"/>
      <c r="QEG614" s="3933"/>
      <c r="QEH614" s="3933"/>
      <c r="QEI614" s="621"/>
      <c r="QEJ614" s="3933"/>
      <c r="QEK614" s="3933"/>
      <c r="QEL614" s="3933"/>
      <c r="QEM614" s="621"/>
      <c r="QEN614" s="3933"/>
      <c r="QEO614" s="3933"/>
      <c r="QEP614" s="3933"/>
      <c r="QEQ614" s="621"/>
      <c r="QER614" s="3933"/>
      <c r="QES614" s="3933"/>
      <c r="QET614" s="3933"/>
      <c r="QEU614" s="621"/>
      <c r="QEV614" s="3933"/>
      <c r="QEW614" s="3933"/>
      <c r="QEX614" s="3933"/>
      <c r="QEY614" s="621"/>
      <c r="QEZ614" s="3933"/>
      <c r="QFA614" s="3933"/>
      <c r="QFB614" s="3933"/>
      <c r="QFC614" s="621"/>
      <c r="QFD614" s="3933"/>
      <c r="QFE614" s="3933"/>
      <c r="QFF614" s="3933"/>
      <c r="QFG614" s="621"/>
      <c r="QFH614" s="3933"/>
      <c r="QFI614" s="3933"/>
      <c r="QFJ614" s="3933"/>
      <c r="QFK614" s="621"/>
      <c r="QFL614" s="3933"/>
      <c r="QFM614" s="3933"/>
      <c r="QFN614" s="3933"/>
      <c r="QFO614" s="621"/>
      <c r="QFP614" s="3933"/>
      <c r="QFQ614" s="3933"/>
      <c r="QFR614" s="3933"/>
      <c r="QFS614" s="621"/>
      <c r="QFT614" s="3933"/>
      <c r="QFU614" s="3933"/>
      <c r="QFV614" s="3933"/>
      <c r="QFW614" s="621"/>
      <c r="QFX614" s="3933"/>
      <c r="QFY614" s="3933"/>
      <c r="QFZ614" s="3933"/>
      <c r="QGA614" s="621"/>
      <c r="QGB614" s="3933"/>
      <c r="QGC614" s="3933"/>
      <c r="QGD614" s="3933"/>
      <c r="QGE614" s="621"/>
      <c r="QGF614" s="3933"/>
      <c r="QGG614" s="3933"/>
      <c r="QGH614" s="3933"/>
      <c r="QGI614" s="621"/>
      <c r="QGJ614" s="3933"/>
      <c r="QGK614" s="3933"/>
      <c r="QGL614" s="3933"/>
      <c r="QGM614" s="621"/>
      <c r="QGN614" s="3933"/>
      <c r="QGO614" s="3933"/>
      <c r="QGP614" s="3933"/>
      <c r="QGQ614" s="621"/>
      <c r="QGR614" s="3933"/>
      <c r="QGS614" s="3933"/>
      <c r="QGT614" s="3933"/>
      <c r="QGU614" s="621"/>
      <c r="QGV614" s="3933"/>
      <c r="QGW614" s="3933"/>
      <c r="QGX614" s="3933"/>
      <c r="QGY614" s="621"/>
      <c r="QGZ614" s="3933"/>
      <c r="QHA614" s="3933"/>
      <c r="QHB614" s="3933"/>
      <c r="QHC614" s="621"/>
      <c r="QHD614" s="3933"/>
      <c r="QHE614" s="3933"/>
      <c r="QHF614" s="3933"/>
      <c r="QHG614" s="621"/>
      <c r="QHH614" s="3933"/>
      <c r="QHI614" s="3933"/>
      <c r="QHJ614" s="3933"/>
      <c r="QHK614" s="621"/>
      <c r="QHL614" s="3933"/>
      <c r="QHM614" s="3933"/>
      <c r="QHN614" s="3933"/>
      <c r="QHO614" s="621"/>
      <c r="QHP614" s="3933"/>
      <c r="QHQ614" s="3933"/>
      <c r="QHR614" s="3933"/>
      <c r="QHS614" s="621"/>
      <c r="QHT614" s="3933"/>
      <c r="QHU614" s="3933"/>
      <c r="QHV614" s="3933"/>
      <c r="QHW614" s="621"/>
      <c r="QHX614" s="3933"/>
      <c r="QHY614" s="3933"/>
      <c r="QHZ614" s="3933"/>
      <c r="QIA614" s="621"/>
      <c r="QIB614" s="3933"/>
      <c r="QIC614" s="3933"/>
      <c r="QID614" s="3933"/>
      <c r="QIE614" s="621"/>
      <c r="QIF614" s="3933"/>
      <c r="QIG614" s="3933"/>
      <c r="QIH614" s="3933"/>
      <c r="QII614" s="621"/>
      <c r="QIJ614" s="3933"/>
      <c r="QIK614" s="3933"/>
      <c r="QIL614" s="3933"/>
      <c r="QIM614" s="621"/>
      <c r="QIN614" s="3933"/>
      <c r="QIO614" s="3933"/>
      <c r="QIP614" s="3933"/>
      <c r="QIQ614" s="621"/>
      <c r="QIR614" s="3933"/>
      <c r="QIS614" s="3933"/>
      <c r="QIT614" s="3933"/>
      <c r="QIU614" s="621"/>
      <c r="QIV614" s="3933"/>
      <c r="QIW614" s="3933"/>
      <c r="QIX614" s="3933"/>
      <c r="QIY614" s="621"/>
      <c r="QIZ614" s="3933"/>
      <c r="QJA614" s="3933"/>
      <c r="QJB614" s="3933"/>
      <c r="QJC614" s="621"/>
      <c r="QJD614" s="3933"/>
      <c r="QJE614" s="3933"/>
      <c r="QJF614" s="3933"/>
      <c r="QJG614" s="621"/>
      <c r="QJH614" s="3933"/>
      <c r="QJI614" s="3933"/>
      <c r="QJJ614" s="3933"/>
      <c r="QJK614" s="621"/>
      <c r="QJL614" s="3933"/>
      <c r="QJM614" s="3933"/>
      <c r="QJN614" s="3933"/>
      <c r="QJO614" s="621"/>
      <c r="QJP614" s="3933"/>
      <c r="QJQ614" s="3933"/>
      <c r="QJR614" s="3933"/>
      <c r="QJS614" s="621"/>
      <c r="QJT614" s="3933"/>
      <c r="QJU614" s="3933"/>
      <c r="QJV614" s="3933"/>
      <c r="QJW614" s="621"/>
      <c r="QJX614" s="3933"/>
      <c r="QJY614" s="3933"/>
      <c r="QJZ614" s="3933"/>
      <c r="QKA614" s="621"/>
      <c r="QKB614" s="3933"/>
      <c r="QKC614" s="3933"/>
      <c r="QKD614" s="3933"/>
      <c r="QKE614" s="621"/>
      <c r="QKF614" s="3933"/>
      <c r="QKG614" s="3933"/>
      <c r="QKH614" s="3933"/>
      <c r="QKI614" s="621"/>
      <c r="QKJ614" s="3933"/>
      <c r="QKK614" s="3933"/>
      <c r="QKL614" s="3933"/>
      <c r="QKM614" s="621"/>
      <c r="QKN614" s="3933"/>
      <c r="QKO614" s="3933"/>
      <c r="QKP614" s="3933"/>
      <c r="QKQ614" s="621"/>
      <c r="QKR614" s="3933"/>
      <c r="QKS614" s="3933"/>
      <c r="QKT614" s="3933"/>
      <c r="QKU614" s="621"/>
      <c r="QKV614" s="3933"/>
      <c r="QKW614" s="3933"/>
      <c r="QKX614" s="3933"/>
      <c r="QKY614" s="621"/>
      <c r="QKZ614" s="3933"/>
      <c r="QLA614" s="3933"/>
      <c r="QLB614" s="3933"/>
      <c r="QLC614" s="621"/>
      <c r="QLD614" s="3933"/>
      <c r="QLE614" s="3933"/>
      <c r="QLF614" s="3933"/>
      <c r="QLG614" s="621"/>
      <c r="QLH614" s="3933"/>
      <c r="QLI614" s="3933"/>
      <c r="QLJ614" s="3933"/>
      <c r="QLK614" s="621"/>
      <c r="QLL614" s="3933"/>
      <c r="QLM614" s="3933"/>
      <c r="QLN614" s="3933"/>
      <c r="QLO614" s="621"/>
      <c r="QLP614" s="3933"/>
      <c r="QLQ614" s="3933"/>
      <c r="QLR614" s="3933"/>
      <c r="QLS614" s="621"/>
      <c r="QLT614" s="3933"/>
      <c r="QLU614" s="3933"/>
      <c r="QLV614" s="3933"/>
      <c r="QLW614" s="621"/>
      <c r="QLX614" s="3933"/>
      <c r="QLY614" s="3933"/>
      <c r="QLZ614" s="3933"/>
      <c r="QMA614" s="621"/>
      <c r="QMB614" s="3933"/>
      <c r="QMC614" s="3933"/>
      <c r="QMD614" s="3933"/>
      <c r="QME614" s="621"/>
      <c r="QMF614" s="3933"/>
      <c r="QMG614" s="3933"/>
      <c r="QMH614" s="3933"/>
      <c r="QMI614" s="621"/>
      <c r="QMJ614" s="3933"/>
      <c r="QMK614" s="3933"/>
      <c r="QML614" s="3933"/>
      <c r="QMM614" s="621"/>
      <c r="QMN614" s="3933"/>
      <c r="QMO614" s="3933"/>
      <c r="QMP614" s="3933"/>
      <c r="QMQ614" s="621"/>
      <c r="QMR614" s="3933"/>
      <c r="QMS614" s="3933"/>
      <c r="QMT614" s="3933"/>
      <c r="QMU614" s="621"/>
      <c r="QMV614" s="3933"/>
      <c r="QMW614" s="3933"/>
      <c r="QMX614" s="3933"/>
      <c r="QMY614" s="621"/>
      <c r="QMZ614" s="3933"/>
      <c r="QNA614" s="3933"/>
      <c r="QNB614" s="3933"/>
      <c r="QNC614" s="621"/>
      <c r="QND614" s="3933"/>
      <c r="QNE614" s="3933"/>
      <c r="QNF614" s="3933"/>
      <c r="QNG614" s="621"/>
      <c r="QNH614" s="3933"/>
      <c r="QNI614" s="3933"/>
      <c r="QNJ614" s="3933"/>
      <c r="QNK614" s="621"/>
      <c r="QNL614" s="3933"/>
      <c r="QNM614" s="3933"/>
      <c r="QNN614" s="3933"/>
      <c r="QNO614" s="621"/>
      <c r="QNP614" s="3933"/>
      <c r="QNQ614" s="3933"/>
      <c r="QNR614" s="3933"/>
      <c r="QNS614" s="621"/>
      <c r="QNT614" s="3933"/>
      <c r="QNU614" s="3933"/>
      <c r="QNV614" s="3933"/>
      <c r="QNW614" s="621"/>
      <c r="QNX614" s="3933"/>
      <c r="QNY614" s="3933"/>
      <c r="QNZ614" s="3933"/>
      <c r="QOA614" s="621"/>
      <c r="QOB614" s="3933"/>
      <c r="QOC614" s="3933"/>
      <c r="QOD614" s="3933"/>
      <c r="QOE614" s="621"/>
      <c r="QOF614" s="3933"/>
      <c r="QOG614" s="3933"/>
      <c r="QOH614" s="3933"/>
      <c r="QOI614" s="621"/>
      <c r="QOJ614" s="3933"/>
      <c r="QOK614" s="3933"/>
      <c r="QOL614" s="3933"/>
      <c r="QOM614" s="621"/>
      <c r="QON614" s="3933"/>
      <c r="QOO614" s="3933"/>
      <c r="QOP614" s="3933"/>
      <c r="QOQ614" s="621"/>
      <c r="QOR614" s="3933"/>
      <c r="QOS614" s="3933"/>
      <c r="QOT614" s="3933"/>
      <c r="QOU614" s="621"/>
      <c r="QOV614" s="3933"/>
      <c r="QOW614" s="3933"/>
      <c r="QOX614" s="3933"/>
      <c r="QOY614" s="621"/>
      <c r="QOZ614" s="3933"/>
      <c r="QPA614" s="3933"/>
      <c r="QPB614" s="3933"/>
      <c r="QPC614" s="621"/>
      <c r="QPD614" s="3933"/>
      <c r="QPE614" s="3933"/>
      <c r="QPF614" s="3933"/>
      <c r="QPG614" s="621"/>
      <c r="QPH614" s="3933"/>
      <c r="QPI614" s="3933"/>
      <c r="QPJ614" s="3933"/>
      <c r="QPK614" s="621"/>
      <c r="QPL614" s="3933"/>
      <c r="QPM614" s="3933"/>
      <c r="QPN614" s="3933"/>
      <c r="QPO614" s="621"/>
      <c r="QPP614" s="3933"/>
      <c r="QPQ614" s="3933"/>
      <c r="QPR614" s="3933"/>
      <c r="QPS614" s="621"/>
      <c r="QPT614" s="3933"/>
      <c r="QPU614" s="3933"/>
      <c r="QPV614" s="3933"/>
      <c r="QPW614" s="621"/>
      <c r="QPX614" s="3933"/>
      <c r="QPY614" s="3933"/>
      <c r="QPZ614" s="3933"/>
      <c r="QQA614" s="621"/>
      <c r="QQB614" s="3933"/>
      <c r="QQC614" s="3933"/>
      <c r="QQD614" s="3933"/>
      <c r="QQE614" s="621"/>
      <c r="QQF614" s="3933"/>
      <c r="QQG614" s="3933"/>
      <c r="QQH614" s="3933"/>
      <c r="QQI614" s="621"/>
      <c r="QQJ614" s="3933"/>
      <c r="QQK614" s="3933"/>
      <c r="QQL614" s="3933"/>
      <c r="QQM614" s="621"/>
      <c r="QQN614" s="3933"/>
      <c r="QQO614" s="3933"/>
      <c r="QQP614" s="3933"/>
      <c r="QQQ614" s="621"/>
      <c r="QQR614" s="3933"/>
      <c r="QQS614" s="3933"/>
      <c r="QQT614" s="3933"/>
      <c r="QQU614" s="621"/>
      <c r="QQV614" s="3933"/>
      <c r="QQW614" s="3933"/>
      <c r="QQX614" s="3933"/>
      <c r="QQY614" s="621"/>
      <c r="QQZ614" s="3933"/>
      <c r="QRA614" s="3933"/>
      <c r="QRB614" s="3933"/>
      <c r="QRC614" s="621"/>
      <c r="QRD614" s="3933"/>
      <c r="QRE614" s="3933"/>
      <c r="QRF614" s="3933"/>
      <c r="QRG614" s="621"/>
      <c r="QRH614" s="3933"/>
      <c r="QRI614" s="3933"/>
      <c r="QRJ614" s="3933"/>
      <c r="QRK614" s="621"/>
      <c r="QRL614" s="3933"/>
      <c r="QRM614" s="3933"/>
      <c r="QRN614" s="3933"/>
      <c r="QRO614" s="621"/>
      <c r="QRP614" s="3933"/>
      <c r="QRQ614" s="3933"/>
      <c r="QRR614" s="3933"/>
      <c r="QRS614" s="621"/>
      <c r="QRT614" s="3933"/>
      <c r="QRU614" s="3933"/>
      <c r="QRV614" s="3933"/>
      <c r="QRW614" s="621"/>
      <c r="QRX614" s="3933"/>
      <c r="QRY614" s="3933"/>
      <c r="QRZ614" s="3933"/>
      <c r="QSA614" s="621"/>
      <c r="QSB614" s="3933"/>
      <c r="QSC614" s="3933"/>
      <c r="QSD614" s="3933"/>
      <c r="QSE614" s="621"/>
      <c r="QSF614" s="3933"/>
      <c r="QSG614" s="3933"/>
      <c r="QSH614" s="3933"/>
      <c r="QSI614" s="621"/>
      <c r="QSJ614" s="3933"/>
      <c r="QSK614" s="3933"/>
      <c r="QSL614" s="3933"/>
      <c r="QSM614" s="621"/>
      <c r="QSN614" s="3933"/>
      <c r="QSO614" s="3933"/>
      <c r="QSP614" s="3933"/>
      <c r="QSQ614" s="621"/>
      <c r="QSR614" s="3933"/>
      <c r="QSS614" s="3933"/>
      <c r="QST614" s="3933"/>
      <c r="QSU614" s="621"/>
      <c r="QSV614" s="3933"/>
      <c r="QSW614" s="3933"/>
      <c r="QSX614" s="3933"/>
      <c r="QSY614" s="621"/>
      <c r="QSZ614" s="3933"/>
      <c r="QTA614" s="3933"/>
      <c r="QTB614" s="3933"/>
      <c r="QTC614" s="621"/>
      <c r="QTD614" s="3933"/>
      <c r="QTE614" s="3933"/>
      <c r="QTF614" s="3933"/>
      <c r="QTG614" s="621"/>
      <c r="QTH614" s="3933"/>
      <c r="QTI614" s="3933"/>
      <c r="QTJ614" s="3933"/>
      <c r="QTK614" s="621"/>
      <c r="QTL614" s="3933"/>
      <c r="QTM614" s="3933"/>
      <c r="QTN614" s="3933"/>
      <c r="QTO614" s="621"/>
      <c r="QTP614" s="3933"/>
      <c r="QTQ614" s="3933"/>
      <c r="QTR614" s="3933"/>
      <c r="QTS614" s="621"/>
      <c r="QTT614" s="3933"/>
      <c r="QTU614" s="3933"/>
      <c r="QTV614" s="3933"/>
      <c r="QTW614" s="621"/>
      <c r="QTX614" s="3933"/>
      <c r="QTY614" s="3933"/>
      <c r="QTZ614" s="3933"/>
      <c r="QUA614" s="621"/>
      <c r="QUB614" s="3933"/>
      <c r="QUC614" s="3933"/>
      <c r="QUD614" s="3933"/>
      <c r="QUE614" s="621"/>
      <c r="QUF614" s="3933"/>
      <c r="QUG614" s="3933"/>
      <c r="QUH614" s="3933"/>
      <c r="QUI614" s="621"/>
      <c r="QUJ614" s="3933"/>
      <c r="QUK614" s="3933"/>
      <c r="QUL614" s="3933"/>
      <c r="QUM614" s="621"/>
      <c r="QUN614" s="3933"/>
      <c r="QUO614" s="3933"/>
      <c r="QUP614" s="3933"/>
      <c r="QUQ614" s="621"/>
      <c r="QUR614" s="3933"/>
      <c r="QUS614" s="3933"/>
      <c r="QUT614" s="3933"/>
      <c r="QUU614" s="621"/>
      <c r="QUV614" s="3933"/>
      <c r="QUW614" s="3933"/>
      <c r="QUX614" s="3933"/>
      <c r="QUY614" s="621"/>
      <c r="QUZ614" s="3933"/>
      <c r="QVA614" s="3933"/>
      <c r="QVB614" s="3933"/>
      <c r="QVC614" s="621"/>
      <c r="QVD614" s="3933"/>
      <c r="QVE614" s="3933"/>
      <c r="QVF614" s="3933"/>
      <c r="QVG614" s="621"/>
      <c r="QVH614" s="3933"/>
      <c r="QVI614" s="3933"/>
      <c r="QVJ614" s="3933"/>
      <c r="QVK614" s="621"/>
      <c r="QVL614" s="3933"/>
      <c r="QVM614" s="3933"/>
      <c r="QVN614" s="3933"/>
      <c r="QVO614" s="621"/>
      <c r="QVP614" s="3933"/>
      <c r="QVQ614" s="3933"/>
      <c r="QVR614" s="3933"/>
      <c r="QVS614" s="621"/>
      <c r="QVT614" s="3933"/>
      <c r="QVU614" s="3933"/>
      <c r="QVV614" s="3933"/>
      <c r="QVW614" s="621"/>
      <c r="QVX614" s="3933"/>
      <c r="QVY614" s="3933"/>
      <c r="QVZ614" s="3933"/>
      <c r="QWA614" s="621"/>
      <c r="QWB614" s="3933"/>
      <c r="QWC614" s="3933"/>
      <c r="QWD614" s="3933"/>
      <c r="QWE614" s="621"/>
      <c r="QWF614" s="3933"/>
      <c r="QWG614" s="3933"/>
      <c r="QWH614" s="3933"/>
      <c r="QWI614" s="621"/>
      <c r="QWJ614" s="3933"/>
      <c r="QWK614" s="3933"/>
      <c r="QWL614" s="3933"/>
      <c r="QWM614" s="621"/>
      <c r="QWN614" s="3933"/>
      <c r="QWO614" s="3933"/>
      <c r="QWP614" s="3933"/>
      <c r="QWQ614" s="621"/>
      <c r="QWR614" s="3933"/>
      <c r="QWS614" s="3933"/>
      <c r="QWT614" s="3933"/>
      <c r="QWU614" s="621"/>
      <c r="QWV614" s="3933"/>
      <c r="QWW614" s="3933"/>
      <c r="QWX614" s="3933"/>
      <c r="QWY614" s="621"/>
      <c r="QWZ614" s="3933"/>
      <c r="QXA614" s="3933"/>
      <c r="QXB614" s="3933"/>
      <c r="QXC614" s="621"/>
      <c r="QXD614" s="3933"/>
      <c r="QXE614" s="3933"/>
      <c r="QXF614" s="3933"/>
      <c r="QXG614" s="621"/>
      <c r="QXH614" s="3933"/>
      <c r="QXI614" s="3933"/>
      <c r="QXJ614" s="3933"/>
      <c r="QXK614" s="621"/>
      <c r="QXL614" s="3933"/>
      <c r="QXM614" s="3933"/>
      <c r="QXN614" s="3933"/>
      <c r="QXO614" s="621"/>
      <c r="QXP614" s="3933"/>
      <c r="QXQ614" s="3933"/>
      <c r="QXR614" s="3933"/>
      <c r="QXS614" s="621"/>
      <c r="QXT614" s="3933"/>
      <c r="QXU614" s="3933"/>
      <c r="QXV614" s="3933"/>
      <c r="QXW614" s="621"/>
      <c r="QXX614" s="3933"/>
      <c r="QXY614" s="3933"/>
      <c r="QXZ614" s="3933"/>
      <c r="QYA614" s="621"/>
      <c r="QYB614" s="3933"/>
      <c r="QYC614" s="3933"/>
      <c r="QYD614" s="3933"/>
      <c r="QYE614" s="621"/>
      <c r="QYF614" s="3933"/>
      <c r="QYG614" s="3933"/>
      <c r="QYH614" s="3933"/>
      <c r="QYI614" s="621"/>
      <c r="QYJ614" s="3933"/>
      <c r="QYK614" s="3933"/>
      <c r="QYL614" s="3933"/>
      <c r="QYM614" s="621"/>
      <c r="QYN614" s="3933"/>
      <c r="QYO614" s="3933"/>
      <c r="QYP614" s="3933"/>
      <c r="QYQ614" s="621"/>
      <c r="QYR614" s="3933"/>
      <c r="QYS614" s="3933"/>
      <c r="QYT614" s="3933"/>
      <c r="QYU614" s="621"/>
      <c r="QYV614" s="3933"/>
      <c r="QYW614" s="3933"/>
      <c r="QYX614" s="3933"/>
      <c r="QYY614" s="621"/>
      <c r="QYZ614" s="3933"/>
      <c r="QZA614" s="3933"/>
      <c r="QZB614" s="3933"/>
      <c r="QZC614" s="621"/>
      <c r="QZD614" s="3933"/>
      <c r="QZE614" s="3933"/>
      <c r="QZF614" s="3933"/>
      <c r="QZG614" s="621"/>
      <c r="QZH614" s="3933"/>
      <c r="QZI614" s="3933"/>
      <c r="QZJ614" s="3933"/>
      <c r="QZK614" s="621"/>
      <c r="QZL614" s="3933"/>
      <c r="QZM614" s="3933"/>
      <c r="QZN614" s="3933"/>
      <c r="QZO614" s="621"/>
      <c r="QZP614" s="3933"/>
      <c r="QZQ614" s="3933"/>
      <c r="QZR614" s="3933"/>
      <c r="QZS614" s="621"/>
      <c r="QZT614" s="3933"/>
      <c r="QZU614" s="3933"/>
      <c r="QZV614" s="3933"/>
      <c r="QZW614" s="621"/>
      <c r="QZX614" s="3933"/>
      <c r="QZY614" s="3933"/>
      <c r="QZZ614" s="3933"/>
      <c r="RAA614" s="621"/>
      <c r="RAB614" s="3933"/>
      <c r="RAC614" s="3933"/>
      <c r="RAD614" s="3933"/>
      <c r="RAE614" s="621"/>
      <c r="RAF614" s="3933"/>
      <c r="RAG614" s="3933"/>
      <c r="RAH614" s="3933"/>
      <c r="RAI614" s="621"/>
      <c r="RAJ614" s="3933"/>
      <c r="RAK614" s="3933"/>
      <c r="RAL614" s="3933"/>
      <c r="RAM614" s="621"/>
      <c r="RAN614" s="3933"/>
      <c r="RAO614" s="3933"/>
      <c r="RAP614" s="3933"/>
      <c r="RAQ614" s="621"/>
      <c r="RAR614" s="3933"/>
      <c r="RAS614" s="3933"/>
      <c r="RAT614" s="3933"/>
      <c r="RAU614" s="621"/>
      <c r="RAV614" s="3933"/>
      <c r="RAW614" s="3933"/>
      <c r="RAX614" s="3933"/>
      <c r="RAY614" s="621"/>
      <c r="RAZ614" s="3933"/>
      <c r="RBA614" s="3933"/>
      <c r="RBB614" s="3933"/>
      <c r="RBC614" s="621"/>
      <c r="RBD614" s="3933"/>
      <c r="RBE614" s="3933"/>
      <c r="RBF614" s="3933"/>
      <c r="RBG614" s="621"/>
      <c r="RBH614" s="3933"/>
      <c r="RBI614" s="3933"/>
      <c r="RBJ614" s="3933"/>
      <c r="RBK614" s="621"/>
      <c r="RBL614" s="3933"/>
      <c r="RBM614" s="3933"/>
      <c r="RBN614" s="3933"/>
      <c r="RBO614" s="621"/>
      <c r="RBP614" s="3933"/>
      <c r="RBQ614" s="3933"/>
      <c r="RBR614" s="3933"/>
      <c r="RBS614" s="621"/>
      <c r="RBT614" s="3933"/>
      <c r="RBU614" s="3933"/>
      <c r="RBV614" s="3933"/>
      <c r="RBW614" s="621"/>
      <c r="RBX614" s="3933"/>
      <c r="RBY614" s="3933"/>
      <c r="RBZ614" s="3933"/>
      <c r="RCA614" s="621"/>
      <c r="RCB614" s="3933"/>
      <c r="RCC614" s="3933"/>
      <c r="RCD614" s="3933"/>
      <c r="RCE614" s="621"/>
      <c r="RCF614" s="3933"/>
      <c r="RCG614" s="3933"/>
      <c r="RCH614" s="3933"/>
      <c r="RCI614" s="621"/>
      <c r="RCJ614" s="3933"/>
      <c r="RCK614" s="3933"/>
      <c r="RCL614" s="3933"/>
      <c r="RCM614" s="621"/>
      <c r="RCN614" s="3933"/>
      <c r="RCO614" s="3933"/>
      <c r="RCP614" s="3933"/>
      <c r="RCQ614" s="621"/>
      <c r="RCR614" s="3933"/>
      <c r="RCS614" s="3933"/>
      <c r="RCT614" s="3933"/>
      <c r="RCU614" s="621"/>
      <c r="RCV614" s="3933"/>
      <c r="RCW614" s="3933"/>
      <c r="RCX614" s="3933"/>
      <c r="RCY614" s="621"/>
      <c r="RCZ614" s="3933"/>
      <c r="RDA614" s="3933"/>
      <c r="RDB614" s="3933"/>
      <c r="RDC614" s="621"/>
      <c r="RDD614" s="3933"/>
      <c r="RDE614" s="3933"/>
      <c r="RDF614" s="3933"/>
      <c r="RDG614" s="621"/>
      <c r="RDH614" s="3933"/>
      <c r="RDI614" s="3933"/>
      <c r="RDJ614" s="3933"/>
      <c r="RDK614" s="621"/>
      <c r="RDL614" s="3933"/>
      <c r="RDM614" s="3933"/>
      <c r="RDN614" s="3933"/>
      <c r="RDO614" s="621"/>
      <c r="RDP614" s="3933"/>
      <c r="RDQ614" s="3933"/>
      <c r="RDR614" s="3933"/>
      <c r="RDS614" s="621"/>
      <c r="RDT614" s="3933"/>
      <c r="RDU614" s="3933"/>
      <c r="RDV614" s="3933"/>
      <c r="RDW614" s="621"/>
      <c r="RDX614" s="3933"/>
      <c r="RDY614" s="3933"/>
      <c r="RDZ614" s="3933"/>
      <c r="REA614" s="621"/>
      <c r="REB614" s="3933"/>
      <c r="REC614" s="3933"/>
      <c r="RED614" s="3933"/>
      <c r="REE614" s="621"/>
      <c r="REF614" s="3933"/>
      <c r="REG614" s="3933"/>
      <c r="REH614" s="3933"/>
      <c r="REI614" s="621"/>
      <c r="REJ614" s="3933"/>
      <c r="REK614" s="3933"/>
      <c r="REL614" s="3933"/>
      <c r="REM614" s="621"/>
      <c r="REN614" s="3933"/>
      <c r="REO614" s="3933"/>
      <c r="REP614" s="3933"/>
      <c r="REQ614" s="621"/>
      <c r="RER614" s="3933"/>
      <c r="RES614" s="3933"/>
      <c r="RET614" s="3933"/>
      <c r="REU614" s="621"/>
      <c r="REV614" s="3933"/>
      <c r="REW614" s="3933"/>
      <c r="REX614" s="3933"/>
      <c r="REY614" s="621"/>
      <c r="REZ614" s="3933"/>
      <c r="RFA614" s="3933"/>
      <c r="RFB614" s="3933"/>
      <c r="RFC614" s="621"/>
      <c r="RFD614" s="3933"/>
      <c r="RFE614" s="3933"/>
      <c r="RFF614" s="3933"/>
      <c r="RFG614" s="621"/>
      <c r="RFH614" s="3933"/>
      <c r="RFI614" s="3933"/>
      <c r="RFJ614" s="3933"/>
      <c r="RFK614" s="621"/>
      <c r="RFL614" s="3933"/>
      <c r="RFM614" s="3933"/>
      <c r="RFN614" s="3933"/>
      <c r="RFO614" s="621"/>
      <c r="RFP614" s="3933"/>
      <c r="RFQ614" s="3933"/>
      <c r="RFR614" s="3933"/>
      <c r="RFS614" s="621"/>
      <c r="RFT614" s="3933"/>
      <c r="RFU614" s="3933"/>
      <c r="RFV614" s="3933"/>
      <c r="RFW614" s="621"/>
      <c r="RFX614" s="3933"/>
      <c r="RFY614" s="3933"/>
      <c r="RFZ614" s="3933"/>
      <c r="RGA614" s="621"/>
      <c r="RGB614" s="3933"/>
      <c r="RGC614" s="3933"/>
      <c r="RGD614" s="3933"/>
      <c r="RGE614" s="621"/>
      <c r="RGF614" s="3933"/>
      <c r="RGG614" s="3933"/>
      <c r="RGH614" s="3933"/>
      <c r="RGI614" s="621"/>
      <c r="RGJ614" s="3933"/>
      <c r="RGK614" s="3933"/>
      <c r="RGL614" s="3933"/>
      <c r="RGM614" s="621"/>
      <c r="RGN614" s="3933"/>
      <c r="RGO614" s="3933"/>
      <c r="RGP614" s="3933"/>
      <c r="RGQ614" s="621"/>
      <c r="RGR614" s="3933"/>
      <c r="RGS614" s="3933"/>
      <c r="RGT614" s="3933"/>
      <c r="RGU614" s="621"/>
      <c r="RGV614" s="3933"/>
      <c r="RGW614" s="3933"/>
      <c r="RGX614" s="3933"/>
      <c r="RGY614" s="621"/>
      <c r="RGZ614" s="3933"/>
      <c r="RHA614" s="3933"/>
      <c r="RHB614" s="3933"/>
      <c r="RHC614" s="621"/>
      <c r="RHD614" s="3933"/>
      <c r="RHE614" s="3933"/>
      <c r="RHF614" s="3933"/>
      <c r="RHG614" s="621"/>
      <c r="RHH614" s="3933"/>
      <c r="RHI614" s="3933"/>
      <c r="RHJ614" s="3933"/>
      <c r="RHK614" s="621"/>
      <c r="RHL614" s="3933"/>
      <c r="RHM614" s="3933"/>
      <c r="RHN614" s="3933"/>
      <c r="RHO614" s="621"/>
      <c r="RHP614" s="3933"/>
      <c r="RHQ614" s="3933"/>
      <c r="RHR614" s="3933"/>
      <c r="RHS614" s="621"/>
      <c r="RHT614" s="3933"/>
      <c r="RHU614" s="3933"/>
      <c r="RHV614" s="3933"/>
      <c r="RHW614" s="621"/>
      <c r="RHX614" s="3933"/>
      <c r="RHY614" s="3933"/>
      <c r="RHZ614" s="3933"/>
      <c r="RIA614" s="621"/>
      <c r="RIB614" s="3933"/>
      <c r="RIC614" s="3933"/>
      <c r="RID614" s="3933"/>
      <c r="RIE614" s="621"/>
      <c r="RIF614" s="3933"/>
      <c r="RIG614" s="3933"/>
      <c r="RIH614" s="3933"/>
      <c r="RII614" s="621"/>
      <c r="RIJ614" s="3933"/>
      <c r="RIK614" s="3933"/>
      <c r="RIL614" s="3933"/>
      <c r="RIM614" s="621"/>
      <c r="RIN614" s="3933"/>
      <c r="RIO614" s="3933"/>
      <c r="RIP614" s="3933"/>
      <c r="RIQ614" s="621"/>
      <c r="RIR614" s="3933"/>
      <c r="RIS614" s="3933"/>
      <c r="RIT614" s="3933"/>
      <c r="RIU614" s="621"/>
      <c r="RIV614" s="3933"/>
      <c r="RIW614" s="3933"/>
      <c r="RIX614" s="3933"/>
      <c r="RIY614" s="621"/>
      <c r="RIZ614" s="3933"/>
      <c r="RJA614" s="3933"/>
      <c r="RJB614" s="3933"/>
      <c r="RJC614" s="621"/>
      <c r="RJD614" s="3933"/>
      <c r="RJE614" s="3933"/>
      <c r="RJF614" s="3933"/>
      <c r="RJG614" s="621"/>
      <c r="RJH614" s="3933"/>
      <c r="RJI614" s="3933"/>
      <c r="RJJ614" s="3933"/>
      <c r="RJK614" s="621"/>
      <c r="RJL614" s="3933"/>
      <c r="RJM614" s="3933"/>
      <c r="RJN614" s="3933"/>
      <c r="RJO614" s="621"/>
      <c r="RJP614" s="3933"/>
      <c r="RJQ614" s="3933"/>
      <c r="RJR614" s="3933"/>
      <c r="RJS614" s="621"/>
      <c r="RJT614" s="3933"/>
      <c r="RJU614" s="3933"/>
      <c r="RJV614" s="3933"/>
      <c r="RJW614" s="621"/>
      <c r="RJX614" s="3933"/>
      <c r="RJY614" s="3933"/>
      <c r="RJZ614" s="3933"/>
      <c r="RKA614" s="621"/>
      <c r="RKB614" s="3933"/>
      <c r="RKC614" s="3933"/>
      <c r="RKD614" s="3933"/>
      <c r="RKE614" s="621"/>
      <c r="RKF614" s="3933"/>
      <c r="RKG614" s="3933"/>
      <c r="RKH614" s="3933"/>
      <c r="RKI614" s="621"/>
      <c r="RKJ614" s="3933"/>
      <c r="RKK614" s="3933"/>
      <c r="RKL614" s="3933"/>
      <c r="RKM614" s="621"/>
      <c r="RKN614" s="3933"/>
      <c r="RKO614" s="3933"/>
      <c r="RKP614" s="3933"/>
      <c r="RKQ614" s="621"/>
      <c r="RKR614" s="3933"/>
      <c r="RKS614" s="3933"/>
      <c r="RKT614" s="3933"/>
      <c r="RKU614" s="621"/>
      <c r="RKV614" s="3933"/>
      <c r="RKW614" s="3933"/>
      <c r="RKX614" s="3933"/>
      <c r="RKY614" s="621"/>
      <c r="RKZ614" s="3933"/>
      <c r="RLA614" s="3933"/>
      <c r="RLB614" s="3933"/>
      <c r="RLC614" s="621"/>
      <c r="RLD614" s="3933"/>
      <c r="RLE614" s="3933"/>
      <c r="RLF614" s="3933"/>
      <c r="RLG614" s="621"/>
      <c r="RLH614" s="3933"/>
      <c r="RLI614" s="3933"/>
      <c r="RLJ614" s="3933"/>
      <c r="RLK614" s="621"/>
      <c r="RLL614" s="3933"/>
      <c r="RLM614" s="3933"/>
      <c r="RLN614" s="3933"/>
      <c r="RLO614" s="621"/>
      <c r="RLP614" s="3933"/>
      <c r="RLQ614" s="3933"/>
      <c r="RLR614" s="3933"/>
      <c r="RLS614" s="621"/>
      <c r="RLT614" s="3933"/>
      <c r="RLU614" s="3933"/>
      <c r="RLV614" s="3933"/>
      <c r="RLW614" s="621"/>
      <c r="RLX614" s="3933"/>
      <c r="RLY614" s="3933"/>
      <c r="RLZ614" s="3933"/>
      <c r="RMA614" s="621"/>
      <c r="RMB614" s="3933"/>
      <c r="RMC614" s="3933"/>
      <c r="RMD614" s="3933"/>
      <c r="RME614" s="621"/>
      <c r="RMF614" s="3933"/>
      <c r="RMG614" s="3933"/>
      <c r="RMH614" s="3933"/>
      <c r="RMI614" s="621"/>
      <c r="RMJ614" s="3933"/>
      <c r="RMK614" s="3933"/>
      <c r="RML614" s="3933"/>
      <c r="RMM614" s="621"/>
      <c r="RMN614" s="3933"/>
      <c r="RMO614" s="3933"/>
      <c r="RMP614" s="3933"/>
      <c r="RMQ614" s="621"/>
      <c r="RMR614" s="3933"/>
      <c r="RMS614" s="3933"/>
      <c r="RMT614" s="3933"/>
      <c r="RMU614" s="621"/>
      <c r="RMV614" s="3933"/>
      <c r="RMW614" s="3933"/>
      <c r="RMX614" s="3933"/>
      <c r="RMY614" s="621"/>
      <c r="RMZ614" s="3933"/>
      <c r="RNA614" s="3933"/>
      <c r="RNB614" s="3933"/>
      <c r="RNC614" s="621"/>
      <c r="RND614" s="3933"/>
      <c r="RNE614" s="3933"/>
      <c r="RNF614" s="3933"/>
      <c r="RNG614" s="621"/>
      <c r="RNH614" s="3933"/>
      <c r="RNI614" s="3933"/>
      <c r="RNJ614" s="3933"/>
      <c r="RNK614" s="621"/>
      <c r="RNL614" s="3933"/>
      <c r="RNM614" s="3933"/>
      <c r="RNN614" s="3933"/>
      <c r="RNO614" s="621"/>
      <c r="RNP614" s="3933"/>
      <c r="RNQ614" s="3933"/>
      <c r="RNR614" s="3933"/>
      <c r="RNS614" s="621"/>
      <c r="RNT614" s="3933"/>
      <c r="RNU614" s="3933"/>
      <c r="RNV614" s="3933"/>
      <c r="RNW614" s="621"/>
      <c r="RNX614" s="3933"/>
      <c r="RNY614" s="3933"/>
      <c r="RNZ614" s="3933"/>
      <c r="ROA614" s="621"/>
      <c r="ROB614" s="3933"/>
      <c r="ROC614" s="3933"/>
      <c r="ROD614" s="3933"/>
      <c r="ROE614" s="621"/>
      <c r="ROF614" s="3933"/>
      <c r="ROG614" s="3933"/>
      <c r="ROH614" s="3933"/>
      <c r="ROI614" s="621"/>
      <c r="ROJ614" s="3933"/>
      <c r="ROK614" s="3933"/>
      <c r="ROL614" s="3933"/>
      <c r="ROM614" s="621"/>
      <c r="RON614" s="3933"/>
      <c r="ROO614" s="3933"/>
      <c r="ROP614" s="3933"/>
      <c r="ROQ614" s="621"/>
      <c r="ROR614" s="3933"/>
      <c r="ROS614" s="3933"/>
      <c r="ROT614" s="3933"/>
      <c r="ROU614" s="621"/>
      <c r="ROV614" s="3933"/>
      <c r="ROW614" s="3933"/>
      <c r="ROX614" s="3933"/>
      <c r="ROY614" s="621"/>
      <c r="ROZ614" s="3933"/>
      <c r="RPA614" s="3933"/>
      <c r="RPB614" s="3933"/>
      <c r="RPC614" s="621"/>
      <c r="RPD614" s="3933"/>
      <c r="RPE614" s="3933"/>
      <c r="RPF614" s="3933"/>
      <c r="RPG614" s="621"/>
      <c r="RPH614" s="3933"/>
      <c r="RPI614" s="3933"/>
      <c r="RPJ614" s="3933"/>
      <c r="RPK614" s="621"/>
      <c r="RPL614" s="3933"/>
      <c r="RPM614" s="3933"/>
      <c r="RPN614" s="3933"/>
      <c r="RPO614" s="621"/>
      <c r="RPP614" s="3933"/>
      <c r="RPQ614" s="3933"/>
      <c r="RPR614" s="3933"/>
      <c r="RPS614" s="621"/>
      <c r="RPT614" s="3933"/>
      <c r="RPU614" s="3933"/>
      <c r="RPV614" s="3933"/>
      <c r="RPW614" s="621"/>
      <c r="RPX614" s="3933"/>
      <c r="RPY614" s="3933"/>
      <c r="RPZ614" s="3933"/>
      <c r="RQA614" s="621"/>
      <c r="RQB614" s="3933"/>
      <c r="RQC614" s="3933"/>
      <c r="RQD614" s="3933"/>
      <c r="RQE614" s="621"/>
      <c r="RQF614" s="3933"/>
      <c r="RQG614" s="3933"/>
      <c r="RQH614" s="3933"/>
      <c r="RQI614" s="621"/>
      <c r="RQJ614" s="3933"/>
      <c r="RQK614" s="3933"/>
      <c r="RQL614" s="3933"/>
      <c r="RQM614" s="621"/>
      <c r="RQN614" s="3933"/>
      <c r="RQO614" s="3933"/>
      <c r="RQP614" s="3933"/>
      <c r="RQQ614" s="621"/>
      <c r="RQR614" s="3933"/>
      <c r="RQS614" s="3933"/>
      <c r="RQT614" s="3933"/>
      <c r="RQU614" s="621"/>
      <c r="RQV614" s="3933"/>
      <c r="RQW614" s="3933"/>
      <c r="RQX614" s="3933"/>
      <c r="RQY614" s="621"/>
      <c r="RQZ614" s="3933"/>
      <c r="RRA614" s="3933"/>
      <c r="RRB614" s="3933"/>
      <c r="RRC614" s="621"/>
      <c r="RRD614" s="3933"/>
      <c r="RRE614" s="3933"/>
      <c r="RRF614" s="3933"/>
      <c r="RRG614" s="621"/>
      <c r="RRH614" s="3933"/>
      <c r="RRI614" s="3933"/>
      <c r="RRJ614" s="3933"/>
      <c r="RRK614" s="621"/>
      <c r="RRL614" s="3933"/>
      <c r="RRM614" s="3933"/>
      <c r="RRN614" s="3933"/>
      <c r="RRO614" s="621"/>
      <c r="RRP614" s="3933"/>
      <c r="RRQ614" s="3933"/>
      <c r="RRR614" s="3933"/>
      <c r="RRS614" s="621"/>
      <c r="RRT614" s="3933"/>
      <c r="RRU614" s="3933"/>
      <c r="RRV614" s="3933"/>
      <c r="RRW614" s="621"/>
      <c r="RRX614" s="3933"/>
      <c r="RRY614" s="3933"/>
      <c r="RRZ614" s="3933"/>
      <c r="RSA614" s="621"/>
      <c r="RSB614" s="3933"/>
      <c r="RSC614" s="3933"/>
      <c r="RSD614" s="3933"/>
      <c r="RSE614" s="621"/>
      <c r="RSF614" s="3933"/>
      <c r="RSG614" s="3933"/>
      <c r="RSH614" s="3933"/>
      <c r="RSI614" s="621"/>
      <c r="RSJ614" s="3933"/>
      <c r="RSK614" s="3933"/>
      <c r="RSL614" s="3933"/>
      <c r="RSM614" s="621"/>
      <c r="RSN614" s="3933"/>
      <c r="RSO614" s="3933"/>
      <c r="RSP614" s="3933"/>
      <c r="RSQ614" s="621"/>
      <c r="RSR614" s="3933"/>
      <c r="RSS614" s="3933"/>
      <c r="RST614" s="3933"/>
      <c r="RSU614" s="621"/>
      <c r="RSV614" s="3933"/>
      <c r="RSW614" s="3933"/>
      <c r="RSX614" s="3933"/>
      <c r="RSY614" s="621"/>
      <c r="RSZ614" s="3933"/>
      <c r="RTA614" s="3933"/>
      <c r="RTB614" s="3933"/>
      <c r="RTC614" s="621"/>
      <c r="RTD614" s="3933"/>
      <c r="RTE614" s="3933"/>
      <c r="RTF614" s="3933"/>
      <c r="RTG614" s="621"/>
      <c r="RTH614" s="3933"/>
      <c r="RTI614" s="3933"/>
      <c r="RTJ614" s="3933"/>
      <c r="RTK614" s="621"/>
      <c r="RTL614" s="3933"/>
      <c r="RTM614" s="3933"/>
      <c r="RTN614" s="3933"/>
      <c r="RTO614" s="621"/>
      <c r="RTP614" s="3933"/>
      <c r="RTQ614" s="3933"/>
      <c r="RTR614" s="3933"/>
      <c r="RTS614" s="621"/>
      <c r="RTT614" s="3933"/>
      <c r="RTU614" s="3933"/>
      <c r="RTV614" s="3933"/>
      <c r="RTW614" s="621"/>
      <c r="RTX614" s="3933"/>
      <c r="RTY614" s="3933"/>
      <c r="RTZ614" s="3933"/>
      <c r="RUA614" s="621"/>
      <c r="RUB614" s="3933"/>
      <c r="RUC614" s="3933"/>
      <c r="RUD614" s="3933"/>
      <c r="RUE614" s="621"/>
      <c r="RUF614" s="3933"/>
      <c r="RUG614" s="3933"/>
      <c r="RUH614" s="3933"/>
      <c r="RUI614" s="621"/>
      <c r="RUJ614" s="3933"/>
      <c r="RUK614" s="3933"/>
      <c r="RUL614" s="3933"/>
      <c r="RUM614" s="621"/>
      <c r="RUN614" s="3933"/>
      <c r="RUO614" s="3933"/>
      <c r="RUP614" s="3933"/>
      <c r="RUQ614" s="621"/>
      <c r="RUR614" s="3933"/>
      <c r="RUS614" s="3933"/>
      <c r="RUT614" s="3933"/>
      <c r="RUU614" s="621"/>
      <c r="RUV614" s="3933"/>
      <c r="RUW614" s="3933"/>
      <c r="RUX614" s="3933"/>
      <c r="RUY614" s="621"/>
      <c r="RUZ614" s="3933"/>
      <c r="RVA614" s="3933"/>
      <c r="RVB614" s="3933"/>
      <c r="RVC614" s="621"/>
      <c r="RVD614" s="3933"/>
      <c r="RVE614" s="3933"/>
      <c r="RVF614" s="3933"/>
      <c r="RVG614" s="621"/>
      <c r="RVH614" s="3933"/>
      <c r="RVI614" s="3933"/>
      <c r="RVJ614" s="3933"/>
      <c r="RVK614" s="621"/>
      <c r="RVL614" s="3933"/>
      <c r="RVM614" s="3933"/>
      <c r="RVN614" s="3933"/>
      <c r="RVO614" s="621"/>
      <c r="RVP614" s="3933"/>
      <c r="RVQ614" s="3933"/>
      <c r="RVR614" s="3933"/>
      <c r="RVS614" s="621"/>
      <c r="RVT614" s="3933"/>
      <c r="RVU614" s="3933"/>
      <c r="RVV614" s="3933"/>
      <c r="RVW614" s="621"/>
      <c r="RVX614" s="3933"/>
      <c r="RVY614" s="3933"/>
      <c r="RVZ614" s="3933"/>
      <c r="RWA614" s="621"/>
      <c r="RWB614" s="3933"/>
      <c r="RWC614" s="3933"/>
      <c r="RWD614" s="3933"/>
      <c r="RWE614" s="621"/>
      <c r="RWF614" s="3933"/>
      <c r="RWG614" s="3933"/>
      <c r="RWH614" s="3933"/>
      <c r="RWI614" s="621"/>
      <c r="RWJ614" s="3933"/>
      <c r="RWK614" s="3933"/>
      <c r="RWL614" s="3933"/>
      <c r="RWM614" s="621"/>
      <c r="RWN614" s="3933"/>
      <c r="RWO614" s="3933"/>
      <c r="RWP614" s="3933"/>
      <c r="RWQ614" s="621"/>
      <c r="RWR614" s="3933"/>
      <c r="RWS614" s="3933"/>
      <c r="RWT614" s="3933"/>
      <c r="RWU614" s="621"/>
      <c r="RWV614" s="3933"/>
      <c r="RWW614" s="3933"/>
      <c r="RWX614" s="3933"/>
      <c r="RWY614" s="621"/>
      <c r="RWZ614" s="3933"/>
      <c r="RXA614" s="3933"/>
      <c r="RXB614" s="3933"/>
      <c r="RXC614" s="621"/>
      <c r="RXD614" s="3933"/>
      <c r="RXE614" s="3933"/>
      <c r="RXF614" s="3933"/>
      <c r="RXG614" s="621"/>
      <c r="RXH614" s="3933"/>
      <c r="RXI614" s="3933"/>
      <c r="RXJ614" s="3933"/>
      <c r="RXK614" s="621"/>
      <c r="RXL614" s="3933"/>
      <c r="RXM614" s="3933"/>
      <c r="RXN614" s="3933"/>
      <c r="RXO614" s="621"/>
      <c r="RXP614" s="3933"/>
      <c r="RXQ614" s="3933"/>
      <c r="RXR614" s="3933"/>
      <c r="RXS614" s="621"/>
      <c r="RXT614" s="3933"/>
      <c r="RXU614" s="3933"/>
      <c r="RXV614" s="3933"/>
      <c r="RXW614" s="621"/>
      <c r="RXX614" s="3933"/>
      <c r="RXY614" s="3933"/>
      <c r="RXZ614" s="3933"/>
      <c r="RYA614" s="621"/>
      <c r="RYB614" s="3933"/>
      <c r="RYC614" s="3933"/>
      <c r="RYD614" s="3933"/>
      <c r="RYE614" s="621"/>
      <c r="RYF614" s="3933"/>
      <c r="RYG614" s="3933"/>
      <c r="RYH614" s="3933"/>
      <c r="RYI614" s="621"/>
      <c r="RYJ614" s="3933"/>
      <c r="RYK614" s="3933"/>
      <c r="RYL614" s="3933"/>
      <c r="RYM614" s="621"/>
      <c r="RYN614" s="3933"/>
      <c r="RYO614" s="3933"/>
      <c r="RYP614" s="3933"/>
      <c r="RYQ614" s="621"/>
      <c r="RYR614" s="3933"/>
      <c r="RYS614" s="3933"/>
      <c r="RYT614" s="3933"/>
      <c r="RYU614" s="621"/>
      <c r="RYV614" s="3933"/>
      <c r="RYW614" s="3933"/>
      <c r="RYX614" s="3933"/>
      <c r="RYY614" s="621"/>
      <c r="RYZ614" s="3933"/>
      <c r="RZA614" s="3933"/>
      <c r="RZB614" s="3933"/>
      <c r="RZC614" s="621"/>
      <c r="RZD614" s="3933"/>
      <c r="RZE614" s="3933"/>
      <c r="RZF614" s="3933"/>
      <c r="RZG614" s="621"/>
      <c r="RZH614" s="3933"/>
      <c r="RZI614" s="3933"/>
      <c r="RZJ614" s="3933"/>
      <c r="RZK614" s="621"/>
      <c r="RZL614" s="3933"/>
      <c r="RZM614" s="3933"/>
      <c r="RZN614" s="3933"/>
      <c r="RZO614" s="621"/>
      <c r="RZP614" s="3933"/>
      <c r="RZQ614" s="3933"/>
      <c r="RZR614" s="3933"/>
      <c r="RZS614" s="621"/>
      <c r="RZT614" s="3933"/>
      <c r="RZU614" s="3933"/>
      <c r="RZV614" s="3933"/>
      <c r="RZW614" s="621"/>
      <c r="RZX614" s="3933"/>
      <c r="RZY614" s="3933"/>
      <c r="RZZ614" s="3933"/>
      <c r="SAA614" s="621"/>
      <c r="SAB614" s="3933"/>
      <c r="SAC614" s="3933"/>
      <c r="SAD614" s="3933"/>
      <c r="SAE614" s="621"/>
      <c r="SAF614" s="3933"/>
      <c r="SAG614" s="3933"/>
      <c r="SAH614" s="3933"/>
      <c r="SAI614" s="621"/>
      <c r="SAJ614" s="3933"/>
      <c r="SAK614" s="3933"/>
      <c r="SAL614" s="3933"/>
      <c r="SAM614" s="621"/>
      <c r="SAN614" s="3933"/>
      <c r="SAO614" s="3933"/>
      <c r="SAP614" s="3933"/>
      <c r="SAQ614" s="621"/>
      <c r="SAR614" s="3933"/>
      <c r="SAS614" s="3933"/>
      <c r="SAT614" s="3933"/>
      <c r="SAU614" s="621"/>
      <c r="SAV614" s="3933"/>
      <c r="SAW614" s="3933"/>
      <c r="SAX614" s="3933"/>
      <c r="SAY614" s="621"/>
      <c r="SAZ614" s="3933"/>
      <c r="SBA614" s="3933"/>
      <c r="SBB614" s="3933"/>
      <c r="SBC614" s="621"/>
      <c r="SBD614" s="3933"/>
      <c r="SBE614" s="3933"/>
      <c r="SBF614" s="3933"/>
      <c r="SBG614" s="621"/>
      <c r="SBH614" s="3933"/>
      <c r="SBI614" s="3933"/>
      <c r="SBJ614" s="3933"/>
      <c r="SBK614" s="621"/>
      <c r="SBL614" s="3933"/>
      <c r="SBM614" s="3933"/>
      <c r="SBN614" s="3933"/>
      <c r="SBO614" s="621"/>
      <c r="SBP614" s="3933"/>
      <c r="SBQ614" s="3933"/>
      <c r="SBR614" s="3933"/>
      <c r="SBS614" s="621"/>
      <c r="SBT614" s="3933"/>
      <c r="SBU614" s="3933"/>
      <c r="SBV614" s="3933"/>
      <c r="SBW614" s="621"/>
      <c r="SBX614" s="3933"/>
      <c r="SBY614" s="3933"/>
      <c r="SBZ614" s="3933"/>
      <c r="SCA614" s="621"/>
      <c r="SCB614" s="3933"/>
      <c r="SCC614" s="3933"/>
      <c r="SCD614" s="3933"/>
      <c r="SCE614" s="621"/>
      <c r="SCF614" s="3933"/>
      <c r="SCG614" s="3933"/>
      <c r="SCH614" s="3933"/>
      <c r="SCI614" s="621"/>
      <c r="SCJ614" s="3933"/>
      <c r="SCK614" s="3933"/>
      <c r="SCL614" s="3933"/>
      <c r="SCM614" s="621"/>
      <c r="SCN614" s="3933"/>
      <c r="SCO614" s="3933"/>
      <c r="SCP614" s="3933"/>
      <c r="SCQ614" s="621"/>
      <c r="SCR614" s="3933"/>
      <c r="SCS614" s="3933"/>
      <c r="SCT614" s="3933"/>
      <c r="SCU614" s="621"/>
      <c r="SCV614" s="3933"/>
      <c r="SCW614" s="3933"/>
      <c r="SCX614" s="3933"/>
      <c r="SCY614" s="621"/>
      <c r="SCZ614" s="3933"/>
      <c r="SDA614" s="3933"/>
      <c r="SDB614" s="3933"/>
      <c r="SDC614" s="621"/>
      <c r="SDD614" s="3933"/>
      <c r="SDE614" s="3933"/>
      <c r="SDF614" s="3933"/>
      <c r="SDG614" s="621"/>
      <c r="SDH614" s="3933"/>
      <c r="SDI614" s="3933"/>
      <c r="SDJ614" s="3933"/>
      <c r="SDK614" s="621"/>
      <c r="SDL614" s="3933"/>
      <c r="SDM614" s="3933"/>
      <c r="SDN614" s="3933"/>
      <c r="SDO614" s="621"/>
      <c r="SDP614" s="3933"/>
      <c r="SDQ614" s="3933"/>
      <c r="SDR614" s="3933"/>
      <c r="SDS614" s="621"/>
      <c r="SDT614" s="3933"/>
      <c r="SDU614" s="3933"/>
      <c r="SDV614" s="3933"/>
      <c r="SDW614" s="621"/>
      <c r="SDX614" s="3933"/>
      <c r="SDY614" s="3933"/>
      <c r="SDZ614" s="3933"/>
      <c r="SEA614" s="621"/>
      <c r="SEB614" s="3933"/>
      <c r="SEC614" s="3933"/>
      <c r="SED614" s="3933"/>
      <c r="SEE614" s="621"/>
      <c r="SEF614" s="3933"/>
      <c r="SEG614" s="3933"/>
      <c r="SEH614" s="3933"/>
      <c r="SEI614" s="621"/>
      <c r="SEJ614" s="3933"/>
      <c r="SEK614" s="3933"/>
      <c r="SEL614" s="3933"/>
      <c r="SEM614" s="621"/>
      <c r="SEN614" s="3933"/>
      <c r="SEO614" s="3933"/>
      <c r="SEP614" s="3933"/>
      <c r="SEQ614" s="621"/>
      <c r="SER614" s="3933"/>
      <c r="SES614" s="3933"/>
      <c r="SET614" s="3933"/>
      <c r="SEU614" s="621"/>
      <c r="SEV614" s="3933"/>
      <c r="SEW614" s="3933"/>
      <c r="SEX614" s="3933"/>
      <c r="SEY614" s="621"/>
      <c r="SEZ614" s="3933"/>
      <c r="SFA614" s="3933"/>
      <c r="SFB614" s="3933"/>
      <c r="SFC614" s="621"/>
      <c r="SFD614" s="3933"/>
      <c r="SFE614" s="3933"/>
      <c r="SFF614" s="3933"/>
      <c r="SFG614" s="621"/>
      <c r="SFH614" s="3933"/>
      <c r="SFI614" s="3933"/>
      <c r="SFJ614" s="3933"/>
      <c r="SFK614" s="621"/>
      <c r="SFL614" s="3933"/>
      <c r="SFM614" s="3933"/>
      <c r="SFN614" s="3933"/>
      <c r="SFO614" s="621"/>
      <c r="SFP614" s="3933"/>
      <c r="SFQ614" s="3933"/>
      <c r="SFR614" s="3933"/>
      <c r="SFS614" s="621"/>
      <c r="SFT614" s="3933"/>
      <c r="SFU614" s="3933"/>
      <c r="SFV614" s="3933"/>
      <c r="SFW614" s="621"/>
      <c r="SFX614" s="3933"/>
      <c r="SFY614" s="3933"/>
      <c r="SFZ614" s="3933"/>
      <c r="SGA614" s="621"/>
      <c r="SGB614" s="3933"/>
      <c r="SGC614" s="3933"/>
      <c r="SGD614" s="3933"/>
      <c r="SGE614" s="621"/>
      <c r="SGF614" s="3933"/>
      <c r="SGG614" s="3933"/>
      <c r="SGH614" s="3933"/>
      <c r="SGI614" s="621"/>
      <c r="SGJ614" s="3933"/>
      <c r="SGK614" s="3933"/>
      <c r="SGL614" s="3933"/>
      <c r="SGM614" s="621"/>
      <c r="SGN614" s="3933"/>
      <c r="SGO614" s="3933"/>
      <c r="SGP614" s="3933"/>
      <c r="SGQ614" s="621"/>
      <c r="SGR614" s="3933"/>
      <c r="SGS614" s="3933"/>
      <c r="SGT614" s="3933"/>
      <c r="SGU614" s="621"/>
      <c r="SGV614" s="3933"/>
      <c r="SGW614" s="3933"/>
      <c r="SGX614" s="3933"/>
      <c r="SGY614" s="621"/>
      <c r="SGZ614" s="3933"/>
      <c r="SHA614" s="3933"/>
      <c r="SHB614" s="3933"/>
      <c r="SHC614" s="621"/>
      <c r="SHD614" s="3933"/>
      <c r="SHE614" s="3933"/>
      <c r="SHF614" s="3933"/>
      <c r="SHG614" s="621"/>
      <c r="SHH614" s="3933"/>
      <c r="SHI614" s="3933"/>
      <c r="SHJ614" s="3933"/>
      <c r="SHK614" s="621"/>
      <c r="SHL614" s="3933"/>
      <c r="SHM614" s="3933"/>
      <c r="SHN614" s="3933"/>
      <c r="SHO614" s="621"/>
      <c r="SHP614" s="3933"/>
      <c r="SHQ614" s="3933"/>
      <c r="SHR614" s="3933"/>
      <c r="SHS614" s="621"/>
      <c r="SHT614" s="3933"/>
      <c r="SHU614" s="3933"/>
      <c r="SHV614" s="3933"/>
      <c r="SHW614" s="621"/>
      <c r="SHX614" s="3933"/>
      <c r="SHY614" s="3933"/>
      <c r="SHZ614" s="3933"/>
      <c r="SIA614" s="621"/>
      <c r="SIB614" s="3933"/>
      <c r="SIC614" s="3933"/>
      <c r="SID614" s="3933"/>
      <c r="SIE614" s="621"/>
      <c r="SIF614" s="3933"/>
      <c r="SIG614" s="3933"/>
      <c r="SIH614" s="3933"/>
      <c r="SII614" s="621"/>
      <c r="SIJ614" s="3933"/>
      <c r="SIK614" s="3933"/>
      <c r="SIL614" s="3933"/>
      <c r="SIM614" s="621"/>
      <c r="SIN614" s="3933"/>
      <c r="SIO614" s="3933"/>
      <c r="SIP614" s="3933"/>
      <c r="SIQ614" s="621"/>
      <c r="SIR614" s="3933"/>
      <c r="SIS614" s="3933"/>
      <c r="SIT614" s="3933"/>
      <c r="SIU614" s="621"/>
      <c r="SIV614" s="3933"/>
      <c r="SIW614" s="3933"/>
      <c r="SIX614" s="3933"/>
      <c r="SIY614" s="621"/>
      <c r="SIZ614" s="3933"/>
      <c r="SJA614" s="3933"/>
      <c r="SJB614" s="3933"/>
      <c r="SJC614" s="621"/>
      <c r="SJD614" s="3933"/>
      <c r="SJE614" s="3933"/>
      <c r="SJF614" s="3933"/>
      <c r="SJG614" s="621"/>
      <c r="SJH614" s="3933"/>
      <c r="SJI614" s="3933"/>
      <c r="SJJ614" s="3933"/>
      <c r="SJK614" s="621"/>
      <c r="SJL614" s="3933"/>
      <c r="SJM614" s="3933"/>
      <c r="SJN614" s="3933"/>
      <c r="SJO614" s="621"/>
      <c r="SJP614" s="3933"/>
      <c r="SJQ614" s="3933"/>
      <c r="SJR614" s="3933"/>
      <c r="SJS614" s="621"/>
      <c r="SJT614" s="3933"/>
      <c r="SJU614" s="3933"/>
      <c r="SJV614" s="3933"/>
      <c r="SJW614" s="621"/>
      <c r="SJX614" s="3933"/>
      <c r="SJY614" s="3933"/>
      <c r="SJZ614" s="3933"/>
      <c r="SKA614" s="621"/>
      <c r="SKB614" s="3933"/>
      <c r="SKC614" s="3933"/>
      <c r="SKD614" s="3933"/>
      <c r="SKE614" s="621"/>
      <c r="SKF614" s="3933"/>
      <c r="SKG614" s="3933"/>
      <c r="SKH614" s="3933"/>
      <c r="SKI614" s="621"/>
      <c r="SKJ614" s="3933"/>
      <c r="SKK614" s="3933"/>
      <c r="SKL614" s="3933"/>
      <c r="SKM614" s="621"/>
      <c r="SKN614" s="3933"/>
      <c r="SKO614" s="3933"/>
      <c r="SKP614" s="3933"/>
      <c r="SKQ614" s="621"/>
      <c r="SKR614" s="3933"/>
      <c r="SKS614" s="3933"/>
      <c r="SKT614" s="3933"/>
      <c r="SKU614" s="621"/>
      <c r="SKV614" s="3933"/>
      <c r="SKW614" s="3933"/>
      <c r="SKX614" s="3933"/>
      <c r="SKY614" s="621"/>
      <c r="SKZ614" s="3933"/>
      <c r="SLA614" s="3933"/>
      <c r="SLB614" s="3933"/>
      <c r="SLC614" s="621"/>
      <c r="SLD614" s="3933"/>
      <c r="SLE614" s="3933"/>
      <c r="SLF614" s="3933"/>
      <c r="SLG614" s="621"/>
      <c r="SLH614" s="3933"/>
      <c r="SLI614" s="3933"/>
      <c r="SLJ614" s="3933"/>
      <c r="SLK614" s="621"/>
      <c r="SLL614" s="3933"/>
      <c r="SLM614" s="3933"/>
      <c r="SLN614" s="3933"/>
      <c r="SLO614" s="621"/>
      <c r="SLP614" s="3933"/>
      <c r="SLQ614" s="3933"/>
      <c r="SLR614" s="3933"/>
      <c r="SLS614" s="621"/>
      <c r="SLT614" s="3933"/>
      <c r="SLU614" s="3933"/>
      <c r="SLV614" s="3933"/>
      <c r="SLW614" s="621"/>
      <c r="SLX614" s="3933"/>
      <c r="SLY614" s="3933"/>
      <c r="SLZ614" s="3933"/>
      <c r="SMA614" s="621"/>
      <c r="SMB614" s="3933"/>
      <c r="SMC614" s="3933"/>
      <c r="SMD614" s="3933"/>
      <c r="SME614" s="621"/>
      <c r="SMF614" s="3933"/>
      <c r="SMG614" s="3933"/>
      <c r="SMH614" s="3933"/>
      <c r="SMI614" s="621"/>
      <c r="SMJ614" s="3933"/>
      <c r="SMK614" s="3933"/>
      <c r="SML614" s="3933"/>
      <c r="SMM614" s="621"/>
      <c r="SMN614" s="3933"/>
      <c r="SMO614" s="3933"/>
      <c r="SMP614" s="3933"/>
      <c r="SMQ614" s="621"/>
      <c r="SMR614" s="3933"/>
      <c r="SMS614" s="3933"/>
      <c r="SMT614" s="3933"/>
      <c r="SMU614" s="621"/>
      <c r="SMV614" s="3933"/>
      <c r="SMW614" s="3933"/>
      <c r="SMX614" s="3933"/>
      <c r="SMY614" s="621"/>
      <c r="SMZ614" s="3933"/>
      <c r="SNA614" s="3933"/>
      <c r="SNB614" s="3933"/>
      <c r="SNC614" s="621"/>
      <c r="SND614" s="3933"/>
      <c r="SNE614" s="3933"/>
      <c r="SNF614" s="3933"/>
      <c r="SNG614" s="621"/>
      <c r="SNH614" s="3933"/>
      <c r="SNI614" s="3933"/>
      <c r="SNJ614" s="3933"/>
      <c r="SNK614" s="621"/>
      <c r="SNL614" s="3933"/>
      <c r="SNM614" s="3933"/>
      <c r="SNN614" s="3933"/>
      <c r="SNO614" s="621"/>
      <c r="SNP614" s="3933"/>
      <c r="SNQ614" s="3933"/>
      <c r="SNR614" s="3933"/>
      <c r="SNS614" s="621"/>
      <c r="SNT614" s="3933"/>
      <c r="SNU614" s="3933"/>
      <c r="SNV614" s="3933"/>
      <c r="SNW614" s="621"/>
      <c r="SNX614" s="3933"/>
      <c r="SNY614" s="3933"/>
      <c r="SNZ614" s="3933"/>
      <c r="SOA614" s="621"/>
      <c r="SOB614" s="3933"/>
      <c r="SOC614" s="3933"/>
      <c r="SOD614" s="3933"/>
      <c r="SOE614" s="621"/>
      <c r="SOF614" s="3933"/>
      <c r="SOG614" s="3933"/>
      <c r="SOH614" s="3933"/>
      <c r="SOI614" s="621"/>
      <c r="SOJ614" s="3933"/>
      <c r="SOK614" s="3933"/>
      <c r="SOL614" s="3933"/>
      <c r="SOM614" s="621"/>
      <c r="SON614" s="3933"/>
      <c r="SOO614" s="3933"/>
      <c r="SOP614" s="3933"/>
      <c r="SOQ614" s="621"/>
      <c r="SOR614" s="3933"/>
      <c r="SOS614" s="3933"/>
      <c r="SOT614" s="3933"/>
      <c r="SOU614" s="621"/>
      <c r="SOV614" s="3933"/>
      <c r="SOW614" s="3933"/>
      <c r="SOX614" s="3933"/>
      <c r="SOY614" s="621"/>
      <c r="SOZ614" s="3933"/>
      <c r="SPA614" s="3933"/>
      <c r="SPB614" s="3933"/>
      <c r="SPC614" s="621"/>
      <c r="SPD614" s="3933"/>
      <c r="SPE614" s="3933"/>
      <c r="SPF614" s="3933"/>
      <c r="SPG614" s="621"/>
      <c r="SPH614" s="3933"/>
      <c r="SPI614" s="3933"/>
      <c r="SPJ614" s="3933"/>
      <c r="SPK614" s="621"/>
      <c r="SPL614" s="3933"/>
      <c r="SPM614" s="3933"/>
      <c r="SPN614" s="3933"/>
      <c r="SPO614" s="621"/>
      <c r="SPP614" s="3933"/>
      <c r="SPQ614" s="3933"/>
      <c r="SPR614" s="3933"/>
      <c r="SPS614" s="621"/>
      <c r="SPT614" s="3933"/>
      <c r="SPU614" s="3933"/>
      <c r="SPV614" s="3933"/>
      <c r="SPW614" s="621"/>
      <c r="SPX614" s="3933"/>
      <c r="SPY614" s="3933"/>
      <c r="SPZ614" s="3933"/>
      <c r="SQA614" s="621"/>
      <c r="SQB614" s="3933"/>
      <c r="SQC614" s="3933"/>
      <c r="SQD614" s="3933"/>
      <c r="SQE614" s="621"/>
      <c r="SQF614" s="3933"/>
      <c r="SQG614" s="3933"/>
      <c r="SQH614" s="3933"/>
      <c r="SQI614" s="621"/>
      <c r="SQJ614" s="3933"/>
      <c r="SQK614" s="3933"/>
      <c r="SQL614" s="3933"/>
      <c r="SQM614" s="621"/>
      <c r="SQN614" s="3933"/>
      <c r="SQO614" s="3933"/>
      <c r="SQP614" s="3933"/>
      <c r="SQQ614" s="621"/>
      <c r="SQR614" s="3933"/>
      <c r="SQS614" s="3933"/>
      <c r="SQT614" s="3933"/>
      <c r="SQU614" s="621"/>
      <c r="SQV614" s="3933"/>
      <c r="SQW614" s="3933"/>
      <c r="SQX614" s="3933"/>
      <c r="SQY614" s="621"/>
      <c r="SQZ614" s="3933"/>
      <c r="SRA614" s="3933"/>
      <c r="SRB614" s="3933"/>
      <c r="SRC614" s="621"/>
      <c r="SRD614" s="3933"/>
      <c r="SRE614" s="3933"/>
      <c r="SRF614" s="3933"/>
      <c r="SRG614" s="621"/>
      <c r="SRH614" s="3933"/>
      <c r="SRI614" s="3933"/>
      <c r="SRJ614" s="3933"/>
      <c r="SRK614" s="621"/>
      <c r="SRL614" s="3933"/>
      <c r="SRM614" s="3933"/>
      <c r="SRN614" s="3933"/>
      <c r="SRO614" s="621"/>
      <c r="SRP614" s="3933"/>
      <c r="SRQ614" s="3933"/>
      <c r="SRR614" s="3933"/>
      <c r="SRS614" s="621"/>
      <c r="SRT614" s="3933"/>
      <c r="SRU614" s="3933"/>
      <c r="SRV614" s="3933"/>
      <c r="SRW614" s="621"/>
      <c r="SRX614" s="3933"/>
      <c r="SRY614" s="3933"/>
      <c r="SRZ614" s="3933"/>
      <c r="SSA614" s="621"/>
      <c r="SSB614" s="3933"/>
      <c r="SSC614" s="3933"/>
      <c r="SSD614" s="3933"/>
      <c r="SSE614" s="621"/>
      <c r="SSF614" s="3933"/>
      <c r="SSG614" s="3933"/>
      <c r="SSH614" s="3933"/>
      <c r="SSI614" s="621"/>
      <c r="SSJ614" s="3933"/>
      <c r="SSK614" s="3933"/>
      <c r="SSL614" s="3933"/>
      <c r="SSM614" s="621"/>
      <c r="SSN614" s="3933"/>
      <c r="SSO614" s="3933"/>
      <c r="SSP614" s="3933"/>
      <c r="SSQ614" s="621"/>
      <c r="SSR614" s="3933"/>
      <c r="SSS614" s="3933"/>
      <c r="SST614" s="3933"/>
      <c r="SSU614" s="621"/>
      <c r="SSV614" s="3933"/>
      <c r="SSW614" s="3933"/>
      <c r="SSX614" s="3933"/>
      <c r="SSY614" s="621"/>
      <c r="SSZ614" s="3933"/>
      <c r="STA614" s="3933"/>
      <c r="STB614" s="3933"/>
      <c r="STC614" s="621"/>
      <c r="STD614" s="3933"/>
      <c r="STE614" s="3933"/>
      <c r="STF614" s="3933"/>
      <c r="STG614" s="621"/>
      <c r="STH614" s="3933"/>
      <c r="STI614" s="3933"/>
      <c r="STJ614" s="3933"/>
      <c r="STK614" s="621"/>
      <c r="STL614" s="3933"/>
      <c r="STM614" s="3933"/>
      <c r="STN614" s="3933"/>
      <c r="STO614" s="621"/>
      <c r="STP614" s="3933"/>
      <c r="STQ614" s="3933"/>
      <c r="STR614" s="3933"/>
      <c r="STS614" s="621"/>
      <c r="STT614" s="3933"/>
      <c r="STU614" s="3933"/>
      <c r="STV614" s="3933"/>
      <c r="STW614" s="621"/>
      <c r="STX614" s="3933"/>
      <c r="STY614" s="3933"/>
      <c r="STZ614" s="3933"/>
      <c r="SUA614" s="621"/>
      <c r="SUB614" s="3933"/>
      <c r="SUC614" s="3933"/>
      <c r="SUD614" s="3933"/>
      <c r="SUE614" s="621"/>
      <c r="SUF614" s="3933"/>
      <c r="SUG614" s="3933"/>
      <c r="SUH614" s="3933"/>
      <c r="SUI614" s="621"/>
      <c r="SUJ614" s="3933"/>
      <c r="SUK614" s="3933"/>
      <c r="SUL614" s="3933"/>
      <c r="SUM614" s="621"/>
      <c r="SUN614" s="3933"/>
      <c r="SUO614" s="3933"/>
      <c r="SUP614" s="3933"/>
      <c r="SUQ614" s="621"/>
      <c r="SUR614" s="3933"/>
      <c r="SUS614" s="3933"/>
      <c r="SUT614" s="3933"/>
      <c r="SUU614" s="621"/>
      <c r="SUV614" s="3933"/>
      <c r="SUW614" s="3933"/>
      <c r="SUX614" s="3933"/>
      <c r="SUY614" s="621"/>
      <c r="SUZ614" s="3933"/>
      <c r="SVA614" s="3933"/>
      <c r="SVB614" s="3933"/>
      <c r="SVC614" s="621"/>
      <c r="SVD614" s="3933"/>
      <c r="SVE614" s="3933"/>
      <c r="SVF614" s="3933"/>
      <c r="SVG614" s="621"/>
      <c r="SVH614" s="3933"/>
      <c r="SVI614" s="3933"/>
      <c r="SVJ614" s="3933"/>
      <c r="SVK614" s="621"/>
      <c r="SVL614" s="3933"/>
      <c r="SVM614" s="3933"/>
      <c r="SVN614" s="3933"/>
      <c r="SVO614" s="621"/>
      <c r="SVP614" s="3933"/>
      <c r="SVQ614" s="3933"/>
      <c r="SVR614" s="3933"/>
      <c r="SVS614" s="621"/>
      <c r="SVT614" s="3933"/>
      <c r="SVU614" s="3933"/>
      <c r="SVV614" s="3933"/>
      <c r="SVW614" s="621"/>
      <c r="SVX614" s="3933"/>
      <c r="SVY614" s="3933"/>
      <c r="SVZ614" s="3933"/>
      <c r="SWA614" s="621"/>
      <c r="SWB614" s="3933"/>
      <c r="SWC614" s="3933"/>
      <c r="SWD614" s="3933"/>
      <c r="SWE614" s="621"/>
      <c r="SWF614" s="3933"/>
      <c r="SWG614" s="3933"/>
      <c r="SWH614" s="3933"/>
      <c r="SWI614" s="621"/>
      <c r="SWJ614" s="3933"/>
      <c r="SWK614" s="3933"/>
      <c r="SWL614" s="3933"/>
      <c r="SWM614" s="621"/>
      <c r="SWN614" s="3933"/>
      <c r="SWO614" s="3933"/>
      <c r="SWP614" s="3933"/>
      <c r="SWQ614" s="621"/>
      <c r="SWR614" s="3933"/>
      <c r="SWS614" s="3933"/>
      <c r="SWT614" s="3933"/>
      <c r="SWU614" s="621"/>
      <c r="SWV614" s="3933"/>
      <c r="SWW614" s="3933"/>
      <c r="SWX614" s="3933"/>
      <c r="SWY614" s="621"/>
      <c r="SWZ614" s="3933"/>
      <c r="SXA614" s="3933"/>
      <c r="SXB614" s="3933"/>
      <c r="SXC614" s="621"/>
      <c r="SXD614" s="3933"/>
      <c r="SXE614" s="3933"/>
      <c r="SXF614" s="3933"/>
      <c r="SXG614" s="621"/>
      <c r="SXH614" s="3933"/>
      <c r="SXI614" s="3933"/>
      <c r="SXJ614" s="3933"/>
      <c r="SXK614" s="621"/>
      <c r="SXL614" s="3933"/>
      <c r="SXM614" s="3933"/>
      <c r="SXN614" s="3933"/>
      <c r="SXO614" s="621"/>
      <c r="SXP614" s="3933"/>
      <c r="SXQ614" s="3933"/>
      <c r="SXR614" s="3933"/>
      <c r="SXS614" s="621"/>
      <c r="SXT614" s="3933"/>
      <c r="SXU614" s="3933"/>
      <c r="SXV614" s="3933"/>
      <c r="SXW614" s="621"/>
      <c r="SXX614" s="3933"/>
      <c r="SXY614" s="3933"/>
      <c r="SXZ614" s="3933"/>
      <c r="SYA614" s="621"/>
      <c r="SYB614" s="3933"/>
      <c r="SYC614" s="3933"/>
      <c r="SYD614" s="3933"/>
      <c r="SYE614" s="621"/>
      <c r="SYF614" s="3933"/>
      <c r="SYG614" s="3933"/>
      <c r="SYH614" s="3933"/>
      <c r="SYI614" s="621"/>
      <c r="SYJ614" s="3933"/>
      <c r="SYK614" s="3933"/>
      <c r="SYL614" s="3933"/>
      <c r="SYM614" s="621"/>
      <c r="SYN614" s="3933"/>
      <c r="SYO614" s="3933"/>
      <c r="SYP614" s="3933"/>
      <c r="SYQ614" s="621"/>
      <c r="SYR614" s="3933"/>
      <c r="SYS614" s="3933"/>
      <c r="SYT614" s="3933"/>
      <c r="SYU614" s="621"/>
      <c r="SYV614" s="3933"/>
      <c r="SYW614" s="3933"/>
      <c r="SYX614" s="3933"/>
      <c r="SYY614" s="621"/>
      <c r="SYZ614" s="3933"/>
      <c r="SZA614" s="3933"/>
      <c r="SZB614" s="3933"/>
      <c r="SZC614" s="621"/>
      <c r="SZD614" s="3933"/>
      <c r="SZE614" s="3933"/>
      <c r="SZF614" s="3933"/>
      <c r="SZG614" s="621"/>
      <c r="SZH614" s="3933"/>
      <c r="SZI614" s="3933"/>
      <c r="SZJ614" s="3933"/>
      <c r="SZK614" s="621"/>
      <c r="SZL614" s="3933"/>
      <c r="SZM614" s="3933"/>
      <c r="SZN614" s="3933"/>
      <c r="SZO614" s="621"/>
      <c r="SZP614" s="3933"/>
      <c r="SZQ614" s="3933"/>
      <c r="SZR614" s="3933"/>
      <c r="SZS614" s="621"/>
      <c r="SZT614" s="3933"/>
      <c r="SZU614" s="3933"/>
      <c r="SZV614" s="3933"/>
      <c r="SZW614" s="621"/>
      <c r="SZX614" s="3933"/>
      <c r="SZY614" s="3933"/>
      <c r="SZZ614" s="3933"/>
      <c r="TAA614" s="621"/>
      <c r="TAB614" s="3933"/>
      <c r="TAC614" s="3933"/>
      <c r="TAD614" s="3933"/>
      <c r="TAE614" s="621"/>
      <c r="TAF614" s="3933"/>
      <c r="TAG614" s="3933"/>
      <c r="TAH614" s="3933"/>
      <c r="TAI614" s="621"/>
      <c r="TAJ614" s="3933"/>
      <c r="TAK614" s="3933"/>
      <c r="TAL614" s="3933"/>
      <c r="TAM614" s="621"/>
      <c r="TAN614" s="3933"/>
      <c r="TAO614" s="3933"/>
      <c r="TAP614" s="3933"/>
      <c r="TAQ614" s="621"/>
      <c r="TAR614" s="3933"/>
      <c r="TAS614" s="3933"/>
      <c r="TAT614" s="3933"/>
      <c r="TAU614" s="621"/>
      <c r="TAV614" s="3933"/>
      <c r="TAW614" s="3933"/>
      <c r="TAX614" s="3933"/>
      <c r="TAY614" s="621"/>
      <c r="TAZ614" s="3933"/>
      <c r="TBA614" s="3933"/>
      <c r="TBB614" s="3933"/>
      <c r="TBC614" s="621"/>
      <c r="TBD614" s="3933"/>
      <c r="TBE614" s="3933"/>
      <c r="TBF614" s="3933"/>
      <c r="TBG614" s="621"/>
      <c r="TBH614" s="3933"/>
      <c r="TBI614" s="3933"/>
      <c r="TBJ614" s="3933"/>
      <c r="TBK614" s="621"/>
      <c r="TBL614" s="3933"/>
      <c r="TBM614" s="3933"/>
      <c r="TBN614" s="3933"/>
      <c r="TBO614" s="621"/>
      <c r="TBP614" s="3933"/>
      <c r="TBQ614" s="3933"/>
      <c r="TBR614" s="3933"/>
      <c r="TBS614" s="621"/>
      <c r="TBT614" s="3933"/>
      <c r="TBU614" s="3933"/>
      <c r="TBV614" s="3933"/>
      <c r="TBW614" s="621"/>
      <c r="TBX614" s="3933"/>
      <c r="TBY614" s="3933"/>
      <c r="TBZ614" s="3933"/>
      <c r="TCA614" s="621"/>
      <c r="TCB614" s="3933"/>
      <c r="TCC614" s="3933"/>
      <c r="TCD614" s="3933"/>
      <c r="TCE614" s="621"/>
      <c r="TCF614" s="3933"/>
      <c r="TCG614" s="3933"/>
      <c r="TCH614" s="3933"/>
      <c r="TCI614" s="621"/>
      <c r="TCJ614" s="3933"/>
      <c r="TCK614" s="3933"/>
      <c r="TCL614" s="3933"/>
      <c r="TCM614" s="621"/>
      <c r="TCN614" s="3933"/>
      <c r="TCO614" s="3933"/>
      <c r="TCP614" s="3933"/>
      <c r="TCQ614" s="621"/>
      <c r="TCR614" s="3933"/>
      <c r="TCS614" s="3933"/>
      <c r="TCT614" s="3933"/>
      <c r="TCU614" s="621"/>
      <c r="TCV614" s="3933"/>
      <c r="TCW614" s="3933"/>
      <c r="TCX614" s="3933"/>
      <c r="TCY614" s="621"/>
      <c r="TCZ614" s="3933"/>
      <c r="TDA614" s="3933"/>
      <c r="TDB614" s="3933"/>
      <c r="TDC614" s="621"/>
      <c r="TDD614" s="3933"/>
      <c r="TDE614" s="3933"/>
      <c r="TDF614" s="3933"/>
      <c r="TDG614" s="621"/>
      <c r="TDH614" s="3933"/>
      <c r="TDI614" s="3933"/>
      <c r="TDJ614" s="3933"/>
      <c r="TDK614" s="621"/>
      <c r="TDL614" s="3933"/>
      <c r="TDM614" s="3933"/>
      <c r="TDN614" s="3933"/>
      <c r="TDO614" s="621"/>
      <c r="TDP614" s="3933"/>
      <c r="TDQ614" s="3933"/>
      <c r="TDR614" s="3933"/>
      <c r="TDS614" s="621"/>
      <c r="TDT614" s="3933"/>
      <c r="TDU614" s="3933"/>
      <c r="TDV614" s="3933"/>
      <c r="TDW614" s="621"/>
      <c r="TDX614" s="3933"/>
      <c r="TDY614" s="3933"/>
      <c r="TDZ614" s="3933"/>
      <c r="TEA614" s="621"/>
      <c r="TEB614" s="3933"/>
      <c r="TEC614" s="3933"/>
      <c r="TED614" s="3933"/>
      <c r="TEE614" s="621"/>
      <c r="TEF614" s="3933"/>
      <c r="TEG614" s="3933"/>
      <c r="TEH614" s="3933"/>
      <c r="TEI614" s="621"/>
      <c r="TEJ614" s="3933"/>
      <c r="TEK614" s="3933"/>
      <c r="TEL614" s="3933"/>
      <c r="TEM614" s="621"/>
      <c r="TEN614" s="3933"/>
      <c r="TEO614" s="3933"/>
      <c r="TEP614" s="3933"/>
      <c r="TEQ614" s="621"/>
      <c r="TER614" s="3933"/>
      <c r="TES614" s="3933"/>
      <c r="TET614" s="3933"/>
      <c r="TEU614" s="621"/>
      <c r="TEV614" s="3933"/>
      <c r="TEW614" s="3933"/>
      <c r="TEX614" s="3933"/>
      <c r="TEY614" s="621"/>
      <c r="TEZ614" s="3933"/>
      <c r="TFA614" s="3933"/>
      <c r="TFB614" s="3933"/>
      <c r="TFC614" s="621"/>
      <c r="TFD614" s="3933"/>
      <c r="TFE614" s="3933"/>
      <c r="TFF614" s="3933"/>
      <c r="TFG614" s="621"/>
      <c r="TFH614" s="3933"/>
      <c r="TFI614" s="3933"/>
      <c r="TFJ614" s="3933"/>
      <c r="TFK614" s="621"/>
      <c r="TFL614" s="3933"/>
      <c r="TFM614" s="3933"/>
      <c r="TFN614" s="3933"/>
      <c r="TFO614" s="621"/>
      <c r="TFP614" s="3933"/>
      <c r="TFQ614" s="3933"/>
      <c r="TFR614" s="3933"/>
      <c r="TFS614" s="621"/>
      <c r="TFT614" s="3933"/>
      <c r="TFU614" s="3933"/>
      <c r="TFV614" s="3933"/>
      <c r="TFW614" s="621"/>
      <c r="TFX614" s="3933"/>
      <c r="TFY614" s="3933"/>
      <c r="TFZ614" s="3933"/>
      <c r="TGA614" s="621"/>
      <c r="TGB614" s="3933"/>
      <c r="TGC614" s="3933"/>
      <c r="TGD614" s="3933"/>
      <c r="TGE614" s="621"/>
      <c r="TGF614" s="3933"/>
      <c r="TGG614" s="3933"/>
      <c r="TGH614" s="3933"/>
      <c r="TGI614" s="621"/>
      <c r="TGJ614" s="3933"/>
      <c r="TGK614" s="3933"/>
      <c r="TGL614" s="3933"/>
      <c r="TGM614" s="621"/>
      <c r="TGN614" s="3933"/>
      <c r="TGO614" s="3933"/>
      <c r="TGP614" s="3933"/>
      <c r="TGQ614" s="621"/>
      <c r="TGR614" s="3933"/>
      <c r="TGS614" s="3933"/>
      <c r="TGT614" s="3933"/>
      <c r="TGU614" s="621"/>
      <c r="TGV614" s="3933"/>
      <c r="TGW614" s="3933"/>
      <c r="TGX614" s="3933"/>
      <c r="TGY614" s="621"/>
      <c r="TGZ614" s="3933"/>
      <c r="THA614" s="3933"/>
      <c r="THB614" s="3933"/>
      <c r="THC614" s="621"/>
      <c r="THD614" s="3933"/>
      <c r="THE614" s="3933"/>
      <c r="THF614" s="3933"/>
      <c r="THG614" s="621"/>
      <c r="THH614" s="3933"/>
      <c r="THI614" s="3933"/>
      <c r="THJ614" s="3933"/>
      <c r="THK614" s="621"/>
      <c r="THL614" s="3933"/>
      <c r="THM614" s="3933"/>
      <c r="THN614" s="3933"/>
      <c r="THO614" s="621"/>
      <c r="THP614" s="3933"/>
      <c r="THQ614" s="3933"/>
      <c r="THR614" s="3933"/>
      <c r="THS614" s="621"/>
      <c r="THT614" s="3933"/>
      <c r="THU614" s="3933"/>
      <c r="THV614" s="3933"/>
      <c r="THW614" s="621"/>
      <c r="THX614" s="3933"/>
      <c r="THY614" s="3933"/>
      <c r="THZ614" s="3933"/>
      <c r="TIA614" s="621"/>
      <c r="TIB614" s="3933"/>
      <c r="TIC614" s="3933"/>
      <c r="TID614" s="3933"/>
      <c r="TIE614" s="621"/>
      <c r="TIF614" s="3933"/>
      <c r="TIG614" s="3933"/>
      <c r="TIH614" s="3933"/>
      <c r="TII614" s="621"/>
      <c r="TIJ614" s="3933"/>
      <c r="TIK614" s="3933"/>
      <c r="TIL614" s="3933"/>
      <c r="TIM614" s="621"/>
      <c r="TIN614" s="3933"/>
      <c r="TIO614" s="3933"/>
      <c r="TIP614" s="3933"/>
      <c r="TIQ614" s="621"/>
      <c r="TIR614" s="3933"/>
      <c r="TIS614" s="3933"/>
      <c r="TIT614" s="3933"/>
      <c r="TIU614" s="621"/>
      <c r="TIV614" s="3933"/>
      <c r="TIW614" s="3933"/>
      <c r="TIX614" s="3933"/>
      <c r="TIY614" s="621"/>
      <c r="TIZ614" s="3933"/>
      <c r="TJA614" s="3933"/>
      <c r="TJB614" s="3933"/>
      <c r="TJC614" s="621"/>
      <c r="TJD614" s="3933"/>
      <c r="TJE614" s="3933"/>
      <c r="TJF614" s="3933"/>
      <c r="TJG614" s="621"/>
      <c r="TJH614" s="3933"/>
      <c r="TJI614" s="3933"/>
      <c r="TJJ614" s="3933"/>
      <c r="TJK614" s="621"/>
      <c r="TJL614" s="3933"/>
      <c r="TJM614" s="3933"/>
      <c r="TJN614" s="3933"/>
      <c r="TJO614" s="621"/>
      <c r="TJP614" s="3933"/>
      <c r="TJQ614" s="3933"/>
      <c r="TJR614" s="3933"/>
      <c r="TJS614" s="621"/>
      <c r="TJT614" s="3933"/>
      <c r="TJU614" s="3933"/>
      <c r="TJV614" s="3933"/>
      <c r="TJW614" s="621"/>
      <c r="TJX614" s="3933"/>
      <c r="TJY614" s="3933"/>
      <c r="TJZ614" s="3933"/>
      <c r="TKA614" s="621"/>
      <c r="TKB614" s="3933"/>
      <c r="TKC614" s="3933"/>
      <c r="TKD614" s="3933"/>
      <c r="TKE614" s="621"/>
      <c r="TKF614" s="3933"/>
      <c r="TKG614" s="3933"/>
      <c r="TKH614" s="3933"/>
      <c r="TKI614" s="621"/>
      <c r="TKJ614" s="3933"/>
      <c r="TKK614" s="3933"/>
      <c r="TKL614" s="3933"/>
      <c r="TKM614" s="621"/>
      <c r="TKN614" s="3933"/>
      <c r="TKO614" s="3933"/>
      <c r="TKP614" s="3933"/>
      <c r="TKQ614" s="621"/>
      <c r="TKR614" s="3933"/>
      <c r="TKS614" s="3933"/>
      <c r="TKT614" s="3933"/>
      <c r="TKU614" s="621"/>
      <c r="TKV614" s="3933"/>
      <c r="TKW614" s="3933"/>
      <c r="TKX614" s="3933"/>
      <c r="TKY614" s="621"/>
      <c r="TKZ614" s="3933"/>
      <c r="TLA614" s="3933"/>
      <c r="TLB614" s="3933"/>
      <c r="TLC614" s="621"/>
      <c r="TLD614" s="3933"/>
      <c r="TLE614" s="3933"/>
      <c r="TLF614" s="3933"/>
      <c r="TLG614" s="621"/>
      <c r="TLH614" s="3933"/>
      <c r="TLI614" s="3933"/>
      <c r="TLJ614" s="3933"/>
      <c r="TLK614" s="621"/>
      <c r="TLL614" s="3933"/>
      <c r="TLM614" s="3933"/>
      <c r="TLN614" s="3933"/>
      <c r="TLO614" s="621"/>
      <c r="TLP614" s="3933"/>
      <c r="TLQ614" s="3933"/>
      <c r="TLR614" s="3933"/>
      <c r="TLS614" s="621"/>
      <c r="TLT614" s="3933"/>
      <c r="TLU614" s="3933"/>
      <c r="TLV614" s="3933"/>
      <c r="TLW614" s="621"/>
      <c r="TLX614" s="3933"/>
      <c r="TLY614" s="3933"/>
      <c r="TLZ614" s="3933"/>
      <c r="TMA614" s="621"/>
      <c r="TMB614" s="3933"/>
      <c r="TMC614" s="3933"/>
      <c r="TMD614" s="3933"/>
      <c r="TME614" s="621"/>
      <c r="TMF614" s="3933"/>
      <c r="TMG614" s="3933"/>
      <c r="TMH614" s="3933"/>
      <c r="TMI614" s="621"/>
      <c r="TMJ614" s="3933"/>
      <c r="TMK614" s="3933"/>
      <c r="TML614" s="3933"/>
      <c r="TMM614" s="621"/>
      <c r="TMN614" s="3933"/>
      <c r="TMO614" s="3933"/>
      <c r="TMP614" s="3933"/>
      <c r="TMQ614" s="621"/>
      <c r="TMR614" s="3933"/>
      <c r="TMS614" s="3933"/>
      <c r="TMT614" s="3933"/>
      <c r="TMU614" s="621"/>
      <c r="TMV614" s="3933"/>
      <c r="TMW614" s="3933"/>
      <c r="TMX614" s="3933"/>
      <c r="TMY614" s="621"/>
      <c r="TMZ614" s="3933"/>
      <c r="TNA614" s="3933"/>
      <c r="TNB614" s="3933"/>
      <c r="TNC614" s="621"/>
      <c r="TND614" s="3933"/>
      <c r="TNE614" s="3933"/>
      <c r="TNF614" s="3933"/>
      <c r="TNG614" s="621"/>
      <c r="TNH614" s="3933"/>
      <c r="TNI614" s="3933"/>
      <c r="TNJ614" s="3933"/>
      <c r="TNK614" s="621"/>
      <c r="TNL614" s="3933"/>
      <c r="TNM614" s="3933"/>
      <c r="TNN614" s="3933"/>
      <c r="TNO614" s="621"/>
      <c r="TNP614" s="3933"/>
      <c r="TNQ614" s="3933"/>
      <c r="TNR614" s="3933"/>
      <c r="TNS614" s="621"/>
      <c r="TNT614" s="3933"/>
      <c r="TNU614" s="3933"/>
      <c r="TNV614" s="3933"/>
      <c r="TNW614" s="621"/>
      <c r="TNX614" s="3933"/>
      <c r="TNY614" s="3933"/>
      <c r="TNZ614" s="3933"/>
      <c r="TOA614" s="621"/>
      <c r="TOB614" s="3933"/>
      <c r="TOC614" s="3933"/>
      <c r="TOD614" s="3933"/>
      <c r="TOE614" s="621"/>
      <c r="TOF614" s="3933"/>
      <c r="TOG614" s="3933"/>
      <c r="TOH614" s="3933"/>
      <c r="TOI614" s="621"/>
      <c r="TOJ614" s="3933"/>
      <c r="TOK614" s="3933"/>
      <c r="TOL614" s="3933"/>
      <c r="TOM614" s="621"/>
      <c r="TON614" s="3933"/>
      <c r="TOO614" s="3933"/>
      <c r="TOP614" s="3933"/>
      <c r="TOQ614" s="621"/>
      <c r="TOR614" s="3933"/>
      <c r="TOS614" s="3933"/>
      <c r="TOT614" s="3933"/>
      <c r="TOU614" s="621"/>
      <c r="TOV614" s="3933"/>
      <c r="TOW614" s="3933"/>
      <c r="TOX614" s="3933"/>
      <c r="TOY614" s="621"/>
      <c r="TOZ614" s="3933"/>
      <c r="TPA614" s="3933"/>
      <c r="TPB614" s="3933"/>
      <c r="TPC614" s="621"/>
      <c r="TPD614" s="3933"/>
      <c r="TPE614" s="3933"/>
      <c r="TPF614" s="3933"/>
      <c r="TPG614" s="621"/>
      <c r="TPH614" s="3933"/>
      <c r="TPI614" s="3933"/>
      <c r="TPJ614" s="3933"/>
      <c r="TPK614" s="621"/>
      <c r="TPL614" s="3933"/>
      <c r="TPM614" s="3933"/>
      <c r="TPN614" s="3933"/>
      <c r="TPO614" s="621"/>
      <c r="TPP614" s="3933"/>
      <c r="TPQ614" s="3933"/>
      <c r="TPR614" s="3933"/>
      <c r="TPS614" s="621"/>
      <c r="TPT614" s="3933"/>
      <c r="TPU614" s="3933"/>
      <c r="TPV614" s="3933"/>
      <c r="TPW614" s="621"/>
      <c r="TPX614" s="3933"/>
      <c r="TPY614" s="3933"/>
      <c r="TPZ614" s="3933"/>
      <c r="TQA614" s="621"/>
      <c r="TQB614" s="3933"/>
      <c r="TQC614" s="3933"/>
      <c r="TQD614" s="3933"/>
      <c r="TQE614" s="621"/>
      <c r="TQF614" s="3933"/>
      <c r="TQG614" s="3933"/>
      <c r="TQH614" s="3933"/>
      <c r="TQI614" s="621"/>
      <c r="TQJ614" s="3933"/>
      <c r="TQK614" s="3933"/>
      <c r="TQL614" s="3933"/>
      <c r="TQM614" s="621"/>
      <c r="TQN614" s="3933"/>
      <c r="TQO614" s="3933"/>
      <c r="TQP614" s="3933"/>
      <c r="TQQ614" s="621"/>
      <c r="TQR614" s="3933"/>
      <c r="TQS614" s="3933"/>
      <c r="TQT614" s="3933"/>
      <c r="TQU614" s="621"/>
      <c r="TQV614" s="3933"/>
      <c r="TQW614" s="3933"/>
      <c r="TQX614" s="3933"/>
      <c r="TQY614" s="621"/>
      <c r="TQZ614" s="3933"/>
      <c r="TRA614" s="3933"/>
      <c r="TRB614" s="3933"/>
      <c r="TRC614" s="621"/>
      <c r="TRD614" s="3933"/>
      <c r="TRE614" s="3933"/>
      <c r="TRF614" s="3933"/>
      <c r="TRG614" s="621"/>
      <c r="TRH614" s="3933"/>
      <c r="TRI614" s="3933"/>
      <c r="TRJ614" s="3933"/>
      <c r="TRK614" s="621"/>
      <c r="TRL614" s="3933"/>
      <c r="TRM614" s="3933"/>
      <c r="TRN614" s="3933"/>
      <c r="TRO614" s="621"/>
      <c r="TRP614" s="3933"/>
      <c r="TRQ614" s="3933"/>
      <c r="TRR614" s="3933"/>
      <c r="TRS614" s="621"/>
      <c r="TRT614" s="3933"/>
      <c r="TRU614" s="3933"/>
      <c r="TRV614" s="3933"/>
      <c r="TRW614" s="621"/>
      <c r="TRX614" s="3933"/>
      <c r="TRY614" s="3933"/>
      <c r="TRZ614" s="3933"/>
      <c r="TSA614" s="621"/>
      <c r="TSB614" s="3933"/>
      <c r="TSC614" s="3933"/>
      <c r="TSD614" s="3933"/>
      <c r="TSE614" s="621"/>
      <c r="TSF614" s="3933"/>
      <c r="TSG614" s="3933"/>
      <c r="TSH614" s="3933"/>
      <c r="TSI614" s="621"/>
      <c r="TSJ614" s="3933"/>
      <c r="TSK614" s="3933"/>
      <c r="TSL614" s="3933"/>
      <c r="TSM614" s="621"/>
      <c r="TSN614" s="3933"/>
      <c r="TSO614" s="3933"/>
      <c r="TSP614" s="3933"/>
      <c r="TSQ614" s="621"/>
      <c r="TSR614" s="3933"/>
      <c r="TSS614" s="3933"/>
      <c r="TST614" s="3933"/>
      <c r="TSU614" s="621"/>
      <c r="TSV614" s="3933"/>
      <c r="TSW614" s="3933"/>
      <c r="TSX614" s="3933"/>
      <c r="TSY614" s="621"/>
      <c r="TSZ614" s="3933"/>
      <c r="TTA614" s="3933"/>
      <c r="TTB614" s="3933"/>
      <c r="TTC614" s="621"/>
      <c r="TTD614" s="3933"/>
      <c r="TTE614" s="3933"/>
      <c r="TTF614" s="3933"/>
      <c r="TTG614" s="621"/>
      <c r="TTH614" s="3933"/>
      <c r="TTI614" s="3933"/>
      <c r="TTJ614" s="3933"/>
      <c r="TTK614" s="621"/>
      <c r="TTL614" s="3933"/>
      <c r="TTM614" s="3933"/>
      <c r="TTN614" s="3933"/>
      <c r="TTO614" s="621"/>
      <c r="TTP614" s="3933"/>
      <c r="TTQ614" s="3933"/>
      <c r="TTR614" s="3933"/>
      <c r="TTS614" s="621"/>
      <c r="TTT614" s="3933"/>
      <c r="TTU614" s="3933"/>
      <c r="TTV614" s="3933"/>
      <c r="TTW614" s="621"/>
      <c r="TTX614" s="3933"/>
      <c r="TTY614" s="3933"/>
      <c r="TTZ614" s="3933"/>
      <c r="TUA614" s="621"/>
      <c r="TUB614" s="3933"/>
      <c r="TUC614" s="3933"/>
      <c r="TUD614" s="3933"/>
      <c r="TUE614" s="621"/>
      <c r="TUF614" s="3933"/>
      <c r="TUG614" s="3933"/>
      <c r="TUH614" s="3933"/>
      <c r="TUI614" s="621"/>
      <c r="TUJ614" s="3933"/>
      <c r="TUK614" s="3933"/>
      <c r="TUL614" s="3933"/>
      <c r="TUM614" s="621"/>
      <c r="TUN614" s="3933"/>
      <c r="TUO614" s="3933"/>
      <c r="TUP614" s="3933"/>
      <c r="TUQ614" s="621"/>
      <c r="TUR614" s="3933"/>
      <c r="TUS614" s="3933"/>
      <c r="TUT614" s="3933"/>
      <c r="TUU614" s="621"/>
      <c r="TUV614" s="3933"/>
      <c r="TUW614" s="3933"/>
      <c r="TUX614" s="3933"/>
      <c r="TUY614" s="621"/>
      <c r="TUZ614" s="3933"/>
      <c r="TVA614" s="3933"/>
      <c r="TVB614" s="3933"/>
      <c r="TVC614" s="621"/>
      <c r="TVD614" s="3933"/>
      <c r="TVE614" s="3933"/>
      <c r="TVF614" s="3933"/>
      <c r="TVG614" s="621"/>
      <c r="TVH614" s="3933"/>
      <c r="TVI614" s="3933"/>
      <c r="TVJ614" s="3933"/>
      <c r="TVK614" s="621"/>
      <c r="TVL614" s="3933"/>
      <c r="TVM614" s="3933"/>
      <c r="TVN614" s="3933"/>
      <c r="TVO614" s="621"/>
      <c r="TVP614" s="3933"/>
      <c r="TVQ614" s="3933"/>
      <c r="TVR614" s="3933"/>
      <c r="TVS614" s="621"/>
      <c r="TVT614" s="3933"/>
      <c r="TVU614" s="3933"/>
      <c r="TVV614" s="3933"/>
      <c r="TVW614" s="621"/>
      <c r="TVX614" s="3933"/>
      <c r="TVY614" s="3933"/>
      <c r="TVZ614" s="3933"/>
      <c r="TWA614" s="621"/>
      <c r="TWB614" s="3933"/>
      <c r="TWC614" s="3933"/>
      <c r="TWD614" s="3933"/>
      <c r="TWE614" s="621"/>
      <c r="TWF614" s="3933"/>
      <c r="TWG614" s="3933"/>
      <c r="TWH614" s="3933"/>
      <c r="TWI614" s="621"/>
      <c r="TWJ614" s="3933"/>
      <c r="TWK614" s="3933"/>
      <c r="TWL614" s="3933"/>
      <c r="TWM614" s="621"/>
      <c r="TWN614" s="3933"/>
      <c r="TWO614" s="3933"/>
      <c r="TWP614" s="3933"/>
      <c r="TWQ614" s="621"/>
      <c r="TWR614" s="3933"/>
      <c r="TWS614" s="3933"/>
      <c r="TWT614" s="3933"/>
      <c r="TWU614" s="621"/>
      <c r="TWV614" s="3933"/>
      <c r="TWW614" s="3933"/>
      <c r="TWX614" s="3933"/>
      <c r="TWY614" s="621"/>
      <c r="TWZ614" s="3933"/>
      <c r="TXA614" s="3933"/>
      <c r="TXB614" s="3933"/>
      <c r="TXC614" s="621"/>
      <c r="TXD614" s="3933"/>
      <c r="TXE614" s="3933"/>
      <c r="TXF614" s="3933"/>
      <c r="TXG614" s="621"/>
      <c r="TXH614" s="3933"/>
      <c r="TXI614" s="3933"/>
      <c r="TXJ614" s="3933"/>
      <c r="TXK614" s="621"/>
      <c r="TXL614" s="3933"/>
      <c r="TXM614" s="3933"/>
      <c r="TXN614" s="3933"/>
      <c r="TXO614" s="621"/>
      <c r="TXP614" s="3933"/>
      <c r="TXQ614" s="3933"/>
      <c r="TXR614" s="3933"/>
      <c r="TXS614" s="621"/>
      <c r="TXT614" s="3933"/>
      <c r="TXU614" s="3933"/>
      <c r="TXV614" s="3933"/>
      <c r="TXW614" s="621"/>
      <c r="TXX614" s="3933"/>
      <c r="TXY614" s="3933"/>
      <c r="TXZ614" s="3933"/>
      <c r="TYA614" s="621"/>
      <c r="TYB614" s="3933"/>
      <c r="TYC614" s="3933"/>
      <c r="TYD614" s="3933"/>
      <c r="TYE614" s="621"/>
      <c r="TYF614" s="3933"/>
      <c r="TYG614" s="3933"/>
      <c r="TYH614" s="3933"/>
      <c r="TYI614" s="621"/>
      <c r="TYJ614" s="3933"/>
      <c r="TYK614" s="3933"/>
      <c r="TYL614" s="3933"/>
      <c r="TYM614" s="621"/>
      <c r="TYN614" s="3933"/>
      <c r="TYO614" s="3933"/>
      <c r="TYP614" s="3933"/>
      <c r="TYQ614" s="621"/>
      <c r="TYR614" s="3933"/>
      <c r="TYS614" s="3933"/>
      <c r="TYT614" s="3933"/>
      <c r="TYU614" s="621"/>
      <c r="TYV614" s="3933"/>
      <c r="TYW614" s="3933"/>
      <c r="TYX614" s="3933"/>
      <c r="TYY614" s="621"/>
      <c r="TYZ614" s="3933"/>
      <c r="TZA614" s="3933"/>
      <c r="TZB614" s="3933"/>
      <c r="TZC614" s="621"/>
      <c r="TZD614" s="3933"/>
      <c r="TZE614" s="3933"/>
      <c r="TZF614" s="3933"/>
      <c r="TZG614" s="621"/>
      <c r="TZH614" s="3933"/>
      <c r="TZI614" s="3933"/>
      <c r="TZJ614" s="3933"/>
      <c r="TZK614" s="621"/>
      <c r="TZL614" s="3933"/>
      <c r="TZM614" s="3933"/>
      <c r="TZN614" s="3933"/>
      <c r="TZO614" s="621"/>
      <c r="TZP614" s="3933"/>
      <c r="TZQ614" s="3933"/>
      <c r="TZR614" s="3933"/>
      <c r="TZS614" s="621"/>
      <c r="TZT614" s="3933"/>
      <c r="TZU614" s="3933"/>
      <c r="TZV614" s="3933"/>
      <c r="TZW614" s="621"/>
      <c r="TZX614" s="3933"/>
      <c r="TZY614" s="3933"/>
      <c r="TZZ614" s="3933"/>
      <c r="UAA614" s="621"/>
      <c r="UAB614" s="3933"/>
      <c r="UAC614" s="3933"/>
      <c r="UAD614" s="3933"/>
      <c r="UAE614" s="621"/>
      <c r="UAF614" s="3933"/>
      <c r="UAG614" s="3933"/>
      <c r="UAH614" s="3933"/>
      <c r="UAI614" s="621"/>
      <c r="UAJ614" s="3933"/>
      <c r="UAK614" s="3933"/>
      <c r="UAL614" s="3933"/>
      <c r="UAM614" s="621"/>
      <c r="UAN614" s="3933"/>
      <c r="UAO614" s="3933"/>
      <c r="UAP614" s="3933"/>
      <c r="UAQ614" s="621"/>
      <c r="UAR614" s="3933"/>
      <c r="UAS614" s="3933"/>
      <c r="UAT614" s="3933"/>
      <c r="UAU614" s="621"/>
      <c r="UAV614" s="3933"/>
      <c r="UAW614" s="3933"/>
      <c r="UAX614" s="3933"/>
      <c r="UAY614" s="621"/>
      <c r="UAZ614" s="3933"/>
      <c r="UBA614" s="3933"/>
      <c r="UBB614" s="3933"/>
      <c r="UBC614" s="621"/>
      <c r="UBD614" s="3933"/>
      <c r="UBE614" s="3933"/>
      <c r="UBF614" s="3933"/>
      <c r="UBG614" s="621"/>
      <c r="UBH614" s="3933"/>
      <c r="UBI614" s="3933"/>
      <c r="UBJ614" s="3933"/>
      <c r="UBK614" s="621"/>
      <c r="UBL614" s="3933"/>
      <c r="UBM614" s="3933"/>
      <c r="UBN614" s="3933"/>
      <c r="UBO614" s="621"/>
      <c r="UBP614" s="3933"/>
      <c r="UBQ614" s="3933"/>
      <c r="UBR614" s="3933"/>
      <c r="UBS614" s="621"/>
      <c r="UBT614" s="3933"/>
      <c r="UBU614" s="3933"/>
      <c r="UBV614" s="3933"/>
      <c r="UBW614" s="621"/>
      <c r="UBX614" s="3933"/>
      <c r="UBY614" s="3933"/>
      <c r="UBZ614" s="3933"/>
      <c r="UCA614" s="621"/>
      <c r="UCB614" s="3933"/>
      <c r="UCC614" s="3933"/>
      <c r="UCD614" s="3933"/>
      <c r="UCE614" s="621"/>
      <c r="UCF614" s="3933"/>
      <c r="UCG614" s="3933"/>
      <c r="UCH614" s="3933"/>
      <c r="UCI614" s="621"/>
      <c r="UCJ614" s="3933"/>
      <c r="UCK614" s="3933"/>
      <c r="UCL614" s="3933"/>
      <c r="UCM614" s="621"/>
      <c r="UCN614" s="3933"/>
      <c r="UCO614" s="3933"/>
      <c r="UCP614" s="3933"/>
      <c r="UCQ614" s="621"/>
      <c r="UCR614" s="3933"/>
      <c r="UCS614" s="3933"/>
      <c r="UCT614" s="3933"/>
      <c r="UCU614" s="621"/>
      <c r="UCV614" s="3933"/>
      <c r="UCW614" s="3933"/>
      <c r="UCX614" s="3933"/>
      <c r="UCY614" s="621"/>
      <c r="UCZ614" s="3933"/>
      <c r="UDA614" s="3933"/>
      <c r="UDB614" s="3933"/>
      <c r="UDC614" s="621"/>
      <c r="UDD614" s="3933"/>
      <c r="UDE614" s="3933"/>
      <c r="UDF614" s="3933"/>
      <c r="UDG614" s="621"/>
      <c r="UDH614" s="3933"/>
      <c r="UDI614" s="3933"/>
      <c r="UDJ614" s="3933"/>
      <c r="UDK614" s="621"/>
      <c r="UDL614" s="3933"/>
      <c r="UDM614" s="3933"/>
      <c r="UDN614" s="3933"/>
      <c r="UDO614" s="621"/>
      <c r="UDP614" s="3933"/>
      <c r="UDQ614" s="3933"/>
      <c r="UDR614" s="3933"/>
      <c r="UDS614" s="621"/>
      <c r="UDT614" s="3933"/>
      <c r="UDU614" s="3933"/>
      <c r="UDV614" s="3933"/>
      <c r="UDW614" s="621"/>
      <c r="UDX614" s="3933"/>
      <c r="UDY614" s="3933"/>
      <c r="UDZ614" s="3933"/>
      <c r="UEA614" s="621"/>
      <c r="UEB614" s="3933"/>
      <c r="UEC614" s="3933"/>
      <c r="UED614" s="3933"/>
      <c r="UEE614" s="621"/>
      <c r="UEF614" s="3933"/>
      <c r="UEG614" s="3933"/>
      <c r="UEH614" s="3933"/>
      <c r="UEI614" s="621"/>
      <c r="UEJ614" s="3933"/>
      <c r="UEK614" s="3933"/>
      <c r="UEL614" s="3933"/>
      <c r="UEM614" s="621"/>
      <c r="UEN614" s="3933"/>
      <c r="UEO614" s="3933"/>
      <c r="UEP614" s="3933"/>
      <c r="UEQ614" s="621"/>
      <c r="UER614" s="3933"/>
      <c r="UES614" s="3933"/>
      <c r="UET614" s="3933"/>
      <c r="UEU614" s="621"/>
      <c r="UEV614" s="3933"/>
      <c r="UEW614" s="3933"/>
      <c r="UEX614" s="3933"/>
      <c r="UEY614" s="621"/>
      <c r="UEZ614" s="3933"/>
      <c r="UFA614" s="3933"/>
      <c r="UFB614" s="3933"/>
      <c r="UFC614" s="621"/>
      <c r="UFD614" s="3933"/>
      <c r="UFE614" s="3933"/>
      <c r="UFF614" s="3933"/>
      <c r="UFG614" s="621"/>
      <c r="UFH614" s="3933"/>
      <c r="UFI614" s="3933"/>
      <c r="UFJ614" s="3933"/>
      <c r="UFK614" s="621"/>
      <c r="UFL614" s="3933"/>
      <c r="UFM614" s="3933"/>
      <c r="UFN614" s="3933"/>
      <c r="UFO614" s="621"/>
      <c r="UFP614" s="3933"/>
      <c r="UFQ614" s="3933"/>
      <c r="UFR614" s="3933"/>
      <c r="UFS614" s="621"/>
      <c r="UFT614" s="3933"/>
      <c r="UFU614" s="3933"/>
      <c r="UFV614" s="3933"/>
      <c r="UFW614" s="621"/>
      <c r="UFX614" s="3933"/>
      <c r="UFY614" s="3933"/>
      <c r="UFZ614" s="3933"/>
      <c r="UGA614" s="621"/>
      <c r="UGB614" s="3933"/>
      <c r="UGC614" s="3933"/>
      <c r="UGD614" s="3933"/>
      <c r="UGE614" s="621"/>
      <c r="UGF614" s="3933"/>
      <c r="UGG614" s="3933"/>
      <c r="UGH614" s="3933"/>
      <c r="UGI614" s="621"/>
      <c r="UGJ614" s="3933"/>
      <c r="UGK614" s="3933"/>
      <c r="UGL614" s="3933"/>
      <c r="UGM614" s="621"/>
      <c r="UGN614" s="3933"/>
      <c r="UGO614" s="3933"/>
      <c r="UGP614" s="3933"/>
      <c r="UGQ614" s="621"/>
      <c r="UGR614" s="3933"/>
      <c r="UGS614" s="3933"/>
      <c r="UGT614" s="3933"/>
      <c r="UGU614" s="621"/>
      <c r="UGV614" s="3933"/>
      <c r="UGW614" s="3933"/>
      <c r="UGX614" s="3933"/>
      <c r="UGY614" s="621"/>
      <c r="UGZ614" s="3933"/>
      <c r="UHA614" s="3933"/>
      <c r="UHB614" s="3933"/>
      <c r="UHC614" s="621"/>
      <c r="UHD614" s="3933"/>
      <c r="UHE614" s="3933"/>
      <c r="UHF614" s="3933"/>
      <c r="UHG614" s="621"/>
      <c r="UHH614" s="3933"/>
      <c r="UHI614" s="3933"/>
      <c r="UHJ614" s="3933"/>
      <c r="UHK614" s="621"/>
      <c r="UHL614" s="3933"/>
      <c r="UHM614" s="3933"/>
      <c r="UHN614" s="3933"/>
      <c r="UHO614" s="621"/>
      <c r="UHP614" s="3933"/>
      <c r="UHQ614" s="3933"/>
      <c r="UHR614" s="3933"/>
      <c r="UHS614" s="621"/>
      <c r="UHT614" s="3933"/>
      <c r="UHU614" s="3933"/>
      <c r="UHV614" s="3933"/>
      <c r="UHW614" s="621"/>
      <c r="UHX614" s="3933"/>
      <c r="UHY614" s="3933"/>
      <c r="UHZ614" s="3933"/>
      <c r="UIA614" s="621"/>
      <c r="UIB614" s="3933"/>
      <c r="UIC614" s="3933"/>
      <c r="UID614" s="3933"/>
      <c r="UIE614" s="621"/>
      <c r="UIF614" s="3933"/>
      <c r="UIG614" s="3933"/>
      <c r="UIH614" s="3933"/>
      <c r="UII614" s="621"/>
      <c r="UIJ614" s="3933"/>
      <c r="UIK614" s="3933"/>
      <c r="UIL614" s="3933"/>
      <c r="UIM614" s="621"/>
      <c r="UIN614" s="3933"/>
      <c r="UIO614" s="3933"/>
      <c r="UIP614" s="3933"/>
      <c r="UIQ614" s="621"/>
      <c r="UIR614" s="3933"/>
      <c r="UIS614" s="3933"/>
      <c r="UIT614" s="3933"/>
      <c r="UIU614" s="621"/>
      <c r="UIV614" s="3933"/>
      <c r="UIW614" s="3933"/>
      <c r="UIX614" s="3933"/>
      <c r="UIY614" s="621"/>
      <c r="UIZ614" s="3933"/>
      <c r="UJA614" s="3933"/>
      <c r="UJB614" s="3933"/>
      <c r="UJC614" s="621"/>
      <c r="UJD614" s="3933"/>
      <c r="UJE614" s="3933"/>
      <c r="UJF614" s="3933"/>
      <c r="UJG614" s="621"/>
      <c r="UJH614" s="3933"/>
      <c r="UJI614" s="3933"/>
      <c r="UJJ614" s="3933"/>
      <c r="UJK614" s="621"/>
      <c r="UJL614" s="3933"/>
      <c r="UJM614" s="3933"/>
      <c r="UJN614" s="3933"/>
      <c r="UJO614" s="621"/>
      <c r="UJP614" s="3933"/>
      <c r="UJQ614" s="3933"/>
      <c r="UJR614" s="3933"/>
      <c r="UJS614" s="621"/>
      <c r="UJT614" s="3933"/>
      <c r="UJU614" s="3933"/>
      <c r="UJV614" s="3933"/>
      <c r="UJW614" s="621"/>
      <c r="UJX614" s="3933"/>
      <c r="UJY614" s="3933"/>
      <c r="UJZ614" s="3933"/>
      <c r="UKA614" s="621"/>
      <c r="UKB614" s="3933"/>
      <c r="UKC614" s="3933"/>
      <c r="UKD614" s="3933"/>
      <c r="UKE614" s="621"/>
      <c r="UKF614" s="3933"/>
      <c r="UKG614" s="3933"/>
      <c r="UKH614" s="3933"/>
      <c r="UKI614" s="621"/>
      <c r="UKJ614" s="3933"/>
      <c r="UKK614" s="3933"/>
      <c r="UKL614" s="3933"/>
      <c r="UKM614" s="621"/>
      <c r="UKN614" s="3933"/>
      <c r="UKO614" s="3933"/>
      <c r="UKP614" s="3933"/>
      <c r="UKQ614" s="621"/>
      <c r="UKR614" s="3933"/>
      <c r="UKS614" s="3933"/>
      <c r="UKT614" s="3933"/>
      <c r="UKU614" s="621"/>
      <c r="UKV614" s="3933"/>
      <c r="UKW614" s="3933"/>
      <c r="UKX614" s="3933"/>
      <c r="UKY614" s="621"/>
      <c r="UKZ614" s="3933"/>
      <c r="ULA614" s="3933"/>
      <c r="ULB614" s="3933"/>
      <c r="ULC614" s="621"/>
      <c r="ULD614" s="3933"/>
      <c r="ULE614" s="3933"/>
      <c r="ULF614" s="3933"/>
      <c r="ULG614" s="621"/>
      <c r="ULH614" s="3933"/>
      <c r="ULI614" s="3933"/>
      <c r="ULJ614" s="3933"/>
      <c r="ULK614" s="621"/>
      <c r="ULL614" s="3933"/>
      <c r="ULM614" s="3933"/>
      <c r="ULN614" s="3933"/>
      <c r="ULO614" s="621"/>
      <c r="ULP614" s="3933"/>
      <c r="ULQ614" s="3933"/>
      <c r="ULR614" s="3933"/>
      <c r="ULS614" s="621"/>
      <c r="ULT614" s="3933"/>
      <c r="ULU614" s="3933"/>
      <c r="ULV614" s="3933"/>
      <c r="ULW614" s="621"/>
      <c r="ULX614" s="3933"/>
      <c r="ULY614" s="3933"/>
      <c r="ULZ614" s="3933"/>
      <c r="UMA614" s="621"/>
      <c r="UMB614" s="3933"/>
      <c r="UMC614" s="3933"/>
      <c r="UMD614" s="3933"/>
      <c r="UME614" s="621"/>
      <c r="UMF614" s="3933"/>
      <c r="UMG614" s="3933"/>
      <c r="UMH614" s="3933"/>
      <c r="UMI614" s="621"/>
      <c r="UMJ614" s="3933"/>
      <c r="UMK614" s="3933"/>
      <c r="UML614" s="3933"/>
      <c r="UMM614" s="621"/>
      <c r="UMN614" s="3933"/>
      <c r="UMO614" s="3933"/>
      <c r="UMP614" s="3933"/>
      <c r="UMQ614" s="621"/>
      <c r="UMR614" s="3933"/>
      <c r="UMS614" s="3933"/>
      <c r="UMT614" s="3933"/>
      <c r="UMU614" s="621"/>
      <c r="UMV614" s="3933"/>
      <c r="UMW614" s="3933"/>
      <c r="UMX614" s="3933"/>
      <c r="UMY614" s="621"/>
      <c r="UMZ614" s="3933"/>
      <c r="UNA614" s="3933"/>
      <c r="UNB614" s="3933"/>
      <c r="UNC614" s="621"/>
      <c r="UND614" s="3933"/>
      <c r="UNE614" s="3933"/>
      <c r="UNF614" s="3933"/>
      <c r="UNG614" s="621"/>
      <c r="UNH614" s="3933"/>
      <c r="UNI614" s="3933"/>
      <c r="UNJ614" s="3933"/>
      <c r="UNK614" s="621"/>
      <c r="UNL614" s="3933"/>
      <c r="UNM614" s="3933"/>
      <c r="UNN614" s="3933"/>
      <c r="UNO614" s="621"/>
      <c r="UNP614" s="3933"/>
      <c r="UNQ614" s="3933"/>
      <c r="UNR614" s="3933"/>
      <c r="UNS614" s="621"/>
      <c r="UNT614" s="3933"/>
      <c r="UNU614" s="3933"/>
      <c r="UNV614" s="3933"/>
      <c r="UNW614" s="621"/>
      <c r="UNX614" s="3933"/>
      <c r="UNY614" s="3933"/>
      <c r="UNZ614" s="3933"/>
      <c r="UOA614" s="621"/>
      <c r="UOB614" s="3933"/>
      <c r="UOC614" s="3933"/>
      <c r="UOD614" s="3933"/>
      <c r="UOE614" s="621"/>
      <c r="UOF614" s="3933"/>
      <c r="UOG614" s="3933"/>
      <c r="UOH614" s="3933"/>
      <c r="UOI614" s="621"/>
      <c r="UOJ614" s="3933"/>
      <c r="UOK614" s="3933"/>
      <c r="UOL614" s="3933"/>
      <c r="UOM614" s="621"/>
      <c r="UON614" s="3933"/>
      <c r="UOO614" s="3933"/>
      <c r="UOP614" s="3933"/>
      <c r="UOQ614" s="621"/>
      <c r="UOR614" s="3933"/>
      <c r="UOS614" s="3933"/>
      <c r="UOT614" s="3933"/>
      <c r="UOU614" s="621"/>
      <c r="UOV614" s="3933"/>
      <c r="UOW614" s="3933"/>
      <c r="UOX614" s="3933"/>
      <c r="UOY614" s="621"/>
      <c r="UOZ614" s="3933"/>
      <c r="UPA614" s="3933"/>
      <c r="UPB614" s="3933"/>
      <c r="UPC614" s="621"/>
      <c r="UPD614" s="3933"/>
      <c r="UPE614" s="3933"/>
      <c r="UPF614" s="3933"/>
      <c r="UPG614" s="621"/>
      <c r="UPH614" s="3933"/>
      <c r="UPI614" s="3933"/>
      <c r="UPJ614" s="3933"/>
      <c r="UPK614" s="621"/>
      <c r="UPL614" s="3933"/>
      <c r="UPM614" s="3933"/>
      <c r="UPN614" s="3933"/>
      <c r="UPO614" s="621"/>
      <c r="UPP614" s="3933"/>
      <c r="UPQ614" s="3933"/>
      <c r="UPR614" s="3933"/>
      <c r="UPS614" s="621"/>
      <c r="UPT614" s="3933"/>
      <c r="UPU614" s="3933"/>
      <c r="UPV614" s="3933"/>
      <c r="UPW614" s="621"/>
      <c r="UPX614" s="3933"/>
      <c r="UPY614" s="3933"/>
      <c r="UPZ614" s="3933"/>
      <c r="UQA614" s="621"/>
      <c r="UQB614" s="3933"/>
      <c r="UQC614" s="3933"/>
      <c r="UQD614" s="3933"/>
      <c r="UQE614" s="621"/>
      <c r="UQF614" s="3933"/>
      <c r="UQG614" s="3933"/>
      <c r="UQH614" s="3933"/>
      <c r="UQI614" s="621"/>
      <c r="UQJ614" s="3933"/>
      <c r="UQK614" s="3933"/>
      <c r="UQL614" s="3933"/>
      <c r="UQM614" s="621"/>
      <c r="UQN614" s="3933"/>
      <c r="UQO614" s="3933"/>
      <c r="UQP614" s="3933"/>
      <c r="UQQ614" s="621"/>
      <c r="UQR614" s="3933"/>
      <c r="UQS614" s="3933"/>
      <c r="UQT614" s="3933"/>
      <c r="UQU614" s="621"/>
      <c r="UQV614" s="3933"/>
      <c r="UQW614" s="3933"/>
      <c r="UQX614" s="3933"/>
      <c r="UQY614" s="621"/>
      <c r="UQZ614" s="3933"/>
      <c r="URA614" s="3933"/>
      <c r="URB614" s="3933"/>
      <c r="URC614" s="621"/>
      <c r="URD614" s="3933"/>
      <c r="URE614" s="3933"/>
      <c r="URF614" s="3933"/>
      <c r="URG614" s="621"/>
      <c r="URH614" s="3933"/>
      <c r="URI614" s="3933"/>
      <c r="URJ614" s="3933"/>
      <c r="URK614" s="621"/>
      <c r="URL614" s="3933"/>
      <c r="URM614" s="3933"/>
      <c r="URN614" s="3933"/>
      <c r="URO614" s="621"/>
      <c r="URP614" s="3933"/>
      <c r="URQ614" s="3933"/>
      <c r="URR614" s="3933"/>
      <c r="URS614" s="621"/>
      <c r="URT614" s="3933"/>
      <c r="URU614" s="3933"/>
      <c r="URV614" s="3933"/>
      <c r="URW614" s="621"/>
      <c r="URX614" s="3933"/>
      <c r="URY614" s="3933"/>
      <c r="URZ614" s="3933"/>
      <c r="USA614" s="621"/>
      <c r="USB614" s="3933"/>
      <c r="USC614" s="3933"/>
      <c r="USD614" s="3933"/>
      <c r="USE614" s="621"/>
      <c r="USF614" s="3933"/>
      <c r="USG614" s="3933"/>
      <c r="USH614" s="3933"/>
      <c r="USI614" s="621"/>
      <c r="USJ614" s="3933"/>
      <c r="USK614" s="3933"/>
      <c r="USL614" s="3933"/>
      <c r="USM614" s="621"/>
      <c r="USN614" s="3933"/>
      <c r="USO614" s="3933"/>
      <c r="USP614" s="3933"/>
      <c r="USQ614" s="621"/>
      <c r="USR614" s="3933"/>
      <c r="USS614" s="3933"/>
      <c r="UST614" s="3933"/>
      <c r="USU614" s="621"/>
      <c r="USV614" s="3933"/>
      <c r="USW614" s="3933"/>
      <c r="USX614" s="3933"/>
      <c r="USY614" s="621"/>
      <c r="USZ614" s="3933"/>
      <c r="UTA614" s="3933"/>
      <c r="UTB614" s="3933"/>
      <c r="UTC614" s="621"/>
      <c r="UTD614" s="3933"/>
      <c r="UTE614" s="3933"/>
      <c r="UTF614" s="3933"/>
      <c r="UTG614" s="621"/>
      <c r="UTH614" s="3933"/>
      <c r="UTI614" s="3933"/>
      <c r="UTJ614" s="3933"/>
      <c r="UTK614" s="621"/>
      <c r="UTL614" s="3933"/>
      <c r="UTM614" s="3933"/>
      <c r="UTN614" s="3933"/>
      <c r="UTO614" s="621"/>
      <c r="UTP614" s="3933"/>
      <c r="UTQ614" s="3933"/>
      <c r="UTR614" s="3933"/>
      <c r="UTS614" s="621"/>
      <c r="UTT614" s="3933"/>
      <c r="UTU614" s="3933"/>
      <c r="UTV614" s="3933"/>
      <c r="UTW614" s="621"/>
      <c r="UTX614" s="3933"/>
      <c r="UTY614" s="3933"/>
      <c r="UTZ614" s="3933"/>
      <c r="UUA614" s="621"/>
      <c r="UUB614" s="3933"/>
      <c r="UUC614" s="3933"/>
      <c r="UUD614" s="3933"/>
      <c r="UUE614" s="621"/>
      <c r="UUF614" s="3933"/>
      <c r="UUG614" s="3933"/>
      <c r="UUH614" s="3933"/>
      <c r="UUI614" s="621"/>
      <c r="UUJ614" s="3933"/>
      <c r="UUK614" s="3933"/>
      <c r="UUL614" s="3933"/>
      <c r="UUM614" s="621"/>
      <c r="UUN614" s="3933"/>
      <c r="UUO614" s="3933"/>
      <c r="UUP614" s="3933"/>
      <c r="UUQ614" s="621"/>
      <c r="UUR614" s="3933"/>
      <c r="UUS614" s="3933"/>
      <c r="UUT614" s="3933"/>
      <c r="UUU614" s="621"/>
      <c r="UUV614" s="3933"/>
      <c r="UUW614" s="3933"/>
      <c r="UUX614" s="3933"/>
      <c r="UUY614" s="621"/>
      <c r="UUZ614" s="3933"/>
      <c r="UVA614" s="3933"/>
      <c r="UVB614" s="3933"/>
      <c r="UVC614" s="621"/>
      <c r="UVD614" s="3933"/>
      <c r="UVE614" s="3933"/>
      <c r="UVF614" s="3933"/>
      <c r="UVG614" s="621"/>
      <c r="UVH614" s="3933"/>
      <c r="UVI614" s="3933"/>
      <c r="UVJ614" s="3933"/>
      <c r="UVK614" s="621"/>
      <c r="UVL614" s="3933"/>
      <c r="UVM614" s="3933"/>
      <c r="UVN614" s="3933"/>
      <c r="UVO614" s="621"/>
      <c r="UVP614" s="3933"/>
      <c r="UVQ614" s="3933"/>
      <c r="UVR614" s="3933"/>
      <c r="UVS614" s="621"/>
      <c r="UVT614" s="3933"/>
      <c r="UVU614" s="3933"/>
      <c r="UVV614" s="3933"/>
      <c r="UVW614" s="621"/>
      <c r="UVX614" s="3933"/>
      <c r="UVY614" s="3933"/>
      <c r="UVZ614" s="3933"/>
      <c r="UWA614" s="621"/>
      <c r="UWB614" s="3933"/>
      <c r="UWC614" s="3933"/>
      <c r="UWD614" s="3933"/>
      <c r="UWE614" s="621"/>
      <c r="UWF614" s="3933"/>
      <c r="UWG614" s="3933"/>
      <c r="UWH614" s="3933"/>
      <c r="UWI614" s="621"/>
      <c r="UWJ614" s="3933"/>
      <c r="UWK614" s="3933"/>
      <c r="UWL614" s="3933"/>
      <c r="UWM614" s="621"/>
      <c r="UWN614" s="3933"/>
      <c r="UWO614" s="3933"/>
      <c r="UWP614" s="3933"/>
      <c r="UWQ614" s="621"/>
      <c r="UWR614" s="3933"/>
      <c r="UWS614" s="3933"/>
      <c r="UWT614" s="3933"/>
      <c r="UWU614" s="621"/>
      <c r="UWV614" s="3933"/>
      <c r="UWW614" s="3933"/>
      <c r="UWX614" s="3933"/>
      <c r="UWY614" s="621"/>
      <c r="UWZ614" s="3933"/>
      <c r="UXA614" s="3933"/>
      <c r="UXB614" s="3933"/>
      <c r="UXC614" s="621"/>
      <c r="UXD614" s="3933"/>
      <c r="UXE614" s="3933"/>
      <c r="UXF614" s="3933"/>
      <c r="UXG614" s="621"/>
      <c r="UXH614" s="3933"/>
      <c r="UXI614" s="3933"/>
      <c r="UXJ614" s="3933"/>
      <c r="UXK614" s="621"/>
      <c r="UXL614" s="3933"/>
      <c r="UXM614" s="3933"/>
      <c r="UXN614" s="3933"/>
      <c r="UXO614" s="621"/>
      <c r="UXP614" s="3933"/>
      <c r="UXQ614" s="3933"/>
      <c r="UXR614" s="3933"/>
      <c r="UXS614" s="621"/>
      <c r="UXT614" s="3933"/>
      <c r="UXU614" s="3933"/>
      <c r="UXV614" s="3933"/>
      <c r="UXW614" s="621"/>
      <c r="UXX614" s="3933"/>
      <c r="UXY614" s="3933"/>
      <c r="UXZ614" s="3933"/>
      <c r="UYA614" s="621"/>
      <c r="UYB614" s="3933"/>
      <c r="UYC614" s="3933"/>
      <c r="UYD614" s="3933"/>
      <c r="UYE614" s="621"/>
      <c r="UYF614" s="3933"/>
      <c r="UYG614" s="3933"/>
      <c r="UYH614" s="3933"/>
      <c r="UYI614" s="621"/>
      <c r="UYJ614" s="3933"/>
      <c r="UYK614" s="3933"/>
      <c r="UYL614" s="3933"/>
      <c r="UYM614" s="621"/>
      <c r="UYN614" s="3933"/>
      <c r="UYO614" s="3933"/>
      <c r="UYP614" s="3933"/>
      <c r="UYQ614" s="621"/>
      <c r="UYR614" s="3933"/>
      <c r="UYS614" s="3933"/>
      <c r="UYT614" s="3933"/>
      <c r="UYU614" s="621"/>
      <c r="UYV614" s="3933"/>
      <c r="UYW614" s="3933"/>
      <c r="UYX614" s="3933"/>
      <c r="UYY614" s="621"/>
      <c r="UYZ614" s="3933"/>
      <c r="UZA614" s="3933"/>
      <c r="UZB614" s="3933"/>
      <c r="UZC614" s="621"/>
      <c r="UZD614" s="3933"/>
      <c r="UZE614" s="3933"/>
      <c r="UZF614" s="3933"/>
      <c r="UZG614" s="621"/>
      <c r="UZH614" s="3933"/>
      <c r="UZI614" s="3933"/>
      <c r="UZJ614" s="3933"/>
      <c r="UZK614" s="621"/>
      <c r="UZL614" s="3933"/>
      <c r="UZM614" s="3933"/>
      <c r="UZN614" s="3933"/>
      <c r="UZO614" s="621"/>
      <c r="UZP614" s="3933"/>
      <c r="UZQ614" s="3933"/>
      <c r="UZR614" s="3933"/>
      <c r="UZS614" s="621"/>
      <c r="UZT614" s="3933"/>
      <c r="UZU614" s="3933"/>
      <c r="UZV614" s="3933"/>
      <c r="UZW614" s="621"/>
      <c r="UZX614" s="3933"/>
      <c r="UZY614" s="3933"/>
      <c r="UZZ614" s="3933"/>
      <c r="VAA614" s="621"/>
      <c r="VAB614" s="3933"/>
      <c r="VAC614" s="3933"/>
      <c r="VAD614" s="3933"/>
      <c r="VAE614" s="621"/>
      <c r="VAF614" s="3933"/>
      <c r="VAG614" s="3933"/>
      <c r="VAH614" s="3933"/>
      <c r="VAI614" s="621"/>
      <c r="VAJ614" s="3933"/>
      <c r="VAK614" s="3933"/>
      <c r="VAL614" s="3933"/>
      <c r="VAM614" s="621"/>
      <c r="VAN614" s="3933"/>
      <c r="VAO614" s="3933"/>
      <c r="VAP614" s="3933"/>
      <c r="VAQ614" s="621"/>
      <c r="VAR614" s="3933"/>
      <c r="VAS614" s="3933"/>
      <c r="VAT614" s="3933"/>
      <c r="VAU614" s="621"/>
      <c r="VAV614" s="3933"/>
      <c r="VAW614" s="3933"/>
      <c r="VAX614" s="3933"/>
      <c r="VAY614" s="621"/>
      <c r="VAZ614" s="3933"/>
      <c r="VBA614" s="3933"/>
      <c r="VBB614" s="3933"/>
      <c r="VBC614" s="621"/>
      <c r="VBD614" s="3933"/>
      <c r="VBE614" s="3933"/>
      <c r="VBF614" s="3933"/>
      <c r="VBG614" s="621"/>
      <c r="VBH614" s="3933"/>
      <c r="VBI614" s="3933"/>
      <c r="VBJ614" s="3933"/>
      <c r="VBK614" s="621"/>
      <c r="VBL614" s="3933"/>
      <c r="VBM614" s="3933"/>
      <c r="VBN614" s="3933"/>
      <c r="VBO614" s="621"/>
      <c r="VBP614" s="3933"/>
      <c r="VBQ614" s="3933"/>
      <c r="VBR614" s="3933"/>
      <c r="VBS614" s="621"/>
      <c r="VBT614" s="3933"/>
      <c r="VBU614" s="3933"/>
      <c r="VBV614" s="3933"/>
      <c r="VBW614" s="621"/>
      <c r="VBX614" s="3933"/>
      <c r="VBY614" s="3933"/>
      <c r="VBZ614" s="3933"/>
      <c r="VCA614" s="621"/>
      <c r="VCB614" s="3933"/>
      <c r="VCC614" s="3933"/>
      <c r="VCD614" s="3933"/>
      <c r="VCE614" s="621"/>
      <c r="VCF614" s="3933"/>
      <c r="VCG614" s="3933"/>
      <c r="VCH614" s="3933"/>
      <c r="VCI614" s="621"/>
      <c r="VCJ614" s="3933"/>
      <c r="VCK614" s="3933"/>
      <c r="VCL614" s="3933"/>
      <c r="VCM614" s="621"/>
      <c r="VCN614" s="3933"/>
      <c r="VCO614" s="3933"/>
      <c r="VCP614" s="3933"/>
      <c r="VCQ614" s="621"/>
      <c r="VCR614" s="3933"/>
      <c r="VCS614" s="3933"/>
      <c r="VCT614" s="3933"/>
      <c r="VCU614" s="621"/>
      <c r="VCV614" s="3933"/>
      <c r="VCW614" s="3933"/>
      <c r="VCX614" s="3933"/>
      <c r="VCY614" s="621"/>
      <c r="VCZ614" s="3933"/>
      <c r="VDA614" s="3933"/>
      <c r="VDB614" s="3933"/>
      <c r="VDC614" s="621"/>
      <c r="VDD614" s="3933"/>
      <c r="VDE614" s="3933"/>
      <c r="VDF614" s="3933"/>
      <c r="VDG614" s="621"/>
      <c r="VDH614" s="3933"/>
      <c r="VDI614" s="3933"/>
      <c r="VDJ614" s="3933"/>
      <c r="VDK614" s="621"/>
      <c r="VDL614" s="3933"/>
      <c r="VDM614" s="3933"/>
      <c r="VDN614" s="3933"/>
      <c r="VDO614" s="621"/>
      <c r="VDP614" s="3933"/>
      <c r="VDQ614" s="3933"/>
      <c r="VDR614" s="3933"/>
      <c r="VDS614" s="621"/>
      <c r="VDT614" s="3933"/>
      <c r="VDU614" s="3933"/>
      <c r="VDV614" s="3933"/>
      <c r="VDW614" s="621"/>
      <c r="VDX614" s="3933"/>
      <c r="VDY614" s="3933"/>
      <c r="VDZ614" s="3933"/>
      <c r="VEA614" s="621"/>
      <c r="VEB614" s="3933"/>
      <c r="VEC614" s="3933"/>
      <c r="VED614" s="3933"/>
      <c r="VEE614" s="621"/>
      <c r="VEF614" s="3933"/>
      <c r="VEG614" s="3933"/>
      <c r="VEH614" s="3933"/>
      <c r="VEI614" s="621"/>
      <c r="VEJ614" s="3933"/>
      <c r="VEK614" s="3933"/>
      <c r="VEL614" s="3933"/>
      <c r="VEM614" s="621"/>
      <c r="VEN614" s="3933"/>
      <c r="VEO614" s="3933"/>
      <c r="VEP614" s="3933"/>
      <c r="VEQ614" s="621"/>
      <c r="VER614" s="3933"/>
      <c r="VES614" s="3933"/>
      <c r="VET614" s="3933"/>
      <c r="VEU614" s="621"/>
      <c r="VEV614" s="3933"/>
      <c r="VEW614" s="3933"/>
      <c r="VEX614" s="3933"/>
      <c r="VEY614" s="621"/>
      <c r="VEZ614" s="3933"/>
      <c r="VFA614" s="3933"/>
      <c r="VFB614" s="3933"/>
      <c r="VFC614" s="621"/>
      <c r="VFD614" s="3933"/>
      <c r="VFE614" s="3933"/>
      <c r="VFF614" s="3933"/>
      <c r="VFG614" s="621"/>
      <c r="VFH614" s="3933"/>
      <c r="VFI614" s="3933"/>
      <c r="VFJ614" s="3933"/>
      <c r="VFK614" s="621"/>
      <c r="VFL614" s="3933"/>
      <c r="VFM614" s="3933"/>
      <c r="VFN614" s="3933"/>
      <c r="VFO614" s="621"/>
      <c r="VFP614" s="3933"/>
      <c r="VFQ614" s="3933"/>
      <c r="VFR614" s="3933"/>
      <c r="VFS614" s="621"/>
      <c r="VFT614" s="3933"/>
      <c r="VFU614" s="3933"/>
      <c r="VFV614" s="3933"/>
      <c r="VFW614" s="621"/>
      <c r="VFX614" s="3933"/>
      <c r="VFY614" s="3933"/>
      <c r="VFZ614" s="3933"/>
      <c r="VGA614" s="621"/>
      <c r="VGB614" s="3933"/>
      <c r="VGC614" s="3933"/>
      <c r="VGD614" s="3933"/>
      <c r="VGE614" s="621"/>
      <c r="VGF614" s="3933"/>
      <c r="VGG614" s="3933"/>
      <c r="VGH614" s="3933"/>
      <c r="VGI614" s="621"/>
      <c r="VGJ614" s="3933"/>
      <c r="VGK614" s="3933"/>
      <c r="VGL614" s="3933"/>
      <c r="VGM614" s="621"/>
      <c r="VGN614" s="3933"/>
      <c r="VGO614" s="3933"/>
      <c r="VGP614" s="3933"/>
      <c r="VGQ614" s="621"/>
      <c r="VGR614" s="3933"/>
      <c r="VGS614" s="3933"/>
      <c r="VGT614" s="3933"/>
      <c r="VGU614" s="621"/>
      <c r="VGV614" s="3933"/>
      <c r="VGW614" s="3933"/>
      <c r="VGX614" s="3933"/>
      <c r="VGY614" s="621"/>
      <c r="VGZ614" s="3933"/>
      <c r="VHA614" s="3933"/>
      <c r="VHB614" s="3933"/>
      <c r="VHC614" s="621"/>
      <c r="VHD614" s="3933"/>
      <c r="VHE614" s="3933"/>
      <c r="VHF614" s="3933"/>
      <c r="VHG614" s="621"/>
      <c r="VHH614" s="3933"/>
      <c r="VHI614" s="3933"/>
      <c r="VHJ614" s="3933"/>
      <c r="VHK614" s="621"/>
      <c r="VHL614" s="3933"/>
      <c r="VHM614" s="3933"/>
      <c r="VHN614" s="3933"/>
      <c r="VHO614" s="621"/>
      <c r="VHP614" s="3933"/>
      <c r="VHQ614" s="3933"/>
      <c r="VHR614" s="3933"/>
      <c r="VHS614" s="621"/>
      <c r="VHT614" s="3933"/>
      <c r="VHU614" s="3933"/>
      <c r="VHV614" s="3933"/>
      <c r="VHW614" s="621"/>
      <c r="VHX614" s="3933"/>
      <c r="VHY614" s="3933"/>
      <c r="VHZ614" s="3933"/>
      <c r="VIA614" s="621"/>
      <c r="VIB614" s="3933"/>
      <c r="VIC614" s="3933"/>
      <c r="VID614" s="3933"/>
      <c r="VIE614" s="621"/>
      <c r="VIF614" s="3933"/>
      <c r="VIG614" s="3933"/>
      <c r="VIH614" s="3933"/>
      <c r="VII614" s="621"/>
      <c r="VIJ614" s="3933"/>
      <c r="VIK614" s="3933"/>
      <c r="VIL614" s="3933"/>
      <c r="VIM614" s="621"/>
      <c r="VIN614" s="3933"/>
      <c r="VIO614" s="3933"/>
      <c r="VIP614" s="3933"/>
      <c r="VIQ614" s="621"/>
      <c r="VIR614" s="3933"/>
      <c r="VIS614" s="3933"/>
      <c r="VIT614" s="3933"/>
      <c r="VIU614" s="621"/>
      <c r="VIV614" s="3933"/>
      <c r="VIW614" s="3933"/>
      <c r="VIX614" s="3933"/>
      <c r="VIY614" s="621"/>
      <c r="VIZ614" s="3933"/>
      <c r="VJA614" s="3933"/>
      <c r="VJB614" s="3933"/>
      <c r="VJC614" s="621"/>
      <c r="VJD614" s="3933"/>
      <c r="VJE614" s="3933"/>
      <c r="VJF614" s="3933"/>
      <c r="VJG614" s="621"/>
      <c r="VJH614" s="3933"/>
      <c r="VJI614" s="3933"/>
      <c r="VJJ614" s="3933"/>
      <c r="VJK614" s="621"/>
      <c r="VJL614" s="3933"/>
      <c r="VJM614" s="3933"/>
      <c r="VJN614" s="3933"/>
      <c r="VJO614" s="621"/>
      <c r="VJP614" s="3933"/>
      <c r="VJQ614" s="3933"/>
      <c r="VJR614" s="3933"/>
      <c r="VJS614" s="621"/>
      <c r="VJT614" s="3933"/>
      <c r="VJU614" s="3933"/>
      <c r="VJV614" s="3933"/>
      <c r="VJW614" s="621"/>
      <c r="VJX614" s="3933"/>
      <c r="VJY614" s="3933"/>
      <c r="VJZ614" s="3933"/>
      <c r="VKA614" s="621"/>
      <c r="VKB614" s="3933"/>
      <c r="VKC614" s="3933"/>
      <c r="VKD614" s="3933"/>
      <c r="VKE614" s="621"/>
      <c r="VKF614" s="3933"/>
      <c r="VKG614" s="3933"/>
      <c r="VKH614" s="3933"/>
      <c r="VKI614" s="621"/>
      <c r="VKJ614" s="3933"/>
      <c r="VKK614" s="3933"/>
      <c r="VKL614" s="3933"/>
      <c r="VKM614" s="621"/>
      <c r="VKN614" s="3933"/>
      <c r="VKO614" s="3933"/>
      <c r="VKP614" s="3933"/>
      <c r="VKQ614" s="621"/>
      <c r="VKR614" s="3933"/>
      <c r="VKS614" s="3933"/>
      <c r="VKT614" s="3933"/>
      <c r="VKU614" s="621"/>
      <c r="VKV614" s="3933"/>
      <c r="VKW614" s="3933"/>
      <c r="VKX614" s="3933"/>
      <c r="VKY614" s="621"/>
      <c r="VKZ614" s="3933"/>
      <c r="VLA614" s="3933"/>
      <c r="VLB614" s="3933"/>
      <c r="VLC614" s="621"/>
      <c r="VLD614" s="3933"/>
      <c r="VLE614" s="3933"/>
      <c r="VLF614" s="3933"/>
      <c r="VLG614" s="621"/>
      <c r="VLH614" s="3933"/>
      <c r="VLI614" s="3933"/>
      <c r="VLJ614" s="3933"/>
      <c r="VLK614" s="621"/>
      <c r="VLL614" s="3933"/>
      <c r="VLM614" s="3933"/>
      <c r="VLN614" s="3933"/>
      <c r="VLO614" s="621"/>
      <c r="VLP614" s="3933"/>
      <c r="VLQ614" s="3933"/>
      <c r="VLR614" s="3933"/>
      <c r="VLS614" s="621"/>
      <c r="VLT614" s="3933"/>
      <c r="VLU614" s="3933"/>
      <c r="VLV614" s="3933"/>
      <c r="VLW614" s="621"/>
      <c r="VLX614" s="3933"/>
      <c r="VLY614" s="3933"/>
      <c r="VLZ614" s="3933"/>
      <c r="VMA614" s="621"/>
      <c r="VMB614" s="3933"/>
      <c r="VMC614" s="3933"/>
      <c r="VMD614" s="3933"/>
      <c r="VME614" s="621"/>
      <c r="VMF614" s="3933"/>
      <c r="VMG614" s="3933"/>
      <c r="VMH614" s="3933"/>
      <c r="VMI614" s="621"/>
      <c r="VMJ614" s="3933"/>
      <c r="VMK614" s="3933"/>
      <c r="VML614" s="3933"/>
      <c r="VMM614" s="621"/>
      <c r="VMN614" s="3933"/>
      <c r="VMO614" s="3933"/>
      <c r="VMP614" s="3933"/>
      <c r="VMQ614" s="621"/>
      <c r="VMR614" s="3933"/>
      <c r="VMS614" s="3933"/>
      <c r="VMT614" s="3933"/>
      <c r="VMU614" s="621"/>
      <c r="VMV614" s="3933"/>
      <c r="VMW614" s="3933"/>
      <c r="VMX614" s="3933"/>
      <c r="VMY614" s="621"/>
      <c r="VMZ614" s="3933"/>
      <c r="VNA614" s="3933"/>
      <c r="VNB614" s="3933"/>
      <c r="VNC614" s="621"/>
      <c r="VND614" s="3933"/>
      <c r="VNE614" s="3933"/>
      <c r="VNF614" s="3933"/>
      <c r="VNG614" s="621"/>
      <c r="VNH614" s="3933"/>
      <c r="VNI614" s="3933"/>
      <c r="VNJ614" s="3933"/>
      <c r="VNK614" s="621"/>
      <c r="VNL614" s="3933"/>
      <c r="VNM614" s="3933"/>
      <c r="VNN614" s="3933"/>
      <c r="VNO614" s="621"/>
      <c r="VNP614" s="3933"/>
      <c r="VNQ614" s="3933"/>
      <c r="VNR614" s="3933"/>
      <c r="VNS614" s="621"/>
      <c r="VNT614" s="3933"/>
      <c r="VNU614" s="3933"/>
      <c r="VNV614" s="3933"/>
      <c r="VNW614" s="621"/>
      <c r="VNX614" s="3933"/>
      <c r="VNY614" s="3933"/>
      <c r="VNZ614" s="3933"/>
      <c r="VOA614" s="621"/>
      <c r="VOB614" s="3933"/>
      <c r="VOC614" s="3933"/>
      <c r="VOD614" s="3933"/>
      <c r="VOE614" s="621"/>
      <c r="VOF614" s="3933"/>
      <c r="VOG614" s="3933"/>
      <c r="VOH614" s="3933"/>
      <c r="VOI614" s="621"/>
      <c r="VOJ614" s="3933"/>
      <c r="VOK614" s="3933"/>
      <c r="VOL614" s="3933"/>
      <c r="VOM614" s="621"/>
      <c r="VON614" s="3933"/>
      <c r="VOO614" s="3933"/>
      <c r="VOP614" s="3933"/>
      <c r="VOQ614" s="621"/>
      <c r="VOR614" s="3933"/>
      <c r="VOS614" s="3933"/>
      <c r="VOT614" s="3933"/>
      <c r="VOU614" s="621"/>
      <c r="VOV614" s="3933"/>
      <c r="VOW614" s="3933"/>
      <c r="VOX614" s="3933"/>
      <c r="VOY614" s="621"/>
      <c r="VOZ614" s="3933"/>
      <c r="VPA614" s="3933"/>
      <c r="VPB614" s="3933"/>
      <c r="VPC614" s="621"/>
      <c r="VPD614" s="3933"/>
      <c r="VPE614" s="3933"/>
      <c r="VPF614" s="3933"/>
      <c r="VPG614" s="621"/>
      <c r="VPH614" s="3933"/>
      <c r="VPI614" s="3933"/>
      <c r="VPJ614" s="3933"/>
      <c r="VPK614" s="621"/>
      <c r="VPL614" s="3933"/>
      <c r="VPM614" s="3933"/>
      <c r="VPN614" s="3933"/>
      <c r="VPO614" s="621"/>
      <c r="VPP614" s="3933"/>
      <c r="VPQ614" s="3933"/>
      <c r="VPR614" s="3933"/>
      <c r="VPS614" s="621"/>
      <c r="VPT614" s="3933"/>
      <c r="VPU614" s="3933"/>
      <c r="VPV614" s="3933"/>
      <c r="VPW614" s="621"/>
      <c r="VPX614" s="3933"/>
      <c r="VPY614" s="3933"/>
      <c r="VPZ614" s="3933"/>
      <c r="VQA614" s="621"/>
      <c r="VQB614" s="3933"/>
      <c r="VQC614" s="3933"/>
      <c r="VQD614" s="3933"/>
      <c r="VQE614" s="621"/>
      <c r="VQF614" s="3933"/>
      <c r="VQG614" s="3933"/>
      <c r="VQH614" s="3933"/>
      <c r="VQI614" s="621"/>
      <c r="VQJ614" s="3933"/>
      <c r="VQK614" s="3933"/>
      <c r="VQL614" s="3933"/>
      <c r="VQM614" s="621"/>
      <c r="VQN614" s="3933"/>
      <c r="VQO614" s="3933"/>
      <c r="VQP614" s="3933"/>
      <c r="VQQ614" s="621"/>
      <c r="VQR614" s="3933"/>
      <c r="VQS614" s="3933"/>
      <c r="VQT614" s="3933"/>
      <c r="VQU614" s="621"/>
      <c r="VQV614" s="3933"/>
      <c r="VQW614" s="3933"/>
      <c r="VQX614" s="3933"/>
      <c r="VQY614" s="621"/>
      <c r="VQZ614" s="3933"/>
      <c r="VRA614" s="3933"/>
      <c r="VRB614" s="3933"/>
      <c r="VRC614" s="621"/>
      <c r="VRD614" s="3933"/>
      <c r="VRE614" s="3933"/>
      <c r="VRF614" s="3933"/>
      <c r="VRG614" s="621"/>
      <c r="VRH614" s="3933"/>
      <c r="VRI614" s="3933"/>
      <c r="VRJ614" s="3933"/>
      <c r="VRK614" s="621"/>
      <c r="VRL614" s="3933"/>
      <c r="VRM614" s="3933"/>
      <c r="VRN614" s="3933"/>
      <c r="VRO614" s="621"/>
      <c r="VRP614" s="3933"/>
      <c r="VRQ614" s="3933"/>
      <c r="VRR614" s="3933"/>
      <c r="VRS614" s="621"/>
      <c r="VRT614" s="3933"/>
      <c r="VRU614" s="3933"/>
      <c r="VRV614" s="3933"/>
      <c r="VRW614" s="621"/>
      <c r="VRX614" s="3933"/>
      <c r="VRY614" s="3933"/>
      <c r="VRZ614" s="3933"/>
      <c r="VSA614" s="621"/>
      <c r="VSB614" s="3933"/>
      <c r="VSC614" s="3933"/>
      <c r="VSD614" s="3933"/>
      <c r="VSE614" s="621"/>
      <c r="VSF614" s="3933"/>
      <c r="VSG614" s="3933"/>
      <c r="VSH614" s="3933"/>
      <c r="VSI614" s="621"/>
      <c r="VSJ614" s="3933"/>
      <c r="VSK614" s="3933"/>
      <c r="VSL614" s="3933"/>
      <c r="VSM614" s="621"/>
      <c r="VSN614" s="3933"/>
      <c r="VSO614" s="3933"/>
      <c r="VSP614" s="3933"/>
      <c r="VSQ614" s="621"/>
      <c r="VSR614" s="3933"/>
      <c r="VSS614" s="3933"/>
      <c r="VST614" s="3933"/>
      <c r="VSU614" s="621"/>
      <c r="VSV614" s="3933"/>
      <c r="VSW614" s="3933"/>
      <c r="VSX614" s="3933"/>
      <c r="VSY614" s="621"/>
      <c r="VSZ614" s="3933"/>
      <c r="VTA614" s="3933"/>
      <c r="VTB614" s="3933"/>
      <c r="VTC614" s="621"/>
      <c r="VTD614" s="3933"/>
      <c r="VTE614" s="3933"/>
      <c r="VTF614" s="3933"/>
      <c r="VTG614" s="621"/>
      <c r="VTH614" s="3933"/>
      <c r="VTI614" s="3933"/>
      <c r="VTJ614" s="3933"/>
      <c r="VTK614" s="621"/>
      <c r="VTL614" s="3933"/>
      <c r="VTM614" s="3933"/>
      <c r="VTN614" s="3933"/>
      <c r="VTO614" s="621"/>
      <c r="VTP614" s="3933"/>
      <c r="VTQ614" s="3933"/>
      <c r="VTR614" s="3933"/>
      <c r="VTS614" s="621"/>
      <c r="VTT614" s="3933"/>
      <c r="VTU614" s="3933"/>
      <c r="VTV614" s="3933"/>
      <c r="VTW614" s="621"/>
      <c r="VTX614" s="3933"/>
      <c r="VTY614" s="3933"/>
      <c r="VTZ614" s="3933"/>
      <c r="VUA614" s="621"/>
      <c r="VUB614" s="3933"/>
      <c r="VUC614" s="3933"/>
      <c r="VUD614" s="3933"/>
      <c r="VUE614" s="621"/>
      <c r="VUF614" s="3933"/>
      <c r="VUG614" s="3933"/>
      <c r="VUH614" s="3933"/>
      <c r="VUI614" s="621"/>
      <c r="VUJ614" s="3933"/>
      <c r="VUK614" s="3933"/>
      <c r="VUL614" s="3933"/>
      <c r="VUM614" s="621"/>
      <c r="VUN614" s="3933"/>
      <c r="VUO614" s="3933"/>
      <c r="VUP614" s="3933"/>
      <c r="VUQ614" s="621"/>
      <c r="VUR614" s="3933"/>
      <c r="VUS614" s="3933"/>
      <c r="VUT614" s="3933"/>
      <c r="VUU614" s="621"/>
      <c r="VUV614" s="3933"/>
      <c r="VUW614" s="3933"/>
      <c r="VUX614" s="3933"/>
      <c r="VUY614" s="621"/>
      <c r="VUZ614" s="3933"/>
      <c r="VVA614" s="3933"/>
      <c r="VVB614" s="3933"/>
      <c r="VVC614" s="621"/>
      <c r="VVD614" s="3933"/>
      <c r="VVE614" s="3933"/>
      <c r="VVF614" s="3933"/>
      <c r="VVG614" s="621"/>
      <c r="VVH614" s="3933"/>
      <c r="VVI614" s="3933"/>
      <c r="VVJ614" s="3933"/>
      <c r="VVK614" s="621"/>
      <c r="VVL614" s="3933"/>
      <c r="VVM614" s="3933"/>
      <c r="VVN614" s="3933"/>
      <c r="VVO614" s="621"/>
      <c r="VVP614" s="3933"/>
      <c r="VVQ614" s="3933"/>
      <c r="VVR614" s="3933"/>
      <c r="VVS614" s="621"/>
      <c r="VVT614" s="3933"/>
      <c r="VVU614" s="3933"/>
      <c r="VVV614" s="3933"/>
      <c r="VVW614" s="621"/>
      <c r="VVX614" s="3933"/>
      <c r="VVY614" s="3933"/>
      <c r="VVZ614" s="3933"/>
      <c r="VWA614" s="621"/>
      <c r="VWB614" s="3933"/>
      <c r="VWC614" s="3933"/>
      <c r="VWD614" s="3933"/>
      <c r="VWE614" s="621"/>
      <c r="VWF614" s="3933"/>
      <c r="VWG614" s="3933"/>
      <c r="VWH614" s="3933"/>
      <c r="VWI614" s="621"/>
      <c r="VWJ614" s="3933"/>
      <c r="VWK614" s="3933"/>
      <c r="VWL614" s="3933"/>
      <c r="VWM614" s="621"/>
      <c r="VWN614" s="3933"/>
      <c r="VWO614" s="3933"/>
      <c r="VWP614" s="3933"/>
      <c r="VWQ614" s="621"/>
      <c r="VWR614" s="3933"/>
      <c r="VWS614" s="3933"/>
      <c r="VWT614" s="3933"/>
      <c r="VWU614" s="621"/>
      <c r="VWV614" s="3933"/>
      <c r="VWW614" s="3933"/>
      <c r="VWX614" s="3933"/>
      <c r="VWY614" s="621"/>
      <c r="VWZ614" s="3933"/>
      <c r="VXA614" s="3933"/>
      <c r="VXB614" s="3933"/>
      <c r="VXC614" s="621"/>
      <c r="VXD614" s="3933"/>
      <c r="VXE614" s="3933"/>
      <c r="VXF614" s="3933"/>
      <c r="VXG614" s="621"/>
      <c r="VXH614" s="3933"/>
      <c r="VXI614" s="3933"/>
      <c r="VXJ614" s="3933"/>
      <c r="VXK614" s="621"/>
      <c r="VXL614" s="3933"/>
      <c r="VXM614" s="3933"/>
      <c r="VXN614" s="3933"/>
      <c r="VXO614" s="621"/>
      <c r="VXP614" s="3933"/>
      <c r="VXQ614" s="3933"/>
      <c r="VXR614" s="3933"/>
      <c r="VXS614" s="621"/>
      <c r="VXT614" s="3933"/>
      <c r="VXU614" s="3933"/>
      <c r="VXV614" s="3933"/>
      <c r="VXW614" s="621"/>
      <c r="VXX614" s="3933"/>
      <c r="VXY614" s="3933"/>
      <c r="VXZ614" s="3933"/>
      <c r="VYA614" s="621"/>
      <c r="VYB614" s="3933"/>
      <c r="VYC614" s="3933"/>
      <c r="VYD614" s="3933"/>
      <c r="VYE614" s="621"/>
      <c r="VYF614" s="3933"/>
      <c r="VYG614" s="3933"/>
      <c r="VYH614" s="3933"/>
      <c r="VYI614" s="621"/>
      <c r="VYJ614" s="3933"/>
      <c r="VYK614" s="3933"/>
      <c r="VYL614" s="3933"/>
      <c r="VYM614" s="621"/>
      <c r="VYN614" s="3933"/>
      <c r="VYO614" s="3933"/>
      <c r="VYP614" s="3933"/>
      <c r="VYQ614" s="621"/>
      <c r="VYR614" s="3933"/>
      <c r="VYS614" s="3933"/>
      <c r="VYT614" s="3933"/>
      <c r="VYU614" s="621"/>
      <c r="VYV614" s="3933"/>
      <c r="VYW614" s="3933"/>
      <c r="VYX614" s="3933"/>
      <c r="VYY614" s="621"/>
      <c r="VYZ614" s="3933"/>
      <c r="VZA614" s="3933"/>
      <c r="VZB614" s="3933"/>
      <c r="VZC614" s="621"/>
      <c r="VZD614" s="3933"/>
      <c r="VZE614" s="3933"/>
      <c r="VZF614" s="3933"/>
      <c r="VZG614" s="621"/>
      <c r="VZH614" s="3933"/>
      <c r="VZI614" s="3933"/>
      <c r="VZJ614" s="3933"/>
      <c r="VZK614" s="621"/>
      <c r="VZL614" s="3933"/>
      <c r="VZM614" s="3933"/>
      <c r="VZN614" s="3933"/>
      <c r="VZO614" s="621"/>
      <c r="VZP614" s="3933"/>
      <c r="VZQ614" s="3933"/>
      <c r="VZR614" s="3933"/>
      <c r="VZS614" s="621"/>
      <c r="VZT614" s="3933"/>
      <c r="VZU614" s="3933"/>
      <c r="VZV614" s="3933"/>
      <c r="VZW614" s="621"/>
      <c r="VZX614" s="3933"/>
      <c r="VZY614" s="3933"/>
      <c r="VZZ614" s="3933"/>
      <c r="WAA614" s="621"/>
      <c r="WAB614" s="3933"/>
      <c r="WAC614" s="3933"/>
      <c r="WAD614" s="3933"/>
      <c r="WAE614" s="621"/>
      <c r="WAF614" s="3933"/>
      <c r="WAG614" s="3933"/>
      <c r="WAH614" s="3933"/>
      <c r="WAI614" s="621"/>
      <c r="WAJ614" s="3933"/>
      <c r="WAK614" s="3933"/>
      <c r="WAL614" s="3933"/>
      <c r="WAM614" s="621"/>
      <c r="WAN614" s="3933"/>
      <c r="WAO614" s="3933"/>
      <c r="WAP614" s="3933"/>
      <c r="WAQ614" s="621"/>
      <c r="WAR614" s="3933"/>
      <c r="WAS614" s="3933"/>
      <c r="WAT614" s="3933"/>
      <c r="WAU614" s="621"/>
      <c r="WAV614" s="3933"/>
      <c r="WAW614" s="3933"/>
      <c r="WAX614" s="3933"/>
      <c r="WAY614" s="621"/>
      <c r="WAZ614" s="3933"/>
      <c r="WBA614" s="3933"/>
      <c r="WBB614" s="3933"/>
      <c r="WBC614" s="621"/>
      <c r="WBD614" s="3933"/>
      <c r="WBE614" s="3933"/>
      <c r="WBF614" s="3933"/>
      <c r="WBG614" s="621"/>
      <c r="WBH614" s="3933"/>
      <c r="WBI614" s="3933"/>
      <c r="WBJ614" s="3933"/>
      <c r="WBK614" s="621"/>
      <c r="WBL614" s="3933"/>
      <c r="WBM614" s="3933"/>
      <c r="WBN614" s="3933"/>
      <c r="WBO614" s="621"/>
      <c r="WBP614" s="3933"/>
      <c r="WBQ614" s="3933"/>
      <c r="WBR614" s="3933"/>
      <c r="WBS614" s="621"/>
      <c r="WBT614" s="3933"/>
      <c r="WBU614" s="3933"/>
      <c r="WBV614" s="3933"/>
      <c r="WBW614" s="621"/>
      <c r="WBX614" s="3933"/>
      <c r="WBY614" s="3933"/>
      <c r="WBZ614" s="3933"/>
      <c r="WCA614" s="621"/>
      <c r="WCB614" s="3933"/>
      <c r="WCC614" s="3933"/>
      <c r="WCD614" s="3933"/>
      <c r="WCE614" s="621"/>
      <c r="WCF614" s="3933"/>
      <c r="WCG614" s="3933"/>
      <c r="WCH614" s="3933"/>
      <c r="WCI614" s="621"/>
      <c r="WCJ614" s="3933"/>
      <c r="WCK614" s="3933"/>
      <c r="WCL614" s="3933"/>
      <c r="WCM614" s="621"/>
      <c r="WCN614" s="3933"/>
      <c r="WCO614" s="3933"/>
      <c r="WCP614" s="3933"/>
      <c r="WCQ614" s="621"/>
      <c r="WCR614" s="3933"/>
      <c r="WCS614" s="3933"/>
      <c r="WCT614" s="3933"/>
      <c r="WCU614" s="621"/>
      <c r="WCV614" s="3933"/>
      <c r="WCW614" s="3933"/>
      <c r="WCX614" s="3933"/>
      <c r="WCY614" s="621"/>
      <c r="WCZ614" s="3933"/>
      <c r="WDA614" s="3933"/>
      <c r="WDB614" s="3933"/>
      <c r="WDC614" s="621"/>
      <c r="WDD614" s="3933"/>
      <c r="WDE614" s="3933"/>
      <c r="WDF614" s="3933"/>
      <c r="WDG614" s="621"/>
      <c r="WDH614" s="3933"/>
      <c r="WDI614" s="3933"/>
      <c r="WDJ614" s="3933"/>
      <c r="WDK614" s="621"/>
      <c r="WDL614" s="3933"/>
      <c r="WDM614" s="3933"/>
      <c r="WDN614" s="3933"/>
      <c r="WDO614" s="621"/>
      <c r="WDP614" s="3933"/>
      <c r="WDQ614" s="3933"/>
      <c r="WDR614" s="3933"/>
      <c r="WDS614" s="621"/>
      <c r="WDT614" s="3933"/>
      <c r="WDU614" s="3933"/>
      <c r="WDV614" s="3933"/>
      <c r="WDW614" s="621"/>
      <c r="WDX614" s="3933"/>
      <c r="WDY614" s="3933"/>
      <c r="WDZ614" s="3933"/>
      <c r="WEA614" s="621"/>
      <c r="WEB614" s="3933"/>
      <c r="WEC614" s="3933"/>
      <c r="WED614" s="3933"/>
      <c r="WEE614" s="621"/>
      <c r="WEF614" s="3933"/>
      <c r="WEG614" s="3933"/>
      <c r="WEH614" s="3933"/>
      <c r="WEI614" s="621"/>
      <c r="WEJ614" s="3933"/>
      <c r="WEK614" s="3933"/>
      <c r="WEL614" s="3933"/>
      <c r="WEM614" s="621"/>
      <c r="WEN614" s="3933"/>
      <c r="WEO614" s="3933"/>
      <c r="WEP614" s="3933"/>
      <c r="WEQ614" s="621"/>
      <c r="WER614" s="3933"/>
      <c r="WES614" s="3933"/>
      <c r="WET614" s="3933"/>
      <c r="WEU614" s="621"/>
      <c r="WEV614" s="3933"/>
      <c r="WEW614" s="3933"/>
      <c r="WEX614" s="3933"/>
      <c r="WEY614" s="621"/>
      <c r="WEZ614" s="3933"/>
      <c r="WFA614" s="3933"/>
      <c r="WFB614" s="3933"/>
      <c r="WFC614" s="621"/>
      <c r="WFD614" s="3933"/>
      <c r="WFE614" s="3933"/>
      <c r="WFF614" s="3933"/>
      <c r="WFG614" s="621"/>
      <c r="WFH614" s="3933"/>
      <c r="WFI614" s="3933"/>
      <c r="WFJ614" s="3933"/>
      <c r="WFK614" s="621"/>
      <c r="WFL614" s="3933"/>
      <c r="WFM614" s="3933"/>
      <c r="WFN614" s="3933"/>
      <c r="WFO614" s="621"/>
      <c r="WFP614" s="3933"/>
      <c r="WFQ614" s="3933"/>
      <c r="WFR614" s="3933"/>
      <c r="WFS614" s="621"/>
      <c r="WFT614" s="3933"/>
      <c r="WFU614" s="3933"/>
      <c r="WFV614" s="3933"/>
      <c r="WFW614" s="621"/>
      <c r="WFX614" s="3933"/>
      <c r="WFY614" s="3933"/>
      <c r="WFZ614" s="3933"/>
      <c r="WGA614" s="621"/>
      <c r="WGB614" s="3933"/>
      <c r="WGC614" s="3933"/>
      <c r="WGD614" s="3933"/>
      <c r="WGE614" s="621"/>
      <c r="WGF614" s="3933"/>
      <c r="WGG614" s="3933"/>
      <c r="WGH614" s="3933"/>
      <c r="WGI614" s="621"/>
      <c r="WGJ614" s="3933"/>
      <c r="WGK614" s="3933"/>
      <c r="WGL614" s="3933"/>
      <c r="WGM614" s="621"/>
      <c r="WGN614" s="3933"/>
      <c r="WGO614" s="3933"/>
      <c r="WGP614" s="3933"/>
      <c r="WGQ614" s="621"/>
      <c r="WGR614" s="3933"/>
      <c r="WGS614" s="3933"/>
      <c r="WGT614" s="3933"/>
      <c r="WGU614" s="621"/>
      <c r="WGV614" s="3933"/>
      <c r="WGW614" s="3933"/>
      <c r="WGX614" s="3933"/>
      <c r="WGY614" s="621"/>
      <c r="WGZ614" s="3933"/>
      <c r="WHA614" s="3933"/>
      <c r="WHB614" s="3933"/>
      <c r="WHC614" s="621"/>
      <c r="WHD614" s="3933"/>
      <c r="WHE614" s="3933"/>
      <c r="WHF614" s="3933"/>
      <c r="WHG614" s="621"/>
      <c r="WHH614" s="3933"/>
      <c r="WHI614" s="3933"/>
      <c r="WHJ614" s="3933"/>
      <c r="WHK614" s="621"/>
      <c r="WHL614" s="3933"/>
      <c r="WHM614" s="3933"/>
      <c r="WHN614" s="3933"/>
      <c r="WHO614" s="621"/>
      <c r="WHP614" s="3933"/>
      <c r="WHQ614" s="3933"/>
      <c r="WHR614" s="3933"/>
      <c r="WHS614" s="621"/>
      <c r="WHT614" s="3933"/>
      <c r="WHU614" s="3933"/>
      <c r="WHV614" s="3933"/>
      <c r="WHW614" s="621"/>
      <c r="WHX614" s="3933"/>
      <c r="WHY614" s="3933"/>
      <c r="WHZ614" s="3933"/>
      <c r="WIA614" s="621"/>
      <c r="WIB614" s="3933"/>
      <c r="WIC614" s="3933"/>
      <c r="WID614" s="3933"/>
      <c r="WIE614" s="621"/>
      <c r="WIF614" s="3933"/>
      <c r="WIG614" s="3933"/>
      <c r="WIH614" s="3933"/>
      <c r="WII614" s="621"/>
      <c r="WIJ614" s="3933"/>
      <c r="WIK614" s="3933"/>
      <c r="WIL614" s="3933"/>
      <c r="WIM614" s="621"/>
      <c r="WIN614" s="3933"/>
      <c r="WIO614" s="3933"/>
      <c r="WIP614" s="3933"/>
      <c r="WIQ614" s="621"/>
      <c r="WIR614" s="3933"/>
      <c r="WIS614" s="3933"/>
      <c r="WIT614" s="3933"/>
      <c r="WIU614" s="621"/>
      <c r="WIV614" s="3933"/>
      <c r="WIW614" s="3933"/>
      <c r="WIX614" s="3933"/>
      <c r="WIY614" s="621"/>
      <c r="WIZ614" s="3933"/>
      <c r="WJA614" s="3933"/>
      <c r="WJB614" s="3933"/>
      <c r="WJC614" s="621"/>
      <c r="WJD614" s="3933"/>
      <c r="WJE614" s="3933"/>
      <c r="WJF614" s="3933"/>
      <c r="WJG614" s="621"/>
      <c r="WJH614" s="3933"/>
      <c r="WJI614" s="3933"/>
      <c r="WJJ614" s="3933"/>
      <c r="WJK614" s="621"/>
      <c r="WJL614" s="3933"/>
      <c r="WJM614" s="3933"/>
      <c r="WJN614" s="3933"/>
      <c r="WJO614" s="621"/>
      <c r="WJP614" s="3933"/>
      <c r="WJQ614" s="3933"/>
      <c r="WJR614" s="3933"/>
      <c r="WJS614" s="621"/>
      <c r="WJT614" s="3933"/>
      <c r="WJU614" s="3933"/>
      <c r="WJV614" s="3933"/>
      <c r="WJW614" s="621"/>
      <c r="WJX614" s="3933"/>
      <c r="WJY614" s="3933"/>
      <c r="WJZ614" s="3933"/>
      <c r="WKA614" s="621"/>
      <c r="WKB614" s="3933"/>
      <c r="WKC614" s="3933"/>
      <c r="WKD614" s="3933"/>
      <c r="WKE614" s="621"/>
      <c r="WKF614" s="3933"/>
      <c r="WKG614" s="3933"/>
      <c r="WKH614" s="3933"/>
      <c r="WKI614" s="621"/>
      <c r="WKJ614" s="3933"/>
      <c r="WKK614" s="3933"/>
      <c r="WKL614" s="3933"/>
      <c r="WKM614" s="621"/>
      <c r="WKN614" s="3933"/>
      <c r="WKO614" s="3933"/>
      <c r="WKP614" s="3933"/>
      <c r="WKQ614" s="621"/>
      <c r="WKR614" s="3933"/>
      <c r="WKS614" s="3933"/>
      <c r="WKT614" s="3933"/>
      <c r="WKU614" s="621"/>
      <c r="WKV614" s="3933"/>
      <c r="WKW614" s="3933"/>
      <c r="WKX614" s="3933"/>
      <c r="WKY614" s="621"/>
      <c r="WKZ614" s="3933"/>
      <c r="WLA614" s="3933"/>
      <c r="WLB614" s="3933"/>
      <c r="WLC614" s="621"/>
      <c r="WLD614" s="3933"/>
      <c r="WLE614" s="3933"/>
      <c r="WLF614" s="3933"/>
      <c r="WLG614" s="621"/>
      <c r="WLH614" s="3933"/>
      <c r="WLI614" s="3933"/>
      <c r="WLJ614" s="3933"/>
      <c r="WLK614" s="621"/>
      <c r="WLL614" s="3933"/>
      <c r="WLM614" s="3933"/>
      <c r="WLN614" s="3933"/>
      <c r="WLO614" s="621"/>
      <c r="WLP614" s="3933"/>
      <c r="WLQ614" s="3933"/>
      <c r="WLR614" s="3933"/>
      <c r="WLS614" s="621"/>
      <c r="WLT614" s="3933"/>
      <c r="WLU614" s="3933"/>
      <c r="WLV614" s="3933"/>
      <c r="WLW614" s="621"/>
      <c r="WLX614" s="3933"/>
      <c r="WLY614" s="3933"/>
      <c r="WLZ614" s="3933"/>
      <c r="WMA614" s="621"/>
      <c r="WMB614" s="3933"/>
      <c r="WMC614" s="3933"/>
      <c r="WMD614" s="3933"/>
      <c r="WME614" s="621"/>
      <c r="WMF614" s="3933"/>
      <c r="WMG614" s="3933"/>
      <c r="WMH614" s="3933"/>
      <c r="WMI614" s="621"/>
      <c r="WMJ614" s="3933"/>
      <c r="WMK614" s="3933"/>
      <c r="WML614" s="3933"/>
      <c r="WMM614" s="621"/>
      <c r="WMN614" s="3933"/>
      <c r="WMO614" s="3933"/>
      <c r="WMP614" s="3933"/>
      <c r="WMQ614" s="621"/>
      <c r="WMR614" s="3933"/>
      <c r="WMS614" s="3933"/>
      <c r="WMT614" s="3933"/>
      <c r="WMU614" s="621"/>
      <c r="WMV614" s="3933"/>
      <c r="WMW614" s="3933"/>
      <c r="WMX614" s="3933"/>
      <c r="WMY614" s="621"/>
      <c r="WMZ614" s="3933"/>
      <c r="WNA614" s="3933"/>
      <c r="WNB614" s="3933"/>
      <c r="WNC614" s="621"/>
      <c r="WND614" s="3933"/>
      <c r="WNE614" s="3933"/>
      <c r="WNF614" s="3933"/>
      <c r="WNG614" s="621"/>
      <c r="WNH614" s="3933"/>
      <c r="WNI614" s="3933"/>
      <c r="WNJ614" s="3933"/>
      <c r="WNK614" s="621"/>
      <c r="WNL614" s="3933"/>
      <c r="WNM614" s="3933"/>
      <c r="WNN614" s="3933"/>
      <c r="WNO614" s="621"/>
      <c r="WNP614" s="3933"/>
      <c r="WNQ614" s="3933"/>
      <c r="WNR614" s="3933"/>
      <c r="WNS614" s="621"/>
      <c r="WNT614" s="3933"/>
      <c r="WNU614" s="3933"/>
      <c r="WNV614" s="3933"/>
      <c r="WNW614" s="621"/>
      <c r="WNX614" s="3933"/>
      <c r="WNY614" s="3933"/>
      <c r="WNZ614" s="3933"/>
      <c r="WOA614" s="621"/>
      <c r="WOB614" s="3933"/>
      <c r="WOC614" s="3933"/>
      <c r="WOD614" s="3933"/>
      <c r="WOE614" s="621"/>
      <c r="WOF614" s="3933"/>
      <c r="WOG614" s="3933"/>
      <c r="WOH614" s="3933"/>
      <c r="WOI614" s="621"/>
      <c r="WOJ614" s="3933"/>
      <c r="WOK614" s="3933"/>
      <c r="WOL614" s="3933"/>
      <c r="WOM614" s="621"/>
      <c r="WON614" s="3933"/>
      <c r="WOO614" s="3933"/>
      <c r="WOP614" s="3933"/>
      <c r="WOQ614" s="621"/>
      <c r="WOR614" s="3933"/>
      <c r="WOS614" s="3933"/>
      <c r="WOT614" s="3933"/>
      <c r="WOU614" s="621"/>
      <c r="WOV614" s="3933"/>
      <c r="WOW614" s="3933"/>
      <c r="WOX614" s="3933"/>
      <c r="WOY614" s="621"/>
      <c r="WOZ614" s="3933"/>
      <c r="WPA614" s="3933"/>
      <c r="WPB614" s="3933"/>
      <c r="WPC614" s="621"/>
      <c r="WPD614" s="3933"/>
      <c r="WPE614" s="3933"/>
      <c r="WPF614" s="3933"/>
      <c r="WPG614" s="621"/>
      <c r="WPH614" s="3933"/>
      <c r="WPI614" s="3933"/>
      <c r="WPJ614" s="3933"/>
      <c r="WPK614" s="621"/>
      <c r="WPL614" s="3933"/>
      <c r="WPM614" s="3933"/>
      <c r="WPN614" s="3933"/>
      <c r="WPO614" s="621"/>
      <c r="WPP614" s="3933"/>
      <c r="WPQ614" s="3933"/>
      <c r="WPR614" s="3933"/>
      <c r="WPS614" s="621"/>
      <c r="WPT614" s="3933"/>
      <c r="WPU614" s="3933"/>
      <c r="WPV614" s="3933"/>
      <c r="WPW614" s="621"/>
      <c r="WPX614" s="3933"/>
      <c r="WPY614" s="3933"/>
      <c r="WPZ614" s="3933"/>
      <c r="WQA614" s="621"/>
      <c r="WQB614" s="3933"/>
      <c r="WQC614" s="3933"/>
      <c r="WQD614" s="3933"/>
      <c r="WQE614" s="621"/>
      <c r="WQF614" s="3933"/>
      <c r="WQG614" s="3933"/>
      <c r="WQH614" s="3933"/>
      <c r="WQI614" s="621"/>
      <c r="WQJ614" s="3933"/>
      <c r="WQK614" s="3933"/>
      <c r="WQL614" s="3933"/>
      <c r="WQM614" s="621"/>
      <c r="WQN614" s="3933"/>
      <c r="WQO614" s="3933"/>
      <c r="WQP614" s="3933"/>
      <c r="WQQ614" s="621"/>
      <c r="WQR614" s="3933"/>
      <c r="WQS614" s="3933"/>
      <c r="WQT614" s="3933"/>
      <c r="WQU614" s="621"/>
      <c r="WQV614" s="3933"/>
      <c r="WQW614" s="3933"/>
      <c r="WQX614" s="3933"/>
      <c r="WQY614" s="621"/>
      <c r="WQZ614" s="3933"/>
      <c r="WRA614" s="3933"/>
      <c r="WRB614" s="3933"/>
      <c r="WRC614" s="621"/>
      <c r="WRD614" s="3933"/>
      <c r="WRE614" s="3933"/>
      <c r="WRF614" s="3933"/>
      <c r="WRG614" s="621"/>
      <c r="WRH614" s="3933"/>
      <c r="WRI614" s="3933"/>
      <c r="WRJ614" s="3933"/>
      <c r="WRK614" s="621"/>
      <c r="WRL614" s="3933"/>
      <c r="WRM614" s="3933"/>
      <c r="WRN614" s="3933"/>
      <c r="WRO614" s="621"/>
      <c r="WRP614" s="3933"/>
      <c r="WRQ614" s="3933"/>
      <c r="WRR614" s="3933"/>
      <c r="WRS614" s="621"/>
      <c r="WRT614" s="3933"/>
      <c r="WRU614" s="3933"/>
      <c r="WRV614" s="3933"/>
      <c r="WRW614" s="621"/>
      <c r="WRX614" s="3933"/>
      <c r="WRY614" s="3933"/>
      <c r="WRZ614" s="3933"/>
      <c r="WSA614" s="621"/>
      <c r="WSB614" s="3933"/>
      <c r="WSC614" s="3933"/>
      <c r="WSD614" s="3933"/>
      <c r="WSE614" s="621"/>
      <c r="WSF614" s="3933"/>
      <c r="WSG614" s="3933"/>
      <c r="WSH614" s="3933"/>
      <c r="WSI614" s="621"/>
      <c r="WSJ614" s="3933"/>
      <c r="WSK614" s="3933"/>
      <c r="WSL614" s="3933"/>
      <c r="WSM614" s="621"/>
      <c r="WSN614" s="3933"/>
      <c r="WSO614" s="3933"/>
      <c r="WSP614" s="3933"/>
      <c r="WSQ614" s="621"/>
      <c r="WSR614" s="3933"/>
      <c r="WSS614" s="3933"/>
      <c r="WST614" s="3933"/>
      <c r="WSU614" s="621"/>
      <c r="WSV614" s="3933"/>
      <c r="WSW614" s="3933"/>
      <c r="WSX614" s="3933"/>
      <c r="WSY614" s="621"/>
      <c r="WSZ614" s="3933"/>
      <c r="WTA614" s="3933"/>
      <c r="WTB614" s="3933"/>
      <c r="WTC614" s="621"/>
      <c r="WTD614" s="3933"/>
      <c r="WTE614" s="3933"/>
      <c r="WTF614" s="3933"/>
      <c r="WTG614" s="621"/>
      <c r="WTH614" s="3933"/>
      <c r="WTI614" s="3933"/>
      <c r="WTJ614" s="3933"/>
      <c r="WTK614" s="621"/>
      <c r="WTL614" s="3933"/>
      <c r="WTM614" s="3933"/>
      <c r="WTN614" s="3933"/>
      <c r="WTO614" s="621"/>
      <c r="WTP614" s="3933"/>
      <c r="WTQ614" s="3933"/>
      <c r="WTR614" s="3933"/>
      <c r="WTS614" s="621"/>
      <c r="WTT614" s="3933"/>
      <c r="WTU614" s="3933"/>
      <c r="WTV614" s="3933"/>
      <c r="WTW614" s="621"/>
      <c r="WTX614" s="3933"/>
      <c r="WTY614" s="3933"/>
      <c r="WTZ614" s="3933"/>
      <c r="WUA614" s="621"/>
      <c r="WUB614" s="3933"/>
      <c r="WUC614" s="3933"/>
      <c r="WUD614" s="3933"/>
      <c r="WUE614" s="621"/>
      <c r="WUF614" s="3933"/>
      <c r="WUG614" s="3933"/>
      <c r="WUH614" s="3933"/>
      <c r="WUI614" s="621"/>
      <c r="WUJ614" s="3933"/>
      <c r="WUK614" s="3933"/>
      <c r="WUL614" s="3933"/>
      <c r="WUM614" s="621"/>
      <c r="WUN614" s="3933"/>
      <c r="WUO614" s="3933"/>
      <c r="WUP614" s="3933"/>
      <c r="WUQ614" s="621"/>
      <c r="WUR614" s="3933"/>
      <c r="WUS614" s="3933"/>
      <c r="WUT614" s="3933"/>
      <c r="WUU614" s="621"/>
      <c r="WUV614" s="3933"/>
      <c r="WUW614" s="3933"/>
      <c r="WUX614" s="3933"/>
      <c r="WUY614" s="621"/>
      <c r="WUZ614" s="3933"/>
      <c r="WVA614" s="3933"/>
      <c r="WVB614" s="3933"/>
      <c r="WVC614" s="621"/>
      <c r="WVD614" s="3933"/>
      <c r="WVE614" s="3933"/>
      <c r="WVF614" s="3933"/>
      <c r="WVG614" s="621"/>
      <c r="WVH614" s="3933"/>
      <c r="WVI614" s="3933"/>
      <c r="WVJ614" s="3933"/>
      <c r="WVK614" s="621"/>
      <c r="WVL614" s="3933"/>
      <c r="WVM614" s="3933"/>
      <c r="WVN614" s="3933"/>
      <c r="WVO614" s="621"/>
      <c r="WVP614" s="3933"/>
      <c r="WVQ614" s="3933"/>
      <c r="WVR614" s="3933"/>
      <c r="WVS614" s="621"/>
      <c r="WVT614" s="3933"/>
      <c r="WVU614" s="3933"/>
      <c r="WVV614" s="3933"/>
      <c r="WVW614" s="621"/>
      <c r="WVX614" s="3933"/>
      <c r="WVY614" s="3933"/>
      <c r="WVZ614" s="3933"/>
      <c r="WWA614" s="621"/>
      <c r="WWB614" s="3933"/>
      <c r="WWC614" s="3933"/>
      <c r="WWD614" s="3933"/>
      <c r="WWE614" s="621"/>
      <c r="WWF614" s="3933"/>
      <c r="WWG614" s="3933"/>
      <c r="WWH614" s="3933"/>
      <c r="WWI614" s="621"/>
      <c r="WWJ614" s="3933"/>
      <c r="WWK614" s="3933"/>
      <c r="WWL614" s="3933"/>
      <c r="WWM614" s="621"/>
      <c r="WWN614" s="3933"/>
      <c r="WWO614" s="3933"/>
      <c r="WWP614" s="3933"/>
      <c r="WWQ614" s="621"/>
      <c r="WWR614" s="3933"/>
      <c r="WWS614" s="3933"/>
      <c r="WWT614" s="3933"/>
      <c r="WWU614" s="621"/>
      <c r="WWV614" s="3933"/>
      <c r="WWW614" s="3933"/>
      <c r="WWX614" s="3933"/>
      <c r="WWY614" s="621"/>
      <c r="WWZ614" s="3933"/>
      <c r="WXA614" s="3933"/>
      <c r="WXB614" s="3933"/>
      <c r="WXC614" s="621"/>
      <c r="WXD614" s="3933"/>
      <c r="WXE614" s="3933"/>
      <c r="WXF614" s="3933"/>
      <c r="WXG614" s="621"/>
      <c r="WXH614" s="3933"/>
      <c r="WXI614" s="3933"/>
      <c r="WXJ614" s="3933"/>
      <c r="WXK614" s="621"/>
      <c r="WXL614" s="3933"/>
      <c r="WXM614" s="3933"/>
      <c r="WXN614" s="3933"/>
      <c r="WXO614" s="621"/>
      <c r="WXP614" s="3933"/>
      <c r="WXQ614" s="3933"/>
      <c r="WXR614" s="3933"/>
      <c r="WXS614" s="621"/>
      <c r="WXT614" s="3933"/>
      <c r="WXU614" s="3933"/>
      <c r="WXV614" s="3933"/>
      <c r="WXW614" s="621"/>
      <c r="WXX614" s="3933"/>
      <c r="WXY614" s="3933"/>
      <c r="WXZ614" s="3933"/>
      <c r="WYA614" s="621"/>
      <c r="WYB614" s="3933"/>
      <c r="WYC614" s="3933"/>
      <c r="WYD614" s="3933"/>
      <c r="WYE614" s="621"/>
      <c r="WYF614" s="3933"/>
      <c r="WYG614" s="3933"/>
      <c r="WYH614" s="3933"/>
      <c r="WYI614" s="621"/>
      <c r="WYJ614" s="3933"/>
      <c r="WYK614" s="3933"/>
      <c r="WYL614" s="3933"/>
      <c r="WYM614" s="621"/>
      <c r="WYN614" s="3933"/>
      <c r="WYO614" s="3933"/>
      <c r="WYP614" s="3933"/>
      <c r="WYQ614" s="621"/>
      <c r="WYR614" s="3933"/>
      <c r="WYS614" s="3933"/>
      <c r="WYT614" s="3933"/>
      <c r="WYU614" s="621"/>
      <c r="WYV614" s="3933"/>
      <c r="WYW614" s="3933"/>
      <c r="WYX614" s="3933"/>
      <c r="WYY614" s="621"/>
      <c r="WYZ614" s="3933"/>
      <c r="WZA614" s="3933"/>
      <c r="WZB614" s="3933"/>
      <c r="WZC614" s="621"/>
      <c r="WZD614" s="3933"/>
      <c r="WZE614" s="3933"/>
      <c r="WZF614" s="3933"/>
      <c r="WZG614" s="621"/>
      <c r="WZH614" s="3933"/>
      <c r="WZI614" s="3933"/>
      <c r="WZJ614" s="3933"/>
      <c r="WZK614" s="621"/>
      <c r="WZL614" s="3933"/>
      <c r="WZM614" s="3933"/>
      <c r="WZN614" s="3933"/>
      <c r="WZO614" s="621"/>
      <c r="WZP614" s="3933"/>
      <c r="WZQ614" s="3933"/>
      <c r="WZR614" s="3933"/>
      <c r="WZS614" s="621"/>
      <c r="WZT614" s="3933"/>
      <c r="WZU614" s="3933"/>
      <c r="WZV614" s="3933"/>
      <c r="WZW614" s="621"/>
      <c r="WZX614" s="3933"/>
      <c r="WZY614" s="3933"/>
      <c r="WZZ614" s="3933"/>
      <c r="XAA614" s="621"/>
      <c r="XAB614" s="3933"/>
      <c r="XAC614" s="3933"/>
      <c r="XAD614" s="3933"/>
      <c r="XAE614" s="621"/>
      <c r="XAF614" s="3933"/>
      <c r="XAG614" s="3933"/>
      <c r="XAH614" s="3933"/>
      <c r="XAI614" s="621"/>
      <c r="XAJ614" s="3933"/>
      <c r="XAK614" s="3933"/>
      <c r="XAL614" s="3933"/>
      <c r="XAM614" s="621"/>
      <c r="XAN614" s="3933"/>
      <c r="XAO614" s="3933"/>
      <c r="XAP614" s="3933"/>
      <c r="XAQ614" s="621"/>
      <c r="XAR614" s="3933"/>
      <c r="XAS614" s="3933"/>
      <c r="XAT614" s="3933"/>
      <c r="XAU614" s="621"/>
      <c r="XAV614" s="3933"/>
      <c r="XAW614" s="3933"/>
      <c r="XAX614" s="3933"/>
      <c r="XAY614" s="621"/>
      <c r="XAZ614" s="3933"/>
      <c r="XBA614" s="3933"/>
      <c r="XBB614" s="3933"/>
      <c r="XBC614" s="621"/>
      <c r="XBD614" s="3933"/>
      <c r="XBE614" s="3933"/>
      <c r="XBF614" s="3933"/>
      <c r="XBG614" s="621"/>
      <c r="XBH614" s="3933"/>
      <c r="XBI614" s="3933"/>
      <c r="XBJ614" s="3933"/>
      <c r="XBK614" s="621"/>
      <c r="XBL614" s="3933"/>
      <c r="XBM614" s="3933"/>
      <c r="XBN614" s="3933"/>
      <c r="XBO614" s="621"/>
      <c r="XBP614" s="3933"/>
      <c r="XBQ614" s="3933"/>
      <c r="XBR614" s="3933"/>
      <c r="XBS614" s="621"/>
      <c r="XBT614" s="3933"/>
      <c r="XBU614" s="3933"/>
      <c r="XBV614" s="3933"/>
      <c r="XBW614" s="621"/>
      <c r="XBX614" s="3933"/>
      <c r="XBY614" s="3933"/>
      <c r="XBZ614" s="3933"/>
      <c r="XCA614" s="621"/>
      <c r="XCB614" s="3933"/>
      <c r="XCC614" s="3933"/>
      <c r="XCD614" s="3933"/>
      <c r="XCE614" s="621"/>
      <c r="XCF614" s="3933"/>
      <c r="XCG614" s="3933"/>
      <c r="XCH614" s="3933"/>
      <c r="XCI614" s="621"/>
      <c r="XCJ614" s="3933"/>
      <c r="XCK614" s="3933"/>
      <c r="XCL614" s="3933"/>
      <c r="XCM614" s="621"/>
      <c r="XCN614" s="3933"/>
      <c r="XCO614" s="3933"/>
      <c r="XCP614" s="3933"/>
      <c r="XCQ614" s="621"/>
      <c r="XCR614" s="3933"/>
      <c r="XCS614" s="3933"/>
      <c r="XCT614" s="3933"/>
      <c r="XCU614" s="621"/>
      <c r="XCV614" s="3933"/>
      <c r="XCW614" s="3933"/>
      <c r="XCX614" s="3933"/>
      <c r="XCY614" s="621"/>
      <c r="XCZ614" s="3933"/>
      <c r="XDA614" s="3933"/>
      <c r="XDB614" s="3933"/>
      <c r="XDC614" s="621"/>
      <c r="XDD614" s="3933"/>
      <c r="XDE614" s="3933"/>
      <c r="XDF614" s="3933"/>
      <c r="XDG614" s="621"/>
      <c r="XDH614" s="3933"/>
      <c r="XDI614" s="3933"/>
      <c r="XDJ614" s="3933"/>
      <c r="XDK614" s="621"/>
      <c r="XDL614" s="3933"/>
      <c r="XDM614" s="3933"/>
      <c r="XDN614" s="3933"/>
      <c r="XDO614" s="621"/>
      <c r="XDP614" s="3933"/>
      <c r="XDQ614" s="3933"/>
      <c r="XDR614" s="3933"/>
      <c r="XDS614" s="621"/>
      <c r="XDT614" s="3933"/>
      <c r="XDU614" s="3933"/>
      <c r="XDV614" s="3933"/>
      <c r="XDW614" s="621"/>
      <c r="XDX614" s="3933"/>
      <c r="XDY614" s="3933"/>
      <c r="XDZ614" s="3933"/>
      <c r="XEA614" s="621"/>
      <c r="XEB614" s="3933"/>
      <c r="XEC614" s="3933"/>
      <c r="XED614" s="3933"/>
      <c r="XEE614" s="621"/>
      <c r="XEF614" s="3933"/>
      <c r="XEG614" s="3933"/>
      <c r="XEH614" s="3933"/>
      <c r="XEI614" s="621"/>
      <c r="XEJ614" s="3933"/>
      <c r="XEK614" s="3933"/>
      <c r="XEL614" s="3933"/>
      <c r="XEM614" s="621"/>
      <c r="XEN614" s="3933"/>
      <c r="XEO614" s="3933"/>
      <c r="XEP614" s="3933"/>
      <c r="XEQ614" s="621"/>
      <c r="XER614" s="3933"/>
      <c r="XES614" s="3933"/>
      <c r="XET614" s="3933"/>
      <c r="XEU614" s="621"/>
      <c r="XEV614" s="633"/>
      <c r="XEW614" s="633"/>
      <c r="XEX614" s="633"/>
      <c r="XEY614" s="621"/>
      <c r="XEZ614" s="633"/>
      <c r="XFA614" s="633"/>
      <c r="XFB614" s="633"/>
    </row>
    <row r="615" spans="1:16382" customFormat="1" ht="15" customHeight="1">
      <c r="A615" s="663"/>
      <c r="B615" s="667"/>
      <c r="D615" s="621"/>
      <c r="E615" s="622"/>
      <c r="G615" s="617"/>
      <c r="H615" s="620"/>
      <c r="I615" s="620"/>
      <c r="J615" s="620"/>
      <c r="K615" s="620"/>
      <c r="L615" s="620"/>
      <c r="M615" s="620"/>
      <c r="O615" s="620"/>
      <c r="R615" s="614"/>
    </row>
    <row r="616" spans="1:16382" customFormat="1" ht="15" customHeight="1">
      <c r="A616" s="663"/>
      <c r="B616" s="667"/>
      <c r="D616" s="621"/>
      <c r="E616" s="632" t="s">
        <v>2404</v>
      </c>
      <c r="F616" s="622"/>
      <c r="G616" s="622"/>
      <c r="H616" s="622"/>
      <c r="I616" s="622"/>
      <c r="J616" s="622"/>
      <c r="K616" s="621"/>
      <c r="L616" s="622"/>
      <c r="M616" s="622"/>
      <c r="N616" s="620"/>
      <c r="O616" s="620"/>
      <c r="R616" s="614"/>
    </row>
    <row r="617" spans="1:16382" customFormat="1" ht="15" customHeight="1">
      <c r="A617" s="663"/>
      <c r="B617" s="667"/>
      <c r="D617" s="621" t="s">
        <v>2237</v>
      </c>
      <c r="E617" s="622" t="s">
        <v>2408</v>
      </c>
      <c r="G617" s="617"/>
      <c r="H617" s="620"/>
      <c r="I617" s="620"/>
      <c r="J617" s="620"/>
      <c r="K617" s="620"/>
      <c r="L617" s="620"/>
      <c r="M617" s="620"/>
      <c r="O617" s="620"/>
      <c r="R617" s="614"/>
    </row>
    <row r="618" spans="1:16382" customFormat="1" ht="15" customHeight="1">
      <c r="A618" s="663"/>
      <c r="B618" s="667"/>
      <c r="D618" s="621"/>
      <c r="E618" s="622"/>
      <c r="G618" s="617"/>
      <c r="H618" s="620"/>
      <c r="I618" s="620"/>
      <c r="J618" s="620"/>
      <c r="K618" s="620"/>
      <c r="L618" s="620"/>
      <c r="M618" s="620"/>
      <c r="N618" s="620"/>
      <c r="O618" s="620"/>
      <c r="R618" s="614"/>
    </row>
    <row r="619" spans="1:16382" customFormat="1" ht="15" customHeight="1">
      <c r="A619" s="663"/>
      <c r="B619" s="667"/>
      <c r="D619" s="618"/>
      <c r="E619" s="626" t="s">
        <v>2376</v>
      </c>
      <c r="F619" s="626">
        <v>2018</v>
      </c>
      <c r="G619" s="626">
        <v>2020</v>
      </c>
      <c r="H619" s="626">
        <v>2025</v>
      </c>
      <c r="I619" s="626">
        <v>2030</v>
      </c>
      <c r="J619" s="626">
        <v>2035</v>
      </c>
      <c r="K619" s="626">
        <v>2040</v>
      </c>
      <c r="L619" s="626">
        <v>2045</v>
      </c>
      <c r="M619" s="626">
        <v>2050</v>
      </c>
      <c r="N619" s="1059" t="s">
        <v>698</v>
      </c>
      <c r="O619" s="620"/>
      <c r="R619" s="614"/>
    </row>
    <row r="620" spans="1:16382" customFormat="1" ht="15" customHeight="1">
      <c r="A620" s="663"/>
      <c r="B620" s="667"/>
      <c r="D620" s="618"/>
      <c r="E620" s="627" t="str">
        <f t="shared" ref="E620:E628" si="33">E255</f>
        <v>Vehículo de combustión convencional -Gasolina [km/gal]</v>
      </c>
      <c r="F620" s="1050" cm="1">
        <f t="array" ref="F620:M620">INDEX(FACTOR_ACTIVIDAD_CARGA_INTERURBANA_POR_TECNOLOGIA,VEHICULO_COMBUSTION_CONVENCIONAL_GASOLINA,0)/INDEX(SF_RENDIMIENTO_MODO_CARRETERO_INTERURBANO,VEHICULO_COMBUSTION_CONVENCIONAL_GASOLINA,0)</f>
        <v>20909255.321828134</v>
      </c>
      <c r="G620" s="1051">
        <v>17150138.873322889</v>
      </c>
      <c r="H620" s="1050">
        <v>22959679.647000708</v>
      </c>
      <c r="I620" s="1050">
        <v>29264588.945832413</v>
      </c>
      <c r="J620" s="1050">
        <v>36435787.165062331</v>
      </c>
      <c r="K620" s="1050">
        <v>44896873.904163629</v>
      </c>
      <c r="L620" s="1050">
        <v>55233405.528887279</v>
      </c>
      <c r="M620" s="1050">
        <v>67895946.461757734</v>
      </c>
      <c r="N620" s="1051" t="s">
        <v>690</v>
      </c>
      <c r="O620" s="1330"/>
      <c r="R620" s="614"/>
    </row>
    <row r="621" spans="1:16382" customFormat="1" ht="15" customHeight="1">
      <c r="A621" s="663"/>
      <c r="B621" s="667"/>
      <c r="C621" s="3"/>
      <c r="D621" s="618"/>
      <c r="E621" s="625" t="str">
        <f t="shared" si="33"/>
        <v>Vehículo de combustión convencional -Diesel [km/gal]</v>
      </c>
      <c r="F621" s="1048" cm="1">
        <f t="array" ref="F621:M621">INDEX(FACTOR_ACTIVIDAD_CARGA_INTERURBANA_POR_TECNOLOGIA,VEHICULO_COMBUSTION_CONVENCIONAL_DIESEL,0)/INDEX(SF_RENDIMIENTO_MODO_CARRETERO_INTERURBANO,VEHICULO_COMBUSTION_CONVENCIONAL_DIESEL,0)</f>
        <v>43670346.41980847</v>
      </c>
      <c r="G621" s="1049">
        <v>63252157.162845708</v>
      </c>
      <c r="H621" s="1048">
        <v>83415639.650976673</v>
      </c>
      <c r="I621" s="1048">
        <v>101396811.14760423</v>
      </c>
      <c r="J621" s="1048">
        <v>113927700.50881852</v>
      </c>
      <c r="K621" s="1048">
        <v>121389897.15020542</v>
      </c>
      <c r="L621" s="1048">
        <v>135460383.18219182</v>
      </c>
      <c r="M621" s="1048">
        <v>160066145.82960895</v>
      </c>
      <c r="N621" s="1049" t="s">
        <v>690</v>
      </c>
      <c r="O621" s="3"/>
      <c r="R621" s="614"/>
    </row>
    <row r="622" spans="1:16382" customFormat="1" ht="15" customHeight="1">
      <c r="A622" s="663"/>
      <c r="B622" s="667"/>
      <c r="C622" s="3"/>
      <c r="D622" s="618"/>
      <c r="E622" s="625" t="str">
        <f t="shared" si="33"/>
        <v>GN Comprimido [km/lb]</v>
      </c>
      <c r="F622" s="1048" cm="1">
        <f t="array" ref="F622:M622">INDEX(FACTOR_ACTIVIDAD_CARGA_INTERURBANA_POR_TECNOLOGIA,GN_COMPRIMIDO,0)/INDEX(SF_RENDIMIENTO_MODO_CARRETERO_INTERURBANO,GN_COMPRIMIDO,0)</f>
        <v>3093665.0094202976</v>
      </c>
      <c r="G622" s="1049">
        <v>4850171.8780854065</v>
      </c>
      <c r="H622" s="1048">
        <v>6493148.1532753734</v>
      </c>
      <c r="I622" s="1048">
        <v>8276217.8998789908</v>
      </c>
      <c r="J622" s="1048">
        <v>10304279.841067581</v>
      </c>
      <c r="K622" s="1048">
        <v>12697130.7248505</v>
      </c>
      <c r="L622" s="1048">
        <v>15620369.736119302</v>
      </c>
      <c r="M622" s="1048">
        <v>19201419.451888409</v>
      </c>
      <c r="N622" s="1049" t="s">
        <v>2406</v>
      </c>
      <c r="O622" s="3"/>
      <c r="P622" s="3"/>
      <c r="R622" s="614"/>
    </row>
    <row r="623" spans="1:16382" customFormat="1" ht="15" customHeight="1">
      <c r="A623" s="663"/>
      <c r="B623" s="667"/>
      <c r="C623" s="3"/>
      <c r="D623" s="618"/>
      <c r="E623" s="625" t="str">
        <f t="shared" si="33"/>
        <v>GN Licuado [kg/km]</v>
      </c>
      <c r="F623" s="1048" cm="1">
        <f t="array" ref="F623:M623">INDEX(FACTOR_ACTIVIDAD_CARGA_INTERURBANA_POR_TECNOLOGIA,GN_LICUADO,0)*INDEX(SF_RENDIMIENTO_MODO_CARRETERO_INTERURBANO,GN_LICUADO,0)</f>
        <v>0</v>
      </c>
      <c r="G623" s="1049">
        <v>0</v>
      </c>
      <c r="H623" s="1048">
        <v>3135927.1904804697</v>
      </c>
      <c r="I623" s="1048">
        <v>12985249.122170677</v>
      </c>
      <c r="J623" s="1048">
        <v>41848895.039653555</v>
      </c>
      <c r="K623" s="1048">
        <v>91028317.914177328</v>
      </c>
      <c r="L623" s="1048">
        <v>141542372.95974854</v>
      </c>
      <c r="M623" s="1048">
        <v>187495082.279331</v>
      </c>
      <c r="N623" s="1052" t="s">
        <v>2407</v>
      </c>
      <c r="O623" s="3"/>
      <c r="P623" s="3"/>
      <c r="R623" s="614"/>
    </row>
    <row r="624" spans="1:16382" customFormat="1" ht="15" customHeight="1">
      <c r="A624" s="663"/>
      <c r="B624" s="667"/>
      <c r="C624" s="3"/>
      <c r="D624" s="618"/>
      <c r="E624" s="625" t="str">
        <f t="shared" si="33"/>
        <v>GLP</v>
      </c>
      <c r="F624" s="1048" cm="1">
        <f t="array" ref="F624:M624">IFERROR(INDEX(FACTOR_ACTIVIDAD_CARGA_INTERURBANA_POR_TECNOLOGIA,VEHICULO_GLP,0)/INDEX(SF_RENDIMIENTO_MODO_CARRETERO_INTERURBANO,VEHICULO_GLP,0),0)</f>
        <v>0</v>
      </c>
      <c r="G624" s="1049">
        <v>0</v>
      </c>
      <c r="H624" s="1048">
        <v>0</v>
      </c>
      <c r="I624" s="1048">
        <v>0</v>
      </c>
      <c r="J624" s="1048">
        <v>0</v>
      </c>
      <c r="K624" s="1048">
        <v>0</v>
      </c>
      <c r="L624" s="1048">
        <v>0</v>
      </c>
      <c r="M624" s="1048">
        <v>0</v>
      </c>
      <c r="N624" s="1052"/>
      <c r="O624" s="1330"/>
      <c r="P624" s="3"/>
      <c r="R624" s="614"/>
    </row>
    <row r="625" spans="1:20" customFormat="1" ht="15" customHeight="1">
      <c r="A625" s="663"/>
      <c r="B625" s="667"/>
      <c r="C625" s="3"/>
      <c r="E625" s="625" t="str">
        <f t="shared" si="33"/>
        <v>Vehículo Hibrido- Gasolina</v>
      </c>
      <c r="F625" s="1048" cm="1">
        <f t="array" ref="F625:M625">IFERROR(INDEX(FACTOR_ACTIVIDAD_CARGA_INTERURBANA_POR_TECNOLOGIA,VEHICULO_HIBRIDO_GASOLINA,0)/INDEX(SF_RENDIMIENTO_MODO_CARRETERO_INTERURBANO,VEHICULO_HIBRIDO_GASOLINA,0),0)</f>
        <v>0</v>
      </c>
      <c r="G625" s="1049">
        <v>0</v>
      </c>
      <c r="H625" s="1048">
        <v>0</v>
      </c>
      <c r="I625" s="1048">
        <v>0</v>
      </c>
      <c r="J625" s="1048">
        <v>0</v>
      </c>
      <c r="K625" s="1048">
        <v>0</v>
      </c>
      <c r="L625" s="1048">
        <v>0</v>
      </c>
      <c r="M625" s="1048">
        <v>0</v>
      </c>
      <c r="N625" s="1052" t="s">
        <v>690</v>
      </c>
      <c r="O625" s="3"/>
      <c r="P625" s="3"/>
      <c r="R625" s="614"/>
    </row>
    <row r="626" spans="1:20" customFormat="1" ht="15" customHeight="1">
      <c r="A626" s="663"/>
      <c r="B626" s="667"/>
      <c r="C626" s="3"/>
      <c r="D626" s="613"/>
      <c r="E626" s="625" t="str">
        <f t="shared" si="33"/>
        <v>Vehículo hibrido- Diesel</v>
      </c>
      <c r="F626" s="1048" cm="1">
        <f t="array" ref="F626:M626">IFERROR(INDEX(FACTOR_ACTIVIDAD_CARGA_INTERURBANA_POR_TECNOLOGIA,VEHICULO_HIBRIDO_DIESEL,0)/INDEX(SF_RENDIMIENTO_MODO_CARRETERO_INTERURBANO,VEHICULO_HIBRIDO_DIESEL,0),0)</f>
        <v>0</v>
      </c>
      <c r="G626" s="1049">
        <v>0</v>
      </c>
      <c r="H626" s="1048">
        <v>0</v>
      </c>
      <c r="I626" s="1048">
        <v>0</v>
      </c>
      <c r="J626" s="1048">
        <v>0</v>
      </c>
      <c r="K626" s="1048">
        <v>0</v>
      </c>
      <c r="L626" s="1048">
        <v>0</v>
      </c>
      <c r="M626" s="1048">
        <v>0</v>
      </c>
      <c r="N626" s="1052" t="s">
        <v>690</v>
      </c>
      <c r="O626" s="3"/>
      <c r="P626" s="3"/>
      <c r="R626" s="614"/>
    </row>
    <row r="627" spans="1:20" customFormat="1" ht="15" customHeight="1">
      <c r="A627" s="663"/>
      <c r="B627" s="667"/>
      <c r="C627" s="3"/>
      <c r="D627" s="613"/>
      <c r="E627" s="625" t="str">
        <f t="shared" si="33"/>
        <v>Vehículo Eléctrico (Batería)</v>
      </c>
      <c r="F627" s="1048" cm="1">
        <f t="array" ref="F627:M627">INDEX(FACTOR_ACTIVIDAD_CARGA_INTERURBANA_POR_TECNOLOGIA,VEHICULO_ELECTRICO,0)*INDEX(SF_RENDIMIENTO_MODO_CARRETERO_INTERURBANO,VEHICULO_ELECTRICO,0)</f>
        <v>0</v>
      </c>
      <c r="G627" s="1049">
        <v>0</v>
      </c>
      <c r="H627" s="1048">
        <v>0</v>
      </c>
      <c r="I627" s="1048">
        <v>0</v>
      </c>
      <c r="J627" s="1048">
        <v>0</v>
      </c>
      <c r="K627" s="1048">
        <v>0</v>
      </c>
      <c r="L627" s="1048">
        <v>0</v>
      </c>
      <c r="M627" s="1048">
        <v>0</v>
      </c>
      <c r="N627" s="1052" t="s">
        <v>9</v>
      </c>
      <c r="O627" s="3"/>
      <c r="P627" s="3"/>
      <c r="R627" s="614"/>
    </row>
    <row r="628" spans="1:20" customFormat="1" ht="15" customHeight="1">
      <c r="A628" s="663"/>
      <c r="B628" s="667"/>
      <c r="C628" s="3"/>
      <c r="D628" s="613"/>
      <c r="E628" s="1090" t="str">
        <f t="shared" si="33"/>
        <v>Vehículo de Hidrógeno</v>
      </c>
      <c r="F628" s="1555" cm="1">
        <f t="array" ref="F628:M628">INDEX(FACTOR_ACTIVIDAD_CARGA_INTERURBANA_POR_TECNOLOGIA,VEHICULO_HIDROGENO,0)*INDEX(SF_RENDIMIENTO_MODO_CARRETERO_INTERURBANO,VEHICULO_HIDROGENO,0)</f>
        <v>0</v>
      </c>
      <c r="G628" s="1556">
        <v>0</v>
      </c>
      <c r="H628" s="1555">
        <v>0</v>
      </c>
      <c r="I628" s="1555">
        <v>0</v>
      </c>
      <c r="J628" s="1555">
        <v>0</v>
      </c>
      <c r="K628" s="1555">
        <v>0</v>
      </c>
      <c r="L628" s="1555">
        <v>0</v>
      </c>
      <c r="M628" s="1555">
        <v>0</v>
      </c>
      <c r="N628" s="1053"/>
      <c r="O628" s="3"/>
      <c r="P628" s="3"/>
      <c r="R628" s="614"/>
    </row>
    <row r="629" spans="1:20" customFormat="1" ht="15" customHeight="1">
      <c r="A629" s="663"/>
      <c r="B629" s="667"/>
      <c r="C629" s="3"/>
      <c r="D629" s="613"/>
      <c r="E629" s="625"/>
      <c r="G629" s="186"/>
      <c r="M629" s="617"/>
      <c r="O629" s="3"/>
      <c r="P629" s="3"/>
      <c r="R629" s="614"/>
    </row>
    <row r="630" spans="1:20" customFormat="1" ht="15" customHeight="1">
      <c r="A630" s="663"/>
      <c r="B630" s="667"/>
      <c r="C630" s="3"/>
      <c r="D630" s="1275">
        <v>3</v>
      </c>
      <c r="E630" s="3934" t="s">
        <v>2409</v>
      </c>
      <c r="F630" s="3934"/>
      <c r="G630" s="3934"/>
      <c r="H630" s="1276"/>
      <c r="I630" s="1276"/>
      <c r="J630" s="1276"/>
      <c r="K630" s="1276"/>
      <c r="L630" s="1276"/>
      <c r="M630" s="1277" t="s">
        <v>9</v>
      </c>
      <c r="N630" s="620"/>
      <c r="O630" s="3"/>
      <c r="P630" s="3"/>
      <c r="R630" s="614"/>
    </row>
    <row r="631" spans="1:20" customFormat="1" ht="15" customHeight="1">
      <c r="A631" s="663"/>
      <c r="B631" s="667"/>
      <c r="C631" s="3"/>
      <c r="D631" s="1278"/>
      <c r="E631" s="1279" t="s">
        <v>2375</v>
      </c>
      <c r="F631" s="1279">
        <v>2018</v>
      </c>
      <c r="G631" s="1279">
        <v>2020</v>
      </c>
      <c r="H631" s="1279">
        <v>2025</v>
      </c>
      <c r="I631" s="1279">
        <v>2030</v>
      </c>
      <c r="J631" s="1279">
        <v>2035</v>
      </c>
      <c r="K631" s="1279">
        <v>2040</v>
      </c>
      <c r="L631" s="1279">
        <v>2045</v>
      </c>
      <c r="M631" s="1279">
        <v>2050</v>
      </c>
      <c r="O631" s="3"/>
      <c r="P631" s="3"/>
      <c r="R631" s="614"/>
    </row>
    <row r="632" spans="1:20" customFormat="1" ht="15" customHeight="1">
      <c r="A632" s="663"/>
      <c r="B632" s="667"/>
      <c r="C632" s="3"/>
      <c r="D632" s="1278"/>
      <c r="E632" s="1280" t="s">
        <v>2380</v>
      </c>
      <c r="F632" s="1281" cm="1">
        <f t="array" ref="F632:M632">INDEX(ST_TRANSPORTE_URBANO_USO_ENERGIA_TRANSPORTE_FERREO,TREN_COMBUSTION_CONVENCIONAL_DIESEL,0)*INDEX(ST_TRANSPORTE_INTERURBANO_DISTRIBUCION_TECNOLOGIA_FERREO,TREN_COMBUSTION_CONVENCIONAL_DIESEL,0)</f>
        <v>1</v>
      </c>
      <c r="G632" s="1282">
        <v>1</v>
      </c>
      <c r="H632" s="1281">
        <v>1</v>
      </c>
      <c r="I632" s="1281">
        <v>1</v>
      </c>
      <c r="J632" s="1281">
        <v>0.95</v>
      </c>
      <c r="K632" s="1281">
        <v>0.9</v>
      </c>
      <c r="L632" s="1281">
        <v>0.85</v>
      </c>
      <c r="M632" s="1281">
        <v>0.8</v>
      </c>
      <c r="O632" s="3"/>
      <c r="P632" s="3"/>
      <c r="R632" s="614"/>
    </row>
    <row r="633" spans="1:20" customFormat="1" ht="15" customHeight="1">
      <c r="A633" s="663"/>
      <c r="B633" s="667"/>
      <c r="C633" s="3"/>
      <c r="D633" s="1278"/>
      <c r="E633" s="1283" t="s">
        <v>2381</v>
      </c>
      <c r="F633" s="1284" cm="1">
        <f t="array" ref="F633:M633">INDEX(ST_TRANSPORTE_URBANO_USO_ENERGIA_TRANSPORTE_FERREO,0)*INDEX(ST_TRANSPORTE_INTERURBANO_DISTRIBUCION_TECNOLOGIA_FERREO,TREN_ELECTRICO,0)</f>
        <v>0.01</v>
      </c>
      <c r="G633" s="1285">
        <v>0.01</v>
      </c>
      <c r="H633" s="1284">
        <v>0.01</v>
      </c>
      <c r="I633" s="1284">
        <v>0.01</v>
      </c>
      <c r="J633" s="1284">
        <v>0.05</v>
      </c>
      <c r="K633" s="1284">
        <v>0.1</v>
      </c>
      <c r="L633" s="1284">
        <v>0.15</v>
      </c>
      <c r="M633" s="1284">
        <v>0.2</v>
      </c>
      <c r="O633" s="3"/>
      <c r="P633" s="3"/>
      <c r="R633" s="614"/>
    </row>
    <row r="634" spans="1:20" customFormat="1" ht="15" customHeight="1">
      <c r="A634" s="663"/>
      <c r="B634" s="667"/>
      <c r="C634" s="3"/>
      <c r="D634" s="1054"/>
      <c r="E634" s="1055"/>
      <c r="F634" s="887"/>
      <c r="G634" s="1099"/>
      <c r="H634" s="1095"/>
      <c r="I634" s="1095"/>
      <c r="J634" s="1095"/>
      <c r="K634" s="1095"/>
      <c r="L634" s="1095"/>
      <c r="M634" s="1095"/>
      <c r="N634" s="620"/>
      <c r="O634" s="3"/>
      <c r="P634" s="3"/>
      <c r="R634" s="614"/>
    </row>
    <row r="635" spans="1:20" ht="15" customHeight="1">
      <c r="D635" s="1275">
        <v>4</v>
      </c>
      <c r="E635" s="3934" t="s">
        <v>2410</v>
      </c>
      <c r="F635" s="3934"/>
      <c r="G635" s="3934"/>
      <c r="H635" s="1276"/>
      <c r="I635" s="1276"/>
      <c r="J635" s="1276"/>
      <c r="K635" s="1276"/>
      <c r="L635" s="1276"/>
      <c r="M635" s="1276"/>
      <c r="N635" s="620"/>
    </row>
    <row r="636" spans="1:20" ht="15" customHeight="1">
      <c r="D636" s="1275"/>
      <c r="E636" s="1286"/>
      <c r="F636" s="1287"/>
      <c r="G636" s="1288"/>
      <c r="H636" s="1276"/>
      <c r="I636" s="1276"/>
      <c r="J636" s="1276"/>
      <c r="K636" s="1276"/>
      <c r="L636" s="1276"/>
      <c r="M636" s="1277" t="s">
        <v>9</v>
      </c>
      <c r="N636" s="620"/>
      <c r="T636" s="1210"/>
    </row>
    <row r="637" spans="1:20" ht="15" customHeight="1">
      <c r="D637" s="1278"/>
      <c r="E637" s="1279" t="s">
        <v>2377</v>
      </c>
      <c r="F637" s="1279">
        <v>2018</v>
      </c>
      <c r="G637" s="1279">
        <v>2020</v>
      </c>
      <c r="H637" s="1279">
        <v>2025</v>
      </c>
      <c r="I637" s="1279">
        <v>2030</v>
      </c>
      <c r="J637" s="1279">
        <v>2035</v>
      </c>
      <c r="K637" s="1279">
        <v>2040</v>
      </c>
      <c r="L637" s="1279">
        <v>2045</v>
      </c>
      <c r="M637" s="1279">
        <v>2050</v>
      </c>
      <c r="N637"/>
    </row>
    <row r="638" spans="1:20" ht="15" customHeight="1">
      <c r="D638" s="1278"/>
      <c r="E638" s="1289" t="s">
        <v>910</v>
      </c>
      <c r="F638" s="1290" cm="1">
        <f t="array" ref="F638:M638">INDEX(ST_TRANSPORTE_INTERURBANO_USO_ENERGIA_FLUVIAL,0)</f>
        <v>0</v>
      </c>
      <c r="G638" s="1291">
        <v>0</v>
      </c>
      <c r="H638" s="1290">
        <v>0</v>
      </c>
      <c r="I638" s="1290">
        <v>0</v>
      </c>
      <c r="J638" s="1290">
        <v>0</v>
      </c>
      <c r="K638" s="1290">
        <v>0</v>
      </c>
      <c r="L638" s="1290">
        <v>0</v>
      </c>
      <c r="M638" s="1290">
        <v>0</v>
      </c>
      <c r="N638"/>
    </row>
    <row r="639" spans="1:20" ht="15" customHeight="1">
      <c r="D639" s="1096"/>
      <c r="E639" s="1097"/>
      <c r="F639" s="887"/>
      <c r="G639" s="1098"/>
      <c r="H639" s="887"/>
      <c r="I639" s="887"/>
      <c r="J639" s="887"/>
      <c r="K639" s="887"/>
      <c r="L639" s="887"/>
      <c r="M639" s="887"/>
      <c r="N639"/>
      <c r="O639" s="552"/>
    </row>
    <row r="640" spans="1:20" ht="15" customHeight="1">
      <c r="D640" s="1275">
        <v>5</v>
      </c>
      <c r="E640" s="3934" t="s">
        <v>2411</v>
      </c>
      <c r="F640" s="3934"/>
      <c r="G640" s="3934"/>
      <c r="H640" s="1276"/>
      <c r="I640" s="1276"/>
      <c r="J640" s="1276"/>
      <c r="K640" s="1276"/>
      <c r="L640" s="1276"/>
      <c r="M640" s="1276"/>
      <c r="N640" s="620"/>
      <c r="O640" s="552"/>
    </row>
    <row r="641" spans="4:23" ht="15" customHeight="1">
      <c r="D641" s="1275"/>
      <c r="E641" s="1286"/>
      <c r="F641" s="1286"/>
      <c r="G641" s="1286"/>
      <c r="H641" s="1276"/>
      <c r="I641" s="1276"/>
      <c r="J641" s="1276"/>
      <c r="K641" s="1276"/>
      <c r="L641" s="1276"/>
      <c r="M641" s="1277" t="s">
        <v>9</v>
      </c>
      <c r="N641" s="620"/>
      <c r="O641" s="552"/>
    </row>
    <row r="642" spans="4:23" ht="15" customHeight="1">
      <c r="D642" s="1278"/>
      <c r="E642" s="1279" t="s">
        <v>2412</v>
      </c>
      <c r="F642" s="1279">
        <v>2018</v>
      </c>
      <c r="G642" s="1279">
        <v>2020</v>
      </c>
      <c r="H642" s="1279">
        <v>2025</v>
      </c>
      <c r="I642" s="1279">
        <v>2030</v>
      </c>
      <c r="J642" s="1279">
        <v>2035</v>
      </c>
      <c r="K642" s="1279">
        <v>2040</v>
      </c>
      <c r="L642" s="1279">
        <v>2045</v>
      </c>
      <c r="M642" s="1279">
        <v>2050</v>
      </c>
      <c r="N642"/>
      <c r="O642" s="552"/>
    </row>
    <row r="643" spans="4:23" ht="15" customHeight="1">
      <c r="D643" s="1278"/>
      <c r="E643" s="1289" t="s">
        <v>2413</v>
      </c>
      <c r="F643" s="1290" cm="1">
        <f t="array" ref="F643:M643">INDEX(ST_TRANSPORTE_INTERURBANO_USO_ENERGIA_AEREO,0)</f>
        <v>0</v>
      </c>
      <c r="G643" s="1291">
        <v>0</v>
      </c>
      <c r="H643" s="1290">
        <v>0</v>
      </c>
      <c r="I643" s="1290">
        <v>0</v>
      </c>
      <c r="J643" s="1290">
        <v>0</v>
      </c>
      <c r="K643" s="1290">
        <v>0</v>
      </c>
      <c r="L643" s="1290">
        <v>0</v>
      </c>
      <c r="M643" s="1290">
        <v>0</v>
      </c>
      <c r="N643"/>
      <c r="O643" s="552"/>
    </row>
    <row r="644" spans="4:23" ht="15" customHeight="1">
      <c r="D644" s="1100"/>
      <c r="E644" s="1100"/>
      <c r="F644" s="1100"/>
      <c r="G644" s="1054"/>
      <c r="H644" s="1100"/>
      <c r="I644" s="1100"/>
      <c r="J644" s="1100"/>
      <c r="K644" s="1054"/>
      <c r="L644" s="1100"/>
      <c r="M644" s="1100"/>
      <c r="N644" s="633"/>
      <c r="O644" s="552"/>
    </row>
    <row r="645" spans="4:23" ht="15" customHeight="1">
      <c r="D645" s="1275">
        <v>6</v>
      </c>
      <c r="E645" s="1292" t="s">
        <v>2414</v>
      </c>
      <c r="F645" s="1293"/>
      <c r="G645" s="1275"/>
      <c r="H645" s="1293"/>
      <c r="I645" s="1293"/>
      <c r="J645" s="1293"/>
      <c r="K645" s="1275"/>
      <c r="L645" s="1293"/>
      <c r="M645" s="1293"/>
      <c r="N645" s="633"/>
      <c r="O645" s="552"/>
    </row>
    <row r="646" spans="4:23" ht="15" customHeight="1">
      <c r="D646" s="1293"/>
      <c r="E646" s="1293"/>
      <c r="F646" s="1293"/>
      <c r="G646" s="1275"/>
      <c r="H646" s="1293"/>
      <c r="I646" s="1293"/>
      <c r="J646" s="1293"/>
      <c r="K646" s="1275"/>
      <c r="L646" s="1293"/>
      <c r="M646" s="1277" t="s">
        <v>9</v>
      </c>
      <c r="N646" s="1331"/>
      <c r="O646" s="552"/>
      <c r="P646" s="1048"/>
    </row>
    <row r="647" spans="4:23" ht="15" customHeight="1">
      <c r="D647" s="1278"/>
      <c r="E647" s="1279" t="s">
        <v>2376</v>
      </c>
      <c r="F647" s="1279">
        <v>2018</v>
      </c>
      <c r="G647" s="1279">
        <v>2020</v>
      </c>
      <c r="H647" s="1279">
        <v>2025</v>
      </c>
      <c r="I647" s="1279">
        <v>2030</v>
      </c>
      <c r="J647" s="1279">
        <v>2035</v>
      </c>
      <c r="K647" s="1279">
        <v>2040</v>
      </c>
      <c r="L647" s="1279">
        <v>2045</v>
      </c>
      <c r="M647" s="1279">
        <v>2050</v>
      </c>
      <c r="N647"/>
      <c r="O647" s="552"/>
      <c r="P647" s="1501"/>
      <c r="Q647" s="1501"/>
      <c r="R647" s="1501"/>
      <c r="S647" s="1501"/>
      <c r="T647" s="1501"/>
      <c r="U647" s="1501"/>
      <c r="V647" s="1501"/>
      <c r="W647" s="1501"/>
    </row>
    <row r="648" spans="4:23" ht="15" customHeight="1">
      <c r="D648" s="1096"/>
      <c r="E648" s="627" t="s">
        <v>494</v>
      </c>
      <c r="F648" s="2033" cm="1">
        <f t="array" ref="F648:M648">(_xlfn.ANCHORARRAY(F606)+_xlfn.ANCHORARRAY(F620)+_xlfn.ANCHORARRAY(F611)+_xlfn.ANCHORARRAY(F625))*UNIDAD_GAL_TWH_GASOLINA</f>
        <v>1.2916444349833778</v>
      </c>
      <c r="G648" s="2034">
        <v>1.3402367325351232</v>
      </c>
      <c r="H648" s="2033">
        <v>1.7121075218596022</v>
      </c>
      <c r="I648" s="2033">
        <v>1.822896273539631</v>
      </c>
      <c r="J648" s="2033">
        <v>2.0965695905810011</v>
      </c>
      <c r="K648" s="2033">
        <v>2.4838586723018006</v>
      </c>
      <c r="L648" s="2033">
        <v>2.9052851936026904</v>
      </c>
      <c r="M648" s="2033">
        <v>3.4677186441834653</v>
      </c>
      <c r="N648" s="1332"/>
      <c r="O648" s="552"/>
      <c r="P648" s="1501"/>
    </row>
    <row r="649" spans="4:23" ht="15" customHeight="1">
      <c r="D649" s="1096"/>
      <c r="E649" s="625" t="s">
        <v>495</v>
      </c>
      <c r="F649" s="2035" cm="1">
        <f t="array" ref="F649:M649">(_xlfn.ANCHORARRAY(F607)+_xlfn.ANCHORARRAY(F621)+_xlfn.ANCHORARRAY(F612)+_xlfn.ANCHORARRAY(F626))*UNIDAD_GAL_TWH_DIESEL</f>
        <v>2.1421068749295871</v>
      </c>
      <c r="G649" s="2036">
        <v>3.0776200965202842</v>
      </c>
      <c r="H649" s="2035">
        <v>4.0632659798199935</v>
      </c>
      <c r="I649" s="2035">
        <v>4.9572177315117498</v>
      </c>
      <c r="J649" s="2035">
        <v>5.6172216896626068</v>
      </c>
      <c r="K649" s="2035">
        <v>6.0661115565780088</v>
      </c>
      <c r="L649" s="2035">
        <v>6.7539774996113922</v>
      </c>
      <c r="M649" s="2035">
        <v>7.9499916444325986</v>
      </c>
      <c r="N649" s="1332"/>
      <c r="O649" s="552"/>
      <c r="P649" s="1501"/>
    </row>
    <row r="650" spans="4:23" ht="15" customHeight="1">
      <c r="D650" s="1096"/>
      <c r="E650" s="625" t="s">
        <v>496</v>
      </c>
      <c r="F650" s="2035" cm="1">
        <f t="array" ref="F650:M650">(_xlfn.ANCHORARRAY(F608)+_xlfn.ANCHORARRAY(F622))*UNIDAD_TRANSP_LB_A_TJ*UNIDAD_TJ_A_TWH</f>
        <v>1.8278911920769077E-2</v>
      </c>
      <c r="G650" s="2036">
        <v>2.8819575592122393E-2</v>
      </c>
      <c r="H650" s="2035">
        <v>3.8582091261483001E-2</v>
      </c>
      <c r="I650" s="2035">
        <v>4.9177038129335958E-2</v>
      </c>
      <c r="J650" s="2035">
        <v>6.1227721257428154E-2</v>
      </c>
      <c r="K650" s="2035">
        <v>7.5445969323531911E-2</v>
      </c>
      <c r="L650" s="2035">
        <v>9.275634017577794E-2</v>
      </c>
      <c r="M650" s="2035">
        <v>0.11397725683167556</v>
      </c>
      <c r="N650" s="1332"/>
      <c r="O650" s="552"/>
      <c r="P650" s="1501"/>
    </row>
    <row r="651" spans="4:23" ht="15" customHeight="1">
      <c r="D651" s="1096"/>
      <c r="E651" s="625" t="s">
        <v>497</v>
      </c>
      <c r="F651" s="2035" cm="1">
        <f t="array" ref="F651:M651">(_xlfn.ANCHORARRAY(F609)+_xlfn.ANCHORARRAY(F623))*UNIDAD_TRANSP_KG_A_TJ*UNIDAD_TJ_A_TWH</f>
        <v>0</v>
      </c>
      <c r="G651" s="2036">
        <v>0</v>
      </c>
      <c r="H651" s="2035">
        <v>4.8089267059046328E-2</v>
      </c>
      <c r="I651" s="2035">
        <v>0.19912806482239714</v>
      </c>
      <c r="J651" s="2035">
        <v>0.64175045128504959</v>
      </c>
      <c r="K651" s="2035">
        <v>1.3959141345497725</v>
      </c>
      <c r="L651" s="2035">
        <v>2.1705443270797384</v>
      </c>
      <c r="M651" s="2035">
        <v>2.8752265394934611</v>
      </c>
      <c r="N651" s="1332"/>
      <c r="O651" s="552"/>
      <c r="P651" s="1501"/>
    </row>
    <row r="652" spans="4:23" ht="15" customHeight="1">
      <c r="D652" s="1096"/>
      <c r="E652" s="625" t="s">
        <v>498</v>
      </c>
      <c r="F652" s="2035" cm="1">
        <f t="array" ref="F652:M652">_xlfn.ANCHORARRAY(F610)+_xlfn.ANCHORARRAY(F624)</f>
        <v>0</v>
      </c>
      <c r="G652" s="2036">
        <v>0</v>
      </c>
      <c r="H652" s="2035">
        <v>0</v>
      </c>
      <c r="I652" s="2035">
        <v>0</v>
      </c>
      <c r="J652" s="2035">
        <v>0</v>
      </c>
      <c r="K652" s="2035">
        <v>0</v>
      </c>
      <c r="L652" s="2035">
        <v>0</v>
      </c>
      <c r="M652" s="2035">
        <v>0</v>
      </c>
      <c r="N652" s="1332"/>
      <c r="P652" s="1501"/>
    </row>
    <row r="653" spans="4:23" ht="15" customHeight="1">
      <c r="D653" s="1096"/>
      <c r="E653" s="625" t="s">
        <v>294</v>
      </c>
      <c r="F653" s="2035" cm="1">
        <f t="array" ref="F653:M653">_xlfn.ANCHORARRAY(F613)+_xlfn.ANCHORARRAY(F627)</f>
        <v>0</v>
      </c>
      <c r="G653" s="2036">
        <v>0</v>
      </c>
      <c r="H653" s="2035">
        <v>0</v>
      </c>
      <c r="I653" s="2035">
        <v>0</v>
      </c>
      <c r="J653" s="2035">
        <v>0</v>
      </c>
      <c r="K653" s="2035">
        <v>0</v>
      </c>
      <c r="L653" s="2035">
        <v>0</v>
      </c>
      <c r="M653" s="2035">
        <v>0</v>
      </c>
      <c r="N653" s="1332"/>
    </row>
    <row r="654" spans="4:23" ht="15" customHeight="1">
      <c r="D654" s="1096"/>
      <c r="E654" s="1090" t="s">
        <v>501</v>
      </c>
      <c r="F654" s="2037" cm="1">
        <f t="array" ref="F654:M654">_xlfn.ANCHORARRAY(F614)+_xlfn.ANCHORARRAY(F628)</f>
        <v>0</v>
      </c>
      <c r="G654" s="2038">
        <v>0</v>
      </c>
      <c r="H654" s="2037">
        <v>0</v>
      </c>
      <c r="I654" s="2037">
        <v>0</v>
      </c>
      <c r="J654" s="2037">
        <v>0</v>
      </c>
      <c r="K654" s="2037">
        <v>0</v>
      </c>
      <c r="L654" s="2037">
        <v>0</v>
      </c>
      <c r="M654" s="2037">
        <v>0</v>
      </c>
      <c r="N654" s="1332"/>
    </row>
    <row r="655" spans="4:23" ht="15" customHeight="1">
      <c r="D655" s="1096"/>
      <c r="E655" s="625"/>
      <c r="F655" s="1048"/>
      <c r="G655" s="1049"/>
      <c r="H655" s="1048"/>
      <c r="I655" s="1048"/>
      <c r="J655" s="1048"/>
      <c r="K655" s="1048"/>
      <c r="L655" s="1048"/>
      <c r="M655" s="1048"/>
      <c r="N655"/>
    </row>
    <row r="656" spans="4:23" ht="15" customHeight="1">
      <c r="D656" s="1275">
        <v>7</v>
      </c>
      <c r="E656" s="1286" t="s">
        <v>2186</v>
      </c>
      <c r="F656" s="630"/>
      <c r="G656" s="631"/>
      <c r="H656" s="630"/>
      <c r="I656" s="630"/>
      <c r="J656" s="630"/>
      <c r="K656" s="630"/>
      <c r="L656" s="630"/>
      <c r="M656" s="630"/>
      <c r="N656"/>
      <c r="O656" s="2031"/>
    </row>
    <row r="657" spans="4:15" ht="15" customHeight="1">
      <c r="D657" s="613"/>
      <c r="E657" s="625"/>
      <c r="F657" s="630"/>
      <c r="G657" s="631"/>
      <c r="H657" s="630"/>
      <c r="I657" s="630"/>
      <c r="J657" s="630"/>
      <c r="K657" s="630"/>
      <c r="L657" s="630"/>
      <c r="M657" s="630"/>
      <c r="N657"/>
      <c r="O657" s="2032"/>
    </row>
    <row r="658" spans="4:15" ht="15" customHeight="1">
      <c r="D658" s="613"/>
      <c r="E658" s="625" t="s">
        <v>2371</v>
      </c>
      <c r="F658" s="630"/>
      <c r="G658" s="631"/>
      <c r="H658" s="630"/>
      <c r="I658" s="630"/>
      <c r="J658" s="630"/>
      <c r="K658" s="630"/>
      <c r="L658" s="630"/>
      <c r="M658" s="630"/>
      <c r="N658"/>
    </row>
    <row r="659" spans="4:15" ht="15" customHeight="1">
      <c r="D659" s="613"/>
      <c r="E659" s="625"/>
      <c r="F659" s="630"/>
      <c r="G659" s="631"/>
      <c r="H659" s="630"/>
      <c r="I659" s="630"/>
      <c r="J659" s="630"/>
      <c r="K659" s="630"/>
      <c r="L659" s="630"/>
      <c r="M659" s="630"/>
      <c r="N659"/>
    </row>
    <row r="660" spans="4:15" ht="15" customHeight="1">
      <c r="D660" s="621"/>
      <c r="E660" s="622" t="s">
        <v>694</v>
      </c>
      <c r="F660"/>
      <c r="G660" s="617"/>
      <c r="H660" s="620"/>
      <c r="I660" s="620"/>
      <c r="J660" s="620"/>
      <c r="K660" s="620"/>
      <c r="L660" s="620"/>
      <c r="M660" s="624" t="s">
        <v>1716</v>
      </c>
      <c r="N660" s="620"/>
    </row>
    <row r="661" spans="4:15" ht="15" customHeight="1">
      <c r="D661" s="621"/>
      <c r="E661" s="1087" t="s">
        <v>520</v>
      </c>
      <c r="F661" s="1089">
        <v>2018</v>
      </c>
      <c r="G661" s="1092">
        <v>2020</v>
      </c>
      <c r="H661" s="1089">
        <v>2025</v>
      </c>
      <c r="I661" s="1089">
        <v>2030</v>
      </c>
      <c r="J661" s="1089">
        <v>2035</v>
      </c>
      <c r="K661" s="1089">
        <v>2040</v>
      </c>
      <c r="L661" s="1089">
        <v>2045</v>
      </c>
      <c r="M661" s="1089">
        <v>2050</v>
      </c>
      <c r="N661" s="620"/>
    </row>
    <row r="662" spans="4:15" ht="15" customHeight="1">
      <c r="D662" s="621"/>
      <c r="E662" s="625" t="s">
        <v>494</v>
      </c>
      <c r="F662" s="552" cm="1">
        <f t="array" ref="F662:M662">_xlfn.ANCHORARRAY($F$648)*UNIDAD_TWH_A_TJ*FE_TRANSPORTE_TERRESTRE_CO2_GASOLINA_MOTORES*UNIDAD_KG_A_MT</f>
        <v>0.32234965674284594</v>
      </c>
      <c r="G662" s="552">
        <v>0.33447660903088244</v>
      </c>
      <c r="H662" s="552">
        <v>0.42728266156729861</v>
      </c>
      <c r="I662" s="552">
        <v>0.45493169183272553</v>
      </c>
      <c r="J662" s="552">
        <v>0.52323106077561654</v>
      </c>
      <c r="K662" s="552">
        <v>0.61988498438777395</v>
      </c>
      <c r="L662" s="552">
        <v>0.72505842903271744</v>
      </c>
      <c r="M662" s="552">
        <v>0.86542231310561268</v>
      </c>
      <c r="N662" s="620"/>
    </row>
    <row r="663" spans="4:15" ht="15" customHeight="1">
      <c r="D663" s="621"/>
      <c r="E663" s="625" t="s">
        <v>495</v>
      </c>
      <c r="F663" s="552" cm="1">
        <f t="array" ref="F663:M663">_xlfn.ANCHORARRAY($F$649)*UNIDAD_TWH_A_TJ*FE_TRANSPORTE_TERRESTRE_CO2_DIESEL*UNIDAD_KG_A_MT</f>
        <v>0.57245715536183295</v>
      </c>
      <c r="G663" s="552">
        <v>0.8224639332229039</v>
      </c>
      <c r="H663" s="552">
        <v>1.0858681756309303</v>
      </c>
      <c r="I663" s="552">
        <v>1.3247680563014557</v>
      </c>
      <c r="J663" s="552">
        <v>1.5011476724786403</v>
      </c>
      <c r="K663" s="552">
        <v>1.6211091082466806</v>
      </c>
      <c r="L663" s="552">
        <v>1.8049345679507482</v>
      </c>
      <c r="M663" s="552">
        <v>2.1245576750561623</v>
      </c>
      <c r="N663" s="620"/>
    </row>
    <row r="664" spans="4:15" ht="15" customHeight="1">
      <c r="D664" s="621"/>
      <c r="E664" s="625" t="s">
        <v>294</v>
      </c>
      <c r="F664" s="1085">
        <v>0</v>
      </c>
      <c r="G664" s="1085">
        <v>0</v>
      </c>
      <c r="H664" s="1085">
        <v>0</v>
      </c>
      <c r="I664" s="1085">
        <v>0</v>
      </c>
      <c r="J664" s="1085">
        <v>0</v>
      </c>
      <c r="K664" s="1085">
        <v>0</v>
      </c>
      <c r="L664" s="1085">
        <v>0</v>
      </c>
      <c r="M664" s="1085">
        <v>0</v>
      </c>
      <c r="N664" s="620"/>
    </row>
    <row r="665" spans="4:15" ht="15" customHeight="1">
      <c r="D665" s="621"/>
      <c r="E665" s="625" t="s">
        <v>496</v>
      </c>
      <c r="F665" s="552" cm="1">
        <f t="array" ref="F665:M665">_xlfn.ANCHORARRAY($F$650)*UNIDAD_TWH_A_TJ*FE_TRANSPORTE_TERRESTRE_CO2_GAS_NATURAL*UNIDAD_KG_A_MT</f>
        <v>3.6547001994524592E-3</v>
      </c>
      <c r="G665" s="552">
        <v>5.7622088842711229E-3</v>
      </c>
      <c r="H665" s="552">
        <v>7.714134038165555E-3</v>
      </c>
      <c r="I665" s="552">
        <v>9.8324961485017816E-3</v>
      </c>
      <c r="J665" s="552">
        <v>1.2241919325476306E-2</v>
      </c>
      <c r="K665" s="552">
        <v>1.5084727161538554E-2</v>
      </c>
      <c r="L665" s="552">
        <v>1.8545776488791823E-2</v>
      </c>
      <c r="M665" s="552">
        <v>2.278870345682165E-2</v>
      </c>
      <c r="N665" s="620"/>
    </row>
    <row r="666" spans="4:15" ht="15" customHeight="1">
      <c r="D666" s="621"/>
      <c r="E666" s="625" t="s">
        <v>497</v>
      </c>
      <c r="F666" s="1085" cm="1">
        <f t="array" ref="F666:M666">_xlfn.ANCHORARRAY($F$651)*UNIDAD_TWH_A_TJ*FE_TRANSPORTE_TERRESTRE_CO2_GAS_NATURAL*UNIDAD_KG_A_MT</f>
        <v>0</v>
      </c>
      <c r="G666" s="1085">
        <v>0</v>
      </c>
      <c r="H666" s="1085">
        <v>9.615006334842302E-3</v>
      </c>
      <c r="I666" s="1085">
        <v>3.9813823786529687E-2</v>
      </c>
      <c r="J666" s="1085">
        <v>0.12831209606329205</v>
      </c>
      <c r="K666" s="1085">
        <v>0.27910018320953262</v>
      </c>
      <c r="L666" s="1085">
        <v>0.43398036050960731</v>
      </c>
      <c r="M666" s="1085">
        <v>0.57487508298664813</v>
      </c>
      <c r="N666" s="620"/>
    </row>
    <row r="667" spans="4:15" ht="15" customHeight="1">
      <c r="D667" s="621"/>
      <c r="E667" s="625" t="s">
        <v>2380</v>
      </c>
      <c r="F667" s="552" cm="1">
        <f t="array" ref="F667:M667">_xlfn.ANCHORARRAY($F$632)*UNIDAD_TWH_A_TJ*FE_TRANSPORTE_TERRESTRE_CO2_DIESEL*UNIDAD_KG_A_MT</f>
        <v>0.26724023999999996</v>
      </c>
      <c r="G667" s="552">
        <v>0.26724023999999996</v>
      </c>
      <c r="H667" s="552">
        <v>0.26724023999999996</v>
      </c>
      <c r="I667" s="552">
        <v>0.26724023999999996</v>
      </c>
      <c r="J667" s="552">
        <v>0.25387822799999998</v>
      </c>
      <c r="K667" s="552">
        <v>0.24051621599999998</v>
      </c>
      <c r="L667" s="552">
        <v>0.22715420399999997</v>
      </c>
      <c r="M667" s="552">
        <v>0.21379219199999999</v>
      </c>
      <c r="N667" s="620"/>
    </row>
    <row r="668" spans="4:15" ht="15" customHeight="1">
      <c r="D668" s="621"/>
      <c r="E668" s="625" t="s">
        <v>2381</v>
      </c>
      <c r="F668" s="1085">
        <v>0</v>
      </c>
      <c r="G668" s="1085">
        <v>0</v>
      </c>
      <c r="H668" s="1085">
        <v>0</v>
      </c>
      <c r="I668" s="1085">
        <v>0</v>
      </c>
      <c r="J668" s="1085">
        <v>0</v>
      </c>
      <c r="K668" s="1085">
        <v>0</v>
      </c>
      <c r="L668" s="1085">
        <v>0</v>
      </c>
      <c r="M668" s="1085">
        <v>0</v>
      </c>
      <c r="N668" s="620"/>
    </row>
    <row r="669" spans="4:15" ht="15" customHeight="1">
      <c r="D669" s="621"/>
      <c r="E669" s="625" t="s">
        <v>2266</v>
      </c>
      <c r="F669" s="1053" cm="1">
        <f t="array" ref="F669:M669">_xlfn.ANCHORARRAY($F$638)*UNIDAD_TWH_A_TJ*FE_TRANSPORTE_MARITIMO_FLUVIAL_CO2_DIESEL*UNIDAD_KG_A_MT</f>
        <v>0</v>
      </c>
      <c r="G669" s="1053">
        <v>0</v>
      </c>
      <c r="H669" s="1053">
        <v>0</v>
      </c>
      <c r="I669" s="1053">
        <v>0</v>
      </c>
      <c r="J669" s="1053">
        <v>0</v>
      </c>
      <c r="K669" s="1053">
        <v>0</v>
      </c>
      <c r="L669" s="1053">
        <v>0</v>
      </c>
      <c r="M669" s="1053">
        <v>0</v>
      </c>
      <c r="N669" s="620"/>
    </row>
    <row r="670" spans="4:15" ht="15" customHeight="1">
      <c r="D670" s="621"/>
      <c r="E670" s="1090" t="s">
        <v>2267</v>
      </c>
      <c r="F670" s="1294" cm="1">
        <f t="array" ref="F670:M670">_xlfn.ANCHORARRAY($F$643)*UNIDAD_TWH_A_TJ*FE_AVIACION_CO2_QUEROSENO*UNIDAD_KG_A_MT</f>
        <v>0</v>
      </c>
      <c r="G670" s="1294">
        <v>0</v>
      </c>
      <c r="H670" s="1294">
        <v>0</v>
      </c>
      <c r="I670" s="1294">
        <v>0</v>
      </c>
      <c r="J670" s="1294">
        <v>0</v>
      </c>
      <c r="K670" s="1294">
        <v>0</v>
      </c>
      <c r="L670" s="1294">
        <v>0</v>
      </c>
      <c r="M670" s="1294">
        <v>0</v>
      </c>
      <c r="N670" s="620"/>
    </row>
    <row r="671" spans="4:15" ht="15" customHeight="1">
      <c r="D671" s="621"/>
      <c r="E671" s="622"/>
      <c r="F671"/>
      <c r="G671" s="617"/>
      <c r="H671" s="620"/>
      <c r="I671" s="620"/>
      <c r="J671" s="620"/>
      <c r="K671" s="620"/>
      <c r="L671" s="620"/>
      <c r="M671" s="620"/>
      <c r="N671" s="620"/>
    </row>
    <row r="672" spans="4:15" ht="15" customHeight="1">
      <c r="D672" s="621"/>
      <c r="E672" s="622" t="s">
        <v>695</v>
      </c>
      <c r="F672"/>
      <c r="G672" s="617"/>
      <c r="H672" s="620"/>
      <c r="I672" s="620"/>
      <c r="J672" s="620"/>
      <c r="K672" s="620"/>
      <c r="L672" s="620"/>
      <c r="M672" s="624" t="s">
        <v>1705</v>
      </c>
      <c r="N672" s="620"/>
    </row>
    <row r="673" spans="4:14" ht="15" customHeight="1">
      <c r="E673" s="611" t="s">
        <v>520</v>
      </c>
      <c r="F673" s="1093">
        <v>2018</v>
      </c>
      <c r="G673" s="1093">
        <v>2020</v>
      </c>
      <c r="H673" s="1093">
        <v>2025</v>
      </c>
      <c r="I673" s="1093">
        <v>2030</v>
      </c>
      <c r="J673" s="1093">
        <v>2035</v>
      </c>
      <c r="K673" s="1093">
        <v>2040</v>
      </c>
      <c r="L673" s="1093">
        <v>2045</v>
      </c>
      <c r="M673" s="1093">
        <v>2050</v>
      </c>
    </row>
    <row r="674" spans="4:14" ht="15" customHeight="1">
      <c r="E674" s="625" t="s">
        <v>494</v>
      </c>
      <c r="F674" s="552" cm="1">
        <f t="array" ref="F674:M674">_xlfn.ANCHORARRAY($F$648)*UNIDAD_TWH_A_TJ*FE_TRANSPORTE_TERRESTRE_CH4_GASOLINA_MOTORES*UNIDAD_KG_A_MT</f>
        <v>1.5344735887602527E-4</v>
      </c>
      <c r="G674" s="552">
        <v>1.5922012382517265E-4</v>
      </c>
      <c r="H674" s="552">
        <v>2.0339837359692077E-4</v>
      </c>
      <c r="I674" s="552">
        <v>2.1656007729650817E-4</v>
      </c>
      <c r="J674" s="552">
        <v>2.4907246736102296E-4</v>
      </c>
      <c r="K674" s="552">
        <v>2.9508241026945389E-4</v>
      </c>
      <c r="L674" s="552">
        <v>3.4514788099999964E-4</v>
      </c>
      <c r="M674" s="552">
        <v>4.1196497492899568E-4</v>
      </c>
    </row>
    <row r="675" spans="4:14" ht="15" customHeight="1">
      <c r="E675" s="625" t="s">
        <v>495</v>
      </c>
      <c r="F675" s="552" cm="1">
        <f t="array" ref="F675:M675">_xlfn.ANCHORARRAY($F$649)*UNIDAD_TWH_A_TJ*FE_TRANSPORTE_TERRESTRE_CH4_DIESEL*UNIDAD_KG_A_MT</f>
        <v>3.0075180524011405E-5</v>
      </c>
      <c r="G675" s="552">
        <v>4.3209786155144787E-5</v>
      </c>
      <c r="H675" s="552">
        <v>5.7048254356672707E-5</v>
      </c>
      <c r="I675" s="552">
        <v>6.9599336950424982E-5</v>
      </c>
      <c r="J675" s="552">
        <v>7.8865792522862994E-5</v>
      </c>
      <c r="K675" s="552">
        <v>8.5168206254355238E-5</v>
      </c>
      <c r="L675" s="552">
        <v>9.4825844094543937E-5</v>
      </c>
      <c r="M675" s="552">
        <v>1.1161788268783369E-4</v>
      </c>
    </row>
    <row r="676" spans="4:14" ht="15" customHeight="1">
      <c r="E676" s="625" t="s">
        <v>294</v>
      </c>
      <c r="F676" s="1085">
        <v>0</v>
      </c>
      <c r="G676" s="1085">
        <v>0</v>
      </c>
      <c r="H676" s="1085">
        <v>0</v>
      </c>
      <c r="I676" s="1085">
        <v>0</v>
      </c>
      <c r="J676" s="1085">
        <v>0</v>
      </c>
      <c r="K676" s="1085">
        <v>0</v>
      </c>
      <c r="L676" s="1085">
        <v>0</v>
      </c>
      <c r="M676" s="1085">
        <v>0</v>
      </c>
    </row>
    <row r="677" spans="4:14" ht="15" customHeight="1">
      <c r="E677" s="625" t="s">
        <v>496</v>
      </c>
      <c r="F677" s="552" cm="1">
        <f t="array" ref="F677:M677">_xlfn.ANCHORARRAY($F$650)*UNIDAD_TWH_A_TJ*FE_TRANSPORTE_TERRESTRE_CH4_GAS_NATURAL*UNIDAD_KG_A_MT</f>
        <v>6.0539756281587188E-6</v>
      </c>
      <c r="G677" s="552">
        <v>9.5450434361109373E-6</v>
      </c>
      <c r="H677" s="552">
        <v>1.2778388625803169E-5</v>
      </c>
      <c r="I677" s="552">
        <v>1.628743502843607E-5</v>
      </c>
      <c r="J677" s="552">
        <v>2.0278621280460205E-5</v>
      </c>
      <c r="K677" s="552">
        <v>2.498770503995377E-5</v>
      </c>
      <c r="L677" s="552">
        <v>3.0720899866217657E-5</v>
      </c>
      <c r="M677" s="552">
        <v>3.7749267462650952E-5</v>
      </c>
    </row>
    <row r="678" spans="4:14" ht="15" customHeight="1">
      <c r="D678" s="621"/>
      <c r="E678" s="625" t="s">
        <v>497</v>
      </c>
      <c r="F678" s="1085" cm="1">
        <f t="array" ref="F678:M678">_xlfn.ANCHORARRAY($F$651)*UNIDAD_TWH_A_TJ*FE_TRANSPORTE_TERRESTRE_CH4_GAS_NATURAL*UNIDAD_KG_A_MT</f>
        <v>0</v>
      </c>
      <c r="G678" s="1085">
        <v>0</v>
      </c>
      <c r="H678" s="1085">
        <v>1.5927165249956146E-5</v>
      </c>
      <c r="I678" s="1085">
        <v>6.5951215069177927E-5</v>
      </c>
      <c r="J678" s="1085">
        <v>2.1254774946560847E-4</v>
      </c>
      <c r="K678" s="1085">
        <v>4.6232676136288468E-4</v>
      </c>
      <c r="L678" s="1085">
        <v>7.1888428112880951E-4</v>
      </c>
      <c r="M678" s="1085">
        <v>9.522750298802345E-4</v>
      </c>
      <c r="N678" s="620"/>
    </row>
    <row r="679" spans="4:14" ht="15" customHeight="1">
      <c r="D679" s="621"/>
      <c r="E679" s="625" t="s">
        <v>2380</v>
      </c>
      <c r="F679" s="552" cm="1">
        <f t="array" ref="F679:M679">_xlfn.ANCHORARRAY($F$632)*UNIDAD_TWH_A_TJ*FE_TRANSPORTE_TERRESTRE_CH4_DIESEL*UNIDAD_KG_A_MT</f>
        <v>1.4040000000000001E-5</v>
      </c>
      <c r="G679" s="552">
        <v>1.4040000000000001E-5</v>
      </c>
      <c r="H679" s="552">
        <v>1.4040000000000001E-5</v>
      </c>
      <c r="I679" s="552">
        <v>1.4040000000000001E-5</v>
      </c>
      <c r="J679" s="552">
        <v>1.3338E-5</v>
      </c>
      <c r="K679" s="552">
        <v>1.2636000000000001E-5</v>
      </c>
      <c r="L679" s="552">
        <v>1.1934000000000001E-5</v>
      </c>
      <c r="M679" s="552">
        <v>1.1232E-5</v>
      </c>
      <c r="N679" s="620"/>
    </row>
    <row r="680" spans="4:14" ht="15" customHeight="1">
      <c r="D680" s="621"/>
      <c r="E680" s="625" t="s">
        <v>2381</v>
      </c>
      <c r="F680" s="1085">
        <v>0</v>
      </c>
      <c r="G680" s="1085">
        <v>0</v>
      </c>
      <c r="H680" s="1085">
        <v>0</v>
      </c>
      <c r="I680" s="1085">
        <v>0</v>
      </c>
      <c r="J680" s="1085">
        <v>0</v>
      </c>
      <c r="K680" s="1085">
        <v>0</v>
      </c>
      <c r="L680" s="1085">
        <v>0</v>
      </c>
      <c r="M680" s="1085">
        <v>0</v>
      </c>
      <c r="N680" s="620"/>
    </row>
    <row r="681" spans="4:14" ht="15" customHeight="1">
      <c r="D681" s="621"/>
      <c r="E681" s="625" t="s">
        <v>2266</v>
      </c>
      <c r="F681" s="1053" cm="1">
        <f t="array" ref="F681:M681">_xlfn.ANCHORARRAY($F$638)*UNIDAD_TWH_A_TJ*FE_TRANSPORTE_MARITIMO_FLUVIAL_CH4_DIESEL*UNIDAD_KG_A_MT</f>
        <v>0</v>
      </c>
      <c r="G681" s="1053">
        <v>0</v>
      </c>
      <c r="H681" s="1053">
        <v>0</v>
      </c>
      <c r="I681" s="1053">
        <v>0</v>
      </c>
      <c r="J681" s="1053">
        <v>0</v>
      </c>
      <c r="K681" s="1053">
        <v>0</v>
      </c>
      <c r="L681" s="1053">
        <v>0</v>
      </c>
      <c r="M681" s="1053">
        <v>0</v>
      </c>
      <c r="N681" s="620"/>
    </row>
    <row r="682" spans="4:14" ht="15" customHeight="1">
      <c r="D682" s="621"/>
      <c r="E682" s="1090" t="s">
        <v>2267</v>
      </c>
      <c r="F682" s="1294" cm="1">
        <f t="array" ref="F682:M682">_xlfn.ANCHORARRAY($F$643)*UNIDAD_TWH_A_TJ*FE_AVIACION_CH4_QUEROSENO*UNIDAD_KG_A_MT</f>
        <v>0</v>
      </c>
      <c r="G682" s="1294">
        <v>0</v>
      </c>
      <c r="H682" s="1294">
        <v>0</v>
      </c>
      <c r="I682" s="1294">
        <v>0</v>
      </c>
      <c r="J682" s="1294">
        <v>0</v>
      </c>
      <c r="K682" s="1294">
        <v>0</v>
      </c>
      <c r="L682" s="1294">
        <v>0</v>
      </c>
      <c r="M682" s="1294">
        <v>0</v>
      </c>
      <c r="N682" s="620"/>
    </row>
    <row r="683" spans="4:14" ht="15" customHeight="1">
      <c r="E683" s="625"/>
    </row>
    <row r="685" spans="4:14" ht="15" customHeight="1">
      <c r="E685" s="2" t="s">
        <v>1616</v>
      </c>
      <c r="M685" s="624" t="s">
        <v>1706</v>
      </c>
    </row>
    <row r="686" spans="4:14" ht="15" customHeight="1">
      <c r="E686" s="611" t="s">
        <v>520</v>
      </c>
      <c r="F686" s="1093">
        <v>2018</v>
      </c>
      <c r="G686" s="1093">
        <v>2020</v>
      </c>
      <c r="H686" s="1093">
        <v>2025</v>
      </c>
      <c r="I686" s="1093">
        <v>2030</v>
      </c>
      <c r="J686" s="1093">
        <v>2035</v>
      </c>
      <c r="K686" s="1093">
        <v>2040</v>
      </c>
      <c r="L686" s="1093">
        <v>2045</v>
      </c>
      <c r="M686" s="1093">
        <v>2050</v>
      </c>
    </row>
    <row r="687" spans="4:14" ht="15" customHeight="1">
      <c r="E687" s="625" t="s">
        <v>494</v>
      </c>
      <c r="F687" s="552" cm="1">
        <f t="array" ref="F687:M687">_xlfn.ANCHORARRAY($F$648)*UNIDAD_TWH_A_TJ*FE_TRANSPORTE_TERRESTRE_N2O_GASOLINA_MOTORES*UNIDAD_KG_A_MT</f>
        <v>1.4879743891008514E-5</v>
      </c>
      <c r="G687" s="552">
        <v>1.5439527158804621E-5</v>
      </c>
      <c r="H687" s="552">
        <v>1.9723478651822619E-5</v>
      </c>
      <c r="I687" s="552">
        <v>2.0999765071176551E-5</v>
      </c>
      <c r="J687" s="552">
        <v>2.4152481683493136E-5</v>
      </c>
      <c r="K687" s="552">
        <v>2.8614051904916743E-5</v>
      </c>
      <c r="L687" s="552">
        <v>3.3468885430302996E-5</v>
      </c>
      <c r="M687" s="552">
        <v>3.9948118780993523E-5</v>
      </c>
    </row>
    <row r="688" spans="4:14" ht="15" customHeight="1">
      <c r="E688" s="625" t="s">
        <v>495</v>
      </c>
      <c r="F688" s="552" cm="1">
        <f t="array" ref="F688:M688">_xlfn.ANCHORARRAY($F$649)*UNIDAD_TWH_A_TJ*FE_TRANSPORTE_TERRESTRE_N2O_DIESEL*UNIDAD_KG_A_MT</f>
        <v>3.0075180524011405E-5</v>
      </c>
      <c r="G688" s="552">
        <v>4.3209786155144787E-5</v>
      </c>
      <c r="H688" s="552">
        <v>5.7048254356672707E-5</v>
      </c>
      <c r="I688" s="552">
        <v>6.9599336950424982E-5</v>
      </c>
      <c r="J688" s="552">
        <v>7.8865792522862994E-5</v>
      </c>
      <c r="K688" s="552">
        <v>8.5168206254355238E-5</v>
      </c>
      <c r="L688" s="552">
        <v>9.4825844094543937E-5</v>
      </c>
      <c r="M688" s="552">
        <v>1.1161788268783369E-4</v>
      </c>
    </row>
    <row r="689" spans="5:13" ht="15" customHeight="1">
      <c r="E689" s="625" t="s">
        <v>294</v>
      </c>
      <c r="F689" s="1085">
        <v>0</v>
      </c>
      <c r="G689" s="1085">
        <v>0</v>
      </c>
      <c r="H689" s="1085">
        <v>0</v>
      </c>
      <c r="I689" s="1085">
        <v>0</v>
      </c>
      <c r="J689" s="1085">
        <v>0</v>
      </c>
      <c r="K689" s="1085">
        <v>0</v>
      </c>
      <c r="L689" s="1085">
        <v>0</v>
      </c>
      <c r="M689" s="1085">
        <v>0</v>
      </c>
    </row>
    <row r="690" spans="5:13" ht="15" customHeight="1">
      <c r="E690" s="625" t="s">
        <v>496</v>
      </c>
      <c r="F690" s="552" cm="1">
        <f t="array" ref="F690:M690">_xlfn.ANCHORARRAY($F$650)*UNIDAD_TWH_A_TJ*FE_TRANSPORTE_TERRESTRE_N2O_GAS_NATURAL*UNIDAD_KG_A_MT</f>
        <v>1.9741224874430606E-7</v>
      </c>
      <c r="G690" s="552">
        <v>3.112514163949219E-7</v>
      </c>
      <c r="H690" s="552">
        <v>4.1668658562401643E-7</v>
      </c>
      <c r="I690" s="552">
        <v>5.3111201179682828E-7</v>
      </c>
      <c r="J690" s="552">
        <v>6.6125938958022401E-7</v>
      </c>
      <c r="K690" s="552">
        <v>8.1481646869414481E-7</v>
      </c>
      <c r="L690" s="552">
        <v>1.0017684738984019E-6</v>
      </c>
      <c r="M690" s="552">
        <v>1.2309543737820961E-6</v>
      </c>
    </row>
    <row r="691" spans="5:13" ht="15" customHeight="1">
      <c r="E691" s="625" t="s">
        <v>497</v>
      </c>
      <c r="F691" s="1085" cm="1">
        <f t="array" ref="F691:M691">_xlfn.ANCHORARRAY($F$651)*UNIDAD_TWH_A_TJ*FE_TRANSPORTE_TERRESTRE_N2O_GAS_NATURAL*UNIDAD_KG_A_MT</f>
        <v>0</v>
      </c>
      <c r="G691" s="1085">
        <v>0</v>
      </c>
      <c r="H691" s="1085">
        <v>5.1936408423770043E-7</v>
      </c>
      <c r="I691" s="1085">
        <v>2.1505831000818889E-6</v>
      </c>
      <c r="J691" s="1085">
        <v>6.930904873878536E-6</v>
      </c>
      <c r="K691" s="1085">
        <v>1.5075872653137543E-5</v>
      </c>
      <c r="L691" s="1085">
        <v>2.3441878732461177E-5</v>
      </c>
      <c r="M691" s="1085">
        <v>3.105244662652938E-5</v>
      </c>
    </row>
    <row r="692" spans="5:13" ht="15" customHeight="1">
      <c r="E692" s="625" t="s">
        <v>2380</v>
      </c>
      <c r="F692" s="552" cm="1">
        <f t="array" ref="F692:M692">_xlfn.ANCHORARRAY($F$632)*UNIDAD_TWH_A_TJ*FE_TRANSPORTE_TERRESTRE_N2O_DIESEL*UNIDAD_KG_A_MT</f>
        <v>1.4040000000000001E-5</v>
      </c>
      <c r="G692" s="552">
        <v>1.4040000000000001E-5</v>
      </c>
      <c r="H692" s="552">
        <v>1.4040000000000001E-5</v>
      </c>
      <c r="I692" s="552">
        <v>1.4040000000000001E-5</v>
      </c>
      <c r="J692" s="552">
        <v>1.3338E-5</v>
      </c>
      <c r="K692" s="552">
        <v>1.2636000000000001E-5</v>
      </c>
      <c r="L692" s="552">
        <v>1.1934000000000001E-5</v>
      </c>
      <c r="M692" s="552">
        <v>1.1232E-5</v>
      </c>
    </row>
    <row r="693" spans="5:13" ht="15" customHeight="1">
      <c r="E693" s="625" t="s">
        <v>2381</v>
      </c>
      <c r="F693" s="1085">
        <v>0</v>
      </c>
      <c r="G693" s="1085">
        <v>0</v>
      </c>
      <c r="H693" s="1085">
        <v>0</v>
      </c>
      <c r="I693" s="1085">
        <v>0</v>
      </c>
      <c r="J693" s="1085">
        <v>0</v>
      </c>
      <c r="K693" s="1085">
        <v>0</v>
      </c>
      <c r="L693" s="1085">
        <v>0</v>
      </c>
      <c r="M693" s="1085">
        <v>0</v>
      </c>
    </row>
    <row r="694" spans="5:13" ht="15" customHeight="1">
      <c r="E694" s="625" t="s">
        <v>2266</v>
      </c>
      <c r="F694" s="1053" cm="1">
        <f t="array" ref="F694:M694">_xlfn.ANCHORARRAY($F$638)*UNIDAD_TWH_A_TJ*FE_TRANSPORTE_MARITIMO_FLUVIAL_N2O_DIESEL*UNIDAD_KG_A_MT</f>
        <v>0</v>
      </c>
      <c r="G694" s="1053">
        <v>0</v>
      </c>
      <c r="H694" s="1053">
        <v>0</v>
      </c>
      <c r="I694" s="1053">
        <v>0</v>
      </c>
      <c r="J694" s="1053">
        <v>0</v>
      </c>
      <c r="K694" s="1053">
        <v>0</v>
      </c>
      <c r="L694" s="1053">
        <v>0</v>
      </c>
      <c r="M694" s="1053">
        <v>0</v>
      </c>
    </row>
    <row r="695" spans="5:13" ht="15" customHeight="1">
      <c r="E695" s="1090" t="s">
        <v>2267</v>
      </c>
      <c r="F695" s="1294" cm="1">
        <f t="array" ref="F695:M695">_xlfn.ANCHORARRAY($F$643)*UNIDAD_TWH_A_TJ*FE_AVIACION_N2O_QUEROSENO*UNIDAD_KG_A_MT</f>
        <v>0</v>
      </c>
      <c r="G695" s="1294">
        <v>0</v>
      </c>
      <c r="H695" s="1294">
        <v>0</v>
      </c>
      <c r="I695" s="1294">
        <v>0</v>
      </c>
      <c r="J695" s="1294">
        <v>0</v>
      </c>
      <c r="K695" s="1294">
        <v>0</v>
      </c>
      <c r="L695" s="1294">
        <v>0</v>
      </c>
      <c r="M695" s="1294">
        <v>0</v>
      </c>
    </row>
    <row r="697" spans="5:13" ht="15" customHeight="1">
      <c r="M697" s="624"/>
    </row>
    <row r="698" spans="5:13" ht="15" customHeight="1">
      <c r="E698" s="2" t="s">
        <v>1988</v>
      </c>
      <c r="M698" s="624" t="s">
        <v>35</v>
      </c>
    </row>
    <row r="699" spans="5:13" ht="15" customHeight="1">
      <c r="E699" s="611" t="s">
        <v>520</v>
      </c>
      <c r="F699" s="1093">
        <v>2018</v>
      </c>
      <c r="G699" s="1093">
        <v>2020</v>
      </c>
      <c r="H699" s="1093">
        <v>2025</v>
      </c>
      <c r="I699" s="1093">
        <v>2030</v>
      </c>
      <c r="J699" s="1093">
        <v>2035</v>
      </c>
      <c r="K699" s="1093">
        <v>2040</v>
      </c>
      <c r="L699" s="1093">
        <v>2045</v>
      </c>
      <c r="M699" s="1093">
        <v>2050</v>
      </c>
    </row>
    <row r="700" spans="5:13" ht="15" customHeight="1">
      <c r="E700" s="625" t="s">
        <v>494</v>
      </c>
      <c r="F700" s="552" cm="1">
        <f t="array" ref="F700:M700">_xlfn.ANCHORARRAY(F662)*PCG_CO2+_xlfn.ANCHORARRAY(F674)*PCG_CH4+_xlfn.ANCHORARRAY(F687)*PCG_N2O</f>
        <v>0.33058931492249188</v>
      </c>
      <c r="G700" s="552">
        <v>0.34302624719507047</v>
      </c>
      <c r="H700" s="552">
        <v>0.43820453787074537</v>
      </c>
      <c r="I700" s="552">
        <v>0.46656031174088958</v>
      </c>
      <c r="J700" s="552">
        <v>0.53660549750785091</v>
      </c>
      <c r="K700" s="552">
        <v>0.63573001563012166</v>
      </c>
      <c r="L700" s="552">
        <v>0.7435918243397478</v>
      </c>
      <c r="M700" s="552">
        <v>0.88754358388058785</v>
      </c>
    </row>
    <row r="701" spans="5:13" ht="15" customHeight="1">
      <c r="E701" s="625" t="s">
        <v>495</v>
      </c>
      <c r="F701" s="552" cm="1">
        <f t="array" ref="F701:M701">_xlfn.ANCHORARRAY(F663)*PCG_CO2+_xlfn.ANCHORARRAY(F675)*PCG_CH4+_xlfn.ANCHORARRAY(F688)*PCG_N2O</f>
        <v>0.58126918325536825</v>
      </c>
      <c r="G701" s="552">
        <v>0.83512440056636139</v>
      </c>
      <c r="H701" s="552">
        <v>1.1025833141574355</v>
      </c>
      <c r="I701" s="552">
        <v>1.3451606620279302</v>
      </c>
      <c r="J701" s="552">
        <v>1.5242553496878393</v>
      </c>
      <c r="K701" s="552">
        <v>1.6460633926792068</v>
      </c>
      <c r="L701" s="552">
        <v>1.8327185402704496</v>
      </c>
      <c r="M701" s="552">
        <v>2.1572617146836977</v>
      </c>
    </row>
    <row r="702" spans="5:13" ht="15" customHeight="1">
      <c r="E702" s="625" t="s">
        <v>294</v>
      </c>
      <c r="F702" s="1085">
        <v>0</v>
      </c>
      <c r="G702" s="1085">
        <v>0</v>
      </c>
      <c r="H702" s="1085">
        <v>0</v>
      </c>
      <c r="I702" s="1085">
        <v>0</v>
      </c>
      <c r="J702" s="1085">
        <v>0</v>
      </c>
      <c r="K702" s="1085">
        <v>0</v>
      </c>
      <c r="L702" s="1085">
        <v>0</v>
      </c>
      <c r="M702" s="1085">
        <v>0</v>
      </c>
    </row>
    <row r="703" spans="5:13" ht="15" customHeight="1">
      <c r="E703" s="625" t="s">
        <v>496</v>
      </c>
      <c r="F703" s="552" cm="1">
        <f t="array" ref="F703:M703">_xlfn.ANCHORARRAY(F665)*PCG_CO2+_xlfn.ANCHORARRAY(F677)*PCG_CH4+_xlfn.ANCHORARRAY(F690)*PCG_N2O</f>
        <v>3.8765257629581442E-3</v>
      </c>
      <c r="G703" s="552">
        <v>6.111951725826883E-3</v>
      </c>
      <c r="H703" s="552">
        <v>8.1823508648784082E-3</v>
      </c>
      <c r="I703" s="552">
        <v>1.0429289012424152E-2</v>
      </c>
      <c r="J703" s="552">
        <v>1.298495445956795E-2</v>
      </c>
      <c r="K703" s="552">
        <v>1.6000309266861211E-2</v>
      </c>
      <c r="L703" s="552">
        <v>1.9671430330628997E-2</v>
      </c>
      <c r="M703" s="552">
        <v>2.4171885854828132E-2</v>
      </c>
    </row>
    <row r="704" spans="5:13" ht="15" customHeight="1">
      <c r="E704" s="625" t="s">
        <v>497</v>
      </c>
      <c r="F704" s="1085" cm="1">
        <f t="array" ref="F704:M704">_xlfn.ANCHORARRAY(F666)*PCG_CO2+_xlfn.ANCHORARRAY(F678)*PCG_CH4+_xlfn.ANCHORARRAY(F691)*PCG_N2O</f>
        <v>0</v>
      </c>
      <c r="G704" s="1085">
        <v>0</v>
      </c>
      <c r="H704" s="1085">
        <v>1.0198598444164066E-2</v>
      </c>
      <c r="I704" s="1085">
        <v>4.223036232998837E-2</v>
      </c>
      <c r="J704" s="1085">
        <v>0.13610012283990688</v>
      </c>
      <c r="K704" s="1085">
        <v>0.29604043878077485</v>
      </c>
      <c r="L704" s="1085">
        <v>0.46032121824531619</v>
      </c>
      <c r="M704" s="1085">
        <v>0.60976768217932498</v>
      </c>
    </row>
    <row r="705" spans="5:13" ht="15" customHeight="1">
      <c r="E705" s="625" t="s">
        <v>2380</v>
      </c>
      <c r="F705" s="552" cm="1">
        <f t="array" ref="F705:M705">_xlfn.ANCHORARRAY(F667)*PCG_CO2+_xlfn.ANCHORARRAY(F679)*PCG_CH4+_xlfn.ANCHORARRAY(F692)*PCG_N2O</f>
        <v>0.27135396000000001</v>
      </c>
      <c r="G705" s="552">
        <v>0.27135396000000001</v>
      </c>
      <c r="H705" s="552">
        <v>0.27135396000000001</v>
      </c>
      <c r="I705" s="552">
        <v>0.27135396000000001</v>
      </c>
      <c r="J705" s="552">
        <v>0.25778626199999999</v>
      </c>
      <c r="K705" s="552">
        <v>0.244218564</v>
      </c>
      <c r="L705" s="552">
        <v>0.23065086599999998</v>
      </c>
      <c r="M705" s="552">
        <v>0.21708316799999999</v>
      </c>
    </row>
    <row r="706" spans="5:13" ht="15" customHeight="1">
      <c r="E706" s="625" t="s">
        <v>2381</v>
      </c>
      <c r="F706" s="1085">
        <v>0</v>
      </c>
      <c r="G706" s="1085">
        <v>0</v>
      </c>
      <c r="H706" s="1085">
        <v>0</v>
      </c>
      <c r="I706" s="1085">
        <v>0</v>
      </c>
      <c r="J706" s="1085">
        <v>0</v>
      </c>
      <c r="K706" s="1085">
        <v>0</v>
      </c>
      <c r="L706" s="1085">
        <v>0</v>
      </c>
      <c r="M706" s="1085">
        <v>0</v>
      </c>
    </row>
    <row r="707" spans="5:13" ht="15" customHeight="1">
      <c r="E707" s="625" t="s">
        <v>2266</v>
      </c>
      <c r="F707" s="1053" cm="1">
        <f t="array" ref="F707:M707">_xlfn.ANCHORARRAY(F669)*PCG_CO2+_xlfn.ANCHORARRAY(F681)*PCG_CH4+_xlfn.ANCHORARRAY(F694)*PCG_N2O</f>
        <v>0</v>
      </c>
      <c r="G707" s="1053">
        <v>0</v>
      </c>
      <c r="H707" s="1053">
        <v>0</v>
      </c>
      <c r="I707" s="1053">
        <v>0</v>
      </c>
      <c r="J707" s="1053">
        <v>0</v>
      </c>
      <c r="K707" s="1053">
        <v>0</v>
      </c>
      <c r="L707" s="1053">
        <v>0</v>
      </c>
      <c r="M707" s="1053">
        <v>0</v>
      </c>
    </row>
    <row r="708" spans="5:13" ht="15" customHeight="1">
      <c r="E708" s="1090" t="s">
        <v>2267</v>
      </c>
      <c r="F708" s="1294" cm="1">
        <f t="array" ref="F708:M708">_xlfn.ANCHORARRAY(F670)*PCG_CO2+_xlfn.ANCHORARRAY(F682)*PCG_CH4+_xlfn.ANCHORARRAY(F695)*PCG_N2O</f>
        <v>0</v>
      </c>
      <c r="G708" s="1294">
        <v>0</v>
      </c>
      <c r="H708" s="1294">
        <v>0</v>
      </c>
      <c r="I708" s="1294">
        <v>0</v>
      </c>
      <c r="J708" s="1294">
        <v>0</v>
      </c>
      <c r="K708" s="1294">
        <v>0</v>
      </c>
      <c r="L708" s="1294">
        <v>0</v>
      </c>
      <c r="M708" s="1294">
        <v>0</v>
      </c>
    </row>
  </sheetData>
  <sheetProtection algorithmName="SHA-512" hashValue="VxZNZ5YpY/omoTyVFnY8MX6Rj+rvg3ZaTGdcPGdE2rz1ChFE+yUuyYdMgFqm91PE6Sl95tZfcp9QrCPU3s8G5w==" saltValue="SmzMdv6gcnQ8idDsLBfHMg==" spinCount="100000" sheet="1" objects="1" scenarios="1"/>
  <mergeCells count="16366">
    <mergeCell ref="T567:V567"/>
    <mergeCell ref="X567:Z567"/>
    <mergeCell ref="HT567:HV567"/>
    <mergeCell ref="HX567:HZ567"/>
    <mergeCell ref="IB567:ID567"/>
    <mergeCell ref="IF567:IH567"/>
    <mergeCell ref="IJ567:IL567"/>
    <mergeCell ref="GZ567:HB567"/>
    <mergeCell ref="HD567:HF567"/>
    <mergeCell ref="HH567:HJ567"/>
    <mergeCell ref="HL567:HN567"/>
    <mergeCell ref="HP567:HR567"/>
    <mergeCell ref="GF567:GH567"/>
    <mergeCell ref="GJ567:GL567"/>
    <mergeCell ref="GN567:GP567"/>
    <mergeCell ref="GR567:GT567"/>
    <mergeCell ref="GV567:GX567"/>
    <mergeCell ref="FL567:FN567"/>
    <mergeCell ref="FP567:FR567"/>
    <mergeCell ref="FT567:FV567"/>
    <mergeCell ref="FX567:FZ567"/>
    <mergeCell ref="GB567:GD567"/>
    <mergeCell ref="ER567:ET567"/>
    <mergeCell ref="EV567:EX567"/>
    <mergeCell ref="EZ567:FB567"/>
    <mergeCell ref="FD567:FF567"/>
    <mergeCell ref="FH567:FJ567"/>
    <mergeCell ref="DX567:DZ567"/>
    <mergeCell ref="EB567:ED567"/>
    <mergeCell ref="EF567:EH567"/>
    <mergeCell ref="EJ567:EL567"/>
    <mergeCell ref="EN567:EP567"/>
    <mergeCell ref="DD567:DF567"/>
    <mergeCell ref="DH567:DJ567"/>
    <mergeCell ref="DL567:DN567"/>
    <mergeCell ref="DP567:DR567"/>
    <mergeCell ref="KB567:KD567"/>
    <mergeCell ref="KF567:KH567"/>
    <mergeCell ref="KJ567:KL567"/>
    <mergeCell ref="KN567:KP567"/>
    <mergeCell ref="KR567:KT567"/>
    <mergeCell ref="JH567:JJ567"/>
    <mergeCell ref="JL567:JN567"/>
    <mergeCell ref="JP567:JR567"/>
    <mergeCell ref="JT567:JV567"/>
    <mergeCell ref="JX567:JZ567"/>
    <mergeCell ref="IN567:IP567"/>
    <mergeCell ref="IR567:IT567"/>
    <mergeCell ref="IV567:IX567"/>
    <mergeCell ref="IZ567:JB567"/>
    <mergeCell ref="JD567:JF567"/>
    <mergeCell ref="CJ567:CL567"/>
    <mergeCell ref="CN567:CP567"/>
    <mergeCell ref="CR567:CT567"/>
    <mergeCell ref="CV567:CX567"/>
    <mergeCell ref="CZ567:DB567"/>
    <mergeCell ref="BP567:BR567"/>
    <mergeCell ref="BT567:BV567"/>
    <mergeCell ref="BX567:BZ567"/>
    <mergeCell ref="CB567:CD567"/>
    <mergeCell ref="CF567:CH567"/>
    <mergeCell ref="AV567:AX567"/>
    <mergeCell ref="AZ567:BB567"/>
    <mergeCell ref="BD567:BF567"/>
    <mergeCell ref="BH567:BJ567"/>
    <mergeCell ref="BL567:BN567"/>
    <mergeCell ref="AB567:AD567"/>
    <mergeCell ref="AF567:AH567"/>
    <mergeCell ref="AJ567:AL567"/>
    <mergeCell ref="AN567:AP567"/>
    <mergeCell ref="AR567:AT567"/>
    <mergeCell ref="DT567:DV567"/>
    <mergeCell ref="PL567:PN567"/>
    <mergeCell ref="PP567:PR567"/>
    <mergeCell ref="PT567:PV567"/>
    <mergeCell ref="PX567:PZ567"/>
    <mergeCell ref="QB567:QD567"/>
    <mergeCell ref="OR567:OT567"/>
    <mergeCell ref="OV567:OX567"/>
    <mergeCell ref="OZ567:PB567"/>
    <mergeCell ref="PD567:PF567"/>
    <mergeCell ref="PH567:PJ567"/>
    <mergeCell ref="NX567:NZ567"/>
    <mergeCell ref="OB567:OD567"/>
    <mergeCell ref="OF567:OH567"/>
    <mergeCell ref="OJ567:OL567"/>
    <mergeCell ref="ON567:OP567"/>
    <mergeCell ref="ND567:NF567"/>
    <mergeCell ref="NH567:NJ567"/>
    <mergeCell ref="NL567:NN567"/>
    <mergeCell ref="NP567:NR567"/>
    <mergeCell ref="NT567:NV567"/>
    <mergeCell ref="MJ567:ML567"/>
    <mergeCell ref="MN567:MP567"/>
    <mergeCell ref="MR567:MT567"/>
    <mergeCell ref="MV567:MX567"/>
    <mergeCell ref="MZ567:NB567"/>
    <mergeCell ref="LP567:LR567"/>
    <mergeCell ref="LT567:LV567"/>
    <mergeCell ref="LX567:LZ567"/>
    <mergeCell ref="MB567:MD567"/>
    <mergeCell ref="MF567:MH567"/>
    <mergeCell ref="KV567:KX567"/>
    <mergeCell ref="KZ567:LB567"/>
    <mergeCell ref="LD567:LF567"/>
    <mergeCell ref="LH567:LJ567"/>
    <mergeCell ref="LL567:LN567"/>
    <mergeCell ref="UV567:UX567"/>
    <mergeCell ref="UZ567:VB567"/>
    <mergeCell ref="VD567:VF567"/>
    <mergeCell ref="VH567:VJ567"/>
    <mergeCell ref="VL567:VN567"/>
    <mergeCell ref="UB567:UD567"/>
    <mergeCell ref="UF567:UH567"/>
    <mergeCell ref="UJ567:UL567"/>
    <mergeCell ref="UN567:UP567"/>
    <mergeCell ref="UR567:UT567"/>
    <mergeCell ref="TH567:TJ567"/>
    <mergeCell ref="TL567:TN567"/>
    <mergeCell ref="TP567:TR567"/>
    <mergeCell ref="TT567:TV567"/>
    <mergeCell ref="TX567:TZ567"/>
    <mergeCell ref="SN567:SP567"/>
    <mergeCell ref="SR567:ST567"/>
    <mergeCell ref="SV567:SX567"/>
    <mergeCell ref="SZ567:TB567"/>
    <mergeCell ref="TD567:TF567"/>
    <mergeCell ref="RT567:RV567"/>
    <mergeCell ref="RX567:RZ567"/>
    <mergeCell ref="SB567:SD567"/>
    <mergeCell ref="SF567:SH567"/>
    <mergeCell ref="SJ567:SL567"/>
    <mergeCell ref="QZ567:RB567"/>
    <mergeCell ref="RD567:RF567"/>
    <mergeCell ref="RH567:RJ567"/>
    <mergeCell ref="RL567:RN567"/>
    <mergeCell ref="RP567:RR567"/>
    <mergeCell ref="QF567:QH567"/>
    <mergeCell ref="QJ567:QL567"/>
    <mergeCell ref="QN567:QP567"/>
    <mergeCell ref="QR567:QT567"/>
    <mergeCell ref="QV567:QX567"/>
    <mergeCell ref="AAF567:AAH567"/>
    <mergeCell ref="AAJ567:AAL567"/>
    <mergeCell ref="AAN567:AAP567"/>
    <mergeCell ref="AAR567:AAT567"/>
    <mergeCell ref="AAV567:AAX567"/>
    <mergeCell ref="ZL567:ZN567"/>
    <mergeCell ref="ZP567:ZR567"/>
    <mergeCell ref="ZT567:ZV567"/>
    <mergeCell ref="ZX567:ZZ567"/>
    <mergeCell ref="AAB567:AAD567"/>
    <mergeCell ref="YR567:YT567"/>
    <mergeCell ref="YV567:YX567"/>
    <mergeCell ref="YZ567:ZB567"/>
    <mergeCell ref="ZD567:ZF567"/>
    <mergeCell ref="ZH567:ZJ567"/>
    <mergeCell ref="XX567:XZ567"/>
    <mergeCell ref="YB567:YD567"/>
    <mergeCell ref="YF567:YH567"/>
    <mergeCell ref="YJ567:YL567"/>
    <mergeCell ref="YN567:YP567"/>
    <mergeCell ref="XD567:XF567"/>
    <mergeCell ref="XH567:XJ567"/>
    <mergeCell ref="XL567:XN567"/>
    <mergeCell ref="XP567:XR567"/>
    <mergeCell ref="XT567:XV567"/>
    <mergeCell ref="WJ567:WL567"/>
    <mergeCell ref="WN567:WP567"/>
    <mergeCell ref="WR567:WT567"/>
    <mergeCell ref="WV567:WX567"/>
    <mergeCell ref="WZ567:XB567"/>
    <mergeCell ref="VP567:VR567"/>
    <mergeCell ref="VT567:VV567"/>
    <mergeCell ref="VX567:VZ567"/>
    <mergeCell ref="WB567:WD567"/>
    <mergeCell ref="WF567:WH567"/>
    <mergeCell ref="AFP567:AFR567"/>
    <mergeCell ref="AFT567:AFV567"/>
    <mergeCell ref="AFX567:AFZ567"/>
    <mergeCell ref="AGB567:AGD567"/>
    <mergeCell ref="AGF567:AGH567"/>
    <mergeCell ref="AEV567:AEX567"/>
    <mergeCell ref="AEZ567:AFB567"/>
    <mergeCell ref="AFD567:AFF567"/>
    <mergeCell ref="AFH567:AFJ567"/>
    <mergeCell ref="AFL567:AFN567"/>
    <mergeCell ref="AEB567:AED567"/>
    <mergeCell ref="AEF567:AEH567"/>
    <mergeCell ref="AEJ567:AEL567"/>
    <mergeCell ref="AEN567:AEP567"/>
    <mergeCell ref="AER567:AET567"/>
    <mergeCell ref="ADH567:ADJ567"/>
    <mergeCell ref="ADL567:ADN567"/>
    <mergeCell ref="ADP567:ADR567"/>
    <mergeCell ref="ADT567:ADV567"/>
    <mergeCell ref="ADX567:ADZ567"/>
    <mergeCell ref="ACN567:ACP567"/>
    <mergeCell ref="ACR567:ACT567"/>
    <mergeCell ref="ACV567:ACX567"/>
    <mergeCell ref="ACZ567:ADB567"/>
    <mergeCell ref="ADD567:ADF567"/>
    <mergeCell ref="ABT567:ABV567"/>
    <mergeCell ref="ABX567:ABZ567"/>
    <mergeCell ref="ACB567:ACD567"/>
    <mergeCell ref="ACF567:ACH567"/>
    <mergeCell ref="ACJ567:ACL567"/>
    <mergeCell ref="AAZ567:ABB567"/>
    <mergeCell ref="ABD567:ABF567"/>
    <mergeCell ref="ABH567:ABJ567"/>
    <mergeCell ref="ABL567:ABN567"/>
    <mergeCell ref="ABP567:ABR567"/>
    <mergeCell ref="AKZ567:ALB567"/>
    <mergeCell ref="ALD567:ALF567"/>
    <mergeCell ref="ALH567:ALJ567"/>
    <mergeCell ref="ALL567:ALN567"/>
    <mergeCell ref="ALP567:ALR567"/>
    <mergeCell ref="AKF567:AKH567"/>
    <mergeCell ref="AKJ567:AKL567"/>
    <mergeCell ref="AKN567:AKP567"/>
    <mergeCell ref="AKR567:AKT567"/>
    <mergeCell ref="AKV567:AKX567"/>
    <mergeCell ref="AJL567:AJN567"/>
    <mergeCell ref="AJP567:AJR567"/>
    <mergeCell ref="AJT567:AJV567"/>
    <mergeCell ref="AJX567:AJZ567"/>
    <mergeCell ref="AKB567:AKD567"/>
    <mergeCell ref="AIR567:AIT567"/>
    <mergeCell ref="AIV567:AIX567"/>
    <mergeCell ref="AIZ567:AJB567"/>
    <mergeCell ref="AJD567:AJF567"/>
    <mergeCell ref="AJH567:AJJ567"/>
    <mergeCell ref="AHX567:AHZ567"/>
    <mergeCell ref="AIB567:AID567"/>
    <mergeCell ref="AIF567:AIH567"/>
    <mergeCell ref="AIJ567:AIL567"/>
    <mergeCell ref="AIN567:AIP567"/>
    <mergeCell ref="AHD567:AHF567"/>
    <mergeCell ref="AHH567:AHJ567"/>
    <mergeCell ref="AHL567:AHN567"/>
    <mergeCell ref="AHP567:AHR567"/>
    <mergeCell ref="AHT567:AHV567"/>
    <mergeCell ref="AGJ567:AGL567"/>
    <mergeCell ref="AGN567:AGP567"/>
    <mergeCell ref="AGR567:AGT567"/>
    <mergeCell ref="AGV567:AGX567"/>
    <mergeCell ref="AGZ567:AHB567"/>
    <mergeCell ref="AQJ567:AQL567"/>
    <mergeCell ref="AQN567:AQP567"/>
    <mergeCell ref="AQR567:AQT567"/>
    <mergeCell ref="AQV567:AQX567"/>
    <mergeCell ref="AQZ567:ARB567"/>
    <mergeCell ref="APP567:APR567"/>
    <mergeCell ref="APT567:APV567"/>
    <mergeCell ref="APX567:APZ567"/>
    <mergeCell ref="AQB567:AQD567"/>
    <mergeCell ref="AQF567:AQH567"/>
    <mergeCell ref="AOV567:AOX567"/>
    <mergeCell ref="AOZ567:APB567"/>
    <mergeCell ref="APD567:APF567"/>
    <mergeCell ref="APH567:APJ567"/>
    <mergeCell ref="APL567:APN567"/>
    <mergeCell ref="AOB567:AOD567"/>
    <mergeCell ref="AOF567:AOH567"/>
    <mergeCell ref="AOJ567:AOL567"/>
    <mergeCell ref="AON567:AOP567"/>
    <mergeCell ref="AOR567:AOT567"/>
    <mergeCell ref="ANH567:ANJ567"/>
    <mergeCell ref="ANL567:ANN567"/>
    <mergeCell ref="ANP567:ANR567"/>
    <mergeCell ref="ANT567:ANV567"/>
    <mergeCell ref="ANX567:ANZ567"/>
    <mergeCell ref="AMN567:AMP567"/>
    <mergeCell ref="AMR567:AMT567"/>
    <mergeCell ref="AMV567:AMX567"/>
    <mergeCell ref="AMZ567:ANB567"/>
    <mergeCell ref="AND567:ANF567"/>
    <mergeCell ref="ALT567:ALV567"/>
    <mergeCell ref="ALX567:ALZ567"/>
    <mergeCell ref="AMB567:AMD567"/>
    <mergeCell ref="AMF567:AMH567"/>
    <mergeCell ref="AMJ567:AML567"/>
    <mergeCell ref="AVT567:AVV567"/>
    <mergeCell ref="AVX567:AVZ567"/>
    <mergeCell ref="AWB567:AWD567"/>
    <mergeCell ref="AWF567:AWH567"/>
    <mergeCell ref="AWJ567:AWL567"/>
    <mergeCell ref="AUZ567:AVB567"/>
    <mergeCell ref="AVD567:AVF567"/>
    <mergeCell ref="AVH567:AVJ567"/>
    <mergeCell ref="AVL567:AVN567"/>
    <mergeCell ref="AVP567:AVR567"/>
    <mergeCell ref="AUF567:AUH567"/>
    <mergeCell ref="AUJ567:AUL567"/>
    <mergeCell ref="AUN567:AUP567"/>
    <mergeCell ref="AUR567:AUT567"/>
    <mergeCell ref="AUV567:AUX567"/>
    <mergeCell ref="ATL567:ATN567"/>
    <mergeCell ref="ATP567:ATR567"/>
    <mergeCell ref="ATT567:ATV567"/>
    <mergeCell ref="ATX567:ATZ567"/>
    <mergeCell ref="AUB567:AUD567"/>
    <mergeCell ref="ASR567:AST567"/>
    <mergeCell ref="ASV567:ASX567"/>
    <mergeCell ref="ASZ567:ATB567"/>
    <mergeCell ref="ATD567:ATF567"/>
    <mergeCell ref="ATH567:ATJ567"/>
    <mergeCell ref="ARX567:ARZ567"/>
    <mergeCell ref="ASB567:ASD567"/>
    <mergeCell ref="ASF567:ASH567"/>
    <mergeCell ref="ASJ567:ASL567"/>
    <mergeCell ref="ASN567:ASP567"/>
    <mergeCell ref="ARD567:ARF567"/>
    <mergeCell ref="ARH567:ARJ567"/>
    <mergeCell ref="ARL567:ARN567"/>
    <mergeCell ref="ARP567:ARR567"/>
    <mergeCell ref="ART567:ARV567"/>
    <mergeCell ref="BBD567:BBF567"/>
    <mergeCell ref="BBH567:BBJ567"/>
    <mergeCell ref="BBL567:BBN567"/>
    <mergeCell ref="BBP567:BBR567"/>
    <mergeCell ref="BBT567:BBV567"/>
    <mergeCell ref="BAJ567:BAL567"/>
    <mergeCell ref="BAN567:BAP567"/>
    <mergeCell ref="BAR567:BAT567"/>
    <mergeCell ref="BAV567:BAX567"/>
    <mergeCell ref="BAZ567:BBB567"/>
    <mergeCell ref="AZP567:AZR567"/>
    <mergeCell ref="AZT567:AZV567"/>
    <mergeCell ref="AZX567:AZZ567"/>
    <mergeCell ref="BAB567:BAD567"/>
    <mergeCell ref="BAF567:BAH567"/>
    <mergeCell ref="AYV567:AYX567"/>
    <mergeCell ref="AYZ567:AZB567"/>
    <mergeCell ref="AZD567:AZF567"/>
    <mergeCell ref="AZH567:AZJ567"/>
    <mergeCell ref="AZL567:AZN567"/>
    <mergeCell ref="AYB567:AYD567"/>
    <mergeCell ref="AYF567:AYH567"/>
    <mergeCell ref="AYJ567:AYL567"/>
    <mergeCell ref="AYN567:AYP567"/>
    <mergeCell ref="AYR567:AYT567"/>
    <mergeCell ref="AXH567:AXJ567"/>
    <mergeCell ref="AXL567:AXN567"/>
    <mergeCell ref="AXP567:AXR567"/>
    <mergeCell ref="AXT567:AXV567"/>
    <mergeCell ref="AXX567:AXZ567"/>
    <mergeCell ref="AWN567:AWP567"/>
    <mergeCell ref="AWR567:AWT567"/>
    <mergeCell ref="AWV567:AWX567"/>
    <mergeCell ref="AWZ567:AXB567"/>
    <mergeCell ref="AXD567:AXF567"/>
    <mergeCell ref="BGN567:BGP567"/>
    <mergeCell ref="BGR567:BGT567"/>
    <mergeCell ref="BGV567:BGX567"/>
    <mergeCell ref="BGZ567:BHB567"/>
    <mergeCell ref="BHD567:BHF567"/>
    <mergeCell ref="BFT567:BFV567"/>
    <mergeCell ref="BFX567:BFZ567"/>
    <mergeCell ref="BGB567:BGD567"/>
    <mergeCell ref="BGF567:BGH567"/>
    <mergeCell ref="BGJ567:BGL567"/>
    <mergeCell ref="BEZ567:BFB567"/>
    <mergeCell ref="BFD567:BFF567"/>
    <mergeCell ref="BFH567:BFJ567"/>
    <mergeCell ref="BFL567:BFN567"/>
    <mergeCell ref="BFP567:BFR567"/>
    <mergeCell ref="BEF567:BEH567"/>
    <mergeCell ref="BEJ567:BEL567"/>
    <mergeCell ref="BEN567:BEP567"/>
    <mergeCell ref="BER567:BET567"/>
    <mergeCell ref="BEV567:BEX567"/>
    <mergeCell ref="BDL567:BDN567"/>
    <mergeCell ref="BDP567:BDR567"/>
    <mergeCell ref="BDT567:BDV567"/>
    <mergeCell ref="BDX567:BDZ567"/>
    <mergeCell ref="BEB567:BED567"/>
    <mergeCell ref="BCR567:BCT567"/>
    <mergeCell ref="BCV567:BCX567"/>
    <mergeCell ref="BCZ567:BDB567"/>
    <mergeCell ref="BDD567:BDF567"/>
    <mergeCell ref="BDH567:BDJ567"/>
    <mergeCell ref="BBX567:BBZ567"/>
    <mergeCell ref="BCB567:BCD567"/>
    <mergeCell ref="BCF567:BCH567"/>
    <mergeCell ref="BCJ567:BCL567"/>
    <mergeCell ref="BCN567:BCP567"/>
    <mergeCell ref="BLX567:BLZ567"/>
    <mergeCell ref="BMB567:BMD567"/>
    <mergeCell ref="BMF567:BMH567"/>
    <mergeCell ref="BMJ567:BML567"/>
    <mergeCell ref="BMN567:BMP567"/>
    <mergeCell ref="BLD567:BLF567"/>
    <mergeCell ref="BLH567:BLJ567"/>
    <mergeCell ref="BLL567:BLN567"/>
    <mergeCell ref="BLP567:BLR567"/>
    <mergeCell ref="BLT567:BLV567"/>
    <mergeCell ref="BKJ567:BKL567"/>
    <mergeCell ref="BKN567:BKP567"/>
    <mergeCell ref="BKR567:BKT567"/>
    <mergeCell ref="BKV567:BKX567"/>
    <mergeCell ref="BKZ567:BLB567"/>
    <mergeCell ref="BJP567:BJR567"/>
    <mergeCell ref="BJT567:BJV567"/>
    <mergeCell ref="BJX567:BJZ567"/>
    <mergeCell ref="BKB567:BKD567"/>
    <mergeCell ref="BKF567:BKH567"/>
    <mergeCell ref="BIV567:BIX567"/>
    <mergeCell ref="BIZ567:BJB567"/>
    <mergeCell ref="BJD567:BJF567"/>
    <mergeCell ref="BJH567:BJJ567"/>
    <mergeCell ref="BJL567:BJN567"/>
    <mergeCell ref="BIB567:BID567"/>
    <mergeCell ref="BIF567:BIH567"/>
    <mergeCell ref="BIJ567:BIL567"/>
    <mergeCell ref="BIN567:BIP567"/>
    <mergeCell ref="BIR567:BIT567"/>
    <mergeCell ref="BHH567:BHJ567"/>
    <mergeCell ref="BHL567:BHN567"/>
    <mergeCell ref="BHP567:BHR567"/>
    <mergeCell ref="BHT567:BHV567"/>
    <mergeCell ref="BHX567:BHZ567"/>
    <mergeCell ref="BRH567:BRJ567"/>
    <mergeCell ref="BRL567:BRN567"/>
    <mergeCell ref="BRP567:BRR567"/>
    <mergeCell ref="BRT567:BRV567"/>
    <mergeCell ref="BRX567:BRZ567"/>
    <mergeCell ref="BQN567:BQP567"/>
    <mergeCell ref="BQR567:BQT567"/>
    <mergeCell ref="BQV567:BQX567"/>
    <mergeCell ref="BQZ567:BRB567"/>
    <mergeCell ref="BRD567:BRF567"/>
    <mergeCell ref="BPT567:BPV567"/>
    <mergeCell ref="BPX567:BPZ567"/>
    <mergeCell ref="BQB567:BQD567"/>
    <mergeCell ref="BQF567:BQH567"/>
    <mergeCell ref="BQJ567:BQL567"/>
    <mergeCell ref="BOZ567:BPB567"/>
    <mergeCell ref="BPD567:BPF567"/>
    <mergeCell ref="BPH567:BPJ567"/>
    <mergeCell ref="BPL567:BPN567"/>
    <mergeCell ref="BPP567:BPR567"/>
    <mergeCell ref="BOF567:BOH567"/>
    <mergeCell ref="BOJ567:BOL567"/>
    <mergeCell ref="BON567:BOP567"/>
    <mergeCell ref="BOR567:BOT567"/>
    <mergeCell ref="BOV567:BOX567"/>
    <mergeCell ref="BNL567:BNN567"/>
    <mergeCell ref="BNP567:BNR567"/>
    <mergeCell ref="BNT567:BNV567"/>
    <mergeCell ref="BNX567:BNZ567"/>
    <mergeCell ref="BOB567:BOD567"/>
    <mergeCell ref="BMR567:BMT567"/>
    <mergeCell ref="BMV567:BMX567"/>
    <mergeCell ref="BMZ567:BNB567"/>
    <mergeCell ref="BND567:BNF567"/>
    <mergeCell ref="BNH567:BNJ567"/>
    <mergeCell ref="BWR567:BWT567"/>
    <mergeCell ref="BWV567:BWX567"/>
    <mergeCell ref="BWZ567:BXB567"/>
    <mergeCell ref="BXD567:BXF567"/>
    <mergeCell ref="BXH567:BXJ567"/>
    <mergeCell ref="BVX567:BVZ567"/>
    <mergeCell ref="BWB567:BWD567"/>
    <mergeCell ref="BWF567:BWH567"/>
    <mergeCell ref="BWJ567:BWL567"/>
    <mergeCell ref="BWN567:BWP567"/>
    <mergeCell ref="BVD567:BVF567"/>
    <mergeCell ref="BVH567:BVJ567"/>
    <mergeCell ref="BVL567:BVN567"/>
    <mergeCell ref="BVP567:BVR567"/>
    <mergeCell ref="BVT567:BVV567"/>
    <mergeCell ref="BUJ567:BUL567"/>
    <mergeCell ref="BUN567:BUP567"/>
    <mergeCell ref="BUR567:BUT567"/>
    <mergeCell ref="BUV567:BUX567"/>
    <mergeCell ref="BUZ567:BVB567"/>
    <mergeCell ref="BTP567:BTR567"/>
    <mergeCell ref="BTT567:BTV567"/>
    <mergeCell ref="BTX567:BTZ567"/>
    <mergeCell ref="BUB567:BUD567"/>
    <mergeCell ref="BUF567:BUH567"/>
    <mergeCell ref="BSV567:BSX567"/>
    <mergeCell ref="BSZ567:BTB567"/>
    <mergeCell ref="BTD567:BTF567"/>
    <mergeCell ref="BTH567:BTJ567"/>
    <mergeCell ref="BTL567:BTN567"/>
    <mergeCell ref="BSB567:BSD567"/>
    <mergeCell ref="BSF567:BSH567"/>
    <mergeCell ref="BSJ567:BSL567"/>
    <mergeCell ref="BSN567:BSP567"/>
    <mergeCell ref="BSR567:BST567"/>
    <mergeCell ref="CCB567:CCD567"/>
    <mergeCell ref="CCF567:CCH567"/>
    <mergeCell ref="CCJ567:CCL567"/>
    <mergeCell ref="CCN567:CCP567"/>
    <mergeCell ref="CCR567:CCT567"/>
    <mergeCell ref="CBH567:CBJ567"/>
    <mergeCell ref="CBL567:CBN567"/>
    <mergeCell ref="CBP567:CBR567"/>
    <mergeCell ref="CBT567:CBV567"/>
    <mergeCell ref="CBX567:CBZ567"/>
    <mergeCell ref="CAN567:CAP567"/>
    <mergeCell ref="CAR567:CAT567"/>
    <mergeCell ref="CAV567:CAX567"/>
    <mergeCell ref="CAZ567:CBB567"/>
    <mergeCell ref="CBD567:CBF567"/>
    <mergeCell ref="BZT567:BZV567"/>
    <mergeCell ref="BZX567:BZZ567"/>
    <mergeCell ref="CAB567:CAD567"/>
    <mergeCell ref="CAF567:CAH567"/>
    <mergeCell ref="CAJ567:CAL567"/>
    <mergeCell ref="BYZ567:BZB567"/>
    <mergeCell ref="BZD567:BZF567"/>
    <mergeCell ref="BZH567:BZJ567"/>
    <mergeCell ref="BZL567:BZN567"/>
    <mergeCell ref="BZP567:BZR567"/>
    <mergeCell ref="BYF567:BYH567"/>
    <mergeCell ref="BYJ567:BYL567"/>
    <mergeCell ref="BYN567:BYP567"/>
    <mergeCell ref="BYR567:BYT567"/>
    <mergeCell ref="BYV567:BYX567"/>
    <mergeCell ref="BXL567:BXN567"/>
    <mergeCell ref="BXP567:BXR567"/>
    <mergeCell ref="BXT567:BXV567"/>
    <mergeCell ref="BXX567:BXZ567"/>
    <mergeCell ref="BYB567:BYD567"/>
    <mergeCell ref="CHL567:CHN567"/>
    <mergeCell ref="CHP567:CHR567"/>
    <mergeCell ref="CHT567:CHV567"/>
    <mergeCell ref="CHX567:CHZ567"/>
    <mergeCell ref="CIB567:CID567"/>
    <mergeCell ref="CGR567:CGT567"/>
    <mergeCell ref="CGV567:CGX567"/>
    <mergeCell ref="CGZ567:CHB567"/>
    <mergeCell ref="CHD567:CHF567"/>
    <mergeCell ref="CHH567:CHJ567"/>
    <mergeCell ref="CFX567:CFZ567"/>
    <mergeCell ref="CGB567:CGD567"/>
    <mergeCell ref="CGF567:CGH567"/>
    <mergeCell ref="CGJ567:CGL567"/>
    <mergeCell ref="CGN567:CGP567"/>
    <mergeCell ref="CFD567:CFF567"/>
    <mergeCell ref="CFH567:CFJ567"/>
    <mergeCell ref="CFL567:CFN567"/>
    <mergeCell ref="CFP567:CFR567"/>
    <mergeCell ref="CFT567:CFV567"/>
    <mergeCell ref="CEJ567:CEL567"/>
    <mergeCell ref="CEN567:CEP567"/>
    <mergeCell ref="CER567:CET567"/>
    <mergeCell ref="CEV567:CEX567"/>
    <mergeCell ref="CEZ567:CFB567"/>
    <mergeCell ref="CDP567:CDR567"/>
    <mergeCell ref="CDT567:CDV567"/>
    <mergeCell ref="CDX567:CDZ567"/>
    <mergeCell ref="CEB567:CED567"/>
    <mergeCell ref="CEF567:CEH567"/>
    <mergeCell ref="CCV567:CCX567"/>
    <mergeCell ref="CCZ567:CDB567"/>
    <mergeCell ref="CDD567:CDF567"/>
    <mergeCell ref="CDH567:CDJ567"/>
    <mergeCell ref="CDL567:CDN567"/>
    <mergeCell ref="CMV567:CMX567"/>
    <mergeCell ref="CMZ567:CNB567"/>
    <mergeCell ref="CND567:CNF567"/>
    <mergeCell ref="CNH567:CNJ567"/>
    <mergeCell ref="CNL567:CNN567"/>
    <mergeCell ref="CMB567:CMD567"/>
    <mergeCell ref="CMF567:CMH567"/>
    <mergeCell ref="CMJ567:CML567"/>
    <mergeCell ref="CMN567:CMP567"/>
    <mergeCell ref="CMR567:CMT567"/>
    <mergeCell ref="CLH567:CLJ567"/>
    <mergeCell ref="CLL567:CLN567"/>
    <mergeCell ref="CLP567:CLR567"/>
    <mergeCell ref="CLT567:CLV567"/>
    <mergeCell ref="CLX567:CLZ567"/>
    <mergeCell ref="CKN567:CKP567"/>
    <mergeCell ref="CKR567:CKT567"/>
    <mergeCell ref="CKV567:CKX567"/>
    <mergeCell ref="CKZ567:CLB567"/>
    <mergeCell ref="CLD567:CLF567"/>
    <mergeCell ref="CJT567:CJV567"/>
    <mergeCell ref="CJX567:CJZ567"/>
    <mergeCell ref="CKB567:CKD567"/>
    <mergeCell ref="CKF567:CKH567"/>
    <mergeCell ref="CKJ567:CKL567"/>
    <mergeCell ref="CIZ567:CJB567"/>
    <mergeCell ref="CJD567:CJF567"/>
    <mergeCell ref="CJH567:CJJ567"/>
    <mergeCell ref="CJL567:CJN567"/>
    <mergeCell ref="CJP567:CJR567"/>
    <mergeCell ref="CIF567:CIH567"/>
    <mergeCell ref="CIJ567:CIL567"/>
    <mergeCell ref="CIN567:CIP567"/>
    <mergeCell ref="CIR567:CIT567"/>
    <mergeCell ref="CIV567:CIX567"/>
    <mergeCell ref="CSF567:CSH567"/>
    <mergeCell ref="CSJ567:CSL567"/>
    <mergeCell ref="CSN567:CSP567"/>
    <mergeCell ref="CSR567:CST567"/>
    <mergeCell ref="CSV567:CSX567"/>
    <mergeCell ref="CRL567:CRN567"/>
    <mergeCell ref="CRP567:CRR567"/>
    <mergeCell ref="CRT567:CRV567"/>
    <mergeCell ref="CRX567:CRZ567"/>
    <mergeCell ref="CSB567:CSD567"/>
    <mergeCell ref="CQR567:CQT567"/>
    <mergeCell ref="CQV567:CQX567"/>
    <mergeCell ref="CQZ567:CRB567"/>
    <mergeCell ref="CRD567:CRF567"/>
    <mergeCell ref="CRH567:CRJ567"/>
    <mergeCell ref="CPX567:CPZ567"/>
    <mergeCell ref="CQB567:CQD567"/>
    <mergeCell ref="CQF567:CQH567"/>
    <mergeCell ref="CQJ567:CQL567"/>
    <mergeCell ref="CQN567:CQP567"/>
    <mergeCell ref="CPD567:CPF567"/>
    <mergeCell ref="CPH567:CPJ567"/>
    <mergeCell ref="CPL567:CPN567"/>
    <mergeCell ref="CPP567:CPR567"/>
    <mergeCell ref="CPT567:CPV567"/>
    <mergeCell ref="COJ567:COL567"/>
    <mergeCell ref="CON567:COP567"/>
    <mergeCell ref="COR567:COT567"/>
    <mergeCell ref="COV567:COX567"/>
    <mergeCell ref="COZ567:CPB567"/>
    <mergeCell ref="CNP567:CNR567"/>
    <mergeCell ref="CNT567:CNV567"/>
    <mergeCell ref="CNX567:CNZ567"/>
    <mergeCell ref="COB567:COD567"/>
    <mergeCell ref="COF567:COH567"/>
    <mergeCell ref="CXP567:CXR567"/>
    <mergeCell ref="CXT567:CXV567"/>
    <mergeCell ref="CXX567:CXZ567"/>
    <mergeCell ref="CYB567:CYD567"/>
    <mergeCell ref="CYF567:CYH567"/>
    <mergeCell ref="CWV567:CWX567"/>
    <mergeCell ref="CWZ567:CXB567"/>
    <mergeCell ref="CXD567:CXF567"/>
    <mergeCell ref="CXH567:CXJ567"/>
    <mergeCell ref="CXL567:CXN567"/>
    <mergeCell ref="CWB567:CWD567"/>
    <mergeCell ref="CWF567:CWH567"/>
    <mergeCell ref="CWJ567:CWL567"/>
    <mergeCell ref="CWN567:CWP567"/>
    <mergeCell ref="CWR567:CWT567"/>
    <mergeCell ref="CVH567:CVJ567"/>
    <mergeCell ref="CVL567:CVN567"/>
    <mergeCell ref="CVP567:CVR567"/>
    <mergeCell ref="CVT567:CVV567"/>
    <mergeCell ref="CVX567:CVZ567"/>
    <mergeCell ref="CUN567:CUP567"/>
    <mergeCell ref="CUR567:CUT567"/>
    <mergeCell ref="CUV567:CUX567"/>
    <mergeCell ref="CUZ567:CVB567"/>
    <mergeCell ref="CVD567:CVF567"/>
    <mergeCell ref="CTT567:CTV567"/>
    <mergeCell ref="CTX567:CTZ567"/>
    <mergeCell ref="CUB567:CUD567"/>
    <mergeCell ref="CUF567:CUH567"/>
    <mergeCell ref="CUJ567:CUL567"/>
    <mergeCell ref="CSZ567:CTB567"/>
    <mergeCell ref="CTD567:CTF567"/>
    <mergeCell ref="CTH567:CTJ567"/>
    <mergeCell ref="CTL567:CTN567"/>
    <mergeCell ref="CTP567:CTR567"/>
    <mergeCell ref="DCZ567:DDB567"/>
    <mergeCell ref="DDD567:DDF567"/>
    <mergeCell ref="DDH567:DDJ567"/>
    <mergeCell ref="DDL567:DDN567"/>
    <mergeCell ref="DDP567:DDR567"/>
    <mergeCell ref="DCF567:DCH567"/>
    <mergeCell ref="DCJ567:DCL567"/>
    <mergeCell ref="DCN567:DCP567"/>
    <mergeCell ref="DCR567:DCT567"/>
    <mergeCell ref="DCV567:DCX567"/>
    <mergeCell ref="DBL567:DBN567"/>
    <mergeCell ref="DBP567:DBR567"/>
    <mergeCell ref="DBT567:DBV567"/>
    <mergeCell ref="DBX567:DBZ567"/>
    <mergeCell ref="DCB567:DCD567"/>
    <mergeCell ref="DAR567:DAT567"/>
    <mergeCell ref="DAV567:DAX567"/>
    <mergeCell ref="DAZ567:DBB567"/>
    <mergeCell ref="DBD567:DBF567"/>
    <mergeCell ref="DBH567:DBJ567"/>
    <mergeCell ref="CZX567:CZZ567"/>
    <mergeCell ref="DAB567:DAD567"/>
    <mergeCell ref="DAF567:DAH567"/>
    <mergeCell ref="DAJ567:DAL567"/>
    <mergeCell ref="DAN567:DAP567"/>
    <mergeCell ref="CZD567:CZF567"/>
    <mergeCell ref="CZH567:CZJ567"/>
    <mergeCell ref="CZL567:CZN567"/>
    <mergeCell ref="CZP567:CZR567"/>
    <mergeCell ref="CZT567:CZV567"/>
    <mergeCell ref="CYJ567:CYL567"/>
    <mergeCell ref="CYN567:CYP567"/>
    <mergeCell ref="CYR567:CYT567"/>
    <mergeCell ref="CYV567:CYX567"/>
    <mergeCell ref="CYZ567:CZB567"/>
    <mergeCell ref="DIJ567:DIL567"/>
    <mergeCell ref="DIN567:DIP567"/>
    <mergeCell ref="DIR567:DIT567"/>
    <mergeCell ref="DIV567:DIX567"/>
    <mergeCell ref="DIZ567:DJB567"/>
    <mergeCell ref="DHP567:DHR567"/>
    <mergeCell ref="DHT567:DHV567"/>
    <mergeCell ref="DHX567:DHZ567"/>
    <mergeCell ref="DIB567:DID567"/>
    <mergeCell ref="DIF567:DIH567"/>
    <mergeCell ref="DGV567:DGX567"/>
    <mergeCell ref="DGZ567:DHB567"/>
    <mergeCell ref="DHD567:DHF567"/>
    <mergeCell ref="DHH567:DHJ567"/>
    <mergeCell ref="DHL567:DHN567"/>
    <mergeCell ref="DGB567:DGD567"/>
    <mergeCell ref="DGF567:DGH567"/>
    <mergeCell ref="DGJ567:DGL567"/>
    <mergeCell ref="DGN567:DGP567"/>
    <mergeCell ref="DGR567:DGT567"/>
    <mergeCell ref="DFH567:DFJ567"/>
    <mergeCell ref="DFL567:DFN567"/>
    <mergeCell ref="DFP567:DFR567"/>
    <mergeCell ref="DFT567:DFV567"/>
    <mergeCell ref="DFX567:DFZ567"/>
    <mergeCell ref="DEN567:DEP567"/>
    <mergeCell ref="DER567:DET567"/>
    <mergeCell ref="DEV567:DEX567"/>
    <mergeCell ref="DEZ567:DFB567"/>
    <mergeCell ref="DFD567:DFF567"/>
    <mergeCell ref="DDT567:DDV567"/>
    <mergeCell ref="DDX567:DDZ567"/>
    <mergeCell ref="DEB567:DED567"/>
    <mergeCell ref="DEF567:DEH567"/>
    <mergeCell ref="DEJ567:DEL567"/>
    <mergeCell ref="DNT567:DNV567"/>
    <mergeCell ref="DNX567:DNZ567"/>
    <mergeCell ref="DOB567:DOD567"/>
    <mergeCell ref="DOF567:DOH567"/>
    <mergeCell ref="DOJ567:DOL567"/>
    <mergeCell ref="DMZ567:DNB567"/>
    <mergeCell ref="DND567:DNF567"/>
    <mergeCell ref="DNH567:DNJ567"/>
    <mergeCell ref="DNL567:DNN567"/>
    <mergeCell ref="DNP567:DNR567"/>
    <mergeCell ref="DMF567:DMH567"/>
    <mergeCell ref="DMJ567:DML567"/>
    <mergeCell ref="DMN567:DMP567"/>
    <mergeCell ref="DMR567:DMT567"/>
    <mergeCell ref="DMV567:DMX567"/>
    <mergeCell ref="DLL567:DLN567"/>
    <mergeCell ref="DLP567:DLR567"/>
    <mergeCell ref="DLT567:DLV567"/>
    <mergeCell ref="DLX567:DLZ567"/>
    <mergeCell ref="DMB567:DMD567"/>
    <mergeCell ref="DKR567:DKT567"/>
    <mergeCell ref="DKV567:DKX567"/>
    <mergeCell ref="DKZ567:DLB567"/>
    <mergeCell ref="DLD567:DLF567"/>
    <mergeCell ref="DLH567:DLJ567"/>
    <mergeCell ref="DJX567:DJZ567"/>
    <mergeCell ref="DKB567:DKD567"/>
    <mergeCell ref="DKF567:DKH567"/>
    <mergeCell ref="DKJ567:DKL567"/>
    <mergeCell ref="DKN567:DKP567"/>
    <mergeCell ref="DJD567:DJF567"/>
    <mergeCell ref="DJH567:DJJ567"/>
    <mergeCell ref="DJL567:DJN567"/>
    <mergeCell ref="DJP567:DJR567"/>
    <mergeCell ref="DJT567:DJV567"/>
    <mergeCell ref="DTD567:DTF567"/>
    <mergeCell ref="DTH567:DTJ567"/>
    <mergeCell ref="DTL567:DTN567"/>
    <mergeCell ref="DTP567:DTR567"/>
    <mergeCell ref="DTT567:DTV567"/>
    <mergeCell ref="DSJ567:DSL567"/>
    <mergeCell ref="DSN567:DSP567"/>
    <mergeCell ref="DSR567:DST567"/>
    <mergeCell ref="DSV567:DSX567"/>
    <mergeCell ref="DSZ567:DTB567"/>
    <mergeCell ref="DRP567:DRR567"/>
    <mergeCell ref="DRT567:DRV567"/>
    <mergeCell ref="DRX567:DRZ567"/>
    <mergeCell ref="DSB567:DSD567"/>
    <mergeCell ref="DSF567:DSH567"/>
    <mergeCell ref="DQV567:DQX567"/>
    <mergeCell ref="DQZ567:DRB567"/>
    <mergeCell ref="DRD567:DRF567"/>
    <mergeCell ref="DRH567:DRJ567"/>
    <mergeCell ref="DRL567:DRN567"/>
    <mergeCell ref="DQB567:DQD567"/>
    <mergeCell ref="DQF567:DQH567"/>
    <mergeCell ref="DQJ567:DQL567"/>
    <mergeCell ref="DQN567:DQP567"/>
    <mergeCell ref="DQR567:DQT567"/>
    <mergeCell ref="DPH567:DPJ567"/>
    <mergeCell ref="DPL567:DPN567"/>
    <mergeCell ref="DPP567:DPR567"/>
    <mergeCell ref="DPT567:DPV567"/>
    <mergeCell ref="DPX567:DPZ567"/>
    <mergeCell ref="DON567:DOP567"/>
    <mergeCell ref="DOR567:DOT567"/>
    <mergeCell ref="DOV567:DOX567"/>
    <mergeCell ref="DOZ567:DPB567"/>
    <mergeCell ref="DPD567:DPF567"/>
    <mergeCell ref="DYN567:DYP567"/>
    <mergeCell ref="DYR567:DYT567"/>
    <mergeCell ref="DYV567:DYX567"/>
    <mergeCell ref="DYZ567:DZB567"/>
    <mergeCell ref="DZD567:DZF567"/>
    <mergeCell ref="DXT567:DXV567"/>
    <mergeCell ref="DXX567:DXZ567"/>
    <mergeCell ref="DYB567:DYD567"/>
    <mergeCell ref="DYF567:DYH567"/>
    <mergeCell ref="DYJ567:DYL567"/>
    <mergeCell ref="DWZ567:DXB567"/>
    <mergeCell ref="DXD567:DXF567"/>
    <mergeCell ref="DXH567:DXJ567"/>
    <mergeCell ref="DXL567:DXN567"/>
    <mergeCell ref="DXP567:DXR567"/>
    <mergeCell ref="DWF567:DWH567"/>
    <mergeCell ref="DWJ567:DWL567"/>
    <mergeCell ref="DWN567:DWP567"/>
    <mergeCell ref="DWR567:DWT567"/>
    <mergeCell ref="DWV567:DWX567"/>
    <mergeCell ref="DVL567:DVN567"/>
    <mergeCell ref="DVP567:DVR567"/>
    <mergeCell ref="DVT567:DVV567"/>
    <mergeCell ref="DVX567:DVZ567"/>
    <mergeCell ref="DWB567:DWD567"/>
    <mergeCell ref="DUR567:DUT567"/>
    <mergeCell ref="DUV567:DUX567"/>
    <mergeCell ref="DUZ567:DVB567"/>
    <mergeCell ref="DVD567:DVF567"/>
    <mergeCell ref="DVH567:DVJ567"/>
    <mergeCell ref="DTX567:DTZ567"/>
    <mergeCell ref="DUB567:DUD567"/>
    <mergeCell ref="DUF567:DUH567"/>
    <mergeCell ref="DUJ567:DUL567"/>
    <mergeCell ref="DUN567:DUP567"/>
    <mergeCell ref="EDX567:EDZ567"/>
    <mergeCell ref="EEB567:EED567"/>
    <mergeCell ref="EEF567:EEH567"/>
    <mergeCell ref="EEJ567:EEL567"/>
    <mergeCell ref="EEN567:EEP567"/>
    <mergeCell ref="EDD567:EDF567"/>
    <mergeCell ref="EDH567:EDJ567"/>
    <mergeCell ref="EDL567:EDN567"/>
    <mergeCell ref="EDP567:EDR567"/>
    <mergeCell ref="EDT567:EDV567"/>
    <mergeCell ref="ECJ567:ECL567"/>
    <mergeCell ref="ECN567:ECP567"/>
    <mergeCell ref="ECR567:ECT567"/>
    <mergeCell ref="ECV567:ECX567"/>
    <mergeCell ref="ECZ567:EDB567"/>
    <mergeCell ref="EBP567:EBR567"/>
    <mergeCell ref="EBT567:EBV567"/>
    <mergeCell ref="EBX567:EBZ567"/>
    <mergeCell ref="ECB567:ECD567"/>
    <mergeCell ref="ECF567:ECH567"/>
    <mergeCell ref="EAV567:EAX567"/>
    <mergeCell ref="EAZ567:EBB567"/>
    <mergeCell ref="EBD567:EBF567"/>
    <mergeCell ref="EBH567:EBJ567"/>
    <mergeCell ref="EBL567:EBN567"/>
    <mergeCell ref="EAB567:EAD567"/>
    <mergeCell ref="EAF567:EAH567"/>
    <mergeCell ref="EAJ567:EAL567"/>
    <mergeCell ref="EAN567:EAP567"/>
    <mergeCell ref="EAR567:EAT567"/>
    <mergeCell ref="DZH567:DZJ567"/>
    <mergeCell ref="DZL567:DZN567"/>
    <mergeCell ref="DZP567:DZR567"/>
    <mergeCell ref="DZT567:DZV567"/>
    <mergeCell ref="DZX567:DZZ567"/>
    <mergeCell ref="EJH567:EJJ567"/>
    <mergeCell ref="EJL567:EJN567"/>
    <mergeCell ref="EJP567:EJR567"/>
    <mergeCell ref="EJT567:EJV567"/>
    <mergeCell ref="EJX567:EJZ567"/>
    <mergeCell ref="EIN567:EIP567"/>
    <mergeCell ref="EIR567:EIT567"/>
    <mergeCell ref="EIV567:EIX567"/>
    <mergeCell ref="EIZ567:EJB567"/>
    <mergeCell ref="EJD567:EJF567"/>
    <mergeCell ref="EHT567:EHV567"/>
    <mergeCell ref="EHX567:EHZ567"/>
    <mergeCell ref="EIB567:EID567"/>
    <mergeCell ref="EIF567:EIH567"/>
    <mergeCell ref="EIJ567:EIL567"/>
    <mergeCell ref="EGZ567:EHB567"/>
    <mergeCell ref="EHD567:EHF567"/>
    <mergeCell ref="EHH567:EHJ567"/>
    <mergeCell ref="EHL567:EHN567"/>
    <mergeCell ref="EHP567:EHR567"/>
    <mergeCell ref="EGF567:EGH567"/>
    <mergeCell ref="EGJ567:EGL567"/>
    <mergeCell ref="EGN567:EGP567"/>
    <mergeCell ref="EGR567:EGT567"/>
    <mergeCell ref="EGV567:EGX567"/>
    <mergeCell ref="EFL567:EFN567"/>
    <mergeCell ref="EFP567:EFR567"/>
    <mergeCell ref="EFT567:EFV567"/>
    <mergeCell ref="EFX567:EFZ567"/>
    <mergeCell ref="EGB567:EGD567"/>
    <mergeCell ref="EER567:EET567"/>
    <mergeCell ref="EEV567:EEX567"/>
    <mergeCell ref="EEZ567:EFB567"/>
    <mergeCell ref="EFD567:EFF567"/>
    <mergeCell ref="EFH567:EFJ567"/>
    <mergeCell ref="EOR567:EOT567"/>
    <mergeCell ref="EOV567:EOX567"/>
    <mergeCell ref="EOZ567:EPB567"/>
    <mergeCell ref="EPD567:EPF567"/>
    <mergeCell ref="EPH567:EPJ567"/>
    <mergeCell ref="ENX567:ENZ567"/>
    <mergeCell ref="EOB567:EOD567"/>
    <mergeCell ref="EOF567:EOH567"/>
    <mergeCell ref="EOJ567:EOL567"/>
    <mergeCell ref="EON567:EOP567"/>
    <mergeCell ref="END567:ENF567"/>
    <mergeCell ref="ENH567:ENJ567"/>
    <mergeCell ref="ENL567:ENN567"/>
    <mergeCell ref="ENP567:ENR567"/>
    <mergeCell ref="ENT567:ENV567"/>
    <mergeCell ref="EMJ567:EML567"/>
    <mergeCell ref="EMN567:EMP567"/>
    <mergeCell ref="EMR567:EMT567"/>
    <mergeCell ref="EMV567:EMX567"/>
    <mergeCell ref="EMZ567:ENB567"/>
    <mergeCell ref="ELP567:ELR567"/>
    <mergeCell ref="ELT567:ELV567"/>
    <mergeCell ref="ELX567:ELZ567"/>
    <mergeCell ref="EMB567:EMD567"/>
    <mergeCell ref="EMF567:EMH567"/>
    <mergeCell ref="EKV567:EKX567"/>
    <mergeCell ref="EKZ567:ELB567"/>
    <mergeCell ref="ELD567:ELF567"/>
    <mergeCell ref="ELH567:ELJ567"/>
    <mergeCell ref="ELL567:ELN567"/>
    <mergeCell ref="EKB567:EKD567"/>
    <mergeCell ref="EKF567:EKH567"/>
    <mergeCell ref="EKJ567:EKL567"/>
    <mergeCell ref="EKN567:EKP567"/>
    <mergeCell ref="EKR567:EKT567"/>
    <mergeCell ref="EUB567:EUD567"/>
    <mergeCell ref="EUF567:EUH567"/>
    <mergeCell ref="EUJ567:EUL567"/>
    <mergeCell ref="EUN567:EUP567"/>
    <mergeCell ref="EUR567:EUT567"/>
    <mergeCell ref="ETH567:ETJ567"/>
    <mergeCell ref="ETL567:ETN567"/>
    <mergeCell ref="ETP567:ETR567"/>
    <mergeCell ref="ETT567:ETV567"/>
    <mergeCell ref="ETX567:ETZ567"/>
    <mergeCell ref="ESN567:ESP567"/>
    <mergeCell ref="ESR567:EST567"/>
    <mergeCell ref="ESV567:ESX567"/>
    <mergeCell ref="ESZ567:ETB567"/>
    <mergeCell ref="ETD567:ETF567"/>
    <mergeCell ref="ERT567:ERV567"/>
    <mergeCell ref="ERX567:ERZ567"/>
    <mergeCell ref="ESB567:ESD567"/>
    <mergeCell ref="ESF567:ESH567"/>
    <mergeCell ref="ESJ567:ESL567"/>
    <mergeCell ref="EQZ567:ERB567"/>
    <mergeCell ref="ERD567:ERF567"/>
    <mergeCell ref="ERH567:ERJ567"/>
    <mergeCell ref="ERL567:ERN567"/>
    <mergeCell ref="ERP567:ERR567"/>
    <mergeCell ref="EQF567:EQH567"/>
    <mergeCell ref="EQJ567:EQL567"/>
    <mergeCell ref="EQN567:EQP567"/>
    <mergeCell ref="EQR567:EQT567"/>
    <mergeCell ref="EQV567:EQX567"/>
    <mergeCell ref="EPL567:EPN567"/>
    <mergeCell ref="EPP567:EPR567"/>
    <mergeCell ref="EPT567:EPV567"/>
    <mergeCell ref="EPX567:EPZ567"/>
    <mergeCell ref="EQB567:EQD567"/>
    <mergeCell ref="EZL567:EZN567"/>
    <mergeCell ref="EZP567:EZR567"/>
    <mergeCell ref="EZT567:EZV567"/>
    <mergeCell ref="EZX567:EZZ567"/>
    <mergeCell ref="FAB567:FAD567"/>
    <mergeCell ref="EYR567:EYT567"/>
    <mergeCell ref="EYV567:EYX567"/>
    <mergeCell ref="EYZ567:EZB567"/>
    <mergeCell ref="EZD567:EZF567"/>
    <mergeCell ref="EZH567:EZJ567"/>
    <mergeCell ref="EXX567:EXZ567"/>
    <mergeCell ref="EYB567:EYD567"/>
    <mergeCell ref="EYF567:EYH567"/>
    <mergeCell ref="EYJ567:EYL567"/>
    <mergeCell ref="EYN567:EYP567"/>
    <mergeCell ref="EXD567:EXF567"/>
    <mergeCell ref="EXH567:EXJ567"/>
    <mergeCell ref="EXL567:EXN567"/>
    <mergeCell ref="EXP567:EXR567"/>
    <mergeCell ref="EXT567:EXV567"/>
    <mergeCell ref="EWJ567:EWL567"/>
    <mergeCell ref="EWN567:EWP567"/>
    <mergeCell ref="EWR567:EWT567"/>
    <mergeCell ref="EWV567:EWX567"/>
    <mergeCell ref="EWZ567:EXB567"/>
    <mergeCell ref="EVP567:EVR567"/>
    <mergeCell ref="EVT567:EVV567"/>
    <mergeCell ref="EVX567:EVZ567"/>
    <mergeCell ref="EWB567:EWD567"/>
    <mergeCell ref="EWF567:EWH567"/>
    <mergeCell ref="EUV567:EUX567"/>
    <mergeCell ref="EUZ567:EVB567"/>
    <mergeCell ref="EVD567:EVF567"/>
    <mergeCell ref="EVH567:EVJ567"/>
    <mergeCell ref="EVL567:EVN567"/>
    <mergeCell ref="FEV567:FEX567"/>
    <mergeCell ref="FEZ567:FFB567"/>
    <mergeCell ref="FFD567:FFF567"/>
    <mergeCell ref="FFH567:FFJ567"/>
    <mergeCell ref="FFL567:FFN567"/>
    <mergeCell ref="FEB567:FED567"/>
    <mergeCell ref="FEF567:FEH567"/>
    <mergeCell ref="FEJ567:FEL567"/>
    <mergeCell ref="FEN567:FEP567"/>
    <mergeCell ref="FER567:FET567"/>
    <mergeCell ref="FDH567:FDJ567"/>
    <mergeCell ref="FDL567:FDN567"/>
    <mergeCell ref="FDP567:FDR567"/>
    <mergeCell ref="FDT567:FDV567"/>
    <mergeCell ref="FDX567:FDZ567"/>
    <mergeCell ref="FCN567:FCP567"/>
    <mergeCell ref="FCR567:FCT567"/>
    <mergeCell ref="FCV567:FCX567"/>
    <mergeCell ref="FCZ567:FDB567"/>
    <mergeCell ref="FDD567:FDF567"/>
    <mergeCell ref="FBT567:FBV567"/>
    <mergeCell ref="FBX567:FBZ567"/>
    <mergeCell ref="FCB567:FCD567"/>
    <mergeCell ref="FCF567:FCH567"/>
    <mergeCell ref="FCJ567:FCL567"/>
    <mergeCell ref="FAZ567:FBB567"/>
    <mergeCell ref="FBD567:FBF567"/>
    <mergeCell ref="FBH567:FBJ567"/>
    <mergeCell ref="FBL567:FBN567"/>
    <mergeCell ref="FBP567:FBR567"/>
    <mergeCell ref="FAF567:FAH567"/>
    <mergeCell ref="FAJ567:FAL567"/>
    <mergeCell ref="FAN567:FAP567"/>
    <mergeCell ref="FAR567:FAT567"/>
    <mergeCell ref="FAV567:FAX567"/>
    <mergeCell ref="FKF567:FKH567"/>
    <mergeCell ref="FKJ567:FKL567"/>
    <mergeCell ref="FKN567:FKP567"/>
    <mergeCell ref="FKR567:FKT567"/>
    <mergeCell ref="FKV567:FKX567"/>
    <mergeCell ref="FJL567:FJN567"/>
    <mergeCell ref="FJP567:FJR567"/>
    <mergeCell ref="FJT567:FJV567"/>
    <mergeCell ref="FJX567:FJZ567"/>
    <mergeCell ref="FKB567:FKD567"/>
    <mergeCell ref="FIR567:FIT567"/>
    <mergeCell ref="FIV567:FIX567"/>
    <mergeCell ref="FIZ567:FJB567"/>
    <mergeCell ref="FJD567:FJF567"/>
    <mergeCell ref="FJH567:FJJ567"/>
    <mergeCell ref="FHX567:FHZ567"/>
    <mergeCell ref="FIB567:FID567"/>
    <mergeCell ref="FIF567:FIH567"/>
    <mergeCell ref="FIJ567:FIL567"/>
    <mergeCell ref="FIN567:FIP567"/>
    <mergeCell ref="FHD567:FHF567"/>
    <mergeCell ref="FHH567:FHJ567"/>
    <mergeCell ref="FHL567:FHN567"/>
    <mergeCell ref="FHP567:FHR567"/>
    <mergeCell ref="FHT567:FHV567"/>
    <mergeCell ref="FGJ567:FGL567"/>
    <mergeCell ref="FGN567:FGP567"/>
    <mergeCell ref="FGR567:FGT567"/>
    <mergeCell ref="FGV567:FGX567"/>
    <mergeCell ref="FGZ567:FHB567"/>
    <mergeCell ref="FFP567:FFR567"/>
    <mergeCell ref="FFT567:FFV567"/>
    <mergeCell ref="FFX567:FFZ567"/>
    <mergeCell ref="FGB567:FGD567"/>
    <mergeCell ref="FGF567:FGH567"/>
    <mergeCell ref="FPP567:FPR567"/>
    <mergeCell ref="FPT567:FPV567"/>
    <mergeCell ref="FPX567:FPZ567"/>
    <mergeCell ref="FQB567:FQD567"/>
    <mergeCell ref="FQF567:FQH567"/>
    <mergeCell ref="FOV567:FOX567"/>
    <mergeCell ref="FOZ567:FPB567"/>
    <mergeCell ref="FPD567:FPF567"/>
    <mergeCell ref="FPH567:FPJ567"/>
    <mergeCell ref="FPL567:FPN567"/>
    <mergeCell ref="FOB567:FOD567"/>
    <mergeCell ref="FOF567:FOH567"/>
    <mergeCell ref="FOJ567:FOL567"/>
    <mergeCell ref="FON567:FOP567"/>
    <mergeCell ref="FOR567:FOT567"/>
    <mergeCell ref="FNH567:FNJ567"/>
    <mergeCell ref="FNL567:FNN567"/>
    <mergeCell ref="FNP567:FNR567"/>
    <mergeCell ref="FNT567:FNV567"/>
    <mergeCell ref="FNX567:FNZ567"/>
    <mergeCell ref="FMN567:FMP567"/>
    <mergeCell ref="FMR567:FMT567"/>
    <mergeCell ref="FMV567:FMX567"/>
    <mergeCell ref="FMZ567:FNB567"/>
    <mergeCell ref="FND567:FNF567"/>
    <mergeCell ref="FLT567:FLV567"/>
    <mergeCell ref="FLX567:FLZ567"/>
    <mergeCell ref="FMB567:FMD567"/>
    <mergeCell ref="FMF567:FMH567"/>
    <mergeCell ref="FMJ567:FML567"/>
    <mergeCell ref="FKZ567:FLB567"/>
    <mergeCell ref="FLD567:FLF567"/>
    <mergeCell ref="FLH567:FLJ567"/>
    <mergeCell ref="FLL567:FLN567"/>
    <mergeCell ref="FLP567:FLR567"/>
    <mergeCell ref="FUZ567:FVB567"/>
    <mergeCell ref="FVD567:FVF567"/>
    <mergeCell ref="FVH567:FVJ567"/>
    <mergeCell ref="FVL567:FVN567"/>
    <mergeCell ref="FVP567:FVR567"/>
    <mergeCell ref="FUF567:FUH567"/>
    <mergeCell ref="FUJ567:FUL567"/>
    <mergeCell ref="FUN567:FUP567"/>
    <mergeCell ref="FUR567:FUT567"/>
    <mergeCell ref="FUV567:FUX567"/>
    <mergeCell ref="FTL567:FTN567"/>
    <mergeCell ref="FTP567:FTR567"/>
    <mergeCell ref="FTT567:FTV567"/>
    <mergeCell ref="FTX567:FTZ567"/>
    <mergeCell ref="FUB567:FUD567"/>
    <mergeCell ref="FSR567:FST567"/>
    <mergeCell ref="FSV567:FSX567"/>
    <mergeCell ref="FSZ567:FTB567"/>
    <mergeCell ref="FTD567:FTF567"/>
    <mergeCell ref="FTH567:FTJ567"/>
    <mergeCell ref="FRX567:FRZ567"/>
    <mergeCell ref="FSB567:FSD567"/>
    <mergeCell ref="FSF567:FSH567"/>
    <mergeCell ref="FSJ567:FSL567"/>
    <mergeCell ref="FSN567:FSP567"/>
    <mergeCell ref="FRD567:FRF567"/>
    <mergeCell ref="FRH567:FRJ567"/>
    <mergeCell ref="FRL567:FRN567"/>
    <mergeCell ref="FRP567:FRR567"/>
    <mergeCell ref="FRT567:FRV567"/>
    <mergeCell ref="FQJ567:FQL567"/>
    <mergeCell ref="FQN567:FQP567"/>
    <mergeCell ref="FQR567:FQT567"/>
    <mergeCell ref="FQV567:FQX567"/>
    <mergeCell ref="FQZ567:FRB567"/>
    <mergeCell ref="GAJ567:GAL567"/>
    <mergeCell ref="GAN567:GAP567"/>
    <mergeCell ref="GAR567:GAT567"/>
    <mergeCell ref="GAV567:GAX567"/>
    <mergeCell ref="GAZ567:GBB567"/>
    <mergeCell ref="FZP567:FZR567"/>
    <mergeCell ref="FZT567:FZV567"/>
    <mergeCell ref="FZX567:FZZ567"/>
    <mergeCell ref="GAB567:GAD567"/>
    <mergeCell ref="GAF567:GAH567"/>
    <mergeCell ref="FYV567:FYX567"/>
    <mergeCell ref="FYZ567:FZB567"/>
    <mergeCell ref="FZD567:FZF567"/>
    <mergeCell ref="FZH567:FZJ567"/>
    <mergeCell ref="FZL567:FZN567"/>
    <mergeCell ref="FYB567:FYD567"/>
    <mergeCell ref="FYF567:FYH567"/>
    <mergeCell ref="FYJ567:FYL567"/>
    <mergeCell ref="FYN567:FYP567"/>
    <mergeCell ref="FYR567:FYT567"/>
    <mergeCell ref="FXH567:FXJ567"/>
    <mergeCell ref="FXL567:FXN567"/>
    <mergeCell ref="FXP567:FXR567"/>
    <mergeCell ref="FXT567:FXV567"/>
    <mergeCell ref="FXX567:FXZ567"/>
    <mergeCell ref="FWN567:FWP567"/>
    <mergeCell ref="FWR567:FWT567"/>
    <mergeCell ref="FWV567:FWX567"/>
    <mergeCell ref="FWZ567:FXB567"/>
    <mergeCell ref="FXD567:FXF567"/>
    <mergeCell ref="FVT567:FVV567"/>
    <mergeCell ref="FVX567:FVZ567"/>
    <mergeCell ref="FWB567:FWD567"/>
    <mergeCell ref="FWF567:FWH567"/>
    <mergeCell ref="FWJ567:FWL567"/>
    <mergeCell ref="GFT567:GFV567"/>
    <mergeCell ref="GFX567:GFZ567"/>
    <mergeCell ref="GGB567:GGD567"/>
    <mergeCell ref="GGF567:GGH567"/>
    <mergeCell ref="GGJ567:GGL567"/>
    <mergeCell ref="GEZ567:GFB567"/>
    <mergeCell ref="GFD567:GFF567"/>
    <mergeCell ref="GFH567:GFJ567"/>
    <mergeCell ref="GFL567:GFN567"/>
    <mergeCell ref="GFP567:GFR567"/>
    <mergeCell ref="GEF567:GEH567"/>
    <mergeCell ref="GEJ567:GEL567"/>
    <mergeCell ref="GEN567:GEP567"/>
    <mergeCell ref="GER567:GET567"/>
    <mergeCell ref="GEV567:GEX567"/>
    <mergeCell ref="GDL567:GDN567"/>
    <mergeCell ref="GDP567:GDR567"/>
    <mergeCell ref="GDT567:GDV567"/>
    <mergeCell ref="GDX567:GDZ567"/>
    <mergeCell ref="GEB567:GED567"/>
    <mergeCell ref="GCR567:GCT567"/>
    <mergeCell ref="GCV567:GCX567"/>
    <mergeCell ref="GCZ567:GDB567"/>
    <mergeCell ref="GDD567:GDF567"/>
    <mergeCell ref="GDH567:GDJ567"/>
    <mergeCell ref="GBX567:GBZ567"/>
    <mergeCell ref="GCB567:GCD567"/>
    <mergeCell ref="GCF567:GCH567"/>
    <mergeCell ref="GCJ567:GCL567"/>
    <mergeCell ref="GCN567:GCP567"/>
    <mergeCell ref="GBD567:GBF567"/>
    <mergeCell ref="GBH567:GBJ567"/>
    <mergeCell ref="GBL567:GBN567"/>
    <mergeCell ref="GBP567:GBR567"/>
    <mergeCell ref="GBT567:GBV567"/>
    <mergeCell ref="GLD567:GLF567"/>
    <mergeCell ref="GLH567:GLJ567"/>
    <mergeCell ref="GLL567:GLN567"/>
    <mergeCell ref="GLP567:GLR567"/>
    <mergeCell ref="GLT567:GLV567"/>
    <mergeCell ref="GKJ567:GKL567"/>
    <mergeCell ref="GKN567:GKP567"/>
    <mergeCell ref="GKR567:GKT567"/>
    <mergeCell ref="GKV567:GKX567"/>
    <mergeCell ref="GKZ567:GLB567"/>
    <mergeCell ref="GJP567:GJR567"/>
    <mergeCell ref="GJT567:GJV567"/>
    <mergeCell ref="GJX567:GJZ567"/>
    <mergeCell ref="GKB567:GKD567"/>
    <mergeCell ref="GKF567:GKH567"/>
    <mergeCell ref="GIV567:GIX567"/>
    <mergeCell ref="GIZ567:GJB567"/>
    <mergeCell ref="GJD567:GJF567"/>
    <mergeCell ref="GJH567:GJJ567"/>
    <mergeCell ref="GJL567:GJN567"/>
    <mergeCell ref="GIB567:GID567"/>
    <mergeCell ref="GIF567:GIH567"/>
    <mergeCell ref="GIJ567:GIL567"/>
    <mergeCell ref="GIN567:GIP567"/>
    <mergeCell ref="GIR567:GIT567"/>
    <mergeCell ref="GHH567:GHJ567"/>
    <mergeCell ref="GHL567:GHN567"/>
    <mergeCell ref="GHP567:GHR567"/>
    <mergeCell ref="GHT567:GHV567"/>
    <mergeCell ref="GHX567:GHZ567"/>
    <mergeCell ref="GGN567:GGP567"/>
    <mergeCell ref="GGR567:GGT567"/>
    <mergeCell ref="GGV567:GGX567"/>
    <mergeCell ref="GGZ567:GHB567"/>
    <mergeCell ref="GHD567:GHF567"/>
    <mergeCell ref="GQN567:GQP567"/>
    <mergeCell ref="GQR567:GQT567"/>
    <mergeCell ref="GQV567:GQX567"/>
    <mergeCell ref="GQZ567:GRB567"/>
    <mergeCell ref="GRD567:GRF567"/>
    <mergeCell ref="GPT567:GPV567"/>
    <mergeCell ref="GPX567:GPZ567"/>
    <mergeCell ref="GQB567:GQD567"/>
    <mergeCell ref="GQF567:GQH567"/>
    <mergeCell ref="GQJ567:GQL567"/>
    <mergeCell ref="GOZ567:GPB567"/>
    <mergeCell ref="GPD567:GPF567"/>
    <mergeCell ref="GPH567:GPJ567"/>
    <mergeCell ref="GPL567:GPN567"/>
    <mergeCell ref="GPP567:GPR567"/>
    <mergeCell ref="GOF567:GOH567"/>
    <mergeCell ref="GOJ567:GOL567"/>
    <mergeCell ref="GON567:GOP567"/>
    <mergeCell ref="GOR567:GOT567"/>
    <mergeCell ref="GOV567:GOX567"/>
    <mergeCell ref="GNL567:GNN567"/>
    <mergeCell ref="GNP567:GNR567"/>
    <mergeCell ref="GNT567:GNV567"/>
    <mergeCell ref="GNX567:GNZ567"/>
    <mergeCell ref="GOB567:GOD567"/>
    <mergeCell ref="GMR567:GMT567"/>
    <mergeCell ref="GMV567:GMX567"/>
    <mergeCell ref="GMZ567:GNB567"/>
    <mergeCell ref="GND567:GNF567"/>
    <mergeCell ref="GNH567:GNJ567"/>
    <mergeCell ref="GLX567:GLZ567"/>
    <mergeCell ref="GMB567:GMD567"/>
    <mergeCell ref="GMF567:GMH567"/>
    <mergeCell ref="GMJ567:GML567"/>
    <mergeCell ref="GMN567:GMP567"/>
    <mergeCell ref="GVX567:GVZ567"/>
    <mergeCell ref="GWB567:GWD567"/>
    <mergeCell ref="GWF567:GWH567"/>
    <mergeCell ref="GWJ567:GWL567"/>
    <mergeCell ref="GWN567:GWP567"/>
    <mergeCell ref="GVD567:GVF567"/>
    <mergeCell ref="GVH567:GVJ567"/>
    <mergeCell ref="GVL567:GVN567"/>
    <mergeCell ref="GVP567:GVR567"/>
    <mergeCell ref="GVT567:GVV567"/>
    <mergeCell ref="GUJ567:GUL567"/>
    <mergeCell ref="GUN567:GUP567"/>
    <mergeCell ref="GUR567:GUT567"/>
    <mergeCell ref="GUV567:GUX567"/>
    <mergeCell ref="GUZ567:GVB567"/>
    <mergeCell ref="GTP567:GTR567"/>
    <mergeCell ref="GTT567:GTV567"/>
    <mergeCell ref="GTX567:GTZ567"/>
    <mergeCell ref="GUB567:GUD567"/>
    <mergeCell ref="GUF567:GUH567"/>
    <mergeCell ref="GSV567:GSX567"/>
    <mergeCell ref="GSZ567:GTB567"/>
    <mergeCell ref="GTD567:GTF567"/>
    <mergeCell ref="GTH567:GTJ567"/>
    <mergeCell ref="GTL567:GTN567"/>
    <mergeCell ref="GSB567:GSD567"/>
    <mergeCell ref="GSF567:GSH567"/>
    <mergeCell ref="GSJ567:GSL567"/>
    <mergeCell ref="GSN567:GSP567"/>
    <mergeCell ref="GSR567:GST567"/>
    <mergeCell ref="GRH567:GRJ567"/>
    <mergeCell ref="GRL567:GRN567"/>
    <mergeCell ref="GRP567:GRR567"/>
    <mergeCell ref="GRT567:GRV567"/>
    <mergeCell ref="GRX567:GRZ567"/>
    <mergeCell ref="HBH567:HBJ567"/>
    <mergeCell ref="HBL567:HBN567"/>
    <mergeCell ref="HBP567:HBR567"/>
    <mergeCell ref="HBT567:HBV567"/>
    <mergeCell ref="HBX567:HBZ567"/>
    <mergeCell ref="HAN567:HAP567"/>
    <mergeCell ref="HAR567:HAT567"/>
    <mergeCell ref="HAV567:HAX567"/>
    <mergeCell ref="HAZ567:HBB567"/>
    <mergeCell ref="HBD567:HBF567"/>
    <mergeCell ref="GZT567:GZV567"/>
    <mergeCell ref="GZX567:GZZ567"/>
    <mergeCell ref="HAB567:HAD567"/>
    <mergeCell ref="HAF567:HAH567"/>
    <mergeCell ref="HAJ567:HAL567"/>
    <mergeCell ref="GYZ567:GZB567"/>
    <mergeCell ref="GZD567:GZF567"/>
    <mergeCell ref="GZH567:GZJ567"/>
    <mergeCell ref="GZL567:GZN567"/>
    <mergeCell ref="GZP567:GZR567"/>
    <mergeCell ref="GYF567:GYH567"/>
    <mergeCell ref="GYJ567:GYL567"/>
    <mergeCell ref="GYN567:GYP567"/>
    <mergeCell ref="GYR567:GYT567"/>
    <mergeCell ref="GYV567:GYX567"/>
    <mergeCell ref="GXL567:GXN567"/>
    <mergeCell ref="GXP567:GXR567"/>
    <mergeCell ref="GXT567:GXV567"/>
    <mergeCell ref="GXX567:GXZ567"/>
    <mergeCell ref="GYB567:GYD567"/>
    <mergeCell ref="GWR567:GWT567"/>
    <mergeCell ref="GWV567:GWX567"/>
    <mergeCell ref="GWZ567:GXB567"/>
    <mergeCell ref="GXD567:GXF567"/>
    <mergeCell ref="GXH567:GXJ567"/>
    <mergeCell ref="HGR567:HGT567"/>
    <mergeCell ref="HGV567:HGX567"/>
    <mergeCell ref="HGZ567:HHB567"/>
    <mergeCell ref="HHD567:HHF567"/>
    <mergeCell ref="HHH567:HHJ567"/>
    <mergeCell ref="HFX567:HFZ567"/>
    <mergeCell ref="HGB567:HGD567"/>
    <mergeCell ref="HGF567:HGH567"/>
    <mergeCell ref="HGJ567:HGL567"/>
    <mergeCell ref="HGN567:HGP567"/>
    <mergeCell ref="HFD567:HFF567"/>
    <mergeCell ref="HFH567:HFJ567"/>
    <mergeCell ref="HFL567:HFN567"/>
    <mergeCell ref="HFP567:HFR567"/>
    <mergeCell ref="HFT567:HFV567"/>
    <mergeCell ref="HEJ567:HEL567"/>
    <mergeCell ref="HEN567:HEP567"/>
    <mergeCell ref="HER567:HET567"/>
    <mergeCell ref="HEV567:HEX567"/>
    <mergeCell ref="HEZ567:HFB567"/>
    <mergeCell ref="HDP567:HDR567"/>
    <mergeCell ref="HDT567:HDV567"/>
    <mergeCell ref="HDX567:HDZ567"/>
    <mergeCell ref="HEB567:HED567"/>
    <mergeCell ref="HEF567:HEH567"/>
    <mergeCell ref="HCV567:HCX567"/>
    <mergeCell ref="HCZ567:HDB567"/>
    <mergeCell ref="HDD567:HDF567"/>
    <mergeCell ref="HDH567:HDJ567"/>
    <mergeCell ref="HDL567:HDN567"/>
    <mergeCell ref="HCB567:HCD567"/>
    <mergeCell ref="HCF567:HCH567"/>
    <mergeCell ref="HCJ567:HCL567"/>
    <mergeCell ref="HCN567:HCP567"/>
    <mergeCell ref="HCR567:HCT567"/>
    <mergeCell ref="HMB567:HMD567"/>
    <mergeCell ref="HMF567:HMH567"/>
    <mergeCell ref="HMJ567:HML567"/>
    <mergeCell ref="HMN567:HMP567"/>
    <mergeCell ref="HMR567:HMT567"/>
    <mergeCell ref="HLH567:HLJ567"/>
    <mergeCell ref="HLL567:HLN567"/>
    <mergeCell ref="HLP567:HLR567"/>
    <mergeCell ref="HLT567:HLV567"/>
    <mergeCell ref="HLX567:HLZ567"/>
    <mergeCell ref="HKN567:HKP567"/>
    <mergeCell ref="HKR567:HKT567"/>
    <mergeCell ref="HKV567:HKX567"/>
    <mergeCell ref="HKZ567:HLB567"/>
    <mergeCell ref="HLD567:HLF567"/>
    <mergeCell ref="HJT567:HJV567"/>
    <mergeCell ref="HJX567:HJZ567"/>
    <mergeCell ref="HKB567:HKD567"/>
    <mergeCell ref="HKF567:HKH567"/>
    <mergeCell ref="HKJ567:HKL567"/>
    <mergeCell ref="HIZ567:HJB567"/>
    <mergeCell ref="HJD567:HJF567"/>
    <mergeCell ref="HJH567:HJJ567"/>
    <mergeCell ref="HJL567:HJN567"/>
    <mergeCell ref="HJP567:HJR567"/>
    <mergeCell ref="HIF567:HIH567"/>
    <mergeCell ref="HIJ567:HIL567"/>
    <mergeCell ref="HIN567:HIP567"/>
    <mergeCell ref="HIR567:HIT567"/>
    <mergeCell ref="HIV567:HIX567"/>
    <mergeCell ref="HHL567:HHN567"/>
    <mergeCell ref="HHP567:HHR567"/>
    <mergeCell ref="HHT567:HHV567"/>
    <mergeCell ref="HHX567:HHZ567"/>
    <mergeCell ref="HIB567:HID567"/>
    <mergeCell ref="HRL567:HRN567"/>
    <mergeCell ref="HRP567:HRR567"/>
    <mergeCell ref="HRT567:HRV567"/>
    <mergeCell ref="HRX567:HRZ567"/>
    <mergeCell ref="HSB567:HSD567"/>
    <mergeCell ref="HQR567:HQT567"/>
    <mergeCell ref="HQV567:HQX567"/>
    <mergeCell ref="HQZ567:HRB567"/>
    <mergeCell ref="HRD567:HRF567"/>
    <mergeCell ref="HRH567:HRJ567"/>
    <mergeCell ref="HPX567:HPZ567"/>
    <mergeCell ref="HQB567:HQD567"/>
    <mergeCell ref="HQF567:HQH567"/>
    <mergeCell ref="HQJ567:HQL567"/>
    <mergeCell ref="HQN567:HQP567"/>
    <mergeCell ref="HPD567:HPF567"/>
    <mergeCell ref="HPH567:HPJ567"/>
    <mergeCell ref="HPL567:HPN567"/>
    <mergeCell ref="HPP567:HPR567"/>
    <mergeCell ref="HPT567:HPV567"/>
    <mergeCell ref="HOJ567:HOL567"/>
    <mergeCell ref="HON567:HOP567"/>
    <mergeCell ref="HOR567:HOT567"/>
    <mergeCell ref="HOV567:HOX567"/>
    <mergeCell ref="HOZ567:HPB567"/>
    <mergeCell ref="HNP567:HNR567"/>
    <mergeCell ref="HNT567:HNV567"/>
    <mergeCell ref="HNX567:HNZ567"/>
    <mergeCell ref="HOB567:HOD567"/>
    <mergeCell ref="HOF567:HOH567"/>
    <mergeCell ref="HMV567:HMX567"/>
    <mergeCell ref="HMZ567:HNB567"/>
    <mergeCell ref="HND567:HNF567"/>
    <mergeCell ref="HNH567:HNJ567"/>
    <mergeCell ref="HNL567:HNN567"/>
    <mergeCell ref="HWV567:HWX567"/>
    <mergeCell ref="HWZ567:HXB567"/>
    <mergeCell ref="HXD567:HXF567"/>
    <mergeCell ref="HXH567:HXJ567"/>
    <mergeCell ref="HXL567:HXN567"/>
    <mergeCell ref="HWB567:HWD567"/>
    <mergeCell ref="HWF567:HWH567"/>
    <mergeCell ref="HWJ567:HWL567"/>
    <mergeCell ref="HWN567:HWP567"/>
    <mergeCell ref="HWR567:HWT567"/>
    <mergeCell ref="HVH567:HVJ567"/>
    <mergeCell ref="HVL567:HVN567"/>
    <mergeCell ref="HVP567:HVR567"/>
    <mergeCell ref="HVT567:HVV567"/>
    <mergeCell ref="HVX567:HVZ567"/>
    <mergeCell ref="HUN567:HUP567"/>
    <mergeCell ref="HUR567:HUT567"/>
    <mergeCell ref="HUV567:HUX567"/>
    <mergeCell ref="HUZ567:HVB567"/>
    <mergeCell ref="HVD567:HVF567"/>
    <mergeCell ref="HTT567:HTV567"/>
    <mergeCell ref="HTX567:HTZ567"/>
    <mergeCell ref="HUB567:HUD567"/>
    <mergeCell ref="HUF567:HUH567"/>
    <mergeCell ref="HUJ567:HUL567"/>
    <mergeCell ref="HSZ567:HTB567"/>
    <mergeCell ref="HTD567:HTF567"/>
    <mergeCell ref="HTH567:HTJ567"/>
    <mergeCell ref="HTL567:HTN567"/>
    <mergeCell ref="HTP567:HTR567"/>
    <mergeCell ref="HSF567:HSH567"/>
    <mergeCell ref="HSJ567:HSL567"/>
    <mergeCell ref="HSN567:HSP567"/>
    <mergeCell ref="HSR567:HST567"/>
    <mergeCell ref="HSV567:HSX567"/>
    <mergeCell ref="ICF567:ICH567"/>
    <mergeCell ref="ICJ567:ICL567"/>
    <mergeCell ref="ICN567:ICP567"/>
    <mergeCell ref="ICR567:ICT567"/>
    <mergeCell ref="ICV567:ICX567"/>
    <mergeCell ref="IBL567:IBN567"/>
    <mergeCell ref="IBP567:IBR567"/>
    <mergeCell ref="IBT567:IBV567"/>
    <mergeCell ref="IBX567:IBZ567"/>
    <mergeCell ref="ICB567:ICD567"/>
    <mergeCell ref="IAR567:IAT567"/>
    <mergeCell ref="IAV567:IAX567"/>
    <mergeCell ref="IAZ567:IBB567"/>
    <mergeCell ref="IBD567:IBF567"/>
    <mergeCell ref="IBH567:IBJ567"/>
    <mergeCell ref="HZX567:HZZ567"/>
    <mergeCell ref="IAB567:IAD567"/>
    <mergeCell ref="IAF567:IAH567"/>
    <mergeCell ref="IAJ567:IAL567"/>
    <mergeCell ref="IAN567:IAP567"/>
    <mergeCell ref="HZD567:HZF567"/>
    <mergeCell ref="HZH567:HZJ567"/>
    <mergeCell ref="HZL567:HZN567"/>
    <mergeCell ref="HZP567:HZR567"/>
    <mergeCell ref="HZT567:HZV567"/>
    <mergeCell ref="HYJ567:HYL567"/>
    <mergeCell ref="HYN567:HYP567"/>
    <mergeCell ref="HYR567:HYT567"/>
    <mergeCell ref="HYV567:HYX567"/>
    <mergeCell ref="HYZ567:HZB567"/>
    <mergeCell ref="HXP567:HXR567"/>
    <mergeCell ref="HXT567:HXV567"/>
    <mergeCell ref="HXX567:HXZ567"/>
    <mergeCell ref="HYB567:HYD567"/>
    <mergeCell ref="HYF567:HYH567"/>
    <mergeCell ref="IHP567:IHR567"/>
    <mergeCell ref="IHT567:IHV567"/>
    <mergeCell ref="IHX567:IHZ567"/>
    <mergeCell ref="IIB567:IID567"/>
    <mergeCell ref="IIF567:IIH567"/>
    <mergeCell ref="IGV567:IGX567"/>
    <mergeCell ref="IGZ567:IHB567"/>
    <mergeCell ref="IHD567:IHF567"/>
    <mergeCell ref="IHH567:IHJ567"/>
    <mergeCell ref="IHL567:IHN567"/>
    <mergeCell ref="IGB567:IGD567"/>
    <mergeCell ref="IGF567:IGH567"/>
    <mergeCell ref="IGJ567:IGL567"/>
    <mergeCell ref="IGN567:IGP567"/>
    <mergeCell ref="IGR567:IGT567"/>
    <mergeCell ref="IFH567:IFJ567"/>
    <mergeCell ref="IFL567:IFN567"/>
    <mergeCell ref="IFP567:IFR567"/>
    <mergeCell ref="IFT567:IFV567"/>
    <mergeCell ref="IFX567:IFZ567"/>
    <mergeCell ref="IEN567:IEP567"/>
    <mergeCell ref="IER567:IET567"/>
    <mergeCell ref="IEV567:IEX567"/>
    <mergeCell ref="IEZ567:IFB567"/>
    <mergeCell ref="IFD567:IFF567"/>
    <mergeCell ref="IDT567:IDV567"/>
    <mergeCell ref="IDX567:IDZ567"/>
    <mergeCell ref="IEB567:IED567"/>
    <mergeCell ref="IEF567:IEH567"/>
    <mergeCell ref="IEJ567:IEL567"/>
    <mergeCell ref="ICZ567:IDB567"/>
    <mergeCell ref="IDD567:IDF567"/>
    <mergeCell ref="IDH567:IDJ567"/>
    <mergeCell ref="IDL567:IDN567"/>
    <mergeCell ref="IDP567:IDR567"/>
    <mergeCell ref="IMZ567:INB567"/>
    <mergeCell ref="IND567:INF567"/>
    <mergeCell ref="INH567:INJ567"/>
    <mergeCell ref="INL567:INN567"/>
    <mergeCell ref="INP567:INR567"/>
    <mergeCell ref="IMF567:IMH567"/>
    <mergeCell ref="IMJ567:IML567"/>
    <mergeCell ref="IMN567:IMP567"/>
    <mergeCell ref="IMR567:IMT567"/>
    <mergeCell ref="IMV567:IMX567"/>
    <mergeCell ref="ILL567:ILN567"/>
    <mergeCell ref="ILP567:ILR567"/>
    <mergeCell ref="ILT567:ILV567"/>
    <mergeCell ref="ILX567:ILZ567"/>
    <mergeCell ref="IMB567:IMD567"/>
    <mergeCell ref="IKR567:IKT567"/>
    <mergeCell ref="IKV567:IKX567"/>
    <mergeCell ref="IKZ567:ILB567"/>
    <mergeCell ref="ILD567:ILF567"/>
    <mergeCell ref="ILH567:ILJ567"/>
    <mergeCell ref="IJX567:IJZ567"/>
    <mergeCell ref="IKB567:IKD567"/>
    <mergeCell ref="IKF567:IKH567"/>
    <mergeCell ref="IKJ567:IKL567"/>
    <mergeCell ref="IKN567:IKP567"/>
    <mergeCell ref="IJD567:IJF567"/>
    <mergeCell ref="IJH567:IJJ567"/>
    <mergeCell ref="IJL567:IJN567"/>
    <mergeCell ref="IJP567:IJR567"/>
    <mergeCell ref="IJT567:IJV567"/>
    <mergeCell ref="IIJ567:IIL567"/>
    <mergeCell ref="IIN567:IIP567"/>
    <mergeCell ref="IIR567:IIT567"/>
    <mergeCell ref="IIV567:IIX567"/>
    <mergeCell ref="IIZ567:IJB567"/>
    <mergeCell ref="ISJ567:ISL567"/>
    <mergeCell ref="ISN567:ISP567"/>
    <mergeCell ref="ISR567:IST567"/>
    <mergeCell ref="ISV567:ISX567"/>
    <mergeCell ref="ISZ567:ITB567"/>
    <mergeCell ref="IRP567:IRR567"/>
    <mergeCell ref="IRT567:IRV567"/>
    <mergeCell ref="IRX567:IRZ567"/>
    <mergeCell ref="ISB567:ISD567"/>
    <mergeCell ref="ISF567:ISH567"/>
    <mergeCell ref="IQV567:IQX567"/>
    <mergeCell ref="IQZ567:IRB567"/>
    <mergeCell ref="IRD567:IRF567"/>
    <mergeCell ref="IRH567:IRJ567"/>
    <mergeCell ref="IRL567:IRN567"/>
    <mergeCell ref="IQB567:IQD567"/>
    <mergeCell ref="IQF567:IQH567"/>
    <mergeCell ref="IQJ567:IQL567"/>
    <mergeCell ref="IQN567:IQP567"/>
    <mergeCell ref="IQR567:IQT567"/>
    <mergeCell ref="IPH567:IPJ567"/>
    <mergeCell ref="IPL567:IPN567"/>
    <mergeCell ref="IPP567:IPR567"/>
    <mergeCell ref="IPT567:IPV567"/>
    <mergeCell ref="IPX567:IPZ567"/>
    <mergeCell ref="ION567:IOP567"/>
    <mergeCell ref="IOR567:IOT567"/>
    <mergeCell ref="IOV567:IOX567"/>
    <mergeCell ref="IOZ567:IPB567"/>
    <mergeCell ref="IPD567:IPF567"/>
    <mergeCell ref="INT567:INV567"/>
    <mergeCell ref="INX567:INZ567"/>
    <mergeCell ref="IOB567:IOD567"/>
    <mergeCell ref="IOF567:IOH567"/>
    <mergeCell ref="IOJ567:IOL567"/>
    <mergeCell ref="IXT567:IXV567"/>
    <mergeCell ref="IXX567:IXZ567"/>
    <mergeCell ref="IYB567:IYD567"/>
    <mergeCell ref="IYF567:IYH567"/>
    <mergeCell ref="IYJ567:IYL567"/>
    <mergeCell ref="IWZ567:IXB567"/>
    <mergeCell ref="IXD567:IXF567"/>
    <mergeCell ref="IXH567:IXJ567"/>
    <mergeCell ref="IXL567:IXN567"/>
    <mergeCell ref="IXP567:IXR567"/>
    <mergeCell ref="IWF567:IWH567"/>
    <mergeCell ref="IWJ567:IWL567"/>
    <mergeCell ref="IWN567:IWP567"/>
    <mergeCell ref="IWR567:IWT567"/>
    <mergeCell ref="IWV567:IWX567"/>
    <mergeCell ref="IVL567:IVN567"/>
    <mergeCell ref="IVP567:IVR567"/>
    <mergeCell ref="IVT567:IVV567"/>
    <mergeCell ref="IVX567:IVZ567"/>
    <mergeCell ref="IWB567:IWD567"/>
    <mergeCell ref="IUR567:IUT567"/>
    <mergeCell ref="IUV567:IUX567"/>
    <mergeCell ref="IUZ567:IVB567"/>
    <mergeCell ref="IVD567:IVF567"/>
    <mergeCell ref="IVH567:IVJ567"/>
    <mergeCell ref="ITX567:ITZ567"/>
    <mergeCell ref="IUB567:IUD567"/>
    <mergeCell ref="IUF567:IUH567"/>
    <mergeCell ref="IUJ567:IUL567"/>
    <mergeCell ref="IUN567:IUP567"/>
    <mergeCell ref="ITD567:ITF567"/>
    <mergeCell ref="ITH567:ITJ567"/>
    <mergeCell ref="ITL567:ITN567"/>
    <mergeCell ref="ITP567:ITR567"/>
    <mergeCell ref="ITT567:ITV567"/>
    <mergeCell ref="JDD567:JDF567"/>
    <mergeCell ref="JDH567:JDJ567"/>
    <mergeCell ref="JDL567:JDN567"/>
    <mergeCell ref="JDP567:JDR567"/>
    <mergeCell ref="JDT567:JDV567"/>
    <mergeCell ref="JCJ567:JCL567"/>
    <mergeCell ref="JCN567:JCP567"/>
    <mergeCell ref="JCR567:JCT567"/>
    <mergeCell ref="JCV567:JCX567"/>
    <mergeCell ref="JCZ567:JDB567"/>
    <mergeCell ref="JBP567:JBR567"/>
    <mergeCell ref="JBT567:JBV567"/>
    <mergeCell ref="JBX567:JBZ567"/>
    <mergeCell ref="JCB567:JCD567"/>
    <mergeCell ref="JCF567:JCH567"/>
    <mergeCell ref="JAV567:JAX567"/>
    <mergeCell ref="JAZ567:JBB567"/>
    <mergeCell ref="JBD567:JBF567"/>
    <mergeCell ref="JBH567:JBJ567"/>
    <mergeCell ref="JBL567:JBN567"/>
    <mergeCell ref="JAB567:JAD567"/>
    <mergeCell ref="JAF567:JAH567"/>
    <mergeCell ref="JAJ567:JAL567"/>
    <mergeCell ref="JAN567:JAP567"/>
    <mergeCell ref="JAR567:JAT567"/>
    <mergeCell ref="IZH567:IZJ567"/>
    <mergeCell ref="IZL567:IZN567"/>
    <mergeCell ref="IZP567:IZR567"/>
    <mergeCell ref="IZT567:IZV567"/>
    <mergeCell ref="IZX567:IZZ567"/>
    <mergeCell ref="IYN567:IYP567"/>
    <mergeCell ref="IYR567:IYT567"/>
    <mergeCell ref="IYV567:IYX567"/>
    <mergeCell ref="IYZ567:IZB567"/>
    <mergeCell ref="IZD567:IZF567"/>
    <mergeCell ref="JIN567:JIP567"/>
    <mergeCell ref="JIR567:JIT567"/>
    <mergeCell ref="JIV567:JIX567"/>
    <mergeCell ref="JIZ567:JJB567"/>
    <mergeCell ref="JJD567:JJF567"/>
    <mergeCell ref="JHT567:JHV567"/>
    <mergeCell ref="JHX567:JHZ567"/>
    <mergeCell ref="JIB567:JID567"/>
    <mergeCell ref="JIF567:JIH567"/>
    <mergeCell ref="JIJ567:JIL567"/>
    <mergeCell ref="JGZ567:JHB567"/>
    <mergeCell ref="JHD567:JHF567"/>
    <mergeCell ref="JHH567:JHJ567"/>
    <mergeCell ref="JHL567:JHN567"/>
    <mergeCell ref="JHP567:JHR567"/>
    <mergeCell ref="JGF567:JGH567"/>
    <mergeCell ref="JGJ567:JGL567"/>
    <mergeCell ref="JGN567:JGP567"/>
    <mergeCell ref="JGR567:JGT567"/>
    <mergeCell ref="JGV567:JGX567"/>
    <mergeCell ref="JFL567:JFN567"/>
    <mergeCell ref="JFP567:JFR567"/>
    <mergeCell ref="JFT567:JFV567"/>
    <mergeCell ref="JFX567:JFZ567"/>
    <mergeCell ref="JGB567:JGD567"/>
    <mergeCell ref="JER567:JET567"/>
    <mergeCell ref="JEV567:JEX567"/>
    <mergeCell ref="JEZ567:JFB567"/>
    <mergeCell ref="JFD567:JFF567"/>
    <mergeCell ref="JFH567:JFJ567"/>
    <mergeCell ref="JDX567:JDZ567"/>
    <mergeCell ref="JEB567:JED567"/>
    <mergeCell ref="JEF567:JEH567"/>
    <mergeCell ref="JEJ567:JEL567"/>
    <mergeCell ref="JEN567:JEP567"/>
    <mergeCell ref="JNX567:JNZ567"/>
    <mergeCell ref="JOB567:JOD567"/>
    <mergeCell ref="JOF567:JOH567"/>
    <mergeCell ref="JOJ567:JOL567"/>
    <mergeCell ref="JON567:JOP567"/>
    <mergeCell ref="JND567:JNF567"/>
    <mergeCell ref="JNH567:JNJ567"/>
    <mergeCell ref="JNL567:JNN567"/>
    <mergeCell ref="JNP567:JNR567"/>
    <mergeCell ref="JNT567:JNV567"/>
    <mergeCell ref="JMJ567:JML567"/>
    <mergeCell ref="JMN567:JMP567"/>
    <mergeCell ref="JMR567:JMT567"/>
    <mergeCell ref="JMV567:JMX567"/>
    <mergeCell ref="JMZ567:JNB567"/>
    <mergeCell ref="JLP567:JLR567"/>
    <mergeCell ref="JLT567:JLV567"/>
    <mergeCell ref="JLX567:JLZ567"/>
    <mergeCell ref="JMB567:JMD567"/>
    <mergeCell ref="JMF567:JMH567"/>
    <mergeCell ref="JKV567:JKX567"/>
    <mergeCell ref="JKZ567:JLB567"/>
    <mergeCell ref="JLD567:JLF567"/>
    <mergeCell ref="JLH567:JLJ567"/>
    <mergeCell ref="JLL567:JLN567"/>
    <mergeCell ref="JKB567:JKD567"/>
    <mergeCell ref="JKF567:JKH567"/>
    <mergeCell ref="JKJ567:JKL567"/>
    <mergeCell ref="JKN567:JKP567"/>
    <mergeCell ref="JKR567:JKT567"/>
    <mergeCell ref="JJH567:JJJ567"/>
    <mergeCell ref="JJL567:JJN567"/>
    <mergeCell ref="JJP567:JJR567"/>
    <mergeCell ref="JJT567:JJV567"/>
    <mergeCell ref="JJX567:JJZ567"/>
    <mergeCell ref="JTH567:JTJ567"/>
    <mergeCell ref="JTL567:JTN567"/>
    <mergeCell ref="JTP567:JTR567"/>
    <mergeCell ref="JTT567:JTV567"/>
    <mergeCell ref="JTX567:JTZ567"/>
    <mergeCell ref="JSN567:JSP567"/>
    <mergeCell ref="JSR567:JST567"/>
    <mergeCell ref="JSV567:JSX567"/>
    <mergeCell ref="JSZ567:JTB567"/>
    <mergeCell ref="JTD567:JTF567"/>
    <mergeCell ref="JRT567:JRV567"/>
    <mergeCell ref="JRX567:JRZ567"/>
    <mergeCell ref="JSB567:JSD567"/>
    <mergeCell ref="JSF567:JSH567"/>
    <mergeCell ref="JSJ567:JSL567"/>
    <mergeCell ref="JQZ567:JRB567"/>
    <mergeCell ref="JRD567:JRF567"/>
    <mergeCell ref="JRH567:JRJ567"/>
    <mergeCell ref="JRL567:JRN567"/>
    <mergeCell ref="JRP567:JRR567"/>
    <mergeCell ref="JQF567:JQH567"/>
    <mergeCell ref="JQJ567:JQL567"/>
    <mergeCell ref="JQN567:JQP567"/>
    <mergeCell ref="JQR567:JQT567"/>
    <mergeCell ref="JQV567:JQX567"/>
    <mergeCell ref="JPL567:JPN567"/>
    <mergeCell ref="JPP567:JPR567"/>
    <mergeCell ref="JPT567:JPV567"/>
    <mergeCell ref="JPX567:JPZ567"/>
    <mergeCell ref="JQB567:JQD567"/>
    <mergeCell ref="JOR567:JOT567"/>
    <mergeCell ref="JOV567:JOX567"/>
    <mergeCell ref="JOZ567:JPB567"/>
    <mergeCell ref="JPD567:JPF567"/>
    <mergeCell ref="JPH567:JPJ567"/>
    <mergeCell ref="JYR567:JYT567"/>
    <mergeCell ref="JYV567:JYX567"/>
    <mergeCell ref="JYZ567:JZB567"/>
    <mergeCell ref="JZD567:JZF567"/>
    <mergeCell ref="JZH567:JZJ567"/>
    <mergeCell ref="JXX567:JXZ567"/>
    <mergeCell ref="JYB567:JYD567"/>
    <mergeCell ref="JYF567:JYH567"/>
    <mergeCell ref="JYJ567:JYL567"/>
    <mergeCell ref="JYN567:JYP567"/>
    <mergeCell ref="JXD567:JXF567"/>
    <mergeCell ref="JXH567:JXJ567"/>
    <mergeCell ref="JXL567:JXN567"/>
    <mergeCell ref="JXP567:JXR567"/>
    <mergeCell ref="JXT567:JXV567"/>
    <mergeCell ref="JWJ567:JWL567"/>
    <mergeCell ref="JWN567:JWP567"/>
    <mergeCell ref="JWR567:JWT567"/>
    <mergeCell ref="JWV567:JWX567"/>
    <mergeCell ref="JWZ567:JXB567"/>
    <mergeCell ref="JVP567:JVR567"/>
    <mergeCell ref="JVT567:JVV567"/>
    <mergeCell ref="JVX567:JVZ567"/>
    <mergeCell ref="JWB567:JWD567"/>
    <mergeCell ref="JWF567:JWH567"/>
    <mergeCell ref="JUV567:JUX567"/>
    <mergeCell ref="JUZ567:JVB567"/>
    <mergeCell ref="JVD567:JVF567"/>
    <mergeCell ref="JVH567:JVJ567"/>
    <mergeCell ref="JVL567:JVN567"/>
    <mergeCell ref="JUB567:JUD567"/>
    <mergeCell ref="JUF567:JUH567"/>
    <mergeCell ref="JUJ567:JUL567"/>
    <mergeCell ref="JUN567:JUP567"/>
    <mergeCell ref="JUR567:JUT567"/>
    <mergeCell ref="KEB567:KED567"/>
    <mergeCell ref="KEF567:KEH567"/>
    <mergeCell ref="KEJ567:KEL567"/>
    <mergeCell ref="KEN567:KEP567"/>
    <mergeCell ref="KER567:KET567"/>
    <mergeCell ref="KDH567:KDJ567"/>
    <mergeCell ref="KDL567:KDN567"/>
    <mergeCell ref="KDP567:KDR567"/>
    <mergeCell ref="KDT567:KDV567"/>
    <mergeCell ref="KDX567:KDZ567"/>
    <mergeCell ref="KCN567:KCP567"/>
    <mergeCell ref="KCR567:KCT567"/>
    <mergeCell ref="KCV567:KCX567"/>
    <mergeCell ref="KCZ567:KDB567"/>
    <mergeCell ref="KDD567:KDF567"/>
    <mergeCell ref="KBT567:KBV567"/>
    <mergeCell ref="KBX567:KBZ567"/>
    <mergeCell ref="KCB567:KCD567"/>
    <mergeCell ref="KCF567:KCH567"/>
    <mergeCell ref="KCJ567:KCL567"/>
    <mergeCell ref="KAZ567:KBB567"/>
    <mergeCell ref="KBD567:KBF567"/>
    <mergeCell ref="KBH567:KBJ567"/>
    <mergeCell ref="KBL567:KBN567"/>
    <mergeCell ref="KBP567:KBR567"/>
    <mergeCell ref="KAF567:KAH567"/>
    <mergeCell ref="KAJ567:KAL567"/>
    <mergeCell ref="KAN567:KAP567"/>
    <mergeCell ref="KAR567:KAT567"/>
    <mergeCell ref="KAV567:KAX567"/>
    <mergeCell ref="JZL567:JZN567"/>
    <mergeCell ref="JZP567:JZR567"/>
    <mergeCell ref="JZT567:JZV567"/>
    <mergeCell ref="JZX567:JZZ567"/>
    <mergeCell ref="KAB567:KAD567"/>
    <mergeCell ref="KJL567:KJN567"/>
    <mergeCell ref="KJP567:KJR567"/>
    <mergeCell ref="KJT567:KJV567"/>
    <mergeCell ref="KJX567:KJZ567"/>
    <mergeCell ref="KKB567:KKD567"/>
    <mergeCell ref="KIR567:KIT567"/>
    <mergeCell ref="KIV567:KIX567"/>
    <mergeCell ref="KIZ567:KJB567"/>
    <mergeCell ref="KJD567:KJF567"/>
    <mergeCell ref="KJH567:KJJ567"/>
    <mergeCell ref="KHX567:KHZ567"/>
    <mergeCell ref="KIB567:KID567"/>
    <mergeCell ref="KIF567:KIH567"/>
    <mergeCell ref="KIJ567:KIL567"/>
    <mergeCell ref="KIN567:KIP567"/>
    <mergeCell ref="KHD567:KHF567"/>
    <mergeCell ref="KHH567:KHJ567"/>
    <mergeCell ref="KHL567:KHN567"/>
    <mergeCell ref="KHP567:KHR567"/>
    <mergeCell ref="KHT567:KHV567"/>
    <mergeCell ref="KGJ567:KGL567"/>
    <mergeCell ref="KGN567:KGP567"/>
    <mergeCell ref="KGR567:KGT567"/>
    <mergeCell ref="KGV567:KGX567"/>
    <mergeCell ref="KGZ567:KHB567"/>
    <mergeCell ref="KFP567:KFR567"/>
    <mergeCell ref="KFT567:KFV567"/>
    <mergeCell ref="KFX567:KFZ567"/>
    <mergeCell ref="KGB567:KGD567"/>
    <mergeCell ref="KGF567:KGH567"/>
    <mergeCell ref="KEV567:KEX567"/>
    <mergeCell ref="KEZ567:KFB567"/>
    <mergeCell ref="KFD567:KFF567"/>
    <mergeCell ref="KFH567:KFJ567"/>
    <mergeCell ref="KFL567:KFN567"/>
    <mergeCell ref="KOV567:KOX567"/>
    <mergeCell ref="KOZ567:KPB567"/>
    <mergeCell ref="KPD567:KPF567"/>
    <mergeCell ref="KPH567:KPJ567"/>
    <mergeCell ref="KPL567:KPN567"/>
    <mergeCell ref="KOB567:KOD567"/>
    <mergeCell ref="KOF567:KOH567"/>
    <mergeCell ref="KOJ567:KOL567"/>
    <mergeCell ref="KON567:KOP567"/>
    <mergeCell ref="KOR567:KOT567"/>
    <mergeCell ref="KNH567:KNJ567"/>
    <mergeCell ref="KNL567:KNN567"/>
    <mergeCell ref="KNP567:KNR567"/>
    <mergeCell ref="KNT567:KNV567"/>
    <mergeCell ref="KNX567:KNZ567"/>
    <mergeCell ref="KMN567:KMP567"/>
    <mergeCell ref="KMR567:KMT567"/>
    <mergeCell ref="KMV567:KMX567"/>
    <mergeCell ref="KMZ567:KNB567"/>
    <mergeCell ref="KND567:KNF567"/>
    <mergeCell ref="KLT567:KLV567"/>
    <mergeCell ref="KLX567:KLZ567"/>
    <mergeCell ref="KMB567:KMD567"/>
    <mergeCell ref="KMF567:KMH567"/>
    <mergeCell ref="KMJ567:KML567"/>
    <mergeCell ref="KKZ567:KLB567"/>
    <mergeCell ref="KLD567:KLF567"/>
    <mergeCell ref="KLH567:KLJ567"/>
    <mergeCell ref="KLL567:KLN567"/>
    <mergeCell ref="KLP567:KLR567"/>
    <mergeCell ref="KKF567:KKH567"/>
    <mergeCell ref="KKJ567:KKL567"/>
    <mergeCell ref="KKN567:KKP567"/>
    <mergeCell ref="KKR567:KKT567"/>
    <mergeCell ref="KKV567:KKX567"/>
    <mergeCell ref="KUF567:KUH567"/>
    <mergeCell ref="KUJ567:KUL567"/>
    <mergeCell ref="KUN567:KUP567"/>
    <mergeCell ref="KUR567:KUT567"/>
    <mergeCell ref="KUV567:KUX567"/>
    <mergeCell ref="KTL567:KTN567"/>
    <mergeCell ref="KTP567:KTR567"/>
    <mergeCell ref="KTT567:KTV567"/>
    <mergeCell ref="KTX567:KTZ567"/>
    <mergeCell ref="KUB567:KUD567"/>
    <mergeCell ref="KSR567:KST567"/>
    <mergeCell ref="KSV567:KSX567"/>
    <mergeCell ref="KSZ567:KTB567"/>
    <mergeCell ref="KTD567:KTF567"/>
    <mergeCell ref="KTH567:KTJ567"/>
    <mergeCell ref="KRX567:KRZ567"/>
    <mergeCell ref="KSB567:KSD567"/>
    <mergeCell ref="KSF567:KSH567"/>
    <mergeCell ref="KSJ567:KSL567"/>
    <mergeCell ref="KSN567:KSP567"/>
    <mergeCell ref="KRD567:KRF567"/>
    <mergeCell ref="KRH567:KRJ567"/>
    <mergeCell ref="KRL567:KRN567"/>
    <mergeCell ref="KRP567:KRR567"/>
    <mergeCell ref="KRT567:KRV567"/>
    <mergeCell ref="KQJ567:KQL567"/>
    <mergeCell ref="KQN567:KQP567"/>
    <mergeCell ref="KQR567:KQT567"/>
    <mergeCell ref="KQV567:KQX567"/>
    <mergeCell ref="KQZ567:KRB567"/>
    <mergeCell ref="KPP567:KPR567"/>
    <mergeCell ref="KPT567:KPV567"/>
    <mergeCell ref="KPX567:KPZ567"/>
    <mergeCell ref="KQB567:KQD567"/>
    <mergeCell ref="KQF567:KQH567"/>
    <mergeCell ref="KZP567:KZR567"/>
    <mergeCell ref="KZT567:KZV567"/>
    <mergeCell ref="KZX567:KZZ567"/>
    <mergeCell ref="LAB567:LAD567"/>
    <mergeCell ref="LAF567:LAH567"/>
    <mergeCell ref="KYV567:KYX567"/>
    <mergeCell ref="KYZ567:KZB567"/>
    <mergeCell ref="KZD567:KZF567"/>
    <mergeCell ref="KZH567:KZJ567"/>
    <mergeCell ref="KZL567:KZN567"/>
    <mergeCell ref="KYB567:KYD567"/>
    <mergeCell ref="KYF567:KYH567"/>
    <mergeCell ref="KYJ567:KYL567"/>
    <mergeCell ref="KYN567:KYP567"/>
    <mergeCell ref="KYR567:KYT567"/>
    <mergeCell ref="KXH567:KXJ567"/>
    <mergeCell ref="KXL567:KXN567"/>
    <mergeCell ref="KXP567:KXR567"/>
    <mergeCell ref="KXT567:KXV567"/>
    <mergeCell ref="KXX567:KXZ567"/>
    <mergeCell ref="KWN567:KWP567"/>
    <mergeCell ref="KWR567:KWT567"/>
    <mergeCell ref="KWV567:KWX567"/>
    <mergeCell ref="KWZ567:KXB567"/>
    <mergeCell ref="KXD567:KXF567"/>
    <mergeCell ref="KVT567:KVV567"/>
    <mergeCell ref="KVX567:KVZ567"/>
    <mergeCell ref="KWB567:KWD567"/>
    <mergeCell ref="KWF567:KWH567"/>
    <mergeCell ref="KWJ567:KWL567"/>
    <mergeCell ref="KUZ567:KVB567"/>
    <mergeCell ref="KVD567:KVF567"/>
    <mergeCell ref="KVH567:KVJ567"/>
    <mergeCell ref="KVL567:KVN567"/>
    <mergeCell ref="KVP567:KVR567"/>
    <mergeCell ref="LEZ567:LFB567"/>
    <mergeCell ref="LFD567:LFF567"/>
    <mergeCell ref="LFH567:LFJ567"/>
    <mergeCell ref="LFL567:LFN567"/>
    <mergeCell ref="LFP567:LFR567"/>
    <mergeCell ref="LEF567:LEH567"/>
    <mergeCell ref="LEJ567:LEL567"/>
    <mergeCell ref="LEN567:LEP567"/>
    <mergeCell ref="LER567:LET567"/>
    <mergeCell ref="LEV567:LEX567"/>
    <mergeCell ref="LDL567:LDN567"/>
    <mergeCell ref="LDP567:LDR567"/>
    <mergeCell ref="LDT567:LDV567"/>
    <mergeCell ref="LDX567:LDZ567"/>
    <mergeCell ref="LEB567:LED567"/>
    <mergeCell ref="LCR567:LCT567"/>
    <mergeCell ref="LCV567:LCX567"/>
    <mergeCell ref="LCZ567:LDB567"/>
    <mergeCell ref="LDD567:LDF567"/>
    <mergeCell ref="LDH567:LDJ567"/>
    <mergeCell ref="LBX567:LBZ567"/>
    <mergeCell ref="LCB567:LCD567"/>
    <mergeCell ref="LCF567:LCH567"/>
    <mergeCell ref="LCJ567:LCL567"/>
    <mergeCell ref="LCN567:LCP567"/>
    <mergeCell ref="LBD567:LBF567"/>
    <mergeCell ref="LBH567:LBJ567"/>
    <mergeCell ref="LBL567:LBN567"/>
    <mergeCell ref="LBP567:LBR567"/>
    <mergeCell ref="LBT567:LBV567"/>
    <mergeCell ref="LAJ567:LAL567"/>
    <mergeCell ref="LAN567:LAP567"/>
    <mergeCell ref="LAR567:LAT567"/>
    <mergeCell ref="LAV567:LAX567"/>
    <mergeCell ref="LAZ567:LBB567"/>
    <mergeCell ref="LKJ567:LKL567"/>
    <mergeCell ref="LKN567:LKP567"/>
    <mergeCell ref="LKR567:LKT567"/>
    <mergeCell ref="LKV567:LKX567"/>
    <mergeCell ref="LKZ567:LLB567"/>
    <mergeCell ref="LJP567:LJR567"/>
    <mergeCell ref="LJT567:LJV567"/>
    <mergeCell ref="LJX567:LJZ567"/>
    <mergeCell ref="LKB567:LKD567"/>
    <mergeCell ref="LKF567:LKH567"/>
    <mergeCell ref="LIV567:LIX567"/>
    <mergeCell ref="LIZ567:LJB567"/>
    <mergeCell ref="LJD567:LJF567"/>
    <mergeCell ref="LJH567:LJJ567"/>
    <mergeCell ref="LJL567:LJN567"/>
    <mergeCell ref="LIB567:LID567"/>
    <mergeCell ref="LIF567:LIH567"/>
    <mergeCell ref="LIJ567:LIL567"/>
    <mergeCell ref="LIN567:LIP567"/>
    <mergeCell ref="LIR567:LIT567"/>
    <mergeCell ref="LHH567:LHJ567"/>
    <mergeCell ref="LHL567:LHN567"/>
    <mergeCell ref="LHP567:LHR567"/>
    <mergeCell ref="LHT567:LHV567"/>
    <mergeCell ref="LHX567:LHZ567"/>
    <mergeCell ref="LGN567:LGP567"/>
    <mergeCell ref="LGR567:LGT567"/>
    <mergeCell ref="LGV567:LGX567"/>
    <mergeCell ref="LGZ567:LHB567"/>
    <mergeCell ref="LHD567:LHF567"/>
    <mergeCell ref="LFT567:LFV567"/>
    <mergeCell ref="LFX567:LFZ567"/>
    <mergeCell ref="LGB567:LGD567"/>
    <mergeCell ref="LGF567:LGH567"/>
    <mergeCell ref="LGJ567:LGL567"/>
    <mergeCell ref="LPT567:LPV567"/>
    <mergeCell ref="LPX567:LPZ567"/>
    <mergeCell ref="LQB567:LQD567"/>
    <mergeCell ref="LQF567:LQH567"/>
    <mergeCell ref="LQJ567:LQL567"/>
    <mergeCell ref="LOZ567:LPB567"/>
    <mergeCell ref="LPD567:LPF567"/>
    <mergeCell ref="LPH567:LPJ567"/>
    <mergeCell ref="LPL567:LPN567"/>
    <mergeCell ref="LPP567:LPR567"/>
    <mergeCell ref="LOF567:LOH567"/>
    <mergeCell ref="LOJ567:LOL567"/>
    <mergeCell ref="LON567:LOP567"/>
    <mergeCell ref="LOR567:LOT567"/>
    <mergeCell ref="LOV567:LOX567"/>
    <mergeCell ref="LNL567:LNN567"/>
    <mergeCell ref="LNP567:LNR567"/>
    <mergeCell ref="LNT567:LNV567"/>
    <mergeCell ref="LNX567:LNZ567"/>
    <mergeCell ref="LOB567:LOD567"/>
    <mergeCell ref="LMR567:LMT567"/>
    <mergeCell ref="LMV567:LMX567"/>
    <mergeCell ref="LMZ567:LNB567"/>
    <mergeCell ref="LND567:LNF567"/>
    <mergeCell ref="LNH567:LNJ567"/>
    <mergeCell ref="LLX567:LLZ567"/>
    <mergeCell ref="LMB567:LMD567"/>
    <mergeCell ref="LMF567:LMH567"/>
    <mergeCell ref="LMJ567:LML567"/>
    <mergeCell ref="LMN567:LMP567"/>
    <mergeCell ref="LLD567:LLF567"/>
    <mergeCell ref="LLH567:LLJ567"/>
    <mergeCell ref="LLL567:LLN567"/>
    <mergeCell ref="LLP567:LLR567"/>
    <mergeCell ref="LLT567:LLV567"/>
    <mergeCell ref="LVD567:LVF567"/>
    <mergeCell ref="LVH567:LVJ567"/>
    <mergeCell ref="LVL567:LVN567"/>
    <mergeCell ref="LVP567:LVR567"/>
    <mergeCell ref="LVT567:LVV567"/>
    <mergeCell ref="LUJ567:LUL567"/>
    <mergeCell ref="LUN567:LUP567"/>
    <mergeCell ref="LUR567:LUT567"/>
    <mergeCell ref="LUV567:LUX567"/>
    <mergeCell ref="LUZ567:LVB567"/>
    <mergeCell ref="LTP567:LTR567"/>
    <mergeCell ref="LTT567:LTV567"/>
    <mergeCell ref="LTX567:LTZ567"/>
    <mergeCell ref="LUB567:LUD567"/>
    <mergeCell ref="LUF567:LUH567"/>
    <mergeCell ref="LSV567:LSX567"/>
    <mergeCell ref="LSZ567:LTB567"/>
    <mergeCell ref="LTD567:LTF567"/>
    <mergeCell ref="LTH567:LTJ567"/>
    <mergeCell ref="LTL567:LTN567"/>
    <mergeCell ref="LSB567:LSD567"/>
    <mergeCell ref="LSF567:LSH567"/>
    <mergeCell ref="LSJ567:LSL567"/>
    <mergeCell ref="LSN567:LSP567"/>
    <mergeCell ref="LSR567:LST567"/>
    <mergeCell ref="LRH567:LRJ567"/>
    <mergeCell ref="LRL567:LRN567"/>
    <mergeCell ref="LRP567:LRR567"/>
    <mergeCell ref="LRT567:LRV567"/>
    <mergeCell ref="LRX567:LRZ567"/>
    <mergeCell ref="LQN567:LQP567"/>
    <mergeCell ref="LQR567:LQT567"/>
    <mergeCell ref="LQV567:LQX567"/>
    <mergeCell ref="LQZ567:LRB567"/>
    <mergeCell ref="LRD567:LRF567"/>
    <mergeCell ref="MAN567:MAP567"/>
    <mergeCell ref="MAR567:MAT567"/>
    <mergeCell ref="MAV567:MAX567"/>
    <mergeCell ref="MAZ567:MBB567"/>
    <mergeCell ref="MBD567:MBF567"/>
    <mergeCell ref="LZT567:LZV567"/>
    <mergeCell ref="LZX567:LZZ567"/>
    <mergeCell ref="MAB567:MAD567"/>
    <mergeCell ref="MAF567:MAH567"/>
    <mergeCell ref="MAJ567:MAL567"/>
    <mergeCell ref="LYZ567:LZB567"/>
    <mergeCell ref="LZD567:LZF567"/>
    <mergeCell ref="LZH567:LZJ567"/>
    <mergeCell ref="LZL567:LZN567"/>
    <mergeCell ref="LZP567:LZR567"/>
    <mergeCell ref="LYF567:LYH567"/>
    <mergeCell ref="LYJ567:LYL567"/>
    <mergeCell ref="LYN567:LYP567"/>
    <mergeCell ref="LYR567:LYT567"/>
    <mergeCell ref="LYV567:LYX567"/>
    <mergeCell ref="LXL567:LXN567"/>
    <mergeCell ref="LXP567:LXR567"/>
    <mergeCell ref="LXT567:LXV567"/>
    <mergeCell ref="LXX567:LXZ567"/>
    <mergeCell ref="LYB567:LYD567"/>
    <mergeCell ref="LWR567:LWT567"/>
    <mergeCell ref="LWV567:LWX567"/>
    <mergeCell ref="LWZ567:LXB567"/>
    <mergeCell ref="LXD567:LXF567"/>
    <mergeCell ref="LXH567:LXJ567"/>
    <mergeCell ref="LVX567:LVZ567"/>
    <mergeCell ref="LWB567:LWD567"/>
    <mergeCell ref="LWF567:LWH567"/>
    <mergeCell ref="LWJ567:LWL567"/>
    <mergeCell ref="LWN567:LWP567"/>
    <mergeCell ref="MFX567:MFZ567"/>
    <mergeCell ref="MGB567:MGD567"/>
    <mergeCell ref="MGF567:MGH567"/>
    <mergeCell ref="MGJ567:MGL567"/>
    <mergeCell ref="MGN567:MGP567"/>
    <mergeCell ref="MFD567:MFF567"/>
    <mergeCell ref="MFH567:MFJ567"/>
    <mergeCell ref="MFL567:MFN567"/>
    <mergeCell ref="MFP567:MFR567"/>
    <mergeCell ref="MFT567:MFV567"/>
    <mergeCell ref="MEJ567:MEL567"/>
    <mergeCell ref="MEN567:MEP567"/>
    <mergeCell ref="MER567:MET567"/>
    <mergeCell ref="MEV567:MEX567"/>
    <mergeCell ref="MEZ567:MFB567"/>
    <mergeCell ref="MDP567:MDR567"/>
    <mergeCell ref="MDT567:MDV567"/>
    <mergeCell ref="MDX567:MDZ567"/>
    <mergeCell ref="MEB567:MED567"/>
    <mergeCell ref="MEF567:MEH567"/>
    <mergeCell ref="MCV567:MCX567"/>
    <mergeCell ref="MCZ567:MDB567"/>
    <mergeCell ref="MDD567:MDF567"/>
    <mergeCell ref="MDH567:MDJ567"/>
    <mergeCell ref="MDL567:MDN567"/>
    <mergeCell ref="MCB567:MCD567"/>
    <mergeCell ref="MCF567:MCH567"/>
    <mergeCell ref="MCJ567:MCL567"/>
    <mergeCell ref="MCN567:MCP567"/>
    <mergeCell ref="MCR567:MCT567"/>
    <mergeCell ref="MBH567:MBJ567"/>
    <mergeCell ref="MBL567:MBN567"/>
    <mergeCell ref="MBP567:MBR567"/>
    <mergeCell ref="MBT567:MBV567"/>
    <mergeCell ref="MBX567:MBZ567"/>
    <mergeCell ref="MLH567:MLJ567"/>
    <mergeCell ref="MLL567:MLN567"/>
    <mergeCell ref="MLP567:MLR567"/>
    <mergeCell ref="MLT567:MLV567"/>
    <mergeCell ref="MLX567:MLZ567"/>
    <mergeCell ref="MKN567:MKP567"/>
    <mergeCell ref="MKR567:MKT567"/>
    <mergeCell ref="MKV567:MKX567"/>
    <mergeCell ref="MKZ567:MLB567"/>
    <mergeCell ref="MLD567:MLF567"/>
    <mergeCell ref="MJT567:MJV567"/>
    <mergeCell ref="MJX567:MJZ567"/>
    <mergeCell ref="MKB567:MKD567"/>
    <mergeCell ref="MKF567:MKH567"/>
    <mergeCell ref="MKJ567:MKL567"/>
    <mergeCell ref="MIZ567:MJB567"/>
    <mergeCell ref="MJD567:MJF567"/>
    <mergeCell ref="MJH567:MJJ567"/>
    <mergeCell ref="MJL567:MJN567"/>
    <mergeCell ref="MJP567:MJR567"/>
    <mergeCell ref="MIF567:MIH567"/>
    <mergeCell ref="MIJ567:MIL567"/>
    <mergeCell ref="MIN567:MIP567"/>
    <mergeCell ref="MIR567:MIT567"/>
    <mergeCell ref="MIV567:MIX567"/>
    <mergeCell ref="MHL567:MHN567"/>
    <mergeCell ref="MHP567:MHR567"/>
    <mergeCell ref="MHT567:MHV567"/>
    <mergeCell ref="MHX567:MHZ567"/>
    <mergeCell ref="MIB567:MID567"/>
    <mergeCell ref="MGR567:MGT567"/>
    <mergeCell ref="MGV567:MGX567"/>
    <mergeCell ref="MGZ567:MHB567"/>
    <mergeCell ref="MHD567:MHF567"/>
    <mergeCell ref="MHH567:MHJ567"/>
    <mergeCell ref="MQR567:MQT567"/>
    <mergeCell ref="MQV567:MQX567"/>
    <mergeCell ref="MQZ567:MRB567"/>
    <mergeCell ref="MRD567:MRF567"/>
    <mergeCell ref="MRH567:MRJ567"/>
    <mergeCell ref="MPX567:MPZ567"/>
    <mergeCell ref="MQB567:MQD567"/>
    <mergeCell ref="MQF567:MQH567"/>
    <mergeCell ref="MQJ567:MQL567"/>
    <mergeCell ref="MQN567:MQP567"/>
    <mergeCell ref="MPD567:MPF567"/>
    <mergeCell ref="MPH567:MPJ567"/>
    <mergeCell ref="MPL567:MPN567"/>
    <mergeCell ref="MPP567:MPR567"/>
    <mergeCell ref="MPT567:MPV567"/>
    <mergeCell ref="MOJ567:MOL567"/>
    <mergeCell ref="MON567:MOP567"/>
    <mergeCell ref="MOR567:MOT567"/>
    <mergeCell ref="MOV567:MOX567"/>
    <mergeCell ref="MOZ567:MPB567"/>
    <mergeCell ref="MNP567:MNR567"/>
    <mergeCell ref="MNT567:MNV567"/>
    <mergeCell ref="MNX567:MNZ567"/>
    <mergeCell ref="MOB567:MOD567"/>
    <mergeCell ref="MOF567:MOH567"/>
    <mergeCell ref="MMV567:MMX567"/>
    <mergeCell ref="MMZ567:MNB567"/>
    <mergeCell ref="MND567:MNF567"/>
    <mergeCell ref="MNH567:MNJ567"/>
    <mergeCell ref="MNL567:MNN567"/>
    <mergeCell ref="MMB567:MMD567"/>
    <mergeCell ref="MMF567:MMH567"/>
    <mergeCell ref="MMJ567:MML567"/>
    <mergeCell ref="MMN567:MMP567"/>
    <mergeCell ref="MMR567:MMT567"/>
    <mergeCell ref="MWB567:MWD567"/>
    <mergeCell ref="MWF567:MWH567"/>
    <mergeCell ref="MWJ567:MWL567"/>
    <mergeCell ref="MWN567:MWP567"/>
    <mergeCell ref="MWR567:MWT567"/>
    <mergeCell ref="MVH567:MVJ567"/>
    <mergeCell ref="MVL567:MVN567"/>
    <mergeCell ref="MVP567:MVR567"/>
    <mergeCell ref="MVT567:MVV567"/>
    <mergeCell ref="MVX567:MVZ567"/>
    <mergeCell ref="MUN567:MUP567"/>
    <mergeCell ref="MUR567:MUT567"/>
    <mergeCell ref="MUV567:MUX567"/>
    <mergeCell ref="MUZ567:MVB567"/>
    <mergeCell ref="MVD567:MVF567"/>
    <mergeCell ref="MTT567:MTV567"/>
    <mergeCell ref="MTX567:MTZ567"/>
    <mergeCell ref="MUB567:MUD567"/>
    <mergeCell ref="MUF567:MUH567"/>
    <mergeCell ref="MUJ567:MUL567"/>
    <mergeCell ref="MSZ567:MTB567"/>
    <mergeCell ref="MTD567:MTF567"/>
    <mergeCell ref="MTH567:MTJ567"/>
    <mergeCell ref="MTL567:MTN567"/>
    <mergeCell ref="MTP567:MTR567"/>
    <mergeCell ref="MSF567:MSH567"/>
    <mergeCell ref="MSJ567:MSL567"/>
    <mergeCell ref="MSN567:MSP567"/>
    <mergeCell ref="MSR567:MST567"/>
    <mergeCell ref="MSV567:MSX567"/>
    <mergeCell ref="MRL567:MRN567"/>
    <mergeCell ref="MRP567:MRR567"/>
    <mergeCell ref="MRT567:MRV567"/>
    <mergeCell ref="MRX567:MRZ567"/>
    <mergeCell ref="MSB567:MSD567"/>
    <mergeCell ref="NBL567:NBN567"/>
    <mergeCell ref="NBP567:NBR567"/>
    <mergeCell ref="NBT567:NBV567"/>
    <mergeCell ref="NBX567:NBZ567"/>
    <mergeCell ref="NCB567:NCD567"/>
    <mergeCell ref="NAR567:NAT567"/>
    <mergeCell ref="NAV567:NAX567"/>
    <mergeCell ref="NAZ567:NBB567"/>
    <mergeCell ref="NBD567:NBF567"/>
    <mergeCell ref="NBH567:NBJ567"/>
    <mergeCell ref="MZX567:MZZ567"/>
    <mergeCell ref="NAB567:NAD567"/>
    <mergeCell ref="NAF567:NAH567"/>
    <mergeCell ref="NAJ567:NAL567"/>
    <mergeCell ref="NAN567:NAP567"/>
    <mergeCell ref="MZD567:MZF567"/>
    <mergeCell ref="MZH567:MZJ567"/>
    <mergeCell ref="MZL567:MZN567"/>
    <mergeCell ref="MZP567:MZR567"/>
    <mergeCell ref="MZT567:MZV567"/>
    <mergeCell ref="MYJ567:MYL567"/>
    <mergeCell ref="MYN567:MYP567"/>
    <mergeCell ref="MYR567:MYT567"/>
    <mergeCell ref="MYV567:MYX567"/>
    <mergeCell ref="MYZ567:MZB567"/>
    <mergeCell ref="MXP567:MXR567"/>
    <mergeCell ref="MXT567:MXV567"/>
    <mergeCell ref="MXX567:MXZ567"/>
    <mergeCell ref="MYB567:MYD567"/>
    <mergeCell ref="MYF567:MYH567"/>
    <mergeCell ref="MWV567:MWX567"/>
    <mergeCell ref="MWZ567:MXB567"/>
    <mergeCell ref="MXD567:MXF567"/>
    <mergeCell ref="MXH567:MXJ567"/>
    <mergeCell ref="MXL567:MXN567"/>
    <mergeCell ref="NGV567:NGX567"/>
    <mergeCell ref="NGZ567:NHB567"/>
    <mergeCell ref="NHD567:NHF567"/>
    <mergeCell ref="NHH567:NHJ567"/>
    <mergeCell ref="NHL567:NHN567"/>
    <mergeCell ref="NGB567:NGD567"/>
    <mergeCell ref="NGF567:NGH567"/>
    <mergeCell ref="NGJ567:NGL567"/>
    <mergeCell ref="NGN567:NGP567"/>
    <mergeCell ref="NGR567:NGT567"/>
    <mergeCell ref="NFH567:NFJ567"/>
    <mergeCell ref="NFL567:NFN567"/>
    <mergeCell ref="NFP567:NFR567"/>
    <mergeCell ref="NFT567:NFV567"/>
    <mergeCell ref="NFX567:NFZ567"/>
    <mergeCell ref="NEN567:NEP567"/>
    <mergeCell ref="NER567:NET567"/>
    <mergeCell ref="NEV567:NEX567"/>
    <mergeCell ref="NEZ567:NFB567"/>
    <mergeCell ref="NFD567:NFF567"/>
    <mergeCell ref="NDT567:NDV567"/>
    <mergeCell ref="NDX567:NDZ567"/>
    <mergeCell ref="NEB567:NED567"/>
    <mergeCell ref="NEF567:NEH567"/>
    <mergeCell ref="NEJ567:NEL567"/>
    <mergeCell ref="NCZ567:NDB567"/>
    <mergeCell ref="NDD567:NDF567"/>
    <mergeCell ref="NDH567:NDJ567"/>
    <mergeCell ref="NDL567:NDN567"/>
    <mergeCell ref="NDP567:NDR567"/>
    <mergeCell ref="NCF567:NCH567"/>
    <mergeCell ref="NCJ567:NCL567"/>
    <mergeCell ref="NCN567:NCP567"/>
    <mergeCell ref="NCR567:NCT567"/>
    <mergeCell ref="NCV567:NCX567"/>
    <mergeCell ref="NMF567:NMH567"/>
    <mergeCell ref="NMJ567:NML567"/>
    <mergeCell ref="NMN567:NMP567"/>
    <mergeCell ref="NMR567:NMT567"/>
    <mergeCell ref="NMV567:NMX567"/>
    <mergeCell ref="NLL567:NLN567"/>
    <mergeCell ref="NLP567:NLR567"/>
    <mergeCell ref="NLT567:NLV567"/>
    <mergeCell ref="NLX567:NLZ567"/>
    <mergeCell ref="NMB567:NMD567"/>
    <mergeCell ref="NKR567:NKT567"/>
    <mergeCell ref="NKV567:NKX567"/>
    <mergeCell ref="NKZ567:NLB567"/>
    <mergeCell ref="NLD567:NLF567"/>
    <mergeCell ref="NLH567:NLJ567"/>
    <mergeCell ref="NJX567:NJZ567"/>
    <mergeCell ref="NKB567:NKD567"/>
    <mergeCell ref="NKF567:NKH567"/>
    <mergeCell ref="NKJ567:NKL567"/>
    <mergeCell ref="NKN567:NKP567"/>
    <mergeCell ref="NJD567:NJF567"/>
    <mergeCell ref="NJH567:NJJ567"/>
    <mergeCell ref="NJL567:NJN567"/>
    <mergeCell ref="NJP567:NJR567"/>
    <mergeCell ref="NJT567:NJV567"/>
    <mergeCell ref="NIJ567:NIL567"/>
    <mergeCell ref="NIN567:NIP567"/>
    <mergeCell ref="NIR567:NIT567"/>
    <mergeCell ref="NIV567:NIX567"/>
    <mergeCell ref="NIZ567:NJB567"/>
    <mergeCell ref="NHP567:NHR567"/>
    <mergeCell ref="NHT567:NHV567"/>
    <mergeCell ref="NHX567:NHZ567"/>
    <mergeCell ref="NIB567:NID567"/>
    <mergeCell ref="NIF567:NIH567"/>
    <mergeCell ref="NRP567:NRR567"/>
    <mergeCell ref="NRT567:NRV567"/>
    <mergeCell ref="NRX567:NRZ567"/>
    <mergeCell ref="NSB567:NSD567"/>
    <mergeCell ref="NSF567:NSH567"/>
    <mergeCell ref="NQV567:NQX567"/>
    <mergeCell ref="NQZ567:NRB567"/>
    <mergeCell ref="NRD567:NRF567"/>
    <mergeCell ref="NRH567:NRJ567"/>
    <mergeCell ref="NRL567:NRN567"/>
    <mergeCell ref="NQB567:NQD567"/>
    <mergeCell ref="NQF567:NQH567"/>
    <mergeCell ref="NQJ567:NQL567"/>
    <mergeCell ref="NQN567:NQP567"/>
    <mergeCell ref="NQR567:NQT567"/>
    <mergeCell ref="NPH567:NPJ567"/>
    <mergeCell ref="NPL567:NPN567"/>
    <mergeCell ref="NPP567:NPR567"/>
    <mergeCell ref="NPT567:NPV567"/>
    <mergeCell ref="NPX567:NPZ567"/>
    <mergeCell ref="NON567:NOP567"/>
    <mergeCell ref="NOR567:NOT567"/>
    <mergeCell ref="NOV567:NOX567"/>
    <mergeCell ref="NOZ567:NPB567"/>
    <mergeCell ref="NPD567:NPF567"/>
    <mergeCell ref="NNT567:NNV567"/>
    <mergeCell ref="NNX567:NNZ567"/>
    <mergeCell ref="NOB567:NOD567"/>
    <mergeCell ref="NOF567:NOH567"/>
    <mergeCell ref="NOJ567:NOL567"/>
    <mergeCell ref="NMZ567:NNB567"/>
    <mergeCell ref="NND567:NNF567"/>
    <mergeCell ref="NNH567:NNJ567"/>
    <mergeCell ref="NNL567:NNN567"/>
    <mergeCell ref="NNP567:NNR567"/>
    <mergeCell ref="NWZ567:NXB567"/>
    <mergeCell ref="NXD567:NXF567"/>
    <mergeCell ref="NXH567:NXJ567"/>
    <mergeCell ref="NXL567:NXN567"/>
    <mergeCell ref="NXP567:NXR567"/>
    <mergeCell ref="NWF567:NWH567"/>
    <mergeCell ref="NWJ567:NWL567"/>
    <mergeCell ref="NWN567:NWP567"/>
    <mergeCell ref="NWR567:NWT567"/>
    <mergeCell ref="NWV567:NWX567"/>
    <mergeCell ref="NVL567:NVN567"/>
    <mergeCell ref="NVP567:NVR567"/>
    <mergeCell ref="NVT567:NVV567"/>
    <mergeCell ref="NVX567:NVZ567"/>
    <mergeCell ref="NWB567:NWD567"/>
    <mergeCell ref="NUR567:NUT567"/>
    <mergeCell ref="NUV567:NUX567"/>
    <mergeCell ref="NUZ567:NVB567"/>
    <mergeCell ref="NVD567:NVF567"/>
    <mergeCell ref="NVH567:NVJ567"/>
    <mergeCell ref="NTX567:NTZ567"/>
    <mergeCell ref="NUB567:NUD567"/>
    <mergeCell ref="NUF567:NUH567"/>
    <mergeCell ref="NUJ567:NUL567"/>
    <mergeCell ref="NUN567:NUP567"/>
    <mergeCell ref="NTD567:NTF567"/>
    <mergeCell ref="NTH567:NTJ567"/>
    <mergeCell ref="NTL567:NTN567"/>
    <mergeCell ref="NTP567:NTR567"/>
    <mergeCell ref="NTT567:NTV567"/>
    <mergeCell ref="NSJ567:NSL567"/>
    <mergeCell ref="NSN567:NSP567"/>
    <mergeCell ref="NSR567:NST567"/>
    <mergeCell ref="NSV567:NSX567"/>
    <mergeCell ref="NSZ567:NTB567"/>
    <mergeCell ref="OCJ567:OCL567"/>
    <mergeCell ref="OCN567:OCP567"/>
    <mergeCell ref="OCR567:OCT567"/>
    <mergeCell ref="OCV567:OCX567"/>
    <mergeCell ref="OCZ567:ODB567"/>
    <mergeCell ref="OBP567:OBR567"/>
    <mergeCell ref="OBT567:OBV567"/>
    <mergeCell ref="OBX567:OBZ567"/>
    <mergeCell ref="OCB567:OCD567"/>
    <mergeCell ref="OCF567:OCH567"/>
    <mergeCell ref="OAV567:OAX567"/>
    <mergeCell ref="OAZ567:OBB567"/>
    <mergeCell ref="OBD567:OBF567"/>
    <mergeCell ref="OBH567:OBJ567"/>
    <mergeCell ref="OBL567:OBN567"/>
    <mergeCell ref="OAB567:OAD567"/>
    <mergeCell ref="OAF567:OAH567"/>
    <mergeCell ref="OAJ567:OAL567"/>
    <mergeCell ref="OAN567:OAP567"/>
    <mergeCell ref="OAR567:OAT567"/>
    <mergeCell ref="NZH567:NZJ567"/>
    <mergeCell ref="NZL567:NZN567"/>
    <mergeCell ref="NZP567:NZR567"/>
    <mergeCell ref="NZT567:NZV567"/>
    <mergeCell ref="NZX567:NZZ567"/>
    <mergeCell ref="NYN567:NYP567"/>
    <mergeCell ref="NYR567:NYT567"/>
    <mergeCell ref="NYV567:NYX567"/>
    <mergeCell ref="NYZ567:NZB567"/>
    <mergeCell ref="NZD567:NZF567"/>
    <mergeCell ref="NXT567:NXV567"/>
    <mergeCell ref="NXX567:NXZ567"/>
    <mergeCell ref="NYB567:NYD567"/>
    <mergeCell ref="NYF567:NYH567"/>
    <mergeCell ref="NYJ567:NYL567"/>
    <mergeCell ref="OHT567:OHV567"/>
    <mergeCell ref="OHX567:OHZ567"/>
    <mergeCell ref="OIB567:OID567"/>
    <mergeCell ref="OIF567:OIH567"/>
    <mergeCell ref="OIJ567:OIL567"/>
    <mergeCell ref="OGZ567:OHB567"/>
    <mergeCell ref="OHD567:OHF567"/>
    <mergeCell ref="OHH567:OHJ567"/>
    <mergeCell ref="OHL567:OHN567"/>
    <mergeCell ref="OHP567:OHR567"/>
    <mergeCell ref="OGF567:OGH567"/>
    <mergeCell ref="OGJ567:OGL567"/>
    <mergeCell ref="OGN567:OGP567"/>
    <mergeCell ref="OGR567:OGT567"/>
    <mergeCell ref="OGV567:OGX567"/>
    <mergeCell ref="OFL567:OFN567"/>
    <mergeCell ref="OFP567:OFR567"/>
    <mergeCell ref="OFT567:OFV567"/>
    <mergeCell ref="OFX567:OFZ567"/>
    <mergeCell ref="OGB567:OGD567"/>
    <mergeCell ref="OER567:OET567"/>
    <mergeCell ref="OEV567:OEX567"/>
    <mergeCell ref="OEZ567:OFB567"/>
    <mergeCell ref="OFD567:OFF567"/>
    <mergeCell ref="OFH567:OFJ567"/>
    <mergeCell ref="ODX567:ODZ567"/>
    <mergeCell ref="OEB567:OED567"/>
    <mergeCell ref="OEF567:OEH567"/>
    <mergeCell ref="OEJ567:OEL567"/>
    <mergeCell ref="OEN567:OEP567"/>
    <mergeCell ref="ODD567:ODF567"/>
    <mergeCell ref="ODH567:ODJ567"/>
    <mergeCell ref="ODL567:ODN567"/>
    <mergeCell ref="ODP567:ODR567"/>
    <mergeCell ref="ODT567:ODV567"/>
    <mergeCell ref="OND567:ONF567"/>
    <mergeCell ref="ONH567:ONJ567"/>
    <mergeCell ref="ONL567:ONN567"/>
    <mergeCell ref="ONP567:ONR567"/>
    <mergeCell ref="ONT567:ONV567"/>
    <mergeCell ref="OMJ567:OML567"/>
    <mergeCell ref="OMN567:OMP567"/>
    <mergeCell ref="OMR567:OMT567"/>
    <mergeCell ref="OMV567:OMX567"/>
    <mergeCell ref="OMZ567:ONB567"/>
    <mergeCell ref="OLP567:OLR567"/>
    <mergeCell ref="OLT567:OLV567"/>
    <mergeCell ref="OLX567:OLZ567"/>
    <mergeCell ref="OMB567:OMD567"/>
    <mergeCell ref="OMF567:OMH567"/>
    <mergeCell ref="OKV567:OKX567"/>
    <mergeCell ref="OKZ567:OLB567"/>
    <mergeCell ref="OLD567:OLF567"/>
    <mergeCell ref="OLH567:OLJ567"/>
    <mergeCell ref="OLL567:OLN567"/>
    <mergeCell ref="OKB567:OKD567"/>
    <mergeCell ref="OKF567:OKH567"/>
    <mergeCell ref="OKJ567:OKL567"/>
    <mergeCell ref="OKN567:OKP567"/>
    <mergeCell ref="OKR567:OKT567"/>
    <mergeCell ref="OJH567:OJJ567"/>
    <mergeCell ref="OJL567:OJN567"/>
    <mergeCell ref="OJP567:OJR567"/>
    <mergeCell ref="OJT567:OJV567"/>
    <mergeCell ref="OJX567:OJZ567"/>
    <mergeCell ref="OIN567:OIP567"/>
    <mergeCell ref="OIR567:OIT567"/>
    <mergeCell ref="OIV567:OIX567"/>
    <mergeCell ref="OIZ567:OJB567"/>
    <mergeCell ref="OJD567:OJF567"/>
    <mergeCell ref="OSN567:OSP567"/>
    <mergeCell ref="OSR567:OST567"/>
    <mergeCell ref="OSV567:OSX567"/>
    <mergeCell ref="OSZ567:OTB567"/>
    <mergeCell ref="OTD567:OTF567"/>
    <mergeCell ref="ORT567:ORV567"/>
    <mergeCell ref="ORX567:ORZ567"/>
    <mergeCell ref="OSB567:OSD567"/>
    <mergeCell ref="OSF567:OSH567"/>
    <mergeCell ref="OSJ567:OSL567"/>
    <mergeCell ref="OQZ567:ORB567"/>
    <mergeCell ref="ORD567:ORF567"/>
    <mergeCell ref="ORH567:ORJ567"/>
    <mergeCell ref="ORL567:ORN567"/>
    <mergeCell ref="ORP567:ORR567"/>
    <mergeCell ref="OQF567:OQH567"/>
    <mergeCell ref="OQJ567:OQL567"/>
    <mergeCell ref="OQN567:OQP567"/>
    <mergeCell ref="OQR567:OQT567"/>
    <mergeCell ref="OQV567:OQX567"/>
    <mergeCell ref="OPL567:OPN567"/>
    <mergeCell ref="OPP567:OPR567"/>
    <mergeCell ref="OPT567:OPV567"/>
    <mergeCell ref="OPX567:OPZ567"/>
    <mergeCell ref="OQB567:OQD567"/>
    <mergeCell ref="OOR567:OOT567"/>
    <mergeCell ref="OOV567:OOX567"/>
    <mergeCell ref="OOZ567:OPB567"/>
    <mergeCell ref="OPD567:OPF567"/>
    <mergeCell ref="OPH567:OPJ567"/>
    <mergeCell ref="ONX567:ONZ567"/>
    <mergeCell ref="OOB567:OOD567"/>
    <mergeCell ref="OOF567:OOH567"/>
    <mergeCell ref="OOJ567:OOL567"/>
    <mergeCell ref="OON567:OOP567"/>
    <mergeCell ref="OXX567:OXZ567"/>
    <mergeCell ref="OYB567:OYD567"/>
    <mergeCell ref="OYF567:OYH567"/>
    <mergeCell ref="OYJ567:OYL567"/>
    <mergeCell ref="OYN567:OYP567"/>
    <mergeCell ref="OXD567:OXF567"/>
    <mergeCell ref="OXH567:OXJ567"/>
    <mergeCell ref="OXL567:OXN567"/>
    <mergeCell ref="OXP567:OXR567"/>
    <mergeCell ref="OXT567:OXV567"/>
    <mergeCell ref="OWJ567:OWL567"/>
    <mergeCell ref="OWN567:OWP567"/>
    <mergeCell ref="OWR567:OWT567"/>
    <mergeCell ref="OWV567:OWX567"/>
    <mergeCell ref="OWZ567:OXB567"/>
    <mergeCell ref="OVP567:OVR567"/>
    <mergeCell ref="OVT567:OVV567"/>
    <mergeCell ref="OVX567:OVZ567"/>
    <mergeCell ref="OWB567:OWD567"/>
    <mergeCell ref="OWF567:OWH567"/>
    <mergeCell ref="OUV567:OUX567"/>
    <mergeCell ref="OUZ567:OVB567"/>
    <mergeCell ref="OVD567:OVF567"/>
    <mergeCell ref="OVH567:OVJ567"/>
    <mergeCell ref="OVL567:OVN567"/>
    <mergeCell ref="OUB567:OUD567"/>
    <mergeCell ref="OUF567:OUH567"/>
    <mergeCell ref="OUJ567:OUL567"/>
    <mergeCell ref="OUN567:OUP567"/>
    <mergeCell ref="OUR567:OUT567"/>
    <mergeCell ref="OTH567:OTJ567"/>
    <mergeCell ref="OTL567:OTN567"/>
    <mergeCell ref="OTP567:OTR567"/>
    <mergeCell ref="OTT567:OTV567"/>
    <mergeCell ref="OTX567:OTZ567"/>
    <mergeCell ref="PDH567:PDJ567"/>
    <mergeCell ref="PDL567:PDN567"/>
    <mergeCell ref="PDP567:PDR567"/>
    <mergeCell ref="PDT567:PDV567"/>
    <mergeCell ref="PDX567:PDZ567"/>
    <mergeCell ref="PCN567:PCP567"/>
    <mergeCell ref="PCR567:PCT567"/>
    <mergeCell ref="PCV567:PCX567"/>
    <mergeCell ref="PCZ567:PDB567"/>
    <mergeCell ref="PDD567:PDF567"/>
    <mergeCell ref="PBT567:PBV567"/>
    <mergeCell ref="PBX567:PBZ567"/>
    <mergeCell ref="PCB567:PCD567"/>
    <mergeCell ref="PCF567:PCH567"/>
    <mergeCell ref="PCJ567:PCL567"/>
    <mergeCell ref="PAZ567:PBB567"/>
    <mergeCell ref="PBD567:PBF567"/>
    <mergeCell ref="PBH567:PBJ567"/>
    <mergeCell ref="PBL567:PBN567"/>
    <mergeCell ref="PBP567:PBR567"/>
    <mergeCell ref="PAF567:PAH567"/>
    <mergeCell ref="PAJ567:PAL567"/>
    <mergeCell ref="PAN567:PAP567"/>
    <mergeCell ref="PAR567:PAT567"/>
    <mergeCell ref="PAV567:PAX567"/>
    <mergeCell ref="OZL567:OZN567"/>
    <mergeCell ref="OZP567:OZR567"/>
    <mergeCell ref="OZT567:OZV567"/>
    <mergeCell ref="OZX567:OZZ567"/>
    <mergeCell ref="PAB567:PAD567"/>
    <mergeCell ref="OYR567:OYT567"/>
    <mergeCell ref="OYV567:OYX567"/>
    <mergeCell ref="OYZ567:OZB567"/>
    <mergeCell ref="OZD567:OZF567"/>
    <mergeCell ref="OZH567:OZJ567"/>
    <mergeCell ref="PIR567:PIT567"/>
    <mergeCell ref="PIV567:PIX567"/>
    <mergeCell ref="PIZ567:PJB567"/>
    <mergeCell ref="PJD567:PJF567"/>
    <mergeCell ref="PJH567:PJJ567"/>
    <mergeCell ref="PHX567:PHZ567"/>
    <mergeCell ref="PIB567:PID567"/>
    <mergeCell ref="PIF567:PIH567"/>
    <mergeCell ref="PIJ567:PIL567"/>
    <mergeCell ref="PIN567:PIP567"/>
    <mergeCell ref="PHD567:PHF567"/>
    <mergeCell ref="PHH567:PHJ567"/>
    <mergeCell ref="PHL567:PHN567"/>
    <mergeCell ref="PHP567:PHR567"/>
    <mergeCell ref="PHT567:PHV567"/>
    <mergeCell ref="PGJ567:PGL567"/>
    <mergeCell ref="PGN567:PGP567"/>
    <mergeCell ref="PGR567:PGT567"/>
    <mergeCell ref="PGV567:PGX567"/>
    <mergeCell ref="PGZ567:PHB567"/>
    <mergeCell ref="PFP567:PFR567"/>
    <mergeCell ref="PFT567:PFV567"/>
    <mergeCell ref="PFX567:PFZ567"/>
    <mergeCell ref="PGB567:PGD567"/>
    <mergeCell ref="PGF567:PGH567"/>
    <mergeCell ref="PEV567:PEX567"/>
    <mergeCell ref="PEZ567:PFB567"/>
    <mergeCell ref="PFD567:PFF567"/>
    <mergeCell ref="PFH567:PFJ567"/>
    <mergeCell ref="PFL567:PFN567"/>
    <mergeCell ref="PEB567:PED567"/>
    <mergeCell ref="PEF567:PEH567"/>
    <mergeCell ref="PEJ567:PEL567"/>
    <mergeCell ref="PEN567:PEP567"/>
    <mergeCell ref="PER567:PET567"/>
    <mergeCell ref="POB567:POD567"/>
    <mergeCell ref="POF567:POH567"/>
    <mergeCell ref="POJ567:POL567"/>
    <mergeCell ref="PON567:POP567"/>
    <mergeCell ref="POR567:POT567"/>
    <mergeCell ref="PNH567:PNJ567"/>
    <mergeCell ref="PNL567:PNN567"/>
    <mergeCell ref="PNP567:PNR567"/>
    <mergeCell ref="PNT567:PNV567"/>
    <mergeCell ref="PNX567:PNZ567"/>
    <mergeCell ref="PMN567:PMP567"/>
    <mergeCell ref="PMR567:PMT567"/>
    <mergeCell ref="PMV567:PMX567"/>
    <mergeCell ref="PMZ567:PNB567"/>
    <mergeCell ref="PND567:PNF567"/>
    <mergeCell ref="PLT567:PLV567"/>
    <mergeCell ref="PLX567:PLZ567"/>
    <mergeCell ref="PMB567:PMD567"/>
    <mergeCell ref="PMF567:PMH567"/>
    <mergeCell ref="PMJ567:PML567"/>
    <mergeCell ref="PKZ567:PLB567"/>
    <mergeCell ref="PLD567:PLF567"/>
    <mergeCell ref="PLH567:PLJ567"/>
    <mergeCell ref="PLL567:PLN567"/>
    <mergeCell ref="PLP567:PLR567"/>
    <mergeCell ref="PKF567:PKH567"/>
    <mergeCell ref="PKJ567:PKL567"/>
    <mergeCell ref="PKN567:PKP567"/>
    <mergeCell ref="PKR567:PKT567"/>
    <mergeCell ref="PKV567:PKX567"/>
    <mergeCell ref="PJL567:PJN567"/>
    <mergeCell ref="PJP567:PJR567"/>
    <mergeCell ref="PJT567:PJV567"/>
    <mergeCell ref="PJX567:PJZ567"/>
    <mergeCell ref="PKB567:PKD567"/>
    <mergeCell ref="PTL567:PTN567"/>
    <mergeCell ref="PTP567:PTR567"/>
    <mergeCell ref="PTT567:PTV567"/>
    <mergeCell ref="PTX567:PTZ567"/>
    <mergeCell ref="PUB567:PUD567"/>
    <mergeCell ref="PSR567:PST567"/>
    <mergeCell ref="PSV567:PSX567"/>
    <mergeCell ref="PSZ567:PTB567"/>
    <mergeCell ref="PTD567:PTF567"/>
    <mergeCell ref="PTH567:PTJ567"/>
    <mergeCell ref="PRX567:PRZ567"/>
    <mergeCell ref="PSB567:PSD567"/>
    <mergeCell ref="PSF567:PSH567"/>
    <mergeCell ref="PSJ567:PSL567"/>
    <mergeCell ref="PSN567:PSP567"/>
    <mergeCell ref="PRD567:PRF567"/>
    <mergeCell ref="PRH567:PRJ567"/>
    <mergeCell ref="PRL567:PRN567"/>
    <mergeCell ref="PRP567:PRR567"/>
    <mergeCell ref="PRT567:PRV567"/>
    <mergeCell ref="PQJ567:PQL567"/>
    <mergeCell ref="PQN567:PQP567"/>
    <mergeCell ref="PQR567:PQT567"/>
    <mergeCell ref="PQV567:PQX567"/>
    <mergeCell ref="PQZ567:PRB567"/>
    <mergeCell ref="PPP567:PPR567"/>
    <mergeCell ref="PPT567:PPV567"/>
    <mergeCell ref="PPX567:PPZ567"/>
    <mergeCell ref="PQB567:PQD567"/>
    <mergeCell ref="PQF567:PQH567"/>
    <mergeCell ref="POV567:POX567"/>
    <mergeCell ref="POZ567:PPB567"/>
    <mergeCell ref="PPD567:PPF567"/>
    <mergeCell ref="PPH567:PPJ567"/>
    <mergeCell ref="PPL567:PPN567"/>
    <mergeCell ref="PYV567:PYX567"/>
    <mergeCell ref="PYZ567:PZB567"/>
    <mergeCell ref="PZD567:PZF567"/>
    <mergeCell ref="PZH567:PZJ567"/>
    <mergeCell ref="PZL567:PZN567"/>
    <mergeCell ref="PYB567:PYD567"/>
    <mergeCell ref="PYF567:PYH567"/>
    <mergeCell ref="PYJ567:PYL567"/>
    <mergeCell ref="PYN567:PYP567"/>
    <mergeCell ref="PYR567:PYT567"/>
    <mergeCell ref="PXH567:PXJ567"/>
    <mergeCell ref="PXL567:PXN567"/>
    <mergeCell ref="PXP567:PXR567"/>
    <mergeCell ref="PXT567:PXV567"/>
    <mergeCell ref="PXX567:PXZ567"/>
    <mergeCell ref="PWN567:PWP567"/>
    <mergeCell ref="PWR567:PWT567"/>
    <mergeCell ref="PWV567:PWX567"/>
    <mergeCell ref="PWZ567:PXB567"/>
    <mergeCell ref="PXD567:PXF567"/>
    <mergeCell ref="PVT567:PVV567"/>
    <mergeCell ref="PVX567:PVZ567"/>
    <mergeCell ref="PWB567:PWD567"/>
    <mergeCell ref="PWF567:PWH567"/>
    <mergeCell ref="PWJ567:PWL567"/>
    <mergeCell ref="PUZ567:PVB567"/>
    <mergeCell ref="PVD567:PVF567"/>
    <mergeCell ref="PVH567:PVJ567"/>
    <mergeCell ref="PVL567:PVN567"/>
    <mergeCell ref="PVP567:PVR567"/>
    <mergeCell ref="PUF567:PUH567"/>
    <mergeCell ref="PUJ567:PUL567"/>
    <mergeCell ref="PUN567:PUP567"/>
    <mergeCell ref="PUR567:PUT567"/>
    <mergeCell ref="PUV567:PUX567"/>
    <mergeCell ref="QEF567:QEH567"/>
    <mergeCell ref="QEJ567:QEL567"/>
    <mergeCell ref="QEN567:QEP567"/>
    <mergeCell ref="QER567:QET567"/>
    <mergeCell ref="QEV567:QEX567"/>
    <mergeCell ref="QDL567:QDN567"/>
    <mergeCell ref="QDP567:QDR567"/>
    <mergeCell ref="QDT567:QDV567"/>
    <mergeCell ref="QDX567:QDZ567"/>
    <mergeCell ref="QEB567:QED567"/>
    <mergeCell ref="QCR567:QCT567"/>
    <mergeCell ref="QCV567:QCX567"/>
    <mergeCell ref="QCZ567:QDB567"/>
    <mergeCell ref="QDD567:QDF567"/>
    <mergeCell ref="QDH567:QDJ567"/>
    <mergeCell ref="QBX567:QBZ567"/>
    <mergeCell ref="QCB567:QCD567"/>
    <mergeCell ref="QCF567:QCH567"/>
    <mergeCell ref="QCJ567:QCL567"/>
    <mergeCell ref="QCN567:QCP567"/>
    <mergeCell ref="QBD567:QBF567"/>
    <mergeCell ref="QBH567:QBJ567"/>
    <mergeCell ref="QBL567:QBN567"/>
    <mergeCell ref="QBP567:QBR567"/>
    <mergeCell ref="QBT567:QBV567"/>
    <mergeCell ref="QAJ567:QAL567"/>
    <mergeCell ref="QAN567:QAP567"/>
    <mergeCell ref="QAR567:QAT567"/>
    <mergeCell ref="QAV567:QAX567"/>
    <mergeCell ref="QAZ567:QBB567"/>
    <mergeCell ref="PZP567:PZR567"/>
    <mergeCell ref="PZT567:PZV567"/>
    <mergeCell ref="PZX567:PZZ567"/>
    <mergeCell ref="QAB567:QAD567"/>
    <mergeCell ref="QAF567:QAH567"/>
    <mergeCell ref="QJP567:QJR567"/>
    <mergeCell ref="QJT567:QJV567"/>
    <mergeCell ref="QJX567:QJZ567"/>
    <mergeCell ref="QKB567:QKD567"/>
    <mergeCell ref="QKF567:QKH567"/>
    <mergeCell ref="QIV567:QIX567"/>
    <mergeCell ref="QIZ567:QJB567"/>
    <mergeCell ref="QJD567:QJF567"/>
    <mergeCell ref="QJH567:QJJ567"/>
    <mergeCell ref="QJL567:QJN567"/>
    <mergeCell ref="QIB567:QID567"/>
    <mergeCell ref="QIF567:QIH567"/>
    <mergeCell ref="QIJ567:QIL567"/>
    <mergeCell ref="QIN567:QIP567"/>
    <mergeCell ref="QIR567:QIT567"/>
    <mergeCell ref="QHH567:QHJ567"/>
    <mergeCell ref="QHL567:QHN567"/>
    <mergeCell ref="QHP567:QHR567"/>
    <mergeCell ref="QHT567:QHV567"/>
    <mergeCell ref="QHX567:QHZ567"/>
    <mergeCell ref="QGN567:QGP567"/>
    <mergeCell ref="QGR567:QGT567"/>
    <mergeCell ref="QGV567:QGX567"/>
    <mergeCell ref="QGZ567:QHB567"/>
    <mergeCell ref="QHD567:QHF567"/>
    <mergeCell ref="QFT567:QFV567"/>
    <mergeCell ref="QFX567:QFZ567"/>
    <mergeCell ref="QGB567:QGD567"/>
    <mergeCell ref="QGF567:QGH567"/>
    <mergeCell ref="QGJ567:QGL567"/>
    <mergeCell ref="QEZ567:QFB567"/>
    <mergeCell ref="QFD567:QFF567"/>
    <mergeCell ref="QFH567:QFJ567"/>
    <mergeCell ref="QFL567:QFN567"/>
    <mergeCell ref="QFP567:QFR567"/>
    <mergeCell ref="QOZ567:QPB567"/>
    <mergeCell ref="QPD567:QPF567"/>
    <mergeCell ref="QPH567:QPJ567"/>
    <mergeCell ref="QPL567:QPN567"/>
    <mergeCell ref="QPP567:QPR567"/>
    <mergeCell ref="QOF567:QOH567"/>
    <mergeCell ref="QOJ567:QOL567"/>
    <mergeCell ref="QON567:QOP567"/>
    <mergeCell ref="QOR567:QOT567"/>
    <mergeCell ref="QOV567:QOX567"/>
    <mergeCell ref="QNL567:QNN567"/>
    <mergeCell ref="QNP567:QNR567"/>
    <mergeCell ref="QNT567:QNV567"/>
    <mergeCell ref="QNX567:QNZ567"/>
    <mergeCell ref="QOB567:QOD567"/>
    <mergeCell ref="QMR567:QMT567"/>
    <mergeCell ref="QMV567:QMX567"/>
    <mergeCell ref="QMZ567:QNB567"/>
    <mergeCell ref="QND567:QNF567"/>
    <mergeCell ref="QNH567:QNJ567"/>
    <mergeCell ref="QLX567:QLZ567"/>
    <mergeCell ref="QMB567:QMD567"/>
    <mergeCell ref="QMF567:QMH567"/>
    <mergeCell ref="QMJ567:QML567"/>
    <mergeCell ref="QMN567:QMP567"/>
    <mergeCell ref="QLD567:QLF567"/>
    <mergeCell ref="QLH567:QLJ567"/>
    <mergeCell ref="QLL567:QLN567"/>
    <mergeCell ref="QLP567:QLR567"/>
    <mergeCell ref="QLT567:QLV567"/>
    <mergeCell ref="QKJ567:QKL567"/>
    <mergeCell ref="QKN567:QKP567"/>
    <mergeCell ref="QKR567:QKT567"/>
    <mergeCell ref="QKV567:QKX567"/>
    <mergeCell ref="QKZ567:QLB567"/>
    <mergeCell ref="QUJ567:QUL567"/>
    <mergeCell ref="QUN567:QUP567"/>
    <mergeCell ref="QUR567:QUT567"/>
    <mergeCell ref="QUV567:QUX567"/>
    <mergeCell ref="QUZ567:QVB567"/>
    <mergeCell ref="QTP567:QTR567"/>
    <mergeCell ref="QTT567:QTV567"/>
    <mergeCell ref="QTX567:QTZ567"/>
    <mergeCell ref="QUB567:QUD567"/>
    <mergeCell ref="QUF567:QUH567"/>
    <mergeCell ref="QSV567:QSX567"/>
    <mergeCell ref="QSZ567:QTB567"/>
    <mergeCell ref="QTD567:QTF567"/>
    <mergeCell ref="QTH567:QTJ567"/>
    <mergeCell ref="QTL567:QTN567"/>
    <mergeCell ref="QSB567:QSD567"/>
    <mergeCell ref="QSF567:QSH567"/>
    <mergeCell ref="QSJ567:QSL567"/>
    <mergeCell ref="QSN567:QSP567"/>
    <mergeCell ref="QSR567:QST567"/>
    <mergeCell ref="QRH567:QRJ567"/>
    <mergeCell ref="QRL567:QRN567"/>
    <mergeCell ref="QRP567:QRR567"/>
    <mergeCell ref="QRT567:QRV567"/>
    <mergeCell ref="QRX567:QRZ567"/>
    <mergeCell ref="QQN567:QQP567"/>
    <mergeCell ref="QQR567:QQT567"/>
    <mergeCell ref="QQV567:QQX567"/>
    <mergeCell ref="QQZ567:QRB567"/>
    <mergeCell ref="QRD567:QRF567"/>
    <mergeCell ref="QPT567:QPV567"/>
    <mergeCell ref="QPX567:QPZ567"/>
    <mergeCell ref="QQB567:QQD567"/>
    <mergeCell ref="QQF567:QQH567"/>
    <mergeCell ref="QQJ567:QQL567"/>
    <mergeCell ref="QZT567:QZV567"/>
    <mergeCell ref="QZX567:QZZ567"/>
    <mergeCell ref="RAB567:RAD567"/>
    <mergeCell ref="RAF567:RAH567"/>
    <mergeCell ref="RAJ567:RAL567"/>
    <mergeCell ref="QYZ567:QZB567"/>
    <mergeCell ref="QZD567:QZF567"/>
    <mergeCell ref="QZH567:QZJ567"/>
    <mergeCell ref="QZL567:QZN567"/>
    <mergeCell ref="QZP567:QZR567"/>
    <mergeCell ref="QYF567:QYH567"/>
    <mergeCell ref="QYJ567:QYL567"/>
    <mergeCell ref="QYN567:QYP567"/>
    <mergeCell ref="QYR567:QYT567"/>
    <mergeCell ref="QYV567:QYX567"/>
    <mergeCell ref="QXL567:QXN567"/>
    <mergeCell ref="QXP567:QXR567"/>
    <mergeCell ref="QXT567:QXV567"/>
    <mergeCell ref="QXX567:QXZ567"/>
    <mergeCell ref="QYB567:QYD567"/>
    <mergeCell ref="QWR567:QWT567"/>
    <mergeCell ref="QWV567:QWX567"/>
    <mergeCell ref="QWZ567:QXB567"/>
    <mergeCell ref="QXD567:QXF567"/>
    <mergeCell ref="QXH567:QXJ567"/>
    <mergeCell ref="QVX567:QVZ567"/>
    <mergeCell ref="QWB567:QWD567"/>
    <mergeCell ref="QWF567:QWH567"/>
    <mergeCell ref="QWJ567:QWL567"/>
    <mergeCell ref="QWN567:QWP567"/>
    <mergeCell ref="QVD567:QVF567"/>
    <mergeCell ref="QVH567:QVJ567"/>
    <mergeCell ref="QVL567:QVN567"/>
    <mergeCell ref="QVP567:QVR567"/>
    <mergeCell ref="QVT567:QVV567"/>
    <mergeCell ref="RFD567:RFF567"/>
    <mergeCell ref="RFH567:RFJ567"/>
    <mergeCell ref="RFL567:RFN567"/>
    <mergeCell ref="RFP567:RFR567"/>
    <mergeCell ref="RFT567:RFV567"/>
    <mergeCell ref="REJ567:REL567"/>
    <mergeCell ref="REN567:REP567"/>
    <mergeCell ref="RER567:RET567"/>
    <mergeCell ref="REV567:REX567"/>
    <mergeCell ref="REZ567:RFB567"/>
    <mergeCell ref="RDP567:RDR567"/>
    <mergeCell ref="RDT567:RDV567"/>
    <mergeCell ref="RDX567:RDZ567"/>
    <mergeCell ref="REB567:RED567"/>
    <mergeCell ref="REF567:REH567"/>
    <mergeCell ref="RCV567:RCX567"/>
    <mergeCell ref="RCZ567:RDB567"/>
    <mergeCell ref="RDD567:RDF567"/>
    <mergeCell ref="RDH567:RDJ567"/>
    <mergeCell ref="RDL567:RDN567"/>
    <mergeCell ref="RCB567:RCD567"/>
    <mergeCell ref="RCF567:RCH567"/>
    <mergeCell ref="RCJ567:RCL567"/>
    <mergeCell ref="RCN567:RCP567"/>
    <mergeCell ref="RCR567:RCT567"/>
    <mergeCell ref="RBH567:RBJ567"/>
    <mergeCell ref="RBL567:RBN567"/>
    <mergeCell ref="RBP567:RBR567"/>
    <mergeCell ref="RBT567:RBV567"/>
    <mergeCell ref="RBX567:RBZ567"/>
    <mergeCell ref="RAN567:RAP567"/>
    <mergeCell ref="RAR567:RAT567"/>
    <mergeCell ref="RAV567:RAX567"/>
    <mergeCell ref="RAZ567:RBB567"/>
    <mergeCell ref="RBD567:RBF567"/>
    <mergeCell ref="RKN567:RKP567"/>
    <mergeCell ref="RKR567:RKT567"/>
    <mergeCell ref="RKV567:RKX567"/>
    <mergeCell ref="RKZ567:RLB567"/>
    <mergeCell ref="RLD567:RLF567"/>
    <mergeCell ref="RJT567:RJV567"/>
    <mergeCell ref="RJX567:RJZ567"/>
    <mergeCell ref="RKB567:RKD567"/>
    <mergeCell ref="RKF567:RKH567"/>
    <mergeCell ref="RKJ567:RKL567"/>
    <mergeCell ref="RIZ567:RJB567"/>
    <mergeCell ref="RJD567:RJF567"/>
    <mergeCell ref="RJH567:RJJ567"/>
    <mergeCell ref="RJL567:RJN567"/>
    <mergeCell ref="RJP567:RJR567"/>
    <mergeCell ref="RIF567:RIH567"/>
    <mergeCell ref="RIJ567:RIL567"/>
    <mergeCell ref="RIN567:RIP567"/>
    <mergeCell ref="RIR567:RIT567"/>
    <mergeCell ref="RIV567:RIX567"/>
    <mergeCell ref="RHL567:RHN567"/>
    <mergeCell ref="RHP567:RHR567"/>
    <mergeCell ref="RHT567:RHV567"/>
    <mergeCell ref="RHX567:RHZ567"/>
    <mergeCell ref="RIB567:RID567"/>
    <mergeCell ref="RGR567:RGT567"/>
    <mergeCell ref="RGV567:RGX567"/>
    <mergeCell ref="RGZ567:RHB567"/>
    <mergeCell ref="RHD567:RHF567"/>
    <mergeCell ref="RHH567:RHJ567"/>
    <mergeCell ref="RFX567:RFZ567"/>
    <mergeCell ref="RGB567:RGD567"/>
    <mergeCell ref="RGF567:RGH567"/>
    <mergeCell ref="RGJ567:RGL567"/>
    <mergeCell ref="RGN567:RGP567"/>
    <mergeCell ref="RPX567:RPZ567"/>
    <mergeCell ref="RQB567:RQD567"/>
    <mergeCell ref="RQF567:RQH567"/>
    <mergeCell ref="RQJ567:RQL567"/>
    <mergeCell ref="RQN567:RQP567"/>
    <mergeCell ref="RPD567:RPF567"/>
    <mergeCell ref="RPH567:RPJ567"/>
    <mergeCell ref="RPL567:RPN567"/>
    <mergeCell ref="RPP567:RPR567"/>
    <mergeCell ref="RPT567:RPV567"/>
    <mergeCell ref="ROJ567:ROL567"/>
    <mergeCell ref="RON567:ROP567"/>
    <mergeCell ref="ROR567:ROT567"/>
    <mergeCell ref="ROV567:ROX567"/>
    <mergeCell ref="ROZ567:RPB567"/>
    <mergeCell ref="RNP567:RNR567"/>
    <mergeCell ref="RNT567:RNV567"/>
    <mergeCell ref="RNX567:RNZ567"/>
    <mergeCell ref="ROB567:ROD567"/>
    <mergeCell ref="ROF567:ROH567"/>
    <mergeCell ref="RMV567:RMX567"/>
    <mergeCell ref="RMZ567:RNB567"/>
    <mergeCell ref="RND567:RNF567"/>
    <mergeCell ref="RNH567:RNJ567"/>
    <mergeCell ref="RNL567:RNN567"/>
    <mergeCell ref="RMB567:RMD567"/>
    <mergeCell ref="RMF567:RMH567"/>
    <mergeCell ref="RMJ567:RML567"/>
    <mergeCell ref="RMN567:RMP567"/>
    <mergeCell ref="RMR567:RMT567"/>
    <mergeCell ref="RLH567:RLJ567"/>
    <mergeCell ref="RLL567:RLN567"/>
    <mergeCell ref="RLP567:RLR567"/>
    <mergeCell ref="RLT567:RLV567"/>
    <mergeCell ref="RLX567:RLZ567"/>
    <mergeCell ref="RVH567:RVJ567"/>
    <mergeCell ref="RVL567:RVN567"/>
    <mergeCell ref="RVP567:RVR567"/>
    <mergeCell ref="RVT567:RVV567"/>
    <mergeCell ref="RVX567:RVZ567"/>
    <mergeCell ref="RUN567:RUP567"/>
    <mergeCell ref="RUR567:RUT567"/>
    <mergeCell ref="RUV567:RUX567"/>
    <mergeCell ref="RUZ567:RVB567"/>
    <mergeCell ref="RVD567:RVF567"/>
    <mergeCell ref="RTT567:RTV567"/>
    <mergeCell ref="RTX567:RTZ567"/>
    <mergeCell ref="RUB567:RUD567"/>
    <mergeCell ref="RUF567:RUH567"/>
    <mergeCell ref="RUJ567:RUL567"/>
    <mergeCell ref="RSZ567:RTB567"/>
    <mergeCell ref="RTD567:RTF567"/>
    <mergeCell ref="RTH567:RTJ567"/>
    <mergeCell ref="RTL567:RTN567"/>
    <mergeCell ref="RTP567:RTR567"/>
    <mergeCell ref="RSF567:RSH567"/>
    <mergeCell ref="RSJ567:RSL567"/>
    <mergeCell ref="RSN567:RSP567"/>
    <mergeCell ref="RSR567:RST567"/>
    <mergeCell ref="RSV567:RSX567"/>
    <mergeCell ref="RRL567:RRN567"/>
    <mergeCell ref="RRP567:RRR567"/>
    <mergeCell ref="RRT567:RRV567"/>
    <mergeCell ref="RRX567:RRZ567"/>
    <mergeCell ref="RSB567:RSD567"/>
    <mergeCell ref="RQR567:RQT567"/>
    <mergeCell ref="RQV567:RQX567"/>
    <mergeCell ref="RQZ567:RRB567"/>
    <mergeCell ref="RRD567:RRF567"/>
    <mergeCell ref="RRH567:RRJ567"/>
    <mergeCell ref="SAR567:SAT567"/>
    <mergeCell ref="SAV567:SAX567"/>
    <mergeCell ref="SAZ567:SBB567"/>
    <mergeCell ref="SBD567:SBF567"/>
    <mergeCell ref="SBH567:SBJ567"/>
    <mergeCell ref="RZX567:RZZ567"/>
    <mergeCell ref="SAB567:SAD567"/>
    <mergeCell ref="SAF567:SAH567"/>
    <mergeCell ref="SAJ567:SAL567"/>
    <mergeCell ref="SAN567:SAP567"/>
    <mergeCell ref="RZD567:RZF567"/>
    <mergeCell ref="RZH567:RZJ567"/>
    <mergeCell ref="RZL567:RZN567"/>
    <mergeCell ref="RZP567:RZR567"/>
    <mergeCell ref="RZT567:RZV567"/>
    <mergeCell ref="RYJ567:RYL567"/>
    <mergeCell ref="RYN567:RYP567"/>
    <mergeCell ref="RYR567:RYT567"/>
    <mergeCell ref="RYV567:RYX567"/>
    <mergeCell ref="RYZ567:RZB567"/>
    <mergeCell ref="RXP567:RXR567"/>
    <mergeCell ref="RXT567:RXV567"/>
    <mergeCell ref="RXX567:RXZ567"/>
    <mergeCell ref="RYB567:RYD567"/>
    <mergeCell ref="RYF567:RYH567"/>
    <mergeCell ref="RWV567:RWX567"/>
    <mergeCell ref="RWZ567:RXB567"/>
    <mergeCell ref="RXD567:RXF567"/>
    <mergeCell ref="RXH567:RXJ567"/>
    <mergeCell ref="RXL567:RXN567"/>
    <mergeCell ref="RWB567:RWD567"/>
    <mergeCell ref="RWF567:RWH567"/>
    <mergeCell ref="RWJ567:RWL567"/>
    <mergeCell ref="RWN567:RWP567"/>
    <mergeCell ref="RWR567:RWT567"/>
    <mergeCell ref="SGB567:SGD567"/>
    <mergeCell ref="SGF567:SGH567"/>
    <mergeCell ref="SGJ567:SGL567"/>
    <mergeCell ref="SGN567:SGP567"/>
    <mergeCell ref="SGR567:SGT567"/>
    <mergeCell ref="SFH567:SFJ567"/>
    <mergeCell ref="SFL567:SFN567"/>
    <mergeCell ref="SFP567:SFR567"/>
    <mergeCell ref="SFT567:SFV567"/>
    <mergeCell ref="SFX567:SFZ567"/>
    <mergeCell ref="SEN567:SEP567"/>
    <mergeCell ref="SER567:SET567"/>
    <mergeCell ref="SEV567:SEX567"/>
    <mergeCell ref="SEZ567:SFB567"/>
    <mergeCell ref="SFD567:SFF567"/>
    <mergeCell ref="SDT567:SDV567"/>
    <mergeCell ref="SDX567:SDZ567"/>
    <mergeCell ref="SEB567:SED567"/>
    <mergeCell ref="SEF567:SEH567"/>
    <mergeCell ref="SEJ567:SEL567"/>
    <mergeCell ref="SCZ567:SDB567"/>
    <mergeCell ref="SDD567:SDF567"/>
    <mergeCell ref="SDH567:SDJ567"/>
    <mergeCell ref="SDL567:SDN567"/>
    <mergeCell ref="SDP567:SDR567"/>
    <mergeCell ref="SCF567:SCH567"/>
    <mergeCell ref="SCJ567:SCL567"/>
    <mergeCell ref="SCN567:SCP567"/>
    <mergeCell ref="SCR567:SCT567"/>
    <mergeCell ref="SCV567:SCX567"/>
    <mergeCell ref="SBL567:SBN567"/>
    <mergeCell ref="SBP567:SBR567"/>
    <mergeCell ref="SBT567:SBV567"/>
    <mergeCell ref="SBX567:SBZ567"/>
    <mergeCell ref="SCB567:SCD567"/>
    <mergeCell ref="SLL567:SLN567"/>
    <mergeCell ref="SLP567:SLR567"/>
    <mergeCell ref="SLT567:SLV567"/>
    <mergeCell ref="SLX567:SLZ567"/>
    <mergeCell ref="SMB567:SMD567"/>
    <mergeCell ref="SKR567:SKT567"/>
    <mergeCell ref="SKV567:SKX567"/>
    <mergeCell ref="SKZ567:SLB567"/>
    <mergeCell ref="SLD567:SLF567"/>
    <mergeCell ref="SLH567:SLJ567"/>
    <mergeCell ref="SJX567:SJZ567"/>
    <mergeCell ref="SKB567:SKD567"/>
    <mergeCell ref="SKF567:SKH567"/>
    <mergeCell ref="SKJ567:SKL567"/>
    <mergeCell ref="SKN567:SKP567"/>
    <mergeCell ref="SJD567:SJF567"/>
    <mergeCell ref="SJH567:SJJ567"/>
    <mergeCell ref="SJL567:SJN567"/>
    <mergeCell ref="SJP567:SJR567"/>
    <mergeCell ref="SJT567:SJV567"/>
    <mergeCell ref="SIJ567:SIL567"/>
    <mergeCell ref="SIN567:SIP567"/>
    <mergeCell ref="SIR567:SIT567"/>
    <mergeCell ref="SIV567:SIX567"/>
    <mergeCell ref="SIZ567:SJB567"/>
    <mergeCell ref="SHP567:SHR567"/>
    <mergeCell ref="SHT567:SHV567"/>
    <mergeCell ref="SHX567:SHZ567"/>
    <mergeCell ref="SIB567:SID567"/>
    <mergeCell ref="SIF567:SIH567"/>
    <mergeCell ref="SGV567:SGX567"/>
    <mergeCell ref="SGZ567:SHB567"/>
    <mergeCell ref="SHD567:SHF567"/>
    <mergeCell ref="SHH567:SHJ567"/>
    <mergeCell ref="SHL567:SHN567"/>
    <mergeCell ref="SQV567:SQX567"/>
    <mergeCell ref="SQZ567:SRB567"/>
    <mergeCell ref="SRD567:SRF567"/>
    <mergeCell ref="SRH567:SRJ567"/>
    <mergeCell ref="SRL567:SRN567"/>
    <mergeCell ref="SQB567:SQD567"/>
    <mergeCell ref="SQF567:SQH567"/>
    <mergeCell ref="SQJ567:SQL567"/>
    <mergeCell ref="SQN567:SQP567"/>
    <mergeCell ref="SQR567:SQT567"/>
    <mergeCell ref="SPH567:SPJ567"/>
    <mergeCell ref="SPL567:SPN567"/>
    <mergeCell ref="SPP567:SPR567"/>
    <mergeCell ref="SPT567:SPV567"/>
    <mergeCell ref="SPX567:SPZ567"/>
    <mergeCell ref="SON567:SOP567"/>
    <mergeCell ref="SOR567:SOT567"/>
    <mergeCell ref="SOV567:SOX567"/>
    <mergeCell ref="SOZ567:SPB567"/>
    <mergeCell ref="SPD567:SPF567"/>
    <mergeCell ref="SNT567:SNV567"/>
    <mergeCell ref="SNX567:SNZ567"/>
    <mergeCell ref="SOB567:SOD567"/>
    <mergeCell ref="SOF567:SOH567"/>
    <mergeCell ref="SOJ567:SOL567"/>
    <mergeCell ref="SMZ567:SNB567"/>
    <mergeCell ref="SND567:SNF567"/>
    <mergeCell ref="SNH567:SNJ567"/>
    <mergeCell ref="SNL567:SNN567"/>
    <mergeCell ref="SNP567:SNR567"/>
    <mergeCell ref="SMF567:SMH567"/>
    <mergeCell ref="SMJ567:SML567"/>
    <mergeCell ref="SMN567:SMP567"/>
    <mergeCell ref="SMR567:SMT567"/>
    <mergeCell ref="SMV567:SMX567"/>
    <mergeCell ref="SWF567:SWH567"/>
    <mergeCell ref="SWJ567:SWL567"/>
    <mergeCell ref="SWN567:SWP567"/>
    <mergeCell ref="SWR567:SWT567"/>
    <mergeCell ref="SWV567:SWX567"/>
    <mergeCell ref="SVL567:SVN567"/>
    <mergeCell ref="SVP567:SVR567"/>
    <mergeCell ref="SVT567:SVV567"/>
    <mergeCell ref="SVX567:SVZ567"/>
    <mergeCell ref="SWB567:SWD567"/>
    <mergeCell ref="SUR567:SUT567"/>
    <mergeCell ref="SUV567:SUX567"/>
    <mergeCell ref="SUZ567:SVB567"/>
    <mergeCell ref="SVD567:SVF567"/>
    <mergeCell ref="SVH567:SVJ567"/>
    <mergeCell ref="STX567:STZ567"/>
    <mergeCell ref="SUB567:SUD567"/>
    <mergeCell ref="SUF567:SUH567"/>
    <mergeCell ref="SUJ567:SUL567"/>
    <mergeCell ref="SUN567:SUP567"/>
    <mergeCell ref="STD567:STF567"/>
    <mergeCell ref="STH567:STJ567"/>
    <mergeCell ref="STL567:STN567"/>
    <mergeCell ref="STP567:STR567"/>
    <mergeCell ref="STT567:STV567"/>
    <mergeCell ref="SSJ567:SSL567"/>
    <mergeCell ref="SSN567:SSP567"/>
    <mergeCell ref="SSR567:SST567"/>
    <mergeCell ref="SSV567:SSX567"/>
    <mergeCell ref="SSZ567:STB567"/>
    <mergeCell ref="SRP567:SRR567"/>
    <mergeCell ref="SRT567:SRV567"/>
    <mergeCell ref="SRX567:SRZ567"/>
    <mergeCell ref="SSB567:SSD567"/>
    <mergeCell ref="SSF567:SSH567"/>
    <mergeCell ref="TBP567:TBR567"/>
    <mergeCell ref="TBT567:TBV567"/>
    <mergeCell ref="TBX567:TBZ567"/>
    <mergeCell ref="TCB567:TCD567"/>
    <mergeCell ref="TCF567:TCH567"/>
    <mergeCell ref="TAV567:TAX567"/>
    <mergeCell ref="TAZ567:TBB567"/>
    <mergeCell ref="TBD567:TBF567"/>
    <mergeCell ref="TBH567:TBJ567"/>
    <mergeCell ref="TBL567:TBN567"/>
    <mergeCell ref="TAB567:TAD567"/>
    <mergeCell ref="TAF567:TAH567"/>
    <mergeCell ref="TAJ567:TAL567"/>
    <mergeCell ref="TAN567:TAP567"/>
    <mergeCell ref="TAR567:TAT567"/>
    <mergeCell ref="SZH567:SZJ567"/>
    <mergeCell ref="SZL567:SZN567"/>
    <mergeCell ref="SZP567:SZR567"/>
    <mergeCell ref="SZT567:SZV567"/>
    <mergeCell ref="SZX567:SZZ567"/>
    <mergeCell ref="SYN567:SYP567"/>
    <mergeCell ref="SYR567:SYT567"/>
    <mergeCell ref="SYV567:SYX567"/>
    <mergeCell ref="SYZ567:SZB567"/>
    <mergeCell ref="SZD567:SZF567"/>
    <mergeCell ref="SXT567:SXV567"/>
    <mergeCell ref="SXX567:SXZ567"/>
    <mergeCell ref="SYB567:SYD567"/>
    <mergeCell ref="SYF567:SYH567"/>
    <mergeCell ref="SYJ567:SYL567"/>
    <mergeCell ref="SWZ567:SXB567"/>
    <mergeCell ref="SXD567:SXF567"/>
    <mergeCell ref="SXH567:SXJ567"/>
    <mergeCell ref="SXL567:SXN567"/>
    <mergeCell ref="SXP567:SXR567"/>
    <mergeCell ref="TGZ567:THB567"/>
    <mergeCell ref="THD567:THF567"/>
    <mergeCell ref="THH567:THJ567"/>
    <mergeCell ref="THL567:THN567"/>
    <mergeCell ref="THP567:THR567"/>
    <mergeCell ref="TGF567:TGH567"/>
    <mergeCell ref="TGJ567:TGL567"/>
    <mergeCell ref="TGN567:TGP567"/>
    <mergeCell ref="TGR567:TGT567"/>
    <mergeCell ref="TGV567:TGX567"/>
    <mergeCell ref="TFL567:TFN567"/>
    <mergeCell ref="TFP567:TFR567"/>
    <mergeCell ref="TFT567:TFV567"/>
    <mergeCell ref="TFX567:TFZ567"/>
    <mergeCell ref="TGB567:TGD567"/>
    <mergeCell ref="TER567:TET567"/>
    <mergeCell ref="TEV567:TEX567"/>
    <mergeCell ref="TEZ567:TFB567"/>
    <mergeCell ref="TFD567:TFF567"/>
    <mergeCell ref="TFH567:TFJ567"/>
    <mergeCell ref="TDX567:TDZ567"/>
    <mergeCell ref="TEB567:TED567"/>
    <mergeCell ref="TEF567:TEH567"/>
    <mergeCell ref="TEJ567:TEL567"/>
    <mergeCell ref="TEN567:TEP567"/>
    <mergeCell ref="TDD567:TDF567"/>
    <mergeCell ref="TDH567:TDJ567"/>
    <mergeCell ref="TDL567:TDN567"/>
    <mergeCell ref="TDP567:TDR567"/>
    <mergeCell ref="TDT567:TDV567"/>
    <mergeCell ref="TCJ567:TCL567"/>
    <mergeCell ref="TCN567:TCP567"/>
    <mergeCell ref="TCR567:TCT567"/>
    <mergeCell ref="TCV567:TCX567"/>
    <mergeCell ref="TCZ567:TDB567"/>
    <mergeCell ref="TMJ567:TML567"/>
    <mergeCell ref="TMN567:TMP567"/>
    <mergeCell ref="TMR567:TMT567"/>
    <mergeCell ref="TMV567:TMX567"/>
    <mergeCell ref="TMZ567:TNB567"/>
    <mergeCell ref="TLP567:TLR567"/>
    <mergeCell ref="TLT567:TLV567"/>
    <mergeCell ref="TLX567:TLZ567"/>
    <mergeCell ref="TMB567:TMD567"/>
    <mergeCell ref="TMF567:TMH567"/>
    <mergeCell ref="TKV567:TKX567"/>
    <mergeCell ref="TKZ567:TLB567"/>
    <mergeCell ref="TLD567:TLF567"/>
    <mergeCell ref="TLH567:TLJ567"/>
    <mergeCell ref="TLL567:TLN567"/>
    <mergeCell ref="TKB567:TKD567"/>
    <mergeCell ref="TKF567:TKH567"/>
    <mergeCell ref="TKJ567:TKL567"/>
    <mergeCell ref="TKN567:TKP567"/>
    <mergeCell ref="TKR567:TKT567"/>
    <mergeCell ref="TJH567:TJJ567"/>
    <mergeCell ref="TJL567:TJN567"/>
    <mergeCell ref="TJP567:TJR567"/>
    <mergeCell ref="TJT567:TJV567"/>
    <mergeCell ref="TJX567:TJZ567"/>
    <mergeCell ref="TIN567:TIP567"/>
    <mergeCell ref="TIR567:TIT567"/>
    <mergeCell ref="TIV567:TIX567"/>
    <mergeCell ref="TIZ567:TJB567"/>
    <mergeCell ref="TJD567:TJF567"/>
    <mergeCell ref="THT567:THV567"/>
    <mergeCell ref="THX567:THZ567"/>
    <mergeCell ref="TIB567:TID567"/>
    <mergeCell ref="TIF567:TIH567"/>
    <mergeCell ref="TIJ567:TIL567"/>
    <mergeCell ref="TRT567:TRV567"/>
    <mergeCell ref="TRX567:TRZ567"/>
    <mergeCell ref="TSB567:TSD567"/>
    <mergeCell ref="TSF567:TSH567"/>
    <mergeCell ref="TSJ567:TSL567"/>
    <mergeCell ref="TQZ567:TRB567"/>
    <mergeCell ref="TRD567:TRF567"/>
    <mergeCell ref="TRH567:TRJ567"/>
    <mergeCell ref="TRL567:TRN567"/>
    <mergeCell ref="TRP567:TRR567"/>
    <mergeCell ref="TQF567:TQH567"/>
    <mergeCell ref="TQJ567:TQL567"/>
    <mergeCell ref="TQN567:TQP567"/>
    <mergeCell ref="TQR567:TQT567"/>
    <mergeCell ref="TQV567:TQX567"/>
    <mergeCell ref="TPL567:TPN567"/>
    <mergeCell ref="TPP567:TPR567"/>
    <mergeCell ref="TPT567:TPV567"/>
    <mergeCell ref="TPX567:TPZ567"/>
    <mergeCell ref="TQB567:TQD567"/>
    <mergeCell ref="TOR567:TOT567"/>
    <mergeCell ref="TOV567:TOX567"/>
    <mergeCell ref="TOZ567:TPB567"/>
    <mergeCell ref="TPD567:TPF567"/>
    <mergeCell ref="TPH567:TPJ567"/>
    <mergeCell ref="TNX567:TNZ567"/>
    <mergeCell ref="TOB567:TOD567"/>
    <mergeCell ref="TOF567:TOH567"/>
    <mergeCell ref="TOJ567:TOL567"/>
    <mergeCell ref="TON567:TOP567"/>
    <mergeCell ref="TND567:TNF567"/>
    <mergeCell ref="TNH567:TNJ567"/>
    <mergeCell ref="TNL567:TNN567"/>
    <mergeCell ref="TNP567:TNR567"/>
    <mergeCell ref="TNT567:TNV567"/>
    <mergeCell ref="TXD567:TXF567"/>
    <mergeCell ref="TXH567:TXJ567"/>
    <mergeCell ref="TXL567:TXN567"/>
    <mergeCell ref="TXP567:TXR567"/>
    <mergeCell ref="TXT567:TXV567"/>
    <mergeCell ref="TWJ567:TWL567"/>
    <mergeCell ref="TWN567:TWP567"/>
    <mergeCell ref="TWR567:TWT567"/>
    <mergeCell ref="TWV567:TWX567"/>
    <mergeCell ref="TWZ567:TXB567"/>
    <mergeCell ref="TVP567:TVR567"/>
    <mergeCell ref="TVT567:TVV567"/>
    <mergeCell ref="TVX567:TVZ567"/>
    <mergeCell ref="TWB567:TWD567"/>
    <mergeCell ref="TWF567:TWH567"/>
    <mergeCell ref="TUV567:TUX567"/>
    <mergeCell ref="TUZ567:TVB567"/>
    <mergeCell ref="TVD567:TVF567"/>
    <mergeCell ref="TVH567:TVJ567"/>
    <mergeCell ref="TVL567:TVN567"/>
    <mergeCell ref="TUB567:TUD567"/>
    <mergeCell ref="TUF567:TUH567"/>
    <mergeCell ref="TUJ567:TUL567"/>
    <mergeCell ref="TUN567:TUP567"/>
    <mergeCell ref="TUR567:TUT567"/>
    <mergeCell ref="TTH567:TTJ567"/>
    <mergeCell ref="TTL567:TTN567"/>
    <mergeCell ref="TTP567:TTR567"/>
    <mergeCell ref="TTT567:TTV567"/>
    <mergeCell ref="TTX567:TTZ567"/>
    <mergeCell ref="TSN567:TSP567"/>
    <mergeCell ref="TSR567:TST567"/>
    <mergeCell ref="TSV567:TSX567"/>
    <mergeCell ref="TSZ567:TTB567"/>
    <mergeCell ref="TTD567:TTF567"/>
    <mergeCell ref="UCN567:UCP567"/>
    <mergeCell ref="UCR567:UCT567"/>
    <mergeCell ref="UCV567:UCX567"/>
    <mergeCell ref="UCZ567:UDB567"/>
    <mergeCell ref="UDD567:UDF567"/>
    <mergeCell ref="UBT567:UBV567"/>
    <mergeCell ref="UBX567:UBZ567"/>
    <mergeCell ref="UCB567:UCD567"/>
    <mergeCell ref="UCF567:UCH567"/>
    <mergeCell ref="UCJ567:UCL567"/>
    <mergeCell ref="UAZ567:UBB567"/>
    <mergeCell ref="UBD567:UBF567"/>
    <mergeCell ref="UBH567:UBJ567"/>
    <mergeCell ref="UBL567:UBN567"/>
    <mergeCell ref="UBP567:UBR567"/>
    <mergeCell ref="UAF567:UAH567"/>
    <mergeCell ref="UAJ567:UAL567"/>
    <mergeCell ref="UAN567:UAP567"/>
    <mergeCell ref="UAR567:UAT567"/>
    <mergeCell ref="UAV567:UAX567"/>
    <mergeCell ref="TZL567:TZN567"/>
    <mergeCell ref="TZP567:TZR567"/>
    <mergeCell ref="TZT567:TZV567"/>
    <mergeCell ref="TZX567:TZZ567"/>
    <mergeCell ref="UAB567:UAD567"/>
    <mergeCell ref="TYR567:TYT567"/>
    <mergeCell ref="TYV567:TYX567"/>
    <mergeCell ref="TYZ567:TZB567"/>
    <mergeCell ref="TZD567:TZF567"/>
    <mergeCell ref="TZH567:TZJ567"/>
    <mergeCell ref="TXX567:TXZ567"/>
    <mergeCell ref="TYB567:TYD567"/>
    <mergeCell ref="TYF567:TYH567"/>
    <mergeCell ref="TYJ567:TYL567"/>
    <mergeCell ref="TYN567:TYP567"/>
    <mergeCell ref="UHX567:UHZ567"/>
    <mergeCell ref="UIB567:UID567"/>
    <mergeCell ref="UIF567:UIH567"/>
    <mergeCell ref="UIJ567:UIL567"/>
    <mergeCell ref="UIN567:UIP567"/>
    <mergeCell ref="UHD567:UHF567"/>
    <mergeCell ref="UHH567:UHJ567"/>
    <mergeCell ref="UHL567:UHN567"/>
    <mergeCell ref="UHP567:UHR567"/>
    <mergeCell ref="UHT567:UHV567"/>
    <mergeCell ref="UGJ567:UGL567"/>
    <mergeCell ref="UGN567:UGP567"/>
    <mergeCell ref="UGR567:UGT567"/>
    <mergeCell ref="UGV567:UGX567"/>
    <mergeCell ref="UGZ567:UHB567"/>
    <mergeCell ref="UFP567:UFR567"/>
    <mergeCell ref="UFT567:UFV567"/>
    <mergeCell ref="UFX567:UFZ567"/>
    <mergeCell ref="UGB567:UGD567"/>
    <mergeCell ref="UGF567:UGH567"/>
    <mergeCell ref="UEV567:UEX567"/>
    <mergeCell ref="UEZ567:UFB567"/>
    <mergeCell ref="UFD567:UFF567"/>
    <mergeCell ref="UFH567:UFJ567"/>
    <mergeCell ref="UFL567:UFN567"/>
    <mergeCell ref="UEB567:UED567"/>
    <mergeCell ref="UEF567:UEH567"/>
    <mergeCell ref="UEJ567:UEL567"/>
    <mergeCell ref="UEN567:UEP567"/>
    <mergeCell ref="UER567:UET567"/>
    <mergeCell ref="UDH567:UDJ567"/>
    <mergeCell ref="UDL567:UDN567"/>
    <mergeCell ref="UDP567:UDR567"/>
    <mergeCell ref="UDT567:UDV567"/>
    <mergeCell ref="UDX567:UDZ567"/>
    <mergeCell ref="UNH567:UNJ567"/>
    <mergeCell ref="UNL567:UNN567"/>
    <mergeCell ref="UNP567:UNR567"/>
    <mergeCell ref="UNT567:UNV567"/>
    <mergeCell ref="UNX567:UNZ567"/>
    <mergeCell ref="UMN567:UMP567"/>
    <mergeCell ref="UMR567:UMT567"/>
    <mergeCell ref="UMV567:UMX567"/>
    <mergeCell ref="UMZ567:UNB567"/>
    <mergeCell ref="UND567:UNF567"/>
    <mergeCell ref="ULT567:ULV567"/>
    <mergeCell ref="ULX567:ULZ567"/>
    <mergeCell ref="UMB567:UMD567"/>
    <mergeCell ref="UMF567:UMH567"/>
    <mergeCell ref="UMJ567:UML567"/>
    <mergeCell ref="UKZ567:ULB567"/>
    <mergeCell ref="ULD567:ULF567"/>
    <mergeCell ref="ULH567:ULJ567"/>
    <mergeCell ref="ULL567:ULN567"/>
    <mergeCell ref="ULP567:ULR567"/>
    <mergeCell ref="UKF567:UKH567"/>
    <mergeCell ref="UKJ567:UKL567"/>
    <mergeCell ref="UKN567:UKP567"/>
    <mergeCell ref="UKR567:UKT567"/>
    <mergeCell ref="UKV567:UKX567"/>
    <mergeCell ref="UJL567:UJN567"/>
    <mergeCell ref="UJP567:UJR567"/>
    <mergeCell ref="UJT567:UJV567"/>
    <mergeCell ref="UJX567:UJZ567"/>
    <mergeCell ref="UKB567:UKD567"/>
    <mergeCell ref="UIR567:UIT567"/>
    <mergeCell ref="UIV567:UIX567"/>
    <mergeCell ref="UIZ567:UJB567"/>
    <mergeCell ref="UJD567:UJF567"/>
    <mergeCell ref="UJH567:UJJ567"/>
    <mergeCell ref="USR567:UST567"/>
    <mergeCell ref="USV567:USX567"/>
    <mergeCell ref="USZ567:UTB567"/>
    <mergeCell ref="UTD567:UTF567"/>
    <mergeCell ref="UTH567:UTJ567"/>
    <mergeCell ref="URX567:URZ567"/>
    <mergeCell ref="USB567:USD567"/>
    <mergeCell ref="USF567:USH567"/>
    <mergeCell ref="USJ567:USL567"/>
    <mergeCell ref="USN567:USP567"/>
    <mergeCell ref="URD567:URF567"/>
    <mergeCell ref="URH567:URJ567"/>
    <mergeCell ref="URL567:URN567"/>
    <mergeCell ref="URP567:URR567"/>
    <mergeCell ref="URT567:URV567"/>
    <mergeCell ref="UQJ567:UQL567"/>
    <mergeCell ref="UQN567:UQP567"/>
    <mergeCell ref="UQR567:UQT567"/>
    <mergeCell ref="UQV567:UQX567"/>
    <mergeCell ref="UQZ567:URB567"/>
    <mergeCell ref="UPP567:UPR567"/>
    <mergeCell ref="UPT567:UPV567"/>
    <mergeCell ref="UPX567:UPZ567"/>
    <mergeCell ref="UQB567:UQD567"/>
    <mergeCell ref="UQF567:UQH567"/>
    <mergeCell ref="UOV567:UOX567"/>
    <mergeCell ref="UOZ567:UPB567"/>
    <mergeCell ref="UPD567:UPF567"/>
    <mergeCell ref="UPH567:UPJ567"/>
    <mergeCell ref="UPL567:UPN567"/>
    <mergeCell ref="UOB567:UOD567"/>
    <mergeCell ref="UOF567:UOH567"/>
    <mergeCell ref="UOJ567:UOL567"/>
    <mergeCell ref="UON567:UOP567"/>
    <mergeCell ref="UOR567:UOT567"/>
    <mergeCell ref="UYB567:UYD567"/>
    <mergeCell ref="UYF567:UYH567"/>
    <mergeCell ref="UYJ567:UYL567"/>
    <mergeCell ref="UYN567:UYP567"/>
    <mergeCell ref="UYR567:UYT567"/>
    <mergeCell ref="UXH567:UXJ567"/>
    <mergeCell ref="UXL567:UXN567"/>
    <mergeCell ref="UXP567:UXR567"/>
    <mergeCell ref="UXT567:UXV567"/>
    <mergeCell ref="UXX567:UXZ567"/>
    <mergeCell ref="UWN567:UWP567"/>
    <mergeCell ref="UWR567:UWT567"/>
    <mergeCell ref="UWV567:UWX567"/>
    <mergeCell ref="UWZ567:UXB567"/>
    <mergeCell ref="UXD567:UXF567"/>
    <mergeCell ref="UVT567:UVV567"/>
    <mergeCell ref="UVX567:UVZ567"/>
    <mergeCell ref="UWB567:UWD567"/>
    <mergeCell ref="UWF567:UWH567"/>
    <mergeCell ref="UWJ567:UWL567"/>
    <mergeCell ref="UUZ567:UVB567"/>
    <mergeCell ref="UVD567:UVF567"/>
    <mergeCell ref="UVH567:UVJ567"/>
    <mergeCell ref="UVL567:UVN567"/>
    <mergeCell ref="UVP567:UVR567"/>
    <mergeCell ref="UUF567:UUH567"/>
    <mergeCell ref="UUJ567:UUL567"/>
    <mergeCell ref="UUN567:UUP567"/>
    <mergeCell ref="UUR567:UUT567"/>
    <mergeCell ref="UUV567:UUX567"/>
    <mergeCell ref="UTL567:UTN567"/>
    <mergeCell ref="UTP567:UTR567"/>
    <mergeCell ref="UTT567:UTV567"/>
    <mergeCell ref="UTX567:UTZ567"/>
    <mergeCell ref="UUB567:UUD567"/>
    <mergeCell ref="VDL567:VDN567"/>
    <mergeCell ref="VDP567:VDR567"/>
    <mergeCell ref="VDT567:VDV567"/>
    <mergeCell ref="VDX567:VDZ567"/>
    <mergeCell ref="VEB567:VED567"/>
    <mergeCell ref="VCR567:VCT567"/>
    <mergeCell ref="VCV567:VCX567"/>
    <mergeCell ref="VCZ567:VDB567"/>
    <mergeCell ref="VDD567:VDF567"/>
    <mergeCell ref="VDH567:VDJ567"/>
    <mergeCell ref="VBX567:VBZ567"/>
    <mergeCell ref="VCB567:VCD567"/>
    <mergeCell ref="VCF567:VCH567"/>
    <mergeCell ref="VCJ567:VCL567"/>
    <mergeCell ref="VCN567:VCP567"/>
    <mergeCell ref="VBD567:VBF567"/>
    <mergeCell ref="VBH567:VBJ567"/>
    <mergeCell ref="VBL567:VBN567"/>
    <mergeCell ref="VBP567:VBR567"/>
    <mergeCell ref="VBT567:VBV567"/>
    <mergeCell ref="VAJ567:VAL567"/>
    <mergeCell ref="VAN567:VAP567"/>
    <mergeCell ref="VAR567:VAT567"/>
    <mergeCell ref="VAV567:VAX567"/>
    <mergeCell ref="VAZ567:VBB567"/>
    <mergeCell ref="UZP567:UZR567"/>
    <mergeCell ref="UZT567:UZV567"/>
    <mergeCell ref="UZX567:UZZ567"/>
    <mergeCell ref="VAB567:VAD567"/>
    <mergeCell ref="VAF567:VAH567"/>
    <mergeCell ref="UYV567:UYX567"/>
    <mergeCell ref="UYZ567:UZB567"/>
    <mergeCell ref="UZD567:UZF567"/>
    <mergeCell ref="UZH567:UZJ567"/>
    <mergeCell ref="UZL567:UZN567"/>
    <mergeCell ref="VIV567:VIX567"/>
    <mergeCell ref="VIZ567:VJB567"/>
    <mergeCell ref="VJD567:VJF567"/>
    <mergeCell ref="VJH567:VJJ567"/>
    <mergeCell ref="VJL567:VJN567"/>
    <mergeCell ref="VIB567:VID567"/>
    <mergeCell ref="VIF567:VIH567"/>
    <mergeCell ref="VIJ567:VIL567"/>
    <mergeCell ref="VIN567:VIP567"/>
    <mergeCell ref="VIR567:VIT567"/>
    <mergeCell ref="VHH567:VHJ567"/>
    <mergeCell ref="VHL567:VHN567"/>
    <mergeCell ref="VHP567:VHR567"/>
    <mergeCell ref="VHT567:VHV567"/>
    <mergeCell ref="VHX567:VHZ567"/>
    <mergeCell ref="VGN567:VGP567"/>
    <mergeCell ref="VGR567:VGT567"/>
    <mergeCell ref="VGV567:VGX567"/>
    <mergeCell ref="VGZ567:VHB567"/>
    <mergeCell ref="VHD567:VHF567"/>
    <mergeCell ref="VFT567:VFV567"/>
    <mergeCell ref="VFX567:VFZ567"/>
    <mergeCell ref="VGB567:VGD567"/>
    <mergeCell ref="VGF567:VGH567"/>
    <mergeCell ref="VGJ567:VGL567"/>
    <mergeCell ref="VEZ567:VFB567"/>
    <mergeCell ref="VFD567:VFF567"/>
    <mergeCell ref="VFH567:VFJ567"/>
    <mergeCell ref="VFL567:VFN567"/>
    <mergeCell ref="VFP567:VFR567"/>
    <mergeCell ref="VEF567:VEH567"/>
    <mergeCell ref="VEJ567:VEL567"/>
    <mergeCell ref="VEN567:VEP567"/>
    <mergeCell ref="VER567:VET567"/>
    <mergeCell ref="VEV567:VEX567"/>
    <mergeCell ref="VOF567:VOH567"/>
    <mergeCell ref="VOJ567:VOL567"/>
    <mergeCell ref="VON567:VOP567"/>
    <mergeCell ref="VOR567:VOT567"/>
    <mergeCell ref="VOV567:VOX567"/>
    <mergeCell ref="VNL567:VNN567"/>
    <mergeCell ref="VNP567:VNR567"/>
    <mergeCell ref="VNT567:VNV567"/>
    <mergeCell ref="VNX567:VNZ567"/>
    <mergeCell ref="VOB567:VOD567"/>
    <mergeCell ref="VMR567:VMT567"/>
    <mergeCell ref="VMV567:VMX567"/>
    <mergeCell ref="VMZ567:VNB567"/>
    <mergeCell ref="VND567:VNF567"/>
    <mergeCell ref="VNH567:VNJ567"/>
    <mergeCell ref="VLX567:VLZ567"/>
    <mergeCell ref="VMB567:VMD567"/>
    <mergeCell ref="VMF567:VMH567"/>
    <mergeCell ref="VMJ567:VML567"/>
    <mergeCell ref="VMN567:VMP567"/>
    <mergeCell ref="VLD567:VLF567"/>
    <mergeCell ref="VLH567:VLJ567"/>
    <mergeCell ref="VLL567:VLN567"/>
    <mergeCell ref="VLP567:VLR567"/>
    <mergeCell ref="VLT567:VLV567"/>
    <mergeCell ref="VKJ567:VKL567"/>
    <mergeCell ref="VKN567:VKP567"/>
    <mergeCell ref="VKR567:VKT567"/>
    <mergeCell ref="VKV567:VKX567"/>
    <mergeCell ref="VKZ567:VLB567"/>
    <mergeCell ref="VJP567:VJR567"/>
    <mergeCell ref="VJT567:VJV567"/>
    <mergeCell ref="VJX567:VJZ567"/>
    <mergeCell ref="VKB567:VKD567"/>
    <mergeCell ref="VKF567:VKH567"/>
    <mergeCell ref="VTP567:VTR567"/>
    <mergeCell ref="VTT567:VTV567"/>
    <mergeCell ref="VTX567:VTZ567"/>
    <mergeCell ref="VUB567:VUD567"/>
    <mergeCell ref="VUF567:VUH567"/>
    <mergeCell ref="VSV567:VSX567"/>
    <mergeCell ref="VSZ567:VTB567"/>
    <mergeCell ref="VTD567:VTF567"/>
    <mergeCell ref="VTH567:VTJ567"/>
    <mergeCell ref="VTL567:VTN567"/>
    <mergeCell ref="VSB567:VSD567"/>
    <mergeCell ref="VSF567:VSH567"/>
    <mergeCell ref="VSJ567:VSL567"/>
    <mergeCell ref="VSN567:VSP567"/>
    <mergeCell ref="VSR567:VST567"/>
    <mergeCell ref="VRH567:VRJ567"/>
    <mergeCell ref="VRL567:VRN567"/>
    <mergeCell ref="VRP567:VRR567"/>
    <mergeCell ref="VRT567:VRV567"/>
    <mergeCell ref="VRX567:VRZ567"/>
    <mergeCell ref="VQN567:VQP567"/>
    <mergeCell ref="VQR567:VQT567"/>
    <mergeCell ref="VQV567:VQX567"/>
    <mergeCell ref="VQZ567:VRB567"/>
    <mergeCell ref="VRD567:VRF567"/>
    <mergeCell ref="VPT567:VPV567"/>
    <mergeCell ref="VPX567:VPZ567"/>
    <mergeCell ref="VQB567:VQD567"/>
    <mergeCell ref="VQF567:VQH567"/>
    <mergeCell ref="VQJ567:VQL567"/>
    <mergeCell ref="VOZ567:VPB567"/>
    <mergeCell ref="VPD567:VPF567"/>
    <mergeCell ref="VPH567:VPJ567"/>
    <mergeCell ref="VPL567:VPN567"/>
    <mergeCell ref="VPP567:VPR567"/>
    <mergeCell ref="VYZ567:VZB567"/>
    <mergeCell ref="VZD567:VZF567"/>
    <mergeCell ref="VZH567:VZJ567"/>
    <mergeCell ref="VZL567:VZN567"/>
    <mergeCell ref="VZP567:VZR567"/>
    <mergeCell ref="VYF567:VYH567"/>
    <mergeCell ref="VYJ567:VYL567"/>
    <mergeCell ref="VYN567:VYP567"/>
    <mergeCell ref="VYR567:VYT567"/>
    <mergeCell ref="VYV567:VYX567"/>
    <mergeCell ref="VXL567:VXN567"/>
    <mergeCell ref="VXP567:VXR567"/>
    <mergeCell ref="VXT567:VXV567"/>
    <mergeCell ref="VXX567:VXZ567"/>
    <mergeCell ref="VYB567:VYD567"/>
    <mergeCell ref="VWR567:VWT567"/>
    <mergeCell ref="VWV567:VWX567"/>
    <mergeCell ref="VWZ567:VXB567"/>
    <mergeCell ref="VXD567:VXF567"/>
    <mergeCell ref="VXH567:VXJ567"/>
    <mergeCell ref="VVX567:VVZ567"/>
    <mergeCell ref="VWB567:VWD567"/>
    <mergeCell ref="VWF567:VWH567"/>
    <mergeCell ref="VWJ567:VWL567"/>
    <mergeCell ref="VWN567:VWP567"/>
    <mergeCell ref="VVD567:VVF567"/>
    <mergeCell ref="VVH567:VVJ567"/>
    <mergeCell ref="VVL567:VVN567"/>
    <mergeCell ref="VVP567:VVR567"/>
    <mergeCell ref="VVT567:VVV567"/>
    <mergeCell ref="VUJ567:VUL567"/>
    <mergeCell ref="VUN567:VUP567"/>
    <mergeCell ref="VUR567:VUT567"/>
    <mergeCell ref="VUV567:VUX567"/>
    <mergeCell ref="VUZ567:VVB567"/>
    <mergeCell ref="WEJ567:WEL567"/>
    <mergeCell ref="WEN567:WEP567"/>
    <mergeCell ref="WER567:WET567"/>
    <mergeCell ref="WEV567:WEX567"/>
    <mergeCell ref="WEZ567:WFB567"/>
    <mergeCell ref="WDP567:WDR567"/>
    <mergeCell ref="WDT567:WDV567"/>
    <mergeCell ref="WDX567:WDZ567"/>
    <mergeCell ref="WEB567:WED567"/>
    <mergeCell ref="WEF567:WEH567"/>
    <mergeCell ref="WCV567:WCX567"/>
    <mergeCell ref="WCZ567:WDB567"/>
    <mergeCell ref="WDD567:WDF567"/>
    <mergeCell ref="WDH567:WDJ567"/>
    <mergeCell ref="WDL567:WDN567"/>
    <mergeCell ref="WCB567:WCD567"/>
    <mergeCell ref="WCF567:WCH567"/>
    <mergeCell ref="WCJ567:WCL567"/>
    <mergeCell ref="WCN567:WCP567"/>
    <mergeCell ref="WCR567:WCT567"/>
    <mergeCell ref="WBH567:WBJ567"/>
    <mergeCell ref="WBL567:WBN567"/>
    <mergeCell ref="WBP567:WBR567"/>
    <mergeCell ref="WBT567:WBV567"/>
    <mergeCell ref="WBX567:WBZ567"/>
    <mergeCell ref="WAN567:WAP567"/>
    <mergeCell ref="WAR567:WAT567"/>
    <mergeCell ref="WAV567:WAX567"/>
    <mergeCell ref="WAZ567:WBB567"/>
    <mergeCell ref="WBD567:WBF567"/>
    <mergeCell ref="VZT567:VZV567"/>
    <mergeCell ref="VZX567:VZZ567"/>
    <mergeCell ref="WAB567:WAD567"/>
    <mergeCell ref="WAF567:WAH567"/>
    <mergeCell ref="WAJ567:WAL567"/>
    <mergeCell ref="WJT567:WJV567"/>
    <mergeCell ref="WJX567:WJZ567"/>
    <mergeCell ref="WKB567:WKD567"/>
    <mergeCell ref="WKF567:WKH567"/>
    <mergeCell ref="WKJ567:WKL567"/>
    <mergeCell ref="WIZ567:WJB567"/>
    <mergeCell ref="WJD567:WJF567"/>
    <mergeCell ref="WJH567:WJJ567"/>
    <mergeCell ref="WJL567:WJN567"/>
    <mergeCell ref="WJP567:WJR567"/>
    <mergeCell ref="WIF567:WIH567"/>
    <mergeCell ref="WIJ567:WIL567"/>
    <mergeCell ref="WIN567:WIP567"/>
    <mergeCell ref="WIR567:WIT567"/>
    <mergeCell ref="WIV567:WIX567"/>
    <mergeCell ref="WHL567:WHN567"/>
    <mergeCell ref="WHP567:WHR567"/>
    <mergeCell ref="WHT567:WHV567"/>
    <mergeCell ref="WHX567:WHZ567"/>
    <mergeCell ref="WIB567:WID567"/>
    <mergeCell ref="WGR567:WGT567"/>
    <mergeCell ref="WGV567:WGX567"/>
    <mergeCell ref="WGZ567:WHB567"/>
    <mergeCell ref="WHD567:WHF567"/>
    <mergeCell ref="WHH567:WHJ567"/>
    <mergeCell ref="WFX567:WFZ567"/>
    <mergeCell ref="WGB567:WGD567"/>
    <mergeCell ref="WGF567:WGH567"/>
    <mergeCell ref="WGJ567:WGL567"/>
    <mergeCell ref="WGN567:WGP567"/>
    <mergeCell ref="WFD567:WFF567"/>
    <mergeCell ref="WFH567:WFJ567"/>
    <mergeCell ref="WFL567:WFN567"/>
    <mergeCell ref="WFP567:WFR567"/>
    <mergeCell ref="WFT567:WFV567"/>
    <mergeCell ref="WPD567:WPF567"/>
    <mergeCell ref="WPH567:WPJ567"/>
    <mergeCell ref="WPL567:WPN567"/>
    <mergeCell ref="WPP567:WPR567"/>
    <mergeCell ref="WPT567:WPV567"/>
    <mergeCell ref="WOJ567:WOL567"/>
    <mergeCell ref="WON567:WOP567"/>
    <mergeCell ref="WOR567:WOT567"/>
    <mergeCell ref="WOV567:WOX567"/>
    <mergeCell ref="WOZ567:WPB567"/>
    <mergeCell ref="WNP567:WNR567"/>
    <mergeCell ref="WNT567:WNV567"/>
    <mergeCell ref="WNX567:WNZ567"/>
    <mergeCell ref="WOB567:WOD567"/>
    <mergeCell ref="WOF567:WOH567"/>
    <mergeCell ref="WMV567:WMX567"/>
    <mergeCell ref="WMZ567:WNB567"/>
    <mergeCell ref="WND567:WNF567"/>
    <mergeCell ref="WNH567:WNJ567"/>
    <mergeCell ref="WNL567:WNN567"/>
    <mergeCell ref="WMB567:WMD567"/>
    <mergeCell ref="WMF567:WMH567"/>
    <mergeCell ref="WMJ567:WML567"/>
    <mergeCell ref="WMN567:WMP567"/>
    <mergeCell ref="WMR567:WMT567"/>
    <mergeCell ref="WLH567:WLJ567"/>
    <mergeCell ref="WLL567:WLN567"/>
    <mergeCell ref="WLP567:WLR567"/>
    <mergeCell ref="WLT567:WLV567"/>
    <mergeCell ref="WLX567:WLZ567"/>
    <mergeCell ref="WKN567:WKP567"/>
    <mergeCell ref="WKR567:WKT567"/>
    <mergeCell ref="WKV567:WKX567"/>
    <mergeCell ref="WKZ567:WLB567"/>
    <mergeCell ref="WLD567:WLF567"/>
    <mergeCell ref="WUN567:WUP567"/>
    <mergeCell ref="WUR567:WUT567"/>
    <mergeCell ref="WUV567:WUX567"/>
    <mergeCell ref="WUZ567:WVB567"/>
    <mergeCell ref="WVD567:WVF567"/>
    <mergeCell ref="WTT567:WTV567"/>
    <mergeCell ref="WTX567:WTZ567"/>
    <mergeCell ref="WUB567:WUD567"/>
    <mergeCell ref="WUF567:WUH567"/>
    <mergeCell ref="WUJ567:WUL567"/>
    <mergeCell ref="WSZ567:WTB567"/>
    <mergeCell ref="WTD567:WTF567"/>
    <mergeCell ref="WTH567:WTJ567"/>
    <mergeCell ref="WTL567:WTN567"/>
    <mergeCell ref="WTP567:WTR567"/>
    <mergeCell ref="WSF567:WSH567"/>
    <mergeCell ref="WSJ567:WSL567"/>
    <mergeCell ref="WSN567:WSP567"/>
    <mergeCell ref="WSR567:WST567"/>
    <mergeCell ref="WSV567:WSX567"/>
    <mergeCell ref="WRL567:WRN567"/>
    <mergeCell ref="WRP567:WRR567"/>
    <mergeCell ref="WRT567:WRV567"/>
    <mergeCell ref="WRX567:WRZ567"/>
    <mergeCell ref="WSB567:WSD567"/>
    <mergeCell ref="WQR567:WQT567"/>
    <mergeCell ref="WQV567:WQX567"/>
    <mergeCell ref="WQZ567:WRB567"/>
    <mergeCell ref="WRD567:WRF567"/>
    <mergeCell ref="WRH567:WRJ567"/>
    <mergeCell ref="WPX567:WPZ567"/>
    <mergeCell ref="WQB567:WQD567"/>
    <mergeCell ref="WQF567:WQH567"/>
    <mergeCell ref="WQJ567:WQL567"/>
    <mergeCell ref="WQN567:WQP567"/>
    <mergeCell ref="E640:G640"/>
    <mergeCell ref="XEN567:XEP567"/>
    <mergeCell ref="XER567:XET567"/>
    <mergeCell ref="XDT567:XDV567"/>
    <mergeCell ref="XDX567:XDZ567"/>
    <mergeCell ref="XEB567:XED567"/>
    <mergeCell ref="XEF567:XEH567"/>
    <mergeCell ref="XEJ567:XEL567"/>
    <mergeCell ref="XCZ567:XDB567"/>
    <mergeCell ref="XDD567:XDF567"/>
    <mergeCell ref="XDH567:XDJ567"/>
    <mergeCell ref="XDL567:XDN567"/>
    <mergeCell ref="XDP567:XDR567"/>
    <mergeCell ref="XCF567:XCH567"/>
    <mergeCell ref="XCJ567:XCL567"/>
    <mergeCell ref="XCN567:XCP567"/>
    <mergeCell ref="XCR567:XCT567"/>
    <mergeCell ref="XCV567:XCX567"/>
    <mergeCell ref="XBL567:XBN567"/>
    <mergeCell ref="XBP567:XBR567"/>
    <mergeCell ref="XBT567:XBV567"/>
    <mergeCell ref="XBX567:XBZ567"/>
    <mergeCell ref="XCB567:XCD567"/>
    <mergeCell ref="XAR567:XAT567"/>
    <mergeCell ref="XAV567:XAX567"/>
    <mergeCell ref="XAZ567:XBB567"/>
    <mergeCell ref="XBD567:XBF567"/>
    <mergeCell ref="XBH567:XBJ567"/>
    <mergeCell ref="WZX567:WZZ567"/>
    <mergeCell ref="XAB567:XAD567"/>
    <mergeCell ref="XAF567:XAH567"/>
    <mergeCell ref="XAJ567:XAL567"/>
    <mergeCell ref="XAN567:XAP567"/>
    <mergeCell ref="WZD567:WZF567"/>
    <mergeCell ref="WZH567:WZJ567"/>
    <mergeCell ref="WZL567:WZN567"/>
    <mergeCell ref="WZP567:WZR567"/>
    <mergeCell ref="WZT567:WZV567"/>
    <mergeCell ref="WYJ567:WYL567"/>
    <mergeCell ref="WYN567:WYP567"/>
    <mergeCell ref="WYR567:WYT567"/>
    <mergeCell ref="WYV567:WYX567"/>
    <mergeCell ref="WYZ567:WZB567"/>
    <mergeCell ref="WXP567:WXR567"/>
    <mergeCell ref="WXT567:WXV567"/>
    <mergeCell ref="WXX567:WXZ567"/>
    <mergeCell ref="WYB567:WYD567"/>
    <mergeCell ref="WYF567:WYH567"/>
    <mergeCell ref="WWV567:WWX567"/>
    <mergeCell ref="WWZ567:WXB567"/>
    <mergeCell ref="WXD567:WXF567"/>
    <mergeCell ref="WXH567:WXJ567"/>
    <mergeCell ref="WXL567:WXN567"/>
    <mergeCell ref="WWB567:WWD567"/>
    <mergeCell ref="WWF567:WWH567"/>
    <mergeCell ref="WWJ567:WWL567"/>
    <mergeCell ref="WWN567:WWP567"/>
    <mergeCell ref="WWR567:WWT567"/>
    <mergeCell ref="WVH567:WVJ567"/>
    <mergeCell ref="WVL567:WVN567"/>
    <mergeCell ref="WVP567:WVR567"/>
    <mergeCell ref="WVT567:WVV567"/>
    <mergeCell ref="WVX567:WVZ567"/>
    <mergeCell ref="DT612:DV612"/>
    <mergeCell ref="DX612:DZ612"/>
    <mergeCell ref="EB612:ED612"/>
    <mergeCell ref="EF612:EH612"/>
    <mergeCell ref="EJ612:EL612"/>
    <mergeCell ref="CZ612:DB612"/>
    <mergeCell ref="DD612:DF612"/>
    <mergeCell ref="DH612:DJ612"/>
    <mergeCell ref="DL612:DN612"/>
    <mergeCell ref="DP612:DR612"/>
    <mergeCell ref="CF612:CH612"/>
    <mergeCell ref="CJ612:CL612"/>
    <mergeCell ref="CN612:CP612"/>
    <mergeCell ref="CR612:CT612"/>
    <mergeCell ref="CV612:CX612"/>
    <mergeCell ref="BL612:BN612"/>
    <mergeCell ref="BP612:BR612"/>
    <mergeCell ref="BT612:BV612"/>
    <mergeCell ref="BX612:BZ612"/>
    <mergeCell ref="CB612:CD612"/>
    <mergeCell ref="T612:V612"/>
    <mergeCell ref="X612:Z612"/>
    <mergeCell ref="AB612:AD612"/>
    <mergeCell ref="AF612:AH612"/>
    <mergeCell ref="AJ612:AL612"/>
    <mergeCell ref="AN612:AP612"/>
    <mergeCell ref="AR612:AT612"/>
    <mergeCell ref="AV612:AX612"/>
    <mergeCell ref="AZ612:BB612"/>
    <mergeCell ref="BD612:BF612"/>
    <mergeCell ref="BH612:BJ612"/>
    <mergeCell ref="E600:G600"/>
    <mergeCell ref="E630:G630"/>
    <mergeCell ref="H600:J600"/>
    <mergeCell ref="L600:N600"/>
    <mergeCell ref="AR614:AT614"/>
    <mergeCell ref="AV614:AX614"/>
    <mergeCell ref="AZ614:BB614"/>
    <mergeCell ref="BD614:BF614"/>
    <mergeCell ref="BH614:BJ614"/>
    <mergeCell ref="E635:G635"/>
    <mergeCell ref="DT613:DV613"/>
    <mergeCell ref="DX613:DZ613"/>
    <mergeCell ref="EB613:ED613"/>
    <mergeCell ref="EF613:EH613"/>
    <mergeCell ref="EJ613:EL613"/>
    <mergeCell ref="CZ613:DB613"/>
    <mergeCell ref="DD613:DF613"/>
    <mergeCell ref="DH613:DJ613"/>
    <mergeCell ref="DL613:DN613"/>
    <mergeCell ref="DP613:DR613"/>
    <mergeCell ref="CF613:CH613"/>
    <mergeCell ref="CJ613:CL613"/>
    <mergeCell ref="CN613:CP613"/>
    <mergeCell ref="CR613:CT613"/>
    <mergeCell ref="CV613:CX613"/>
    <mergeCell ref="BL613:BN613"/>
    <mergeCell ref="BP613:BR613"/>
    <mergeCell ref="BT613:BV613"/>
    <mergeCell ref="BX613:BZ613"/>
    <mergeCell ref="CB613:CD613"/>
    <mergeCell ref="T613:V613"/>
    <mergeCell ref="X613:Z613"/>
    <mergeCell ref="AB613:AD613"/>
    <mergeCell ref="AF613:AH613"/>
    <mergeCell ref="AJ613:AL613"/>
    <mergeCell ref="AN613:AP613"/>
    <mergeCell ref="AR613:AT613"/>
    <mergeCell ref="AV613:AX613"/>
    <mergeCell ref="AZ613:BB613"/>
    <mergeCell ref="JD612:JF612"/>
    <mergeCell ref="JH612:JJ612"/>
    <mergeCell ref="JL612:JN612"/>
    <mergeCell ref="EN614:EP614"/>
    <mergeCell ref="ER614:ET614"/>
    <mergeCell ref="EV614:EX614"/>
    <mergeCell ref="EZ614:FB614"/>
    <mergeCell ref="FD614:FF614"/>
    <mergeCell ref="DT614:DV614"/>
    <mergeCell ref="DX614:DZ614"/>
    <mergeCell ref="EB614:ED614"/>
    <mergeCell ref="EF614:EH614"/>
    <mergeCell ref="EJ614:EL614"/>
    <mergeCell ref="CZ614:DB614"/>
    <mergeCell ref="DD614:DF614"/>
    <mergeCell ref="DH614:DJ614"/>
    <mergeCell ref="DL614:DN614"/>
    <mergeCell ref="DP614:DR614"/>
    <mergeCell ref="CF614:CH614"/>
    <mergeCell ref="CJ614:CL614"/>
    <mergeCell ref="CN614:CP614"/>
    <mergeCell ref="CR614:CT614"/>
    <mergeCell ref="CV614:CX614"/>
    <mergeCell ref="BL614:BN614"/>
    <mergeCell ref="BP614:BR614"/>
    <mergeCell ref="BT614:BV614"/>
    <mergeCell ref="BX614:BZ614"/>
    <mergeCell ref="CB614:CD614"/>
    <mergeCell ref="T614:V614"/>
    <mergeCell ref="X614:Z614"/>
    <mergeCell ref="AB614:AD614"/>
    <mergeCell ref="AF614:AH614"/>
    <mergeCell ref="AJ614:AL614"/>
    <mergeCell ref="AN614:AP614"/>
    <mergeCell ref="JP612:JR612"/>
    <mergeCell ref="BD613:BF613"/>
    <mergeCell ref="BH613:BJ613"/>
    <mergeCell ref="IJ613:IL613"/>
    <mergeCell ref="IN613:IP613"/>
    <mergeCell ref="IR613:IT613"/>
    <mergeCell ref="IV613:IX613"/>
    <mergeCell ref="IZ613:JB613"/>
    <mergeCell ref="HP613:HR613"/>
    <mergeCell ref="HT613:HV613"/>
    <mergeCell ref="HX613:HZ613"/>
    <mergeCell ref="IB613:ID613"/>
    <mergeCell ref="IF613:IH613"/>
    <mergeCell ref="GV613:GX613"/>
    <mergeCell ref="GZ613:HB613"/>
    <mergeCell ref="HD613:HF613"/>
    <mergeCell ref="HH613:HJ613"/>
    <mergeCell ref="HL613:HN613"/>
    <mergeCell ref="GB613:GD613"/>
    <mergeCell ref="GF613:GH613"/>
    <mergeCell ref="GJ613:GL613"/>
    <mergeCell ref="GN613:GP613"/>
    <mergeCell ref="GR613:GT613"/>
    <mergeCell ref="FH613:FJ613"/>
    <mergeCell ref="FL613:FN613"/>
    <mergeCell ref="FP613:FR613"/>
    <mergeCell ref="FT613:FV613"/>
    <mergeCell ref="FX613:FZ613"/>
    <mergeCell ref="EN613:EP613"/>
    <mergeCell ref="ER613:ET613"/>
    <mergeCell ref="EV613:EX613"/>
    <mergeCell ref="EZ613:FB613"/>
    <mergeCell ref="JT612:JV612"/>
    <mergeCell ref="IJ612:IL612"/>
    <mergeCell ref="IN612:IP612"/>
    <mergeCell ref="IR612:IT612"/>
    <mergeCell ref="IV612:IX612"/>
    <mergeCell ref="IZ612:JB612"/>
    <mergeCell ref="HP612:HR612"/>
    <mergeCell ref="HT612:HV612"/>
    <mergeCell ref="HX612:HZ612"/>
    <mergeCell ref="IB612:ID612"/>
    <mergeCell ref="IF612:IH612"/>
    <mergeCell ref="GV612:GX612"/>
    <mergeCell ref="GZ612:HB612"/>
    <mergeCell ref="HD612:HF612"/>
    <mergeCell ref="HH612:HJ612"/>
    <mergeCell ref="HL612:HN612"/>
    <mergeCell ref="GB612:GD612"/>
    <mergeCell ref="GF612:GH612"/>
    <mergeCell ref="GJ612:GL612"/>
    <mergeCell ref="GN612:GP612"/>
    <mergeCell ref="GR612:GT612"/>
    <mergeCell ref="FH612:FJ612"/>
    <mergeCell ref="FL612:FN612"/>
    <mergeCell ref="FP612:FR612"/>
    <mergeCell ref="FT612:FV612"/>
    <mergeCell ref="FX612:FZ612"/>
    <mergeCell ref="EN612:EP612"/>
    <mergeCell ref="ER612:ET612"/>
    <mergeCell ref="EV612:EX612"/>
    <mergeCell ref="EZ612:FB612"/>
    <mergeCell ref="FD612:FF612"/>
    <mergeCell ref="FD613:FF613"/>
    <mergeCell ref="ON612:OP612"/>
    <mergeCell ref="OR612:OT612"/>
    <mergeCell ref="OV612:OX612"/>
    <mergeCell ref="OZ612:PB612"/>
    <mergeCell ref="PD612:PF612"/>
    <mergeCell ref="NT612:NV612"/>
    <mergeCell ref="NX612:NZ612"/>
    <mergeCell ref="OB612:OD612"/>
    <mergeCell ref="OF612:OH612"/>
    <mergeCell ref="OJ612:OL612"/>
    <mergeCell ref="MZ612:NB612"/>
    <mergeCell ref="ND612:NF612"/>
    <mergeCell ref="NH612:NJ612"/>
    <mergeCell ref="NL612:NN612"/>
    <mergeCell ref="NP612:NR612"/>
    <mergeCell ref="MF612:MH612"/>
    <mergeCell ref="MJ612:ML612"/>
    <mergeCell ref="MN612:MP612"/>
    <mergeCell ref="MR612:MT612"/>
    <mergeCell ref="MV612:MX612"/>
    <mergeCell ref="LL612:LN612"/>
    <mergeCell ref="LP612:LR612"/>
    <mergeCell ref="LT612:LV612"/>
    <mergeCell ref="LX612:LZ612"/>
    <mergeCell ref="MB612:MD612"/>
    <mergeCell ref="KR612:KT612"/>
    <mergeCell ref="KV612:KX612"/>
    <mergeCell ref="KZ612:LB612"/>
    <mergeCell ref="LD612:LF612"/>
    <mergeCell ref="LH612:LJ612"/>
    <mergeCell ref="JX612:JZ612"/>
    <mergeCell ref="KB612:KD612"/>
    <mergeCell ref="KF612:KH612"/>
    <mergeCell ref="KJ612:KL612"/>
    <mergeCell ref="KN612:KP612"/>
    <mergeCell ref="TX612:TZ612"/>
    <mergeCell ref="UB612:UD612"/>
    <mergeCell ref="UF612:UH612"/>
    <mergeCell ref="UJ612:UL612"/>
    <mergeCell ref="UN612:UP612"/>
    <mergeCell ref="TD612:TF612"/>
    <mergeCell ref="TH612:TJ612"/>
    <mergeCell ref="TL612:TN612"/>
    <mergeCell ref="TP612:TR612"/>
    <mergeCell ref="TT612:TV612"/>
    <mergeCell ref="SJ612:SL612"/>
    <mergeCell ref="SN612:SP612"/>
    <mergeCell ref="SR612:ST612"/>
    <mergeCell ref="SV612:SX612"/>
    <mergeCell ref="SZ612:TB612"/>
    <mergeCell ref="RP612:RR612"/>
    <mergeCell ref="RT612:RV612"/>
    <mergeCell ref="RX612:RZ612"/>
    <mergeCell ref="SB612:SD612"/>
    <mergeCell ref="SF612:SH612"/>
    <mergeCell ref="QV612:QX612"/>
    <mergeCell ref="QZ612:RB612"/>
    <mergeCell ref="RD612:RF612"/>
    <mergeCell ref="RH612:RJ612"/>
    <mergeCell ref="RL612:RN612"/>
    <mergeCell ref="QB612:QD612"/>
    <mergeCell ref="QF612:QH612"/>
    <mergeCell ref="QJ612:QL612"/>
    <mergeCell ref="QN612:QP612"/>
    <mergeCell ref="QR612:QT612"/>
    <mergeCell ref="PH612:PJ612"/>
    <mergeCell ref="PL612:PN612"/>
    <mergeCell ref="PP612:PR612"/>
    <mergeCell ref="PT612:PV612"/>
    <mergeCell ref="PX612:PZ612"/>
    <mergeCell ref="ZH612:ZJ612"/>
    <mergeCell ref="ZL612:ZN612"/>
    <mergeCell ref="ZP612:ZR612"/>
    <mergeCell ref="ZT612:ZV612"/>
    <mergeCell ref="ZX612:ZZ612"/>
    <mergeCell ref="YN612:YP612"/>
    <mergeCell ref="YR612:YT612"/>
    <mergeCell ref="YV612:YX612"/>
    <mergeCell ref="YZ612:ZB612"/>
    <mergeCell ref="ZD612:ZF612"/>
    <mergeCell ref="XT612:XV612"/>
    <mergeCell ref="XX612:XZ612"/>
    <mergeCell ref="YB612:YD612"/>
    <mergeCell ref="YF612:YH612"/>
    <mergeCell ref="YJ612:YL612"/>
    <mergeCell ref="WZ612:XB612"/>
    <mergeCell ref="XD612:XF612"/>
    <mergeCell ref="XH612:XJ612"/>
    <mergeCell ref="XL612:XN612"/>
    <mergeCell ref="XP612:XR612"/>
    <mergeCell ref="WF612:WH612"/>
    <mergeCell ref="WJ612:WL612"/>
    <mergeCell ref="WN612:WP612"/>
    <mergeCell ref="WR612:WT612"/>
    <mergeCell ref="WV612:WX612"/>
    <mergeCell ref="VL612:VN612"/>
    <mergeCell ref="VP612:VR612"/>
    <mergeCell ref="VT612:VV612"/>
    <mergeCell ref="VX612:VZ612"/>
    <mergeCell ref="WB612:WD612"/>
    <mergeCell ref="UR612:UT612"/>
    <mergeCell ref="UV612:UX612"/>
    <mergeCell ref="UZ612:VB612"/>
    <mergeCell ref="VD612:VF612"/>
    <mergeCell ref="VH612:VJ612"/>
    <mergeCell ref="AER612:AET612"/>
    <mergeCell ref="AEV612:AEX612"/>
    <mergeCell ref="AEZ612:AFB612"/>
    <mergeCell ref="AFD612:AFF612"/>
    <mergeCell ref="AFH612:AFJ612"/>
    <mergeCell ref="ADX612:ADZ612"/>
    <mergeCell ref="AEB612:AED612"/>
    <mergeCell ref="AEF612:AEH612"/>
    <mergeCell ref="AEJ612:AEL612"/>
    <mergeCell ref="AEN612:AEP612"/>
    <mergeCell ref="ADD612:ADF612"/>
    <mergeCell ref="ADH612:ADJ612"/>
    <mergeCell ref="ADL612:ADN612"/>
    <mergeCell ref="ADP612:ADR612"/>
    <mergeCell ref="ADT612:ADV612"/>
    <mergeCell ref="ACJ612:ACL612"/>
    <mergeCell ref="ACN612:ACP612"/>
    <mergeCell ref="ACR612:ACT612"/>
    <mergeCell ref="ACV612:ACX612"/>
    <mergeCell ref="ACZ612:ADB612"/>
    <mergeCell ref="ABP612:ABR612"/>
    <mergeCell ref="ABT612:ABV612"/>
    <mergeCell ref="ABX612:ABZ612"/>
    <mergeCell ref="ACB612:ACD612"/>
    <mergeCell ref="ACF612:ACH612"/>
    <mergeCell ref="AAV612:AAX612"/>
    <mergeCell ref="AAZ612:ABB612"/>
    <mergeCell ref="ABD612:ABF612"/>
    <mergeCell ref="ABH612:ABJ612"/>
    <mergeCell ref="ABL612:ABN612"/>
    <mergeCell ref="AAB612:AAD612"/>
    <mergeCell ref="AAF612:AAH612"/>
    <mergeCell ref="AAJ612:AAL612"/>
    <mergeCell ref="AAN612:AAP612"/>
    <mergeCell ref="AAR612:AAT612"/>
    <mergeCell ref="AKB612:AKD612"/>
    <mergeCell ref="AKF612:AKH612"/>
    <mergeCell ref="AKJ612:AKL612"/>
    <mergeCell ref="AKN612:AKP612"/>
    <mergeCell ref="AKR612:AKT612"/>
    <mergeCell ref="AJH612:AJJ612"/>
    <mergeCell ref="AJL612:AJN612"/>
    <mergeCell ref="AJP612:AJR612"/>
    <mergeCell ref="AJT612:AJV612"/>
    <mergeCell ref="AJX612:AJZ612"/>
    <mergeCell ref="AIN612:AIP612"/>
    <mergeCell ref="AIR612:AIT612"/>
    <mergeCell ref="AIV612:AIX612"/>
    <mergeCell ref="AIZ612:AJB612"/>
    <mergeCell ref="AJD612:AJF612"/>
    <mergeCell ref="AHT612:AHV612"/>
    <mergeCell ref="AHX612:AHZ612"/>
    <mergeCell ref="AIB612:AID612"/>
    <mergeCell ref="AIF612:AIH612"/>
    <mergeCell ref="AIJ612:AIL612"/>
    <mergeCell ref="AGZ612:AHB612"/>
    <mergeCell ref="AHD612:AHF612"/>
    <mergeCell ref="AHH612:AHJ612"/>
    <mergeCell ref="AHL612:AHN612"/>
    <mergeCell ref="AHP612:AHR612"/>
    <mergeCell ref="AGF612:AGH612"/>
    <mergeCell ref="AGJ612:AGL612"/>
    <mergeCell ref="AGN612:AGP612"/>
    <mergeCell ref="AGR612:AGT612"/>
    <mergeCell ref="AGV612:AGX612"/>
    <mergeCell ref="AFL612:AFN612"/>
    <mergeCell ref="AFP612:AFR612"/>
    <mergeCell ref="AFT612:AFV612"/>
    <mergeCell ref="AFX612:AFZ612"/>
    <mergeCell ref="AGB612:AGD612"/>
    <mergeCell ref="APL612:APN612"/>
    <mergeCell ref="APP612:APR612"/>
    <mergeCell ref="APT612:APV612"/>
    <mergeCell ref="APX612:APZ612"/>
    <mergeCell ref="AQB612:AQD612"/>
    <mergeCell ref="AOR612:AOT612"/>
    <mergeCell ref="AOV612:AOX612"/>
    <mergeCell ref="AOZ612:APB612"/>
    <mergeCell ref="APD612:APF612"/>
    <mergeCell ref="APH612:APJ612"/>
    <mergeCell ref="ANX612:ANZ612"/>
    <mergeCell ref="AOB612:AOD612"/>
    <mergeCell ref="AOF612:AOH612"/>
    <mergeCell ref="AOJ612:AOL612"/>
    <mergeCell ref="AON612:AOP612"/>
    <mergeCell ref="AND612:ANF612"/>
    <mergeCell ref="ANH612:ANJ612"/>
    <mergeCell ref="ANL612:ANN612"/>
    <mergeCell ref="ANP612:ANR612"/>
    <mergeCell ref="ANT612:ANV612"/>
    <mergeCell ref="AMJ612:AML612"/>
    <mergeCell ref="AMN612:AMP612"/>
    <mergeCell ref="AMR612:AMT612"/>
    <mergeCell ref="AMV612:AMX612"/>
    <mergeCell ref="AMZ612:ANB612"/>
    <mergeCell ref="ALP612:ALR612"/>
    <mergeCell ref="ALT612:ALV612"/>
    <mergeCell ref="ALX612:ALZ612"/>
    <mergeCell ref="AMB612:AMD612"/>
    <mergeCell ref="AMF612:AMH612"/>
    <mergeCell ref="AKV612:AKX612"/>
    <mergeCell ref="AKZ612:ALB612"/>
    <mergeCell ref="ALD612:ALF612"/>
    <mergeCell ref="ALH612:ALJ612"/>
    <mergeCell ref="ALL612:ALN612"/>
    <mergeCell ref="AUV612:AUX612"/>
    <mergeCell ref="AUZ612:AVB612"/>
    <mergeCell ref="AVD612:AVF612"/>
    <mergeCell ref="AVH612:AVJ612"/>
    <mergeCell ref="AVL612:AVN612"/>
    <mergeCell ref="AUB612:AUD612"/>
    <mergeCell ref="AUF612:AUH612"/>
    <mergeCell ref="AUJ612:AUL612"/>
    <mergeCell ref="AUN612:AUP612"/>
    <mergeCell ref="AUR612:AUT612"/>
    <mergeCell ref="ATH612:ATJ612"/>
    <mergeCell ref="ATL612:ATN612"/>
    <mergeCell ref="ATP612:ATR612"/>
    <mergeCell ref="ATT612:ATV612"/>
    <mergeCell ref="ATX612:ATZ612"/>
    <mergeCell ref="ASN612:ASP612"/>
    <mergeCell ref="ASR612:AST612"/>
    <mergeCell ref="ASV612:ASX612"/>
    <mergeCell ref="ASZ612:ATB612"/>
    <mergeCell ref="ATD612:ATF612"/>
    <mergeCell ref="ART612:ARV612"/>
    <mergeCell ref="ARX612:ARZ612"/>
    <mergeCell ref="ASB612:ASD612"/>
    <mergeCell ref="ASF612:ASH612"/>
    <mergeCell ref="ASJ612:ASL612"/>
    <mergeCell ref="AQZ612:ARB612"/>
    <mergeCell ref="ARD612:ARF612"/>
    <mergeCell ref="ARH612:ARJ612"/>
    <mergeCell ref="ARL612:ARN612"/>
    <mergeCell ref="ARP612:ARR612"/>
    <mergeCell ref="AQF612:AQH612"/>
    <mergeCell ref="AQJ612:AQL612"/>
    <mergeCell ref="AQN612:AQP612"/>
    <mergeCell ref="AQR612:AQT612"/>
    <mergeCell ref="AQV612:AQX612"/>
    <mergeCell ref="BAF612:BAH612"/>
    <mergeCell ref="BAJ612:BAL612"/>
    <mergeCell ref="BAN612:BAP612"/>
    <mergeCell ref="BAR612:BAT612"/>
    <mergeCell ref="BAV612:BAX612"/>
    <mergeCell ref="AZL612:AZN612"/>
    <mergeCell ref="AZP612:AZR612"/>
    <mergeCell ref="AZT612:AZV612"/>
    <mergeCell ref="AZX612:AZZ612"/>
    <mergeCell ref="BAB612:BAD612"/>
    <mergeCell ref="AYR612:AYT612"/>
    <mergeCell ref="AYV612:AYX612"/>
    <mergeCell ref="AYZ612:AZB612"/>
    <mergeCell ref="AZD612:AZF612"/>
    <mergeCell ref="AZH612:AZJ612"/>
    <mergeCell ref="AXX612:AXZ612"/>
    <mergeCell ref="AYB612:AYD612"/>
    <mergeCell ref="AYF612:AYH612"/>
    <mergeCell ref="AYJ612:AYL612"/>
    <mergeCell ref="AYN612:AYP612"/>
    <mergeCell ref="AXD612:AXF612"/>
    <mergeCell ref="AXH612:AXJ612"/>
    <mergeCell ref="AXL612:AXN612"/>
    <mergeCell ref="AXP612:AXR612"/>
    <mergeCell ref="AXT612:AXV612"/>
    <mergeCell ref="AWJ612:AWL612"/>
    <mergeCell ref="AWN612:AWP612"/>
    <mergeCell ref="AWR612:AWT612"/>
    <mergeCell ref="AWV612:AWX612"/>
    <mergeCell ref="AWZ612:AXB612"/>
    <mergeCell ref="AVP612:AVR612"/>
    <mergeCell ref="AVT612:AVV612"/>
    <mergeCell ref="AVX612:AVZ612"/>
    <mergeCell ref="AWB612:AWD612"/>
    <mergeCell ref="AWF612:AWH612"/>
    <mergeCell ref="BFP612:BFR612"/>
    <mergeCell ref="BFT612:BFV612"/>
    <mergeCell ref="BFX612:BFZ612"/>
    <mergeCell ref="BGB612:BGD612"/>
    <mergeCell ref="BGF612:BGH612"/>
    <mergeCell ref="BEV612:BEX612"/>
    <mergeCell ref="BEZ612:BFB612"/>
    <mergeCell ref="BFD612:BFF612"/>
    <mergeCell ref="BFH612:BFJ612"/>
    <mergeCell ref="BFL612:BFN612"/>
    <mergeCell ref="BEB612:BED612"/>
    <mergeCell ref="BEF612:BEH612"/>
    <mergeCell ref="BEJ612:BEL612"/>
    <mergeCell ref="BEN612:BEP612"/>
    <mergeCell ref="BER612:BET612"/>
    <mergeCell ref="BDH612:BDJ612"/>
    <mergeCell ref="BDL612:BDN612"/>
    <mergeCell ref="BDP612:BDR612"/>
    <mergeCell ref="BDT612:BDV612"/>
    <mergeCell ref="BDX612:BDZ612"/>
    <mergeCell ref="BCN612:BCP612"/>
    <mergeCell ref="BCR612:BCT612"/>
    <mergeCell ref="BCV612:BCX612"/>
    <mergeCell ref="BCZ612:BDB612"/>
    <mergeCell ref="BDD612:BDF612"/>
    <mergeCell ref="BBT612:BBV612"/>
    <mergeCell ref="BBX612:BBZ612"/>
    <mergeCell ref="BCB612:BCD612"/>
    <mergeCell ref="BCF612:BCH612"/>
    <mergeCell ref="BCJ612:BCL612"/>
    <mergeCell ref="BAZ612:BBB612"/>
    <mergeCell ref="BBD612:BBF612"/>
    <mergeCell ref="BBH612:BBJ612"/>
    <mergeCell ref="BBL612:BBN612"/>
    <mergeCell ref="BBP612:BBR612"/>
    <mergeCell ref="BKZ612:BLB612"/>
    <mergeCell ref="BLD612:BLF612"/>
    <mergeCell ref="BLH612:BLJ612"/>
    <mergeCell ref="BLL612:BLN612"/>
    <mergeCell ref="BLP612:BLR612"/>
    <mergeCell ref="BKF612:BKH612"/>
    <mergeCell ref="BKJ612:BKL612"/>
    <mergeCell ref="BKN612:BKP612"/>
    <mergeCell ref="BKR612:BKT612"/>
    <mergeCell ref="BKV612:BKX612"/>
    <mergeCell ref="BJL612:BJN612"/>
    <mergeCell ref="BJP612:BJR612"/>
    <mergeCell ref="BJT612:BJV612"/>
    <mergeCell ref="BJX612:BJZ612"/>
    <mergeCell ref="BKB612:BKD612"/>
    <mergeCell ref="BIR612:BIT612"/>
    <mergeCell ref="BIV612:BIX612"/>
    <mergeCell ref="BIZ612:BJB612"/>
    <mergeCell ref="BJD612:BJF612"/>
    <mergeCell ref="BJH612:BJJ612"/>
    <mergeCell ref="BHX612:BHZ612"/>
    <mergeCell ref="BIB612:BID612"/>
    <mergeCell ref="BIF612:BIH612"/>
    <mergeCell ref="BIJ612:BIL612"/>
    <mergeCell ref="BIN612:BIP612"/>
    <mergeCell ref="BHD612:BHF612"/>
    <mergeCell ref="BHH612:BHJ612"/>
    <mergeCell ref="BHL612:BHN612"/>
    <mergeCell ref="BHP612:BHR612"/>
    <mergeCell ref="BHT612:BHV612"/>
    <mergeCell ref="BGJ612:BGL612"/>
    <mergeCell ref="BGN612:BGP612"/>
    <mergeCell ref="BGR612:BGT612"/>
    <mergeCell ref="BGV612:BGX612"/>
    <mergeCell ref="BGZ612:BHB612"/>
    <mergeCell ref="BQJ612:BQL612"/>
    <mergeCell ref="BQN612:BQP612"/>
    <mergeCell ref="BQR612:BQT612"/>
    <mergeCell ref="BQV612:BQX612"/>
    <mergeCell ref="BQZ612:BRB612"/>
    <mergeCell ref="BPP612:BPR612"/>
    <mergeCell ref="BPT612:BPV612"/>
    <mergeCell ref="BPX612:BPZ612"/>
    <mergeCell ref="BQB612:BQD612"/>
    <mergeCell ref="BQF612:BQH612"/>
    <mergeCell ref="BOV612:BOX612"/>
    <mergeCell ref="BOZ612:BPB612"/>
    <mergeCell ref="BPD612:BPF612"/>
    <mergeCell ref="BPH612:BPJ612"/>
    <mergeCell ref="BPL612:BPN612"/>
    <mergeCell ref="BOB612:BOD612"/>
    <mergeCell ref="BOF612:BOH612"/>
    <mergeCell ref="BOJ612:BOL612"/>
    <mergeCell ref="BON612:BOP612"/>
    <mergeCell ref="BOR612:BOT612"/>
    <mergeCell ref="BNH612:BNJ612"/>
    <mergeCell ref="BNL612:BNN612"/>
    <mergeCell ref="BNP612:BNR612"/>
    <mergeCell ref="BNT612:BNV612"/>
    <mergeCell ref="BNX612:BNZ612"/>
    <mergeCell ref="BMN612:BMP612"/>
    <mergeCell ref="BMR612:BMT612"/>
    <mergeCell ref="BMV612:BMX612"/>
    <mergeCell ref="BMZ612:BNB612"/>
    <mergeCell ref="BND612:BNF612"/>
    <mergeCell ref="BLT612:BLV612"/>
    <mergeCell ref="BLX612:BLZ612"/>
    <mergeCell ref="BMB612:BMD612"/>
    <mergeCell ref="BMF612:BMH612"/>
    <mergeCell ref="BMJ612:BML612"/>
    <mergeCell ref="BVT612:BVV612"/>
    <mergeCell ref="BVX612:BVZ612"/>
    <mergeCell ref="BWB612:BWD612"/>
    <mergeCell ref="BWF612:BWH612"/>
    <mergeCell ref="BWJ612:BWL612"/>
    <mergeCell ref="BUZ612:BVB612"/>
    <mergeCell ref="BVD612:BVF612"/>
    <mergeCell ref="BVH612:BVJ612"/>
    <mergeCell ref="BVL612:BVN612"/>
    <mergeCell ref="BVP612:BVR612"/>
    <mergeCell ref="BUF612:BUH612"/>
    <mergeCell ref="BUJ612:BUL612"/>
    <mergeCell ref="BUN612:BUP612"/>
    <mergeCell ref="BUR612:BUT612"/>
    <mergeCell ref="BUV612:BUX612"/>
    <mergeCell ref="BTL612:BTN612"/>
    <mergeCell ref="BTP612:BTR612"/>
    <mergeCell ref="BTT612:BTV612"/>
    <mergeCell ref="BTX612:BTZ612"/>
    <mergeCell ref="BUB612:BUD612"/>
    <mergeCell ref="BSR612:BST612"/>
    <mergeCell ref="BSV612:BSX612"/>
    <mergeCell ref="BSZ612:BTB612"/>
    <mergeCell ref="BTD612:BTF612"/>
    <mergeCell ref="BTH612:BTJ612"/>
    <mergeCell ref="BRX612:BRZ612"/>
    <mergeCell ref="BSB612:BSD612"/>
    <mergeCell ref="BSF612:BSH612"/>
    <mergeCell ref="BSJ612:BSL612"/>
    <mergeCell ref="BSN612:BSP612"/>
    <mergeCell ref="BRD612:BRF612"/>
    <mergeCell ref="BRH612:BRJ612"/>
    <mergeCell ref="BRL612:BRN612"/>
    <mergeCell ref="BRP612:BRR612"/>
    <mergeCell ref="BRT612:BRV612"/>
    <mergeCell ref="CBD612:CBF612"/>
    <mergeCell ref="CBH612:CBJ612"/>
    <mergeCell ref="CBL612:CBN612"/>
    <mergeCell ref="CBP612:CBR612"/>
    <mergeCell ref="CBT612:CBV612"/>
    <mergeCell ref="CAJ612:CAL612"/>
    <mergeCell ref="CAN612:CAP612"/>
    <mergeCell ref="CAR612:CAT612"/>
    <mergeCell ref="CAV612:CAX612"/>
    <mergeCell ref="CAZ612:CBB612"/>
    <mergeCell ref="BZP612:BZR612"/>
    <mergeCell ref="BZT612:BZV612"/>
    <mergeCell ref="BZX612:BZZ612"/>
    <mergeCell ref="CAB612:CAD612"/>
    <mergeCell ref="CAF612:CAH612"/>
    <mergeCell ref="BYV612:BYX612"/>
    <mergeCell ref="BYZ612:BZB612"/>
    <mergeCell ref="BZD612:BZF612"/>
    <mergeCell ref="BZH612:BZJ612"/>
    <mergeCell ref="BZL612:BZN612"/>
    <mergeCell ref="BYB612:BYD612"/>
    <mergeCell ref="BYF612:BYH612"/>
    <mergeCell ref="BYJ612:BYL612"/>
    <mergeCell ref="BYN612:BYP612"/>
    <mergeCell ref="BYR612:BYT612"/>
    <mergeCell ref="BXH612:BXJ612"/>
    <mergeCell ref="BXL612:BXN612"/>
    <mergeCell ref="BXP612:BXR612"/>
    <mergeCell ref="BXT612:BXV612"/>
    <mergeCell ref="BXX612:BXZ612"/>
    <mergeCell ref="BWN612:BWP612"/>
    <mergeCell ref="BWR612:BWT612"/>
    <mergeCell ref="BWV612:BWX612"/>
    <mergeCell ref="BWZ612:BXB612"/>
    <mergeCell ref="BXD612:BXF612"/>
    <mergeCell ref="CGN612:CGP612"/>
    <mergeCell ref="CGR612:CGT612"/>
    <mergeCell ref="CGV612:CGX612"/>
    <mergeCell ref="CGZ612:CHB612"/>
    <mergeCell ref="CHD612:CHF612"/>
    <mergeCell ref="CFT612:CFV612"/>
    <mergeCell ref="CFX612:CFZ612"/>
    <mergeCell ref="CGB612:CGD612"/>
    <mergeCell ref="CGF612:CGH612"/>
    <mergeCell ref="CGJ612:CGL612"/>
    <mergeCell ref="CEZ612:CFB612"/>
    <mergeCell ref="CFD612:CFF612"/>
    <mergeCell ref="CFH612:CFJ612"/>
    <mergeCell ref="CFL612:CFN612"/>
    <mergeCell ref="CFP612:CFR612"/>
    <mergeCell ref="CEF612:CEH612"/>
    <mergeCell ref="CEJ612:CEL612"/>
    <mergeCell ref="CEN612:CEP612"/>
    <mergeCell ref="CER612:CET612"/>
    <mergeCell ref="CEV612:CEX612"/>
    <mergeCell ref="CDL612:CDN612"/>
    <mergeCell ref="CDP612:CDR612"/>
    <mergeCell ref="CDT612:CDV612"/>
    <mergeCell ref="CDX612:CDZ612"/>
    <mergeCell ref="CEB612:CED612"/>
    <mergeCell ref="CCR612:CCT612"/>
    <mergeCell ref="CCV612:CCX612"/>
    <mergeCell ref="CCZ612:CDB612"/>
    <mergeCell ref="CDD612:CDF612"/>
    <mergeCell ref="CDH612:CDJ612"/>
    <mergeCell ref="CBX612:CBZ612"/>
    <mergeCell ref="CCB612:CCD612"/>
    <mergeCell ref="CCF612:CCH612"/>
    <mergeCell ref="CCJ612:CCL612"/>
    <mergeCell ref="CCN612:CCP612"/>
    <mergeCell ref="CLX612:CLZ612"/>
    <mergeCell ref="CMB612:CMD612"/>
    <mergeCell ref="CMF612:CMH612"/>
    <mergeCell ref="CMJ612:CML612"/>
    <mergeCell ref="CMN612:CMP612"/>
    <mergeCell ref="CLD612:CLF612"/>
    <mergeCell ref="CLH612:CLJ612"/>
    <mergeCell ref="CLL612:CLN612"/>
    <mergeCell ref="CLP612:CLR612"/>
    <mergeCell ref="CLT612:CLV612"/>
    <mergeCell ref="CKJ612:CKL612"/>
    <mergeCell ref="CKN612:CKP612"/>
    <mergeCell ref="CKR612:CKT612"/>
    <mergeCell ref="CKV612:CKX612"/>
    <mergeCell ref="CKZ612:CLB612"/>
    <mergeCell ref="CJP612:CJR612"/>
    <mergeCell ref="CJT612:CJV612"/>
    <mergeCell ref="CJX612:CJZ612"/>
    <mergeCell ref="CKB612:CKD612"/>
    <mergeCell ref="CKF612:CKH612"/>
    <mergeCell ref="CIV612:CIX612"/>
    <mergeCell ref="CIZ612:CJB612"/>
    <mergeCell ref="CJD612:CJF612"/>
    <mergeCell ref="CJH612:CJJ612"/>
    <mergeCell ref="CJL612:CJN612"/>
    <mergeCell ref="CIB612:CID612"/>
    <mergeCell ref="CIF612:CIH612"/>
    <mergeCell ref="CIJ612:CIL612"/>
    <mergeCell ref="CIN612:CIP612"/>
    <mergeCell ref="CIR612:CIT612"/>
    <mergeCell ref="CHH612:CHJ612"/>
    <mergeCell ref="CHL612:CHN612"/>
    <mergeCell ref="CHP612:CHR612"/>
    <mergeCell ref="CHT612:CHV612"/>
    <mergeCell ref="CHX612:CHZ612"/>
    <mergeCell ref="CRH612:CRJ612"/>
    <mergeCell ref="CRL612:CRN612"/>
    <mergeCell ref="CRP612:CRR612"/>
    <mergeCell ref="CRT612:CRV612"/>
    <mergeCell ref="CRX612:CRZ612"/>
    <mergeCell ref="CQN612:CQP612"/>
    <mergeCell ref="CQR612:CQT612"/>
    <mergeCell ref="CQV612:CQX612"/>
    <mergeCell ref="CQZ612:CRB612"/>
    <mergeCell ref="CRD612:CRF612"/>
    <mergeCell ref="CPT612:CPV612"/>
    <mergeCell ref="CPX612:CPZ612"/>
    <mergeCell ref="CQB612:CQD612"/>
    <mergeCell ref="CQF612:CQH612"/>
    <mergeCell ref="CQJ612:CQL612"/>
    <mergeCell ref="COZ612:CPB612"/>
    <mergeCell ref="CPD612:CPF612"/>
    <mergeCell ref="CPH612:CPJ612"/>
    <mergeCell ref="CPL612:CPN612"/>
    <mergeCell ref="CPP612:CPR612"/>
    <mergeCell ref="COF612:COH612"/>
    <mergeCell ref="COJ612:COL612"/>
    <mergeCell ref="CON612:COP612"/>
    <mergeCell ref="COR612:COT612"/>
    <mergeCell ref="COV612:COX612"/>
    <mergeCell ref="CNL612:CNN612"/>
    <mergeCell ref="CNP612:CNR612"/>
    <mergeCell ref="CNT612:CNV612"/>
    <mergeCell ref="CNX612:CNZ612"/>
    <mergeCell ref="COB612:COD612"/>
    <mergeCell ref="CMR612:CMT612"/>
    <mergeCell ref="CMV612:CMX612"/>
    <mergeCell ref="CMZ612:CNB612"/>
    <mergeCell ref="CND612:CNF612"/>
    <mergeCell ref="CNH612:CNJ612"/>
    <mergeCell ref="CWR612:CWT612"/>
    <mergeCell ref="CWV612:CWX612"/>
    <mergeCell ref="CWZ612:CXB612"/>
    <mergeCell ref="CXD612:CXF612"/>
    <mergeCell ref="CXH612:CXJ612"/>
    <mergeCell ref="CVX612:CVZ612"/>
    <mergeCell ref="CWB612:CWD612"/>
    <mergeCell ref="CWF612:CWH612"/>
    <mergeCell ref="CWJ612:CWL612"/>
    <mergeCell ref="CWN612:CWP612"/>
    <mergeCell ref="CVD612:CVF612"/>
    <mergeCell ref="CVH612:CVJ612"/>
    <mergeCell ref="CVL612:CVN612"/>
    <mergeCell ref="CVP612:CVR612"/>
    <mergeCell ref="CVT612:CVV612"/>
    <mergeCell ref="CUJ612:CUL612"/>
    <mergeCell ref="CUN612:CUP612"/>
    <mergeCell ref="CUR612:CUT612"/>
    <mergeCell ref="CUV612:CUX612"/>
    <mergeCell ref="CUZ612:CVB612"/>
    <mergeCell ref="CTP612:CTR612"/>
    <mergeCell ref="CTT612:CTV612"/>
    <mergeCell ref="CTX612:CTZ612"/>
    <mergeCell ref="CUB612:CUD612"/>
    <mergeCell ref="CUF612:CUH612"/>
    <mergeCell ref="CSV612:CSX612"/>
    <mergeCell ref="CSZ612:CTB612"/>
    <mergeCell ref="CTD612:CTF612"/>
    <mergeCell ref="CTH612:CTJ612"/>
    <mergeCell ref="CTL612:CTN612"/>
    <mergeCell ref="CSB612:CSD612"/>
    <mergeCell ref="CSF612:CSH612"/>
    <mergeCell ref="CSJ612:CSL612"/>
    <mergeCell ref="CSN612:CSP612"/>
    <mergeCell ref="CSR612:CST612"/>
    <mergeCell ref="DCB612:DCD612"/>
    <mergeCell ref="DCF612:DCH612"/>
    <mergeCell ref="DCJ612:DCL612"/>
    <mergeCell ref="DCN612:DCP612"/>
    <mergeCell ref="DCR612:DCT612"/>
    <mergeCell ref="DBH612:DBJ612"/>
    <mergeCell ref="DBL612:DBN612"/>
    <mergeCell ref="DBP612:DBR612"/>
    <mergeCell ref="DBT612:DBV612"/>
    <mergeCell ref="DBX612:DBZ612"/>
    <mergeCell ref="DAN612:DAP612"/>
    <mergeCell ref="DAR612:DAT612"/>
    <mergeCell ref="DAV612:DAX612"/>
    <mergeCell ref="DAZ612:DBB612"/>
    <mergeCell ref="DBD612:DBF612"/>
    <mergeCell ref="CZT612:CZV612"/>
    <mergeCell ref="CZX612:CZZ612"/>
    <mergeCell ref="DAB612:DAD612"/>
    <mergeCell ref="DAF612:DAH612"/>
    <mergeCell ref="DAJ612:DAL612"/>
    <mergeCell ref="CYZ612:CZB612"/>
    <mergeCell ref="CZD612:CZF612"/>
    <mergeCell ref="CZH612:CZJ612"/>
    <mergeCell ref="CZL612:CZN612"/>
    <mergeCell ref="CZP612:CZR612"/>
    <mergeCell ref="CYF612:CYH612"/>
    <mergeCell ref="CYJ612:CYL612"/>
    <mergeCell ref="CYN612:CYP612"/>
    <mergeCell ref="CYR612:CYT612"/>
    <mergeCell ref="CYV612:CYX612"/>
    <mergeCell ref="CXL612:CXN612"/>
    <mergeCell ref="CXP612:CXR612"/>
    <mergeCell ref="CXT612:CXV612"/>
    <mergeCell ref="CXX612:CXZ612"/>
    <mergeCell ref="CYB612:CYD612"/>
    <mergeCell ref="DHL612:DHN612"/>
    <mergeCell ref="DHP612:DHR612"/>
    <mergeCell ref="DHT612:DHV612"/>
    <mergeCell ref="DHX612:DHZ612"/>
    <mergeCell ref="DIB612:DID612"/>
    <mergeCell ref="DGR612:DGT612"/>
    <mergeCell ref="DGV612:DGX612"/>
    <mergeCell ref="DGZ612:DHB612"/>
    <mergeCell ref="DHD612:DHF612"/>
    <mergeCell ref="DHH612:DHJ612"/>
    <mergeCell ref="DFX612:DFZ612"/>
    <mergeCell ref="DGB612:DGD612"/>
    <mergeCell ref="DGF612:DGH612"/>
    <mergeCell ref="DGJ612:DGL612"/>
    <mergeCell ref="DGN612:DGP612"/>
    <mergeCell ref="DFD612:DFF612"/>
    <mergeCell ref="DFH612:DFJ612"/>
    <mergeCell ref="DFL612:DFN612"/>
    <mergeCell ref="DFP612:DFR612"/>
    <mergeCell ref="DFT612:DFV612"/>
    <mergeCell ref="DEJ612:DEL612"/>
    <mergeCell ref="DEN612:DEP612"/>
    <mergeCell ref="DER612:DET612"/>
    <mergeCell ref="DEV612:DEX612"/>
    <mergeCell ref="DEZ612:DFB612"/>
    <mergeCell ref="DDP612:DDR612"/>
    <mergeCell ref="DDT612:DDV612"/>
    <mergeCell ref="DDX612:DDZ612"/>
    <mergeCell ref="DEB612:DED612"/>
    <mergeCell ref="DEF612:DEH612"/>
    <mergeCell ref="DCV612:DCX612"/>
    <mergeCell ref="DCZ612:DDB612"/>
    <mergeCell ref="DDD612:DDF612"/>
    <mergeCell ref="DDH612:DDJ612"/>
    <mergeCell ref="DDL612:DDN612"/>
    <mergeCell ref="DMV612:DMX612"/>
    <mergeCell ref="DMZ612:DNB612"/>
    <mergeCell ref="DND612:DNF612"/>
    <mergeCell ref="DNH612:DNJ612"/>
    <mergeCell ref="DNL612:DNN612"/>
    <mergeCell ref="DMB612:DMD612"/>
    <mergeCell ref="DMF612:DMH612"/>
    <mergeCell ref="DMJ612:DML612"/>
    <mergeCell ref="DMN612:DMP612"/>
    <mergeCell ref="DMR612:DMT612"/>
    <mergeCell ref="DLH612:DLJ612"/>
    <mergeCell ref="DLL612:DLN612"/>
    <mergeCell ref="DLP612:DLR612"/>
    <mergeCell ref="DLT612:DLV612"/>
    <mergeCell ref="DLX612:DLZ612"/>
    <mergeCell ref="DKN612:DKP612"/>
    <mergeCell ref="DKR612:DKT612"/>
    <mergeCell ref="DKV612:DKX612"/>
    <mergeCell ref="DKZ612:DLB612"/>
    <mergeCell ref="DLD612:DLF612"/>
    <mergeCell ref="DJT612:DJV612"/>
    <mergeCell ref="DJX612:DJZ612"/>
    <mergeCell ref="DKB612:DKD612"/>
    <mergeCell ref="DKF612:DKH612"/>
    <mergeCell ref="DKJ612:DKL612"/>
    <mergeCell ref="DIZ612:DJB612"/>
    <mergeCell ref="DJD612:DJF612"/>
    <mergeCell ref="DJH612:DJJ612"/>
    <mergeCell ref="DJL612:DJN612"/>
    <mergeCell ref="DJP612:DJR612"/>
    <mergeCell ref="DIF612:DIH612"/>
    <mergeCell ref="DIJ612:DIL612"/>
    <mergeCell ref="DIN612:DIP612"/>
    <mergeCell ref="DIR612:DIT612"/>
    <mergeCell ref="DIV612:DIX612"/>
    <mergeCell ref="DSF612:DSH612"/>
    <mergeCell ref="DSJ612:DSL612"/>
    <mergeCell ref="DSN612:DSP612"/>
    <mergeCell ref="DSR612:DST612"/>
    <mergeCell ref="DSV612:DSX612"/>
    <mergeCell ref="DRL612:DRN612"/>
    <mergeCell ref="DRP612:DRR612"/>
    <mergeCell ref="DRT612:DRV612"/>
    <mergeCell ref="DRX612:DRZ612"/>
    <mergeCell ref="DSB612:DSD612"/>
    <mergeCell ref="DQR612:DQT612"/>
    <mergeCell ref="DQV612:DQX612"/>
    <mergeCell ref="DQZ612:DRB612"/>
    <mergeCell ref="DRD612:DRF612"/>
    <mergeCell ref="DRH612:DRJ612"/>
    <mergeCell ref="DPX612:DPZ612"/>
    <mergeCell ref="DQB612:DQD612"/>
    <mergeCell ref="DQF612:DQH612"/>
    <mergeCell ref="DQJ612:DQL612"/>
    <mergeCell ref="DQN612:DQP612"/>
    <mergeCell ref="DPD612:DPF612"/>
    <mergeCell ref="DPH612:DPJ612"/>
    <mergeCell ref="DPL612:DPN612"/>
    <mergeCell ref="DPP612:DPR612"/>
    <mergeCell ref="DPT612:DPV612"/>
    <mergeCell ref="DOJ612:DOL612"/>
    <mergeCell ref="DON612:DOP612"/>
    <mergeCell ref="DOR612:DOT612"/>
    <mergeCell ref="DOV612:DOX612"/>
    <mergeCell ref="DOZ612:DPB612"/>
    <mergeCell ref="DNP612:DNR612"/>
    <mergeCell ref="DNT612:DNV612"/>
    <mergeCell ref="DNX612:DNZ612"/>
    <mergeCell ref="DOB612:DOD612"/>
    <mergeCell ref="DOF612:DOH612"/>
    <mergeCell ref="DXP612:DXR612"/>
    <mergeCell ref="DXT612:DXV612"/>
    <mergeCell ref="DXX612:DXZ612"/>
    <mergeCell ref="DYB612:DYD612"/>
    <mergeCell ref="DYF612:DYH612"/>
    <mergeCell ref="DWV612:DWX612"/>
    <mergeCell ref="DWZ612:DXB612"/>
    <mergeCell ref="DXD612:DXF612"/>
    <mergeCell ref="DXH612:DXJ612"/>
    <mergeCell ref="DXL612:DXN612"/>
    <mergeCell ref="DWB612:DWD612"/>
    <mergeCell ref="DWF612:DWH612"/>
    <mergeCell ref="DWJ612:DWL612"/>
    <mergeCell ref="DWN612:DWP612"/>
    <mergeCell ref="DWR612:DWT612"/>
    <mergeCell ref="DVH612:DVJ612"/>
    <mergeCell ref="DVL612:DVN612"/>
    <mergeCell ref="DVP612:DVR612"/>
    <mergeCell ref="DVT612:DVV612"/>
    <mergeCell ref="DVX612:DVZ612"/>
    <mergeCell ref="DUN612:DUP612"/>
    <mergeCell ref="DUR612:DUT612"/>
    <mergeCell ref="DUV612:DUX612"/>
    <mergeCell ref="DUZ612:DVB612"/>
    <mergeCell ref="DVD612:DVF612"/>
    <mergeCell ref="DTT612:DTV612"/>
    <mergeCell ref="DTX612:DTZ612"/>
    <mergeCell ref="DUB612:DUD612"/>
    <mergeCell ref="DUF612:DUH612"/>
    <mergeCell ref="DUJ612:DUL612"/>
    <mergeCell ref="DSZ612:DTB612"/>
    <mergeCell ref="DTD612:DTF612"/>
    <mergeCell ref="DTH612:DTJ612"/>
    <mergeCell ref="DTL612:DTN612"/>
    <mergeCell ref="DTP612:DTR612"/>
    <mergeCell ref="ECZ612:EDB612"/>
    <mergeCell ref="EDD612:EDF612"/>
    <mergeCell ref="EDH612:EDJ612"/>
    <mergeCell ref="EDL612:EDN612"/>
    <mergeCell ref="EDP612:EDR612"/>
    <mergeCell ref="ECF612:ECH612"/>
    <mergeCell ref="ECJ612:ECL612"/>
    <mergeCell ref="ECN612:ECP612"/>
    <mergeCell ref="ECR612:ECT612"/>
    <mergeCell ref="ECV612:ECX612"/>
    <mergeCell ref="EBL612:EBN612"/>
    <mergeCell ref="EBP612:EBR612"/>
    <mergeCell ref="EBT612:EBV612"/>
    <mergeCell ref="EBX612:EBZ612"/>
    <mergeCell ref="ECB612:ECD612"/>
    <mergeCell ref="EAR612:EAT612"/>
    <mergeCell ref="EAV612:EAX612"/>
    <mergeCell ref="EAZ612:EBB612"/>
    <mergeCell ref="EBD612:EBF612"/>
    <mergeCell ref="EBH612:EBJ612"/>
    <mergeCell ref="DZX612:DZZ612"/>
    <mergeCell ref="EAB612:EAD612"/>
    <mergeCell ref="EAF612:EAH612"/>
    <mergeCell ref="EAJ612:EAL612"/>
    <mergeCell ref="EAN612:EAP612"/>
    <mergeCell ref="DZD612:DZF612"/>
    <mergeCell ref="DZH612:DZJ612"/>
    <mergeCell ref="DZL612:DZN612"/>
    <mergeCell ref="DZP612:DZR612"/>
    <mergeCell ref="DZT612:DZV612"/>
    <mergeCell ref="DYJ612:DYL612"/>
    <mergeCell ref="DYN612:DYP612"/>
    <mergeCell ref="DYR612:DYT612"/>
    <mergeCell ref="DYV612:DYX612"/>
    <mergeCell ref="DYZ612:DZB612"/>
    <mergeCell ref="EIJ612:EIL612"/>
    <mergeCell ref="EIN612:EIP612"/>
    <mergeCell ref="EIR612:EIT612"/>
    <mergeCell ref="EIV612:EIX612"/>
    <mergeCell ref="EIZ612:EJB612"/>
    <mergeCell ref="EHP612:EHR612"/>
    <mergeCell ref="EHT612:EHV612"/>
    <mergeCell ref="EHX612:EHZ612"/>
    <mergeCell ref="EIB612:EID612"/>
    <mergeCell ref="EIF612:EIH612"/>
    <mergeCell ref="EGV612:EGX612"/>
    <mergeCell ref="EGZ612:EHB612"/>
    <mergeCell ref="EHD612:EHF612"/>
    <mergeCell ref="EHH612:EHJ612"/>
    <mergeCell ref="EHL612:EHN612"/>
    <mergeCell ref="EGB612:EGD612"/>
    <mergeCell ref="EGF612:EGH612"/>
    <mergeCell ref="EGJ612:EGL612"/>
    <mergeCell ref="EGN612:EGP612"/>
    <mergeCell ref="EGR612:EGT612"/>
    <mergeCell ref="EFH612:EFJ612"/>
    <mergeCell ref="EFL612:EFN612"/>
    <mergeCell ref="EFP612:EFR612"/>
    <mergeCell ref="EFT612:EFV612"/>
    <mergeCell ref="EFX612:EFZ612"/>
    <mergeCell ref="EEN612:EEP612"/>
    <mergeCell ref="EER612:EET612"/>
    <mergeCell ref="EEV612:EEX612"/>
    <mergeCell ref="EEZ612:EFB612"/>
    <mergeCell ref="EFD612:EFF612"/>
    <mergeCell ref="EDT612:EDV612"/>
    <mergeCell ref="EDX612:EDZ612"/>
    <mergeCell ref="EEB612:EED612"/>
    <mergeCell ref="EEF612:EEH612"/>
    <mergeCell ref="EEJ612:EEL612"/>
    <mergeCell ref="ENT612:ENV612"/>
    <mergeCell ref="ENX612:ENZ612"/>
    <mergeCell ref="EOB612:EOD612"/>
    <mergeCell ref="EOF612:EOH612"/>
    <mergeCell ref="EOJ612:EOL612"/>
    <mergeCell ref="EMZ612:ENB612"/>
    <mergeCell ref="END612:ENF612"/>
    <mergeCell ref="ENH612:ENJ612"/>
    <mergeCell ref="ENL612:ENN612"/>
    <mergeCell ref="ENP612:ENR612"/>
    <mergeCell ref="EMF612:EMH612"/>
    <mergeCell ref="EMJ612:EML612"/>
    <mergeCell ref="EMN612:EMP612"/>
    <mergeCell ref="EMR612:EMT612"/>
    <mergeCell ref="EMV612:EMX612"/>
    <mergeCell ref="ELL612:ELN612"/>
    <mergeCell ref="ELP612:ELR612"/>
    <mergeCell ref="ELT612:ELV612"/>
    <mergeCell ref="ELX612:ELZ612"/>
    <mergeCell ref="EMB612:EMD612"/>
    <mergeCell ref="EKR612:EKT612"/>
    <mergeCell ref="EKV612:EKX612"/>
    <mergeCell ref="EKZ612:ELB612"/>
    <mergeCell ref="ELD612:ELF612"/>
    <mergeCell ref="ELH612:ELJ612"/>
    <mergeCell ref="EJX612:EJZ612"/>
    <mergeCell ref="EKB612:EKD612"/>
    <mergeCell ref="EKF612:EKH612"/>
    <mergeCell ref="EKJ612:EKL612"/>
    <mergeCell ref="EKN612:EKP612"/>
    <mergeCell ref="EJD612:EJF612"/>
    <mergeCell ref="EJH612:EJJ612"/>
    <mergeCell ref="EJL612:EJN612"/>
    <mergeCell ref="EJP612:EJR612"/>
    <mergeCell ref="EJT612:EJV612"/>
    <mergeCell ref="ETD612:ETF612"/>
    <mergeCell ref="ETH612:ETJ612"/>
    <mergeCell ref="ETL612:ETN612"/>
    <mergeCell ref="ETP612:ETR612"/>
    <mergeCell ref="ETT612:ETV612"/>
    <mergeCell ref="ESJ612:ESL612"/>
    <mergeCell ref="ESN612:ESP612"/>
    <mergeCell ref="ESR612:EST612"/>
    <mergeCell ref="ESV612:ESX612"/>
    <mergeCell ref="ESZ612:ETB612"/>
    <mergeCell ref="ERP612:ERR612"/>
    <mergeCell ref="ERT612:ERV612"/>
    <mergeCell ref="ERX612:ERZ612"/>
    <mergeCell ref="ESB612:ESD612"/>
    <mergeCell ref="ESF612:ESH612"/>
    <mergeCell ref="EQV612:EQX612"/>
    <mergeCell ref="EQZ612:ERB612"/>
    <mergeCell ref="ERD612:ERF612"/>
    <mergeCell ref="ERH612:ERJ612"/>
    <mergeCell ref="ERL612:ERN612"/>
    <mergeCell ref="EQB612:EQD612"/>
    <mergeCell ref="EQF612:EQH612"/>
    <mergeCell ref="EQJ612:EQL612"/>
    <mergeCell ref="EQN612:EQP612"/>
    <mergeCell ref="EQR612:EQT612"/>
    <mergeCell ref="EPH612:EPJ612"/>
    <mergeCell ref="EPL612:EPN612"/>
    <mergeCell ref="EPP612:EPR612"/>
    <mergeCell ref="EPT612:EPV612"/>
    <mergeCell ref="EPX612:EPZ612"/>
    <mergeCell ref="EON612:EOP612"/>
    <mergeCell ref="EOR612:EOT612"/>
    <mergeCell ref="EOV612:EOX612"/>
    <mergeCell ref="EOZ612:EPB612"/>
    <mergeCell ref="EPD612:EPF612"/>
    <mergeCell ref="EYN612:EYP612"/>
    <mergeCell ref="EYR612:EYT612"/>
    <mergeCell ref="EYV612:EYX612"/>
    <mergeCell ref="EYZ612:EZB612"/>
    <mergeCell ref="EZD612:EZF612"/>
    <mergeCell ref="EXT612:EXV612"/>
    <mergeCell ref="EXX612:EXZ612"/>
    <mergeCell ref="EYB612:EYD612"/>
    <mergeCell ref="EYF612:EYH612"/>
    <mergeCell ref="EYJ612:EYL612"/>
    <mergeCell ref="EWZ612:EXB612"/>
    <mergeCell ref="EXD612:EXF612"/>
    <mergeCell ref="EXH612:EXJ612"/>
    <mergeCell ref="EXL612:EXN612"/>
    <mergeCell ref="EXP612:EXR612"/>
    <mergeCell ref="EWF612:EWH612"/>
    <mergeCell ref="EWJ612:EWL612"/>
    <mergeCell ref="EWN612:EWP612"/>
    <mergeCell ref="EWR612:EWT612"/>
    <mergeCell ref="EWV612:EWX612"/>
    <mergeCell ref="EVL612:EVN612"/>
    <mergeCell ref="EVP612:EVR612"/>
    <mergeCell ref="EVT612:EVV612"/>
    <mergeCell ref="EVX612:EVZ612"/>
    <mergeCell ref="EWB612:EWD612"/>
    <mergeCell ref="EUR612:EUT612"/>
    <mergeCell ref="EUV612:EUX612"/>
    <mergeCell ref="EUZ612:EVB612"/>
    <mergeCell ref="EVD612:EVF612"/>
    <mergeCell ref="EVH612:EVJ612"/>
    <mergeCell ref="ETX612:ETZ612"/>
    <mergeCell ref="EUB612:EUD612"/>
    <mergeCell ref="EUF612:EUH612"/>
    <mergeCell ref="EUJ612:EUL612"/>
    <mergeCell ref="EUN612:EUP612"/>
    <mergeCell ref="FDX612:FDZ612"/>
    <mergeCell ref="FEB612:FED612"/>
    <mergeCell ref="FEF612:FEH612"/>
    <mergeCell ref="FEJ612:FEL612"/>
    <mergeCell ref="FEN612:FEP612"/>
    <mergeCell ref="FDD612:FDF612"/>
    <mergeCell ref="FDH612:FDJ612"/>
    <mergeCell ref="FDL612:FDN612"/>
    <mergeCell ref="FDP612:FDR612"/>
    <mergeCell ref="FDT612:FDV612"/>
    <mergeCell ref="FCJ612:FCL612"/>
    <mergeCell ref="FCN612:FCP612"/>
    <mergeCell ref="FCR612:FCT612"/>
    <mergeCell ref="FCV612:FCX612"/>
    <mergeCell ref="FCZ612:FDB612"/>
    <mergeCell ref="FBP612:FBR612"/>
    <mergeCell ref="FBT612:FBV612"/>
    <mergeCell ref="FBX612:FBZ612"/>
    <mergeCell ref="FCB612:FCD612"/>
    <mergeCell ref="FCF612:FCH612"/>
    <mergeCell ref="FAV612:FAX612"/>
    <mergeCell ref="FAZ612:FBB612"/>
    <mergeCell ref="FBD612:FBF612"/>
    <mergeCell ref="FBH612:FBJ612"/>
    <mergeCell ref="FBL612:FBN612"/>
    <mergeCell ref="FAB612:FAD612"/>
    <mergeCell ref="FAF612:FAH612"/>
    <mergeCell ref="FAJ612:FAL612"/>
    <mergeCell ref="FAN612:FAP612"/>
    <mergeCell ref="FAR612:FAT612"/>
    <mergeCell ref="EZH612:EZJ612"/>
    <mergeCell ref="EZL612:EZN612"/>
    <mergeCell ref="EZP612:EZR612"/>
    <mergeCell ref="EZT612:EZV612"/>
    <mergeCell ref="EZX612:EZZ612"/>
    <mergeCell ref="FJH612:FJJ612"/>
    <mergeCell ref="FJL612:FJN612"/>
    <mergeCell ref="FJP612:FJR612"/>
    <mergeCell ref="FJT612:FJV612"/>
    <mergeCell ref="FJX612:FJZ612"/>
    <mergeCell ref="FIN612:FIP612"/>
    <mergeCell ref="FIR612:FIT612"/>
    <mergeCell ref="FIV612:FIX612"/>
    <mergeCell ref="FIZ612:FJB612"/>
    <mergeCell ref="FJD612:FJF612"/>
    <mergeCell ref="FHT612:FHV612"/>
    <mergeCell ref="FHX612:FHZ612"/>
    <mergeCell ref="FIB612:FID612"/>
    <mergeCell ref="FIF612:FIH612"/>
    <mergeCell ref="FIJ612:FIL612"/>
    <mergeCell ref="FGZ612:FHB612"/>
    <mergeCell ref="FHD612:FHF612"/>
    <mergeCell ref="FHH612:FHJ612"/>
    <mergeCell ref="FHL612:FHN612"/>
    <mergeCell ref="FHP612:FHR612"/>
    <mergeCell ref="FGF612:FGH612"/>
    <mergeCell ref="FGJ612:FGL612"/>
    <mergeCell ref="FGN612:FGP612"/>
    <mergeCell ref="FGR612:FGT612"/>
    <mergeCell ref="FGV612:FGX612"/>
    <mergeCell ref="FFL612:FFN612"/>
    <mergeCell ref="FFP612:FFR612"/>
    <mergeCell ref="FFT612:FFV612"/>
    <mergeCell ref="FFX612:FFZ612"/>
    <mergeCell ref="FGB612:FGD612"/>
    <mergeCell ref="FER612:FET612"/>
    <mergeCell ref="FEV612:FEX612"/>
    <mergeCell ref="FEZ612:FFB612"/>
    <mergeCell ref="FFD612:FFF612"/>
    <mergeCell ref="FFH612:FFJ612"/>
    <mergeCell ref="FOR612:FOT612"/>
    <mergeCell ref="FOV612:FOX612"/>
    <mergeCell ref="FOZ612:FPB612"/>
    <mergeCell ref="FPD612:FPF612"/>
    <mergeCell ref="FPH612:FPJ612"/>
    <mergeCell ref="FNX612:FNZ612"/>
    <mergeCell ref="FOB612:FOD612"/>
    <mergeCell ref="FOF612:FOH612"/>
    <mergeCell ref="FOJ612:FOL612"/>
    <mergeCell ref="FON612:FOP612"/>
    <mergeCell ref="FND612:FNF612"/>
    <mergeCell ref="FNH612:FNJ612"/>
    <mergeCell ref="FNL612:FNN612"/>
    <mergeCell ref="FNP612:FNR612"/>
    <mergeCell ref="FNT612:FNV612"/>
    <mergeCell ref="FMJ612:FML612"/>
    <mergeCell ref="FMN612:FMP612"/>
    <mergeCell ref="FMR612:FMT612"/>
    <mergeCell ref="FMV612:FMX612"/>
    <mergeCell ref="FMZ612:FNB612"/>
    <mergeCell ref="FLP612:FLR612"/>
    <mergeCell ref="FLT612:FLV612"/>
    <mergeCell ref="FLX612:FLZ612"/>
    <mergeCell ref="FMB612:FMD612"/>
    <mergeCell ref="FMF612:FMH612"/>
    <mergeCell ref="FKV612:FKX612"/>
    <mergeCell ref="FKZ612:FLB612"/>
    <mergeCell ref="FLD612:FLF612"/>
    <mergeCell ref="FLH612:FLJ612"/>
    <mergeCell ref="FLL612:FLN612"/>
    <mergeCell ref="FKB612:FKD612"/>
    <mergeCell ref="FKF612:FKH612"/>
    <mergeCell ref="FKJ612:FKL612"/>
    <mergeCell ref="FKN612:FKP612"/>
    <mergeCell ref="FKR612:FKT612"/>
    <mergeCell ref="FUB612:FUD612"/>
    <mergeCell ref="FUF612:FUH612"/>
    <mergeCell ref="FUJ612:FUL612"/>
    <mergeCell ref="FUN612:FUP612"/>
    <mergeCell ref="FUR612:FUT612"/>
    <mergeCell ref="FTH612:FTJ612"/>
    <mergeCell ref="FTL612:FTN612"/>
    <mergeCell ref="FTP612:FTR612"/>
    <mergeCell ref="FTT612:FTV612"/>
    <mergeCell ref="FTX612:FTZ612"/>
    <mergeCell ref="FSN612:FSP612"/>
    <mergeCell ref="FSR612:FST612"/>
    <mergeCell ref="FSV612:FSX612"/>
    <mergeCell ref="FSZ612:FTB612"/>
    <mergeCell ref="FTD612:FTF612"/>
    <mergeCell ref="FRT612:FRV612"/>
    <mergeCell ref="FRX612:FRZ612"/>
    <mergeCell ref="FSB612:FSD612"/>
    <mergeCell ref="FSF612:FSH612"/>
    <mergeCell ref="FSJ612:FSL612"/>
    <mergeCell ref="FQZ612:FRB612"/>
    <mergeCell ref="FRD612:FRF612"/>
    <mergeCell ref="FRH612:FRJ612"/>
    <mergeCell ref="FRL612:FRN612"/>
    <mergeCell ref="FRP612:FRR612"/>
    <mergeCell ref="FQF612:FQH612"/>
    <mergeCell ref="FQJ612:FQL612"/>
    <mergeCell ref="FQN612:FQP612"/>
    <mergeCell ref="FQR612:FQT612"/>
    <mergeCell ref="FQV612:FQX612"/>
    <mergeCell ref="FPL612:FPN612"/>
    <mergeCell ref="FPP612:FPR612"/>
    <mergeCell ref="FPT612:FPV612"/>
    <mergeCell ref="FPX612:FPZ612"/>
    <mergeCell ref="FQB612:FQD612"/>
    <mergeCell ref="FZL612:FZN612"/>
    <mergeCell ref="FZP612:FZR612"/>
    <mergeCell ref="FZT612:FZV612"/>
    <mergeCell ref="FZX612:FZZ612"/>
    <mergeCell ref="GAB612:GAD612"/>
    <mergeCell ref="FYR612:FYT612"/>
    <mergeCell ref="FYV612:FYX612"/>
    <mergeCell ref="FYZ612:FZB612"/>
    <mergeCell ref="FZD612:FZF612"/>
    <mergeCell ref="FZH612:FZJ612"/>
    <mergeCell ref="FXX612:FXZ612"/>
    <mergeCell ref="FYB612:FYD612"/>
    <mergeCell ref="FYF612:FYH612"/>
    <mergeCell ref="FYJ612:FYL612"/>
    <mergeCell ref="FYN612:FYP612"/>
    <mergeCell ref="FXD612:FXF612"/>
    <mergeCell ref="FXH612:FXJ612"/>
    <mergeCell ref="FXL612:FXN612"/>
    <mergeCell ref="FXP612:FXR612"/>
    <mergeCell ref="FXT612:FXV612"/>
    <mergeCell ref="FWJ612:FWL612"/>
    <mergeCell ref="FWN612:FWP612"/>
    <mergeCell ref="FWR612:FWT612"/>
    <mergeCell ref="FWV612:FWX612"/>
    <mergeCell ref="FWZ612:FXB612"/>
    <mergeCell ref="FVP612:FVR612"/>
    <mergeCell ref="FVT612:FVV612"/>
    <mergeCell ref="FVX612:FVZ612"/>
    <mergeCell ref="FWB612:FWD612"/>
    <mergeCell ref="FWF612:FWH612"/>
    <mergeCell ref="FUV612:FUX612"/>
    <mergeCell ref="FUZ612:FVB612"/>
    <mergeCell ref="FVD612:FVF612"/>
    <mergeCell ref="FVH612:FVJ612"/>
    <mergeCell ref="FVL612:FVN612"/>
    <mergeCell ref="GEV612:GEX612"/>
    <mergeCell ref="GEZ612:GFB612"/>
    <mergeCell ref="GFD612:GFF612"/>
    <mergeCell ref="GFH612:GFJ612"/>
    <mergeCell ref="GFL612:GFN612"/>
    <mergeCell ref="GEB612:GED612"/>
    <mergeCell ref="GEF612:GEH612"/>
    <mergeCell ref="GEJ612:GEL612"/>
    <mergeCell ref="GEN612:GEP612"/>
    <mergeCell ref="GER612:GET612"/>
    <mergeCell ref="GDH612:GDJ612"/>
    <mergeCell ref="GDL612:GDN612"/>
    <mergeCell ref="GDP612:GDR612"/>
    <mergeCell ref="GDT612:GDV612"/>
    <mergeCell ref="GDX612:GDZ612"/>
    <mergeCell ref="GCN612:GCP612"/>
    <mergeCell ref="GCR612:GCT612"/>
    <mergeCell ref="GCV612:GCX612"/>
    <mergeCell ref="GCZ612:GDB612"/>
    <mergeCell ref="GDD612:GDF612"/>
    <mergeCell ref="GBT612:GBV612"/>
    <mergeCell ref="GBX612:GBZ612"/>
    <mergeCell ref="GCB612:GCD612"/>
    <mergeCell ref="GCF612:GCH612"/>
    <mergeCell ref="GCJ612:GCL612"/>
    <mergeCell ref="GAZ612:GBB612"/>
    <mergeCell ref="GBD612:GBF612"/>
    <mergeCell ref="GBH612:GBJ612"/>
    <mergeCell ref="GBL612:GBN612"/>
    <mergeCell ref="GBP612:GBR612"/>
    <mergeCell ref="GAF612:GAH612"/>
    <mergeCell ref="GAJ612:GAL612"/>
    <mergeCell ref="GAN612:GAP612"/>
    <mergeCell ref="GAR612:GAT612"/>
    <mergeCell ref="GAV612:GAX612"/>
    <mergeCell ref="GKF612:GKH612"/>
    <mergeCell ref="GKJ612:GKL612"/>
    <mergeCell ref="GKN612:GKP612"/>
    <mergeCell ref="GKR612:GKT612"/>
    <mergeCell ref="GKV612:GKX612"/>
    <mergeCell ref="GJL612:GJN612"/>
    <mergeCell ref="GJP612:GJR612"/>
    <mergeCell ref="GJT612:GJV612"/>
    <mergeCell ref="GJX612:GJZ612"/>
    <mergeCell ref="GKB612:GKD612"/>
    <mergeCell ref="GIR612:GIT612"/>
    <mergeCell ref="GIV612:GIX612"/>
    <mergeCell ref="GIZ612:GJB612"/>
    <mergeCell ref="GJD612:GJF612"/>
    <mergeCell ref="GJH612:GJJ612"/>
    <mergeCell ref="GHX612:GHZ612"/>
    <mergeCell ref="GIB612:GID612"/>
    <mergeCell ref="GIF612:GIH612"/>
    <mergeCell ref="GIJ612:GIL612"/>
    <mergeCell ref="GIN612:GIP612"/>
    <mergeCell ref="GHD612:GHF612"/>
    <mergeCell ref="GHH612:GHJ612"/>
    <mergeCell ref="GHL612:GHN612"/>
    <mergeCell ref="GHP612:GHR612"/>
    <mergeCell ref="GHT612:GHV612"/>
    <mergeCell ref="GGJ612:GGL612"/>
    <mergeCell ref="GGN612:GGP612"/>
    <mergeCell ref="GGR612:GGT612"/>
    <mergeCell ref="GGV612:GGX612"/>
    <mergeCell ref="GGZ612:GHB612"/>
    <mergeCell ref="GFP612:GFR612"/>
    <mergeCell ref="GFT612:GFV612"/>
    <mergeCell ref="GFX612:GFZ612"/>
    <mergeCell ref="GGB612:GGD612"/>
    <mergeCell ref="GGF612:GGH612"/>
    <mergeCell ref="GPP612:GPR612"/>
    <mergeCell ref="GPT612:GPV612"/>
    <mergeCell ref="GPX612:GPZ612"/>
    <mergeCell ref="GQB612:GQD612"/>
    <mergeCell ref="GQF612:GQH612"/>
    <mergeCell ref="GOV612:GOX612"/>
    <mergeCell ref="GOZ612:GPB612"/>
    <mergeCell ref="GPD612:GPF612"/>
    <mergeCell ref="GPH612:GPJ612"/>
    <mergeCell ref="GPL612:GPN612"/>
    <mergeCell ref="GOB612:GOD612"/>
    <mergeCell ref="GOF612:GOH612"/>
    <mergeCell ref="GOJ612:GOL612"/>
    <mergeCell ref="GON612:GOP612"/>
    <mergeCell ref="GOR612:GOT612"/>
    <mergeCell ref="GNH612:GNJ612"/>
    <mergeCell ref="GNL612:GNN612"/>
    <mergeCell ref="GNP612:GNR612"/>
    <mergeCell ref="GNT612:GNV612"/>
    <mergeCell ref="GNX612:GNZ612"/>
    <mergeCell ref="GMN612:GMP612"/>
    <mergeCell ref="GMR612:GMT612"/>
    <mergeCell ref="GMV612:GMX612"/>
    <mergeCell ref="GMZ612:GNB612"/>
    <mergeCell ref="GND612:GNF612"/>
    <mergeCell ref="GLT612:GLV612"/>
    <mergeCell ref="GLX612:GLZ612"/>
    <mergeCell ref="GMB612:GMD612"/>
    <mergeCell ref="GMF612:GMH612"/>
    <mergeCell ref="GMJ612:GML612"/>
    <mergeCell ref="GKZ612:GLB612"/>
    <mergeCell ref="GLD612:GLF612"/>
    <mergeCell ref="GLH612:GLJ612"/>
    <mergeCell ref="GLL612:GLN612"/>
    <mergeCell ref="GLP612:GLR612"/>
    <mergeCell ref="GUZ612:GVB612"/>
    <mergeCell ref="GVD612:GVF612"/>
    <mergeCell ref="GVH612:GVJ612"/>
    <mergeCell ref="GVL612:GVN612"/>
    <mergeCell ref="GVP612:GVR612"/>
    <mergeCell ref="GUF612:GUH612"/>
    <mergeCell ref="GUJ612:GUL612"/>
    <mergeCell ref="GUN612:GUP612"/>
    <mergeCell ref="GUR612:GUT612"/>
    <mergeCell ref="GUV612:GUX612"/>
    <mergeCell ref="GTL612:GTN612"/>
    <mergeCell ref="GTP612:GTR612"/>
    <mergeCell ref="GTT612:GTV612"/>
    <mergeCell ref="GTX612:GTZ612"/>
    <mergeCell ref="GUB612:GUD612"/>
    <mergeCell ref="GSR612:GST612"/>
    <mergeCell ref="GSV612:GSX612"/>
    <mergeCell ref="GSZ612:GTB612"/>
    <mergeCell ref="GTD612:GTF612"/>
    <mergeCell ref="GTH612:GTJ612"/>
    <mergeCell ref="GRX612:GRZ612"/>
    <mergeCell ref="GSB612:GSD612"/>
    <mergeCell ref="GSF612:GSH612"/>
    <mergeCell ref="GSJ612:GSL612"/>
    <mergeCell ref="GSN612:GSP612"/>
    <mergeCell ref="GRD612:GRF612"/>
    <mergeCell ref="GRH612:GRJ612"/>
    <mergeCell ref="GRL612:GRN612"/>
    <mergeCell ref="GRP612:GRR612"/>
    <mergeCell ref="GRT612:GRV612"/>
    <mergeCell ref="GQJ612:GQL612"/>
    <mergeCell ref="GQN612:GQP612"/>
    <mergeCell ref="GQR612:GQT612"/>
    <mergeCell ref="GQV612:GQX612"/>
    <mergeCell ref="GQZ612:GRB612"/>
    <mergeCell ref="HAJ612:HAL612"/>
    <mergeCell ref="HAN612:HAP612"/>
    <mergeCell ref="HAR612:HAT612"/>
    <mergeCell ref="HAV612:HAX612"/>
    <mergeCell ref="HAZ612:HBB612"/>
    <mergeCell ref="GZP612:GZR612"/>
    <mergeCell ref="GZT612:GZV612"/>
    <mergeCell ref="GZX612:GZZ612"/>
    <mergeCell ref="HAB612:HAD612"/>
    <mergeCell ref="HAF612:HAH612"/>
    <mergeCell ref="GYV612:GYX612"/>
    <mergeCell ref="GYZ612:GZB612"/>
    <mergeCell ref="GZD612:GZF612"/>
    <mergeCell ref="GZH612:GZJ612"/>
    <mergeCell ref="GZL612:GZN612"/>
    <mergeCell ref="GYB612:GYD612"/>
    <mergeCell ref="GYF612:GYH612"/>
    <mergeCell ref="GYJ612:GYL612"/>
    <mergeCell ref="GYN612:GYP612"/>
    <mergeCell ref="GYR612:GYT612"/>
    <mergeCell ref="GXH612:GXJ612"/>
    <mergeCell ref="GXL612:GXN612"/>
    <mergeCell ref="GXP612:GXR612"/>
    <mergeCell ref="GXT612:GXV612"/>
    <mergeCell ref="GXX612:GXZ612"/>
    <mergeCell ref="GWN612:GWP612"/>
    <mergeCell ref="GWR612:GWT612"/>
    <mergeCell ref="GWV612:GWX612"/>
    <mergeCell ref="GWZ612:GXB612"/>
    <mergeCell ref="GXD612:GXF612"/>
    <mergeCell ref="GVT612:GVV612"/>
    <mergeCell ref="GVX612:GVZ612"/>
    <mergeCell ref="GWB612:GWD612"/>
    <mergeCell ref="GWF612:GWH612"/>
    <mergeCell ref="GWJ612:GWL612"/>
    <mergeCell ref="HFT612:HFV612"/>
    <mergeCell ref="HFX612:HFZ612"/>
    <mergeCell ref="HGB612:HGD612"/>
    <mergeCell ref="HGF612:HGH612"/>
    <mergeCell ref="HGJ612:HGL612"/>
    <mergeCell ref="HEZ612:HFB612"/>
    <mergeCell ref="HFD612:HFF612"/>
    <mergeCell ref="HFH612:HFJ612"/>
    <mergeCell ref="HFL612:HFN612"/>
    <mergeCell ref="HFP612:HFR612"/>
    <mergeCell ref="HEF612:HEH612"/>
    <mergeCell ref="HEJ612:HEL612"/>
    <mergeCell ref="HEN612:HEP612"/>
    <mergeCell ref="HER612:HET612"/>
    <mergeCell ref="HEV612:HEX612"/>
    <mergeCell ref="HDL612:HDN612"/>
    <mergeCell ref="HDP612:HDR612"/>
    <mergeCell ref="HDT612:HDV612"/>
    <mergeCell ref="HDX612:HDZ612"/>
    <mergeCell ref="HEB612:HED612"/>
    <mergeCell ref="HCR612:HCT612"/>
    <mergeCell ref="HCV612:HCX612"/>
    <mergeCell ref="HCZ612:HDB612"/>
    <mergeCell ref="HDD612:HDF612"/>
    <mergeCell ref="HDH612:HDJ612"/>
    <mergeCell ref="HBX612:HBZ612"/>
    <mergeCell ref="HCB612:HCD612"/>
    <mergeCell ref="HCF612:HCH612"/>
    <mergeCell ref="HCJ612:HCL612"/>
    <mergeCell ref="HCN612:HCP612"/>
    <mergeCell ref="HBD612:HBF612"/>
    <mergeCell ref="HBH612:HBJ612"/>
    <mergeCell ref="HBL612:HBN612"/>
    <mergeCell ref="HBP612:HBR612"/>
    <mergeCell ref="HBT612:HBV612"/>
    <mergeCell ref="HLD612:HLF612"/>
    <mergeCell ref="HLH612:HLJ612"/>
    <mergeCell ref="HLL612:HLN612"/>
    <mergeCell ref="HLP612:HLR612"/>
    <mergeCell ref="HLT612:HLV612"/>
    <mergeCell ref="HKJ612:HKL612"/>
    <mergeCell ref="HKN612:HKP612"/>
    <mergeCell ref="HKR612:HKT612"/>
    <mergeCell ref="HKV612:HKX612"/>
    <mergeCell ref="HKZ612:HLB612"/>
    <mergeCell ref="HJP612:HJR612"/>
    <mergeCell ref="HJT612:HJV612"/>
    <mergeCell ref="HJX612:HJZ612"/>
    <mergeCell ref="HKB612:HKD612"/>
    <mergeCell ref="HKF612:HKH612"/>
    <mergeCell ref="HIV612:HIX612"/>
    <mergeCell ref="HIZ612:HJB612"/>
    <mergeCell ref="HJD612:HJF612"/>
    <mergeCell ref="HJH612:HJJ612"/>
    <mergeCell ref="HJL612:HJN612"/>
    <mergeCell ref="HIB612:HID612"/>
    <mergeCell ref="HIF612:HIH612"/>
    <mergeCell ref="HIJ612:HIL612"/>
    <mergeCell ref="HIN612:HIP612"/>
    <mergeCell ref="HIR612:HIT612"/>
    <mergeCell ref="HHH612:HHJ612"/>
    <mergeCell ref="HHL612:HHN612"/>
    <mergeCell ref="HHP612:HHR612"/>
    <mergeCell ref="HHT612:HHV612"/>
    <mergeCell ref="HHX612:HHZ612"/>
    <mergeCell ref="HGN612:HGP612"/>
    <mergeCell ref="HGR612:HGT612"/>
    <mergeCell ref="HGV612:HGX612"/>
    <mergeCell ref="HGZ612:HHB612"/>
    <mergeCell ref="HHD612:HHF612"/>
    <mergeCell ref="HQN612:HQP612"/>
    <mergeCell ref="HQR612:HQT612"/>
    <mergeCell ref="HQV612:HQX612"/>
    <mergeCell ref="HQZ612:HRB612"/>
    <mergeCell ref="HRD612:HRF612"/>
    <mergeCell ref="HPT612:HPV612"/>
    <mergeCell ref="HPX612:HPZ612"/>
    <mergeCell ref="HQB612:HQD612"/>
    <mergeCell ref="HQF612:HQH612"/>
    <mergeCell ref="HQJ612:HQL612"/>
    <mergeCell ref="HOZ612:HPB612"/>
    <mergeCell ref="HPD612:HPF612"/>
    <mergeCell ref="HPH612:HPJ612"/>
    <mergeCell ref="HPL612:HPN612"/>
    <mergeCell ref="HPP612:HPR612"/>
    <mergeCell ref="HOF612:HOH612"/>
    <mergeCell ref="HOJ612:HOL612"/>
    <mergeCell ref="HON612:HOP612"/>
    <mergeCell ref="HOR612:HOT612"/>
    <mergeCell ref="HOV612:HOX612"/>
    <mergeCell ref="HNL612:HNN612"/>
    <mergeCell ref="HNP612:HNR612"/>
    <mergeCell ref="HNT612:HNV612"/>
    <mergeCell ref="HNX612:HNZ612"/>
    <mergeCell ref="HOB612:HOD612"/>
    <mergeCell ref="HMR612:HMT612"/>
    <mergeCell ref="HMV612:HMX612"/>
    <mergeCell ref="HMZ612:HNB612"/>
    <mergeCell ref="HND612:HNF612"/>
    <mergeCell ref="HNH612:HNJ612"/>
    <mergeCell ref="HLX612:HLZ612"/>
    <mergeCell ref="HMB612:HMD612"/>
    <mergeCell ref="HMF612:HMH612"/>
    <mergeCell ref="HMJ612:HML612"/>
    <mergeCell ref="HMN612:HMP612"/>
    <mergeCell ref="HVX612:HVZ612"/>
    <mergeCell ref="HWB612:HWD612"/>
    <mergeCell ref="HWF612:HWH612"/>
    <mergeCell ref="HWJ612:HWL612"/>
    <mergeCell ref="HWN612:HWP612"/>
    <mergeCell ref="HVD612:HVF612"/>
    <mergeCell ref="HVH612:HVJ612"/>
    <mergeCell ref="HVL612:HVN612"/>
    <mergeCell ref="HVP612:HVR612"/>
    <mergeCell ref="HVT612:HVV612"/>
    <mergeCell ref="HUJ612:HUL612"/>
    <mergeCell ref="HUN612:HUP612"/>
    <mergeCell ref="HUR612:HUT612"/>
    <mergeCell ref="HUV612:HUX612"/>
    <mergeCell ref="HUZ612:HVB612"/>
    <mergeCell ref="HTP612:HTR612"/>
    <mergeCell ref="HTT612:HTV612"/>
    <mergeCell ref="HTX612:HTZ612"/>
    <mergeCell ref="HUB612:HUD612"/>
    <mergeCell ref="HUF612:HUH612"/>
    <mergeCell ref="HSV612:HSX612"/>
    <mergeCell ref="HSZ612:HTB612"/>
    <mergeCell ref="HTD612:HTF612"/>
    <mergeCell ref="HTH612:HTJ612"/>
    <mergeCell ref="HTL612:HTN612"/>
    <mergeCell ref="HSB612:HSD612"/>
    <mergeCell ref="HSF612:HSH612"/>
    <mergeCell ref="HSJ612:HSL612"/>
    <mergeCell ref="HSN612:HSP612"/>
    <mergeCell ref="HSR612:HST612"/>
    <mergeCell ref="HRH612:HRJ612"/>
    <mergeCell ref="HRL612:HRN612"/>
    <mergeCell ref="HRP612:HRR612"/>
    <mergeCell ref="HRT612:HRV612"/>
    <mergeCell ref="HRX612:HRZ612"/>
    <mergeCell ref="IBH612:IBJ612"/>
    <mergeCell ref="IBL612:IBN612"/>
    <mergeCell ref="IBP612:IBR612"/>
    <mergeCell ref="IBT612:IBV612"/>
    <mergeCell ref="IBX612:IBZ612"/>
    <mergeCell ref="IAN612:IAP612"/>
    <mergeCell ref="IAR612:IAT612"/>
    <mergeCell ref="IAV612:IAX612"/>
    <mergeCell ref="IAZ612:IBB612"/>
    <mergeCell ref="IBD612:IBF612"/>
    <mergeCell ref="HZT612:HZV612"/>
    <mergeCell ref="HZX612:HZZ612"/>
    <mergeCell ref="IAB612:IAD612"/>
    <mergeCell ref="IAF612:IAH612"/>
    <mergeCell ref="IAJ612:IAL612"/>
    <mergeCell ref="HYZ612:HZB612"/>
    <mergeCell ref="HZD612:HZF612"/>
    <mergeCell ref="HZH612:HZJ612"/>
    <mergeCell ref="HZL612:HZN612"/>
    <mergeCell ref="HZP612:HZR612"/>
    <mergeCell ref="HYF612:HYH612"/>
    <mergeCell ref="HYJ612:HYL612"/>
    <mergeCell ref="HYN612:HYP612"/>
    <mergeCell ref="HYR612:HYT612"/>
    <mergeCell ref="HYV612:HYX612"/>
    <mergeCell ref="HXL612:HXN612"/>
    <mergeCell ref="HXP612:HXR612"/>
    <mergeCell ref="HXT612:HXV612"/>
    <mergeCell ref="HXX612:HXZ612"/>
    <mergeCell ref="HYB612:HYD612"/>
    <mergeCell ref="HWR612:HWT612"/>
    <mergeCell ref="HWV612:HWX612"/>
    <mergeCell ref="HWZ612:HXB612"/>
    <mergeCell ref="HXD612:HXF612"/>
    <mergeCell ref="HXH612:HXJ612"/>
    <mergeCell ref="IGR612:IGT612"/>
    <mergeCell ref="IGV612:IGX612"/>
    <mergeCell ref="IGZ612:IHB612"/>
    <mergeCell ref="IHD612:IHF612"/>
    <mergeCell ref="IHH612:IHJ612"/>
    <mergeCell ref="IFX612:IFZ612"/>
    <mergeCell ref="IGB612:IGD612"/>
    <mergeCell ref="IGF612:IGH612"/>
    <mergeCell ref="IGJ612:IGL612"/>
    <mergeCell ref="IGN612:IGP612"/>
    <mergeCell ref="IFD612:IFF612"/>
    <mergeCell ref="IFH612:IFJ612"/>
    <mergeCell ref="IFL612:IFN612"/>
    <mergeCell ref="IFP612:IFR612"/>
    <mergeCell ref="IFT612:IFV612"/>
    <mergeCell ref="IEJ612:IEL612"/>
    <mergeCell ref="IEN612:IEP612"/>
    <mergeCell ref="IER612:IET612"/>
    <mergeCell ref="IEV612:IEX612"/>
    <mergeCell ref="IEZ612:IFB612"/>
    <mergeCell ref="IDP612:IDR612"/>
    <mergeCell ref="IDT612:IDV612"/>
    <mergeCell ref="IDX612:IDZ612"/>
    <mergeCell ref="IEB612:IED612"/>
    <mergeCell ref="IEF612:IEH612"/>
    <mergeCell ref="ICV612:ICX612"/>
    <mergeCell ref="ICZ612:IDB612"/>
    <mergeCell ref="IDD612:IDF612"/>
    <mergeCell ref="IDH612:IDJ612"/>
    <mergeCell ref="IDL612:IDN612"/>
    <mergeCell ref="ICB612:ICD612"/>
    <mergeCell ref="ICF612:ICH612"/>
    <mergeCell ref="ICJ612:ICL612"/>
    <mergeCell ref="ICN612:ICP612"/>
    <mergeCell ref="ICR612:ICT612"/>
    <mergeCell ref="IMB612:IMD612"/>
    <mergeCell ref="IMF612:IMH612"/>
    <mergeCell ref="IMJ612:IML612"/>
    <mergeCell ref="IMN612:IMP612"/>
    <mergeCell ref="IMR612:IMT612"/>
    <mergeCell ref="ILH612:ILJ612"/>
    <mergeCell ref="ILL612:ILN612"/>
    <mergeCell ref="ILP612:ILR612"/>
    <mergeCell ref="ILT612:ILV612"/>
    <mergeCell ref="ILX612:ILZ612"/>
    <mergeCell ref="IKN612:IKP612"/>
    <mergeCell ref="IKR612:IKT612"/>
    <mergeCell ref="IKV612:IKX612"/>
    <mergeCell ref="IKZ612:ILB612"/>
    <mergeCell ref="ILD612:ILF612"/>
    <mergeCell ref="IJT612:IJV612"/>
    <mergeCell ref="IJX612:IJZ612"/>
    <mergeCell ref="IKB612:IKD612"/>
    <mergeCell ref="IKF612:IKH612"/>
    <mergeCell ref="IKJ612:IKL612"/>
    <mergeCell ref="IIZ612:IJB612"/>
    <mergeCell ref="IJD612:IJF612"/>
    <mergeCell ref="IJH612:IJJ612"/>
    <mergeCell ref="IJL612:IJN612"/>
    <mergeCell ref="IJP612:IJR612"/>
    <mergeCell ref="IIF612:IIH612"/>
    <mergeCell ref="IIJ612:IIL612"/>
    <mergeCell ref="IIN612:IIP612"/>
    <mergeCell ref="IIR612:IIT612"/>
    <mergeCell ref="IIV612:IIX612"/>
    <mergeCell ref="IHL612:IHN612"/>
    <mergeCell ref="IHP612:IHR612"/>
    <mergeCell ref="IHT612:IHV612"/>
    <mergeCell ref="IHX612:IHZ612"/>
    <mergeCell ref="IIB612:IID612"/>
    <mergeCell ref="IRL612:IRN612"/>
    <mergeCell ref="IRP612:IRR612"/>
    <mergeCell ref="IRT612:IRV612"/>
    <mergeCell ref="IRX612:IRZ612"/>
    <mergeCell ref="ISB612:ISD612"/>
    <mergeCell ref="IQR612:IQT612"/>
    <mergeCell ref="IQV612:IQX612"/>
    <mergeCell ref="IQZ612:IRB612"/>
    <mergeCell ref="IRD612:IRF612"/>
    <mergeCell ref="IRH612:IRJ612"/>
    <mergeCell ref="IPX612:IPZ612"/>
    <mergeCell ref="IQB612:IQD612"/>
    <mergeCell ref="IQF612:IQH612"/>
    <mergeCell ref="IQJ612:IQL612"/>
    <mergeCell ref="IQN612:IQP612"/>
    <mergeCell ref="IPD612:IPF612"/>
    <mergeCell ref="IPH612:IPJ612"/>
    <mergeCell ref="IPL612:IPN612"/>
    <mergeCell ref="IPP612:IPR612"/>
    <mergeCell ref="IPT612:IPV612"/>
    <mergeCell ref="IOJ612:IOL612"/>
    <mergeCell ref="ION612:IOP612"/>
    <mergeCell ref="IOR612:IOT612"/>
    <mergeCell ref="IOV612:IOX612"/>
    <mergeCell ref="IOZ612:IPB612"/>
    <mergeCell ref="INP612:INR612"/>
    <mergeCell ref="INT612:INV612"/>
    <mergeCell ref="INX612:INZ612"/>
    <mergeCell ref="IOB612:IOD612"/>
    <mergeCell ref="IOF612:IOH612"/>
    <mergeCell ref="IMV612:IMX612"/>
    <mergeCell ref="IMZ612:INB612"/>
    <mergeCell ref="IND612:INF612"/>
    <mergeCell ref="INH612:INJ612"/>
    <mergeCell ref="INL612:INN612"/>
    <mergeCell ref="IWV612:IWX612"/>
    <mergeCell ref="IWZ612:IXB612"/>
    <mergeCell ref="IXD612:IXF612"/>
    <mergeCell ref="IXH612:IXJ612"/>
    <mergeCell ref="IXL612:IXN612"/>
    <mergeCell ref="IWB612:IWD612"/>
    <mergeCell ref="IWF612:IWH612"/>
    <mergeCell ref="IWJ612:IWL612"/>
    <mergeCell ref="IWN612:IWP612"/>
    <mergeCell ref="IWR612:IWT612"/>
    <mergeCell ref="IVH612:IVJ612"/>
    <mergeCell ref="IVL612:IVN612"/>
    <mergeCell ref="IVP612:IVR612"/>
    <mergeCell ref="IVT612:IVV612"/>
    <mergeCell ref="IVX612:IVZ612"/>
    <mergeCell ref="IUN612:IUP612"/>
    <mergeCell ref="IUR612:IUT612"/>
    <mergeCell ref="IUV612:IUX612"/>
    <mergeCell ref="IUZ612:IVB612"/>
    <mergeCell ref="IVD612:IVF612"/>
    <mergeCell ref="ITT612:ITV612"/>
    <mergeCell ref="ITX612:ITZ612"/>
    <mergeCell ref="IUB612:IUD612"/>
    <mergeCell ref="IUF612:IUH612"/>
    <mergeCell ref="IUJ612:IUL612"/>
    <mergeCell ref="ISZ612:ITB612"/>
    <mergeCell ref="ITD612:ITF612"/>
    <mergeCell ref="ITH612:ITJ612"/>
    <mergeCell ref="ITL612:ITN612"/>
    <mergeCell ref="ITP612:ITR612"/>
    <mergeCell ref="ISF612:ISH612"/>
    <mergeCell ref="ISJ612:ISL612"/>
    <mergeCell ref="ISN612:ISP612"/>
    <mergeCell ref="ISR612:IST612"/>
    <mergeCell ref="ISV612:ISX612"/>
    <mergeCell ref="JCF612:JCH612"/>
    <mergeCell ref="JCJ612:JCL612"/>
    <mergeCell ref="JCN612:JCP612"/>
    <mergeCell ref="JCR612:JCT612"/>
    <mergeCell ref="JCV612:JCX612"/>
    <mergeCell ref="JBL612:JBN612"/>
    <mergeCell ref="JBP612:JBR612"/>
    <mergeCell ref="JBT612:JBV612"/>
    <mergeCell ref="JBX612:JBZ612"/>
    <mergeCell ref="JCB612:JCD612"/>
    <mergeCell ref="JAR612:JAT612"/>
    <mergeCell ref="JAV612:JAX612"/>
    <mergeCell ref="JAZ612:JBB612"/>
    <mergeCell ref="JBD612:JBF612"/>
    <mergeCell ref="JBH612:JBJ612"/>
    <mergeCell ref="IZX612:IZZ612"/>
    <mergeCell ref="JAB612:JAD612"/>
    <mergeCell ref="JAF612:JAH612"/>
    <mergeCell ref="JAJ612:JAL612"/>
    <mergeCell ref="JAN612:JAP612"/>
    <mergeCell ref="IZD612:IZF612"/>
    <mergeCell ref="IZH612:IZJ612"/>
    <mergeCell ref="IZL612:IZN612"/>
    <mergeCell ref="IZP612:IZR612"/>
    <mergeCell ref="IZT612:IZV612"/>
    <mergeCell ref="IYJ612:IYL612"/>
    <mergeCell ref="IYN612:IYP612"/>
    <mergeCell ref="IYR612:IYT612"/>
    <mergeCell ref="IYV612:IYX612"/>
    <mergeCell ref="IYZ612:IZB612"/>
    <mergeCell ref="IXP612:IXR612"/>
    <mergeCell ref="IXT612:IXV612"/>
    <mergeCell ref="IXX612:IXZ612"/>
    <mergeCell ref="IYB612:IYD612"/>
    <mergeCell ref="IYF612:IYH612"/>
    <mergeCell ref="JHP612:JHR612"/>
    <mergeCell ref="JHT612:JHV612"/>
    <mergeCell ref="JHX612:JHZ612"/>
    <mergeCell ref="JIB612:JID612"/>
    <mergeCell ref="JIF612:JIH612"/>
    <mergeCell ref="JGV612:JGX612"/>
    <mergeCell ref="JGZ612:JHB612"/>
    <mergeCell ref="JHD612:JHF612"/>
    <mergeCell ref="JHH612:JHJ612"/>
    <mergeCell ref="JHL612:JHN612"/>
    <mergeCell ref="JGB612:JGD612"/>
    <mergeCell ref="JGF612:JGH612"/>
    <mergeCell ref="JGJ612:JGL612"/>
    <mergeCell ref="JGN612:JGP612"/>
    <mergeCell ref="JGR612:JGT612"/>
    <mergeCell ref="JFH612:JFJ612"/>
    <mergeCell ref="JFL612:JFN612"/>
    <mergeCell ref="JFP612:JFR612"/>
    <mergeCell ref="JFT612:JFV612"/>
    <mergeCell ref="JFX612:JFZ612"/>
    <mergeCell ref="JEN612:JEP612"/>
    <mergeCell ref="JER612:JET612"/>
    <mergeCell ref="JEV612:JEX612"/>
    <mergeCell ref="JEZ612:JFB612"/>
    <mergeCell ref="JFD612:JFF612"/>
    <mergeCell ref="JDT612:JDV612"/>
    <mergeCell ref="JDX612:JDZ612"/>
    <mergeCell ref="JEB612:JED612"/>
    <mergeCell ref="JEF612:JEH612"/>
    <mergeCell ref="JEJ612:JEL612"/>
    <mergeCell ref="JCZ612:JDB612"/>
    <mergeCell ref="JDD612:JDF612"/>
    <mergeCell ref="JDH612:JDJ612"/>
    <mergeCell ref="JDL612:JDN612"/>
    <mergeCell ref="JDP612:JDR612"/>
    <mergeCell ref="JMZ612:JNB612"/>
    <mergeCell ref="JND612:JNF612"/>
    <mergeCell ref="JNH612:JNJ612"/>
    <mergeCell ref="JNL612:JNN612"/>
    <mergeCell ref="JNP612:JNR612"/>
    <mergeCell ref="JMF612:JMH612"/>
    <mergeCell ref="JMJ612:JML612"/>
    <mergeCell ref="JMN612:JMP612"/>
    <mergeCell ref="JMR612:JMT612"/>
    <mergeCell ref="JMV612:JMX612"/>
    <mergeCell ref="JLL612:JLN612"/>
    <mergeCell ref="JLP612:JLR612"/>
    <mergeCell ref="JLT612:JLV612"/>
    <mergeCell ref="JLX612:JLZ612"/>
    <mergeCell ref="JMB612:JMD612"/>
    <mergeCell ref="JKR612:JKT612"/>
    <mergeCell ref="JKV612:JKX612"/>
    <mergeCell ref="JKZ612:JLB612"/>
    <mergeCell ref="JLD612:JLF612"/>
    <mergeCell ref="JLH612:JLJ612"/>
    <mergeCell ref="JJX612:JJZ612"/>
    <mergeCell ref="JKB612:JKD612"/>
    <mergeCell ref="JKF612:JKH612"/>
    <mergeCell ref="JKJ612:JKL612"/>
    <mergeCell ref="JKN612:JKP612"/>
    <mergeCell ref="JJD612:JJF612"/>
    <mergeCell ref="JJH612:JJJ612"/>
    <mergeCell ref="JJL612:JJN612"/>
    <mergeCell ref="JJP612:JJR612"/>
    <mergeCell ref="JJT612:JJV612"/>
    <mergeCell ref="JIJ612:JIL612"/>
    <mergeCell ref="JIN612:JIP612"/>
    <mergeCell ref="JIR612:JIT612"/>
    <mergeCell ref="JIV612:JIX612"/>
    <mergeCell ref="JIZ612:JJB612"/>
    <mergeCell ref="JSJ612:JSL612"/>
    <mergeCell ref="JSN612:JSP612"/>
    <mergeCell ref="JSR612:JST612"/>
    <mergeCell ref="JSV612:JSX612"/>
    <mergeCell ref="JSZ612:JTB612"/>
    <mergeCell ref="JRP612:JRR612"/>
    <mergeCell ref="JRT612:JRV612"/>
    <mergeCell ref="JRX612:JRZ612"/>
    <mergeCell ref="JSB612:JSD612"/>
    <mergeCell ref="JSF612:JSH612"/>
    <mergeCell ref="JQV612:JQX612"/>
    <mergeCell ref="JQZ612:JRB612"/>
    <mergeCell ref="JRD612:JRF612"/>
    <mergeCell ref="JRH612:JRJ612"/>
    <mergeCell ref="JRL612:JRN612"/>
    <mergeCell ref="JQB612:JQD612"/>
    <mergeCell ref="JQF612:JQH612"/>
    <mergeCell ref="JQJ612:JQL612"/>
    <mergeCell ref="JQN612:JQP612"/>
    <mergeCell ref="JQR612:JQT612"/>
    <mergeCell ref="JPH612:JPJ612"/>
    <mergeCell ref="JPL612:JPN612"/>
    <mergeCell ref="JPP612:JPR612"/>
    <mergeCell ref="JPT612:JPV612"/>
    <mergeCell ref="JPX612:JPZ612"/>
    <mergeCell ref="JON612:JOP612"/>
    <mergeCell ref="JOR612:JOT612"/>
    <mergeCell ref="JOV612:JOX612"/>
    <mergeCell ref="JOZ612:JPB612"/>
    <mergeCell ref="JPD612:JPF612"/>
    <mergeCell ref="JNT612:JNV612"/>
    <mergeCell ref="JNX612:JNZ612"/>
    <mergeCell ref="JOB612:JOD612"/>
    <mergeCell ref="JOF612:JOH612"/>
    <mergeCell ref="JOJ612:JOL612"/>
    <mergeCell ref="JXT612:JXV612"/>
    <mergeCell ref="JXX612:JXZ612"/>
    <mergeCell ref="JYB612:JYD612"/>
    <mergeCell ref="JYF612:JYH612"/>
    <mergeCell ref="JYJ612:JYL612"/>
    <mergeCell ref="JWZ612:JXB612"/>
    <mergeCell ref="JXD612:JXF612"/>
    <mergeCell ref="JXH612:JXJ612"/>
    <mergeCell ref="JXL612:JXN612"/>
    <mergeCell ref="JXP612:JXR612"/>
    <mergeCell ref="JWF612:JWH612"/>
    <mergeCell ref="JWJ612:JWL612"/>
    <mergeCell ref="JWN612:JWP612"/>
    <mergeCell ref="JWR612:JWT612"/>
    <mergeCell ref="JWV612:JWX612"/>
    <mergeCell ref="JVL612:JVN612"/>
    <mergeCell ref="JVP612:JVR612"/>
    <mergeCell ref="JVT612:JVV612"/>
    <mergeCell ref="JVX612:JVZ612"/>
    <mergeCell ref="JWB612:JWD612"/>
    <mergeCell ref="JUR612:JUT612"/>
    <mergeCell ref="JUV612:JUX612"/>
    <mergeCell ref="JUZ612:JVB612"/>
    <mergeCell ref="JVD612:JVF612"/>
    <mergeCell ref="JVH612:JVJ612"/>
    <mergeCell ref="JTX612:JTZ612"/>
    <mergeCell ref="JUB612:JUD612"/>
    <mergeCell ref="JUF612:JUH612"/>
    <mergeCell ref="JUJ612:JUL612"/>
    <mergeCell ref="JUN612:JUP612"/>
    <mergeCell ref="JTD612:JTF612"/>
    <mergeCell ref="JTH612:JTJ612"/>
    <mergeCell ref="JTL612:JTN612"/>
    <mergeCell ref="JTP612:JTR612"/>
    <mergeCell ref="JTT612:JTV612"/>
    <mergeCell ref="KDD612:KDF612"/>
    <mergeCell ref="KDH612:KDJ612"/>
    <mergeCell ref="KDL612:KDN612"/>
    <mergeCell ref="KDP612:KDR612"/>
    <mergeCell ref="KDT612:KDV612"/>
    <mergeCell ref="KCJ612:KCL612"/>
    <mergeCell ref="KCN612:KCP612"/>
    <mergeCell ref="KCR612:KCT612"/>
    <mergeCell ref="KCV612:KCX612"/>
    <mergeCell ref="KCZ612:KDB612"/>
    <mergeCell ref="KBP612:KBR612"/>
    <mergeCell ref="KBT612:KBV612"/>
    <mergeCell ref="KBX612:KBZ612"/>
    <mergeCell ref="KCB612:KCD612"/>
    <mergeCell ref="KCF612:KCH612"/>
    <mergeCell ref="KAV612:KAX612"/>
    <mergeCell ref="KAZ612:KBB612"/>
    <mergeCell ref="KBD612:KBF612"/>
    <mergeCell ref="KBH612:KBJ612"/>
    <mergeCell ref="KBL612:KBN612"/>
    <mergeCell ref="KAB612:KAD612"/>
    <mergeCell ref="KAF612:KAH612"/>
    <mergeCell ref="KAJ612:KAL612"/>
    <mergeCell ref="KAN612:KAP612"/>
    <mergeCell ref="KAR612:KAT612"/>
    <mergeCell ref="JZH612:JZJ612"/>
    <mergeCell ref="JZL612:JZN612"/>
    <mergeCell ref="JZP612:JZR612"/>
    <mergeCell ref="JZT612:JZV612"/>
    <mergeCell ref="JZX612:JZZ612"/>
    <mergeCell ref="JYN612:JYP612"/>
    <mergeCell ref="JYR612:JYT612"/>
    <mergeCell ref="JYV612:JYX612"/>
    <mergeCell ref="JYZ612:JZB612"/>
    <mergeCell ref="JZD612:JZF612"/>
    <mergeCell ref="KIN612:KIP612"/>
    <mergeCell ref="KIR612:KIT612"/>
    <mergeCell ref="KIV612:KIX612"/>
    <mergeCell ref="KIZ612:KJB612"/>
    <mergeCell ref="KJD612:KJF612"/>
    <mergeCell ref="KHT612:KHV612"/>
    <mergeCell ref="KHX612:KHZ612"/>
    <mergeCell ref="KIB612:KID612"/>
    <mergeCell ref="KIF612:KIH612"/>
    <mergeCell ref="KIJ612:KIL612"/>
    <mergeCell ref="KGZ612:KHB612"/>
    <mergeCell ref="KHD612:KHF612"/>
    <mergeCell ref="KHH612:KHJ612"/>
    <mergeCell ref="KHL612:KHN612"/>
    <mergeCell ref="KHP612:KHR612"/>
    <mergeCell ref="KGF612:KGH612"/>
    <mergeCell ref="KGJ612:KGL612"/>
    <mergeCell ref="KGN612:KGP612"/>
    <mergeCell ref="KGR612:KGT612"/>
    <mergeCell ref="KGV612:KGX612"/>
    <mergeCell ref="KFL612:KFN612"/>
    <mergeCell ref="KFP612:KFR612"/>
    <mergeCell ref="KFT612:KFV612"/>
    <mergeCell ref="KFX612:KFZ612"/>
    <mergeCell ref="KGB612:KGD612"/>
    <mergeCell ref="KER612:KET612"/>
    <mergeCell ref="KEV612:KEX612"/>
    <mergeCell ref="KEZ612:KFB612"/>
    <mergeCell ref="KFD612:KFF612"/>
    <mergeCell ref="KFH612:KFJ612"/>
    <mergeCell ref="KDX612:KDZ612"/>
    <mergeCell ref="KEB612:KED612"/>
    <mergeCell ref="KEF612:KEH612"/>
    <mergeCell ref="KEJ612:KEL612"/>
    <mergeCell ref="KEN612:KEP612"/>
    <mergeCell ref="KNX612:KNZ612"/>
    <mergeCell ref="KOB612:KOD612"/>
    <mergeCell ref="KOF612:KOH612"/>
    <mergeCell ref="KOJ612:KOL612"/>
    <mergeCell ref="KON612:KOP612"/>
    <mergeCell ref="KND612:KNF612"/>
    <mergeCell ref="KNH612:KNJ612"/>
    <mergeCell ref="KNL612:KNN612"/>
    <mergeCell ref="KNP612:KNR612"/>
    <mergeCell ref="KNT612:KNV612"/>
    <mergeCell ref="KMJ612:KML612"/>
    <mergeCell ref="KMN612:KMP612"/>
    <mergeCell ref="KMR612:KMT612"/>
    <mergeCell ref="KMV612:KMX612"/>
    <mergeCell ref="KMZ612:KNB612"/>
    <mergeCell ref="KLP612:KLR612"/>
    <mergeCell ref="KLT612:KLV612"/>
    <mergeCell ref="KLX612:KLZ612"/>
    <mergeCell ref="KMB612:KMD612"/>
    <mergeCell ref="KMF612:KMH612"/>
    <mergeCell ref="KKV612:KKX612"/>
    <mergeCell ref="KKZ612:KLB612"/>
    <mergeCell ref="KLD612:KLF612"/>
    <mergeCell ref="KLH612:KLJ612"/>
    <mergeCell ref="KLL612:KLN612"/>
    <mergeCell ref="KKB612:KKD612"/>
    <mergeCell ref="KKF612:KKH612"/>
    <mergeCell ref="KKJ612:KKL612"/>
    <mergeCell ref="KKN612:KKP612"/>
    <mergeCell ref="KKR612:KKT612"/>
    <mergeCell ref="KJH612:KJJ612"/>
    <mergeCell ref="KJL612:KJN612"/>
    <mergeCell ref="KJP612:KJR612"/>
    <mergeCell ref="KJT612:KJV612"/>
    <mergeCell ref="KJX612:KJZ612"/>
    <mergeCell ref="KTH612:KTJ612"/>
    <mergeCell ref="KTL612:KTN612"/>
    <mergeCell ref="KTP612:KTR612"/>
    <mergeCell ref="KTT612:KTV612"/>
    <mergeCell ref="KTX612:KTZ612"/>
    <mergeCell ref="KSN612:KSP612"/>
    <mergeCell ref="KSR612:KST612"/>
    <mergeCell ref="KSV612:KSX612"/>
    <mergeCell ref="KSZ612:KTB612"/>
    <mergeCell ref="KTD612:KTF612"/>
    <mergeCell ref="KRT612:KRV612"/>
    <mergeCell ref="KRX612:KRZ612"/>
    <mergeCell ref="KSB612:KSD612"/>
    <mergeCell ref="KSF612:KSH612"/>
    <mergeCell ref="KSJ612:KSL612"/>
    <mergeCell ref="KQZ612:KRB612"/>
    <mergeCell ref="KRD612:KRF612"/>
    <mergeCell ref="KRH612:KRJ612"/>
    <mergeCell ref="KRL612:KRN612"/>
    <mergeCell ref="KRP612:KRR612"/>
    <mergeCell ref="KQF612:KQH612"/>
    <mergeCell ref="KQJ612:KQL612"/>
    <mergeCell ref="KQN612:KQP612"/>
    <mergeCell ref="KQR612:KQT612"/>
    <mergeCell ref="KQV612:KQX612"/>
    <mergeCell ref="KPL612:KPN612"/>
    <mergeCell ref="KPP612:KPR612"/>
    <mergeCell ref="KPT612:KPV612"/>
    <mergeCell ref="KPX612:KPZ612"/>
    <mergeCell ref="KQB612:KQD612"/>
    <mergeCell ref="KOR612:KOT612"/>
    <mergeCell ref="KOV612:KOX612"/>
    <mergeCell ref="KOZ612:KPB612"/>
    <mergeCell ref="KPD612:KPF612"/>
    <mergeCell ref="KPH612:KPJ612"/>
    <mergeCell ref="KYR612:KYT612"/>
    <mergeCell ref="KYV612:KYX612"/>
    <mergeCell ref="KYZ612:KZB612"/>
    <mergeCell ref="KZD612:KZF612"/>
    <mergeCell ref="KZH612:KZJ612"/>
    <mergeCell ref="KXX612:KXZ612"/>
    <mergeCell ref="KYB612:KYD612"/>
    <mergeCell ref="KYF612:KYH612"/>
    <mergeCell ref="KYJ612:KYL612"/>
    <mergeCell ref="KYN612:KYP612"/>
    <mergeCell ref="KXD612:KXF612"/>
    <mergeCell ref="KXH612:KXJ612"/>
    <mergeCell ref="KXL612:KXN612"/>
    <mergeCell ref="KXP612:KXR612"/>
    <mergeCell ref="KXT612:KXV612"/>
    <mergeCell ref="KWJ612:KWL612"/>
    <mergeCell ref="KWN612:KWP612"/>
    <mergeCell ref="KWR612:KWT612"/>
    <mergeCell ref="KWV612:KWX612"/>
    <mergeCell ref="KWZ612:KXB612"/>
    <mergeCell ref="KVP612:KVR612"/>
    <mergeCell ref="KVT612:KVV612"/>
    <mergeCell ref="KVX612:KVZ612"/>
    <mergeCell ref="KWB612:KWD612"/>
    <mergeCell ref="KWF612:KWH612"/>
    <mergeCell ref="KUV612:KUX612"/>
    <mergeCell ref="KUZ612:KVB612"/>
    <mergeCell ref="KVD612:KVF612"/>
    <mergeCell ref="KVH612:KVJ612"/>
    <mergeCell ref="KVL612:KVN612"/>
    <mergeCell ref="KUB612:KUD612"/>
    <mergeCell ref="KUF612:KUH612"/>
    <mergeCell ref="KUJ612:KUL612"/>
    <mergeCell ref="KUN612:KUP612"/>
    <mergeCell ref="KUR612:KUT612"/>
    <mergeCell ref="LEB612:LED612"/>
    <mergeCell ref="LEF612:LEH612"/>
    <mergeCell ref="LEJ612:LEL612"/>
    <mergeCell ref="LEN612:LEP612"/>
    <mergeCell ref="LER612:LET612"/>
    <mergeCell ref="LDH612:LDJ612"/>
    <mergeCell ref="LDL612:LDN612"/>
    <mergeCell ref="LDP612:LDR612"/>
    <mergeCell ref="LDT612:LDV612"/>
    <mergeCell ref="LDX612:LDZ612"/>
    <mergeCell ref="LCN612:LCP612"/>
    <mergeCell ref="LCR612:LCT612"/>
    <mergeCell ref="LCV612:LCX612"/>
    <mergeCell ref="LCZ612:LDB612"/>
    <mergeCell ref="LDD612:LDF612"/>
    <mergeCell ref="LBT612:LBV612"/>
    <mergeCell ref="LBX612:LBZ612"/>
    <mergeCell ref="LCB612:LCD612"/>
    <mergeCell ref="LCF612:LCH612"/>
    <mergeCell ref="LCJ612:LCL612"/>
    <mergeCell ref="LAZ612:LBB612"/>
    <mergeCell ref="LBD612:LBF612"/>
    <mergeCell ref="LBH612:LBJ612"/>
    <mergeCell ref="LBL612:LBN612"/>
    <mergeCell ref="LBP612:LBR612"/>
    <mergeCell ref="LAF612:LAH612"/>
    <mergeCell ref="LAJ612:LAL612"/>
    <mergeCell ref="LAN612:LAP612"/>
    <mergeCell ref="LAR612:LAT612"/>
    <mergeCell ref="LAV612:LAX612"/>
    <mergeCell ref="KZL612:KZN612"/>
    <mergeCell ref="KZP612:KZR612"/>
    <mergeCell ref="KZT612:KZV612"/>
    <mergeCell ref="KZX612:KZZ612"/>
    <mergeCell ref="LAB612:LAD612"/>
    <mergeCell ref="LJL612:LJN612"/>
    <mergeCell ref="LJP612:LJR612"/>
    <mergeCell ref="LJT612:LJV612"/>
    <mergeCell ref="LJX612:LJZ612"/>
    <mergeCell ref="LKB612:LKD612"/>
    <mergeCell ref="LIR612:LIT612"/>
    <mergeCell ref="LIV612:LIX612"/>
    <mergeCell ref="LIZ612:LJB612"/>
    <mergeCell ref="LJD612:LJF612"/>
    <mergeCell ref="LJH612:LJJ612"/>
    <mergeCell ref="LHX612:LHZ612"/>
    <mergeCell ref="LIB612:LID612"/>
    <mergeCell ref="LIF612:LIH612"/>
    <mergeCell ref="LIJ612:LIL612"/>
    <mergeCell ref="LIN612:LIP612"/>
    <mergeCell ref="LHD612:LHF612"/>
    <mergeCell ref="LHH612:LHJ612"/>
    <mergeCell ref="LHL612:LHN612"/>
    <mergeCell ref="LHP612:LHR612"/>
    <mergeCell ref="LHT612:LHV612"/>
    <mergeCell ref="LGJ612:LGL612"/>
    <mergeCell ref="LGN612:LGP612"/>
    <mergeCell ref="LGR612:LGT612"/>
    <mergeCell ref="LGV612:LGX612"/>
    <mergeCell ref="LGZ612:LHB612"/>
    <mergeCell ref="LFP612:LFR612"/>
    <mergeCell ref="LFT612:LFV612"/>
    <mergeCell ref="LFX612:LFZ612"/>
    <mergeCell ref="LGB612:LGD612"/>
    <mergeCell ref="LGF612:LGH612"/>
    <mergeCell ref="LEV612:LEX612"/>
    <mergeCell ref="LEZ612:LFB612"/>
    <mergeCell ref="LFD612:LFF612"/>
    <mergeCell ref="LFH612:LFJ612"/>
    <mergeCell ref="LFL612:LFN612"/>
    <mergeCell ref="LOV612:LOX612"/>
    <mergeCell ref="LOZ612:LPB612"/>
    <mergeCell ref="LPD612:LPF612"/>
    <mergeCell ref="LPH612:LPJ612"/>
    <mergeCell ref="LPL612:LPN612"/>
    <mergeCell ref="LOB612:LOD612"/>
    <mergeCell ref="LOF612:LOH612"/>
    <mergeCell ref="LOJ612:LOL612"/>
    <mergeCell ref="LON612:LOP612"/>
    <mergeCell ref="LOR612:LOT612"/>
    <mergeCell ref="LNH612:LNJ612"/>
    <mergeCell ref="LNL612:LNN612"/>
    <mergeCell ref="LNP612:LNR612"/>
    <mergeCell ref="LNT612:LNV612"/>
    <mergeCell ref="LNX612:LNZ612"/>
    <mergeCell ref="LMN612:LMP612"/>
    <mergeCell ref="LMR612:LMT612"/>
    <mergeCell ref="LMV612:LMX612"/>
    <mergeCell ref="LMZ612:LNB612"/>
    <mergeCell ref="LND612:LNF612"/>
    <mergeCell ref="LLT612:LLV612"/>
    <mergeCell ref="LLX612:LLZ612"/>
    <mergeCell ref="LMB612:LMD612"/>
    <mergeCell ref="LMF612:LMH612"/>
    <mergeCell ref="LMJ612:LML612"/>
    <mergeCell ref="LKZ612:LLB612"/>
    <mergeCell ref="LLD612:LLF612"/>
    <mergeCell ref="LLH612:LLJ612"/>
    <mergeCell ref="LLL612:LLN612"/>
    <mergeCell ref="LLP612:LLR612"/>
    <mergeCell ref="LKF612:LKH612"/>
    <mergeCell ref="LKJ612:LKL612"/>
    <mergeCell ref="LKN612:LKP612"/>
    <mergeCell ref="LKR612:LKT612"/>
    <mergeCell ref="LKV612:LKX612"/>
    <mergeCell ref="LUF612:LUH612"/>
    <mergeCell ref="LUJ612:LUL612"/>
    <mergeCell ref="LUN612:LUP612"/>
    <mergeCell ref="LUR612:LUT612"/>
    <mergeCell ref="LUV612:LUX612"/>
    <mergeCell ref="LTL612:LTN612"/>
    <mergeCell ref="LTP612:LTR612"/>
    <mergeCell ref="LTT612:LTV612"/>
    <mergeCell ref="LTX612:LTZ612"/>
    <mergeCell ref="LUB612:LUD612"/>
    <mergeCell ref="LSR612:LST612"/>
    <mergeCell ref="LSV612:LSX612"/>
    <mergeCell ref="LSZ612:LTB612"/>
    <mergeCell ref="LTD612:LTF612"/>
    <mergeCell ref="LTH612:LTJ612"/>
    <mergeCell ref="LRX612:LRZ612"/>
    <mergeCell ref="LSB612:LSD612"/>
    <mergeCell ref="LSF612:LSH612"/>
    <mergeCell ref="LSJ612:LSL612"/>
    <mergeCell ref="LSN612:LSP612"/>
    <mergeCell ref="LRD612:LRF612"/>
    <mergeCell ref="LRH612:LRJ612"/>
    <mergeCell ref="LRL612:LRN612"/>
    <mergeCell ref="LRP612:LRR612"/>
    <mergeCell ref="LRT612:LRV612"/>
    <mergeCell ref="LQJ612:LQL612"/>
    <mergeCell ref="LQN612:LQP612"/>
    <mergeCell ref="LQR612:LQT612"/>
    <mergeCell ref="LQV612:LQX612"/>
    <mergeCell ref="LQZ612:LRB612"/>
    <mergeCell ref="LPP612:LPR612"/>
    <mergeCell ref="LPT612:LPV612"/>
    <mergeCell ref="LPX612:LPZ612"/>
    <mergeCell ref="LQB612:LQD612"/>
    <mergeCell ref="LQF612:LQH612"/>
    <mergeCell ref="LZP612:LZR612"/>
    <mergeCell ref="LZT612:LZV612"/>
    <mergeCell ref="LZX612:LZZ612"/>
    <mergeCell ref="MAB612:MAD612"/>
    <mergeCell ref="MAF612:MAH612"/>
    <mergeCell ref="LYV612:LYX612"/>
    <mergeCell ref="LYZ612:LZB612"/>
    <mergeCell ref="LZD612:LZF612"/>
    <mergeCell ref="LZH612:LZJ612"/>
    <mergeCell ref="LZL612:LZN612"/>
    <mergeCell ref="LYB612:LYD612"/>
    <mergeCell ref="LYF612:LYH612"/>
    <mergeCell ref="LYJ612:LYL612"/>
    <mergeCell ref="LYN612:LYP612"/>
    <mergeCell ref="LYR612:LYT612"/>
    <mergeCell ref="LXH612:LXJ612"/>
    <mergeCell ref="LXL612:LXN612"/>
    <mergeCell ref="LXP612:LXR612"/>
    <mergeCell ref="LXT612:LXV612"/>
    <mergeCell ref="LXX612:LXZ612"/>
    <mergeCell ref="LWN612:LWP612"/>
    <mergeCell ref="LWR612:LWT612"/>
    <mergeCell ref="LWV612:LWX612"/>
    <mergeCell ref="LWZ612:LXB612"/>
    <mergeCell ref="LXD612:LXF612"/>
    <mergeCell ref="LVT612:LVV612"/>
    <mergeCell ref="LVX612:LVZ612"/>
    <mergeCell ref="LWB612:LWD612"/>
    <mergeCell ref="LWF612:LWH612"/>
    <mergeCell ref="LWJ612:LWL612"/>
    <mergeCell ref="LUZ612:LVB612"/>
    <mergeCell ref="LVD612:LVF612"/>
    <mergeCell ref="LVH612:LVJ612"/>
    <mergeCell ref="LVL612:LVN612"/>
    <mergeCell ref="LVP612:LVR612"/>
    <mergeCell ref="MEZ612:MFB612"/>
    <mergeCell ref="MFD612:MFF612"/>
    <mergeCell ref="MFH612:MFJ612"/>
    <mergeCell ref="MFL612:MFN612"/>
    <mergeCell ref="MFP612:MFR612"/>
    <mergeCell ref="MEF612:MEH612"/>
    <mergeCell ref="MEJ612:MEL612"/>
    <mergeCell ref="MEN612:MEP612"/>
    <mergeCell ref="MER612:MET612"/>
    <mergeCell ref="MEV612:MEX612"/>
    <mergeCell ref="MDL612:MDN612"/>
    <mergeCell ref="MDP612:MDR612"/>
    <mergeCell ref="MDT612:MDV612"/>
    <mergeCell ref="MDX612:MDZ612"/>
    <mergeCell ref="MEB612:MED612"/>
    <mergeCell ref="MCR612:MCT612"/>
    <mergeCell ref="MCV612:MCX612"/>
    <mergeCell ref="MCZ612:MDB612"/>
    <mergeCell ref="MDD612:MDF612"/>
    <mergeCell ref="MDH612:MDJ612"/>
    <mergeCell ref="MBX612:MBZ612"/>
    <mergeCell ref="MCB612:MCD612"/>
    <mergeCell ref="MCF612:MCH612"/>
    <mergeCell ref="MCJ612:MCL612"/>
    <mergeCell ref="MCN612:MCP612"/>
    <mergeCell ref="MBD612:MBF612"/>
    <mergeCell ref="MBH612:MBJ612"/>
    <mergeCell ref="MBL612:MBN612"/>
    <mergeCell ref="MBP612:MBR612"/>
    <mergeCell ref="MBT612:MBV612"/>
    <mergeCell ref="MAJ612:MAL612"/>
    <mergeCell ref="MAN612:MAP612"/>
    <mergeCell ref="MAR612:MAT612"/>
    <mergeCell ref="MAV612:MAX612"/>
    <mergeCell ref="MAZ612:MBB612"/>
    <mergeCell ref="MKJ612:MKL612"/>
    <mergeCell ref="MKN612:MKP612"/>
    <mergeCell ref="MKR612:MKT612"/>
    <mergeCell ref="MKV612:MKX612"/>
    <mergeCell ref="MKZ612:MLB612"/>
    <mergeCell ref="MJP612:MJR612"/>
    <mergeCell ref="MJT612:MJV612"/>
    <mergeCell ref="MJX612:MJZ612"/>
    <mergeCell ref="MKB612:MKD612"/>
    <mergeCell ref="MKF612:MKH612"/>
    <mergeCell ref="MIV612:MIX612"/>
    <mergeCell ref="MIZ612:MJB612"/>
    <mergeCell ref="MJD612:MJF612"/>
    <mergeCell ref="MJH612:MJJ612"/>
    <mergeCell ref="MJL612:MJN612"/>
    <mergeCell ref="MIB612:MID612"/>
    <mergeCell ref="MIF612:MIH612"/>
    <mergeCell ref="MIJ612:MIL612"/>
    <mergeCell ref="MIN612:MIP612"/>
    <mergeCell ref="MIR612:MIT612"/>
    <mergeCell ref="MHH612:MHJ612"/>
    <mergeCell ref="MHL612:MHN612"/>
    <mergeCell ref="MHP612:MHR612"/>
    <mergeCell ref="MHT612:MHV612"/>
    <mergeCell ref="MHX612:MHZ612"/>
    <mergeCell ref="MGN612:MGP612"/>
    <mergeCell ref="MGR612:MGT612"/>
    <mergeCell ref="MGV612:MGX612"/>
    <mergeCell ref="MGZ612:MHB612"/>
    <mergeCell ref="MHD612:MHF612"/>
    <mergeCell ref="MFT612:MFV612"/>
    <mergeCell ref="MFX612:MFZ612"/>
    <mergeCell ref="MGB612:MGD612"/>
    <mergeCell ref="MGF612:MGH612"/>
    <mergeCell ref="MGJ612:MGL612"/>
    <mergeCell ref="MPT612:MPV612"/>
    <mergeCell ref="MPX612:MPZ612"/>
    <mergeCell ref="MQB612:MQD612"/>
    <mergeCell ref="MQF612:MQH612"/>
    <mergeCell ref="MQJ612:MQL612"/>
    <mergeCell ref="MOZ612:MPB612"/>
    <mergeCell ref="MPD612:MPF612"/>
    <mergeCell ref="MPH612:MPJ612"/>
    <mergeCell ref="MPL612:MPN612"/>
    <mergeCell ref="MPP612:MPR612"/>
    <mergeCell ref="MOF612:MOH612"/>
    <mergeCell ref="MOJ612:MOL612"/>
    <mergeCell ref="MON612:MOP612"/>
    <mergeCell ref="MOR612:MOT612"/>
    <mergeCell ref="MOV612:MOX612"/>
    <mergeCell ref="MNL612:MNN612"/>
    <mergeCell ref="MNP612:MNR612"/>
    <mergeCell ref="MNT612:MNV612"/>
    <mergeCell ref="MNX612:MNZ612"/>
    <mergeCell ref="MOB612:MOD612"/>
    <mergeCell ref="MMR612:MMT612"/>
    <mergeCell ref="MMV612:MMX612"/>
    <mergeCell ref="MMZ612:MNB612"/>
    <mergeCell ref="MND612:MNF612"/>
    <mergeCell ref="MNH612:MNJ612"/>
    <mergeCell ref="MLX612:MLZ612"/>
    <mergeCell ref="MMB612:MMD612"/>
    <mergeCell ref="MMF612:MMH612"/>
    <mergeCell ref="MMJ612:MML612"/>
    <mergeCell ref="MMN612:MMP612"/>
    <mergeCell ref="MLD612:MLF612"/>
    <mergeCell ref="MLH612:MLJ612"/>
    <mergeCell ref="MLL612:MLN612"/>
    <mergeCell ref="MLP612:MLR612"/>
    <mergeCell ref="MLT612:MLV612"/>
    <mergeCell ref="MVD612:MVF612"/>
    <mergeCell ref="MVH612:MVJ612"/>
    <mergeCell ref="MVL612:MVN612"/>
    <mergeCell ref="MVP612:MVR612"/>
    <mergeCell ref="MVT612:MVV612"/>
    <mergeCell ref="MUJ612:MUL612"/>
    <mergeCell ref="MUN612:MUP612"/>
    <mergeCell ref="MUR612:MUT612"/>
    <mergeCell ref="MUV612:MUX612"/>
    <mergeCell ref="MUZ612:MVB612"/>
    <mergeCell ref="MTP612:MTR612"/>
    <mergeCell ref="MTT612:MTV612"/>
    <mergeCell ref="MTX612:MTZ612"/>
    <mergeCell ref="MUB612:MUD612"/>
    <mergeCell ref="MUF612:MUH612"/>
    <mergeCell ref="MSV612:MSX612"/>
    <mergeCell ref="MSZ612:MTB612"/>
    <mergeCell ref="MTD612:MTF612"/>
    <mergeCell ref="MTH612:MTJ612"/>
    <mergeCell ref="MTL612:MTN612"/>
    <mergeCell ref="MSB612:MSD612"/>
    <mergeCell ref="MSF612:MSH612"/>
    <mergeCell ref="MSJ612:MSL612"/>
    <mergeCell ref="MSN612:MSP612"/>
    <mergeCell ref="MSR612:MST612"/>
    <mergeCell ref="MRH612:MRJ612"/>
    <mergeCell ref="MRL612:MRN612"/>
    <mergeCell ref="MRP612:MRR612"/>
    <mergeCell ref="MRT612:MRV612"/>
    <mergeCell ref="MRX612:MRZ612"/>
    <mergeCell ref="MQN612:MQP612"/>
    <mergeCell ref="MQR612:MQT612"/>
    <mergeCell ref="MQV612:MQX612"/>
    <mergeCell ref="MQZ612:MRB612"/>
    <mergeCell ref="MRD612:MRF612"/>
    <mergeCell ref="NAN612:NAP612"/>
    <mergeCell ref="NAR612:NAT612"/>
    <mergeCell ref="NAV612:NAX612"/>
    <mergeCell ref="NAZ612:NBB612"/>
    <mergeCell ref="NBD612:NBF612"/>
    <mergeCell ref="MZT612:MZV612"/>
    <mergeCell ref="MZX612:MZZ612"/>
    <mergeCell ref="NAB612:NAD612"/>
    <mergeCell ref="NAF612:NAH612"/>
    <mergeCell ref="NAJ612:NAL612"/>
    <mergeCell ref="MYZ612:MZB612"/>
    <mergeCell ref="MZD612:MZF612"/>
    <mergeCell ref="MZH612:MZJ612"/>
    <mergeCell ref="MZL612:MZN612"/>
    <mergeCell ref="MZP612:MZR612"/>
    <mergeCell ref="MYF612:MYH612"/>
    <mergeCell ref="MYJ612:MYL612"/>
    <mergeCell ref="MYN612:MYP612"/>
    <mergeCell ref="MYR612:MYT612"/>
    <mergeCell ref="MYV612:MYX612"/>
    <mergeCell ref="MXL612:MXN612"/>
    <mergeCell ref="MXP612:MXR612"/>
    <mergeCell ref="MXT612:MXV612"/>
    <mergeCell ref="MXX612:MXZ612"/>
    <mergeCell ref="MYB612:MYD612"/>
    <mergeCell ref="MWR612:MWT612"/>
    <mergeCell ref="MWV612:MWX612"/>
    <mergeCell ref="MWZ612:MXB612"/>
    <mergeCell ref="MXD612:MXF612"/>
    <mergeCell ref="MXH612:MXJ612"/>
    <mergeCell ref="MVX612:MVZ612"/>
    <mergeCell ref="MWB612:MWD612"/>
    <mergeCell ref="MWF612:MWH612"/>
    <mergeCell ref="MWJ612:MWL612"/>
    <mergeCell ref="MWN612:MWP612"/>
    <mergeCell ref="NFX612:NFZ612"/>
    <mergeCell ref="NGB612:NGD612"/>
    <mergeCell ref="NGF612:NGH612"/>
    <mergeCell ref="NGJ612:NGL612"/>
    <mergeCell ref="NGN612:NGP612"/>
    <mergeCell ref="NFD612:NFF612"/>
    <mergeCell ref="NFH612:NFJ612"/>
    <mergeCell ref="NFL612:NFN612"/>
    <mergeCell ref="NFP612:NFR612"/>
    <mergeCell ref="NFT612:NFV612"/>
    <mergeCell ref="NEJ612:NEL612"/>
    <mergeCell ref="NEN612:NEP612"/>
    <mergeCell ref="NER612:NET612"/>
    <mergeCell ref="NEV612:NEX612"/>
    <mergeCell ref="NEZ612:NFB612"/>
    <mergeCell ref="NDP612:NDR612"/>
    <mergeCell ref="NDT612:NDV612"/>
    <mergeCell ref="NDX612:NDZ612"/>
    <mergeCell ref="NEB612:NED612"/>
    <mergeCell ref="NEF612:NEH612"/>
    <mergeCell ref="NCV612:NCX612"/>
    <mergeCell ref="NCZ612:NDB612"/>
    <mergeCell ref="NDD612:NDF612"/>
    <mergeCell ref="NDH612:NDJ612"/>
    <mergeCell ref="NDL612:NDN612"/>
    <mergeCell ref="NCB612:NCD612"/>
    <mergeCell ref="NCF612:NCH612"/>
    <mergeCell ref="NCJ612:NCL612"/>
    <mergeCell ref="NCN612:NCP612"/>
    <mergeCell ref="NCR612:NCT612"/>
    <mergeCell ref="NBH612:NBJ612"/>
    <mergeCell ref="NBL612:NBN612"/>
    <mergeCell ref="NBP612:NBR612"/>
    <mergeCell ref="NBT612:NBV612"/>
    <mergeCell ref="NBX612:NBZ612"/>
    <mergeCell ref="NLH612:NLJ612"/>
    <mergeCell ref="NLL612:NLN612"/>
    <mergeCell ref="NLP612:NLR612"/>
    <mergeCell ref="NLT612:NLV612"/>
    <mergeCell ref="NLX612:NLZ612"/>
    <mergeCell ref="NKN612:NKP612"/>
    <mergeCell ref="NKR612:NKT612"/>
    <mergeCell ref="NKV612:NKX612"/>
    <mergeCell ref="NKZ612:NLB612"/>
    <mergeCell ref="NLD612:NLF612"/>
    <mergeCell ref="NJT612:NJV612"/>
    <mergeCell ref="NJX612:NJZ612"/>
    <mergeCell ref="NKB612:NKD612"/>
    <mergeCell ref="NKF612:NKH612"/>
    <mergeCell ref="NKJ612:NKL612"/>
    <mergeCell ref="NIZ612:NJB612"/>
    <mergeCell ref="NJD612:NJF612"/>
    <mergeCell ref="NJH612:NJJ612"/>
    <mergeCell ref="NJL612:NJN612"/>
    <mergeCell ref="NJP612:NJR612"/>
    <mergeCell ref="NIF612:NIH612"/>
    <mergeCell ref="NIJ612:NIL612"/>
    <mergeCell ref="NIN612:NIP612"/>
    <mergeCell ref="NIR612:NIT612"/>
    <mergeCell ref="NIV612:NIX612"/>
    <mergeCell ref="NHL612:NHN612"/>
    <mergeCell ref="NHP612:NHR612"/>
    <mergeCell ref="NHT612:NHV612"/>
    <mergeCell ref="NHX612:NHZ612"/>
    <mergeCell ref="NIB612:NID612"/>
    <mergeCell ref="NGR612:NGT612"/>
    <mergeCell ref="NGV612:NGX612"/>
    <mergeCell ref="NGZ612:NHB612"/>
    <mergeCell ref="NHD612:NHF612"/>
    <mergeCell ref="NHH612:NHJ612"/>
    <mergeCell ref="NQR612:NQT612"/>
    <mergeCell ref="NQV612:NQX612"/>
    <mergeCell ref="NQZ612:NRB612"/>
    <mergeCell ref="NRD612:NRF612"/>
    <mergeCell ref="NRH612:NRJ612"/>
    <mergeCell ref="NPX612:NPZ612"/>
    <mergeCell ref="NQB612:NQD612"/>
    <mergeCell ref="NQF612:NQH612"/>
    <mergeCell ref="NQJ612:NQL612"/>
    <mergeCell ref="NQN612:NQP612"/>
    <mergeCell ref="NPD612:NPF612"/>
    <mergeCell ref="NPH612:NPJ612"/>
    <mergeCell ref="NPL612:NPN612"/>
    <mergeCell ref="NPP612:NPR612"/>
    <mergeCell ref="NPT612:NPV612"/>
    <mergeCell ref="NOJ612:NOL612"/>
    <mergeCell ref="NON612:NOP612"/>
    <mergeCell ref="NOR612:NOT612"/>
    <mergeCell ref="NOV612:NOX612"/>
    <mergeCell ref="NOZ612:NPB612"/>
    <mergeCell ref="NNP612:NNR612"/>
    <mergeCell ref="NNT612:NNV612"/>
    <mergeCell ref="NNX612:NNZ612"/>
    <mergeCell ref="NOB612:NOD612"/>
    <mergeCell ref="NOF612:NOH612"/>
    <mergeCell ref="NMV612:NMX612"/>
    <mergeCell ref="NMZ612:NNB612"/>
    <mergeCell ref="NND612:NNF612"/>
    <mergeCell ref="NNH612:NNJ612"/>
    <mergeCell ref="NNL612:NNN612"/>
    <mergeCell ref="NMB612:NMD612"/>
    <mergeCell ref="NMF612:NMH612"/>
    <mergeCell ref="NMJ612:NML612"/>
    <mergeCell ref="NMN612:NMP612"/>
    <mergeCell ref="NMR612:NMT612"/>
    <mergeCell ref="NWB612:NWD612"/>
    <mergeCell ref="NWF612:NWH612"/>
    <mergeCell ref="NWJ612:NWL612"/>
    <mergeCell ref="NWN612:NWP612"/>
    <mergeCell ref="NWR612:NWT612"/>
    <mergeCell ref="NVH612:NVJ612"/>
    <mergeCell ref="NVL612:NVN612"/>
    <mergeCell ref="NVP612:NVR612"/>
    <mergeCell ref="NVT612:NVV612"/>
    <mergeCell ref="NVX612:NVZ612"/>
    <mergeCell ref="NUN612:NUP612"/>
    <mergeCell ref="NUR612:NUT612"/>
    <mergeCell ref="NUV612:NUX612"/>
    <mergeCell ref="NUZ612:NVB612"/>
    <mergeCell ref="NVD612:NVF612"/>
    <mergeCell ref="NTT612:NTV612"/>
    <mergeCell ref="NTX612:NTZ612"/>
    <mergeCell ref="NUB612:NUD612"/>
    <mergeCell ref="NUF612:NUH612"/>
    <mergeCell ref="NUJ612:NUL612"/>
    <mergeCell ref="NSZ612:NTB612"/>
    <mergeCell ref="NTD612:NTF612"/>
    <mergeCell ref="NTH612:NTJ612"/>
    <mergeCell ref="NTL612:NTN612"/>
    <mergeCell ref="NTP612:NTR612"/>
    <mergeCell ref="NSF612:NSH612"/>
    <mergeCell ref="NSJ612:NSL612"/>
    <mergeCell ref="NSN612:NSP612"/>
    <mergeCell ref="NSR612:NST612"/>
    <mergeCell ref="NSV612:NSX612"/>
    <mergeCell ref="NRL612:NRN612"/>
    <mergeCell ref="NRP612:NRR612"/>
    <mergeCell ref="NRT612:NRV612"/>
    <mergeCell ref="NRX612:NRZ612"/>
    <mergeCell ref="NSB612:NSD612"/>
    <mergeCell ref="OBL612:OBN612"/>
    <mergeCell ref="OBP612:OBR612"/>
    <mergeCell ref="OBT612:OBV612"/>
    <mergeCell ref="OBX612:OBZ612"/>
    <mergeCell ref="OCB612:OCD612"/>
    <mergeCell ref="OAR612:OAT612"/>
    <mergeCell ref="OAV612:OAX612"/>
    <mergeCell ref="OAZ612:OBB612"/>
    <mergeCell ref="OBD612:OBF612"/>
    <mergeCell ref="OBH612:OBJ612"/>
    <mergeCell ref="NZX612:NZZ612"/>
    <mergeCell ref="OAB612:OAD612"/>
    <mergeCell ref="OAF612:OAH612"/>
    <mergeCell ref="OAJ612:OAL612"/>
    <mergeCell ref="OAN612:OAP612"/>
    <mergeCell ref="NZD612:NZF612"/>
    <mergeCell ref="NZH612:NZJ612"/>
    <mergeCell ref="NZL612:NZN612"/>
    <mergeCell ref="NZP612:NZR612"/>
    <mergeCell ref="NZT612:NZV612"/>
    <mergeCell ref="NYJ612:NYL612"/>
    <mergeCell ref="NYN612:NYP612"/>
    <mergeCell ref="NYR612:NYT612"/>
    <mergeCell ref="NYV612:NYX612"/>
    <mergeCell ref="NYZ612:NZB612"/>
    <mergeCell ref="NXP612:NXR612"/>
    <mergeCell ref="NXT612:NXV612"/>
    <mergeCell ref="NXX612:NXZ612"/>
    <mergeCell ref="NYB612:NYD612"/>
    <mergeCell ref="NYF612:NYH612"/>
    <mergeCell ref="NWV612:NWX612"/>
    <mergeCell ref="NWZ612:NXB612"/>
    <mergeCell ref="NXD612:NXF612"/>
    <mergeCell ref="NXH612:NXJ612"/>
    <mergeCell ref="NXL612:NXN612"/>
    <mergeCell ref="OGV612:OGX612"/>
    <mergeCell ref="OGZ612:OHB612"/>
    <mergeCell ref="OHD612:OHF612"/>
    <mergeCell ref="OHH612:OHJ612"/>
    <mergeCell ref="OHL612:OHN612"/>
    <mergeCell ref="OGB612:OGD612"/>
    <mergeCell ref="OGF612:OGH612"/>
    <mergeCell ref="OGJ612:OGL612"/>
    <mergeCell ref="OGN612:OGP612"/>
    <mergeCell ref="OGR612:OGT612"/>
    <mergeCell ref="OFH612:OFJ612"/>
    <mergeCell ref="OFL612:OFN612"/>
    <mergeCell ref="OFP612:OFR612"/>
    <mergeCell ref="OFT612:OFV612"/>
    <mergeCell ref="OFX612:OFZ612"/>
    <mergeCell ref="OEN612:OEP612"/>
    <mergeCell ref="OER612:OET612"/>
    <mergeCell ref="OEV612:OEX612"/>
    <mergeCell ref="OEZ612:OFB612"/>
    <mergeCell ref="OFD612:OFF612"/>
    <mergeCell ref="ODT612:ODV612"/>
    <mergeCell ref="ODX612:ODZ612"/>
    <mergeCell ref="OEB612:OED612"/>
    <mergeCell ref="OEF612:OEH612"/>
    <mergeCell ref="OEJ612:OEL612"/>
    <mergeCell ref="OCZ612:ODB612"/>
    <mergeCell ref="ODD612:ODF612"/>
    <mergeCell ref="ODH612:ODJ612"/>
    <mergeCell ref="ODL612:ODN612"/>
    <mergeCell ref="ODP612:ODR612"/>
    <mergeCell ref="OCF612:OCH612"/>
    <mergeCell ref="OCJ612:OCL612"/>
    <mergeCell ref="OCN612:OCP612"/>
    <mergeCell ref="OCR612:OCT612"/>
    <mergeCell ref="OCV612:OCX612"/>
    <mergeCell ref="OMF612:OMH612"/>
    <mergeCell ref="OMJ612:OML612"/>
    <mergeCell ref="OMN612:OMP612"/>
    <mergeCell ref="OMR612:OMT612"/>
    <mergeCell ref="OMV612:OMX612"/>
    <mergeCell ref="OLL612:OLN612"/>
    <mergeCell ref="OLP612:OLR612"/>
    <mergeCell ref="OLT612:OLV612"/>
    <mergeCell ref="OLX612:OLZ612"/>
    <mergeCell ref="OMB612:OMD612"/>
    <mergeCell ref="OKR612:OKT612"/>
    <mergeCell ref="OKV612:OKX612"/>
    <mergeCell ref="OKZ612:OLB612"/>
    <mergeCell ref="OLD612:OLF612"/>
    <mergeCell ref="OLH612:OLJ612"/>
    <mergeCell ref="OJX612:OJZ612"/>
    <mergeCell ref="OKB612:OKD612"/>
    <mergeCell ref="OKF612:OKH612"/>
    <mergeCell ref="OKJ612:OKL612"/>
    <mergeCell ref="OKN612:OKP612"/>
    <mergeCell ref="OJD612:OJF612"/>
    <mergeCell ref="OJH612:OJJ612"/>
    <mergeCell ref="OJL612:OJN612"/>
    <mergeCell ref="OJP612:OJR612"/>
    <mergeCell ref="OJT612:OJV612"/>
    <mergeCell ref="OIJ612:OIL612"/>
    <mergeCell ref="OIN612:OIP612"/>
    <mergeCell ref="OIR612:OIT612"/>
    <mergeCell ref="OIV612:OIX612"/>
    <mergeCell ref="OIZ612:OJB612"/>
    <mergeCell ref="OHP612:OHR612"/>
    <mergeCell ref="OHT612:OHV612"/>
    <mergeCell ref="OHX612:OHZ612"/>
    <mergeCell ref="OIB612:OID612"/>
    <mergeCell ref="OIF612:OIH612"/>
    <mergeCell ref="ORP612:ORR612"/>
    <mergeCell ref="ORT612:ORV612"/>
    <mergeCell ref="ORX612:ORZ612"/>
    <mergeCell ref="OSB612:OSD612"/>
    <mergeCell ref="OSF612:OSH612"/>
    <mergeCell ref="OQV612:OQX612"/>
    <mergeCell ref="OQZ612:ORB612"/>
    <mergeCell ref="ORD612:ORF612"/>
    <mergeCell ref="ORH612:ORJ612"/>
    <mergeCell ref="ORL612:ORN612"/>
    <mergeCell ref="OQB612:OQD612"/>
    <mergeCell ref="OQF612:OQH612"/>
    <mergeCell ref="OQJ612:OQL612"/>
    <mergeCell ref="OQN612:OQP612"/>
    <mergeCell ref="OQR612:OQT612"/>
    <mergeCell ref="OPH612:OPJ612"/>
    <mergeCell ref="OPL612:OPN612"/>
    <mergeCell ref="OPP612:OPR612"/>
    <mergeCell ref="OPT612:OPV612"/>
    <mergeCell ref="OPX612:OPZ612"/>
    <mergeCell ref="OON612:OOP612"/>
    <mergeCell ref="OOR612:OOT612"/>
    <mergeCell ref="OOV612:OOX612"/>
    <mergeCell ref="OOZ612:OPB612"/>
    <mergeCell ref="OPD612:OPF612"/>
    <mergeCell ref="ONT612:ONV612"/>
    <mergeCell ref="ONX612:ONZ612"/>
    <mergeCell ref="OOB612:OOD612"/>
    <mergeCell ref="OOF612:OOH612"/>
    <mergeCell ref="OOJ612:OOL612"/>
    <mergeCell ref="OMZ612:ONB612"/>
    <mergeCell ref="OND612:ONF612"/>
    <mergeCell ref="ONH612:ONJ612"/>
    <mergeCell ref="ONL612:ONN612"/>
    <mergeCell ref="ONP612:ONR612"/>
    <mergeCell ref="OWZ612:OXB612"/>
    <mergeCell ref="OXD612:OXF612"/>
    <mergeCell ref="OXH612:OXJ612"/>
    <mergeCell ref="OXL612:OXN612"/>
    <mergeCell ref="OXP612:OXR612"/>
    <mergeCell ref="OWF612:OWH612"/>
    <mergeCell ref="OWJ612:OWL612"/>
    <mergeCell ref="OWN612:OWP612"/>
    <mergeCell ref="OWR612:OWT612"/>
    <mergeCell ref="OWV612:OWX612"/>
    <mergeCell ref="OVL612:OVN612"/>
    <mergeCell ref="OVP612:OVR612"/>
    <mergeCell ref="OVT612:OVV612"/>
    <mergeCell ref="OVX612:OVZ612"/>
    <mergeCell ref="OWB612:OWD612"/>
    <mergeCell ref="OUR612:OUT612"/>
    <mergeCell ref="OUV612:OUX612"/>
    <mergeCell ref="OUZ612:OVB612"/>
    <mergeCell ref="OVD612:OVF612"/>
    <mergeCell ref="OVH612:OVJ612"/>
    <mergeCell ref="OTX612:OTZ612"/>
    <mergeCell ref="OUB612:OUD612"/>
    <mergeCell ref="OUF612:OUH612"/>
    <mergeCell ref="OUJ612:OUL612"/>
    <mergeCell ref="OUN612:OUP612"/>
    <mergeCell ref="OTD612:OTF612"/>
    <mergeCell ref="OTH612:OTJ612"/>
    <mergeCell ref="OTL612:OTN612"/>
    <mergeCell ref="OTP612:OTR612"/>
    <mergeCell ref="OTT612:OTV612"/>
    <mergeCell ref="OSJ612:OSL612"/>
    <mergeCell ref="OSN612:OSP612"/>
    <mergeCell ref="OSR612:OST612"/>
    <mergeCell ref="OSV612:OSX612"/>
    <mergeCell ref="OSZ612:OTB612"/>
    <mergeCell ref="PCJ612:PCL612"/>
    <mergeCell ref="PCN612:PCP612"/>
    <mergeCell ref="PCR612:PCT612"/>
    <mergeCell ref="PCV612:PCX612"/>
    <mergeCell ref="PCZ612:PDB612"/>
    <mergeCell ref="PBP612:PBR612"/>
    <mergeCell ref="PBT612:PBV612"/>
    <mergeCell ref="PBX612:PBZ612"/>
    <mergeCell ref="PCB612:PCD612"/>
    <mergeCell ref="PCF612:PCH612"/>
    <mergeCell ref="PAV612:PAX612"/>
    <mergeCell ref="PAZ612:PBB612"/>
    <mergeCell ref="PBD612:PBF612"/>
    <mergeCell ref="PBH612:PBJ612"/>
    <mergeCell ref="PBL612:PBN612"/>
    <mergeCell ref="PAB612:PAD612"/>
    <mergeCell ref="PAF612:PAH612"/>
    <mergeCell ref="PAJ612:PAL612"/>
    <mergeCell ref="PAN612:PAP612"/>
    <mergeCell ref="PAR612:PAT612"/>
    <mergeCell ref="OZH612:OZJ612"/>
    <mergeCell ref="OZL612:OZN612"/>
    <mergeCell ref="OZP612:OZR612"/>
    <mergeCell ref="OZT612:OZV612"/>
    <mergeCell ref="OZX612:OZZ612"/>
    <mergeCell ref="OYN612:OYP612"/>
    <mergeCell ref="OYR612:OYT612"/>
    <mergeCell ref="OYV612:OYX612"/>
    <mergeCell ref="OYZ612:OZB612"/>
    <mergeCell ref="OZD612:OZF612"/>
    <mergeCell ref="OXT612:OXV612"/>
    <mergeCell ref="OXX612:OXZ612"/>
    <mergeCell ref="OYB612:OYD612"/>
    <mergeCell ref="OYF612:OYH612"/>
    <mergeCell ref="OYJ612:OYL612"/>
    <mergeCell ref="PHT612:PHV612"/>
    <mergeCell ref="PHX612:PHZ612"/>
    <mergeCell ref="PIB612:PID612"/>
    <mergeCell ref="PIF612:PIH612"/>
    <mergeCell ref="PIJ612:PIL612"/>
    <mergeCell ref="PGZ612:PHB612"/>
    <mergeCell ref="PHD612:PHF612"/>
    <mergeCell ref="PHH612:PHJ612"/>
    <mergeCell ref="PHL612:PHN612"/>
    <mergeCell ref="PHP612:PHR612"/>
    <mergeCell ref="PGF612:PGH612"/>
    <mergeCell ref="PGJ612:PGL612"/>
    <mergeCell ref="PGN612:PGP612"/>
    <mergeCell ref="PGR612:PGT612"/>
    <mergeCell ref="PGV612:PGX612"/>
    <mergeCell ref="PFL612:PFN612"/>
    <mergeCell ref="PFP612:PFR612"/>
    <mergeCell ref="PFT612:PFV612"/>
    <mergeCell ref="PFX612:PFZ612"/>
    <mergeCell ref="PGB612:PGD612"/>
    <mergeCell ref="PER612:PET612"/>
    <mergeCell ref="PEV612:PEX612"/>
    <mergeCell ref="PEZ612:PFB612"/>
    <mergeCell ref="PFD612:PFF612"/>
    <mergeCell ref="PFH612:PFJ612"/>
    <mergeCell ref="PDX612:PDZ612"/>
    <mergeCell ref="PEB612:PED612"/>
    <mergeCell ref="PEF612:PEH612"/>
    <mergeCell ref="PEJ612:PEL612"/>
    <mergeCell ref="PEN612:PEP612"/>
    <mergeCell ref="PDD612:PDF612"/>
    <mergeCell ref="PDH612:PDJ612"/>
    <mergeCell ref="PDL612:PDN612"/>
    <mergeCell ref="PDP612:PDR612"/>
    <mergeCell ref="PDT612:PDV612"/>
    <mergeCell ref="PND612:PNF612"/>
    <mergeCell ref="PNH612:PNJ612"/>
    <mergeCell ref="PNL612:PNN612"/>
    <mergeCell ref="PNP612:PNR612"/>
    <mergeCell ref="PNT612:PNV612"/>
    <mergeCell ref="PMJ612:PML612"/>
    <mergeCell ref="PMN612:PMP612"/>
    <mergeCell ref="PMR612:PMT612"/>
    <mergeCell ref="PMV612:PMX612"/>
    <mergeCell ref="PMZ612:PNB612"/>
    <mergeCell ref="PLP612:PLR612"/>
    <mergeCell ref="PLT612:PLV612"/>
    <mergeCell ref="PLX612:PLZ612"/>
    <mergeCell ref="PMB612:PMD612"/>
    <mergeCell ref="PMF612:PMH612"/>
    <mergeCell ref="PKV612:PKX612"/>
    <mergeCell ref="PKZ612:PLB612"/>
    <mergeCell ref="PLD612:PLF612"/>
    <mergeCell ref="PLH612:PLJ612"/>
    <mergeCell ref="PLL612:PLN612"/>
    <mergeCell ref="PKB612:PKD612"/>
    <mergeCell ref="PKF612:PKH612"/>
    <mergeCell ref="PKJ612:PKL612"/>
    <mergeCell ref="PKN612:PKP612"/>
    <mergeCell ref="PKR612:PKT612"/>
    <mergeCell ref="PJH612:PJJ612"/>
    <mergeCell ref="PJL612:PJN612"/>
    <mergeCell ref="PJP612:PJR612"/>
    <mergeCell ref="PJT612:PJV612"/>
    <mergeCell ref="PJX612:PJZ612"/>
    <mergeCell ref="PIN612:PIP612"/>
    <mergeCell ref="PIR612:PIT612"/>
    <mergeCell ref="PIV612:PIX612"/>
    <mergeCell ref="PIZ612:PJB612"/>
    <mergeCell ref="PJD612:PJF612"/>
    <mergeCell ref="PSN612:PSP612"/>
    <mergeCell ref="PSR612:PST612"/>
    <mergeCell ref="PSV612:PSX612"/>
    <mergeCell ref="PSZ612:PTB612"/>
    <mergeCell ref="PTD612:PTF612"/>
    <mergeCell ref="PRT612:PRV612"/>
    <mergeCell ref="PRX612:PRZ612"/>
    <mergeCell ref="PSB612:PSD612"/>
    <mergeCell ref="PSF612:PSH612"/>
    <mergeCell ref="PSJ612:PSL612"/>
    <mergeCell ref="PQZ612:PRB612"/>
    <mergeCell ref="PRD612:PRF612"/>
    <mergeCell ref="PRH612:PRJ612"/>
    <mergeCell ref="PRL612:PRN612"/>
    <mergeCell ref="PRP612:PRR612"/>
    <mergeCell ref="PQF612:PQH612"/>
    <mergeCell ref="PQJ612:PQL612"/>
    <mergeCell ref="PQN612:PQP612"/>
    <mergeCell ref="PQR612:PQT612"/>
    <mergeCell ref="PQV612:PQX612"/>
    <mergeCell ref="PPL612:PPN612"/>
    <mergeCell ref="PPP612:PPR612"/>
    <mergeCell ref="PPT612:PPV612"/>
    <mergeCell ref="PPX612:PPZ612"/>
    <mergeCell ref="PQB612:PQD612"/>
    <mergeCell ref="POR612:POT612"/>
    <mergeCell ref="POV612:POX612"/>
    <mergeCell ref="POZ612:PPB612"/>
    <mergeCell ref="PPD612:PPF612"/>
    <mergeCell ref="PPH612:PPJ612"/>
    <mergeCell ref="PNX612:PNZ612"/>
    <mergeCell ref="POB612:POD612"/>
    <mergeCell ref="POF612:POH612"/>
    <mergeCell ref="POJ612:POL612"/>
    <mergeCell ref="PON612:POP612"/>
    <mergeCell ref="PXX612:PXZ612"/>
    <mergeCell ref="PYB612:PYD612"/>
    <mergeCell ref="PYF612:PYH612"/>
    <mergeCell ref="PYJ612:PYL612"/>
    <mergeCell ref="PYN612:PYP612"/>
    <mergeCell ref="PXD612:PXF612"/>
    <mergeCell ref="PXH612:PXJ612"/>
    <mergeCell ref="PXL612:PXN612"/>
    <mergeCell ref="PXP612:PXR612"/>
    <mergeCell ref="PXT612:PXV612"/>
    <mergeCell ref="PWJ612:PWL612"/>
    <mergeCell ref="PWN612:PWP612"/>
    <mergeCell ref="PWR612:PWT612"/>
    <mergeCell ref="PWV612:PWX612"/>
    <mergeCell ref="PWZ612:PXB612"/>
    <mergeCell ref="PVP612:PVR612"/>
    <mergeCell ref="PVT612:PVV612"/>
    <mergeCell ref="PVX612:PVZ612"/>
    <mergeCell ref="PWB612:PWD612"/>
    <mergeCell ref="PWF612:PWH612"/>
    <mergeCell ref="PUV612:PUX612"/>
    <mergeCell ref="PUZ612:PVB612"/>
    <mergeCell ref="PVD612:PVF612"/>
    <mergeCell ref="PVH612:PVJ612"/>
    <mergeCell ref="PVL612:PVN612"/>
    <mergeCell ref="PUB612:PUD612"/>
    <mergeCell ref="PUF612:PUH612"/>
    <mergeCell ref="PUJ612:PUL612"/>
    <mergeCell ref="PUN612:PUP612"/>
    <mergeCell ref="PUR612:PUT612"/>
    <mergeCell ref="PTH612:PTJ612"/>
    <mergeCell ref="PTL612:PTN612"/>
    <mergeCell ref="PTP612:PTR612"/>
    <mergeCell ref="PTT612:PTV612"/>
    <mergeCell ref="PTX612:PTZ612"/>
    <mergeCell ref="QDH612:QDJ612"/>
    <mergeCell ref="QDL612:QDN612"/>
    <mergeCell ref="QDP612:QDR612"/>
    <mergeCell ref="QDT612:QDV612"/>
    <mergeCell ref="QDX612:QDZ612"/>
    <mergeCell ref="QCN612:QCP612"/>
    <mergeCell ref="QCR612:QCT612"/>
    <mergeCell ref="QCV612:QCX612"/>
    <mergeCell ref="QCZ612:QDB612"/>
    <mergeCell ref="QDD612:QDF612"/>
    <mergeCell ref="QBT612:QBV612"/>
    <mergeCell ref="QBX612:QBZ612"/>
    <mergeCell ref="QCB612:QCD612"/>
    <mergeCell ref="QCF612:QCH612"/>
    <mergeCell ref="QCJ612:QCL612"/>
    <mergeCell ref="QAZ612:QBB612"/>
    <mergeCell ref="QBD612:QBF612"/>
    <mergeCell ref="QBH612:QBJ612"/>
    <mergeCell ref="QBL612:QBN612"/>
    <mergeCell ref="QBP612:QBR612"/>
    <mergeCell ref="QAF612:QAH612"/>
    <mergeCell ref="QAJ612:QAL612"/>
    <mergeCell ref="QAN612:QAP612"/>
    <mergeCell ref="QAR612:QAT612"/>
    <mergeCell ref="QAV612:QAX612"/>
    <mergeCell ref="PZL612:PZN612"/>
    <mergeCell ref="PZP612:PZR612"/>
    <mergeCell ref="PZT612:PZV612"/>
    <mergeCell ref="PZX612:PZZ612"/>
    <mergeCell ref="QAB612:QAD612"/>
    <mergeCell ref="PYR612:PYT612"/>
    <mergeCell ref="PYV612:PYX612"/>
    <mergeCell ref="PYZ612:PZB612"/>
    <mergeCell ref="PZD612:PZF612"/>
    <mergeCell ref="PZH612:PZJ612"/>
    <mergeCell ref="QIR612:QIT612"/>
    <mergeCell ref="QIV612:QIX612"/>
    <mergeCell ref="QIZ612:QJB612"/>
    <mergeCell ref="QJD612:QJF612"/>
    <mergeCell ref="QJH612:QJJ612"/>
    <mergeCell ref="QHX612:QHZ612"/>
    <mergeCell ref="QIB612:QID612"/>
    <mergeCell ref="QIF612:QIH612"/>
    <mergeCell ref="QIJ612:QIL612"/>
    <mergeCell ref="QIN612:QIP612"/>
    <mergeCell ref="QHD612:QHF612"/>
    <mergeCell ref="QHH612:QHJ612"/>
    <mergeCell ref="QHL612:QHN612"/>
    <mergeCell ref="QHP612:QHR612"/>
    <mergeCell ref="QHT612:QHV612"/>
    <mergeCell ref="QGJ612:QGL612"/>
    <mergeCell ref="QGN612:QGP612"/>
    <mergeCell ref="QGR612:QGT612"/>
    <mergeCell ref="QGV612:QGX612"/>
    <mergeCell ref="QGZ612:QHB612"/>
    <mergeCell ref="QFP612:QFR612"/>
    <mergeCell ref="QFT612:QFV612"/>
    <mergeCell ref="QFX612:QFZ612"/>
    <mergeCell ref="QGB612:QGD612"/>
    <mergeCell ref="QGF612:QGH612"/>
    <mergeCell ref="QEV612:QEX612"/>
    <mergeCell ref="QEZ612:QFB612"/>
    <mergeCell ref="QFD612:QFF612"/>
    <mergeCell ref="QFH612:QFJ612"/>
    <mergeCell ref="QFL612:QFN612"/>
    <mergeCell ref="QEB612:QED612"/>
    <mergeCell ref="QEF612:QEH612"/>
    <mergeCell ref="QEJ612:QEL612"/>
    <mergeCell ref="QEN612:QEP612"/>
    <mergeCell ref="QER612:QET612"/>
    <mergeCell ref="QOB612:QOD612"/>
    <mergeCell ref="QOF612:QOH612"/>
    <mergeCell ref="QOJ612:QOL612"/>
    <mergeCell ref="QON612:QOP612"/>
    <mergeCell ref="QOR612:QOT612"/>
    <mergeCell ref="QNH612:QNJ612"/>
    <mergeCell ref="QNL612:QNN612"/>
    <mergeCell ref="QNP612:QNR612"/>
    <mergeCell ref="QNT612:QNV612"/>
    <mergeCell ref="QNX612:QNZ612"/>
    <mergeCell ref="QMN612:QMP612"/>
    <mergeCell ref="QMR612:QMT612"/>
    <mergeCell ref="QMV612:QMX612"/>
    <mergeCell ref="QMZ612:QNB612"/>
    <mergeCell ref="QND612:QNF612"/>
    <mergeCell ref="QLT612:QLV612"/>
    <mergeCell ref="QLX612:QLZ612"/>
    <mergeCell ref="QMB612:QMD612"/>
    <mergeCell ref="QMF612:QMH612"/>
    <mergeCell ref="QMJ612:QML612"/>
    <mergeCell ref="QKZ612:QLB612"/>
    <mergeCell ref="QLD612:QLF612"/>
    <mergeCell ref="QLH612:QLJ612"/>
    <mergeCell ref="QLL612:QLN612"/>
    <mergeCell ref="QLP612:QLR612"/>
    <mergeCell ref="QKF612:QKH612"/>
    <mergeCell ref="QKJ612:QKL612"/>
    <mergeCell ref="QKN612:QKP612"/>
    <mergeCell ref="QKR612:QKT612"/>
    <mergeCell ref="QKV612:QKX612"/>
    <mergeCell ref="QJL612:QJN612"/>
    <mergeCell ref="QJP612:QJR612"/>
    <mergeCell ref="QJT612:QJV612"/>
    <mergeCell ref="QJX612:QJZ612"/>
    <mergeCell ref="QKB612:QKD612"/>
    <mergeCell ref="QTL612:QTN612"/>
    <mergeCell ref="QTP612:QTR612"/>
    <mergeCell ref="QTT612:QTV612"/>
    <mergeCell ref="QTX612:QTZ612"/>
    <mergeCell ref="QUB612:QUD612"/>
    <mergeCell ref="QSR612:QST612"/>
    <mergeCell ref="QSV612:QSX612"/>
    <mergeCell ref="QSZ612:QTB612"/>
    <mergeCell ref="QTD612:QTF612"/>
    <mergeCell ref="QTH612:QTJ612"/>
    <mergeCell ref="QRX612:QRZ612"/>
    <mergeCell ref="QSB612:QSD612"/>
    <mergeCell ref="QSF612:QSH612"/>
    <mergeCell ref="QSJ612:QSL612"/>
    <mergeCell ref="QSN612:QSP612"/>
    <mergeCell ref="QRD612:QRF612"/>
    <mergeCell ref="QRH612:QRJ612"/>
    <mergeCell ref="QRL612:QRN612"/>
    <mergeCell ref="QRP612:QRR612"/>
    <mergeCell ref="QRT612:QRV612"/>
    <mergeCell ref="QQJ612:QQL612"/>
    <mergeCell ref="QQN612:QQP612"/>
    <mergeCell ref="QQR612:QQT612"/>
    <mergeCell ref="QQV612:QQX612"/>
    <mergeCell ref="QQZ612:QRB612"/>
    <mergeCell ref="QPP612:QPR612"/>
    <mergeCell ref="QPT612:QPV612"/>
    <mergeCell ref="QPX612:QPZ612"/>
    <mergeCell ref="QQB612:QQD612"/>
    <mergeCell ref="QQF612:QQH612"/>
    <mergeCell ref="QOV612:QOX612"/>
    <mergeCell ref="QOZ612:QPB612"/>
    <mergeCell ref="QPD612:QPF612"/>
    <mergeCell ref="QPH612:QPJ612"/>
    <mergeCell ref="QPL612:QPN612"/>
    <mergeCell ref="QYV612:QYX612"/>
    <mergeCell ref="QYZ612:QZB612"/>
    <mergeCell ref="QZD612:QZF612"/>
    <mergeCell ref="QZH612:QZJ612"/>
    <mergeCell ref="QZL612:QZN612"/>
    <mergeCell ref="QYB612:QYD612"/>
    <mergeCell ref="QYF612:QYH612"/>
    <mergeCell ref="QYJ612:QYL612"/>
    <mergeCell ref="QYN612:QYP612"/>
    <mergeCell ref="QYR612:QYT612"/>
    <mergeCell ref="QXH612:QXJ612"/>
    <mergeCell ref="QXL612:QXN612"/>
    <mergeCell ref="QXP612:QXR612"/>
    <mergeCell ref="QXT612:QXV612"/>
    <mergeCell ref="QXX612:QXZ612"/>
    <mergeCell ref="QWN612:QWP612"/>
    <mergeCell ref="QWR612:QWT612"/>
    <mergeCell ref="QWV612:QWX612"/>
    <mergeCell ref="QWZ612:QXB612"/>
    <mergeCell ref="QXD612:QXF612"/>
    <mergeCell ref="QVT612:QVV612"/>
    <mergeCell ref="QVX612:QVZ612"/>
    <mergeCell ref="QWB612:QWD612"/>
    <mergeCell ref="QWF612:QWH612"/>
    <mergeCell ref="QWJ612:QWL612"/>
    <mergeCell ref="QUZ612:QVB612"/>
    <mergeCell ref="QVD612:QVF612"/>
    <mergeCell ref="QVH612:QVJ612"/>
    <mergeCell ref="QVL612:QVN612"/>
    <mergeCell ref="QVP612:QVR612"/>
    <mergeCell ref="QUF612:QUH612"/>
    <mergeCell ref="QUJ612:QUL612"/>
    <mergeCell ref="QUN612:QUP612"/>
    <mergeCell ref="QUR612:QUT612"/>
    <mergeCell ref="QUV612:QUX612"/>
    <mergeCell ref="REF612:REH612"/>
    <mergeCell ref="REJ612:REL612"/>
    <mergeCell ref="REN612:REP612"/>
    <mergeCell ref="RER612:RET612"/>
    <mergeCell ref="REV612:REX612"/>
    <mergeCell ref="RDL612:RDN612"/>
    <mergeCell ref="RDP612:RDR612"/>
    <mergeCell ref="RDT612:RDV612"/>
    <mergeCell ref="RDX612:RDZ612"/>
    <mergeCell ref="REB612:RED612"/>
    <mergeCell ref="RCR612:RCT612"/>
    <mergeCell ref="RCV612:RCX612"/>
    <mergeCell ref="RCZ612:RDB612"/>
    <mergeCell ref="RDD612:RDF612"/>
    <mergeCell ref="RDH612:RDJ612"/>
    <mergeCell ref="RBX612:RBZ612"/>
    <mergeCell ref="RCB612:RCD612"/>
    <mergeCell ref="RCF612:RCH612"/>
    <mergeCell ref="RCJ612:RCL612"/>
    <mergeCell ref="RCN612:RCP612"/>
    <mergeCell ref="RBD612:RBF612"/>
    <mergeCell ref="RBH612:RBJ612"/>
    <mergeCell ref="RBL612:RBN612"/>
    <mergeCell ref="RBP612:RBR612"/>
    <mergeCell ref="RBT612:RBV612"/>
    <mergeCell ref="RAJ612:RAL612"/>
    <mergeCell ref="RAN612:RAP612"/>
    <mergeCell ref="RAR612:RAT612"/>
    <mergeCell ref="RAV612:RAX612"/>
    <mergeCell ref="RAZ612:RBB612"/>
    <mergeCell ref="QZP612:QZR612"/>
    <mergeCell ref="QZT612:QZV612"/>
    <mergeCell ref="QZX612:QZZ612"/>
    <mergeCell ref="RAB612:RAD612"/>
    <mergeCell ref="RAF612:RAH612"/>
    <mergeCell ref="RJP612:RJR612"/>
    <mergeCell ref="RJT612:RJV612"/>
    <mergeCell ref="RJX612:RJZ612"/>
    <mergeCell ref="RKB612:RKD612"/>
    <mergeCell ref="RKF612:RKH612"/>
    <mergeCell ref="RIV612:RIX612"/>
    <mergeCell ref="RIZ612:RJB612"/>
    <mergeCell ref="RJD612:RJF612"/>
    <mergeCell ref="RJH612:RJJ612"/>
    <mergeCell ref="RJL612:RJN612"/>
    <mergeCell ref="RIB612:RID612"/>
    <mergeCell ref="RIF612:RIH612"/>
    <mergeCell ref="RIJ612:RIL612"/>
    <mergeCell ref="RIN612:RIP612"/>
    <mergeCell ref="RIR612:RIT612"/>
    <mergeCell ref="RHH612:RHJ612"/>
    <mergeCell ref="RHL612:RHN612"/>
    <mergeCell ref="RHP612:RHR612"/>
    <mergeCell ref="RHT612:RHV612"/>
    <mergeCell ref="RHX612:RHZ612"/>
    <mergeCell ref="RGN612:RGP612"/>
    <mergeCell ref="RGR612:RGT612"/>
    <mergeCell ref="RGV612:RGX612"/>
    <mergeCell ref="RGZ612:RHB612"/>
    <mergeCell ref="RHD612:RHF612"/>
    <mergeCell ref="RFT612:RFV612"/>
    <mergeCell ref="RFX612:RFZ612"/>
    <mergeCell ref="RGB612:RGD612"/>
    <mergeCell ref="RGF612:RGH612"/>
    <mergeCell ref="RGJ612:RGL612"/>
    <mergeCell ref="REZ612:RFB612"/>
    <mergeCell ref="RFD612:RFF612"/>
    <mergeCell ref="RFH612:RFJ612"/>
    <mergeCell ref="RFL612:RFN612"/>
    <mergeCell ref="RFP612:RFR612"/>
    <mergeCell ref="ROZ612:RPB612"/>
    <mergeCell ref="RPD612:RPF612"/>
    <mergeCell ref="RPH612:RPJ612"/>
    <mergeCell ref="RPL612:RPN612"/>
    <mergeCell ref="RPP612:RPR612"/>
    <mergeCell ref="ROF612:ROH612"/>
    <mergeCell ref="ROJ612:ROL612"/>
    <mergeCell ref="RON612:ROP612"/>
    <mergeCell ref="ROR612:ROT612"/>
    <mergeCell ref="ROV612:ROX612"/>
    <mergeCell ref="RNL612:RNN612"/>
    <mergeCell ref="RNP612:RNR612"/>
    <mergeCell ref="RNT612:RNV612"/>
    <mergeCell ref="RNX612:RNZ612"/>
    <mergeCell ref="ROB612:ROD612"/>
    <mergeCell ref="RMR612:RMT612"/>
    <mergeCell ref="RMV612:RMX612"/>
    <mergeCell ref="RMZ612:RNB612"/>
    <mergeCell ref="RND612:RNF612"/>
    <mergeCell ref="RNH612:RNJ612"/>
    <mergeCell ref="RLX612:RLZ612"/>
    <mergeCell ref="RMB612:RMD612"/>
    <mergeCell ref="RMF612:RMH612"/>
    <mergeCell ref="RMJ612:RML612"/>
    <mergeCell ref="RMN612:RMP612"/>
    <mergeCell ref="RLD612:RLF612"/>
    <mergeCell ref="RLH612:RLJ612"/>
    <mergeCell ref="RLL612:RLN612"/>
    <mergeCell ref="RLP612:RLR612"/>
    <mergeCell ref="RLT612:RLV612"/>
    <mergeCell ref="RKJ612:RKL612"/>
    <mergeCell ref="RKN612:RKP612"/>
    <mergeCell ref="RKR612:RKT612"/>
    <mergeCell ref="RKV612:RKX612"/>
    <mergeCell ref="RKZ612:RLB612"/>
    <mergeCell ref="RUJ612:RUL612"/>
    <mergeCell ref="RUN612:RUP612"/>
    <mergeCell ref="RUR612:RUT612"/>
    <mergeCell ref="RUV612:RUX612"/>
    <mergeCell ref="RUZ612:RVB612"/>
    <mergeCell ref="RTP612:RTR612"/>
    <mergeCell ref="RTT612:RTV612"/>
    <mergeCell ref="RTX612:RTZ612"/>
    <mergeCell ref="RUB612:RUD612"/>
    <mergeCell ref="RUF612:RUH612"/>
    <mergeCell ref="RSV612:RSX612"/>
    <mergeCell ref="RSZ612:RTB612"/>
    <mergeCell ref="RTD612:RTF612"/>
    <mergeCell ref="RTH612:RTJ612"/>
    <mergeCell ref="RTL612:RTN612"/>
    <mergeCell ref="RSB612:RSD612"/>
    <mergeCell ref="RSF612:RSH612"/>
    <mergeCell ref="RSJ612:RSL612"/>
    <mergeCell ref="RSN612:RSP612"/>
    <mergeCell ref="RSR612:RST612"/>
    <mergeCell ref="RRH612:RRJ612"/>
    <mergeCell ref="RRL612:RRN612"/>
    <mergeCell ref="RRP612:RRR612"/>
    <mergeCell ref="RRT612:RRV612"/>
    <mergeCell ref="RRX612:RRZ612"/>
    <mergeCell ref="RQN612:RQP612"/>
    <mergeCell ref="RQR612:RQT612"/>
    <mergeCell ref="RQV612:RQX612"/>
    <mergeCell ref="RQZ612:RRB612"/>
    <mergeCell ref="RRD612:RRF612"/>
    <mergeCell ref="RPT612:RPV612"/>
    <mergeCell ref="RPX612:RPZ612"/>
    <mergeCell ref="RQB612:RQD612"/>
    <mergeCell ref="RQF612:RQH612"/>
    <mergeCell ref="RQJ612:RQL612"/>
    <mergeCell ref="RZT612:RZV612"/>
    <mergeCell ref="RZX612:RZZ612"/>
    <mergeCell ref="SAB612:SAD612"/>
    <mergeCell ref="SAF612:SAH612"/>
    <mergeCell ref="SAJ612:SAL612"/>
    <mergeCell ref="RYZ612:RZB612"/>
    <mergeCell ref="RZD612:RZF612"/>
    <mergeCell ref="RZH612:RZJ612"/>
    <mergeCell ref="RZL612:RZN612"/>
    <mergeCell ref="RZP612:RZR612"/>
    <mergeCell ref="RYF612:RYH612"/>
    <mergeCell ref="RYJ612:RYL612"/>
    <mergeCell ref="RYN612:RYP612"/>
    <mergeCell ref="RYR612:RYT612"/>
    <mergeCell ref="RYV612:RYX612"/>
    <mergeCell ref="RXL612:RXN612"/>
    <mergeCell ref="RXP612:RXR612"/>
    <mergeCell ref="RXT612:RXV612"/>
    <mergeCell ref="RXX612:RXZ612"/>
    <mergeCell ref="RYB612:RYD612"/>
    <mergeCell ref="RWR612:RWT612"/>
    <mergeCell ref="RWV612:RWX612"/>
    <mergeCell ref="RWZ612:RXB612"/>
    <mergeCell ref="RXD612:RXF612"/>
    <mergeCell ref="RXH612:RXJ612"/>
    <mergeCell ref="RVX612:RVZ612"/>
    <mergeCell ref="RWB612:RWD612"/>
    <mergeCell ref="RWF612:RWH612"/>
    <mergeCell ref="RWJ612:RWL612"/>
    <mergeCell ref="RWN612:RWP612"/>
    <mergeCell ref="RVD612:RVF612"/>
    <mergeCell ref="RVH612:RVJ612"/>
    <mergeCell ref="RVL612:RVN612"/>
    <mergeCell ref="RVP612:RVR612"/>
    <mergeCell ref="RVT612:RVV612"/>
    <mergeCell ref="SFD612:SFF612"/>
    <mergeCell ref="SFH612:SFJ612"/>
    <mergeCell ref="SFL612:SFN612"/>
    <mergeCell ref="SFP612:SFR612"/>
    <mergeCell ref="SFT612:SFV612"/>
    <mergeCell ref="SEJ612:SEL612"/>
    <mergeCell ref="SEN612:SEP612"/>
    <mergeCell ref="SER612:SET612"/>
    <mergeCell ref="SEV612:SEX612"/>
    <mergeCell ref="SEZ612:SFB612"/>
    <mergeCell ref="SDP612:SDR612"/>
    <mergeCell ref="SDT612:SDV612"/>
    <mergeCell ref="SDX612:SDZ612"/>
    <mergeCell ref="SEB612:SED612"/>
    <mergeCell ref="SEF612:SEH612"/>
    <mergeCell ref="SCV612:SCX612"/>
    <mergeCell ref="SCZ612:SDB612"/>
    <mergeCell ref="SDD612:SDF612"/>
    <mergeCell ref="SDH612:SDJ612"/>
    <mergeCell ref="SDL612:SDN612"/>
    <mergeCell ref="SCB612:SCD612"/>
    <mergeCell ref="SCF612:SCH612"/>
    <mergeCell ref="SCJ612:SCL612"/>
    <mergeCell ref="SCN612:SCP612"/>
    <mergeCell ref="SCR612:SCT612"/>
    <mergeCell ref="SBH612:SBJ612"/>
    <mergeCell ref="SBL612:SBN612"/>
    <mergeCell ref="SBP612:SBR612"/>
    <mergeCell ref="SBT612:SBV612"/>
    <mergeCell ref="SBX612:SBZ612"/>
    <mergeCell ref="SAN612:SAP612"/>
    <mergeCell ref="SAR612:SAT612"/>
    <mergeCell ref="SAV612:SAX612"/>
    <mergeCell ref="SAZ612:SBB612"/>
    <mergeCell ref="SBD612:SBF612"/>
    <mergeCell ref="SKN612:SKP612"/>
    <mergeCell ref="SKR612:SKT612"/>
    <mergeCell ref="SKV612:SKX612"/>
    <mergeCell ref="SKZ612:SLB612"/>
    <mergeCell ref="SLD612:SLF612"/>
    <mergeCell ref="SJT612:SJV612"/>
    <mergeCell ref="SJX612:SJZ612"/>
    <mergeCell ref="SKB612:SKD612"/>
    <mergeCell ref="SKF612:SKH612"/>
    <mergeCell ref="SKJ612:SKL612"/>
    <mergeCell ref="SIZ612:SJB612"/>
    <mergeCell ref="SJD612:SJF612"/>
    <mergeCell ref="SJH612:SJJ612"/>
    <mergeCell ref="SJL612:SJN612"/>
    <mergeCell ref="SJP612:SJR612"/>
    <mergeCell ref="SIF612:SIH612"/>
    <mergeCell ref="SIJ612:SIL612"/>
    <mergeCell ref="SIN612:SIP612"/>
    <mergeCell ref="SIR612:SIT612"/>
    <mergeCell ref="SIV612:SIX612"/>
    <mergeCell ref="SHL612:SHN612"/>
    <mergeCell ref="SHP612:SHR612"/>
    <mergeCell ref="SHT612:SHV612"/>
    <mergeCell ref="SHX612:SHZ612"/>
    <mergeCell ref="SIB612:SID612"/>
    <mergeCell ref="SGR612:SGT612"/>
    <mergeCell ref="SGV612:SGX612"/>
    <mergeCell ref="SGZ612:SHB612"/>
    <mergeCell ref="SHD612:SHF612"/>
    <mergeCell ref="SHH612:SHJ612"/>
    <mergeCell ref="SFX612:SFZ612"/>
    <mergeCell ref="SGB612:SGD612"/>
    <mergeCell ref="SGF612:SGH612"/>
    <mergeCell ref="SGJ612:SGL612"/>
    <mergeCell ref="SGN612:SGP612"/>
    <mergeCell ref="SPX612:SPZ612"/>
    <mergeCell ref="SQB612:SQD612"/>
    <mergeCell ref="SQF612:SQH612"/>
    <mergeCell ref="SQJ612:SQL612"/>
    <mergeCell ref="SQN612:SQP612"/>
    <mergeCell ref="SPD612:SPF612"/>
    <mergeCell ref="SPH612:SPJ612"/>
    <mergeCell ref="SPL612:SPN612"/>
    <mergeCell ref="SPP612:SPR612"/>
    <mergeCell ref="SPT612:SPV612"/>
    <mergeCell ref="SOJ612:SOL612"/>
    <mergeCell ref="SON612:SOP612"/>
    <mergeCell ref="SOR612:SOT612"/>
    <mergeCell ref="SOV612:SOX612"/>
    <mergeCell ref="SOZ612:SPB612"/>
    <mergeCell ref="SNP612:SNR612"/>
    <mergeCell ref="SNT612:SNV612"/>
    <mergeCell ref="SNX612:SNZ612"/>
    <mergeCell ref="SOB612:SOD612"/>
    <mergeCell ref="SOF612:SOH612"/>
    <mergeCell ref="SMV612:SMX612"/>
    <mergeCell ref="SMZ612:SNB612"/>
    <mergeCell ref="SND612:SNF612"/>
    <mergeCell ref="SNH612:SNJ612"/>
    <mergeCell ref="SNL612:SNN612"/>
    <mergeCell ref="SMB612:SMD612"/>
    <mergeCell ref="SMF612:SMH612"/>
    <mergeCell ref="SMJ612:SML612"/>
    <mergeCell ref="SMN612:SMP612"/>
    <mergeCell ref="SMR612:SMT612"/>
    <mergeCell ref="SLH612:SLJ612"/>
    <mergeCell ref="SLL612:SLN612"/>
    <mergeCell ref="SLP612:SLR612"/>
    <mergeCell ref="SLT612:SLV612"/>
    <mergeCell ref="SLX612:SLZ612"/>
    <mergeCell ref="SVH612:SVJ612"/>
    <mergeCell ref="SVL612:SVN612"/>
    <mergeCell ref="SVP612:SVR612"/>
    <mergeCell ref="SVT612:SVV612"/>
    <mergeCell ref="SVX612:SVZ612"/>
    <mergeCell ref="SUN612:SUP612"/>
    <mergeCell ref="SUR612:SUT612"/>
    <mergeCell ref="SUV612:SUX612"/>
    <mergeCell ref="SUZ612:SVB612"/>
    <mergeCell ref="SVD612:SVF612"/>
    <mergeCell ref="STT612:STV612"/>
    <mergeCell ref="STX612:STZ612"/>
    <mergeCell ref="SUB612:SUD612"/>
    <mergeCell ref="SUF612:SUH612"/>
    <mergeCell ref="SUJ612:SUL612"/>
    <mergeCell ref="SSZ612:STB612"/>
    <mergeCell ref="STD612:STF612"/>
    <mergeCell ref="STH612:STJ612"/>
    <mergeCell ref="STL612:STN612"/>
    <mergeCell ref="STP612:STR612"/>
    <mergeCell ref="SSF612:SSH612"/>
    <mergeCell ref="SSJ612:SSL612"/>
    <mergeCell ref="SSN612:SSP612"/>
    <mergeCell ref="SSR612:SST612"/>
    <mergeCell ref="SSV612:SSX612"/>
    <mergeCell ref="SRL612:SRN612"/>
    <mergeCell ref="SRP612:SRR612"/>
    <mergeCell ref="SRT612:SRV612"/>
    <mergeCell ref="SRX612:SRZ612"/>
    <mergeCell ref="SSB612:SSD612"/>
    <mergeCell ref="SQR612:SQT612"/>
    <mergeCell ref="SQV612:SQX612"/>
    <mergeCell ref="SQZ612:SRB612"/>
    <mergeCell ref="SRD612:SRF612"/>
    <mergeCell ref="SRH612:SRJ612"/>
    <mergeCell ref="TAR612:TAT612"/>
    <mergeCell ref="TAV612:TAX612"/>
    <mergeCell ref="TAZ612:TBB612"/>
    <mergeCell ref="TBD612:TBF612"/>
    <mergeCell ref="TBH612:TBJ612"/>
    <mergeCell ref="SZX612:SZZ612"/>
    <mergeCell ref="TAB612:TAD612"/>
    <mergeCell ref="TAF612:TAH612"/>
    <mergeCell ref="TAJ612:TAL612"/>
    <mergeCell ref="TAN612:TAP612"/>
    <mergeCell ref="SZD612:SZF612"/>
    <mergeCell ref="SZH612:SZJ612"/>
    <mergeCell ref="SZL612:SZN612"/>
    <mergeCell ref="SZP612:SZR612"/>
    <mergeCell ref="SZT612:SZV612"/>
    <mergeCell ref="SYJ612:SYL612"/>
    <mergeCell ref="SYN612:SYP612"/>
    <mergeCell ref="SYR612:SYT612"/>
    <mergeCell ref="SYV612:SYX612"/>
    <mergeCell ref="SYZ612:SZB612"/>
    <mergeCell ref="SXP612:SXR612"/>
    <mergeCell ref="SXT612:SXV612"/>
    <mergeCell ref="SXX612:SXZ612"/>
    <mergeCell ref="SYB612:SYD612"/>
    <mergeCell ref="SYF612:SYH612"/>
    <mergeCell ref="SWV612:SWX612"/>
    <mergeCell ref="SWZ612:SXB612"/>
    <mergeCell ref="SXD612:SXF612"/>
    <mergeCell ref="SXH612:SXJ612"/>
    <mergeCell ref="SXL612:SXN612"/>
    <mergeCell ref="SWB612:SWD612"/>
    <mergeCell ref="SWF612:SWH612"/>
    <mergeCell ref="SWJ612:SWL612"/>
    <mergeCell ref="SWN612:SWP612"/>
    <mergeCell ref="SWR612:SWT612"/>
    <mergeCell ref="TGB612:TGD612"/>
    <mergeCell ref="TGF612:TGH612"/>
    <mergeCell ref="TGJ612:TGL612"/>
    <mergeCell ref="TGN612:TGP612"/>
    <mergeCell ref="TGR612:TGT612"/>
    <mergeCell ref="TFH612:TFJ612"/>
    <mergeCell ref="TFL612:TFN612"/>
    <mergeCell ref="TFP612:TFR612"/>
    <mergeCell ref="TFT612:TFV612"/>
    <mergeCell ref="TFX612:TFZ612"/>
    <mergeCell ref="TEN612:TEP612"/>
    <mergeCell ref="TER612:TET612"/>
    <mergeCell ref="TEV612:TEX612"/>
    <mergeCell ref="TEZ612:TFB612"/>
    <mergeCell ref="TFD612:TFF612"/>
    <mergeCell ref="TDT612:TDV612"/>
    <mergeCell ref="TDX612:TDZ612"/>
    <mergeCell ref="TEB612:TED612"/>
    <mergeCell ref="TEF612:TEH612"/>
    <mergeCell ref="TEJ612:TEL612"/>
    <mergeCell ref="TCZ612:TDB612"/>
    <mergeCell ref="TDD612:TDF612"/>
    <mergeCell ref="TDH612:TDJ612"/>
    <mergeCell ref="TDL612:TDN612"/>
    <mergeCell ref="TDP612:TDR612"/>
    <mergeCell ref="TCF612:TCH612"/>
    <mergeCell ref="TCJ612:TCL612"/>
    <mergeCell ref="TCN612:TCP612"/>
    <mergeCell ref="TCR612:TCT612"/>
    <mergeCell ref="TCV612:TCX612"/>
    <mergeCell ref="TBL612:TBN612"/>
    <mergeCell ref="TBP612:TBR612"/>
    <mergeCell ref="TBT612:TBV612"/>
    <mergeCell ref="TBX612:TBZ612"/>
    <mergeCell ref="TCB612:TCD612"/>
    <mergeCell ref="TLL612:TLN612"/>
    <mergeCell ref="TLP612:TLR612"/>
    <mergeCell ref="TLT612:TLV612"/>
    <mergeCell ref="TLX612:TLZ612"/>
    <mergeCell ref="TMB612:TMD612"/>
    <mergeCell ref="TKR612:TKT612"/>
    <mergeCell ref="TKV612:TKX612"/>
    <mergeCell ref="TKZ612:TLB612"/>
    <mergeCell ref="TLD612:TLF612"/>
    <mergeCell ref="TLH612:TLJ612"/>
    <mergeCell ref="TJX612:TJZ612"/>
    <mergeCell ref="TKB612:TKD612"/>
    <mergeCell ref="TKF612:TKH612"/>
    <mergeCell ref="TKJ612:TKL612"/>
    <mergeCell ref="TKN612:TKP612"/>
    <mergeCell ref="TJD612:TJF612"/>
    <mergeCell ref="TJH612:TJJ612"/>
    <mergeCell ref="TJL612:TJN612"/>
    <mergeCell ref="TJP612:TJR612"/>
    <mergeCell ref="TJT612:TJV612"/>
    <mergeCell ref="TIJ612:TIL612"/>
    <mergeCell ref="TIN612:TIP612"/>
    <mergeCell ref="TIR612:TIT612"/>
    <mergeCell ref="TIV612:TIX612"/>
    <mergeCell ref="TIZ612:TJB612"/>
    <mergeCell ref="THP612:THR612"/>
    <mergeCell ref="THT612:THV612"/>
    <mergeCell ref="THX612:THZ612"/>
    <mergeCell ref="TIB612:TID612"/>
    <mergeCell ref="TIF612:TIH612"/>
    <mergeCell ref="TGV612:TGX612"/>
    <mergeCell ref="TGZ612:THB612"/>
    <mergeCell ref="THD612:THF612"/>
    <mergeCell ref="THH612:THJ612"/>
    <mergeCell ref="THL612:THN612"/>
    <mergeCell ref="TQV612:TQX612"/>
    <mergeCell ref="TQZ612:TRB612"/>
    <mergeCell ref="TRD612:TRF612"/>
    <mergeCell ref="TRH612:TRJ612"/>
    <mergeCell ref="TRL612:TRN612"/>
    <mergeCell ref="TQB612:TQD612"/>
    <mergeCell ref="TQF612:TQH612"/>
    <mergeCell ref="TQJ612:TQL612"/>
    <mergeCell ref="TQN612:TQP612"/>
    <mergeCell ref="TQR612:TQT612"/>
    <mergeCell ref="TPH612:TPJ612"/>
    <mergeCell ref="TPL612:TPN612"/>
    <mergeCell ref="TPP612:TPR612"/>
    <mergeCell ref="TPT612:TPV612"/>
    <mergeCell ref="TPX612:TPZ612"/>
    <mergeCell ref="TON612:TOP612"/>
    <mergeCell ref="TOR612:TOT612"/>
    <mergeCell ref="TOV612:TOX612"/>
    <mergeCell ref="TOZ612:TPB612"/>
    <mergeCell ref="TPD612:TPF612"/>
    <mergeCell ref="TNT612:TNV612"/>
    <mergeCell ref="TNX612:TNZ612"/>
    <mergeCell ref="TOB612:TOD612"/>
    <mergeCell ref="TOF612:TOH612"/>
    <mergeCell ref="TOJ612:TOL612"/>
    <mergeCell ref="TMZ612:TNB612"/>
    <mergeCell ref="TND612:TNF612"/>
    <mergeCell ref="TNH612:TNJ612"/>
    <mergeCell ref="TNL612:TNN612"/>
    <mergeCell ref="TNP612:TNR612"/>
    <mergeCell ref="TMF612:TMH612"/>
    <mergeCell ref="TMJ612:TML612"/>
    <mergeCell ref="TMN612:TMP612"/>
    <mergeCell ref="TMR612:TMT612"/>
    <mergeCell ref="TMV612:TMX612"/>
    <mergeCell ref="TWF612:TWH612"/>
    <mergeCell ref="TWJ612:TWL612"/>
    <mergeCell ref="TWN612:TWP612"/>
    <mergeCell ref="TWR612:TWT612"/>
    <mergeCell ref="TWV612:TWX612"/>
    <mergeCell ref="TVL612:TVN612"/>
    <mergeCell ref="TVP612:TVR612"/>
    <mergeCell ref="TVT612:TVV612"/>
    <mergeCell ref="TVX612:TVZ612"/>
    <mergeCell ref="TWB612:TWD612"/>
    <mergeCell ref="TUR612:TUT612"/>
    <mergeCell ref="TUV612:TUX612"/>
    <mergeCell ref="TUZ612:TVB612"/>
    <mergeCell ref="TVD612:TVF612"/>
    <mergeCell ref="TVH612:TVJ612"/>
    <mergeCell ref="TTX612:TTZ612"/>
    <mergeCell ref="TUB612:TUD612"/>
    <mergeCell ref="TUF612:TUH612"/>
    <mergeCell ref="TUJ612:TUL612"/>
    <mergeCell ref="TUN612:TUP612"/>
    <mergeCell ref="TTD612:TTF612"/>
    <mergeCell ref="TTH612:TTJ612"/>
    <mergeCell ref="TTL612:TTN612"/>
    <mergeCell ref="TTP612:TTR612"/>
    <mergeCell ref="TTT612:TTV612"/>
    <mergeCell ref="TSJ612:TSL612"/>
    <mergeCell ref="TSN612:TSP612"/>
    <mergeCell ref="TSR612:TST612"/>
    <mergeCell ref="TSV612:TSX612"/>
    <mergeCell ref="TSZ612:TTB612"/>
    <mergeCell ref="TRP612:TRR612"/>
    <mergeCell ref="TRT612:TRV612"/>
    <mergeCell ref="TRX612:TRZ612"/>
    <mergeCell ref="TSB612:TSD612"/>
    <mergeCell ref="TSF612:TSH612"/>
    <mergeCell ref="UBP612:UBR612"/>
    <mergeCell ref="UBT612:UBV612"/>
    <mergeCell ref="UBX612:UBZ612"/>
    <mergeCell ref="UCB612:UCD612"/>
    <mergeCell ref="UCF612:UCH612"/>
    <mergeCell ref="UAV612:UAX612"/>
    <mergeCell ref="UAZ612:UBB612"/>
    <mergeCell ref="UBD612:UBF612"/>
    <mergeCell ref="UBH612:UBJ612"/>
    <mergeCell ref="UBL612:UBN612"/>
    <mergeCell ref="UAB612:UAD612"/>
    <mergeCell ref="UAF612:UAH612"/>
    <mergeCell ref="UAJ612:UAL612"/>
    <mergeCell ref="UAN612:UAP612"/>
    <mergeCell ref="UAR612:UAT612"/>
    <mergeCell ref="TZH612:TZJ612"/>
    <mergeCell ref="TZL612:TZN612"/>
    <mergeCell ref="TZP612:TZR612"/>
    <mergeCell ref="TZT612:TZV612"/>
    <mergeCell ref="TZX612:TZZ612"/>
    <mergeCell ref="TYN612:TYP612"/>
    <mergeCell ref="TYR612:TYT612"/>
    <mergeCell ref="TYV612:TYX612"/>
    <mergeCell ref="TYZ612:TZB612"/>
    <mergeCell ref="TZD612:TZF612"/>
    <mergeCell ref="TXT612:TXV612"/>
    <mergeCell ref="TXX612:TXZ612"/>
    <mergeCell ref="TYB612:TYD612"/>
    <mergeCell ref="TYF612:TYH612"/>
    <mergeCell ref="TYJ612:TYL612"/>
    <mergeCell ref="TWZ612:TXB612"/>
    <mergeCell ref="TXD612:TXF612"/>
    <mergeCell ref="TXH612:TXJ612"/>
    <mergeCell ref="TXL612:TXN612"/>
    <mergeCell ref="TXP612:TXR612"/>
    <mergeCell ref="UGZ612:UHB612"/>
    <mergeCell ref="UHD612:UHF612"/>
    <mergeCell ref="UHH612:UHJ612"/>
    <mergeCell ref="UHL612:UHN612"/>
    <mergeCell ref="UHP612:UHR612"/>
    <mergeCell ref="UGF612:UGH612"/>
    <mergeCell ref="UGJ612:UGL612"/>
    <mergeCell ref="UGN612:UGP612"/>
    <mergeCell ref="UGR612:UGT612"/>
    <mergeCell ref="UGV612:UGX612"/>
    <mergeCell ref="UFL612:UFN612"/>
    <mergeCell ref="UFP612:UFR612"/>
    <mergeCell ref="UFT612:UFV612"/>
    <mergeCell ref="UFX612:UFZ612"/>
    <mergeCell ref="UGB612:UGD612"/>
    <mergeCell ref="UER612:UET612"/>
    <mergeCell ref="UEV612:UEX612"/>
    <mergeCell ref="UEZ612:UFB612"/>
    <mergeCell ref="UFD612:UFF612"/>
    <mergeCell ref="UFH612:UFJ612"/>
    <mergeCell ref="UDX612:UDZ612"/>
    <mergeCell ref="UEB612:UED612"/>
    <mergeCell ref="UEF612:UEH612"/>
    <mergeCell ref="UEJ612:UEL612"/>
    <mergeCell ref="UEN612:UEP612"/>
    <mergeCell ref="UDD612:UDF612"/>
    <mergeCell ref="UDH612:UDJ612"/>
    <mergeCell ref="UDL612:UDN612"/>
    <mergeCell ref="UDP612:UDR612"/>
    <mergeCell ref="UDT612:UDV612"/>
    <mergeCell ref="UCJ612:UCL612"/>
    <mergeCell ref="UCN612:UCP612"/>
    <mergeCell ref="UCR612:UCT612"/>
    <mergeCell ref="UCV612:UCX612"/>
    <mergeCell ref="UCZ612:UDB612"/>
    <mergeCell ref="UMJ612:UML612"/>
    <mergeCell ref="UMN612:UMP612"/>
    <mergeCell ref="UMR612:UMT612"/>
    <mergeCell ref="UMV612:UMX612"/>
    <mergeCell ref="UMZ612:UNB612"/>
    <mergeCell ref="ULP612:ULR612"/>
    <mergeCell ref="ULT612:ULV612"/>
    <mergeCell ref="ULX612:ULZ612"/>
    <mergeCell ref="UMB612:UMD612"/>
    <mergeCell ref="UMF612:UMH612"/>
    <mergeCell ref="UKV612:UKX612"/>
    <mergeCell ref="UKZ612:ULB612"/>
    <mergeCell ref="ULD612:ULF612"/>
    <mergeCell ref="ULH612:ULJ612"/>
    <mergeCell ref="ULL612:ULN612"/>
    <mergeCell ref="UKB612:UKD612"/>
    <mergeCell ref="UKF612:UKH612"/>
    <mergeCell ref="UKJ612:UKL612"/>
    <mergeCell ref="UKN612:UKP612"/>
    <mergeCell ref="UKR612:UKT612"/>
    <mergeCell ref="UJH612:UJJ612"/>
    <mergeCell ref="UJL612:UJN612"/>
    <mergeCell ref="UJP612:UJR612"/>
    <mergeCell ref="UJT612:UJV612"/>
    <mergeCell ref="UJX612:UJZ612"/>
    <mergeCell ref="UIN612:UIP612"/>
    <mergeCell ref="UIR612:UIT612"/>
    <mergeCell ref="UIV612:UIX612"/>
    <mergeCell ref="UIZ612:UJB612"/>
    <mergeCell ref="UJD612:UJF612"/>
    <mergeCell ref="UHT612:UHV612"/>
    <mergeCell ref="UHX612:UHZ612"/>
    <mergeCell ref="UIB612:UID612"/>
    <mergeCell ref="UIF612:UIH612"/>
    <mergeCell ref="UIJ612:UIL612"/>
    <mergeCell ref="URT612:URV612"/>
    <mergeCell ref="URX612:URZ612"/>
    <mergeCell ref="USB612:USD612"/>
    <mergeCell ref="USF612:USH612"/>
    <mergeCell ref="USJ612:USL612"/>
    <mergeCell ref="UQZ612:URB612"/>
    <mergeCell ref="URD612:URF612"/>
    <mergeCell ref="URH612:URJ612"/>
    <mergeCell ref="URL612:URN612"/>
    <mergeCell ref="URP612:URR612"/>
    <mergeCell ref="UQF612:UQH612"/>
    <mergeCell ref="UQJ612:UQL612"/>
    <mergeCell ref="UQN612:UQP612"/>
    <mergeCell ref="UQR612:UQT612"/>
    <mergeCell ref="UQV612:UQX612"/>
    <mergeCell ref="UPL612:UPN612"/>
    <mergeCell ref="UPP612:UPR612"/>
    <mergeCell ref="UPT612:UPV612"/>
    <mergeCell ref="UPX612:UPZ612"/>
    <mergeCell ref="UQB612:UQD612"/>
    <mergeCell ref="UOR612:UOT612"/>
    <mergeCell ref="UOV612:UOX612"/>
    <mergeCell ref="UOZ612:UPB612"/>
    <mergeCell ref="UPD612:UPF612"/>
    <mergeCell ref="UPH612:UPJ612"/>
    <mergeCell ref="UNX612:UNZ612"/>
    <mergeCell ref="UOB612:UOD612"/>
    <mergeCell ref="UOF612:UOH612"/>
    <mergeCell ref="UOJ612:UOL612"/>
    <mergeCell ref="UON612:UOP612"/>
    <mergeCell ref="UND612:UNF612"/>
    <mergeCell ref="UNH612:UNJ612"/>
    <mergeCell ref="UNL612:UNN612"/>
    <mergeCell ref="UNP612:UNR612"/>
    <mergeCell ref="UNT612:UNV612"/>
    <mergeCell ref="UXD612:UXF612"/>
    <mergeCell ref="UXH612:UXJ612"/>
    <mergeCell ref="UXL612:UXN612"/>
    <mergeCell ref="UXP612:UXR612"/>
    <mergeCell ref="UXT612:UXV612"/>
    <mergeCell ref="UWJ612:UWL612"/>
    <mergeCell ref="UWN612:UWP612"/>
    <mergeCell ref="UWR612:UWT612"/>
    <mergeCell ref="UWV612:UWX612"/>
    <mergeCell ref="UWZ612:UXB612"/>
    <mergeCell ref="UVP612:UVR612"/>
    <mergeCell ref="UVT612:UVV612"/>
    <mergeCell ref="UVX612:UVZ612"/>
    <mergeCell ref="UWB612:UWD612"/>
    <mergeCell ref="UWF612:UWH612"/>
    <mergeCell ref="UUV612:UUX612"/>
    <mergeCell ref="UUZ612:UVB612"/>
    <mergeCell ref="UVD612:UVF612"/>
    <mergeCell ref="UVH612:UVJ612"/>
    <mergeCell ref="UVL612:UVN612"/>
    <mergeCell ref="UUB612:UUD612"/>
    <mergeCell ref="UUF612:UUH612"/>
    <mergeCell ref="UUJ612:UUL612"/>
    <mergeCell ref="UUN612:UUP612"/>
    <mergeCell ref="UUR612:UUT612"/>
    <mergeCell ref="UTH612:UTJ612"/>
    <mergeCell ref="UTL612:UTN612"/>
    <mergeCell ref="UTP612:UTR612"/>
    <mergeCell ref="UTT612:UTV612"/>
    <mergeCell ref="UTX612:UTZ612"/>
    <mergeCell ref="USN612:USP612"/>
    <mergeCell ref="USR612:UST612"/>
    <mergeCell ref="USV612:USX612"/>
    <mergeCell ref="USZ612:UTB612"/>
    <mergeCell ref="UTD612:UTF612"/>
    <mergeCell ref="VCN612:VCP612"/>
    <mergeCell ref="VCR612:VCT612"/>
    <mergeCell ref="VCV612:VCX612"/>
    <mergeCell ref="VCZ612:VDB612"/>
    <mergeCell ref="VDD612:VDF612"/>
    <mergeCell ref="VBT612:VBV612"/>
    <mergeCell ref="VBX612:VBZ612"/>
    <mergeCell ref="VCB612:VCD612"/>
    <mergeCell ref="VCF612:VCH612"/>
    <mergeCell ref="VCJ612:VCL612"/>
    <mergeCell ref="VAZ612:VBB612"/>
    <mergeCell ref="VBD612:VBF612"/>
    <mergeCell ref="VBH612:VBJ612"/>
    <mergeCell ref="VBL612:VBN612"/>
    <mergeCell ref="VBP612:VBR612"/>
    <mergeCell ref="VAF612:VAH612"/>
    <mergeCell ref="VAJ612:VAL612"/>
    <mergeCell ref="VAN612:VAP612"/>
    <mergeCell ref="VAR612:VAT612"/>
    <mergeCell ref="VAV612:VAX612"/>
    <mergeCell ref="UZL612:UZN612"/>
    <mergeCell ref="UZP612:UZR612"/>
    <mergeCell ref="UZT612:UZV612"/>
    <mergeCell ref="UZX612:UZZ612"/>
    <mergeCell ref="VAB612:VAD612"/>
    <mergeCell ref="UYR612:UYT612"/>
    <mergeCell ref="UYV612:UYX612"/>
    <mergeCell ref="UYZ612:UZB612"/>
    <mergeCell ref="UZD612:UZF612"/>
    <mergeCell ref="UZH612:UZJ612"/>
    <mergeCell ref="UXX612:UXZ612"/>
    <mergeCell ref="UYB612:UYD612"/>
    <mergeCell ref="UYF612:UYH612"/>
    <mergeCell ref="UYJ612:UYL612"/>
    <mergeCell ref="UYN612:UYP612"/>
    <mergeCell ref="VHX612:VHZ612"/>
    <mergeCell ref="VIB612:VID612"/>
    <mergeCell ref="VIF612:VIH612"/>
    <mergeCell ref="VIJ612:VIL612"/>
    <mergeCell ref="VIN612:VIP612"/>
    <mergeCell ref="VHD612:VHF612"/>
    <mergeCell ref="VHH612:VHJ612"/>
    <mergeCell ref="VHL612:VHN612"/>
    <mergeCell ref="VHP612:VHR612"/>
    <mergeCell ref="VHT612:VHV612"/>
    <mergeCell ref="VGJ612:VGL612"/>
    <mergeCell ref="VGN612:VGP612"/>
    <mergeCell ref="VGR612:VGT612"/>
    <mergeCell ref="VGV612:VGX612"/>
    <mergeCell ref="VGZ612:VHB612"/>
    <mergeCell ref="VFP612:VFR612"/>
    <mergeCell ref="VFT612:VFV612"/>
    <mergeCell ref="VFX612:VFZ612"/>
    <mergeCell ref="VGB612:VGD612"/>
    <mergeCell ref="VGF612:VGH612"/>
    <mergeCell ref="VEV612:VEX612"/>
    <mergeCell ref="VEZ612:VFB612"/>
    <mergeCell ref="VFD612:VFF612"/>
    <mergeCell ref="VFH612:VFJ612"/>
    <mergeCell ref="VFL612:VFN612"/>
    <mergeCell ref="VEB612:VED612"/>
    <mergeCell ref="VEF612:VEH612"/>
    <mergeCell ref="VEJ612:VEL612"/>
    <mergeCell ref="VEN612:VEP612"/>
    <mergeCell ref="VER612:VET612"/>
    <mergeCell ref="VDH612:VDJ612"/>
    <mergeCell ref="VDL612:VDN612"/>
    <mergeCell ref="VDP612:VDR612"/>
    <mergeCell ref="VDT612:VDV612"/>
    <mergeCell ref="VDX612:VDZ612"/>
    <mergeCell ref="VNH612:VNJ612"/>
    <mergeCell ref="VNL612:VNN612"/>
    <mergeCell ref="VNP612:VNR612"/>
    <mergeCell ref="VNT612:VNV612"/>
    <mergeCell ref="VNX612:VNZ612"/>
    <mergeCell ref="VMN612:VMP612"/>
    <mergeCell ref="VMR612:VMT612"/>
    <mergeCell ref="VMV612:VMX612"/>
    <mergeCell ref="VMZ612:VNB612"/>
    <mergeCell ref="VND612:VNF612"/>
    <mergeCell ref="VLT612:VLV612"/>
    <mergeCell ref="VLX612:VLZ612"/>
    <mergeCell ref="VMB612:VMD612"/>
    <mergeCell ref="VMF612:VMH612"/>
    <mergeCell ref="VMJ612:VML612"/>
    <mergeCell ref="VKZ612:VLB612"/>
    <mergeCell ref="VLD612:VLF612"/>
    <mergeCell ref="VLH612:VLJ612"/>
    <mergeCell ref="VLL612:VLN612"/>
    <mergeCell ref="VLP612:VLR612"/>
    <mergeCell ref="VKF612:VKH612"/>
    <mergeCell ref="VKJ612:VKL612"/>
    <mergeCell ref="VKN612:VKP612"/>
    <mergeCell ref="VKR612:VKT612"/>
    <mergeCell ref="VKV612:VKX612"/>
    <mergeCell ref="VJL612:VJN612"/>
    <mergeCell ref="VJP612:VJR612"/>
    <mergeCell ref="VJT612:VJV612"/>
    <mergeCell ref="VJX612:VJZ612"/>
    <mergeCell ref="VKB612:VKD612"/>
    <mergeCell ref="VIR612:VIT612"/>
    <mergeCell ref="VIV612:VIX612"/>
    <mergeCell ref="VIZ612:VJB612"/>
    <mergeCell ref="VJD612:VJF612"/>
    <mergeCell ref="VJH612:VJJ612"/>
    <mergeCell ref="VSR612:VST612"/>
    <mergeCell ref="VSV612:VSX612"/>
    <mergeCell ref="VSZ612:VTB612"/>
    <mergeCell ref="VTD612:VTF612"/>
    <mergeCell ref="VTH612:VTJ612"/>
    <mergeCell ref="VRX612:VRZ612"/>
    <mergeCell ref="VSB612:VSD612"/>
    <mergeCell ref="VSF612:VSH612"/>
    <mergeCell ref="VSJ612:VSL612"/>
    <mergeCell ref="VSN612:VSP612"/>
    <mergeCell ref="VRD612:VRF612"/>
    <mergeCell ref="VRH612:VRJ612"/>
    <mergeCell ref="VRL612:VRN612"/>
    <mergeCell ref="VRP612:VRR612"/>
    <mergeCell ref="VRT612:VRV612"/>
    <mergeCell ref="VQJ612:VQL612"/>
    <mergeCell ref="VQN612:VQP612"/>
    <mergeCell ref="VQR612:VQT612"/>
    <mergeCell ref="VQV612:VQX612"/>
    <mergeCell ref="VQZ612:VRB612"/>
    <mergeCell ref="VPP612:VPR612"/>
    <mergeCell ref="VPT612:VPV612"/>
    <mergeCell ref="VPX612:VPZ612"/>
    <mergeCell ref="VQB612:VQD612"/>
    <mergeCell ref="VQF612:VQH612"/>
    <mergeCell ref="VOV612:VOX612"/>
    <mergeCell ref="VOZ612:VPB612"/>
    <mergeCell ref="VPD612:VPF612"/>
    <mergeCell ref="VPH612:VPJ612"/>
    <mergeCell ref="VPL612:VPN612"/>
    <mergeCell ref="VOB612:VOD612"/>
    <mergeCell ref="VOF612:VOH612"/>
    <mergeCell ref="VOJ612:VOL612"/>
    <mergeCell ref="VON612:VOP612"/>
    <mergeCell ref="VOR612:VOT612"/>
    <mergeCell ref="VYB612:VYD612"/>
    <mergeCell ref="VYF612:VYH612"/>
    <mergeCell ref="VYJ612:VYL612"/>
    <mergeCell ref="VYN612:VYP612"/>
    <mergeCell ref="VYR612:VYT612"/>
    <mergeCell ref="VXH612:VXJ612"/>
    <mergeCell ref="VXL612:VXN612"/>
    <mergeCell ref="VXP612:VXR612"/>
    <mergeCell ref="VXT612:VXV612"/>
    <mergeCell ref="VXX612:VXZ612"/>
    <mergeCell ref="VWN612:VWP612"/>
    <mergeCell ref="VWR612:VWT612"/>
    <mergeCell ref="VWV612:VWX612"/>
    <mergeCell ref="VWZ612:VXB612"/>
    <mergeCell ref="VXD612:VXF612"/>
    <mergeCell ref="VVT612:VVV612"/>
    <mergeCell ref="VVX612:VVZ612"/>
    <mergeCell ref="VWB612:VWD612"/>
    <mergeCell ref="VWF612:VWH612"/>
    <mergeCell ref="VWJ612:VWL612"/>
    <mergeCell ref="VUZ612:VVB612"/>
    <mergeCell ref="VVD612:VVF612"/>
    <mergeCell ref="VVH612:VVJ612"/>
    <mergeCell ref="VVL612:VVN612"/>
    <mergeCell ref="VVP612:VVR612"/>
    <mergeCell ref="VUF612:VUH612"/>
    <mergeCell ref="VUJ612:VUL612"/>
    <mergeCell ref="VUN612:VUP612"/>
    <mergeCell ref="VUR612:VUT612"/>
    <mergeCell ref="VUV612:VUX612"/>
    <mergeCell ref="VTL612:VTN612"/>
    <mergeCell ref="VTP612:VTR612"/>
    <mergeCell ref="VTT612:VTV612"/>
    <mergeCell ref="VTX612:VTZ612"/>
    <mergeCell ref="VUB612:VUD612"/>
    <mergeCell ref="WDL612:WDN612"/>
    <mergeCell ref="WDP612:WDR612"/>
    <mergeCell ref="WDT612:WDV612"/>
    <mergeCell ref="WDX612:WDZ612"/>
    <mergeCell ref="WEB612:WED612"/>
    <mergeCell ref="WCR612:WCT612"/>
    <mergeCell ref="WCV612:WCX612"/>
    <mergeCell ref="WCZ612:WDB612"/>
    <mergeCell ref="WDD612:WDF612"/>
    <mergeCell ref="WDH612:WDJ612"/>
    <mergeCell ref="WBX612:WBZ612"/>
    <mergeCell ref="WCB612:WCD612"/>
    <mergeCell ref="WCF612:WCH612"/>
    <mergeCell ref="WCJ612:WCL612"/>
    <mergeCell ref="WCN612:WCP612"/>
    <mergeCell ref="WBD612:WBF612"/>
    <mergeCell ref="WBH612:WBJ612"/>
    <mergeCell ref="WBL612:WBN612"/>
    <mergeCell ref="WBP612:WBR612"/>
    <mergeCell ref="WBT612:WBV612"/>
    <mergeCell ref="WAJ612:WAL612"/>
    <mergeCell ref="WAN612:WAP612"/>
    <mergeCell ref="WAR612:WAT612"/>
    <mergeCell ref="WAV612:WAX612"/>
    <mergeCell ref="WAZ612:WBB612"/>
    <mergeCell ref="VZP612:VZR612"/>
    <mergeCell ref="VZT612:VZV612"/>
    <mergeCell ref="VZX612:VZZ612"/>
    <mergeCell ref="WAB612:WAD612"/>
    <mergeCell ref="WAF612:WAH612"/>
    <mergeCell ref="VYV612:VYX612"/>
    <mergeCell ref="VYZ612:VZB612"/>
    <mergeCell ref="VZD612:VZF612"/>
    <mergeCell ref="VZH612:VZJ612"/>
    <mergeCell ref="VZL612:VZN612"/>
    <mergeCell ref="WIV612:WIX612"/>
    <mergeCell ref="WIZ612:WJB612"/>
    <mergeCell ref="WJD612:WJF612"/>
    <mergeCell ref="WJH612:WJJ612"/>
    <mergeCell ref="WJL612:WJN612"/>
    <mergeCell ref="WIB612:WID612"/>
    <mergeCell ref="WIF612:WIH612"/>
    <mergeCell ref="WIJ612:WIL612"/>
    <mergeCell ref="WIN612:WIP612"/>
    <mergeCell ref="WIR612:WIT612"/>
    <mergeCell ref="WHH612:WHJ612"/>
    <mergeCell ref="WHL612:WHN612"/>
    <mergeCell ref="WHP612:WHR612"/>
    <mergeCell ref="WHT612:WHV612"/>
    <mergeCell ref="WHX612:WHZ612"/>
    <mergeCell ref="WGN612:WGP612"/>
    <mergeCell ref="WGR612:WGT612"/>
    <mergeCell ref="WGV612:WGX612"/>
    <mergeCell ref="WGZ612:WHB612"/>
    <mergeCell ref="WHD612:WHF612"/>
    <mergeCell ref="WFT612:WFV612"/>
    <mergeCell ref="WFX612:WFZ612"/>
    <mergeCell ref="WGB612:WGD612"/>
    <mergeCell ref="WGF612:WGH612"/>
    <mergeCell ref="WGJ612:WGL612"/>
    <mergeCell ref="WEZ612:WFB612"/>
    <mergeCell ref="WFD612:WFF612"/>
    <mergeCell ref="WFH612:WFJ612"/>
    <mergeCell ref="WFL612:WFN612"/>
    <mergeCell ref="WFP612:WFR612"/>
    <mergeCell ref="WEF612:WEH612"/>
    <mergeCell ref="WEJ612:WEL612"/>
    <mergeCell ref="WEN612:WEP612"/>
    <mergeCell ref="WER612:WET612"/>
    <mergeCell ref="WEV612:WEX612"/>
    <mergeCell ref="WOF612:WOH612"/>
    <mergeCell ref="WOJ612:WOL612"/>
    <mergeCell ref="WON612:WOP612"/>
    <mergeCell ref="WOR612:WOT612"/>
    <mergeCell ref="WOV612:WOX612"/>
    <mergeCell ref="WNL612:WNN612"/>
    <mergeCell ref="WNP612:WNR612"/>
    <mergeCell ref="WNT612:WNV612"/>
    <mergeCell ref="WNX612:WNZ612"/>
    <mergeCell ref="WOB612:WOD612"/>
    <mergeCell ref="WMR612:WMT612"/>
    <mergeCell ref="WMV612:WMX612"/>
    <mergeCell ref="WMZ612:WNB612"/>
    <mergeCell ref="WND612:WNF612"/>
    <mergeCell ref="WNH612:WNJ612"/>
    <mergeCell ref="WLX612:WLZ612"/>
    <mergeCell ref="WMB612:WMD612"/>
    <mergeCell ref="WMF612:WMH612"/>
    <mergeCell ref="WMJ612:WML612"/>
    <mergeCell ref="WMN612:WMP612"/>
    <mergeCell ref="WLD612:WLF612"/>
    <mergeCell ref="WLH612:WLJ612"/>
    <mergeCell ref="WLL612:WLN612"/>
    <mergeCell ref="WLP612:WLR612"/>
    <mergeCell ref="WLT612:WLV612"/>
    <mergeCell ref="WKJ612:WKL612"/>
    <mergeCell ref="WKN612:WKP612"/>
    <mergeCell ref="WKR612:WKT612"/>
    <mergeCell ref="WKV612:WKX612"/>
    <mergeCell ref="WKZ612:WLB612"/>
    <mergeCell ref="WJP612:WJR612"/>
    <mergeCell ref="WJT612:WJV612"/>
    <mergeCell ref="WJX612:WJZ612"/>
    <mergeCell ref="WKB612:WKD612"/>
    <mergeCell ref="WKF612:WKH612"/>
    <mergeCell ref="WTT612:WTV612"/>
    <mergeCell ref="WTX612:WTZ612"/>
    <mergeCell ref="WUB612:WUD612"/>
    <mergeCell ref="WUF612:WUH612"/>
    <mergeCell ref="WSV612:WSX612"/>
    <mergeCell ref="WSZ612:WTB612"/>
    <mergeCell ref="WTD612:WTF612"/>
    <mergeCell ref="WTH612:WTJ612"/>
    <mergeCell ref="WTL612:WTN612"/>
    <mergeCell ref="WSB612:WSD612"/>
    <mergeCell ref="WSF612:WSH612"/>
    <mergeCell ref="WSJ612:WSL612"/>
    <mergeCell ref="WSN612:WSP612"/>
    <mergeCell ref="WSR612:WST612"/>
    <mergeCell ref="WRH612:WRJ612"/>
    <mergeCell ref="WRL612:WRN612"/>
    <mergeCell ref="WRP612:WRR612"/>
    <mergeCell ref="WRT612:WRV612"/>
    <mergeCell ref="WRX612:WRZ612"/>
    <mergeCell ref="WQN612:WQP612"/>
    <mergeCell ref="WQR612:WQT612"/>
    <mergeCell ref="WQV612:WQX612"/>
    <mergeCell ref="WQZ612:WRB612"/>
    <mergeCell ref="WRD612:WRF612"/>
    <mergeCell ref="WPT612:WPV612"/>
    <mergeCell ref="WPX612:WPZ612"/>
    <mergeCell ref="WQB612:WQD612"/>
    <mergeCell ref="WQF612:WQH612"/>
    <mergeCell ref="WQJ612:WQL612"/>
    <mergeCell ref="WOZ612:WPB612"/>
    <mergeCell ref="WPD612:WPF612"/>
    <mergeCell ref="WPH612:WPJ612"/>
    <mergeCell ref="WPL612:WPN612"/>
    <mergeCell ref="WPP612:WPR612"/>
    <mergeCell ref="XER612:XET612"/>
    <mergeCell ref="XDP612:XDR612"/>
    <mergeCell ref="XDT612:XDV612"/>
    <mergeCell ref="XDX612:XDZ612"/>
    <mergeCell ref="XEB612:XED612"/>
    <mergeCell ref="XEF612:XEH612"/>
    <mergeCell ref="XCV612:XCX612"/>
    <mergeCell ref="XCZ612:XDB612"/>
    <mergeCell ref="XDD612:XDF612"/>
    <mergeCell ref="XDH612:XDJ612"/>
    <mergeCell ref="XDL612:XDN612"/>
    <mergeCell ref="XCB612:XCD612"/>
    <mergeCell ref="XCF612:XCH612"/>
    <mergeCell ref="XCJ612:XCL612"/>
    <mergeCell ref="XCN612:XCP612"/>
    <mergeCell ref="XCR612:XCT612"/>
    <mergeCell ref="XBH612:XBJ612"/>
    <mergeCell ref="XBL612:XBN612"/>
    <mergeCell ref="XBP612:XBR612"/>
    <mergeCell ref="XBT612:XBV612"/>
    <mergeCell ref="XBX612:XBZ612"/>
    <mergeCell ref="XAN612:XAP612"/>
    <mergeCell ref="XAR612:XAT612"/>
    <mergeCell ref="XAV612:XAX612"/>
    <mergeCell ref="XAZ612:XBB612"/>
    <mergeCell ref="XBD612:XBF612"/>
    <mergeCell ref="WZT612:WZV612"/>
    <mergeCell ref="WZX612:WZZ612"/>
    <mergeCell ref="XAB612:XAD612"/>
    <mergeCell ref="XAF612:XAH612"/>
    <mergeCell ref="XAJ612:XAL612"/>
    <mergeCell ref="WYZ612:WZB612"/>
    <mergeCell ref="WZD612:WZF612"/>
    <mergeCell ref="WZH612:WZJ612"/>
    <mergeCell ref="WZL612:WZN612"/>
    <mergeCell ref="WZP612:WZR612"/>
    <mergeCell ref="XEJ612:XEL612"/>
    <mergeCell ref="XEN612:XEP612"/>
    <mergeCell ref="WYF612:WYH612"/>
    <mergeCell ref="WYJ612:WYL612"/>
    <mergeCell ref="WYN612:WYP612"/>
    <mergeCell ref="WYR612:WYT612"/>
    <mergeCell ref="WYV612:WYX612"/>
    <mergeCell ref="WXL612:WXN612"/>
    <mergeCell ref="WXP612:WXR612"/>
    <mergeCell ref="WXT612:WXV612"/>
    <mergeCell ref="WXX612:WXZ612"/>
    <mergeCell ref="WYB612:WYD612"/>
    <mergeCell ref="WWR612:WWT612"/>
    <mergeCell ref="WWV612:WWX612"/>
    <mergeCell ref="WWZ612:WXB612"/>
    <mergeCell ref="WXD612:WXF612"/>
    <mergeCell ref="WXH612:WXJ612"/>
    <mergeCell ref="WVX612:WVZ612"/>
    <mergeCell ref="WWB612:WWD612"/>
    <mergeCell ref="WWF612:WWH612"/>
    <mergeCell ref="WWJ612:WWL612"/>
    <mergeCell ref="WWN612:WWP612"/>
    <mergeCell ref="WVD612:WVF612"/>
    <mergeCell ref="WVH612:WVJ612"/>
    <mergeCell ref="WVL612:WVN612"/>
    <mergeCell ref="WVP612:WVR612"/>
    <mergeCell ref="WVT612:WVV612"/>
    <mergeCell ref="WUJ612:WUL612"/>
    <mergeCell ref="WUN612:WUP612"/>
    <mergeCell ref="WUR612:WUT612"/>
    <mergeCell ref="WUV612:WUX612"/>
    <mergeCell ref="WUZ612:WVB612"/>
    <mergeCell ref="WTP612:WTR612"/>
    <mergeCell ref="JD613:JF613"/>
    <mergeCell ref="JH613:JJ613"/>
    <mergeCell ref="JL613:JN613"/>
    <mergeCell ref="JP613:JR613"/>
    <mergeCell ref="JT613:JV613"/>
    <mergeCell ref="TX613:TZ613"/>
    <mergeCell ref="UB613:UD613"/>
    <mergeCell ref="UF613:UH613"/>
    <mergeCell ref="UJ613:UL613"/>
    <mergeCell ref="UN613:UP613"/>
    <mergeCell ref="TD613:TF613"/>
    <mergeCell ref="TH613:TJ613"/>
    <mergeCell ref="TL613:TN613"/>
    <mergeCell ref="TP613:TR613"/>
    <mergeCell ref="TT613:TV613"/>
    <mergeCell ref="SJ613:SL613"/>
    <mergeCell ref="SN613:SP613"/>
    <mergeCell ref="SR613:ST613"/>
    <mergeCell ref="SV613:SX613"/>
    <mergeCell ref="SZ613:TB613"/>
    <mergeCell ref="RP613:RR613"/>
    <mergeCell ref="RT613:RV613"/>
    <mergeCell ref="RX613:RZ613"/>
    <mergeCell ref="SB613:SD613"/>
    <mergeCell ref="SF613:SH613"/>
    <mergeCell ref="QV613:QX613"/>
    <mergeCell ref="QZ613:RB613"/>
    <mergeCell ref="RD613:RF613"/>
    <mergeCell ref="RH613:RJ613"/>
    <mergeCell ref="RL613:RN613"/>
    <mergeCell ref="QB613:QD613"/>
    <mergeCell ref="QF613:QH613"/>
    <mergeCell ref="QJ613:QL613"/>
    <mergeCell ref="ON613:OP613"/>
    <mergeCell ref="OR613:OT613"/>
    <mergeCell ref="OV613:OX613"/>
    <mergeCell ref="OZ613:PB613"/>
    <mergeCell ref="PD613:PF613"/>
    <mergeCell ref="NT613:NV613"/>
    <mergeCell ref="NX613:NZ613"/>
    <mergeCell ref="OB613:OD613"/>
    <mergeCell ref="OF613:OH613"/>
    <mergeCell ref="OJ613:OL613"/>
    <mergeCell ref="MZ613:NB613"/>
    <mergeCell ref="ND613:NF613"/>
    <mergeCell ref="NH613:NJ613"/>
    <mergeCell ref="NL613:NN613"/>
    <mergeCell ref="NP613:NR613"/>
    <mergeCell ref="MF613:MH613"/>
    <mergeCell ref="MJ613:ML613"/>
    <mergeCell ref="MN613:MP613"/>
    <mergeCell ref="MR613:MT613"/>
    <mergeCell ref="MV613:MX613"/>
    <mergeCell ref="LL613:LN613"/>
    <mergeCell ref="LP613:LR613"/>
    <mergeCell ref="LT613:LV613"/>
    <mergeCell ref="LX613:LZ613"/>
    <mergeCell ref="MB613:MD613"/>
    <mergeCell ref="KR613:KT613"/>
    <mergeCell ref="KV613:KX613"/>
    <mergeCell ref="KZ613:LB613"/>
    <mergeCell ref="LD613:LF613"/>
    <mergeCell ref="LH613:LJ613"/>
    <mergeCell ref="JX613:JZ613"/>
    <mergeCell ref="KB613:KD613"/>
    <mergeCell ref="KF613:KH613"/>
    <mergeCell ref="KJ613:KL613"/>
    <mergeCell ref="KN613:KP613"/>
    <mergeCell ref="AAV613:AAX613"/>
    <mergeCell ref="AAZ613:ABB613"/>
    <mergeCell ref="ABD613:ABF613"/>
    <mergeCell ref="ABH613:ABJ613"/>
    <mergeCell ref="ABL613:ABN613"/>
    <mergeCell ref="AAB613:AAD613"/>
    <mergeCell ref="AAF613:AAH613"/>
    <mergeCell ref="AAJ613:AAL613"/>
    <mergeCell ref="AAN613:AAP613"/>
    <mergeCell ref="AAR613:AAT613"/>
    <mergeCell ref="QN613:QP613"/>
    <mergeCell ref="QR613:QT613"/>
    <mergeCell ref="PH613:PJ613"/>
    <mergeCell ref="PL613:PN613"/>
    <mergeCell ref="PP613:PR613"/>
    <mergeCell ref="PT613:PV613"/>
    <mergeCell ref="PX613:PZ613"/>
    <mergeCell ref="ZH613:ZJ613"/>
    <mergeCell ref="ZL613:ZN613"/>
    <mergeCell ref="ZP613:ZR613"/>
    <mergeCell ref="ZT613:ZV613"/>
    <mergeCell ref="ZX613:ZZ613"/>
    <mergeCell ref="YN613:YP613"/>
    <mergeCell ref="YR613:YT613"/>
    <mergeCell ref="YV613:YX613"/>
    <mergeCell ref="YZ613:ZB613"/>
    <mergeCell ref="ZD613:ZF613"/>
    <mergeCell ref="XT613:XV613"/>
    <mergeCell ref="XX613:XZ613"/>
    <mergeCell ref="YB613:YD613"/>
    <mergeCell ref="YF613:YH613"/>
    <mergeCell ref="YJ613:YL613"/>
    <mergeCell ref="WZ613:XB613"/>
    <mergeCell ref="XD613:XF613"/>
    <mergeCell ref="XH613:XJ613"/>
    <mergeCell ref="XL613:XN613"/>
    <mergeCell ref="XP613:XR613"/>
    <mergeCell ref="WF613:WH613"/>
    <mergeCell ref="WJ613:WL613"/>
    <mergeCell ref="WN613:WP613"/>
    <mergeCell ref="WR613:WT613"/>
    <mergeCell ref="WV613:WX613"/>
    <mergeCell ref="VL613:VN613"/>
    <mergeCell ref="VP613:VR613"/>
    <mergeCell ref="VT613:VV613"/>
    <mergeCell ref="VX613:VZ613"/>
    <mergeCell ref="WB613:WD613"/>
    <mergeCell ref="UR613:UT613"/>
    <mergeCell ref="UV613:UX613"/>
    <mergeCell ref="UZ613:VB613"/>
    <mergeCell ref="VD613:VF613"/>
    <mergeCell ref="VH613:VJ613"/>
    <mergeCell ref="AGF613:AGH613"/>
    <mergeCell ref="AGJ613:AGL613"/>
    <mergeCell ref="AGN613:AGP613"/>
    <mergeCell ref="AGR613:AGT613"/>
    <mergeCell ref="AGV613:AGX613"/>
    <mergeCell ref="AFL613:AFN613"/>
    <mergeCell ref="AFP613:AFR613"/>
    <mergeCell ref="AFT613:AFV613"/>
    <mergeCell ref="AFX613:AFZ613"/>
    <mergeCell ref="AGB613:AGD613"/>
    <mergeCell ref="AER613:AET613"/>
    <mergeCell ref="AEV613:AEX613"/>
    <mergeCell ref="AEZ613:AFB613"/>
    <mergeCell ref="AFD613:AFF613"/>
    <mergeCell ref="AFH613:AFJ613"/>
    <mergeCell ref="ADX613:ADZ613"/>
    <mergeCell ref="AEB613:AED613"/>
    <mergeCell ref="AEF613:AEH613"/>
    <mergeCell ref="AEJ613:AEL613"/>
    <mergeCell ref="AEN613:AEP613"/>
    <mergeCell ref="ADD613:ADF613"/>
    <mergeCell ref="ADH613:ADJ613"/>
    <mergeCell ref="ADL613:ADN613"/>
    <mergeCell ref="ADP613:ADR613"/>
    <mergeCell ref="ADT613:ADV613"/>
    <mergeCell ref="ACJ613:ACL613"/>
    <mergeCell ref="ACN613:ACP613"/>
    <mergeCell ref="ACR613:ACT613"/>
    <mergeCell ref="ACV613:ACX613"/>
    <mergeCell ref="ACZ613:ADB613"/>
    <mergeCell ref="ABP613:ABR613"/>
    <mergeCell ref="ABT613:ABV613"/>
    <mergeCell ref="ABX613:ABZ613"/>
    <mergeCell ref="ACB613:ACD613"/>
    <mergeCell ref="ACF613:ACH613"/>
    <mergeCell ref="ALP613:ALR613"/>
    <mergeCell ref="ALT613:ALV613"/>
    <mergeCell ref="ALX613:ALZ613"/>
    <mergeCell ref="AMB613:AMD613"/>
    <mergeCell ref="AMF613:AMH613"/>
    <mergeCell ref="AKV613:AKX613"/>
    <mergeCell ref="AKZ613:ALB613"/>
    <mergeCell ref="ALD613:ALF613"/>
    <mergeCell ref="ALH613:ALJ613"/>
    <mergeCell ref="ALL613:ALN613"/>
    <mergeCell ref="AKB613:AKD613"/>
    <mergeCell ref="AKF613:AKH613"/>
    <mergeCell ref="AKJ613:AKL613"/>
    <mergeCell ref="AKN613:AKP613"/>
    <mergeCell ref="AKR613:AKT613"/>
    <mergeCell ref="AJH613:AJJ613"/>
    <mergeCell ref="AJL613:AJN613"/>
    <mergeCell ref="AJP613:AJR613"/>
    <mergeCell ref="AJT613:AJV613"/>
    <mergeCell ref="AJX613:AJZ613"/>
    <mergeCell ref="AIN613:AIP613"/>
    <mergeCell ref="AIR613:AIT613"/>
    <mergeCell ref="AIV613:AIX613"/>
    <mergeCell ref="AIZ613:AJB613"/>
    <mergeCell ref="AJD613:AJF613"/>
    <mergeCell ref="AHT613:AHV613"/>
    <mergeCell ref="AHX613:AHZ613"/>
    <mergeCell ref="AIB613:AID613"/>
    <mergeCell ref="AIF613:AIH613"/>
    <mergeCell ref="AIJ613:AIL613"/>
    <mergeCell ref="AGZ613:AHB613"/>
    <mergeCell ref="AHD613:AHF613"/>
    <mergeCell ref="AHH613:AHJ613"/>
    <mergeCell ref="AHL613:AHN613"/>
    <mergeCell ref="AHP613:AHR613"/>
    <mergeCell ref="AQZ613:ARB613"/>
    <mergeCell ref="ARD613:ARF613"/>
    <mergeCell ref="ARH613:ARJ613"/>
    <mergeCell ref="ARL613:ARN613"/>
    <mergeCell ref="ARP613:ARR613"/>
    <mergeCell ref="AQF613:AQH613"/>
    <mergeCell ref="AQJ613:AQL613"/>
    <mergeCell ref="AQN613:AQP613"/>
    <mergeCell ref="AQR613:AQT613"/>
    <mergeCell ref="AQV613:AQX613"/>
    <mergeCell ref="APL613:APN613"/>
    <mergeCell ref="APP613:APR613"/>
    <mergeCell ref="APT613:APV613"/>
    <mergeCell ref="APX613:APZ613"/>
    <mergeCell ref="AQB613:AQD613"/>
    <mergeCell ref="AOR613:AOT613"/>
    <mergeCell ref="AOV613:AOX613"/>
    <mergeCell ref="AOZ613:APB613"/>
    <mergeCell ref="APD613:APF613"/>
    <mergeCell ref="APH613:APJ613"/>
    <mergeCell ref="ANX613:ANZ613"/>
    <mergeCell ref="AOB613:AOD613"/>
    <mergeCell ref="AOF613:AOH613"/>
    <mergeCell ref="AOJ613:AOL613"/>
    <mergeCell ref="AON613:AOP613"/>
    <mergeCell ref="AND613:ANF613"/>
    <mergeCell ref="ANH613:ANJ613"/>
    <mergeCell ref="ANL613:ANN613"/>
    <mergeCell ref="ANP613:ANR613"/>
    <mergeCell ref="ANT613:ANV613"/>
    <mergeCell ref="AMJ613:AML613"/>
    <mergeCell ref="AMN613:AMP613"/>
    <mergeCell ref="AMR613:AMT613"/>
    <mergeCell ref="AMV613:AMX613"/>
    <mergeCell ref="AMZ613:ANB613"/>
    <mergeCell ref="AWJ613:AWL613"/>
    <mergeCell ref="AWN613:AWP613"/>
    <mergeCell ref="AWR613:AWT613"/>
    <mergeCell ref="AWV613:AWX613"/>
    <mergeCell ref="AWZ613:AXB613"/>
    <mergeCell ref="AVP613:AVR613"/>
    <mergeCell ref="AVT613:AVV613"/>
    <mergeCell ref="AVX613:AVZ613"/>
    <mergeCell ref="AWB613:AWD613"/>
    <mergeCell ref="AWF613:AWH613"/>
    <mergeCell ref="AUV613:AUX613"/>
    <mergeCell ref="AUZ613:AVB613"/>
    <mergeCell ref="AVD613:AVF613"/>
    <mergeCell ref="AVH613:AVJ613"/>
    <mergeCell ref="AVL613:AVN613"/>
    <mergeCell ref="AUB613:AUD613"/>
    <mergeCell ref="AUF613:AUH613"/>
    <mergeCell ref="AUJ613:AUL613"/>
    <mergeCell ref="AUN613:AUP613"/>
    <mergeCell ref="AUR613:AUT613"/>
    <mergeCell ref="ATH613:ATJ613"/>
    <mergeCell ref="ATL613:ATN613"/>
    <mergeCell ref="ATP613:ATR613"/>
    <mergeCell ref="ATT613:ATV613"/>
    <mergeCell ref="ATX613:ATZ613"/>
    <mergeCell ref="ASN613:ASP613"/>
    <mergeCell ref="ASR613:AST613"/>
    <mergeCell ref="ASV613:ASX613"/>
    <mergeCell ref="ASZ613:ATB613"/>
    <mergeCell ref="ATD613:ATF613"/>
    <mergeCell ref="ART613:ARV613"/>
    <mergeCell ref="ARX613:ARZ613"/>
    <mergeCell ref="ASB613:ASD613"/>
    <mergeCell ref="ASF613:ASH613"/>
    <mergeCell ref="ASJ613:ASL613"/>
    <mergeCell ref="BBT613:BBV613"/>
    <mergeCell ref="BBX613:BBZ613"/>
    <mergeCell ref="BCB613:BCD613"/>
    <mergeCell ref="BCF613:BCH613"/>
    <mergeCell ref="BCJ613:BCL613"/>
    <mergeCell ref="BAZ613:BBB613"/>
    <mergeCell ref="BBD613:BBF613"/>
    <mergeCell ref="BBH613:BBJ613"/>
    <mergeCell ref="BBL613:BBN613"/>
    <mergeCell ref="BBP613:BBR613"/>
    <mergeCell ref="BAF613:BAH613"/>
    <mergeCell ref="BAJ613:BAL613"/>
    <mergeCell ref="BAN613:BAP613"/>
    <mergeCell ref="BAR613:BAT613"/>
    <mergeCell ref="BAV613:BAX613"/>
    <mergeCell ref="AZL613:AZN613"/>
    <mergeCell ref="AZP613:AZR613"/>
    <mergeCell ref="AZT613:AZV613"/>
    <mergeCell ref="AZX613:AZZ613"/>
    <mergeCell ref="BAB613:BAD613"/>
    <mergeCell ref="AYR613:AYT613"/>
    <mergeCell ref="AYV613:AYX613"/>
    <mergeCell ref="AYZ613:AZB613"/>
    <mergeCell ref="AZD613:AZF613"/>
    <mergeCell ref="AZH613:AZJ613"/>
    <mergeCell ref="AXX613:AXZ613"/>
    <mergeCell ref="AYB613:AYD613"/>
    <mergeCell ref="AYF613:AYH613"/>
    <mergeCell ref="AYJ613:AYL613"/>
    <mergeCell ref="AYN613:AYP613"/>
    <mergeCell ref="AXD613:AXF613"/>
    <mergeCell ref="AXH613:AXJ613"/>
    <mergeCell ref="AXL613:AXN613"/>
    <mergeCell ref="AXP613:AXR613"/>
    <mergeCell ref="AXT613:AXV613"/>
    <mergeCell ref="BHD613:BHF613"/>
    <mergeCell ref="BHH613:BHJ613"/>
    <mergeCell ref="BHL613:BHN613"/>
    <mergeCell ref="BHP613:BHR613"/>
    <mergeCell ref="BHT613:BHV613"/>
    <mergeCell ref="BGJ613:BGL613"/>
    <mergeCell ref="BGN613:BGP613"/>
    <mergeCell ref="BGR613:BGT613"/>
    <mergeCell ref="BGV613:BGX613"/>
    <mergeCell ref="BGZ613:BHB613"/>
    <mergeCell ref="BFP613:BFR613"/>
    <mergeCell ref="BFT613:BFV613"/>
    <mergeCell ref="BFX613:BFZ613"/>
    <mergeCell ref="BGB613:BGD613"/>
    <mergeCell ref="BGF613:BGH613"/>
    <mergeCell ref="BEV613:BEX613"/>
    <mergeCell ref="BEZ613:BFB613"/>
    <mergeCell ref="BFD613:BFF613"/>
    <mergeCell ref="BFH613:BFJ613"/>
    <mergeCell ref="BFL613:BFN613"/>
    <mergeCell ref="BEB613:BED613"/>
    <mergeCell ref="BEF613:BEH613"/>
    <mergeCell ref="BEJ613:BEL613"/>
    <mergeCell ref="BEN613:BEP613"/>
    <mergeCell ref="BER613:BET613"/>
    <mergeCell ref="BDH613:BDJ613"/>
    <mergeCell ref="BDL613:BDN613"/>
    <mergeCell ref="BDP613:BDR613"/>
    <mergeCell ref="BDT613:BDV613"/>
    <mergeCell ref="BDX613:BDZ613"/>
    <mergeCell ref="BCN613:BCP613"/>
    <mergeCell ref="BCR613:BCT613"/>
    <mergeCell ref="BCV613:BCX613"/>
    <mergeCell ref="BCZ613:BDB613"/>
    <mergeCell ref="BDD613:BDF613"/>
    <mergeCell ref="BMN613:BMP613"/>
    <mergeCell ref="BMR613:BMT613"/>
    <mergeCell ref="BMV613:BMX613"/>
    <mergeCell ref="BMZ613:BNB613"/>
    <mergeCell ref="BND613:BNF613"/>
    <mergeCell ref="BLT613:BLV613"/>
    <mergeCell ref="BLX613:BLZ613"/>
    <mergeCell ref="BMB613:BMD613"/>
    <mergeCell ref="BMF613:BMH613"/>
    <mergeCell ref="BMJ613:BML613"/>
    <mergeCell ref="BKZ613:BLB613"/>
    <mergeCell ref="BLD613:BLF613"/>
    <mergeCell ref="BLH613:BLJ613"/>
    <mergeCell ref="BLL613:BLN613"/>
    <mergeCell ref="BLP613:BLR613"/>
    <mergeCell ref="BKF613:BKH613"/>
    <mergeCell ref="BKJ613:BKL613"/>
    <mergeCell ref="BKN613:BKP613"/>
    <mergeCell ref="BKR613:BKT613"/>
    <mergeCell ref="BKV613:BKX613"/>
    <mergeCell ref="BJL613:BJN613"/>
    <mergeCell ref="BJP613:BJR613"/>
    <mergeCell ref="BJT613:BJV613"/>
    <mergeCell ref="BJX613:BJZ613"/>
    <mergeCell ref="BKB613:BKD613"/>
    <mergeCell ref="BIR613:BIT613"/>
    <mergeCell ref="BIV613:BIX613"/>
    <mergeCell ref="BIZ613:BJB613"/>
    <mergeCell ref="BJD613:BJF613"/>
    <mergeCell ref="BJH613:BJJ613"/>
    <mergeCell ref="BHX613:BHZ613"/>
    <mergeCell ref="BIB613:BID613"/>
    <mergeCell ref="BIF613:BIH613"/>
    <mergeCell ref="BIJ613:BIL613"/>
    <mergeCell ref="BIN613:BIP613"/>
    <mergeCell ref="BRX613:BRZ613"/>
    <mergeCell ref="BSB613:BSD613"/>
    <mergeCell ref="BSF613:BSH613"/>
    <mergeCell ref="BSJ613:BSL613"/>
    <mergeCell ref="BSN613:BSP613"/>
    <mergeCell ref="BRD613:BRF613"/>
    <mergeCell ref="BRH613:BRJ613"/>
    <mergeCell ref="BRL613:BRN613"/>
    <mergeCell ref="BRP613:BRR613"/>
    <mergeCell ref="BRT613:BRV613"/>
    <mergeCell ref="BQJ613:BQL613"/>
    <mergeCell ref="BQN613:BQP613"/>
    <mergeCell ref="BQR613:BQT613"/>
    <mergeCell ref="BQV613:BQX613"/>
    <mergeCell ref="BQZ613:BRB613"/>
    <mergeCell ref="BPP613:BPR613"/>
    <mergeCell ref="BPT613:BPV613"/>
    <mergeCell ref="BPX613:BPZ613"/>
    <mergeCell ref="BQB613:BQD613"/>
    <mergeCell ref="BQF613:BQH613"/>
    <mergeCell ref="BOV613:BOX613"/>
    <mergeCell ref="BOZ613:BPB613"/>
    <mergeCell ref="BPD613:BPF613"/>
    <mergeCell ref="BPH613:BPJ613"/>
    <mergeCell ref="BPL613:BPN613"/>
    <mergeCell ref="BOB613:BOD613"/>
    <mergeCell ref="BOF613:BOH613"/>
    <mergeCell ref="BOJ613:BOL613"/>
    <mergeCell ref="BON613:BOP613"/>
    <mergeCell ref="BOR613:BOT613"/>
    <mergeCell ref="BNH613:BNJ613"/>
    <mergeCell ref="BNL613:BNN613"/>
    <mergeCell ref="BNP613:BNR613"/>
    <mergeCell ref="BNT613:BNV613"/>
    <mergeCell ref="BNX613:BNZ613"/>
    <mergeCell ref="BXH613:BXJ613"/>
    <mergeCell ref="BXL613:BXN613"/>
    <mergeCell ref="BXP613:BXR613"/>
    <mergeCell ref="BXT613:BXV613"/>
    <mergeCell ref="BXX613:BXZ613"/>
    <mergeCell ref="BWN613:BWP613"/>
    <mergeCell ref="BWR613:BWT613"/>
    <mergeCell ref="BWV613:BWX613"/>
    <mergeCell ref="BWZ613:BXB613"/>
    <mergeCell ref="BXD613:BXF613"/>
    <mergeCell ref="BVT613:BVV613"/>
    <mergeCell ref="BVX613:BVZ613"/>
    <mergeCell ref="BWB613:BWD613"/>
    <mergeCell ref="BWF613:BWH613"/>
    <mergeCell ref="BWJ613:BWL613"/>
    <mergeCell ref="BUZ613:BVB613"/>
    <mergeCell ref="BVD613:BVF613"/>
    <mergeCell ref="BVH613:BVJ613"/>
    <mergeCell ref="BVL613:BVN613"/>
    <mergeCell ref="BVP613:BVR613"/>
    <mergeCell ref="BUF613:BUH613"/>
    <mergeCell ref="BUJ613:BUL613"/>
    <mergeCell ref="BUN613:BUP613"/>
    <mergeCell ref="BUR613:BUT613"/>
    <mergeCell ref="BUV613:BUX613"/>
    <mergeCell ref="BTL613:BTN613"/>
    <mergeCell ref="BTP613:BTR613"/>
    <mergeCell ref="BTT613:BTV613"/>
    <mergeCell ref="BTX613:BTZ613"/>
    <mergeCell ref="BUB613:BUD613"/>
    <mergeCell ref="BSR613:BST613"/>
    <mergeCell ref="BSV613:BSX613"/>
    <mergeCell ref="BSZ613:BTB613"/>
    <mergeCell ref="BTD613:BTF613"/>
    <mergeCell ref="BTH613:BTJ613"/>
    <mergeCell ref="CCR613:CCT613"/>
    <mergeCell ref="CCV613:CCX613"/>
    <mergeCell ref="CCZ613:CDB613"/>
    <mergeCell ref="CDD613:CDF613"/>
    <mergeCell ref="CDH613:CDJ613"/>
    <mergeCell ref="CBX613:CBZ613"/>
    <mergeCell ref="CCB613:CCD613"/>
    <mergeCell ref="CCF613:CCH613"/>
    <mergeCell ref="CCJ613:CCL613"/>
    <mergeCell ref="CCN613:CCP613"/>
    <mergeCell ref="CBD613:CBF613"/>
    <mergeCell ref="CBH613:CBJ613"/>
    <mergeCell ref="CBL613:CBN613"/>
    <mergeCell ref="CBP613:CBR613"/>
    <mergeCell ref="CBT613:CBV613"/>
    <mergeCell ref="CAJ613:CAL613"/>
    <mergeCell ref="CAN613:CAP613"/>
    <mergeCell ref="CAR613:CAT613"/>
    <mergeCell ref="CAV613:CAX613"/>
    <mergeCell ref="CAZ613:CBB613"/>
    <mergeCell ref="BZP613:BZR613"/>
    <mergeCell ref="BZT613:BZV613"/>
    <mergeCell ref="BZX613:BZZ613"/>
    <mergeCell ref="CAB613:CAD613"/>
    <mergeCell ref="CAF613:CAH613"/>
    <mergeCell ref="BYV613:BYX613"/>
    <mergeCell ref="BYZ613:BZB613"/>
    <mergeCell ref="BZD613:BZF613"/>
    <mergeCell ref="BZH613:BZJ613"/>
    <mergeCell ref="BZL613:BZN613"/>
    <mergeCell ref="BYB613:BYD613"/>
    <mergeCell ref="BYF613:BYH613"/>
    <mergeCell ref="BYJ613:BYL613"/>
    <mergeCell ref="BYN613:BYP613"/>
    <mergeCell ref="BYR613:BYT613"/>
    <mergeCell ref="CIB613:CID613"/>
    <mergeCell ref="CIF613:CIH613"/>
    <mergeCell ref="CIJ613:CIL613"/>
    <mergeCell ref="CIN613:CIP613"/>
    <mergeCell ref="CIR613:CIT613"/>
    <mergeCell ref="CHH613:CHJ613"/>
    <mergeCell ref="CHL613:CHN613"/>
    <mergeCell ref="CHP613:CHR613"/>
    <mergeCell ref="CHT613:CHV613"/>
    <mergeCell ref="CHX613:CHZ613"/>
    <mergeCell ref="CGN613:CGP613"/>
    <mergeCell ref="CGR613:CGT613"/>
    <mergeCell ref="CGV613:CGX613"/>
    <mergeCell ref="CGZ613:CHB613"/>
    <mergeCell ref="CHD613:CHF613"/>
    <mergeCell ref="CFT613:CFV613"/>
    <mergeCell ref="CFX613:CFZ613"/>
    <mergeCell ref="CGB613:CGD613"/>
    <mergeCell ref="CGF613:CGH613"/>
    <mergeCell ref="CGJ613:CGL613"/>
    <mergeCell ref="CEZ613:CFB613"/>
    <mergeCell ref="CFD613:CFF613"/>
    <mergeCell ref="CFH613:CFJ613"/>
    <mergeCell ref="CFL613:CFN613"/>
    <mergeCell ref="CFP613:CFR613"/>
    <mergeCell ref="CEF613:CEH613"/>
    <mergeCell ref="CEJ613:CEL613"/>
    <mergeCell ref="CEN613:CEP613"/>
    <mergeCell ref="CER613:CET613"/>
    <mergeCell ref="CEV613:CEX613"/>
    <mergeCell ref="CDL613:CDN613"/>
    <mergeCell ref="CDP613:CDR613"/>
    <mergeCell ref="CDT613:CDV613"/>
    <mergeCell ref="CDX613:CDZ613"/>
    <mergeCell ref="CEB613:CED613"/>
    <mergeCell ref="CNL613:CNN613"/>
    <mergeCell ref="CNP613:CNR613"/>
    <mergeCell ref="CNT613:CNV613"/>
    <mergeCell ref="CNX613:CNZ613"/>
    <mergeCell ref="COB613:COD613"/>
    <mergeCell ref="CMR613:CMT613"/>
    <mergeCell ref="CMV613:CMX613"/>
    <mergeCell ref="CMZ613:CNB613"/>
    <mergeCell ref="CND613:CNF613"/>
    <mergeCell ref="CNH613:CNJ613"/>
    <mergeCell ref="CLX613:CLZ613"/>
    <mergeCell ref="CMB613:CMD613"/>
    <mergeCell ref="CMF613:CMH613"/>
    <mergeCell ref="CMJ613:CML613"/>
    <mergeCell ref="CMN613:CMP613"/>
    <mergeCell ref="CLD613:CLF613"/>
    <mergeCell ref="CLH613:CLJ613"/>
    <mergeCell ref="CLL613:CLN613"/>
    <mergeCell ref="CLP613:CLR613"/>
    <mergeCell ref="CLT613:CLV613"/>
    <mergeCell ref="CKJ613:CKL613"/>
    <mergeCell ref="CKN613:CKP613"/>
    <mergeCell ref="CKR613:CKT613"/>
    <mergeCell ref="CKV613:CKX613"/>
    <mergeCell ref="CKZ613:CLB613"/>
    <mergeCell ref="CJP613:CJR613"/>
    <mergeCell ref="CJT613:CJV613"/>
    <mergeCell ref="CJX613:CJZ613"/>
    <mergeCell ref="CKB613:CKD613"/>
    <mergeCell ref="CKF613:CKH613"/>
    <mergeCell ref="CIV613:CIX613"/>
    <mergeCell ref="CIZ613:CJB613"/>
    <mergeCell ref="CJD613:CJF613"/>
    <mergeCell ref="CJH613:CJJ613"/>
    <mergeCell ref="CJL613:CJN613"/>
    <mergeCell ref="CSV613:CSX613"/>
    <mergeCell ref="CSZ613:CTB613"/>
    <mergeCell ref="CTD613:CTF613"/>
    <mergeCell ref="CTH613:CTJ613"/>
    <mergeCell ref="CTL613:CTN613"/>
    <mergeCell ref="CSB613:CSD613"/>
    <mergeCell ref="CSF613:CSH613"/>
    <mergeCell ref="CSJ613:CSL613"/>
    <mergeCell ref="CSN613:CSP613"/>
    <mergeCell ref="CSR613:CST613"/>
    <mergeCell ref="CRH613:CRJ613"/>
    <mergeCell ref="CRL613:CRN613"/>
    <mergeCell ref="CRP613:CRR613"/>
    <mergeCell ref="CRT613:CRV613"/>
    <mergeCell ref="CRX613:CRZ613"/>
    <mergeCell ref="CQN613:CQP613"/>
    <mergeCell ref="CQR613:CQT613"/>
    <mergeCell ref="CQV613:CQX613"/>
    <mergeCell ref="CQZ613:CRB613"/>
    <mergeCell ref="CRD613:CRF613"/>
    <mergeCell ref="CPT613:CPV613"/>
    <mergeCell ref="CPX613:CPZ613"/>
    <mergeCell ref="CQB613:CQD613"/>
    <mergeCell ref="CQF613:CQH613"/>
    <mergeCell ref="CQJ613:CQL613"/>
    <mergeCell ref="COZ613:CPB613"/>
    <mergeCell ref="CPD613:CPF613"/>
    <mergeCell ref="CPH613:CPJ613"/>
    <mergeCell ref="CPL613:CPN613"/>
    <mergeCell ref="CPP613:CPR613"/>
    <mergeCell ref="COF613:COH613"/>
    <mergeCell ref="COJ613:COL613"/>
    <mergeCell ref="CON613:COP613"/>
    <mergeCell ref="COR613:COT613"/>
    <mergeCell ref="COV613:COX613"/>
    <mergeCell ref="CYF613:CYH613"/>
    <mergeCell ref="CYJ613:CYL613"/>
    <mergeCell ref="CYN613:CYP613"/>
    <mergeCell ref="CYR613:CYT613"/>
    <mergeCell ref="CYV613:CYX613"/>
    <mergeCell ref="CXL613:CXN613"/>
    <mergeCell ref="CXP613:CXR613"/>
    <mergeCell ref="CXT613:CXV613"/>
    <mergeCell ref="CXX613:CXZ613"/>
    <mergeCell ref="CYB613:CYD613"/>
    <mergeCell ref="CWR613:CWT613"/>
    <mergeCell ref="CWV613:CWX613"/>
    <mergeCell ref="CWZ613:CXB613"/>
    <mergeCell ref="CXD613:CXF613"/>
    <mergeCell ref="CXH613:CXJ613"/>
    <mergeCell ref="CVX613:CVZ613"/>
    <mergeCell ref="CWB613:CWD613"/>
    <mergeCell ref="CWF613:CWH613"/>
    <mergeCell ref="CWJ613:CWL613"/>
    <mergeCell ref="CWN613:CWP613"/>
    <mergeCell ref="CVD613:CVF613"/>
    <mergeCell ref="CVH613:CVJ613"/>
    <mergeCell ref="CVL613:CVN613"/>
    <mergeCell ref="CVP613:CVR613"/>
    <mergeCell ref="CVT613:CVV613"/>
    <mergeCell ref="CUJ613:CUL613"/>
    <mergeCell ref="CUN613:CUP613"/>
    <mergeCell ref="CUR613:CUT613"/>
    <mergeCell ref="CUV613:CUX613"/>
    <mergeCell ref="CUZ613:CVB613"/>
    <mergeCell ref="CTP613:CTR613"/>
    <mergeCell ref="CTT613:CTV613"/>
    <mergeCell ref="CTX613:CTZ613"/>
    <mergeCell ref="CUB613:CUD613"/>
    <mergeCell ref="CUF613:CUH613"/>
    <mergeCell ref="DDP613:DDR613"/>
    <mergeCell ref="DDT613:DDV613"/>
    <mergeCell ref="DDX613:DDZ613"/>
    <mergeCell ref="DEB613:DED613"/>
    <mergeCell ref="DEF613:DEH613"/>
    <mergeCell ref="DCV613:DCX613"/>
    <mergeCell ref="DCZ613:DDB613"/>
    <mergeCell ref="DDD613:DDF613"/>
    <mergeCell ref="DDH613:DDJ613"/>
    <mergeCell ref="DDL613:DDN613"/>
    <mergeCell ref="DCB613:DCD613"/>
    <mergeCell ref="DCF613:DCH613"/>
    <mergeCell ref="DCJ613:DCL613"/>
    <mergeCell ref="DCN613:DCP613"/>
    <mergeCell ref="DCR613:DCT613"/>
    <mergeCell ref="DBH613:DBJ613"/>
    <mergeCell ref="DBL613:DBN613"/>
    <mergeCell ref="DBP613:DBR613"/>
    <mergeCell ref="DBT613:DBV613"/>
    <mergeCell ref="DBX613:DBZ613"/>
    <mergeCell ref="DAN613:DAP613"/>
    <mergeCell ref="DAR613:DAT613"/>
    <mergeCell ref="DAV613:DAX613"/>
    <mergeCell ref="DAZ613:DBB613"/>
    <mergeCell ref="DBD613:DBF613"/>
    <mergeCell ref="CZT613:CZV613"/>
    <mergeCell ref="CZX613:CZZ613"/>
    <mergeCell ref="DAB613:DAD613"/>
    <mergeCell ref="DAF613:DAH613"/>
    <mergeCell ref="DAJ613:DAL613"/>
    <mergeCell ref="CYZ613:CZB613"/>
    <mergeCell ref="CZD613:CZF613"/>
    <mergeCell ref="CZH613:CZJ613"/>
    <mergeCell ref="CZL613:CZN613"/>
    <mergeCell ref="CZP613:CZR613"/>
    <mergeCell ref="DIZ613:DJB613"/>
    <mergeCell ref="DJD613:DJF613"/>
    <mergeCell ref="DJH613:DJJ613"/>
    <mergeCell ref="DJL613:DJN613"/>
    <mergeCell ref="DJP613:DJR613"/>
    <mergeCell ref="DIF613:DIH613"/>
    <mergeCell ref="DIJ613:DIL613"/>
    <mergeCell ref="DIN613:DIP613"/>
    <mergeCell ref="DIR613:DIT613"/>
    <mergeCell ref="DIV613:DIX613"/>
    <mergeCell ref="DHL613:DHN613"/>
    <mergeCell ref="DHP613:DHR613"/>
    <mergeCell ref="DHT613:DHV613"/>
    <mergeCell ref="DHX613:DHZ613"/>
    <mergeCell ref="DIB613:DID613"/>
    <mergeCell ref="DGR613:DGT613"/>
    <mergeCell ref="DGV613:DGX613"/>
    <mergeCell ref="DGZ613:DHB613"/>
    <mergeCell ref="DHD613:DHF613"/>
    <mergeCell ref="DHH613:DHJ613"/>
    <mergeCell ref="DFX613:DFZ613"/>
    <mergeCell ref="DGB613:DGD613"/>
    <mergeCell ref="DGF613:DGH613"/>
    <mergeCell ref="DGJ613:DGL613"/>
    <mergeCell ref="DGN613:DGP613"/>
    <mergeCell ref="DFD613:DFF613"/>
    <mergeCell ref="DFH613:DFJ613"/>
    <mergeCell ref="DFL613:DFN613"/>
    <mergeCell ref="DFP613:DFR613"/>
    <mergeCell ref="DFT613:DFV613"/>
    <mergeCell ref="DEJ613:DEL613"/>
    <mergeCell ref="DEN613:DEP613"/>
    <mergeCell ref="DER613:DET613"/>
    <mergeCell ref="DEV613:DEX613"/>
    <mergeCell ref="DEZ613:DFB613"/>
    <mergeCell ref="DOJ613:DOL613"/>
    <mergeCell ref="DON613:DOP613"/>
    <mergeCell ref="DOR613:DOT613"/>
    <mergeCell ref="DOV613:DOX613"/>
    <mergeCell ref="DOZ613:DPB613"/>
    <mergeCell ref="DNP613:DNR613"/>
    <mergeCell ref="DNT613:DNV613"/>
    <mergeCell ref="DNX613:DNZ613"/>
    <mergeCell ref="DOB613:DOD613"/>
    <mergeCell ref="DOF613:DOH613"/>
    <mergeCell ref="DMV613:DMX613"/>
    <mergeCell ref="DMZ613:DNB613"/>
    <mergeCell ref="DND613:DNF613"/>
    <mergeCell ref="DNH613:DNJ613"/>
    <mergeCell ref="DNL613:DNN613"/>
    <mergeCell ref="DMB613:DMD613"/>
    <mergeCell ref="DMF613:DMH613"/>
    <mergeCell ref="DMJ613:DML613"/>
    <mergeCell ref="DMN613:DMP613"/>
    <mergeCell ref="DMR613:DMT613"/>
    <mergeCell ref="DLH613:DLJ613"/>
    <mergeCell ref="DLL613:DLN613"/>
    <mergeCell ref="DLP613:DLR613"/>
    <mergeCell ref="DLT613:DLV613"/>
    <mergeCell ref="DLX613:DLZ613"/>
    <mergeCell ref="DKN613:DKP613"/>
    <mergeCell ref="DKR613:DKT613"/>
    <mergeCell ref="DKV613:DKX613"/>
    <mergeCell ref="DKZ613:DLB613"/>
    <mergeCell ref="DLD613:DLF613"/>
    <mergeCell ref="DJT613:DJV613"/>
    <mergeCell ref="DJX613:DJZ613"/>
    <mergeCell ref="DKB613:DKD613"/>
    <mergeCell ref="DKF613:DKH613"/>
    <mergeCell ref="DKJ613:DKL613"/>
    <mergeCell ref="DTT613:DTV613"/>
    <mergeCell ref="DTX613:DTZ613"/>
    <mergeCell ref="DUB613:DUD613"/>
    <mergeCell ref="DUF613:DUH613"/>
    <mergeCell ref="DUJ613:DUL613"/>
    <mergeCell ref="DSZ613:DTB613"/>
    <mergeCell ref="DTD613:DTF613"/>
    <mergeCell ref="DTH613:DTJ613"/>
    <mergeCell ref="DTL613:DTN613"/>
    <mergeCell ref="DTP613:DTR613"/>
    <mergeCell ref="DSF613:DSH613"/>
    <mergeCell ref="DSJ613:DSL613"/>
    <mergeCell ref="DSN613:DSP613"/>
    <mergeCell ref="DSR613:DST613"/>
    <mergeCell ref="DSV613:DSX613"/>
    <mergeCell ref="DRL613:DRN613"/>
    <mergeCell ref="DRP613:DRR613"/>
    <mergeCell ref="DRT613:DRV613"/>
    <mergeCell ref="DRX613:DRZ613"/>
    <mergeCell ref="DSB613:DSD613"/>
    <mergeCell ref="DQR613:DQT613"/>
    <mergeCell ref="DQV613:DQX613"/>
    <mergeCell ref="DQZ613:DRB613"/>
    <mergeCell ref="DRD613:DRF613"/>
    <mergeCell ref="DRH613:DRJ613"/>
    <mergeCell ref="DPX613:DPZ613"/>
    <mergeCell ref="DQB613:DQD613"/>
    <mergeCell ref="DQF613:DQH613"/>
    <mergeCell ref="DQJ613:DQL613"/>
    <mergeCell ref="DQN613:DQP613"/>
    <mergeCell ref="DPD613:DPF613"/>
    <mergeCell ref="DPH613:DPJ613"/>
    <mergeCell ref="DPL613:DPN613"/>
    <mergeCell ref="DPP613:DPR613"/>
    <mergeCell ref="DPT613:DPV613"/>
    <mergeCell ref="DZD613:DZF613"/>
    <mergeCell ref="DZH613:DZJ613"/>
    <mergeCell ref="DZL613:DZN613"/>
    <mergeCell ref="DZP613:DZR613"/>
    <mergeCell ref="DZT613:DZV613"/>
    <mergeCell ref="DYJ613:DYL613"/>
    <mergeCell ref="DYN613:DYP613"/>
    <mergeCell ref="DYR613:DYT613"/>
    <mergeCell ref="DYV613:DYX613"/>
    <mergeCell ref="DYZ613:DZB613"/>
    <mergeCell ref="DXP613:DXR613"/>
    <mergeCell ref="DXT613:DXV613"/>
    <mergeCell ref="DXX613:DXZ613"/>
    <mergeCell ref="DYB613:DYD613"/>
    <mergeCell ref="DYF613:DYH613"/>
    <mergeCell ref="DWV613:DWX613"/>
    <mergeCell ref="DWZ613:DXB613"/>
    <mergeCell ref="DXD613:DXF613"/>
    <mergeCell ref="DXH613:DXJ613"/>
    <mergeCell ref="DXL613:DXN613"/>
    <mergeCell ref="DWB613:DWD613"/>
    <mergeCell ref="DWF613:DWH613"/>
    <mergeCell ref="DWJ613:DWL613"/>
    <mergeCell ref="DWN613:DWP613"/>
    <mergeCell ref="DWR613:DWT613"/>
    <mergeCell ref="DVH613:DVJ613"/>
    <mergeCell ref="DVL613:DVN613"/>
    <mergeCell ref="DVP613:DVR613"/>
    <mergeCell ref="DVT613:DVV613"/>
    <mergeCell ref="DVX613:DVZ613"/>
    <mergeCell ref="DUN613:DUP613"/>
    <mergeCell ref="DUR613:DUT613"/>
    <mergeCell ref="DUV613:DUX613"/>
    <mergeCell ref="DUZ613:DVB613"/>
    <mergeCell ref="DVD613:DVF613"/>
    <mergeCell ref="EEN613:EEP613"/>
    <mergeCell ref="EER613:EET613"/>
    <mergeCell ref="EEV613:EEX613"/>
    <mergeCell ref="EEZ613:EFB613"/>
    <mergeCell ref="EFD613:EFF613"/>
    <mergeCell ref="EDT613:EDV613"/>
    <mergeCell ref="EDX613:EDZ613"/>
    <mergeCell ref="EEB613:EED613"/>
    <mergeCell ref="EEF613:EEH613"/>
    <mergeCell ref="EEJ613:EEL613"/>
    <mergeCell ref="ECZ613:EDB613"/>
    <mergeCell ref="EDD613:EDF613"/>
    <mergeCell ref="EDH613:EDJ613"/>
    <mergeCell ref="EDL613:EDN613"/>
    <mergeCell ref="EDP613:EDR613"/>
    <mergeCell ref="ECF613:ECH613"/>
    <mergeCell ref="ECJ613:ECL613"/>
    <mergeCell ref="ECN613:ECP613"/>
    <mergeCell ref="ECR613:ECT613"/>
    <mergeCell ref="ECV613:ECX613"/>
    <mergeCell ref="EBL613:EBN613"/>
    <mergeCell ref="EBP613:EBR613"/>
    <mergeCell ref="EBT613:EBV613"/>
    <mergeCell ref="EBX613:EBZ613"/>
    <mergeCell ref="ECB613:ECD613"/>
    <mergeCell ref="EAR613:EAT613"/>
    <mergeCell ref="EAV613:EAX613"/>
    <mergeCell ref="EAZ613:EBB613"/>
    <mergeCell ref="EBD613:EBF613"/>
    <mergeCell ref="EBH613:EBJ613"/>
    <mergeCell ref="DZX613:DZZ613"/>
    <mergeCell ref="EAB613:EAD613"/>
    <mergeCell ref="EAF613:EAH613"/>
    <mergeCell ref="EAJ613:EAL613"/>
    <mergeCell ref="EAN613:EAP613"/>
    <mergeCell ref="EJX613:EJZ613"/>
    <mergeCell ref="EKB613:EKD613"/>
    <mergeCell ref="EKF613:EKH613"/>
    <mergeCell ref="EKJ613:EKL613"/>
    <mergeCell ref="EKN613:EKP613"/>
    <mergeCell ref="EJD613:EJF613"/>
    <mergeCell ref="EJH613:EJJ613"/>
    <mergeCell ref="EJL613:EJN613"/>
    <mergeCell ref="EJP613:EJR613"/>
    <mergeCell ref="EJT613:EJV613"/>
    <mergeCell ref="EIJ613:EIL613"/>
    <mergeCell ref="EIN613:EIP613"/>
    <mergeCell ref="EIR613:EIT613"/>
    <mergeCell ref="EIV613:EIX613"/>
    <mergeCell ref="EIZ613:EJB613"/>
    <mergeCell ref="EHP613:EHR613"/>
    <mergeCell ref="EHT613:EHV613"/>
    <mergeCell ref="EHX613:EHZ613"/>
    <mergeCell ref="EIB613:EID613"/>
    <mergeCell ref="EIF613:EIH613"/>
    <mergeCell ref="EGV613:EGX613"/>
    <mergeCell ref="EGZ613:EHB613"/>
    <mergeCell ref="EHD613:EHF613"/>
    <mergeCell ref="EHH613:EHJ613"/>
    <mergeCell ref="EHL613:EHN613"/>
    <mergeCell ref="EGB613:EGD613"/>
    <mergeCell ref="EGF613:EGH613"/>
    <mergeCell ref="EGJ613:EGL613"/>
    <mergeCell ref="EGN613:EGP613"/>
    <mergeCell ref="EGR613:EGT613"/>
    <mergeCell ref="EFH613:EFJ613"/>
    <mergeCell ref="EFL613:EFN613"/>
    <mergeCell ref="EFP613:EFR613"/>
    <mergeCell ref="EFT613:EFV613"/>
    <mergeCell ref="EFX613:EFZ613"/>
    <mergeCell ref="EPH613:EPJ613"/>
    <mergeCell ref="EPL613:EPN613"/>
    <mergeCell ref="EPP613:EPR613"/>
    <mergeCell ref="EPT613:EPV613"/>
    <mergeCell ref="EPX613:EPZ613"/>
    <mergeCell ref="EON613:EOP613"/>
    <mergeCell ref="EOR613:EOT613"/>
    <mergeCell ref="EOV613:EOX613"/>
    <mergeCell ref="EOZ613:EPB613"/>
    <mergeCell ref="EPD613:EPF613"/>
    <mergeCell ref="ENT613:ENV613"/>
    <mergeCell ref="ENX613:ENZ613"/>
    <mergeCell ref="EOB613:EOD613"/>
    <mergeCell ref="EOF613:EOH613"/>
    <mergeCell ref="EOJ613:EOL613"/>
    <mergeCell ref="EMZ613:ENB613"/>
    <mergeCell ref="END613:ENF613"/>
    <mergeCell ref="ENH613:ENJ613"/>
    <mergeCell ref="ENL613:ENN613"/>
    <mergeCell ref="ENP613:ENR613"/>
    <mergeCell ref="EMF613:EMH613"/>
    <mergeCell ref="EMJ613:EML613"/>
    <mergeCell ref="EMN613:EMP613"/>
    <mergeCell ref="EMR613:EMT613"/>
    <mergeCell ref="EMV613:EMX613"/>
    <mergeCell ref="ELL613:ELN613"/>
    <mergeCell ref="ELP613:ELR613"/>
    <mergeCell ref="ELT613:ELV613"/>
    <mergeCell ref="ELX613:ELZ613"/>
    <mergeCell ref="EMB613:EMD613"/>
    <mergeCell ref="EKR613:EKT613"/>
    <mergeCell ref="EKV613:EKX613"/>
    <mergeCell ref="EKZ613:ELB613"/>
    <mergeCell ref="ELD613:ELF613"/>
    <mergeCell ref="ELH613:ELJ613"/>
    <mergeCell ref="EUR613:EUT613"/>
    <mergeCell ref="EUV613:EUX613"/>
    <mergeCell ref="EUZ613:EVB613"/>
    <mergeCell ref="EVD613:EVF613"/>
    <mergeCell ref="EVH613:EVJ613"/>
    <mergeCell ref="ETX613:ETZ613"/>
    <mergeCell ref="EUB613:EUD613"/>
    <mergeCell ref="EUF613:EUH613"/>
    <mergeCell ref="EUJ613:EUL613"/>
    <mergeCell ref="EUN613:EUP613"/>
    <mergeCell ref="ETD613:ETF613"/>
    <mergeCell ref="ETH613:ETJ613"/>
    <mergeCell ref="ETL613:ETN613"/>
    <mergeCell ref="ETP613:ETR613"/>
    <mergeCell ref="ETT613:ETV613"/>
    <mergeCell ref="ESJ613:ESL613"/>
    <mergeCell ref="ESN613:ESP613"/>
    <mergeCell ref="ESR613:EST613"/>
    <mergeCell ref="ESV613:ESX613"/>
    <mergeCell ref="ESZ613:ETB613"/>
    <mergeCell ref="ERP613:ERR613"/>
    <mergeCell ref="ERT613:ERV613"/>
    <mergeCell ref="ERX613:ERZ613"/>
    <mergeCell ref="ESB613:ESD613"/>
    <mergeCell ref="ESF613:ESH613"/>
    <mergeCell ref="EQV613:EQX613"/>
    <mergeCell ref="EQZ613:ERB613"/>
    <mergeCell ref="ERD613:ERF613"/>
    <mergeCell ref="ERH613:ERJ613"/>
    <mergeCell ref="ERL613:ERN613"/>
    <mergeCell ref="EQB613:EQD613"/>
    <mergeCell ref="EQF613:EQH613"/>
    <mergeCell ref="EQJ613:EQL613"/>
    <mergeCell ref="EQN613:EQP613"/>
    <mergeCell ref="EQR613:EQT613"/>
    <mergeCell ref="FAB613:FAD613"/>
    <mergeCell ref="FAF613:FAH613"/>
    <mergeCell ref="FAJ613:FAL613"/>
    <mergeCell ref="FAN613:FAP613"/>
    <mergeCell ref="FAR613:FAT613"/>
    <mergeCell ref="EZH613:EZJ613"/>
    <mergeCell ref="EZL613:EZN613"/>
    <mergeCell ref="EZP613:EZR613"/>
    <mergeCell ref="EZT613:EZV613"/>
    <mergeCell ref="EZX613:EZZ613"/>
    <mergeCell ref="EYN613:EYP613"/>
    <mergeCell ref="EYR613:EYT613"/>
    <mergeCell ref="EYV613:EYX613"/>
    <mergeCell ref="EYZ613:EZB613"/>
    <mergeCell ref="EZD613:EZF613"/>
    <mergeCell ref="EXT613:EXV613"/>
    <mergeCell ref="EXX613:EXZ613"/>
    <mergeCell ref="EYB613:EYD613"/>
    <mergeCell ref="EYF613:EYH613"/>
    <mergeCell ref="EYJ613:EYL613"/>
    <mergeCell ref="EWZ613:EXB613"/>
    <mergeCell ref="EXD613:EXF613"/>
    <mergeCell ref="EXH613:EXJ613"/>
    <mergeCell ref="EXL613:EXN613"/>
    <mergeCell ref="EXP613:EXR613"/>
    <mergeCell ref="EWF613:EWH613"/>
    <mergeCell ref="EWJ613:EWL613"/>
    <mergeCell ref="EWN613:EWP613"/>
    <mergeCell ref="EWR613:EWT613"/>
    <mergeCell ref="EWV613:EWX613"/>
    <mergeCell ref="EVL613:EVN613"/>
    <mergeCell ref="EVP613:EVR613"/>
    <mergeCell ref="EVT613:EVV613"/>
    <mergeCell ref="EVX613:EVZ613"/>
    <mergeCell ref="EWB613:EWD613"/>
    <mergeCell ref="FFL613:FFN613"/>
    <mergeCell ref="FFP613:FFR613"/>
    <mergeCell ref="FFT613:FFV613"/>
    <mergeCell ref="FFX613:FFZ613"/>
    <mergeCell ref="FGB613:FGD613"/>
    <mergeCell ref="FER613:FET613"/>
    <mergeCell ref="FEV613:FEX613"/>
    <mergeCell ref="FEZ613:FFB613"/>
    <mergeCell ref="FFD613:FFF613"/>
    <mergeCell ref="FFH613:FFJ613"/>
    <mergeCell ref="FDX613:FDZ613"/>
    <mergeCell ref="FEB613:FED613"/>
    <mergeCell ref="FEF613:FEH613"/>
    <mergeCell ref="FEJ613:FEL613"/>
    <mergeCell ref="FEN613:FEP613"/>
    <mergeCell ref="FDD613:FDF613"/>
    <mergeCell ref="FDH613:FDJ613"/>
    <mergeCell ref="FDL613:FDN613"/>
    <mergeCell ref="FDP613:FDR613"/>
    <mergeCell ref="FDT613:FDV613"/>
    <mergeCell ref="FCJ613:FCL613"/>
    <mergeCell ref="FCN613:FCP613"/>
    <mergeCell ref="FCR613:FCT613"/>
    <mergeCell ref="FCV613:FCX613"/>
    <mergeCell ref="FCZ613:FDB613"/>
    <mergeCell ref="FBP613:FBR613"/>
    <mergeCell ref="FBT613:FBV613"/>
    <mergeCell ref="FBX613:FBZ613"/>
    <mergeCell ref="FCB613:FCD613"/>
    <mergeCell ref="FCF613:FCH613"/>
    <mergeCell ref="FAV613:FAX613"/>
    <mergeCell ref="FAZ613:FBB613"/>
    <mergeCell ref="FBD613:FBF613"/>
    <mergeCell ref="FBH613:FBJ613"/>
    <mergeCell ref="FBL613:FBN613"/>
    <mergeCell ref="FKV613:FKX613"/>
    <mergeCell ref="FKZ613:FLB613"/>
    <mergeCell ref="FLD613:FLF613"/>
    <mergeCell ref="FLH613:FLJ613"/>
    <mergeCell ref="FLL613:FLN613"/>
    <mergeCell ref="FKB613:FKD613"/>
    <mergeCell ref="FKF613:FKH613"/>
    <mergeCell ref="FKJ613:FKL613"/>
    <mergeCell ref="FKN613:FKP613"/>
    <mergeCell ref="FKR613:FKT613"/>
    <mergeCell ref="FJH613:FJJ613"/>
    <mergeCell ref="FJL613:FJN613"/>
    <mergeCell ref="FJP613:FJR613"/>
    <mergeCell ref="FJT613:FJV613"/>
    <mergeCell ref="FJX613:FJZ613"/>
    <mergeCell ref="FIN613:FIP613"/>
    <mergeCell ref="FIR613:FIT613"/>
    <mergeCell ref="FIV613:FIX613"/>
    <mergeCell ref="FIZ613:FJB613"/>
    <mergeCell ref="FJD613:FJF613"/>
    <mergeCell ref="FHT613:FHV613"/>
    <mergeCell ref="FHX613:FHZ613"/>
    <mergeCell ref="FIB613:FID613"/>
    <mergeCell ref="FIF613:FIH613"/>
    <mergeCell ref="FIJ613:FIL613"/>
    <mergeCell ref="FGZ613:FHB613"/>
    <mergeCell ref="FHD613:FHF613"/>
    <mergeCell ref="FHH613:FHJ613"/>
    <mergeCell ref="FHL613:FHN613"/>
    <mergeCell ref="FHP613:FHR613"/>
    <mergeCell ref="FGF613:FGH613"/>
    <mergeCell ref="FGJ613:FGL613"/>
    <mergeCell ref="FGN613:FGP613"/>
    <mergeCell ref="FGR613:FGT613"/>
    <mergeCell ref="FGV613:FGX613"/>
    <mergeCell ref="FQF613:FQH613"/>
    <mergeCell ref="FQJ613:FQL613"/>
    <mergeCell ref="FQN613:FQP613"/>
    <mergeCell ref="FQR613:FQT613"/>
    <mergeCell ref="FQV613:FQX613"/>
    <mergeCell ref="FPL613:FPN613"/>
    <mergeCell ref="FPP613:FPR613"/>
    <mergeCell ref="FPT613:FPV613"/>
    <mergeCell ref="FPX613:FPZ613"/>
    <mergeCell ref="FQB613:FQD613"/>
    <mergeCell ref="FOR613:FOT613"/>
    <mergeCell ref="FOV613:FOX613"/>
    <mergeCell ref="FOZ613:FPB613"/>
    <mergeCell ref="FPD613:FPF613"/>
    <mergeCell ref="FPH613:FPJ613"/>
    <mergeCell ref="FNX613:FNZ613"/>
    <mergeCell ref="FOB613:FOD613"/>
    <mergeCell ref="FOF613:FOH613"/>
    <mergeCell ref="FOJ613:FOL613"/>
    <mergeCell ref="FON613:FOP613"/>
    <mergeCell ref="FND613:FNF613"/>
    <mergeCell ref="FNH613:FNJ613"/>
    <mergeCell ref="FNL613:FNN613"/>
    <mergeCell ref="FNP613:FNR613"/>
    <mergeCell ref="FNT613:FNV613"/>
    <mergeCell ref="FMJ613:FML613"/>
    <mergeCell ref="FMN613:FMP613"/>
    <mergeCell ref="FMR613:FMT613"/>
    <mergeCell ref="FMV613:FMX613"/>
    <mergeCell ref="FMZ613:FNB613"/>
    <mergeCell ref="FLP613:FLR613"/>
    <mergeCell ref="FLT613:FLV613"/>
    <mergeCell ref="FLX613:FLZ613"/>
    <mergeCell ref="FMB613:FMD613"/>
    <mergeCell ref="FMF613:FMH613"/>
    <mergeCell ref="FVP613:FVR613"/>
    <mergeCell ref="FVT613:FVV613"/>
    <mergeCell ref="FVX613:FVZ613"/>
    <mergeCell ref="FWB613:FWD613"/>
    <mergeCell ref="FWF613:FWH613"/>
    <mergeCell ref="FUV613:FUX613"/>
    <mergeCell ref="FUZ613:FVB613"/>
    <mergeCell ref="FVD613:FVF613"/>
    <mergeCell ref="FVH613:FVJ613"/>
    <mergeCell ref="FVL613:FVN613"/>
    <mergeCell ref="FUB613:FUD613"/>
    <mergeCell ref="FUF613:FUH613"/>
    <mergeCell ref="FUJ613:FUL613"/>
    <mergeCell ref="FUN613:FUP613"/>
    <mergeCell ref="FUR613:FUT613"/>
    <mergeCell ref="FTH613:FTJ613"/>
    <mergeCell ref="FTL613:FTN613"/>
    <mergeCell ref="FTP613:FTR613"/>
    <mergeCell ref="FTT613:FTV613"/>
    <mergeCell ref="FTX613:FTZ613"/>
    <mergeCell ref="FSN613:FSP613"/>
    <mergeCell ref="FSR613:FST613"/>
    <mergeCell ref="FSV613:FSX613"/>
    <mergeCell ref="FSZ613:FTB613"/>
    <mergeCell ref="FTD613:FTF613"/>
    <mergeCell ref="FRT613:FRV613"/>
    <mergeCell ref="FRX613:FRZ613"/>
    <mergeCell ref="FSB613:FSD613"/>
    <mergeCell ref="FSF613:FSH613"/>
    <mergeCell ref="FSJ613:FSL613"/>
    <mergeCell ref="FQZ613:FRB613"/>
    <mergeCell ref="FRD613:FRF613"/>
    <mergeCell ref="FRH613:FRJ613"/>
    <mergeCell ref="FRL613:FRN613"/>
    <mergeCell ref="FRP613:FRR613"/>
    <mergeCell ref="GAZ613:GBB613"/>
    <mergeCell ref="GBD613:GBF613"/>
    <mergeCell ref="GBH613:GBJ613"/>
    <mergeCell ref="GBL613:GBN613"/>
    <mergeCell ref="GBP613:GBR613"/>
    <mergeCell ref="GAF613:GAH613"/>
    <mergeCell ref="GAJ613:GAL613"/>
    <mergeCell ref="GAN613:GAP613"/>
    <mergeCell ref="GAR613:GAT613"/>
    <mergeCell ref="GAV613:GAX613"/>
    <mergeCell ref="FZL613:FZN613"/>
    <mergeCell ref="FZP613:FZR613"/>
    <mergeCell ref="FZT613:FZV613"/>
    <mergeCell ref="FZX613:FZZ613"/>
    <mergeCell ref="GAB613:GAD613"/>
    <mergeCell ref="FYR613:FYT613"/>
    <mergeCell ref="FYV613:FYX613"/>
    <mergeCell ref="FYZ613:FZB613"/>
    <mergeCell ref="FZD613:FZF613"/>
    <mergeCell ref="FZH613:FZJ613"/>
    <mergeCell ref="FXX613:FXZ613"/>
    <mergeCell ref="FYB613:FYD613"/>
    <mergeCell ref="FYF613:FYH613"/>
    <mergeCell ref="FYJ613:FYL613"/>
    <mergeCell ref="FYN613:FYP613"/>
    <mergeCell ref="FXD613:FXF613"/>
    <mergeCell ref="FXH613:FXJ613"/>
    <mergeCell ref="FXL613:FXN613"/>
    <mergeCell ref="FXP613:FXR613"/>
    <mergeCell ref="FXT613:FXV613"/>
    <mergeCell ref="FWJ613:FWL613"/>
    <mergeCell ref="FWN613:FWP613"/>
    <mergeCell ref="FWR613:FWT613"/>
    <mergeCell ref="FWV613:FWX613"/>
    <mergeCell ref="FWZ613:FXB613"/>
    <mergeCell ref="GGJ613:GGL613"/>
    <mergeCell ref="GGN613:GGP613"/>
    <mergeCell ref="GGR613:GGT613"/>
    <mergeCell ref="GGV613:GGX613"/>
    <mergeCell ref="GGZ613:GHB613"/>
    <mergeCell ref="GFP613:GFR613"/>
    <mergeCell ref="GFT613:GFV613"/>
    <mergeCell ref="GFX613:GFZ613"/>
    <mergeCell ref="GGB613:GGD613"/>
    <mergeCell ref="GGF613:GGH613"/>
    <mergeCell ref="GEV613:GEX613"/>
    <mergeCell ref="GEZ613:GFB613"/>
    <mergeCell ref="GFD613:GFF613"/>
    <mergeCell ref="GFH613:GFJ613"/>
    <mergeCell ref="GFL613:GFN613"/>
    <mergeCell ref="GEB613:GED613"/>
    <mergeCell ref="GEF613:GEH613"/>
    <mergeCell ref="GEJ613:GEL613"/>
    <mergeCell ref="GEN613:GEP613"/>
    <mergeCell ref="GER613:GET613"/>
    <mergeCell ref="GDH613:GDJ613"/>
    <mergeCell ref="GDL613:GDN613"/>
    <mergeCell ref="GDP613:GDR613"/>
    <mergeCell ref="GDT613:GDV613"/>
    <mergeCell ref="GDX613:GDZ613"/>
    <mergeCell ref="GCN613:GCP613"/>
    <mergeCell ref="GCR613:GCT613"/>
    <mergeCell ref="GCV613:GCX613"/>
    <mergeCell ref="GCZ613:GDB613"/>
    <mergeCell ref="GDD613:GDF613"/>
    <mergeCell ref="GBT613:GBV613"/>
    <mergeCell ref="GBX613:GBZ613"/>
    <mergeCell ref="GCB613:GCD613"/>
    <mergeCell ref="GCF613:GCH613"/>
    <mergeCell ref="GCJ613:GCL613"/>
    <mergeCell ref="GLT613:GLV613"/>
    <mergeCell ref="GLX613:GLZ613"/>
    <mergeCell ref="GMB613:GMD613"/>
    <mergeCell ref="GMF613:GMH613"/>
    <mergeCell ref="GMJ613:GML613"/>
    <mergeCell ref="GKZ613:GLB613"/>
    <mergeCell ref="GLD613:GLF613"/>
    <mergeCell ref="GLH613:GLJ613"/>
    <mergeCell ref="GLL613:GLN613"/>
    <mergeCell ref="GLP613:GLR613"/>
    <mergeCell ref="GKF613:GKH613"/>
    <mergeCell ref="GKJ613:GKL613"/>
    <mergeCell ref="GKN613:GKP613"/>
    <mergeCell ref="GKR613:GKT613"/>
    <mergeCell ref="GKV613:GKX613"/>
    <mergeCell ref="GJL613:GJN613"/>
    <mergeCell ref="GJP613:GJR613"/>
    <mergeCell ref="GJT613:GJV613"/>
    <mergeCell ref="GJX613:GJZ613"/>
    <mergeCell ref="GKB613:GKD613"/>
    <mergeCell ref="GIR613:GIT613"/>
    <mergeCell ref="GIV613:GIX613"/>
    <mergeCell ref="GIZ613:GJB613"/>
    <mergeCell ref="GJD613:GJF613"/>
    <mergeCell ref="GJH613:GJJ613"/>
    <mergeCell ref="GHX613:GHZ613"/>
    <mergeCell ref="GIB613:GID613"/>
    <mergeCell ref="GIF613:GIH613"/>
    <mergeCell ref="GIJ613:GIL613"/>
    <mergeCell ref="GIN613:GIP613"/>
    <mergeCell ref="GHD613:GHF613"/>
    <mergeCell ref="GHH613:GHJ613"/>
    <mergeCell ref="GHL613:GHN613"/>
    <mergeCell ref="GHP613:GHR613"/>
    <mergeCell ref="GHT613:GHV613"/>
    <mergeCell ref="GRD613:GRF613"/>
    <mergeCell ref="GRH613:GRJ613"/>
    <mergeCell ref="GRL613:GRN613"/>
    <mergeCell ref="GRP613:GRR613"/>
    <mergeCell ref="GRT613:GRV613"/>
    <mergeCell ref="GQJ613:GQL613"/>
    <mergeCell ref="GQN613:GQP613"/>
    <mergeCell ref="GQR613:GQT613"/>
    <mergeCell ref="GQV613:GQX613"/>
    <mergeCell ref="GQZ613:GRB613"/>
    <mergeCell ref="GPP613:GPR613"/>
    <mergeCell ref="GPT613:GPV613"/>
    <mergeCell ref="GPX613:GPZ613"/>
    <mergeCell ref="GQB613:GQD613"/>
    <mergeCell ref="GQF613:GQH613"/>
    <mergeCell ref="GOV613:GOX613"/>
    <mergeCell ref="GOZ613:GPB613"/>
    <mergeCell ref="GPD613:GPF613"/>
    <mergeCell ref="GPH613:GPJ613"/>
    <mergeCell ref="GPL613:GPN613"/>
    <mergeCell ref="GOB613:GOD613"/>
    <mergeCell ref="GOF613:GOH613"/>
    <mergeCell ref="GOJ613:GOL613"/>
    <mergeCell ref="GON613:GOP613"/>
    <mergeCell ref="GOR613:GOT613"/>
    <mergeCell ref="GNH613:GNJ613"/>
    <mergeCell ref="GNL613:GNN613"/>
    <mergeCell ref="GNP613:GNR613"/>
    <mergeCell ref="GNT613:GNV613"/>
    <mergeCell ref="GNX613:GNZ613"/>
    <mergeCell ref="GMN613:GMP613"/>
    <mergeCell ref="GMR613:GMT613"/>
    <mergeCell ref="GMV613:GMX613"/>
    <mergeCell ref="GMZ613:GNB613"/>
    <mergeCell ref="GND613:GNF613"/>
    <mergeCell ref="GWN613:GWP613"/>
    <mergeCell ref="GWR613:GWT613"/>
    <mergeCell ref="GWV613:GWX613"/>
    <mergeCell ref="GWZ613:GXB613"/>
    <mergeCell ref="GXD613:GXF613"/>
    <mergeCell ref="GVT613:GVV613"/>
    <mergeCell ref="GVX613:GVZ613"/>
    <mergeCell ref="GWB613:GWD613"/>
    <mergeCell ref="GWF613:GWH613"/>
    <mergeCell ref="GWJ613:GWL613"/>
    <mergeCell ref="GUZ613:GVB613"/>
    <mergeCell ref="GVD613:GVF613"/>
    <mergeCell ref="GVH613:GVJ613"/>
    <mergeCell ref="GVL613:GVN613"/>
    <mergeCell ref="GVP613:GVR613"/>
    <mergeCell ref="GUF613:GUH613"/>
    <mergeCell ref="GUJ613:GUL613"/>
    <mergeCell ref="GUN613:GUP613"/>
    <mergeCell ref="GUR613:GUT613"/>
    <mergeCell ref="GUV613:GUX613"/>
    <mergeCell ref="GTL613:GTN613"/>
    <mergeCell ref="GTP613:GTR613"/>
    <mergeCell ref="GTT613:GTV613"/>
    <mergeCell ref="GTX613:GTZ613"/>
    <mergeCell ref="GUB613:GUD613"/>
    <mergeCell ref="GSR613:GST613"/>
    <mergeCell ref="GSV613:GSX613"/>
    <mergeCell ref="GSZ613:GTB613"/>
    <mergeCell ref="GTD613:GTF613"/>
    <mergeCell ref="GTH613:GTJ613"/>
    <mergeCell ref="GRX613:GRZ613"/>
    <mergeCell ref="GSB613:GSD613"/>
    <mergeCell ref="GSF613:GSH613"/>
    <mergeCell ref="GSJ613:GSL613"/>
    <mergeCell ref="GSN613:GSP613"/>
    <mergeCell ref="HBX613:HBZ613"/>
    <mergeCell ref="HCB613:HCD613"/>
    <mergeCell ref="HCF613:HCH613"/>
    <mergeCell ref="HCJ613:HCL613"/>
    <mergeCell ref="HCN613:HCP613"/>
    <mergeCell ref="HBD613:HBF613"/>
    <mergeCell ref="HBH613:HBJ613"/>
    <mergeCell ref="HBL613:HBN613"/>
    <mergeCell ref="HBP613:HBR613"/>
    <mergeCell ref="HBT613:HBV613"/>
    <mergeCell ref="HAJ613:HAL613"/>
    <mergeCell ref="HAN613:HAP613"/>
    <mergeCell ref="HAR613:HAT613"/>
    <mergeCell ref="HAV613:HAX613"/>
    <mergeCell ref="HAZ613:HBB613"/>
    <mergeCell ref="GZP613:GZR613"/>
    <mergeCell ref="GZT613:GZV613"/>
    <mergeCell ref="GZX613:GZZ613"/>
    <mergeCell ref="HAB613:HAD613"/>
    <mergeCell ref="HAF613:HAH613"/>
    <mergeCell ref="GYV613:GYX613"/>
    <mergeCell ref="GYZ613:GZB613"/>
    <mergeCell ref="GZD613:GZF613"/>
    <mergeCell ref="GZH613:GZJ613"/>
    <mergeCell ref="GZL613:GZN613"/>
    <mergeCell ref="GYB613:GYD613"/>
    <mergeCell ref="GYF613:GYH613"/>
    <mergeCell ref="GYJ613:GYL613"/>
    <mergeCell ref="GYN613:GYP613"/>
    <mergeCell ref="GYR613:GYT613"/>
    <mergeCell ref="GXH613:GXJ613"/>
    <mergeCell ref="GXL613:GXN613"/>
    <mergeCell ref="GXP613:GXR613"/>
    <mergeCell ref="GXT613:GXV613"/>
    <mergeCell ref="GXX613:GXZ613"/>
    <mergeCell ref="HHH613:HHJ613"/>
    <mergeCell ref="HHL613:HHN613"/>
    <mergeCell ref="HHP613:HHR613"/>
    <mergeCell ref="HHT613:HHV613"/>
    <mergeCell ref="HHX613:HHZ613"/>
    <mergeCell ref="HGN613:HGP613"/>
    <mergeCell ref="HGR613:HGT613"/>
    <mergeCell ref="HGV613:HGX613"/>
    <mergeCell ref="HGZ613:HHB613"/>
    <mergeCell ref="HHD613:HHF613"/>
    <mergeCell ref="HFT613:HFV613"/>
    <mergeCell ref="HFX613:HFZ613"/>
    <mergeCell ref="HGB613:HGD613"/>
    <mergeCell ref="HGF613:HGH613"/>
    <mergeCell ref="HGJ613:HGL613"/>
    <mergeCell ref="HEZ613:HFB613"/>
    <mergeCell ref="HFD613:HFF613"/>
    <mergeCell ref="HFH613:HFJ613"/>
    <mergeCell ref="HFL613:HFN613"/>
    <mergeCell ref="HFP613:HFR613"/>
    <mergeCell ref="HEF613:HEH613"/>
    <mergeCell ref="HEJ613:HEL613"/>
    <mergeCell ref="HEN613:HEP613"/>
    <mergeCell ref="HER613:HET613"/>
    <mergeCell ref="HEV613:HEX613"/>
    <mergeCell ref="HDL613:HDN613"/>
    <mergeCell ref="HDP613:HDR613"/>
    <mergeCell ref="HDT613:HDV613"/>
    <mergeCell ref="HDX613:HDZ613"/>
    <mergeCell ref="HEB613:HED613"/>
    <mergeCell ref="HCR613:HCT613"/>
    <mergeCell ref="HCV613:HCX613"/>
    <mergeCell ref="HCZ613:HDB613"/>
    <mergeCell ref="HDD613:HDF613"/>
    <mergeCell ref="HDH613:HDJ613"/>
    <mergeCell ref="HMR613:HMT613"/>
    <mergeCell ref="HMV613:HMX613"/>
    <mergeCell ref="HMZ613:HNB613"/>
    <mergeCell ref="HND613:HNF613"/>
    <mergeCell ref="HNH613:HNJ613"/>
    <mergeCell ref="HLX613:HLZ613"/>
    <mergeCell ref="HMB613:HMD613"/>
    <mergeCell ref="HMF613:HMH613"/>
    <mergeCell ref="HMJ613:HML613"/>
    <mergeCell ref="HMN613:HMP613"/>
    <mergeCell ref="HLD613:HLF613"/>
    <mergeCell ref="HLH613:HLJ613"/>
    <mergeCell ref="HLL613:HLN613"/>
    <mergeCell ref="HLP613:HLR613"/>
    <mergeCell ref="HLT613:HLV613"/>
    <mergeCell ref="HKJ613:HKL613"/>
    <mergeCell ref="HKN613:HKP613"/>
    <mergeCell ref="HKR613:HKT613"/>
    <mergeCell ref="HKV613:HKX613"/>
    <mergeCell ref="HKZ613:HLB613"/>
    <mergeCell ref="HJP613:HJR613"/>
    <mergeCell ref="HJT613:HJV613"/>
    <mergeCell ref="HJX613:HJZ613"/>
    <mergeCell ref="HKB613:HKD613"/>
    <mergeCell ref="HKF613:HKH613"/>
    <mergeCell ref="HIV613:HIX613"/>
    <mergeCell ref="HIZ613:HJB613"/>
    <mergeCell ref="HJD613:HJF613"/>
    <mergeCell ref="HJH613:HJJ613"/>
    <mergeCell ref="HJL613:HJN613"/>
    <mergeCell ref="HIB613:HID613"/>
    <mergeCell ref="HIF613:HIH613"/>
    <mergeCell ref="HIJ613:HIL613"/>
    <mergeCell ref="HIN613:HIP613"/>
    <mergeCell ref="HIR613:HIT613"/>
    <mergeCell ref="HSB613:HSD613"/>
    <mergeCell ref="HSF613:HSH613"/>
    <mergeCell ref="HSJ613:HSL613"/>
    <mergeCell ref="HSN613:HSP613"/>
    <mergeCell ref="HSR613:HST613"/>
    <mergeCell ref="HRH613:HRJ613"/>
    <mergeCell ref="HRL613:HRN613"/>
    <mergeCell ref="HRP613:HRR613"/>
    <mergeCell ref="HRT613:HRV613"/>
    <mergeCell ref="HRX613:HRZ613"/>
    <mergeCell ref="HQN613:HQP613"/>
    <mergeCell ref="HQR613:HQT613"/>
    <mergeCell ref="HQV613:HQX613"/>
    <mergeCell ref="HQZ613:HRB613"/>
    <mergeCell ref="HRD613:HRF613"/>
    <mergeCell ref="HPT613:HPV613"/>
    <mergeCell ref="HPX613:HPZ613"/>
    <mergeCell ref="HQB613:HQD613"/>
    <mergeCell ref="HQF613:HQH613"/>
    <mergeCell ref="HQJ613:HQL613"/>
    <mergeCell ref="HOZ613:HPB613"/>
    <mergeCell ref="HPD613:HPF613"/>
    <mergeCell ref="HPH613:HPJ613"/>
    <mergeCell ref="HPL613:HPN613"/>
    <mergeCell ref="HPP613:HPR613"/>
    <mergeCell ref="HOF613:HOH613"/>
    <mergeCell ref="HOJ613:HOL613"/>
    <mergeCell ref="HON613:HOP613"/>
    <mergeCell ref="HOR613:HOT613"/>
    <mergeCell ref="HOV613:HOX613"/>
    <mergeCell ref="HNL613:HNN613"/>
    <mergeCell ref="HNP613:HNR613"/>
    <mergeCell ref="HNT613:HNV613"/>
    <mergeCell ref="HNX613:HNZ613"/>
    <mergeCell ref="HOB613:HOD613"/>
    <mergeCell ref="HXL613:HXN613"/>
    <mergeCell ref="HXP613:HXR613"/>
    <mergeCell ref="HXT613:HXV613"/>
    <mergeCell ref="HXX613:HXZ613"/>
    <mergeCell ref="HYB613:HYD613"/>
    <mergeCell ref="HWR613:HWT613"/>
    <mergeCell ref="HWV613:HWX613"/>
    <mergeCell ref="HWZ613:HXB613"/>
    <mergeCell ref="HXD613:HXF613"/>
    <mergeCell ref="HXH613:HXJ613"/>
    <mergeCell ref="HVX613:HVZ613"/>
    <mergeCell ref="HWB613:HWD613"/>
    <mergeCell ref="HWF613:HWH613"/>
    <mergeCell ref="HWJ613:HWL613"/>
    <mergeCell ref="HWN613:HWP613"/>
    <mergeCell ref="HVD613:HVF613"/>
    <mergeCell ref="HVH613:HVJ613"/>
    <mergeCell ref="HVL613:HVN613"/>
    <mergeCell ref="HVP613:HVR613"/>
    <mergeCell ref="HVT613:HVV613"/>
    <mergeCell ref="HUJ613:HUL613"/>
    <mergeCell ref="HUN613:HUP613"/>
    <mergeCell ref="HUR613:HUT613"/>
    <mergeCell ref="HUV613:HUX613"/>
    <mergeCell ref="HUZ613:HVB613"/>
    <mergeCell ref="HTP613:HTR613"/>
    <mergeCell ref="HTT613:HTV613"/>
    <mergeCell ref="HTX613:HTZ613"/>
    <mergeCell ref="HUB613:HUD613"/>
    <mergeCell ref="HUF613:HUH613"/>
    <mergeCell ref="HSV613:HSX613"/>
    <mergeCell ref="HSZ613:HTB613"/>
    <mergeCell ref="HTD613:HTF613"/>
    <mergeCell ref="HTH613:HTJ613"/>
    <mergeCell ref="HTL613:HTN613"/>
    <mergeCell ref="ICV613:ICX613"/>
    <mergeCell ref="ICZ613:IDB613"/>
    <mergeCell ref="IDD613:IDF613"/>
    <mergeCell ref="IDH613:IDJ613"/>
    <mergeCell ref="IDL613:IDN613"/>
    <mergeCell ref="ICB613:ICD613"/>
    <mergeCell ref="ICF613:ICH613"/>
    <mergeCell ref="ICJ613:ICL613"/>
    <mergeCell ref="ICN613:ICP613"/>
    <mergeCell ref="ICR613:ICT613"/>
    <mergeCell ref="IBH613:IBJ613"/>
    <mergeCell ref="IBL613:IBN613"/>
    <mergeCell ref="IBP613:IBR613"/>
    <mergeCell ref="IBT613:IBV613"/>
    <mergeCell ref="IBX613:IBZ613"/>
    <mergeCell ref="IAN613:IAP613"/>
    <mergeCell ref="IAR613:IAT613"/>
    <mergeCell ref="IAV613:IAX613"/>
    <mergeCell ref="IAZ613:IBB613"/>
    <mergeCell ref="IBD613:IBF613"/>
    <mergeCell ref="HZT613:HZV613"/>
    <mergeCell ref="HZX613:HZZ613"/>
    <mergeCell ref="IAB613:IAD613"/>
    <mergeCell ref="IAF613:IAH613"/>
    <mergeCell ref="IAJ613:IAL613"/>
    <mergeCell ref="HYZ613:HZB613"/>
    <mergeCell ref="HZD613:HZF613"/>
    <mergeCell ref="HZH613:HZJ613"/>
    <mergeCell ref="HZL613:HZN613"/>
    <mergeCell ref="HZP613:HZR613"/>
    <mergeCell ref="HYF613:HYH613"/>
    <mergeCell ref="HYJ613:HYL613"/>
    <mergeCell ref="HYN613:HYP613"/>
    <mergeCell ref="HYR613:HYT613"/>
    <mergeCell ref="HYV613:HYX613"/>
    <mergeCell ref="IIF613:IIH613"/>
    <mergeCell ref="IIJ613:IIL613"/>
    <mergeCell ref="IIN613:IIP613"/>
    <mergeCell ref="IIR613:IIT613"/>
    <mergeCell ref="IIV613:IIX613"/>
    <mergeCell ref="IHL613:IHN613"/>
    <mergeCell ref="IHP613:IHR613"/>
    <mergeCell ref="IHT613:IHV613"/>
    <mergeCell ref="IHX613:IHZ613"/>
    <mergeCell ref="IIB613:IID613"/>
    <mergeCell ref="IGR613:IGT613"/>
    <mergeCell ref="IGV613:IGX613"/>
    <mergeCell ref="IGZ613:IHB613"/>
    <mergeCell ref="IHD613:IHF613"/>
    <mergeCell ref="IHH613:IHJ613"/>
    <mergeCell ref="IFX613:IFZ613"/>
    <mergeCell ref="IGB613:IGD613"/>
    <mergeCell ref="IGF613:IGH613"/>
    <mergeCell ref="IGJ613:IGL613"/>
    <mergeCell ref="IGN613:IGP613"/>
    <mergeCell ref="IFD613:IFF613"/>
    <mergeCell ref="IFH613:IFJ613"/>
    <mergeCell ref="IFL613:IFN613"/>
    <mergeCell ref="IFP613:IFR613"/>
    <mergeCell ref="IFT613:IFV613"/>
    <mergeCell ref="IEJ613:IEL613"/>
    <mergeCell ref="IEN613:IEP613"/>
    <mergeCell ref="IER613:IET613"/>
    <mergeCell ref="IEV613:IEX613"/>
    <mergeCell ref="IEZ613:IFB613"/>
    <mergeCell ref="IDP613:IDR613"/>
    <mergeCell ref="IDT613:IDV613"/>
    <mergeCell ref="IDX613:IDZ613"/>
    <mergeCell ref="IEB613:IED613"/>
    <mergeCell ref="IEF613:IEH613"/>
    <mergeCell ref="INP613:INR613"/>
    <mergeCell ref="INT613:INV613"/>
    <mergeCell ref="INX613:INZ613"/>
    <mergeCell ref="IOB613:IOD613"/>
    <mergeCell ref="IOF613:IOH613"/>
    <mergeCell ref="IMV613:IMX613"/>
    <mergeCell ref="IMZ613:INB613"/>
    <mergeCell ref="IND613:INF613"/>
    <mergeCell ref="INH613:INJ613"/>
    <mergeCell ref="INL613:INN613"/>
    <mergeCell ref="IMB613:IMD613"/>
    <mergeCell ref="IMF613:IMH613"/>
    <mergeCell ref="IMJ613:IML613"/>
    <mergeCell ref="IMN613:IMP613"/>
    <mergeCell ref="IMR613:IMT613"/>
    <mergeCell ref="ILH613:ILJ613"/>
    <mergeCell ref="ILL613:ILN613"/>
    <mergeCell ref="ILP613:ILR613"/>
    <mergeCell ref="ILT613:ILV613"/>
    <mergeCell ref="ILX613:ILZ613"/>
    <mergeCell ref="IKN613:IKP613"/>
    <mergeCell ref="IKR613:IKT613"/>
    <mergeCell ref="IKV613:IKX613"/>
    <mergeCell ref="IKZ613:ILB613"/>
    <mergeCell ref="ILD613:ILF613"/>
    <mergeCell ref="IJT613:IJV613"/>
    <mergeCell ref="IJX613:IJZ613"/>
    <mergeCell ref="IKB613:IKD613"/>
    <mergeCell ref="IKF613:IKH613"/>
    <mergeCell ref="IKJ613:IKL613"/>
    <mergeCell ref="IIZ613:IJB613"/>
    <mergeCell ref="IJD613:IJF613"/>
    <mergeCell ref="IJH613:IJJ613"/>
    <mergeCell ref="IJL613:IJN613"/>
    <mergeCell ref="IJP613:IJR613"/>
    <mergeCell ref="ISZ613:ITB613"/>
    <mergeCell ref="ITD613:ITF613"/>
    <mergeCell ref="ITH613:ITJ613"/>
    <mergeCell ref="ITL613:ITN613"/>
    <mergeCell ref="ITP613:ITR613"/>
    <mergeCell ref="ISF613:ISH613"/>
    <mergeCell ref="ISJ613:ISL613"/>
    <mergeCell ref="ISN613:ISP613"/>
    <mergeCell ref="ISR613:IST613"/>
    <mergeCell ref="ISV613:ISX613"/>
    <mergeCell ref="IRL613:IRN613"/>
    <mergeCell ref="IRP613:IRR613"/>
    <mergeCell ref="IRT613:IRV613"/>
    <mergeCell ref="IRX613:IRZ613"/>
    <mergeCell ref="ISB613:ISD613"/>
    <mergeCell ref="IQR613:IQT613"/>
    <mergeCell ref="IQV613:IQX613"/>
    <mergeCell ref="IQZ613:IRB613"/>
    <mergeCell ref="IRD613:IRF613"/>
    <mergeCell ref="IRH613:IRJ613"/>
    <mergeCell ref="IPX613:IPZ613"/>
    <mergeCell ref="IQB613:IQD613"/>
    <mergeCell ref="IQF613:IQH613"/>
    <mergeCell ref="IQJ613:IQL613"/>
    <mergeCell ref="IQN613:IQP613"/>
    <mergeCell ref="IPD613:IPF613"/>
    <mergeCell ref="IPH613:IPJ613"/>
    <mergeCell ref="IPL613:IPN613"/>
    <mergeCell ref="IPP613:IPR613"/>
    <mergeCell ref="IPT613:IPV613"/>
    <mergeCell ref="IOJ613:IOL613"/>
    <mergeCell ref="ION613:IOP613"/>
    <mergeCell ref="IOR613:IOT613"/>
    <mergeCell ref="IOV613:IOX613"/>
    <mergeCell ref="IOZ613:IPB613"/>
    <mergeCell ref="IYJ613:IYL613"/>
    <mergeCell ref="IYN613:IYP613"/>
    <mergeCell ref="IYR613:IYT613"/>
    <mergeCell ref="IYV613:IYX613"/>
    <mergeCell ref="IYZ613:IZB613"/>
    <mergeCell ref="IXP613:IXR613"/>
    <mergeCell ref="IXT613:IXV613"/>
    <mergeCell ref="IXX613:IXZ613"/>
    <mergeCell ref="IYB613:IYD613"/>
    <mergeCell ref="IYF613:IYH613"/>
    <mergeCell ref="IWV613:IWX613"/>
    <mergeCell ref="IWZ613:IXB613"/>
    <mergeCell ref="IXD613:IXF613"/>
    <mergeCell ref="IXH613:IXJ613"/>
    <mergeCell ref="IXL613:IXN613"/>
    <mergeCell ref="IWB613:IWD613"/>
    <mergeCell ref="IWF613:IWH613"/>
    <mergeCell ref="IWJ613:IWL613"/>
    <mergeCell ref="IWN613:IWP613"/>
    <mergeCell ref="IWR613:IWT613"/>
    <mergeCell ref="IVH613:IVJ613"/>
    <mergeCell ref="IVL613:IVN613"/>
    <mergeCell ref="IVP613:IVR613"/>
    <mergeCell ref="IVT613:IVV613"/>
    <mergeCell ref="IVX613:IVZ613"/>
    <mergeCell ref="IUN613:IUP613"/>
    <mergeCell ref="IUR613:IUT613"/>
    <mergeCell ref="IUV613:IUX613"/>
    <mergeCell ref="IUZ613:IVB613"/>
    <mergeCell ref="IVD613:IVF613"/>
    <mergeCell ref="ITT613:ITV613"/>
    <mergeCell ref="ITX613:ITZ613"/>
    <mergeCell ref="IUB613:IUD613"/>
    <mergeCell ref="IUF613:IUH613"/>
    <mergeCell ref="IUJ613:IUL613"/>
    <mergeCell ref="JDT613:JDV613"/>
    <mergeCell ref="JDX613:JDZ613"/>
    <mergeCell ref="JEB613:JED613"/>
    <mergeCell ref="JEF613:JEH613"/>
    <mergeCell ref="JEJ613:JEL613"/>
    <mergeCell ref="JCZ613:JDB613"/>
    <mergeCell ref="JDD613:JDF613"/>
    <mergeCell ref="JDH613:JDJ613"/>
    <mergeCell ref="JDL613:JDN613"/>
    <mergeCell ref="JDP613:JDR613"/>
    <mergeCell ref="JCF613:JCH613"/>
    <mergeCell ref="JCJ613:JCL613"/>
    <mergeCell ref="JCN613:JCP613"/>
    <mergeCell ref="JCR613:JCT613"/>
    <mergeCell ref="JCV613:JCX613"/>
    <mergeCell ref="JBL613:JBN613"/>
    <mergeCell ref="JBP613:JBR613"/>
    <mergeCell ref="JBT613:JBV613"/>
    <mergeCell ref="JBX613:JBZ613"/>
    <mergeCell ref="JCB613:JCD613"/>
    <mergeCell ref="JAR613:JAT613"/>
    <mergeCell ref="JAV613:JAX613"/>
    <mergeCell ref="JAZ613:JBB613"/>
    <mergeCell ref="JBD613:JBF613"/>
    <mergeCell ref="JBH613:JBJ613"/>
    <mergeCell ref="IZX613:IZZ613"/>
    <mergeCell ref="JAB613:JAD613"/>
    <mergeCell ref="JAF613:JAH613"/>
    <mergeCell ref="JAJ613:JAL613"/>
    <mergeCell ref="JAN613:JAP613"/>
    <mergeCell ref="IZD613:IZF613"/>
    <mergeCell ref="IZH613:IZJ613"/>
    <mergeCell ref="IZL613:IZN613"/>
    <mergeCell ref="IZP613:IZR613"/>
    <mergeCell ref="IZT613:IZV613"/>
    <mergeCell ref="JJD613:JJF613"/>
    <mergeCell ref="JJH613:JJJ613"/>
    <mergeCell ref="JJL613:JJN613"/>
    <mergeCell ref="JJP613:JJR613"/>
    <mergeCell ref="JJT613:JJV613"/>
    <mergeCell ref="JIJ613:JIL613"/>
    <mergeCell ref="JIN613:JIP613"/>
    <mergeCell ref="JIR613:JIT613"/>
    <mergeCell ref="JIV613:JIX613"/>
    <mergeCell ref="JIZ613:JJB613"/>
    <mergeCell ref="JHP613:JHR613"/>
    <mergeCell ref="JHT613:JHV613"/>
    <mergeCell ref="JHX613:JHZ613"/>
    <mergeCell ref="JIB613:JID613"/>
    <mergeCell ref="JIF613:JIH613"/>
    <mergeCell ref="JGV613:JGX613"/>
    <mergeCell ref="JGZ613:JHB613"/>
    <mergeCell ref="JHD613:JHF613"/>
    <mergeCell ref="JHH613:JHJ613"/>
    <mergeCell ref="JHL613:JHN613"/>
    <mergeCell ref="JGB613:JGD613"/>
    <mergeCell ref="JGF613:JGH613"/>
    <mergeCell ref="JGJ613:JGL613"/>
    <mergeCell ref="JGN613:JGP613"/>
    <mergeCell ref="JGR613:JGT613"/>
    <mergeCell ref="JFH613:JFJ613"/>
    <mergeCell ref="JFL613:JFN613"/>
    <mergeCell ref="JFP613:JFR613"/>
    <mergeCell ref="JFT613:JFV613"/>
    <mergeCell ref="JFX613:JFZ613"/>
    <mergeCell ref="JEN613:JEP613"/>
    <mergeCell ref="JER613:JET613"/>
    <mergeCell ref="JEV613:JEX613"/>
    <mergeCell ref="JEZ613:JFB613"/>
    <mergeCell ref="JFD613:JFF613"/>
    <mergeCell ref="JON613:JOP613"/>
    <mergeCell ref="JOR613:JOT613"/>
    <mergeCell ref="JOV613:JOX613"/>
    <mergeCell ref="JOZ613:JPB613"/>
    <mergeCell ref="JPD613:JPF613"/>
    <mergeCell ref="JNT613:JNV613"/>
    <mergeCell ref="JNX613:JNZ613"/>
    <mergeCell ref="JOB613:JOD613"/>
    <mergeCell ref="JOF613:JOH613"/>
    <mergeCell ref="JOJ613:JOL613"/>
    <mergeCell ref="JMZ613:JNB613"/>
    <mergeCell ref="JND613:JNF613"/>
    <mergeCell ref="JNH613:JNJ613"/>
    <mergeCell ref="JNL613:JNN613"/>
    <mergeCell ref="JNP613:JNR613"/>
    <mergeCell ref="JMF613:JMH613"/>
    <mergeCell ref="JMJ613:JML613"/>
    <mergeCell ref="JMN613:JMP613"/>
    <mergeCell ref="JMR613:JMT613"/>
    <mergeCell ref="JMV613:JMX613"/>
    <mergeCell ref="JLL613:JLN613"/>
    <mergeCell ref="JLP613:JLR613"/>
    <mergeCell ref="JLT613:JLV613"/>
    <mergeCell ref="JLX613:JLZ613"/>
    <mergeCell ref="JMB613:JMD613"/>
    <mergeCell ref="JKR613:JKT613"/>
    <mergeCell ref="JKV613:JKX613"/>
    <mergeCell ref="JKZ613:JLB613"/>
    <mergeCell ref="JLD613:JLF613"/>
    <mergeCell ref="JLH613:JLJ613"/>
    <mergeCell ref="JJX613:JJZ613"/>
    <mergeCell ref="JKB613:JKD613"/>
    <mergeCell ref="JKF613:JKH613"/>
    <mergeCell ref="JKJ613:JKL613"/>
    <mergeCell ref="JKN613:JKP613"/>
    <mergeCell ref="JTX613:JTZ613"/>
    <mergeCell ref="JUB613:JUD613"/>
    <mergeCell ref="JUF613:JUH613"/>
    <mergeCell ref="JUJ613:JUL613"/>
    <mergeCell ref="JUN613:JUP613"/>
    <mergeCell ref="JTD613:JTF613"/>
    <mergeCell ref="JTH613:JTJ613"/>
    <mergeCell ref="JTL613:JTN613"/>
    <mergeCell ref="JTP613:JTR613"/>
    <mergeCell ref="JTT613:JTV613"/>
    <mergeCell ref="JSJ613:JSL613"/>
    <mergeCell ref="JSN613:JSP613"/>
    <mergeCell ref="JSR613:JST613"/>
    <mergeCell ref="JSV613:JSX613"/>
    <mergeCell ref="JSZ613:JTB613"/>
    <mergeCell ref="JRP613:JRR613"/>
    <mergeCell ref="JRT613:JRV613"/>
    <mergeCell ref="JRX613:JRZ613"/>
    <mergeCell ref="JSB613:JSD613"/>
    <mergeCell ref="JSF613:JSH613"/>
    <mergeCell ref="JQV613:JQX613"/>
    <mergeCell ref="JQZ613:JRB613"/>
    <mergeCell ref="JRD613:JRF613"/>
    <mergeCell ref="JRH613:JRJ613"/>
    <mergeCell ref="JRL613:JRN613"/>
    <mergeCell ref="JQB613:JQD613"/>
    <mergeCell ref="JQF613:JQH613"/>
    <mergeCell ref="JQJ613:JQL613"/>
    <mergeCell ref="JQN613:JQP613"/>
    <mergeCell ref="JQR613:JQT613"/>
    <mergeCell ref="JPH613:JPJ613"/>
    <mergeCell ref="JPL613:JPN613"/>
    <mergeCell ref="JPP613:JPR613"/>
    <mergeCell ref="JPT613:JPV613"/>
    <mergeCell ref="JPX613:JPZ613"/>
    <mergeCell ref="JZH613:JZJ613"/>
    <mergeCell ref="JZL613:JZN613"/>
    <mergeCell ref="JZP613:JZR613"/>
    <mergeCell ref="JZT613:JZV613"/>
    <mergeCell ref="JZX613:JZZ613"/>
    <mergeCell ref="JYN613:JYP613"/>
    <mergeCell ref="JYR613:JYT613"/>
    <mergeCell ref="JYV613:JYX613"/>
    <mergeCell ref="JYZ613:JZB613"/>
    <mergeCell ref="JZD613:JZF613"/>
    <mergeCell ref="JXT613:JXV613"/>
    <mergeCell ref="JXX613:JXZ613"/>
    <mergeCell ref="JYB613:JYD613"/>
    <mergeCell ref="JYF613:JYH613"/>
    <mergeCell ref="JYJ613:JYL613"/>
    <mergeCell ref="JWZ613:JXB613"/>
    <mergeCell ref="JXD613:JXF613"/>
    <mergeCell ref="JXH613:JXJ613"/>
    <mergeCell ref="JXL613:JXN613"/>
    <mergeCell ref="JXP613:JXR613"/>
    <mergeCell ref="JWF613:JWH613"/>
    <mergeCell ref="JWJ613:JWL613"/>
    <mergeCell ref="JWN613:JWP613"/>
    <mergeCell ref="JWR613:JWT613"/>
    <mergeCell ref="JWV613:JWX613"/>
    <mergeCell ref="JVL613:JVN613"/>
    <mergeCell ref="JVP613:JVR613"/>
    <mergeCell ref="JVT613:JVV613"/>
    <mergeCell ref="JVX613:JVZ613"/>
    <mergeCell ref="JWB613:JWD613"/>
    <mergeCell ref="JUR613:JUT613"/>
    <mergeCell ref="JUV613:JUX613"/>
    <mergeCell ref="JUZ613:JVB613"/>
    <mergeCell ref="JVD613:JVF613"/>
    <mergeCell ref="JVH613:JVJ613"/>
    <mergeCell ref="KER613:KET613"/>
    <mergeCell ref="KEV613:KEX613"/>
    <mergeCell ref="KEZ613:KFB613"/>
    <mergeCell ref="KFD613:KFF613"/>
    <mergeCell ref="KFH613:KFJ613"/>
    <mergeCell ref="KDX613:KDZ613"/>
    <mergeCell ref="KEB613:KED613"/>
    <mergeCell ref="KEF613:KEH613"/>
    <mergeCell ref="KEJ613:KEL613"/>
    <mergeCell ref="KEN613:KEP613"/>
    <mergeCell ref="KDD613:KDF613"/>
    <mergeCell ref="KDH613:KDJ613"/>
    <mergeCell ref="KDL613:KDN613"/>
    <mergeCell ref="KDP613:KDR613"/>
    <mergeCell ref="KDT613:KDV613"/>
    <mergeCell ref="KCJ613:KCL613"/>
    <mergeCell ref="KCN613:KCP613"/>
    <mergeCell ref="KCR613:KCT613"/>
    <mergeCell ref="KCV613:KCX613"/>
    <mergeCell ref="KCZ613:KDB613"/>
    <mergeCell ref="KBP613:KBR613"/>
    <mergeCell ref="KBT613:KBV613"/>
    <mergeCell ref="KBX613:KBZ613"/>
    <mergeCell ref="KCB613:KCD613"/>
    <mergeCell ref="KCF613:KCH613"/>
    <mergeCell ref="KAV613:KAX613"/>
    <mergeCell ref="KAZ613:KBB613"/>
    <mergeCell ref="KBD613:KBF613"/>
    <mergeCell ref="KBH613:KBJ613"/>
    <mergeCell ref="KBL613:KBN613"/>
    <mergeCell ref="KAB613:KAD613"/>
    <mergeCell ref="KAF613:KAH613"/>
    <mergeCell ref="KAJ613:KAL613"/>
    <mergeCell ref="KAN613:KAP613"/>
    <mergeCell ref="KAR613:KAT613"/>
    <mergeCell ref="KKB613:KKD613"/>
    <mergeCell ref="KKF613:KKH613"/>
    <mergeCell ref="KKJ613:KKL613"/>
    <mergeCell ref="KKN613:KKP613"/>
    <mergeCell ref="KKR613:KKT613"/>
    <mergeCell ref="KJH613:KJJ613"/>
    <mergeCell ref="KJL613:KJN613"/>
    <mergeCell ref="KJP613:KJR613"/>
    <mergeCell ref="KJT613:KJV613"/>
    <mergeCell ref="KJX613:KJZ613"/>
    <mergeCell ref="KIN613:KIP613"/>
    <mergeCell ref="KIR613:KIT613"/>
    <mergeCell ref="KIV613:KIX613"/>
    <mergeCell ref="KIZ613:KJB613"/>
    <mergeCell ref="KJD613:KJF613"/>
    <mergeCell ref="KHT613:KHV613"/>
    <mergeCell ref="KHX613:KHZ613"/>
    <mergeCell ref="KIB613:KID613"/>
    <mergeCell ref="KIF613:KIH613"/>
    <mergeCell ref="KIJ613:KIL613"/>
    <mergeCell ref="KGZ613:KHB613"/>
    <mergeCell ref="KHD613:KHF613"/>
    <mergeCell ref="KHH613:KHJ613"/>
    <mergeCell ref="KHL613:KHN613"/>
    <mergeCell ref="KHP613:KHR613"/>
    <mergeCell ref="KGF613:KGH613"/>
    <mergeCell ref="KGJ613:KGL613"/>
    <mergeCell ref="KGN613:KGP613"/>
    <mergeCell ref="KGR613:KGT613"/>
    <mergeCell ref="KGV613:KGX613"/>
    <mergeCell ref="KFL613:KFN613"/>
    <mergeCell ref="KFP613:KFR613"/>
    <mergeCell ref="KFT613:KFV613"/>
    <mergeCell ref="KFX613:KFZ613"/>
    <mergeCell ref="KGB613:KGD613"/>
    <mergeCell ref="KPL613:KPN613"/>
    <mergeCell ref="KPP613:KPR613"/>
    <mergeCell ref="KPT613:KPV613"/>
    <mergeCell ref="KPX613:KPZ613"/>
    <mergeCell ref="KQB613:KQD613"/>
    <mergeCell ref="KOR613:KOT613"/>
    <mergeCell ref="KOV613:KOX613"/>
    <mergeCell ref="KOZ613:KPB613"/>
    <mergeCell ref="KPD613:KPF613"/>
    <mergeCell ref="KPH613:KPJ613"/>
    <mergeCell ref="KNX613:KNZ613"/>
    <mergeCell ref="KOB613:KOD613"/>
    <mergeCell ref="KOF613:KOH613"/>
    <mergeCell ref="KOJ613:KOL613"/>
    <mergeCell ref="KON613:KOP613"/>
    <mergeCell ref="KND613:KNF613"/>
    <mergeCell ref="KNH613:KNJ613"/>
    <mergeCell ref="KNL613:KNN613"/>
    <mergeCell ref="KNP613:KNR613"/>
    <mergeCell ref="KNT613:KNV613"/>
    <mergeCell ref="KMJ613:KML613"/>
    <mergeCell ref="KMN613:KMP613"/>
    <mergeCell ref="KMR613:KMT613"/>
    <mergeCell ref="KMV613:KMX613"/>
    <mergeCell ref="KMZ613:KNB613"/>
    <mergeCell ref="KLP613:KLR613"/>
    <mergeCell ref="KLT613:KLV613"/>
    <mergeCell ref="KLX613:KLZ613"/>
    <mergeCell ref="KMB613:KMD613"/>
    <mergeCell ref="KMF613:KMH613"/>
    <mergeCell ref="KKV613:KKX613"/>
    <mergeCell ref="KKZ613:KLB613"/>
    <mergeCell ref="KLD613:KLF613"/>
    <mergeCell ref="KLH613:KLJ613"/>
    <mergeCell ref="KLL613:KLN613"/>
    <mergeCell ref="KUV613:KUX613"/>
    <mergeCell ref="KUZ613:KVB613"/>
    <mergeCell ref="KVD613:KVF613"/>
    <mergeCell ref="KVH613:KVJ613"/>
    <mergeCell ref="KVL613:KVN613"/>
    <mergeCell ref="KUB613:KUD613"/>
    <mergeCell ref="KUF613:KUH613"/>
    <mergeCell ref="KUJ613:KUL613"/>
    <mergeCell ref="KUN613:KUP613"/>
    <mergeCell ref="KUR613:KUT613"/>
    <mergeCell ref="KTH613:KTJ613"/>
    <mergeCell ref="KTL613:KTN613"/>
    <mergeCell ref="KTP613:KTR613"/>
    <mergeCell ref="KTT613:KTV613"/>
    <mergeCell ref="KTX613:KTZ613"/>
    <mergeCell ref="KSN613:KSP613"/>
    <mergeCell ref="KSR613:KST613"/>
    <mergeCell ref="KSV613:KSX613"/>
    <mergeCell ref="KSZ613:KTB613"/>
    <mergeCell ref="KTD613:KTF613"/>
    <mergeCell ref="KRT613:KRV613"/>
    <mergeCell ref="KRX613:KRZ613"/>
    <mergeCell ref="KSB613:KSD613"/>
    <mergeCell ref="KSF613:KSH613"/>
    <mergeCell ref="KSJ613:KSL613"/>
    <mergeCell ref="KQZ613:KRB613"/>
    <mergeCell ref="KRD613:KRF613"/>
    <mergeCell ref="KRH613:KRJ613"/>
    <mergeCell ref="KRL613:KRN613"/>
    <mergeCell ref="KRP613:KRR613"/>
    <mergeCell ref="KQF613:KQH613"/>
    <mergeCell ref="KQJ613:KQL613"/>
    <mergeCell ref="KQN613:KQP613"/>
    <mergeCell ref="KQR613:KQT613"/>
    <mergeCell ref="KQV613:KQX613"/>
    <mergeCell ref="LAF613:LAH613"/>
    <mergeCell ref="LAJ613:LAL613"/>
    <mergeCell ref="LAN613:LAP613"/>
    <mergeCell ref="LAR613:LAT613"/>
    <mergeCell ref="LAV613:LAX613"/>
    <mergeCell ref="KZL613:KZN613"/>
    <mergeCell ref="KZP613:KZR613"/>
    <mergeCell ref="KZT613:KZV613"/>
    <mergeCell ref="KZX613:KZZ613"/>
    <mergeCell ref="LAB613:LAD613"/>
    <mergeCell ref="KYR613:KYT613"/>
    <mergeCell ref="KYV613:KYX613"/>
    <mergeCell ref="KYZ613:KZB613"/>
    <mergeCell ref="KZD613:KZF613"/>
    <mergeCell ref="KZH613:KZJ613"/>
    <mergeCell ref="KXX613:KXZ613"/>
    <mergeCell ref="KYB613:KYD613"/>
    <mergeCell ref="KYF613:KYH613"/>
    <mergeCell ref="KYJ613:KYL613"/>
    <mergeCell ref="KYN613:KYP613"/>
    <mergeCell ref="KXD613:KXF613"/>
    <mergeCell ref="KXH613:KXJ613"/>
    <mergeCell ref="KXL613:KXN613"/>
    <mergeCell ref="KXP613:KXR613"/>
    <mergeCell ref="KXT613:KXV613"/>
    <mergeCell ref="KWJ613:KWL613"/>
    <mergeCell ref="KWN613:KWP613"/>
    <mergeCell ref="KWR613:KWT613"/>
    <mergeCell ref="KWV613:KWX613"/>
    <mergeCell ref="KWZ613:KXB613"/>
    <mergeCell ref="KVP613:KVR613"/>
    <mergeCell ref="KVT613:KVV613"/>
    <mergeCell ref="KVX613:KVZ613"/>
    <mergeCell ref="KWB613:KWD613"/>
    <mergeCell ref="KWF613:KWH613"/>
    <mergeCell ref="LFP613:LFR613"/>
    <mergeCell ref="LFT613:LFV613"/>
    <mergeCell ref="LFX613:LFZ613"/>
    <mergeCell ref="LGB613:LGD613"/>
    <mergeCell ref="LGF613:LGH613"/>
    <mergeCell ref="LEV613:LEX613"/>
    <mergeCell ref="LEZ613:LFB613"/>
    <mergeCell ref="LFD613:LFF613"/>
    <mergeCell ref="LFH613:LFJ613"/>
    <mergeCell ref="LFL613:LFN613"/>
    <mergeCell ref="LEB613:LED613"/>
    <mergeCell ref="LEF613:LEH613"/>
    <mergeCell ref="LEJ613:LEL613"/>
    <mergeCell ref="LEN613:LEP613"/>
    <mergeCell ref="LER613:LET613"/>
    <mergeCell ref="LDH613:LDJ613"/>
    <mergeCell ref="LDL613:LDN613"/>
    <mergeCell ref="LDP613:LDR613"/>
    <mergeCell ref="LDT613:LDV613"/>
    <mergeCell ref="LDX613:LDZ613"/>
    <mergeCell ref="LCN613:LCP613"/>
    <mergeCell ref="LCR613:LCT613"/>
    <mergeCell ref="LCV613:LCX613"/>
    <mergeCell ref="LCZ613:LDB613"/>
    <mergeCell ref="LDD613:LDF613"/>
    <mergeCell ref="LBT613:LBV613"/>
    <mergeCell ref="LBX613:LBZ613"/>
    <mergeCell ref="LCB613:LCD613"/>
    <mergeCell ref="LCF613:LCH613"/>
    <mergeCell ref="LCJ613:LCL613"/>
    <mergeCell ref="LAZ613:LBB613"/>
    <mergeCell ref="LBD613:LBF613"/>
    <mergeCell ref="LBH613:LBJ613"/>
    <mergeCell ref="LBL613:LBN613"/>
    <mergeCell ref="LBP613:LBR613"/>
    <mergeCell ref="LKZ613:LLB613"/>
    <mergeCell ref="LLD613:LLF613"/>
    <mergeCell ref="LLH613:LLJ613"/>
    <mergeCell ref="LLL613:LLN613"/>
    <mergeCell ref="LLP613:LLR613"/>
    <mergeCell ref="LKF613:LKH613"/>
    <mergeCell ref="LKJ613:LKL613"/>
    <mergeCell ref="LKN613:LKP613"/>
    <mergeCell ref="LKR613:LKT613"/>
    <mergeCell ref="LKV613:LKX613"/>
    <mergeCell ref="LJL613:LJN613"/>
    <mergeCell ref="LJP613:LJR613"/>
    <mergeCell ref="LJT613:LJV613"/>
    <mergeCell ref="LJX613:LJZ613"/>
    <mergeCell ref="LKB613:LKD613"/>
    <mergeCell ref="LIR613:LIT613"/>
    <mergeCell ref="LIV613:LIX613"/>
    <mergeCell ref="LIZ613:LJB613"/>
    <mergeCell ref="LJD613:LJF613"/>
    <mergeCell ref="LJH613:LJJ613"/>
    <mergeCell ref="LHX613:LHZ613"/>
    <mergeCell ref="LIB613:LID613"/>
    <mergeCell ref="LIF613:LIH613"/>
    <mergeCell ref="LIJ613:LIL613"/>
    <mergeCell ref="LIN613:LIP613"/>
    <mergeCell ref="LHD613:LHF613"/>
    <mergeCell ref="LHH613:LHJ613"/>
    <mergeCell ref="LHL613:LHN613"/>
    <mergeCell ref="LHP613:LHR613"/>
    <mergeCell ref="LHT613:LHV613"/>
    <mergeCell ref="LGJ613:LGL613"/>
    <mergeCell ref="LGN613:LGP613"/>
    <mergeCell ref="LGR613:LGT613"/>
    <mergeCell ref="LGV613:LGX613"/>
    <mergeCell ref="LGZ613:LHB613"/>
    <mergeCell ref="LQJ613:LQL613"/>
    <mergeCell ref="LQN613:LQP613"/>
    <mergeCell ref="LQR613:LQT613"/>
    <mergeCell ref="LQV613:LQX613"/>
    <mergeCell ref="LQZ613:LRB613"/>
    <mergeCell ref="LPP613:LPR613"/>
    <mergeCell ref="LPT613:LPV613"/>
    <mergeCell ref="LPX613:LPZ613"/>
    <mergeCell ref="LQB613:LQD613"/>
    <mergeCell ref="LQF613:LQH613"/>
    <mergeCell ref="LOV613:LOX613"/>
    <mergeCell ref="LOZ613:LPB613"/>
    <mergeCell ref="LPD613:LPF613"/>
    <mergeCell ref="LPH613:LPJ613"/>
    <mergeCell ref="LPL613:LPN613"/>
    <mergeCell ref="LOB613:LOD613"/>
    <mergeCell ref="LOF613:LOH613"/>
    <mergeCell ref="LOJ613:LOL613"/>
    <mergeCell ref="LON613:LOP613"/>
    <mergeCell ref="LOR613:LOT613"/>
    <mergeCell ref="LNH613:LNJ613"/>
    <mergeCell ref="LNL613:LNN613"/>
    <mergeCell ref="LNP613:LNR613"/>
    <mergeCell ref="LNT613:LNV613"/>
    <mergeCell ref="LNX613:LNZ613"/>
    <mergeCell ref="LMN613:LMP613"/>
    <mergeCell ref="LMR613:LMT613"/>
    <mergeCell ref="LMV613:LMX613"/>
    <mergeCell ref="LMZ613:LNB613"/>
    <mergeCell ref="LND613:LNF613"/>
    <mergeCell ref="LLT613:LLV613"/>
    <mergeCell ref="LLX613:LLZ613"/>
    <mergeCell ref="LMB613:LMD613"/>
    <mergeCell ref="LMF613:LMH613"/>
    <mergeCell ref="LMJ613:LML613"/>
    <mergeCell ref="LVT613:LVV613"/>
    <mergeCell ref="LVX613:LVZ613"/>
    <mergeCell ref="LWB613:LWD613"/>
    <mergeCell ref="LWF613:LWH613"/>
    <mergeCell ref="LWJ613:LWL613"/>
    <mergeCell ref="LUZ613:LVB613"/>
    <mergeCell ref="LVD613:LVF613"/>
    <mergeCell ref="LVH613:LVJ613"/>
    <mergeCell ref="LVL613:LVN613"/>
    <mergeCell ref="LVP613:LVR613"/>
    <mergeCell ref="LUF613:LUH613"/>
    <mergeCell ref="LUJ613:LUL613"/>
    <mergeCell ref="LUN613:LUP613"/>
    <mergeCell ref="LUR613:LUT613"/>
    <mergeCell ref="LUV613:LUX613"/>
    <mergeCell ref="LTL613:LTN613"/>
    <mergeCell ref="LTP613:LTR613"/>
    <mergeCell ref="LTT613:LTV613"/>
    <mergeCell ref="LTX613:LTZ613"/>
    <mergeCell ref="LUB613:LUD613"/>
    <mergeCell ref="LSR613:LST613"/>
    <mergeCell ref="LSV613:LSX613"/>
    <mergeCell ref="LSZ613:LTB613"/>
    <mergeCell ref="LTD613:LTF613"/>
    <mergeCell ref="LTH613:LTJ613"/>
    <mergeCell ref="LRX613:LRZ613"/>
    <mergeCell ref="LSB613:LSD613"/>
    <mergeCell ref="LSF613:LSH613"/>
    <mergeCell ref="LSJ613:LSL613"/>
    <mergeCell ref="LSN613:LSP613"/>
    <mergeCell ref="LRD613:LRF613"/>
    <mergeCell ref="LRH613:LRJ613"/>
    <mergeCell ref="LRL613:LRN613"/>
    <mergeCell ref="LRP613:LRR613"/>
    <mergeCell ref="LRT613:LRV613"/>
    <mergeCell ref="MBD613:MBF613"/>
    <mergeCell ref="MBH613:MBJ613"/>
    <mergeCell ref="MBL613:MBN613"/>
    <mergeCell ref="MBP613:MBR613"/>
    <mergeCell ref="MBT613:MBV613"/>
    <mergeCell ref="MAJ613:MAL613"/>
    <mergeCell ref="MAN613:MAP613"/>
    <mergeCell ref="MAR613:MAT613"/>
    <mergeCell ref="MAV613:MAX613"/>
    <mergeCell ref="MAZ613:MBB613"/>
    <mergeCell ref="LZP613:LZR613"/>
    <mergeCell ref="LZT613:LZV613"/>
    <mergeCell ref="LZX613:LZZ613"/>
    <mergeCell ref="MAB613:MAD613"/>
    <mergeCell ref="MAF613:MAH613"/>
    <mergeCell ref="LYV613:LYX613"/>
    <mergeCell ref="LYZ613:LZB613"/>
    <mergeCell ref="LZD613:LZF613"/>
    <mergeCell ref="LZH613:LZJ613"/>
    <mergeCell ref="LZL613:LZN613"/>
    <mergeCell ref="LYB613:LYD613"/>
    <mergeCell ref="LYF613:LYH613"/>
    <mergeCell ref="LYJ613:LYL613"/>
    <mergeCell ref="LYN613:LYP613"/>
    <mergeCell ref="LYR613:LYT613"/>
    <mergeCell ref="LXH613:LXJ613"/>
    <mergeCell ref="LXL613:LXN613"/>
    <mergeCell ref="LXP613:LXR613"/>
    <mergeCell ref="LXT613:LXV613"/>
    <mergeCell ref="LXX613:LXZ613"/>
    <mergeCell ref="LWN613:LWP613"/>
    <mergeCell ref="LWR613:LWT613"/>
    <mergeCell ref="LWV613:LWX613"/>
    <mergeCell ref="LWZ613:LXB613"/>
    <mergeCell ref="LXD613:LXF613"/>
    <mergeCell ref="MGN613:MGP613"/>
    <mergeCell ref="MGR613:MGT613"/>
    <mergeCell ref="MGV613:MGX613"/>
    <mergeCell ref="MGZ613:MHB613"/>
    <mergeCell ref="MHD613:MHF613"/>
    <mergeCell ref="MFT613:MFV613"/>
    <mergeCell ref="MFX613:MFZ613"/>
    <mergeCell ref="MGB613:MGD613"/>
    <mergeCell ref="MGF613:MGH613"/>
    <mergeCell ref="MGJ613:MGL613"/>
    <mergeCell ref="MEZ613:MFB613"/>
    <mergeCell ref="MFD613:MFF613"/>
    <mergeCell ref="MFH613:MFJ613"/>
    <mergeCell ref="MFL613:MFN613"/>
    <mergeCell ref="MFP613:MFR613"/>
    <mergeCell ref="MEF613:MEH613"/>
    <mergeCell ref="MEJ613:MEL613"/>
    <mergeCell ref="MEN613:MEP613"/>
    <mergeCell ref="MER613:MET613"/>
    <mergeCell ref="MEV613:MEX613"/>
    <mergeCell ref="MDL613:MDN613"/>
    <mergeCell ref="MDP613:MDR613"/>
    <mergeCell ref="MDT613:MDV613"/>
    <mergeCell ref="MDX613:MDZ613"/>
    <mergeCell ref="MEB613:MED613"/>
    <mergeCell ref="MCR613:MCT613"/>
    <mergeCell ref="MCV613:MCX613"/>
    <mergeCell ref="MCZ613:MDB613"/>
    <mergeCell ref="MDD613:MDF613"/>
    <mergeCell ref="MDH613:MDJ613"/>
    <mergeCell ref="MBX613:MBZ613"/>
    <mergeCell ref="MCB613:MCD613"/>
    <mergeCell ref="MCF613:MCH613"/>
    <mergeCell ref="MCJ613:MCL613"/>
    <mergeCell ref="MCN613:MCP613"/>
    <mergeCell ref="MLX613:MLZ613"/>
    <mergeCell ref="MMB613:MMD613"/>
    <mergeCell ref="MMF613:MMH613"/>
    <mergeCell ref="MMJ613:MML613"/>
    <mergeCell ref="MMN613:MMP613"/>
    <mergeCell ref="MLD613:MLF613"/>
    <mergeCell ref="MLH613:MLJ613"/>
    <mergeCell ref="MLL613:MLN613"/>
    <mergeCell ref="MLP613:MLR613"/>
    <mergeCell ref="MLT613:MLV613"/>
    <mergeCell ref="MKJ613:MKL613"/>
    <mergeCell ref="MKN613:MKP613"/>
    <mergeCell ref="MKR613:MKT613"/>
    <mergeCell ref="MKV613:MKX613"/>
    <mergeCell ref="MKZ613:MLB613"/>
    <mergeCell ref="MJP613:MJR613"/>
    <mergeCell ref="MJT613:MJV613"/>
    <mergeCell ref="MJX613:MJZ613"/>
    <mergeCell ref="MKB613:MKD613"/>
    <mergeCell ref="MKF613:MKH613"/>
    <mergeCell ref="MIV613:MIX613"/>
    <mergeCell ref="MIZ613:MJB613"/>
    <mergeCell ref="MJD613:MJF613"/>
    <mergeCell ref="MJH613:MJJ613"/>
    <mergeCell ref="MJL613:MJN613"/>
    <mergeCell ref="MIB613:MID613"/>
    <mergeCell ref="MIF613:MIH613"/>
    <mergeCell ref="MIJ613:MIL613"/>
    <mergeCell ref="MIN613:MIP613"/>
    <mergeCell ref="MIR613:MIT613"/>
    <mergeCell ref="MHH613:MHJ613"/>
    <mergeCell ref="MHL613:MHN613"/>
    <mergeCell ref="MHP613:MHR613"/>
    <mergeCell ref="MHT613:MHV613"/>
    <mergeCell ref="MHX613:MHZ613"/>
    <mergeCell ref="MRH613:MRJ613"/>
    <mergeCell ref="MRL613:MRN613"/>
    <mergeCell ref="MRP613:MRR613"/>
    <mergeCell ref="MRT613:MRV613"/>
    <mergeCell ref="MRX613:MRZ613"/>
    <mergeCell ref="MQN613:MQP613"/>
    <mergeCell ref="MQR613:MQT613"/>
    <mergeCell ref="MQV613:MQX613"/>
    <mergeCell ref="MQZ613:MRB613"/>
    <mergeCell ref="MRD613:MRF613"/>
    <mergeCell ref="MPT613:MPV613"/>
    <mergeCell ref="MPX613:MPZ613"/>
    <mergeCell ref="MQB613:MQD613"/>
    <mergeCell ref="MQF613:MQH613"/>
    <mergeCell ref="MQJ613:MQL613"/>
    <mergeCell ref="MOZ613:MPB613"/>
    <mergeCell ref="MPD613:MPF613"/>
    <mergeCell ref="MPH613:MPJ613"/>
    <mergeCell ref="MPL613:MPN613"/>
    <mergeCell ref="MPP613:MPR613"/>
    <mergeCell ref="MOF613:MOH613"/>
    <mergeCell ref="MOJ613:MOL613"/>
    <mergeCell ref="MON613:MOP613"/>
    <mergeCell ref="MOR613:MOT613"/>
    <mergeCell ref="MOV613:MOX613"/>
    <mergeCell ref="MNL613:MNN613"/>
    <mergeCell ref="MNP613:MNR613"/>
    <mergeCell ref="MNT613:MNV613"/>
    <mergeCell ref="MNX613:MNZ613"/>
    <mergeCell ref="MOB613:MOD613"/>
    <mergeCell ref="MMR613:MMT613"/>
    <mergeCell ref="MMV613:MMX613"/>
    <mergeCell ref="MMZ613:MNB613"/>
    <mergeCell ref="MND613:MNF613"/>
    <mergeCell ref="MNH613:MNJ613"/>
    <mergeCell ref="MWR613:MWT613"/>
    <mergeCell ref="MWV613:MWX613"/>
    <mergeCell ref="MWZ613:MXB613"/>
    <mergeCell ref="MXD613:MXF613"/>
    <mergeCell ref="MXH613:MXJ613"/>
    <mergeCell ref="MVX613:MVZ613"/>
    <mergeCell ref="MWB613:MWD613"/>
    <mergeCell ref="MWF613:MWH613"/>
    <mergeCell ref="MWJ613:MWL613"/>
    <mergeCell ref="MWN613:MWP613"/>
    <mergeCell ref="MVD613:MVF613"/>
    <mergeCell ref="MVH613:MVJ613"/>
    <mergeCell ref="MVL613:MVN613"/>
    <mergeCell ref="MVP613:MVR613"/>
    <mergeCell ref="MVT613:MVV613"/>
    <mergeCell ref="MUJ613:MUL613"/>
    <mergeCell ref="MUN613:MUP613"/>
    <mergeCell ref="MUR613:MUT613"/>
    <mergeCell ref="MUV613:MUX613"/>
    <mergeCell ref="MUZ613:MVB613"/>
    <mergeCell ref="MTP613:MTR613"/>
    <mergeCell ref="MTT613:MTV613"/>
    <mergeCell ref="MTX613:MTZ613"/>
    <mergeCell ref="MUB613:MUD613"/>
    <mergeCell ref="MUF613:MUH613"/>
    <mergeCell ref="MSV613:MSX613"/>
    <mergeCell ref="MSZ613:MTB613"/>
    <mergeCell ref="MTD613:MTF613"/>
    <mergeCell ref="MTH613:MTJ613"/>
    <mergeCell ref="MTL613:MTN613"/>
    <mergeCell ref="MSB613:MSD613"/>
    <mergeCell ref="MSF613:MSH613"/>
    <mergeCell ref="MSJ613:MSL613"/>
    <mergeCell ref="MSN613:MSP613"/>
    <mergeCell ref="MSR613:MST613"/>
    <mergeCell ref="NCB613:NCD613"/>
    <mergeCell ref="NCF613:NCH613"/>
    <mergeCell ref="NCJ613:NCL613"/>
    <mergeCell ref="NCN613:NCP613"/>
    <mergeCell ref="NCR613:NCT613"/>
    <mergeCell ref="NBH613:NBJ613"/>
    <mergeCell ref="NBL613:NBN613"/>
    <mergeCell ref="NBP613:NBR613"/>
    <mergeCell ref="NBT613:NBV613"/>
    <mergeCell ref="NBX613:NBZ613"/>
    <mergeCell ref="NAN613:NAP613"/>
    <mergeCell ref="NAR613:NAT613"/>
    <mergeCell ref="NAV613:NAX613"/>
    <mergeCell ref="NAZ613:NBB613"/>
    <mergeCell ref="NBD613:NBF613"/>
    <mergeCell ref="MZT613:MZV613"/>
    <mergeCell ref="MZX613:MZZ613"/>
    <mergeCell ref="NAB613:NAD613"/>
    <mergeCell ref="NAF613:NAH613"/>
    <mergeCell ref="NAJ613:NAL613"/>
    <mergeCell ref="MYZ613:MZB613"/>
    <mergeCell ref="MZD613:MZF613"/>
    <mergeCell ref="MZH613:MZJ613"/>
    <mergeCell ref="MZL613:MZN613"/>
    <mergeCell ref="MZP613:MZR613"/>
    <mergeCell ref="MYF613:MYH613"/>
    <mergeCell ref="MYJ613:MYL613"/>
    <mergeCell ref="MYN613:MYP613"/>
    <mergeCell ref="MYR613:MYT613"/>
    <mergeCell ref="MYV613:MYX613"/>
    <mergeCell ref="MXL613:MXN613"/>
    <mergeCell ref="MXP613:MXR613"/>
    <mergeCell ref="MXT613:MXV613"/>
    <mergeCell ref="MXX613:MXZ613"/>
    <mergeCell ref="MYB613:MYD613"/>
    <mergeCell ref="NHL613:NHN613"/>
    <mergeCell ref="NHP613:NHR613"/>
    <mergeCell ref="NHT613:NHV613"/>
    <mergeCell ref="NHX613:NHZ613"/>
    <mergeCell ref="NIB613:NID613"/>
    <mergeCell ref="NGR613:NGT613"/>
    <mergeCell ref="NGV613:NGX613"/>
    <mergeCell ref="NGZ613:NHB613"/>
    <mergeCell ref="NHD613:NHF613"/>
    <mergeCell ref="NHH613:NHJ613"/>
    <mergeCell ref="NFX613:NFZ613"/>
    <mergeCell ref="NGB613:NGD613"/>
    <mergeCell ref="NGF613:NGH613"/>
    <mergeCell ref="NGJ613:NGL613"/>
    <mergeCell ref="NGN613:NGP613"/>
    <mergeCell ref="NFD613:NFF613"/>
    <mergeCell ref="NFH613:NFJ613"/>
    <mergeCell ref="NFL613:NFN613"/>
    <mergeCell ref="NFP613:NFR613"/>
    <mergeCell ref="NFT613:NFV613"/>
    <mergeCell ref="NEJ613:NEL613"/>
    <mergeCell ref="NEN613:NEP613"/>
    <mergeCell ref="NER613:NET613"/>
    <mergeCell ref="NEV613:NEX613"/>
    <mergeCell ref="NEZ613:NFB613"/>
    <mergeCell ref="NDP613:NDR613"/>
    <mergeCell ref="NDT613:NDV613"/>
    <mergeCell ref="NDX613:NDZ613"/>
    <mergeCell ref="NEB613:NED613"/>
    <mergeCell ref="NEF613:NEH613"/>
    <mergeCell ref="NCV613:NCX613"/>
    <mergeCell ref="NCZ613:NDB613"/>
    <mergeCell ref="NDD613:NDF613"/>
    <mergeCell ref="NDH613:NDJ613"/>
    <mergeCell ref="NDL613:NDN613"/>
    <mergeCell ref="NMV613:NMX613"/>
    <mergeCell ref="NMZ613:NNB613"/>
    <mergeCell ref="NND613:NNF613"/>
    <mergeCell ref="NNH613:NNJ613"/>
    <mergeCell ref="NNL613:NNN613"/>
    <mergeCell ref="NMB613:NMD613"/>
    <mergeCell ref="NMF613:NMH613"/>
    <mergeCell ref="NMJ613:NML613"/>
    <mergeCell ref="NMN613:NMP613"/>
    <mergeCell ref="NMR613:NMT613"/>
    <mergeCell ref="NLH613:NLJ613"/>
    <mergeCell ref="NLL613:NLN613"/>
    <mergeCell ref="NLP613:NLR613"/>
    <mergeCell ref="NLT613:NLV613"/>
    <mergeCell ref="NLX613:NLZ613"/>
    <mergeCell ref="NKN613:NKP613"/>
    <mergeCell ref="NKR613:NKT613"/>
    <mergeCell ref="NKV613:NKX613"/>
    <mergeCell ref="NKZ613:NLB613"/>
    <mergeCell ref="NLD613:NLF613"/>
    <mergeCell ref="NJT613:NJV613"/>
    <mergeCell ref="NJX613:NJZ613"/>
    <mergeCell ref="NKB613:NKD613"/>
    <mergeCell ref="NKF613:NKH613"/>
    <mergeCell ref="NKJ613:NKL613"/>
    <mergeCell ref="NIZ613:NJB613"/>
    <mergeCell ref="NJD613:NJF613"/>
    <mergeCell ref="NJH613:NJJ613"/>
    <mergeCell ref="NJL613:NJN613"/>
    <mergeCell ref="NJP613:NJR613"/>
    <mergeCell ref="NIF613:NIH613"/>
    <mergeCell ref="NIJ613:NIL613"/>
    <mergeCell ref="NIN613:NIP613"/>
    <mergeCell ref="NIR613:NIT613"/>
    <mergeCell ref="NIV613:NIX613"/>
    <mergeCell ref="NSF613:NSH613"/>
    <mergeCell ref="NSJ613:NSL613"/>
    <mergeCell ref="NSN613:NSP613"/>
    <mergeCell ref="NSR613:NST613"/>
    <mergeCell ref="NSV613:NSX613"/>
    <mergeCell ref="NRL613:NRN613"/>
    <mergeCell ref="NRP613:NRR613"/>
    <mergeCell ref="NRT613:NRV613"/>
    <mergeCell ref="NRX613:NRZ613"/>
    <mergeCell ref="NSB613:NSD613"/>
    <mergeCell ref="NQR613:NQT613"/>
    <mergeCell ref="NQV613:NQX613"/>
    <mergeCell ref="NQZ613:NRB613"/>
    <mergeCell ref="NRD613:NRF613"/>
    <mergeCell ref="NRH613:NRJ613"/>
    <mergeCell ref="NPX613:NPZ613"/>
    <mergeCell ref="NQB613:NQD613"/>
    <mergeCell ref="NQF613:NQH613"/>
    <mergeCell ref="NQJ613:NQL613"/>
    <mergeCell ref="NQN613:NQP613"/>
    <mergeCell ref="NPD613:NPF613"/>
    <mergeCell ref="NPH613:NPJ613"/>
    <mergeCell ref="NPL613:NPN613"/>
    <mergeCell ref="NPP613:NPR613"/>
    <mergeCell ref="NPT613:NPV613"/>
    <mergeCell ref="NOJ613:NOL613"/>
    <mergeCell ref="NON613:NOP613"/>
    <mergeCell ref="NOR613:NOT613"/>
    <mergeCell ref="NOV613:NOX613"/>
    <mergeCell ref="NOZ613:NPB613"/>
    <mergeCell ref="NNP613:NNR613"/>
    <mergeCell ref="NNT613:NNV613"/>
    <mergeCell ref="NNX613:NNZ613"/>
    <mergeCell ref="NOB613:NOD613"/>
    <mergeCell ref="NOF613:NOH613"/>
    <mergeCell ref="NXP613:NXR613"/>
    <mergeCell ref="NXT613:NXV613"/>
    <mergeCell ref="NXX613:NXZ613"/>
    <mergeCell ref="NYB613:NYD613"/>
    <mergeCell ref="NYF613:NYH613"/>
    <mergeCell ref="NWV613:NWX613"/>
    <mergeCell ref="NWZ613:NXB613"/>
    <mergeCell ref="NXD613:NXF613"/>
    <mergeCell ref="NXH613:NXJ613"/>
    <mergeCell ref="NXL613:NXN613"/>
    <mergeCell ref="NWB613:NWD613"/>
    <mergeCell ref="NWF613:NWH613"/>
    <mergeCell ref="NWJ613:NWL613"/>
    <mergeCell ref="NWN613:NWP613"/>
    <mergeCell ref="NWR613:NWT613"/>
    <mergeCell ref="NVH613:NVJ613"/>
    <mergeCell ref="NVL613:NVN613"/>
    <mergeCell ref="NVP613:NVR613"/>
    <mergeCell ref="NVT613:NVV613"/>
    <mergeCell ref="NVX613:NVZ613"/>
    <mergeCell ref="NUN613:NUP613"/>
    <mergeCell ref="NUR613:NUT613"/>
    <mergeCell ref="NUV613:NUX613"/>
    <mergeCell ref="NUZ613:NVB613"/>
    <mergeCell ref="NVD613:NVF613"/>
    <mergeCell ref="NTT613:NTV613"/>
    <mergeCell ref="NTX613:NTZ613"/>
    <mergeCell ref="NUB613:NUD613"/>
    <mergeCell ref="NUF613:NUH613"/>
    <mergeCell ref="NUJ613:NUL613"/>
    <mergeCell ref="NSZ613:NTB613"/>
    <mergeCell ref="NTD613:NTF613"/>
    <mergeCell ref="NTH613:NTJ613"/>
    <mergeCell ref="NTL613:NTN613"/>
    <mergeCell ref="NTP613:NTR613"/>
    <mergeCell ref="OCZ613:ODB613"/>
    <mergeCell ref="ODD613:ODF613"/>
    <mergeCell ref="ODH613:ODJ613"/>
    <mergeCell ref="ODL613:ODN613"/>
    <mergeCell ref="ODP613:ODR613"/>
    <mergeCell ref="OCF613:OCH613"/>
    <mergeCell ref="OCJ613:OCL613"/>
    <mergeCell ref="OCN613:OCP613"/>
    <mergeCell ref="OCR613:OCT613"/>
    <mergeCell ref="OCV613:OCX613"/>
    <mergeCell ref="OBL613:OBN613"/>
    <mergeCell ref="OBP613:OBR613"/>
    <mergeCell ref="OBT613:OBV613"/>
    <mergeCell ref="OBX613:OBZ613"/>
    <mergeCell ref="OCB613:OCD613"/>
    <mergeCell ref="OAR613:OAT613"/>
    <mergeCell ref="OAV613:OAX613"/>
    <mergeCell ref="OAZ613:OBB613"/>
    <mergeCell ref="OBD613:OBF613"/>
    <mergeCell ref="OBH613:OBJ613"/>
    <mergeCell ref="NZX613:NZZ613"/>
    <mergeCell ref="OAB613:OAD613"/>
    <mergeCell ref="OAF613:OAH613"/>
    <mergeCell ref="OAJ613:OAL613"/>
    <mergeCell ref="OAN613:OAP613"/>
    <mergeCell ref="NZD613:NZF613"/>
    <mergeCell ref="NZH613:NZJ613"/>
    <mergeCell ref="NZL613:NZN613"/>
    <mergeCell ref="NZP613:NZR613"/>
    <mergeCell ref="NZT613:NZV613"/>
    <mergeCell ref="NYJ613:NYL613"/>
    <mergeCell ref="NYN613:NYP613"/>
    <mergeCell ref="NYR613:NYT613"/>
    <mergeCell ref="NYV613:NYX613"/>
    <mergeCell ref="NYZ613:NZB613"/>
    <mergeCell ref="OIJ613:OIL613"/>
    <mergeCell ref="OIN613:OIP613"/>
    <mergeCell ref="OIR613:OIT613"/>
    <mergeCell ref="OIV613:OIX613"/>
    <mergeCell ref="OIZ613:OJB613"/>
    <mergeCell ref="OHP613:OHR613"/>
    <mergeCell ref="OHT613:OHV613"/>
    <mergeCell ref="OHX613:OHZ613"/>
    <mergeCell ref="OIB613:OID613"/>
    <mergeCell ref="OIF613:OIH613"/>
    <mergeCell ref="OGV613:OGX613"/>
    <mergeCell ref="OGZ613:OHB613"/>
    <mergeCell ref="OHD613:OHF613"/>
    <mergeCell ref="OHH613:OHJ613"/>
    <mergeCell ref="OHL613:OHN613"/>
    <mergeCell ref="OGB613:OGD613"/>
    <mergeCell ref="OGF613:OGH613"/>
    <mergeCell ref="OGJ613:OGL613"/>
    <mergeCell ref="OGN613:OGP613"/>
    <mergeCell ref="OGR613:OGT613"/>
    <mergeCell ref="OFH613:OFJ613"/>
    <mergeCell ref="OFL613:OFN613"/>
    <mergeCell ref="OFP613:OFR613"/>
    <mergeCell ref="OFT613:OFV613"/>
    <mergeCell ref="OFX613:OFZ613"/>
    <mergeCell ref="OEN613:OEP613"/>
    <mergeCell ref="OER613:OET613"/>
    <mergeCell ref="OEV613:OEX613"/>
    <mergeCell ref="OEZ613:OFB613"/>
    <mergeCell ref="OFD613:OFF613"/>
    <mergeCell ref="ODT613:ODV613"/>
    <mergeCell ref="ODX613:ODZ613"/>
    <mergeCell ref="OEB613:OED613"/>
    <mergeCell ref="OEF613:OEH613"/>
    <mergeCell ref="OEJ613:OEL613"/>
    <mergeCell ref="ONT613:ONV613"/>
    <mergeCell ref="ONX613:ONZ613"/>
    <mergeCell ref="OOB613:OOD613"/>
    <mergeCell ref="OOF613:OOH613"/>
    <mergeCell ref="OOJ613:OOL613"/>
    <mergeCell ref="OMZ613:ONB613"/>
    <mergeCell ref="OND613:ONF613"/>
    <mergeCell ref="ONH613:ONJ613"/>
    <mergeCell ref="ONL613:ONN613"/>
    <mergeCell ref="ONP613:ONR613"/>
    <mergeCell ref="OMF613:OMH613"/>
    <mergeCell ref="OMJ613:OML613"/>
    <mergeCell ref="OMN613:OMP613"/>
    <mergeCell ref="OMR613:OMT613"/>
    <mergeCell ref="OMV613:OMX613"/>
    <mergeCell ref="OLL613:OLN613"/>
    <mergeCell ref="OLP613:OLR613"/>
    <mergeCell ref="OLT613:OLV613"/>
    <mergeCell ref="OLX613:OLZ613"/>
    <mergeCell ref="OMB613:OMD613"/>
    <mergeCell ref="OKR613:OKT613"/>
    <mergeCell ref="OKV613:OKX613"/>
    <mergeCell ref="OKZ613:OLB613"/>
    <mergeCell ref="OLD613:OLF613"/>
    <mergeCell ref="OLH613:OLJ613"/>
    <mergeCell ref="OJX613:OJZ613"/>
    <mergeCell ref="OKB613:OKD613"/>
    <mergeCell ref="OKF613:OKH613"/>
    <mergeCell ref="OKJ613:OKL613"/>
    <mergeCell ref="OKN613:OKP613"/>
    <mergeCell ref="OJD613:OJF613"/>
    <mergeCell ref="OJH613:OJJ613"/>
    <mergeCell ref="OJL613:OJN613"/>
    <mergeCell ref="OJP613:OJR613"/>
    <mergeCell ref="OJT613:OJV613"/>
    <mergeCell ref="OTD613:OTF613"/>
    <mergeCell ref="OTH613:OTJ613"/>
    <mergeCell ref="OTL613:OTN613"/>
    <mergeCell ref="OTP613:OTR613"/>
    <mergeCell ref="OTT613:OTV613"/>
    <mergeCell ref="OSJ613:OSL613"/>
    <mergeCell ref="OSN613:OSP613"/>
    <mergeCell ref="OSR613:OST613"/>
    <mergeCell ref="OSV613:OSX613"/>
    <mergeCell ref="OSZ613:OTB613"/>
    <mergeCell ref="ORP613:ORR613"/>
    <mergeCell ref="ORT613:ORV613"/>
    <mergeCell ref="ORX613:ORZ613"/>
    <mergeCell ref="OSB613:OSD613"/>
    <mergeCell ref="OSF613:OSH613"/>
    <mergeCell ref="OQV613:OQX613"/>
    <mergeCell ref="OQZ613:ORB613"/>
    <mergeCell ref="ORD613:ORF613"/>
    <mergeCell ref="ORH613:ORJ613"/>
    <mergeCell ref="ORL613:ORN613"/>
    <mergeCell ref="OQB613:OQD613"/>
    <mergeCell ref="OQF613:OQH613"/>
    <mergeCell ref="OQJ613:OQL613"/>
    <mergeCell ref="OQN613:OQP613"/>
    <mergeCell ref="OQR613:OQT613"/>
    <mergeCell ref="OPH613:OPJ613"/>
    <mergeCell ref="OPL613:OPN613"/>
    <mergeCell ref="OPP613:OPR613"/>
    <mergeCell ref="OPT613:OPV613"/>
    <mergeCell ref="OPX613:OPZ613"/>
    <mergeCell ref="OON613:OOP613"/>
    <mergeCell ref="OOR613:OOT613"/>
    <mergeCell ref="OOV613:OOX613"/>
    <mergeCell ref="OOZ613:OPB613"/>
    <mergeCell ref="OPD613:OPF613"/>
    <mergeCell ref="OYN613:OYP613"/>
    <mergeCell ref="OYR613:OYT613"/>
    <mergeCell ref="OYV613:OYX613"/>
    <mergeCell ref="OYZ613:OZB613"/>
    <mergeCell ref="OZD613:OZF613"/>
    <mergeCell ref="OXT613:OXV613"/>
    <mergeCell ref="OXX613:OXZ613"/>
    <mergeCell ref="OYB613:OYD613"/>
    <mergeCell ref="OYF613:OYH613"/>
    <mergeCell ref="OYJ613:OYL613"/>
    <mergeCell ref="OWZ613:OXB613"/>
    <mergeCell ref="OXD613:OXF613"/>
    <mergeCell ref="OXH613:OXJ613"/>
    <mergeCell ref="OXL613:OXN613"/>
    <mergeCell ref="OXP613:OXR613"/>
    <mergeCell ref="OWF613:OWH613"/>
    <mergeCell ref="OWJ613:OWL613"/>
    <mergeCell ref="OWN613:OWP613"/>
    <mergeCell ref="OWR613:OWT613"/>
    <mergeCell ref="OWV613:OWX613"/>
    <mergeCell ref="OVL613:OVN613"/>
    <mergeCell ref="OVP613:OVR613"/>
    <mergeCell ref="OVT613:OVV613"/>
    <mergeCell ref="OVX613:OVZ613"/>
    <mergeCell ref="OWB613:OWD613"/>
    <mergeCell ref="OUR613:OUT613"/>
    <mergeCell ref="OUV613:OUX613"/>
    <mergeCell ref="OUZ613:OVB613"/>
    <mergeCell ref="OVD613:OVF613"/>
    <mergeCell ref="OVH613:OVJ613"/>
    <mergeCell ref="OTX613:OTZ613"/>
    <mergeCell ref="OUB613:OUD613"/>
    <mergeCell ref="OUF613:OUH613"/>
    <mergeCell ref="OUJ613:OUL613"/>
    <mergeCell ref="OUN613:OUP613"/>
    <mergeCell ref="PDX613:PDZ613"/>
    <mergeCell ref="PEB613:PED613"/>
    <mergeCell ref="PEF613:PEH613"/>
    <mergeCell ref="PEJ613:PEL613"/>
    <mergeCell ref="PEN613:PEP613"/>
    <mergeCell ref="PDD613:PDF613"/>
    <mergeCell ref="PDH613:PDJ613"/>
    <mergeCell ref="PDL613:PDN613"/>
    <mergeCell ref="PDP613:PDR613"/>
    <mergeCell ref="PDT613:PDV613"/>
    <mergeCell ref="PCJ613:PCL613"/>
    <mergeCell ref="PCN613:PCP613"/>
    <mergeCell ref="PCR613:PCT613"/>
    <mergeCell ref="PCV613:PCX613"/>
    <mergeCell ref="PCZ613:PDB613"/>
    <mergeCell ref="PBP613:PBR613"/>
    <mergeCell ref="PBT613:PBV613"/>
    <mergeCell ref="PBX613:PBZ613"/>
    <mergeCell ref="PCB613:PCD613"/>
    <mergeCell ref="PCF613:PCH613"/>
    <mergeCell ref="PAV613:PAX613"/>
    <mergeCell ref="PAZ613:PBB613"/>
    <mergeCell ref="PBD613:PBF613"/>
    <mergeCell ref="PBH613:PBJ613"/>
    <mergeCell ref="PBL613:PBN613"/>
    <mergeCell ref="PAB613:PAD613"/>
    <mergeCell ref="PAF613:PAH613"/>
    <mergeCell ref="PAJ613:PAL613"/>
    <mergeCell ref="PAN613:PAP613"/>
    <mergeCell ref="PAR613:PAT613"/>
    <mergeCell ref="OZH613:OZJ613"/>
    <mergeCell ref="OZL613:OZN613"/>
    <mergeCell ref="OZP613:OZR613"/>
    <mergeCell ref="OZT613:OZV613"/>
    <mergeCell ref="OZX613:OZZ613"/>
    <mergeCell ref="PJH613:PJJ613"/>
    <mergeCell ref="PJL613:PJN613"/>
    <mergeCell ref="PJP613:PJR613"/>
    <mergeCell ref="PJT613:PJV613"/>
    <mergeCell ref="PJX613:PJZ613"/>
    <mergeCell ref="PIN613:PIP613"/>
    <mergeCell ref="PIR613:PIT613"/>
    <mergeCell ref="PIV613:PIX613"/>
    <mergeCell ref="PIZ613:PJB613"/>
    <mergeCell ref="PJD613:PJF613"/>
    <mergeCell ref="PHT613:PHV613"/>
    <mergeCell ref="PHX613:PHZ613"/>
    <mergeCell ref="PIB613:PID613"/>
    <mergeCell ref="PIF613:PIH613"/>
    <mergeCell ref="PIJ613:PIL613"/>
    <mergeCell ref="PGZ613:PHB613"/>
    <mergeCell ref="PHD613:PHF613"/>
    <mergeCell ref="PHH613:PHJ613"/>
    <mergeCell ref="PHL613:PHN613"/>
    <mergeCell ref="PHP613:PHR613"/>
    <mergeCell ref="PGF613:PGH613"/>
    <mergeCell ref="PGJ613:PGL613"/>
    <mergeCell ref="PGN613:PGP613"/>
    <mergeCell ref="PGR613:PGT613"/>
    <mergeCell ref="PGV613:PGX613"/>
    <mergeCell ref="PFL613:PFN613"/>
    <mergeCell ref="PFP613:PFR613"/>
    <mergeCell ref="PFT613:PFV613"/>
    <mergeCell ref="PFX613:PFZ613"/>
    <mergeCell ref="PGB613:PGD613"/>
    <mergeCell ref="PER613:PET613"/>
    <mergeCell ref="PEV613:PEX613"/>
    <mergeCell ref="PEZ613:PFB613"/>
    <mergeCell ref="PFD613:PFF613"/>
    <mergeCell ref="PFH613:PFJ613"/>
    <mergeCell ref="POR613:POT613"/>
    <mergeCell ref="POV613:POX613"/>
    <mergeCell ref="POZ613:PPB613"/>
    <mergeCell ref="PPD613:PPF613"/>
    <mergeCell ref="PPH613:PPJ613"/>
    <mergeCell ref="PNX613:PNZ613"/>
    <mergeCell ref="POB613:POD613"/>
    <mergeCell ref="POF613:POH613"/>
    <mergeCell ref="POJ613:POL613"/>
    <mergeCell ref="PON613:POP613"/>
    <mergeCell ref="PND613:PNF613"/>
    <mergeCell ref="PNH613:PNJ613"/>
    <mergeCell ref="PNL613:PNN613"/>
    <mergeCell ref="PNP613:PNR613"/>
    <mergeCell ref="PNT613:PNV613"/>
    <mergeCell ref="PMJ613:PML613"/>
    <mergeCell ref="PMN613:PMP613"/>
    <mergeCell ref="PMR613:PMT613"/>
    <mergeCell ref="PMV613:PMX613"/>
    <mergeCell ref="PMZ613:PNB613"/>
    <mergeCell ref="PLP613:PLR613"/>
    <mergeCell ref="PLT613:PLV613"/>
    <mergeCell ref="PLX613:PLZ613"/>
    <mergeCell ref="PMB613:PMD613"/>
    <mergeCell ref="PMF613:PMH613"/>
    <mergeCell ref="PKV613:PKX613"/>
    <mergeCell ref="PKZ613:PLB613"/>
    <mergeCell ref="PLD613:PLF613"/>
    <mergeCell ref="PLH613:PLJ613"/>
    <mergeCell ref="PLL613:PLN613"/>
    <mergeCell ref="PKB613:PKD613"/>
    <mergeCell ref="PKF613:PKH613"/>
    <mergeCell ref="PKJ613:PKL613"/>
    <mergeCell ref="PKN613:PKP613"/>
    <mergeCell ref="PKR613:PKT613"/>
    <mergeCell ref="PUB613:PUD613"/>
    <mergeCell ref="PUF613:PUH613"/>
    <mergeCell ref="PUJ613:PUL613"/>
    <mergeCell ref="PUN613:PUP613"/>
    <mergeCell ref="PUR613:PUT613"/>
    <mergeCell ref="PTH613:PTJ613"/>
    <mergeCell ref="PTL613:PTN613"/>
    <mergeCell ref="PTP613:PTR613"/>
    <mergeCell ref="PTT613:PTV613"/>
    <mergeCell ref="PTX613:PTZ613"/>
    <mergeCell ref="PSN613:PSP613"/>
    <mergeCell ref="PSR613:PST613"/>
    <mergeCell ref="PSV613:PSX613"/>
    <mergeCell ref="PSZ613:PTB613"/>
    <mergeCell ref="PTD613:PTF613"/>
    <mergeCell ref="PRT613:PRV613"/>
    <mergeCell ref="PRX613:PRZ613"/>
    <mergeCell ref="PSB613:PSD613"/>
    <mergeCell ref="PSF613:PSH613"/>
    <mergeCell ref="PSJ613:PSL613"/>
    <mergeCell ref="PQZ613:PRB613"/>
    <mergeCell ref="PRD613:PRF613"/>
    <mergeCell ref="PRH613:PRJ613"/>
    <mergeCell ref="PRL613:PRN613"/>
    <mergeCell ref="PRP613:PRR613"/>
    <mergeCell ref="PQF613:PQH613"/>
    <mergeCell ref="PQJ613:PQL613"/>
    <mergeCell ref="PQN613:PQP613"/>
    <mergeCell ref="PQR613:PQT613"/>
    <mergeCell ref="PQV613:PQX613"/>
    <mergeCell ref="PPL613:PPN613"/>
    <mergeCell ref="PPP613:PPR613"/>
    <mergeCell ref="PPT613:PPV613"/>
    <mergeCell ref="PPX613:PPZ613"/>
    <mergeCell ref="PQB613:PQD613"/>
    <mergeCell ref="PZL613:PZN613"/>
    <mergeCell ref="PZP613:PZR613"/>
    <mergeCell ref="PZT613:PZV613"/>
    <mergeCell ref="PZX613:PZZ613"/>
    <mergeCell ref="QAB613:QAD613"/>
    <mergeCell ref="PYR613:PYT613"/>
    <mergeCell ref="PYV613:PYX613"/>
    <mergeCell ref="PYZ613:PZB613"/>
    <mergeCell ref="PZD613:PZF613"/>
    <mergeCell ref="PZH613:PZJ613"/>
    <mergeCell ref="PXX613:PXZ613"/>
    <mergeCell ref="PYB613:PYD613"/>
    <mergeCell ref="PYF613:PYH613"/>
    <mergeCell ref="PYJ613:PYL613"/>
    <mergeCell ref="PYN613:PYP613"/>
    <mergeCell ref="PXD613:PXF613"/>
    <mergeCell ref="PXH613:PXJ613"/>
    <mergeCell ref="PXL613:PXN613"/>
    <mergeCell ref="PXP613:PXR613"/>
    <mergeCell ref="PXT613:PXV613"/>
    <mergeCell ref="PWJ613:PWL613"/>
    <mergeCell ref="PWN613:PWP613"/>
    <mergeCell ref="PWR613:PWT613"/>
    <mergeCell ref="PWV613:PWX613"/>
    <mergeCell ref="PWZ613:PXB613"/>
    <mergeCell ref="PVP613:PVR613"/>
    <mergeCell ref="PVT613:PVV613"/>
    <mergeCell ref="PVX613:PVZ613"/>
    <mergeCell ref="PWB613:PWD613"/>
    <mergeCell ref="PWF613:PWH613"/>
    <mergeCell ref="PUV613:PUX613"/>
    <mergeCell ref="PUZ613:PVB613"/>
    <mergeCell ref="PVD613:PVF613"/>
    <mergeCell ref="PVH613:PVJ613"/>
    <mergeCell ref="PVL613:PVN613"/>
    <mergeCell ref="QEV613:QEX613"/>
    <mergeCell ref="QEZ613:QFB613"/>
    <mergeCell ref="QFD613:QFF613"/>
    <mergeCell ref="QFH613:QFJ613"/>
    <mergeCell ref="QFL613:QFN613"/>
    <mergeCell ref="QEB613:QED613"/>
    <mergeCell ref="QEF613:QEH613"/>
    <mergeCell ref="QEJ613:QEL613"/>
    <mergeCell ref="QEN613:QEP613"/>
    <mergeCell ref="QER613:QET613"/>
    <mergeCell ref="QDH613:QDJ613"/>
    <mergeCell ref="QDL613:QDN613"/>
    <mergeCell ref="QDP613:QDR613"/>
    <mergeCell ref="QDT613:QDV613"/>
    <mergeCell ref="QDX613:QDZ613"/>
    <mergeCell ref="QCN613:QCP613"/>
    <mergeCell ref="QCR613:QCT613"/>
    <mergeCell ref="QCV613:QCX613"/>
    <mergeCell ref="QCZ613:QDB613"/>
    <mergeCell ref="QDD613:QDF613"/>
    <mergeCell ref="QBT613:QBV613"/>
    <mergeCell ref="QBX613:QBZ613"/>
    <mergeCell ref="QCB613:QCD613"/>
    <mergeCell ref="QCF613:QCH613"/>
    <mergeCell ref="QCJ613:QCL613"/>
    <mergeCell ref="QAZ613:QBB613"/>
    <mergeCell ref="QBD613:QBF613"/>
    <mergeCell ref="QBH613:QBJ613"/>
    <mergeCell ref="QBL613:QBN613"/>
    <mergeCell ref="QBP613:QBR613"/>
    <mergeCell ref="QAF613:QAH613"/>
    <mergeCell ref="QAJ613:QAL613"/>
    <mergeCell ref="QAN613:QAP613"/>
    <mergeCell ref="QAR613:QAT613"/>
    <mergeCell ref="QAV613:QAX613"/>
    <mergeCell ref="QKF613:QKH613"/>
    <mergeCell ref="QKJ613:QKL613"/>
    <mergeCell ref="QKN613:QKP613"/>
    <mergeCell ref="QKR613:QKT613"/>
    <mergeCell ref="QKV613:QKX613"/>
    <mergeCell ref="QJL613:QJN613"/>
    <mergeCell ref="QJP613:QJR613"/>
    <mergeCell ref="QJT613:QJV613"/>
    <mergeCell ref="QJX613:QJZ613"/>
    <mergeCell ref="QKB613:QKD613"/>
    <mergeCell ref="QIR613:QIT613"/>
    <mergeCell ref="QIV613:QIX613"/>
    <mergeCell ref="QIZ613:QJB613"/>
    <mergeCell ref="QJD613:QJF613"/>
    <mergeCell ref="QJH613:QJJ613"/>
    <mergeCell ref="QHX613:QHZ613"/>
    <mergeCell ref="QIB613:QID613"/>
    <mergeCell ref="QIF613:QIH613"/>
    <mergeCell ref="QIJ613:QIL613"/>
    <mergeCell ref="QIN613:QIP613"/>
    <mergeCell ref="QHD613:QHF613"/>
    <mergeCell ref="QHH613:QHJ613"/>
    <mergeCell ref="QHL613:QHN613"/>
    <mergeCell ref="QHP613:QHR613"/>
    <mergeCell ref="QHT613:QHV613"/>
    <mergeCell ref="QGJ613:QGL613"/>
    <mergeCell ref="QGN613:QGP613"/>
    <mergeCell ref="QGR613:QGT613"/>
    <mergeCell ref="QGV613:QGX613"/>
    <mergeCell ref="QGZ613:QHB613"/>
    <mergeCell ref="QFP613:QFR613"/>
    <mergeCell ref="QFT613:QFV613"/>
    <mergeCell ref="QFX613:QFZ613"/>
    <mergeCell ref="QGB613:QGD613"/>
    <mergeCell ref="QGF613:QGH613"/>
    <mergeCell ref="QPP613:QPR613"/>
    <mergeCell ref="QPT613:QPV613"/>
    <mergeCell ref="QPX613:QPZ613"/>
    <mergeCell ref="QQB613:QQD613"/>
    <mergeCell ref="QQF613:QQH613"/>
    <mergeCell ref="QOV613:QOX613"/>
    <mergeCell ref="QOZ613:QPB613"/>
    <mergeCell ref="QPD613:QPF613"/>
    <mergeCell ref="QPH613:QPJ613"/>
    <mergeCell ref="QPL613:QPN613"/>
    <mergeCell ref="QOB613:QOD613"/>
    <mergeCell ref="QOF613:QOH613"/>
    <mergeCell ref="QOJ613:QOL613"/>
    <mergeCell ref="QON613:QOP613"/>
    <mergeCell ref="QOR613:QOT613"/>
    <mergeCell ref="QNH613:QNJ613"/>
    <mergeCell ref="QNL613:QNN613"/>
    <mergeCell ref="QNP613:QNR613"/>
    <mergeCell ref="QNT613:QNV613"/>
    <mergeCell ref="QNX613:QNZ613"/>
    <mergeCell ref="QMN613:QMP613"/>
    <mergeCell ref="QMR613:QMT613"/>
    <mergeCell ref="QMV613:QMX613"/>
    <mergeCell ref="QMZ613:QNB613"/>
    <mergeCell ref="QND613:QNF613"/>
    <mergeCell ref="QLT613:QLV613"/>
    <mergeCell ref="QLX613:QLZ613"/>
    <mergeCell ref="QMB613:QMD613"/>
    <mergeCell ref="QMF613:QMH613"/>
    <mergeCell ref="QMJ613:QML613"/>
    <mergeCell ref="QKZ613:QLB613"/>
    <mergeCell ref="QLD613:QLF613"/>
    <mergeCell ref="QLH613:QLJ613"/>
    <mergeCell ref="QLL613:QLN613"/>
    <mergeCell ref="QLP613:QLR613"/>
    <mergeCell ref="QUZ613:QVB613"/>
    <mergeCell ref="QVD613:QVF613"/>
    <mergeCell ref="QVH613:QVJ613"/>
    <mergeCell ref="QVL613:QVN613"/>
    <mergeCell ref="QVP613:QVR613"/>
    <mergeCell ref="QUF613:QUH613"/>
    <mergeCell ref="QUJ613:QUL613"/>
    <mergeCell ref="QUN613:QUP613"/>
    <mergeCell ref="QUR613:QUT613"/>
    <mergeCell ref="QUV613:QUX613"/>
    <mergeCell ref="QTL613:QTN613"/>
    <mergeCell ref="QTP613:QTR613"/>
    <mergeCell ref="QTT613:QTV613"/>
    <mergeCell ref="QTX613:QTZ613"/>
    <mergeCell ref="QUB613:QUD613"/>
    <mergeCell ref="QSR613:QST613"/>
    <mergeCell ref="QSV613:QSX613"/>
    <mergeCell ref="QSZ613:QTB613"/>
    <mergeCell ref="QTD613:QTF613"/>
    <mergeCell ref="QTH613:QTJ613"/>
    <mergeCell ref="QRX613:QRZ613"/>
    <mergeCell ref="QSB613:QSD613"/>
    <mergeCell ref="QSF613:QSH613"/>
    <mergeCell ref="QSJ613:QSL613"/>
    <mergeCell ref="QSN613:QSP613"/>
    <mergeCell ref="QRD613:QRF613"/>
    <mergeCell ref="QRH613:QRJ613"/>
    <mergeCell ref="QRL613:QRN613"/>
    <mergeCell ref="QRP613:QRR613"/>
    <mergeCell ref="QRT613:QRV613"/>
    <mergeCell ref="QQJ613:QQL613"/>
    <mergeCell ref="QQN613:QQP613"/>
    <mergeCell ref="QQR613:QQT613"/>
    <mergeCell ref="QQV613:QQX613"/>
    <mergeCell ref="QQZ613:QRB613"/>
    <mergeCell ref="RAJ613:RAL613"/>
    <mergeCell ref="RAN613:RAP613"/>
    <mergeCell ref="RAR613:RAT613"/>
    <mergeCell ref="RAV613:RAX613"/>
    <mergeCell ref="RAZ613:RBB613"/>
    <mergeCell ref="QZP613:QZR613"/>
    <mergeCell ref="QZT613:QZV613"/>
    <mergeCell ref="QZX613:QZZ613"/>
    <mergeCell ref="RAB613:RAD613"/>
    <mergeCell ref="RAF613:RAH613"/>
    <mergeCell ref="QYV613:QYX613"/>
    <mergeCell ref="QYZ613:QZB613"/>
    <mergeCell ref="QZD613:QZF613"/>
    <mergeCell ref="QZH613:QZJ613"/>
    <mergeCell ref="QZL613:QZN613"/>
    <mergeCell ref="QYB613:QYD613"/>
    <mergeCell ref="QYF613:QYH613"/>
    <mergeCell ref="QYJ613:QYL613"/>
    <mergeCell ref="QYN613:QYP613"/>
    <mergeCell ref="QYR613:QYT613"/>
    <mergeCell ref="QXH613:QXJ613"/>
    <mergeCell ref="QXL613:QXN613"/>
    <mergeCell ref="QXP613:QXR613"/>
    <mergeCell ref="QXT613:QXV613"/>
    <mergeCell ref="QXX613:QXZ613"/>
    <mergeCell ref="QWN613:QWP613"/>
    <mergeCell ref="QWR613:QWT613"/>
    <mergeCell ref="QWV613:QWX613"/>
    <mergeCell ref="QWZ613:QXB613"/>
    <mergeCell ref="QXD613:QXF613"/>
    <mergeCell ref="QVT613:QVV613"/>
    <mergeCell ref="QVX613:QVZ613"/>
    <mergeCell ref="QWB613:QWD613"/>
    <mergeCell ref="QWF613:QWH613"/>
    <mergeCell ref="QWJ613:QWL613"/>
    <mergeCell ref="RFT613:RFV613"/>
    <mergeCell ref="RFX613:RFZ613"/>
    <mergeCell ref="RGB613:RGD613"/>
    <mergeCell ref="RGF613:RGH613"/>
    <mergeCell ref="RGJ613:RGL613"/>
    <mergeCell ref="REZ613:RFB613"/>
    <mergeCell ref="RFD613:RFF613"/>
    <mergeCell ref="RFH613:RFJ613"/>
    <mergeCell ref="RFL613:RFN613"/>
    <mergeCell ref="RFP613:RFR613"/>
    <mergeCell ref="REF613:REH613"/>
    <mergeCell ref="REJ613:REL613"/>
    <mergeCell ref="REN613:REP613"/>
    <mergeCell ref="RER613:RET613"/>
    <mergeCell ref="REV613:REX613"/>
    <mergeCell ref="RDL613:RDN613"/>
    <mergeCell ref="RDP613:RDR613"/>
    <mergeCell ref="RDT613:RDV613"/>
    <mergeCell ref="RDX613:RDZ613"/>
    <mergeCell ref="REB613:RED613"/>
    <mergeCell ref="RCR613:RCT613"/>
    <mergeCell ref="RCV613:RCX613"/>
    <mergeCell ref="RCZ613:RDB613"/>
    <mergeCell ref="RDD613:RDF613"/>
    <mergeCell ref="RDH613:RDJ613"/>
    <mergeCell ref="RBX613:RBZ613"/>
    <mergeCell ref="RCB613:RCD613"/>
    <mergeCell ref="RCF613:RCH613"/>
    <mergeCell ref="RCJ613:RCL613"/>
    <mergeCell ref="RCN613:RCP613"/>
    <mergeCell ref="RBD613:RBF613"/>
    <mergeCell ref="RBH613:RBJ613"/>
    <mergeCell ref="RBL613:RBN613"/>
    <mergeCell ref="RBP613:RBR613"/>
    <mergeCell ref="RBT613:RBV613"/>
    <mergeCell ref="RLD613:RLF613"/>
    <mergeCell ref="RLH613:RLJ613"/>
    <mergeCell ref="RLL613:RLN613"/>
    <mergeCell ref="RLP613:RLR613"/>
    <mergeCell ref="RLT613:RLV613"/>
    <mergeCell ref="RKJ613:RKL613"/>
    <mergeCell ref="RKN613:RKP613"/>
    <mergeCell ref="RKR613:RKT613"/>
    <mergeCell ref="RKV613:RKX613"/>
    <mergeCell ref="RKZ613:RLB613"/>
    <mergeCell ref="RJP613:RJR613"/>
    <mergeCell ref="RJT613:RJV613"/>
    <mergeCell ref="RJX613:RJZ613"/>
    <mergeCell ref="RKB613:RKD613"/>
    <mergeCell ref="RKF613:RKH613"/>
    <mergeCell ref="RIV613:RIX613"/>
    <mergeCell ref="RIZ613:RJB613"/>
    <mergeCell ref="RJD613:RJF613"/>
    <mergeCell ref="RJH613:RJJ613"/>
    <mergeCell ref="RJL613:RJN613"/>
    <mergeCell ref="RIB613:RID613"/>
    <mergeCell ref="RIF613:RIH613"/>
    <mergeCell ref="RIJ613:RIL613"/>
    <mergeCell ref="RIN613:RIP613"/>
    <mergeCell ref="RIR613:RIT613"/>
    <mergeCell ref="RHH613:RHJ613"/>
    <mergeCell ref="RHL613:RHN613"/>
    <mergeCell ref="RHP613:RHR613"/>
    <mergeCell ref="RHT613:RHV613"/>
    <mergeCell ref="RHX613:RHZ613"/>
    <mergeCell ref="RGN613:RGP613"/>
    <mergeCell ref="RGR613:RGT613"/>
    <mergeCell ref="RGV613:RGX613"/>
    <mergeCell ref="RGZ613:RHB613"/>
    <mergeCell ref="RHD613:RHF613"/>
    <mergeCell ref="RQN613:RQP613"/>
    <mergeCell ref="RQR613:RQT613"/>
    <mergeCell ref="RQV613:RQX613"/>
    <mergeCell ref="RQZ613:RRB613"/>
    <mergeCell ref="RRD613:RRF613"/>
    <mergeCell ref="RPT613:RPV613"/>
    <mergeCell ref="RPX613:RPZ613"/>
    <mergeCell ref="RQB613:RQD613"/>
    <mergeCell ref="RQF613:RQH613"/>
    <mergeCell ref="RQJ613:RQL613"/>
    <mergeCell ref="ROZ613:RPB613"/>
    <mergeCell ref="RPD613:RPF613"/>
    <mergeCell ref="RPH613:RPJ613"/>
    <mergeCell ref="RPL613:RPN613"/>
    <mergeCell ref="RPP613:RPR613"/>
    <mergeCell ref="ROF613:ROH613"/>
    <mergeCell ref="ROJ613:ROL613"/>
    <mergeCell ref="RON613:ROP613"/>
    <mergeCell ref="ROR613:ROT613"/>
    <mergeCell ref="ROV613:ROX613"/>
    <mergeCell ref="RNL613:RNN613"/>
    <mergeCell ref="RNP613:RNR613"/>
    <mergeCell ref="RNT613:RNV613"/>
    <mergeCell ref="RNX613:RNZ613"/>
    <mergeCell ref="ROB613:ROD613"/>
    <mergeCell ref="RMR613:RMT613"/>
    <mergeCell ref="RMV613:RMX613"/>
    <mergeCell ref="RMZ613:RNB613"/>
    <mergeCell ref="RND613:RNF613"/>
    <mergeCell ref="RNH613:RNJ613"/>
    <mergeCell ref="RLX613:RLZ613"/>
    <mergeCell ref="RMB613:RMD613"/>
    <mergeCell ref="RMF613:RMH613"/>
    <mergeCell ref="RMJ613:RML613"/>
    <mergeCell ref="RMN613:RMP613"/>
    <mergeCell ref="RVX613:RVZ613"/>
    <mergeCell ref="RWB613:RWD613"/>
    <mergeCell ref="RWF613:RWH613"/>
    <mergeCell ref="RWJ613:RWL613"/>
    <mergeCell ref="RWN613:RWP613"/>
    <mergeCell ref="RVD613:RVF613"/>
    <mergeCell ref="RVH613:RVJ613"/>
    <mergeCell ref="RVL613:RVN613"/>
    <mergeCell ref="RVP613:RVR613"/>
    <mergeCell ref="RVT613:RVV613"/>
    <mergeCell ref="RUJ613:RUL613"/>
    <mergeCell ref="RUN613:RUP613"/>
    <mergeCell ref="RUR613:RUT613"/>
    <mergeCell ref="RUV613:RUX613"/>
    <mergeCell ref="RUZ613:RVB613"/>
    <mergeCell ref="RTP613:RTR613"/>
    <mergeCell ref="RTT613:RTV613"/>
    <mergeCell ref="RTX613:RTZ613"/>
    <mergeCell ref="RUB613:RUD613"/>
    <mergeCell ref="RUF613:RUH613"/>
    <mergeCell ref="RSV613:RSX613"/>
    <mergeCell ref="RSZ613:RTB613"/>
    <mergeCell ref="RTD613:RTF613"/>
    <mergeCell ref="RTH613:RTJ613"/>
    <mergeCell ref="RTL613:RTN613"/>
    <mergeCell ref="RSB613:RSD613"/>
    <mergeCell ref="RSF613:RSH613"/>
    <mergeCell ref="RSJ613:RSL613"/>
    <mergeCell ref="RSN613:RSP613"/>
    <mergeCell ref="RSR613:RST613"/>
    <mergeCell ref="RRH613:RRJ613"/>
    <mergeCell ref="RRL613:RRN613"/>
    <mergeCell ref="RRP613:RRR613"/>
    <mergeCell ref="RRT613:RRV613"/>
    <mergeCell ref="RRX613:RRZ613"/>
    <mergeCell ref="SBH613:SBJ613"/>
    <mergeCell ref="SBL613:SBN613"/>
    <mergeCell ref="SBP613:SBR613"/>
    <mergeCell ref="SBT613:SBV613"/>
    <mergeCell ref="SBX613:SBZ613"/>
    <mergeCell ref="SAN613:SAP613"/>
    <mergeCell ref="SAR613:SAT613"/>
    <mergeCell ref="SAV613:SAX613"/>
    <mergeCell ref="SAZ613:SBB613"/>
    <mergeCell ref="SBD613:SBF613"/>
    <mergeCell ref="RZT613:RZV613"/>
    <mergeCell ref="RZX613:RZZ613"/>
    <mergeCell ref="SAB613:SAD613"/>
    <mergeCell ref="SAF613:SAH613"/>
    <mergeCell ref="SAJ613:SAL613"/>
    <mergeCell ref="RYZ613:RZB613"/>
    <mergeCell ref="RZD613:RZF613"/>
    <mergeCell ref="RZH613:RZJ613"/>
    <mergeCell ref="RZL613:RZN613"/>
    <mergeCell ref="RZP613:RZR613"/>
    <mergeCell ref="RYF613:RYH613"/>
    <mergeCell ref="RYJ613:RYL613"/>
    <mergeCell ref="RYN613:RYP613"/>
    <mergeCell ref="RYR613:RYT613"/>
    <mergeCell ref="RYV613:RYX613"/>
    <mergeCell ref="RXL613:RXN613"/>
    <mergeCell ref="RXP613:RXR613"/>
    <mergeCell ref="RXT613:RXV613"/>
    <mergeCell ref="RXX613:RXZ613"/>
    <mergeCell ref="RYB613:RYD613"/>
    <mergeCell ref="RWR613:RWT613"/>
    <mergeCell ref="RWV613:RWX613"/>
    <mergeCell ref="RWZ613:RXB613"/>
    <mergeCell ref="RXD613:RXF613"/>
    <mergeCell ref="RXH613:RXJ613"/>
    <mergeCell ref="SGR613:SGT613"/>
    <mergeCell ref="SGV613:SGX613"/>
    <mergeCell ref="SGZ613:SHB613"/>
    <mergeCell ref="SHD613:SHF613"/>
    <mergeCell ref="SHH613:SHJ613"/>
    <mergeCell ref="SFX613:SFZ613"/>
    <mergeCell ref="SGB613:SGD613"/>
    <mergeCell ref="SGF613:SGH613"/>
    <mergeCell ref="SGJ613:SGL613"/>
    <mergeCell ref="SGN613:SGP613"/>
    <mergeCell ref="SFD613:SFF613"/>
    <mergeCell ref="SFH613:SFJ613"/>
    <mergeCell ref="SFL613:SFN613"/>
    <mergeCell ref="SFP613:SFR613"/>
    <mergeCell ref="SFT613:SFV613"/>
    <mergeCell ref="SEJ613:SEL613"/>
    <mergeCell ref="SEN613:SEP613"/>
    <mergeCell ref="SER613:SET613"/>
    <mergeCell ref="SEV613:SEX613"/>
    <mergeCell ref="SEZ613:SFB613"/>
    <mergeCell ref="SDP613:SDR613"/>
    <mergeCell ref="SDT613:SDV613"/>
    <mergeCell ref="SDX613:SDZ613"/>
    <mergeCell ref="SEB613:SED613"/>
    <mergeCell ref="SEF613:SEH613"/>
    <mergeCell ref="SCV613:SCX613"/>
    <mergeCell ref="SCZ613:SDB613"/>
    <mergeCell ref="SDD613:SDF613"/>
    <mergeCell ref="SDH613:SDJ613"/>
    <mergeCell ref="SDL613:SDN613"/>
    <mergeCell ref="SCB613:SCD613"/>
    <mergeCell ref="SCF613:SCH613"/>
    <mergeCell ref="SCJ613:SCL613"/>
    <mergeCell ref="SCN613:SCP613"/>
    <mergeCell ref="SCR613:SCT613"/>
    <mergeCell ref="SMB613:SMD613"/>
    <mergeCell ref="SMF613:SMH613"/>
    <mergeCell ref="SMJ613:SML613"/>
    <mergeCell ref="SMN613:SMP613"/>
    <mergeCell ref="SMR613:SMT613"/>
    <mergeCell ref="SLH613:SLJ613"/>
    <mergeCell ref="SLL613:SLN613"/>
    <mergeCell ref="SLP613:SLR613"/>
    <mergeCell ref="SLT613:SLV613"/>
    <mergeCell ref="SLX613:SLZ613"/>
    <mergeCell ref="SKN613:SKP613"/>
    <mergeCell ref="SKR613:SKT613"/>
    <mergeCell ref="SKV613:SKX613"/>
    <mergeCell ref="SKZ613:SLB613"/>
    <mergeCell ref="SLD613:SLF613"/>
    <mergeCell ref="SJT613:SJV613"/>
    <mergeCell ref="SJX613:SJZ613"/>
    <mergeCell ref="SKB613:SKD613"/>
    <mergeCell ref="SKF613:SKH613"/>
    <mergeCell ref="SKJ613:SKL613"/>
    <mergeCell ref="SIZ613:SJB613"/>
    <mergeCell ref="SJD613:SJF613"/>
    <mergeCell ref="SJH613:SJJ613"/>
    <mergeCell ref="SJL613:SJN613"/>
    <mergeCell ref="SJP613:SJR613"/>
    <mergeCell ref="SIF613:SIH613"/>
    <mergeCell ref="SIJ613:SIL613"/>
    <mergeCell ref="SIN613:SIP613"/>
    <mergeCell ref="SIR613:SIT613"/>
    <mergeCell ref="SIV613:SIX613"/>
    <mergeCell ref="SHL613:SHN613"/>
    <mergeCell ref="SHP613:SHR613"/>
    <mergeCell ref="SHT613:SHV613"/>
    <mergeCell ref="SHX613:SHZ613"/>
    <mergeCell ref="SIB613:SID613"/>
    <mergeCell ref="SRL613:SRN613"/>
    <mergeCell ref="SRP613:SRR613"/>
    <mergeCell ref="SRT613:SRV613"/>
    <mergeCell ref="SRX613:SRZ613"/>
    <mergeCell ref="SSB613:SSD613"/>
    <mergeCell ref="SQR613:SQT613"/>
    <mergeCell ref="SQV613:SQX613"/>
    <mergeCell ref="SQZ613:SRB613"/>
    <mergeCell ref="SRD613:SRF613"/>
    <mergeCell ref="SRH613:SRJ613"/>
    <mergeCell ref="SPX613:SPZ613"/>
    <mergeCell ref="SQB613:SQD613"/>
    <mergeCell ref="SQF613:SQH613"/>
    <mergeCell ref="SQJ613:SQL613"/>
    <mergeCell ref="SQN613:SQP613"/>
    <mergeCell ref="SPD613:SPF613"/>
    <mergeCell ref="SPH613:SPJ613"/>
    <mergeCell ref="SPL613:SPN613"/>
    <mergeCell ref="SPP613:SPR613"/>
    <mergeCell ref="SPT613:SPV613"/>
    <mergeCell ref="SOJ613:SOL613"/>
    <mergeCell ref="SON613:SOP613"/>
    <mergeCell ref="SOR613:SOT613"/>
    <mergeCell ref="SOV613:SOX613"/>
    <mergeCell ref="SOZ613:SPB613"/>
    <mergeCell ref="SNP613:SNR613"/>
    <mergeCell ref="SNT613:SNV613"/>
    <mergeCell ref="SNX613:SNZ613"/>
    <mergeCell ref="SOB613:SOD613"/>
    <mergeCell ref="SOF613:SOH613"/>
    <mergeCell ref="SMV613:SMX613"/>
    <mergeCell ref="SMZ613:SNB613"/>
    <mergeCell ref="SND613:SNF613"/>
    <mergeCell ref="SNH613:SNJ613"/>
    <mergeCell ref="SNL613:SNN613"/>
    <mergeCell ref="SWV613:SWX613"/>
    <mergeCell ref="SWZ613:SXB613"/>
    <mergeCell ref="SXD613:SXF613"/>
    <mergeCell ref="SXH613:SXJ613"/>
    <mergeCell ref="SXL613:SXN613"/>
    <mergeCell ref="SWB613:SWD613"/>
    <mergeCell ref="SWF613:SWH613"/>
    <mergeCell ref="SWJ613:SWL613"/>
    <mergeCell ref="SWN613:SWP613"/>
    <mergeCell ref="SWR613:SWT613"/>
    <mergeCell ref="SVH613:SVJ613"/>
    <mergeCell ref="SVL613:SVN613"/>
    <mergeCell ref="SVP613:SVR613"/>
    <mergeCell ref="SVT613:SVV613"/>
    <mergeCell ref="SVX613:SVZ613"/>
    <mergeCell ref="SUN613:SUP613"/>
    <mergeCell ref="SUR613:SUT613"/>
    <mergeCell ref="SUV613:SUX613"/>
    <mergeCell ref="SUZ613:SVB613"/>
    <mergeCell ref="SVD613:SVF613"/>
    <mergeCell ref="STT613:STV613"/>
    <mergeCell ref="STX613:STZ613"/>
    <mergeCell ref="SUB613:SUD613"/>
    <mergeCell ref="SUF613:SUH613"/>
    <mergeCell ref="SUJ613:SUL613"/>
    <mergeCell ref="SSZ613:STB613"/>
    <mergeCell ref="STD613:STF613"/>
    <mergeCell ref="STH613:STJ613"/>
    <mergeCell ref="STL613:STN613"/>
    <mergeCell ref="STP613:STR613"/>
    <mergeCell ref="SSF613:SSH613"/>
    <mergeCell ref="SSJ613:SSL613"/>
    <mergeCell ref="SSN613:SSP613"/>
    <mergeCell ref="SSR613:SST613"/>
    <mergeCell ref="SSV613:SSX613"/>
    <mergeCell ref="TCF613:TCH613"/>
    <mergeCell ref="TCJ613:TCL613"/>
    <mergeCell ref="TCN613:TCP613"/>
    <mergeCell ref="TCR613:TCT613"/>
    <mergeCell ref="TCV613:TCX613"/>
    <mergeCell ref="TBL613:TBN613"/>
    <mergeCell ref="TBP613:TBR613"/>
    <mergeCell ref="TBT613:TBV613"/>
    <mergeCell ref="TBX613:TBZ613"/>
    <mergeCell ref="TCB613:TCD613"/>
    <mergeCell ref="TAR613:TAT613"/>
    <mergeCell ref="TAV613:TAX613"/>
    <mergeCell ref="TAZ613:TBB613"/>
    <mergeCell ref="TBD613:TBF613"/>
    <mergeCell ref="TBH613:TBJ613"/>
    <mergeCell ref="SZX613:SZZ613"/>
    <mergeCell ref="TAB613:TAD613"/>
    <mergeCell ref="TAF613:TAH613"/>
    <mergeCell ref="TAJ613:TAL613"/>
    <mergeCell ref="TAN613:TAP613"/>
    <mergeCell ref="SZD613:SZF613"/>
    <mergeCell ref="SZH613:SZJ613"/>
    <mergeCell ref="SZL613:SZN613"/>
    <mergeCell ref="SZP613:SZR613"/>
    <mergeCell ref="SZT613:SZV613"/>
    <mergeCell ref="SYJ613:SYL613"/>
    <mergeCell ref="SYN613:SYP613"/>
    <mergeCell ref="SYR613:SYT613"/>
    <mergeCell ref="SYV613:SYX613"/>
    <mergeCell ref="SYZ613:SZB613"/>
    <mergeCell ref="SXP613:SXR613"/>
    <mergeCell ref="SXT613:SXV613"/>
    <mergeCell ref="SXX613:SXZ613"/>
    <mergeCell ref="SYB613:SYD613"/>
    <mergeCell ref="SYF613:SYH613"/>
    <mergeCell ref="THP613:THR613"/>
    <mergeCell ref="THT613:THV613"/>
    <mergeCell ref="THX613:THZ613"/>
    <mergeCell ref="TIB613:TID613"/>
    <mergeCell ref="TIF613:TIH613"/>
    <mergeCell ref="TGV613:TGX613"/>
    <mergeCell ref="TGZ613:THB613"/>
    <mergeCell ref="THD613:THF613"/>
    <mergeCell ref="THH613:THJ613"/>
    <mergeCell ref="THL613:THN613"/>
    <mergeCell ref="TGB613:TGD613"/>
    <mergeCell ref="TGF613:TGH613"/>
    <mergeCell ref="TGJ613:TGL613"/>
    <mergeCell ref="TGN613:TGP613"/>
    <mergeCell ref="TGR613:TGT613"/>
    <mergeCell ref="TFH613:TFJ613"/>
    <mergeCell ref="TFL613:TFN613"/>
    <mergeCell ref="TFP613:TFR613"/>
    <mergeCell ref="TFT613:TFV613"/>
    <mergeCell ref="TFX613:TFZ613"/>
    <mergeCell ref="TEN613:TEP613"/>
    <mergeCell ref="TER613:TET613"/>
    <mergeCell ref="TEV613:TEX613"/>
    <mergeCell ref="TEZ613:TFB613"/>
    <mergeCell ref="TFD613:TFF613"/>
    <mergeCell ref="TDT613:TDV613"/>
    <mergeCell ref="TDX613:TDZ613"/>
    <mergeCell ref="TEB613:TED613"/>
    <mergeCell ref="TEF613:TEH613"/>
    <mergeCell ref="TEJ613:TEL613"/>
    <mergeCell ref="TCZ613:TDB613"/>
    <mergeCell ref="TDD613:TDF613"/>
    <mergeCell ref="TDH613:TDJ613"/>
    <mergeCell ref="TDL613:TDN613"/>
    <mergeCell ref="TDP613:TDR613"/>
    <mergeCell ref="TMZ613:TNB613"/>
    <mergeCell ref="TND613:TNF613"/>
    <mergeCell ref="TNH613:TNJ613"/>
    <mergeCell ref="TNL613:TNN613"/>
    <mergeCell ref="TNP613:TNR613"/>
    <mergeCell ref="TMF613:TMH613"/>
    <mergeCell ref="TMJ613:TML613"/>
    <mergeCell ref="TMN613:TMP613"/>
    <mergeCell ref="TMR613:TMT613"/>
    <mergeCell ref="TMV613:TMX613"/>
    <mergeCell ref="TLL613:TLN613"/>
    <mergeCell ref="TLP613:TLR613"/>
    <mergeCell ref="TLT613:TLV613"/>
    <mergeCell ref="TLX613:TLZ613"/>
    <mergeCell ref="TMB613:TMD613"/>
    <mergeCell ref="TKR613:TKT613"/>
    <mergeCell ref="TKV613:TKX613"/>
    <mergeCell ref="TKZ613:TLB613"/>
    <mergeCell ref="TLD613:TLF613"/>
    <mergeCell ref="TLH613:TLJ613"/>
    <mergeCell ref="TJX613:TJZ613"/>
    <mergeCell ref="TKB613:TKD613"/>
    <mergeCell ref="TKF613:TKH613"/>
    <mergeCell ref="TKJ613:TKL613"/>
    <mergeCell ref="TKN613:TKP613"/>
    <mergeCell ref="TJD613:TJF613"/>
    <mergeCell ref="TJH613:TJJ613"/>
    <mergeCell ref="TJL613:TJN613"/>
    <mergeCell ref="TJP613:TJR613"/>
    <mergeCell ref="TJT613:TJV613"/>
    <mergeCell ref="TIJ613:TIL613"/>
    <mergeCell ref="TIN613:TIP613"/>
    <mergeCell ref="TIR613:TIT613"/>
    <mergeCell ref="TIV613:TIX613"/>
    <mergeCell ref="TIZ613:TJB613"/>
    <mergeCell ref="TSJ613:TSL613"/>
    <mergeCell ref="TSN613:TSP613"/>
    <mergeCell ref="TSR613:TST613"/>
    <mergeCell ref="TSV613:TSX613"/>
    <mergeCell ref="TSZ613:TTB613"/>
    <mergeCell ref="TRP613:TRR613"/>
    <mergeCell ref="TRT613:TRV613"/>
    <mergeCell ref="TRX613:TRZ613"/>
    <mergeCell ref="TSB613:TSD613"/>
    <mergeCell ref="TSF613:TSH613"/>
    <mergeCell ref="TQV613:TQX613"/>
    <mergeCell ref="TQZ613:TRB613"/>
    <mergeCell ref="TRD613:TRF613"/>
    <mergeCell ref="TRH613:TRJ613"/>
    <mergeCell ref="TRL613:TRN613"/>
    <mergeCell ref="TQB613:TQD613"/>
    <mergeCell ref="TQF613:TQH613"/>
    <mergeCell ref="TQJ613:TQL613"/>
    <mergeCell ref="TQN613:TQP613"/>
    <mergeCell ref="TQR613:TQT613"/>
    <mergeCell ref="TPH613:TPJ613"/>
    <mergeCell ref="TPL613:TPN613"/>
    <mergeCell ref="TPP613:TPR613"/>
    <mergeCell ref="TPT613:TPV613"/>
    <mergeCell ref="TPX613:TPZ613"/>
    <mergeCell ref="TON613:TOP613"/>
    <mergeCell ref="TOR613:TOT613"/>
    <mergeCell ref="TOV613:TOX613"/>
    <mergeCell ref="TOZ613:TPB613"/>
    <mergeCell ref="TPD613:TPF613"/>
    <mergeCell ref="TNT613:TNV613"/>
    <mergeCell ref="TNX613:TNZ613"/>
    <mergeCell ref="TOB613:TOD613"/>
    <mergeCell ref="TOF613:TOH613"/>
    <mergeCell ref="TOJ613:TOL613"/>
    <mergeCell ref="TXT613:TXV613"/>
    <mergeCell ref="TXX613:TXZ613"/>
    <mergeCell ref="TYB613:TYD613"/>
    <mergeCell ref="TYF613:TYH613"/>
    <mergeCell ref="TYJ613:TYL613"/>
    <mergeCell ref="TWZ613:TXB613"/>
    <mergeCell ref="TXD613:TXF613"/>
    <mergeCell ref="TXH613:TXJ613"/>
    <mergeCell ref="TXL613:TXN613"/>
    <mergeCell ref="TXP613:TXR613"/>
    <mergeCell ref="TWF613:TWH613"/>
    <mergeCell ref="TWJ613:TWL613"/>
    <mergeCell ref="TWN613:TWP613"/>
    <mergeCell ref="TWR613:TWT613"/>
    <mergeCell ref="TWV613:TWX613"/>
    <mergeCell ref="TVL613:TVN613"/>
    <mergeCell ref="TVP613:TVR613"/>
    <mergeCell ref="TVT613:TVV613"/>
    <mergeCell ref="TVX613:TVZ613"/>
    <mergeCell ref="TWB613:TWD613"/>
    <mergeCell ref="TUR613:TUT613"/>
    <mergeCell ref="TUV613:TUX613"/>
    <mergeCell ref="TUZ613:TVB613"/>
    <mergeCell ref="TVD613:TVF613"/>
    <mergeCell ref="TVH613:TVJ613"/>
    <mergeCell ref="TTX613:TTZ613"/>
    <mergeCell ref="TUB613:TUD613"/>
    <mergeCell ref="TUF613:TUH613"/>
    <mergeCell ref="TUJ613:TUL613"/>
    <mergeCell ref="TUN613:TUP613"/>
    <mergeCell ref="TTD613:TTF613"/>
    <mergeCell ref="TTH613:TTJ613"/>
    <mergeCell ref="TTL613:TTN613"/>
    <mergeCell ref="TTP613:TTR613"/>
    <mergeCell ref="TTT613:TTV613"/>
    <mergeCell ref="UDD613:UDF613"/>
    <mergeCell ref="UDH613:UDJ613"/>
    <mergeCell ref="UDL613:UDN613"/>
    <mergeCell ref="UDP613:UDR613"/>
    <mergeCell ref="UDT613:UDV613"/>
    <mergeCell ref="UCJ613:UCL613"/>
    <mergeCell ref="UCN613:UCP613"/>
    <mergeCell ref="UCR613:UCT613"/>
    <mergeCell ref="UCV613:UCX613"/>
    <mergeCell ref="UCZ613:UDB613"/>
    <mergeCell ref="UBP613:UBR613"/>
    <mergeCell ref="UBT613:UBV613"/>
    <mergeCell ref="UBX613:UBZ613"/>
    <mergeCell ref="UCB613:UCD613"/>
    <mergeCell ref="UCF613:UCH613"/>
    <mergeCell ref="UAV613:UAX613"/>
    <mergeCell ref="UAZ613:UBB613"/>
    <mergeCell ref="UBD613:UBF613"/>
    <mergeCell ref="UBH613:UBJ613"/>
    <mergeCell ref="UBL613:UBN613"/>
    <mergeCell ref="UAB613:UAD613"/>
    <mergeCell ref="UAF613:UAH613"/>
    <mergeCell ref="UAJ613:UAL613"/>
    <mergeCell ref="UAN613:UAP613"/>
    <mergeCell ref="UAR613:UAT613"/>
    <mergeCell ref="TZH613:TZJ613"/>
    <mergeCell ref="TZL613:TZN613"/>
    <mergeCell ref="TZP613:TZR613"/>
    <mergeCell ref="TZT613:TZV613"/>
    <mergeCell ref="TZX613:TZZ613"/>
    <mergeCell ref="TYN613:TYP613"/>
    <mergeCell ref="TYR613:TYT613"/>
    <mergeCell ref="TYV613:TYX613"/>
    <mergeCell ref="TYZ613:TZB613"/>
    <mergeCell ref="TZD613:TZF613"/>
    <mergeCell ref="UIN613:UIP613"/>
    <mergeCell ref="UIR613:UIT613"/>
    <mergeCell ref="UIV613:UIX613"/>
    <mergeCell ref="UIZ613:UJB613"/>
    <mergeCell ref="UJD613:UJF613"/>
    <mergeCell ref="UHT613:UHV613"/>
    <mergeCell ref="UHX613:UHZ613"/>
    <mergeCell ref="UIB613:UID613"/>
    <mergeCell ref="UIF613:UIH613"/>
    <mergeCell ref="UIJ613:UIL613"/>
    <mergeCell ref="UGZ613:UHB613"/>
    <mergeCell ref="UHD613:UHF613"/>
    <mergeCell ref="UHH613:UHJ613"/>
    <mergeCell ref="UHL613:UHN613"/>
    <mergeCell ref="UHP613:UHR613"/>
    <mergeCell ref="UGF613:UGH613"/>
    <mergeCell ref="UGJ613:UGL613"/>
    <mergeCell ref="UGN613:UGP613"/>
    <mergeCell ref="UGR613:UGT613"/>
    <mergeCell ref="UGV613:UGX613"/>
    <mergeCell ref="UFL613:UFN613"/>
    <mergeCell ref="UFP613:UFR613"/>
    <mergeCell ref="UFT613:UFV613"/>
    <mergeCell ref="UFX613:UFZ613"/>
    <mergeCell ref="UGB613:UGD613"/>
    <mergeCell ref="UER613:UET613"/>
    <mergeCell ref="UEV613:UEX613"/>
    <mergeCell ref="UEZ613:UFB613"/>
    <mergeCell ref="UFD613:UFF613"/>
    <mergeCell ref="UFH613:UFJ613"/>
    <mergeCell ref="UDX613:UDZ613"/>
    <mergeCell ref="UEB613:UED613"/>
    <mergeCell ref="UEF613:UEH613"/>
    <mergeCell ref="UEJ613:UEL613"/>
    <mergeCell ref="UEN613:UEP613"/>
    <mergeCell ref="UNX613:UNZ613"/>
    <mergeCell ref="UOB613:UOD613"/>
    <mergeCell ref="UOF613:UOH613"/>
    <mergeCell ref="UOJ613:UOL613"/>
    <mergeCell ref="UON613:UOP613"/>
    <mergeCell ref="UND613:UNF613"/>
    <mergeCell ref="UNH613:UNJ613"/>
    <mergeCell ref="UNL613:UNN613"/>
    <mergeCell ref="UNP613:UNR613"/>
    <mergeCell ref="UNT613:UNV613"/>
    <mergeCell ref="UMJ613:UML613"/>
    <mergeCell ref="UMN613:UMP613"/>
    <mergeCell ref="UMR613:UMT613"/>
    <mergeCell ref="UMV613:UMX613"/>
    <mergeCell ref="UMZ613:UNB613"/>
    <mergeCell ref="ULP613:ULR613"/>
    <mergeCell ref="ULT613:ULV613"/>
    <mergeCell ref="ULX613:ULZ613"/>
    <mergeCell ref="UMB613:UMD613"/>
    <mergeCell ref="UMF613:UMH613"/>
    <mergeCell ref="UKV613:UKX613"/>
    <mergeCell ref="UKZ613:ULB613"/>
    <mergeCell ref="ULD613:ULF613"/>
    <mergeCell ref="ULH613:ULJ613"/>
    <mergeCell ref="ULL613:ULN613"/>
    <mergeCell ref="UKB613:UKD613"/>
    <mergeCell ref="UKF613:UKH613"/>
    <mergeCell ref="UKJ613:UKL613"/>
    <mergeCell ref="UKN613:UKP613"/>
    <mergeCell ref="UKR613:UKT613"/>
    <mergeCell ref="UJH613:UJJ613"/>
    <mergeCell ref="UJL613:UJN613"/>
    <mergeCell ref="UJP613:UJR613"/>
    <mergeCell ref="UJT613:UJV613"/>
    <mergeCell ref="UJX613:UJZ613"/>
    <mergeCell ref="UTH613:UTJ613"/>
    <mergeCell ref="UTL613:UTN613"/>
    <mergeCell ref="UTP613:UTR613"/>
    <mergeCell ref="UTT613:UTV613"/>
    <mergeCell ref="UTX613:UTZ613"/>
    <mergeCell ref="USN613:USP613"/>
    <mergeCell ref="USR613:UST613"/>
    <mergeCell ref="USV613:USX613"/>
    <mergeCell ref="USZ613:UTB613"/>
    <mergeCell ref="UTD613:UTF613"/>
    <mergeCell ref="URT613:URV613"/>
    <mergeCell ref="URX613:URZ613"/>
    <mergeCell ref="USB613:USD613"/>
    <mergeCell ref="USF613:USH613"/>
    <mergeCell ref="USJ613:USL613"/>
    <mergeCell ref="UQZ613:URB613"/>
    <mergeCell ref="URD613:URF613"/>
    <mergeCell ref="URH613:URJ613"/>
    <mergeCell ref="URL613:URN613"/>
    <mergeCell ref="URP613:URR613"/>
    <mergeCell ref="UQF613:UQH613"/>
    <mergeCell ref="UQJ613:UQL613"/>
    <mergeCell ref="UQN613:UQP613"/>
    <mergeCell ref="UQR613:UQT613"/>
    <mergeCell ref="UQV613:UQX613"/>
    <mergeCell ref="UPL613:UPN613"/>
    <mergeCell ref="UPP613:UPR613"/>
    <mergeCell ref="UPT613:UPV613"/>
    <mergeCell ref="UPX613:UPZ613"/>
    <mergeCell ref="UQB613:UQD613"/>
    <mergeCell ref="UOR613:UOT613"/>
    <mergeCell ref="UOV613:UOX613"/>
    <mergeCell ref="UOZ613:UPB613"/>
    <mergeCell ref="UPD613:UPF613"/>
    <mergeCell ref="UPH613:UPJ613"/>
    <mergeCell ref="UYR613:UYT613"/>
    <mergeCell ref="UYV613:UYX613"/>
    <mergeCell ref="UYZ613:UZB613"/>
    <mergeCell ref="UZD613:UZF613"/>
    <mergeCell ref="UZH613:UZJ613"/>
    <mergeCell ref="UXX613:UXZ613"/>
    <mergeCell ref="UYB613:UYD613"/>
    <mergeCell ref="UYF613:UYH613"/>
    <mergeCell ref="UYJ613:UYL613"/>
    <mergeCell ref="UYN613:UYP613"/>
    <mergeCell ref="UXD613:UXF613"/>
    <mergeCell ref="UXH613:UXJ613"/>
    <mergeCell ref="UXL613:UXN613"/>
    <mergeCell ref="UXP613:UXR613"/>
    <mergeCell ref="UXT613:UXV613"/>
    <mergeCell ref="UWJ613:UWL613"/>
    <mergeCell ref="UWN613:UWP613"/>
    <mergeCell ref="UWR613:UWT613"/>
    <mergeCell ref="UWV613:UWX613"/>
    <mergeCell ref="UWZ613:UXB613"/>
    <mergeCell ref="UVP613:UVR613"/>
    <mergeCell ref="UVT613:UVV613"/>
    <mergeCell ref="UVX613:UVZ613"/>
    <mergeCell ref="UWB613:UWD613"/>
    <mergeCell ref="UWF613:UWH613"/>
    <mergeCell ref="UUV613:UUX613"/>
    <mergeCell ref="UUZ613:UVB613"/>
    <mergeCell ref="UVD613:UVF613"/>
    <mergeCell ref="UVH613:UVJ613"/>
    <mergeCell ref="UVL613:UVN613"/>
    <mergeCell ref="UUB613:UUD613"/>
    <mergeCell ref="UUF613:UUH613"/>
    <mergeCell ref="UUJ613:UUL613"/>
    <mergeCell ref="UUN613:UUP613"/>
    <mergeCell ref="UUR613:UUT613"/>
    <mergeCell ref="VEB613:VED613"/>
    <mergeCell ref="VEF613:VEH613"/>
    <mergeCell ref="VEJ613:VEL613"/>
    <mergeCell ref="VEN613:VEP613"/>
    <mergeCell ref="VER613:VET613"/>
    <mergeCell ref="VDH613:VDJ613"/>
    <mergeCell ref="VDL613:VDN613"/>
    <mergeCell ref="VDP613:VDR613"/>
    <mergeCell ref="VDT613:VDV613"/>
    <mergeCell ref="VDX613:VDZ613"/>
    <mergeCell ref="VCN613:VCP613"/>
    <mergeCell ref="VCR613:VCT613"/>
    <mergeCell ref="VCV613:VCX613"/>
    <mergeCell ref="VCZ613:VDB613"/>
    <mergeCell ref="VDD613:VDF613"/>
    <mergeCell ref="VBT613:VBV613"/>
    <mergeCell ref="VBX613:VBZ613"/>
    <mergeCell ref="VCB613:VCD613"/>
    <mergeCell ref="VCF613:VCH613"/>
    <mergeCell ref="VCJ613:VCL613"/>
    <mergeCell ref="VAZ613:VBB613"/>
    <mergeCell ref="VBD613:VBF613"/>
    <mergeCell ref="VBH613:VBJ613"/>
    <mergeCell ref="VBL613:VBN613"/>
    <mergeCell ref="VBP613:VBR613"/>
    <mergeCell ref="VAF613:VAH613"/>
    <mergeCell ref="VAJ613:VAL613"/>
    <mergeCell ref="VAN613:VAP613"/>
    <mergeCell ref="VAR613:VAT613"/>
    <mergeCell ref="VAV613:VAX613"/>
    <mergeCell ref="UZL613:UZN613"/>
    <mergeCell ref="UZP613:UZR613"/>
    <mergeCell ref="UZT613:UZV613"/>
    <mergeCell ref="UZX613:UZZ613"/>
    <mergeCell ref="VAB613:VAD613"/>
    <mergeCell ref="VJL613:VJN613"/>
    <mergeCell ref="VJP613:VJR613"/>
    <mergeCell ref="VJT613:VJV613"/>
    <mergeCell ref="VJX613:VJZ613"/>
    <mergeCell ref="VKB613:VKD613"/>
    <mergeCell ref="VIR613:VIT613"/>
    <mergeCell ref="VIV613:VIX613"/>
    <mergeCell ref="VIZ613:VJB613"/>
    <mergeCell ref="VJD613:VJF613"/>
    <mergeCell ref="VJH613:VJJ613"/>
    <mergeCell ref="VHX613:VHZ613"/>
    <mergeCell ref="VIB613:VID613"/>
    <mergeCell ref="VIF613:VIH613"/>
    <mergeCell ref="VIJ613:VIL613"/>
    <mergeCell ref="VIN613:VIP613"/>
    <mergeCell ref="VHD613:VHF613"/>
    <mergeCell ref="VHH613:VHJ613"/>
    <mergeCell ref="VHL613:VHN613"/>
    <mergeCell ref="VHP613:VHR613"/>
    <mergeCell ref="VHT613:VHV613"/>
    <mergeCell ref="VGJ613:VGL613"/>
    <mergeCell ref="VGN613:VGP613"/>
    <mergeCell ref="VGR613:VGT613"/>
    <mergeCell ref="VGV613:VGX613"/>
    <mergeCell ref="VGZ613:VHB613"/>
    <mergeCell ref="VFP613:VFR613"/>
    <mergeCell ref="VFT613:VFV613"/>
    <mergeCell ref="VFX613:VFZ613"/>
    <mergeCell ref="VGB613:VGD613"/>
    <mergeCell ref="VGF613:VGH613"/>
    <mergeCell ref="VEV613:VEX613"/>
    <mergeCell ref="VEZ613:VFB613"/>
    <mergeCell ref="VFD613:VFF613"/>
    <mergeCell ref="VFH613:VFJ613"/>
    <mergeCell ref="VFL613:VFN613"/>
    <mergeCell ref="VOV613:VOX613"/>
    <mergeCell ref="VOZ613:VPB613"/>
    <mergeCell ref="VPD613:VPF613"/>
    <mergeCell ref="VPH613:VPJ613"/>
    <mergeCell ref="VPL613:VPN613"/>
    <mergeCell ref="VOB613:VOD613"/>
    <mergeCell ref="VOF613:VOH613"/>
    <mergeCell ref="VOJ613:VOL613"/>
    <mergeCell ref="VON613:VOP613"/>
    <mergeCell ref="VOR613:VOT613"/>
    <mergeCell ref="VNH613:VNJ613"/>
    <mergeCell ref="VNL613:VNN613"/>
    <mergeCell ref="VNP613:VNR613"/>
    <mergeCell ref="VNT613:VNV613"/>
    <mergeCell ref="VNX613:VNZ613"/>
    <mergeCell ref="VMN613:VMP613"/>
    <mergeCell ref="VMR613:VMT613"/>
    <mergeCell ref="VMV613:VMX613"/>
    <mergeCell ref="VMZ613:VNB613"/>
    <mergeCell ref="VND613:VNF613"/>
    <mergeCell ref="VLT613:VLV613"/>
    <mergeCell ref="VLX613:VLZ613"/>
    <mergeCell ref="VMB613:VMD613"/>
    <mergeCell ref="VMF613:VMH613"/>
    <mergeCell ref="VMJ613:VML613"/>
    <mergeCell ref="VKZ613:VLB613"/>
    <mergeCell ref="VLD613:VLF613"/>
    <mergeCell ref="VLH613:VLJ613"/>
    <mergeCell ref="VLL613:VLN613"/>
    <mergeCell ref="VLP613:VLR613"/>
    <mergeCell ref="VKF613:VKH613"/>
    <mergeCell ref="VKJ613:VKL613"/>
    <mergeCell ref="VKN613:VKP613"/>
    <mergeCell ref="VKR613:VKT613"/>
    <mergeCell ref="VKV613:VKX613"/>
    <mergeCell ref="VUF613:VUH613"/>
    <mergeCell ref="VUJ613:VUL613"/>
    <mergeCell ref="VUN613:VUP613"/>
    <mergeCell ref="VUR613:VUT613"/>
    <mergeCell ref="VUV613:VUX613"/>
    <mergeCell ref="VTL613:VTN613"/>
    <mergeCell ref="VTP613:VTR613"/>
    <mergeCell ref="VTT613:VTV613"/>
    <mergeCell ref="VTX613:VTZ613"/>
    <mergeCell ref="VUB613:VUD613"/>
    <mergeCell ref="VSR613:VST613"/>
    <mergeCell ref="VSV613:VSX613"/>
    <mergeCell ref="VSZ613:VTB613"/>
    <mergeCell ref="VTD613:VTF613"/>
    <mergeCell ref="VTH613:VTJ613"/>
    <mergeCell ref="VRX613:VRZ613"/>
    <mergeCell ref="VSB613:VSD613"/>
    <mergeCell ref="VSF613:VSH613"/>
    <mergeCell ref="VSJ613:VSL613"/>
    <mergeCell ref="VSN613:VSP613"/>
    <mergeCell ref="VRD613:VRF613"/>
    <mergeCell ref="VRH613:VRJ613"/>
    <mergeCell ref="VRL613:VRN613"/>
    <mergeCell ref="VRP613:VRR613"/>
    <mergeCell ref="VRT613:VRV613"/>
    <mergeCell ref="VQJ613:VQL613"/>
    <mergeCell ref="VQN613:VQP613"/>
    <mergeCell ref="VQR613:VQT613"/>
    <mergeCell ref="VQV613:VQX613"/>
    <mergeCell ref="VQZ613:VRB613"/>
    <mergeCell ref="VPP613:VPR613"/>
    <mergeCell ref="VPT613:VPV613"/>
    <mergeCell ref="VPX613:VPZ613"/>
    <mergeCell ref="VQB613:VQD613"/>
    <mergeCell ref="VQF613:VQH613"/>
    <mergeCell ref="VZP613:VZR613"/>
    <mergeCell ref="VZT613:VZV613"/>
    <mergeCell ref="VZX613:VZZ613"/>
    <mergeCell ref="WAB613:WAD613"/>
    <mergeCell ref="WAF613:WAH613"/>
    <mergeCell ref="VYV613:VYX613"/>
    <mergeCell ref="VYZ613:VZB613"/>
    <mergeCell ref="VZD613:VZF613"/>
    <mergeCell ref="VZH613:VZJ613"/>
    <mergeCell ref="VZL613:VZN613"/>
    <mergeCell ref="VYB613:VYD613"/>
    <mergeCell ref="VYF613:VYH613"/>
    <mergeCell ref="VYJ613:VYL613"/>
    <mergeCell ref="VYN613:VYP613"/>
    <mergeCell ref="VYR613:VYT613"/>
    <mergeCell ref="VXH613:VXJ613"/>
    <mergeCell ref="VXL613:VXN613"/>
    <mergeCell ref="VXP613:VXR613"/>
    <mergeCell ref="VXT613:VXV613"/>
    <mergeCell ref="VXX613:VXZ613"/>
    <mergeCell ref="VWN613:VWP613"/>
    <mergeCell ref="VWR613:VWT613"/>
    <mergeCell ref="VWV613:VWX613"/>
    <mergeCell ref="VWZ613:VXB613"/>
    <mergeCell ref="VXD613:VXF613"/>
    <mergeCell ref="VVT613:VVV613"/>
    <mergeCell ref="VVX613:VVZ613"/>
    <mergeCell ref="VWB613:VWD613"/>
    <mergeCell ref="VWF613:VWH613"/>
    <mergeCell ref="VWJ613:VWL613"/>
    <mergeCell ref="VUZ613:VVB613"/>
    <mergeCell ref="VVD613:VVF613"/>
    <mergeCell ref="VVH613:VVJ613"/>
    <mergeCell ref="VVL613:VVN613"/>
    <mergeCell ref="VVP613:VVR613"/>
    <mergeCell ref="WEZ613:WFB613"/>
    <mergeCell ref="WFD613:WFF613"/>
    <mergeCell ref="WFH613:WFJ613"/>
    <mergeCell ref="WFL613:WFN613"/>
    <mergeCell ref="WFP613:WFR613"/>
    <mergeCell ref="WEF613:WEH613"/>
    <mergeCell ref="WEJ613:WEL613"/>
    <mergeCell ref="WEN613:WEP613"/>
    <mergeCell ref="WER613:WET613"/>
    <mergeCell ref="WEV613:WEX613"/>
    <mergeCell ref="WDL613:WDN613"/>
    <mergeCell ref="WDP613:WDR613"/>
    <mergeCell ref="WDT613:WDV613"/>
    <mergeCell ref="WDX613:WDZ613"/>
    <mergeCell ref="WEB613:WED613"/>
    <mergeCell ref="WCR613:WCT613"/>
    <mergeCell ref="WCV613:WCX613"/>
    <mergeCell ref="WCZ613:WDB613"/>
    <mergeCell ref="WDD613:WDF613"/>
    <mergeCell ref="WDH613:WDJ613"/>
    <mergeCell ref="WBX613:WBZ613"/>
    <mergeCell ref="WCB613:WCD613"/>
    <mergeCell ref="WCF613:WCH613"/>
    <mergeCell ref="WCJ613:WCL613"/>
    <mergeCell ref="WCN613:WCP613"/>
    <mergeCell ref="WBD613:WBF613"/>
    <mergeCell ref="WBH613:WBJ613"/>
    <mergeCell ref="WBL613:WBN613"/>
    <mergeCell ref="WBP613:WBR613"/>
    <mergeCell ref="WBT613:WBV613"/>
    <mergeCell ref="WAJ613:WAL613"/>
    <mergeCell ref="WAN613:WAP613"/>
    <mergeCell ref="WAR613:WAT613"/>
    <mergeCell ref="WAV613:WAX613"/>
    <mergeCell ref="WAZ613:WBB613"/>
    <mergeCell ref="WKJ613:WKL613"/>
    <mergeCell ref="WKN613:WKP613"/>
    <mergeCell ref="WKR613:WKT613"/>
    <mergeCell ref="WKV613:WKX613"/>
    <mergeCell ref="WKZ613:WLB613"/>
    <mergeCell ref="WJP613:WJR613"/>
    <mergeCell ref="WJT613:WJV613"/>
    <mergeCell ref="WJX613:WJZ613"/>
    <mergeCell ref="WKB613:WKD613"/>
    <mergeCell ref="WKF613:WKH613"/>
    <mergeCell ref="WIV613:WIX613"/>
    <mergeCell ref="WIZ613:WJB613"/>
    <mergeCell ref="WJD613:WJF613"/>
    <mergeCell ref="WJH613:WJJ613"/>
    <mergeCell ref="WJL613:WJN613"/>
    <mergeCell ref="WIB613:WID613"/>
    <mergeCell ref="WIF613:WIH613"/>
    <mergeCell ref="WIJ613:WIL613"/>
    <mergeCell ref="WIN613:WIP613"/>
    <mergeCell ref="WIR613:WIT613"/>
    <mergeCell ref="WHH613:WHJ613"/>
    <mergeCell ref="WHL613:WHN613"/>
    <mergeCell ref="WHP613:WHR613"/>
    <mergeCell ref="WHT613:WHV613"/>
    <mergeCell ref="WHX613:WHZ613"/>
    <mergeCell ref="WGN613:WGP613"/>
    <mergeCell ref="WGR613:WGT613"/>
    <mergeCell ref="WGV613:WGX613"/>
    <mergeCell ref="WGZ613:WHB613"/>
    <mergeCell ref="WHD613:WHF613"/>
    <mergeCell ref="WFT613:WFV613"/>
    <mergeCell ref="WFX613:WFZ613"/>
    <mergeCell ref="WGB613:WGD613"/>
    <mergeCell ref="WGF613:WGH613"/>
    <mergeCell ref="WGJ613:WGL613"/>
    <mergeCell ref="WPT613:WPV613"/>
    <mergeCell ref="WPX613:WPZ613"/>
    <mergeCell ref="WQB613:WQD613"/>
    <mergeCell ref="WQF613:WQH613"/>
    <mergeCell ref="WQJ613:WQL613"/>
    <mergeCell ref="WOZ613:WPB613"/>
    <mergeCell ref="WPD613:WPF613"/>
    <mergeCell ref="WPH613:WPJ613"/>
    <mergeCell ref="WPL613:WPN613"/>
    <mergeCell ref="WPP613:WPR613"/>
    <mergeCell ref="WOF613:WOH613"/>
    <mergeCell ref="WOJ613:WOL613"/>
    <mergeCell ref="WON613:WOP613"/>
    <mergeCell ref="WOR613:WOT613"/>
    <mergeCell ref="WOV613:WOX613"/>
    <mergeCell ref="WNL613:WNN613"/>
    <mergeCell ref="WNP613:WNR613"/>
    <mergeCell ref="WNT613:WNV613"/>
    <mergeCell ref="WNX613:WNZ613"/>
    <mergeCell ref="WOB613:WOD613"/>
    <mergeCell ref="WMR613:WMT613"/>
    <mergeCell ref="WMV613:WMX613"/>
    <mergeCell ref="WMZ613:WNB613"/>
    <mergeCell ref="WND613:WNF613"/>
    <mergeCell ref="WNH613:WNJ613"/>
    <mergeCell ref="WLX613:WLZ613"/>
    <mergeCell ref="WMB613:WMD613"/>
    <mergeCell ref="WMF613:WMH613"/>
    <mergeCell ref="WMJ613:WML613"/>
    <mergeCell ref="WMN613:WMP613"/>
    <mergeCell ref="WLD613:WLF613"/>
    <mergeCell ref="WLH613:WLJ613"/>
    <mergeCell ref="WLL613:WLN613"/>
    <mergeCell ref="WLP613:WLR613"/>
    <mergeCell ref="WLT613:WLV613"/>
    <mergeCell ref="WVH613:WVJ613"/>
    <mergeCell ref="WVL613:WVN613"/>
    <mergeCell ref="WVP613:WVR613"/>
    <mergeCell ref="WVT613:WVV613"/>
    <mergeCell ref="WUJ613:WUL613"/>
    <mergeCell ref="WUN613:WUP613"/>
    <mergeCell ref="WUR613:WUT613"/>
    <mergeCell ref="WUV613:WUX613"/>
    <mergeCell ref="WUZ613:WVB613"/>
    <mergeCell ref="WTP613:WTR613"/>
    <mergeCell ref="WTT613:WTV613"/>
    <mergeCell ref="WTX613:WTZ613"/>
    <mergeCell ref="WUB613:WUD613"/>
    <mergeCell ref="WUF613:WUH613"/>
    <mergeCell ref="WSV613:WSX613"/>
    <mergeCell ref="WSZ613:WTB613"/>
    <mergeCell ref="WTD613:WTF613"/>
    <mergeCell ref="WTH613:WTJ613"/>
    <mergeCell ref="WTL613:WTN613"/>
    <mergeCell ref="WSB613:WSD613"/>
    <mergeCell ref="WSF613:WSH613"/>
    <mergeCell ref="WSJ613:WSL613"/>
    <mergeCell ref="WSN613:WSP613"/>
    <mergeCell ref="WSR613:WST613"/>
    <mergeCell ref="WRH613:WRJ613"/>
    <mergeCell ref="WRL613:WRN613"/>
    <mergeCell ref="WRP613:WRR613"/>
    <mergeCell ref="WRT613:WRV613"/>
    <mergeCell ref="WRX613:WRZ613"/>
    <mergeCell ref="WQN613:WQP613"/>
    <mergeCell ref="WQR613:WQT613"/>
    <mergeCell ref="WQV613:WQX613"/>
    <mergeCell ref="WQZ613:WRB613"/>
    <mergeCell ref="WRD613:WRF613"/>
    <mergeCell ref="FH614:FJ614"/>
    <mergeCell ref="FL614:FN614"/>
    <mergeCell ref="FP614:FR614"/>
    <mergeCell ref="FT614:FV614"/>
    <mergeCell ref="FX614:FZ614"/>
    <mergeCell ref="XEJ613:XEL613"/>
    <mergeCell ref="XEN613:XEP613"/>
    <mergeCell ref="XER613:XET613"/>
    <mergeCell ref="XDP613:XDR613"/>
    <mergeCell ref="XDT613:XDV613"/>
    <mergeCell ref="XDX613:XDZ613"/>
    <mergeCell ref="XEB613:XED613"/>
    <mergeCell ref="XEF613:XEH613"/>
    <mergeCell ref="XCV613:XCX613"/>
    <mergeCell ref="XCZ613:XDB613"/>
    <mergeCell ref="XDD613:XDF613"/>
    <mergeCell ref="XDH613:XDJ613"/>
    <mergeCell ref="XDL613:XDN613"/>
    <mergeCell ref="XCB613:XCD613"/>
    <mergeCell ref="XCF613:XCH613"/>
    <mergeCell ref="XCJ613:XCL613"/>
    <mergeCell ref="XCN613:XCP613"/>
    <mergeCell ref="XCR613:XCT613"/>
    <mergeCell ref="XBH613:XBJ613"/>
    <mergeCell ref="XBL613:XBN613"/>
    <mergeCell ref="XBP613:XBR613"/>
    <mergeCell ref="XBT613:XBV613"/>
    <mergeCell ref="XBX613:XBZ613"/>
    <mergeCell ref="XAN613:XAP613"/>
    <mergeCell ref="XAR613:XAT613"/>
    <mergeCell ref="XAV613:XAX613"/>
    <mergeCell ref="XAZ613:XBB613"/>
    <mergeCell ref="XBD613:XBF613"/>
    <mergeCell ref="WZT613:WZV613"/>
    <mergeCell ref="WZX613:WZZ613"/>
    <mergeCell ref="XAB613:XAD613"/>
    <mergeCell ref="XAF613:XAH613"/>
    <mergeCell ref="XAJ613:XAL613"/>
    <mergeCell ref="WYZ613:WZB613"/>
    <mergeCell ref="WZD613:WZF613"/>
    <mergeCell ref="WZH613:WZJ613"/>
    <mergeCell ref="WZL613:WZN613"/>
    <mergeCell ref="WZP613:WZR613"/>
    <mergeCell ref="WYF613:WYH613"/>
    <mergeCell ref="WYJ613:WYL613"/>
    <mergeCell ref="WYN613:WYP613"/>
    <mergeCell ref="WYR613:WYT613"/>
    <mergeCell ref="WYV613:WYX613"/>
    <mergeCell ref="WXL613:WXN613"/>
    <mergeCell ref="WXP613:WXR613"/>
    <mergeCell ref="WXT613:WXV613"/>
    <mergeCell ref="WXX613:WXZ613"/>
    <mergeCell ref="WYB613:WYD613"/>
    <mergeCell ref="WWR613:WWT613"/>
    <mergeCell ref="WWV613:WWX613"/>
    <mergeCell ref="WWZ613:WXB613"/>
    <mergeCell ref="WXD613:WXF613"/>
    <mergeCell ref="WXH613:WXJ613"/>
    <mergeCell ref="WVX613:WVZ613"/>
    <mergeCell ref="WWB613:WWD613"/>
    <mergeCell ref="WWF613:WWH613"/>
    <mergeCell ref="WWJ613:WWL613"/>
    <mergeCell ref="WWN613:WWP613"/>
    <mergeCell ref="WVD613:WVF613"/>
    <mergeCell ref="KR614:KT614"/>
    <mergeCell ref="KV614:KX614"/>
    <mergeCell ref="KZ614:LB614"/>
    <mergeCell ref="LD614:LF614"/>
    <mergeCell ref="LH614:LJ614"/>
    <mergeCell ref="JX614:JZ614"/>
    <mergeCell ref="KB614:KD614"/>
    <mergeCell ref="KF614:KH614"/>
    <mergeCell ref="KJ614:KL614"/>
    <mergeCell ref="KN614:KP614"/>
    <mergeCell ref="JD614:JF614"/>
    <mergeCell ref="JH614:JJ614"/>
    <mergeCell ref="JL614:JN614"/>
    <mergeCell ref="JP614:JR614"/>
    <mergeCell ref="JT614:JV614"/>
    <mergeCell ref="IJ614:IL614"/>
    <mergeCell ref="IN614:IP614"/>
    <mergeCell ref="IR614:IT614"/>
    <mergeCell ref="IV614:IX614"/>
    <mergeCell ref="IZ614:JB614"/>
    <mergeCell ref="HP614:HR614"/>
    <mergeCell ref="HT614:HV614"/>
    <mergeCell ref="HX614:HZ614"/>
    <mergeCell ref="IB614:ID614"/>
    <mergeCell ref="IF614:IH614"/>
    <mergeCell ref="GV614:GX614"/>
    <mergeCell ref="GZ614:HB614"/>
    <mergeCell ref="HD614:HF614"/>
    <mergeCell ref="HH614:HJ614"/>
    <mergeCell ref="HL614:HN614"/>
    <mergeCell ref="GB614:GD614"/>
    <mergeCell ref="GF614:GH614"/>
    <mergeCell ref="GJ614:GL614"/>
    <mergeCell ref="GN614:GP614"/>
    <mergeCell ref="GR614:GT614"/>
    <mergeCell ref="QB614:QD614"/>
    <mergeCell ref="QF614:QH614"/>
    <mergeCell ref="QJ614:QL614"/>
    <mergeCell ref="QN614:QP614"/>
    <mergeCell ref="QR614:QT614"/>
    <mergeCell ref="PH614:PJ614"/>
    <mergeCell ref="PL614:PN614"/>
    <mergeCell ref="PP614:PR614"/>
    <mergeCell ref="PT614:PV614"/>
    <mergeCell ref="PX614:PZ614"/>
    <mergeCell ref="ON614:OP614"/>
    <mergeCell ref="OR614:OT614"/>
    <mergeCell ref="OV614:OX614"/>
    <mergeCell ref="OZ614:PB614"/>
    <mergeCell ref="PD614:PF614"/>
    <mergeCell ref="NT614:NV614"/>
    <mergeCell ref="NX614:NZ614"/>
    <mergeCell ref="OB614:OD614"/>
    <mergeCell ref="OF614:OH614"/>
    <mergeCell ref="OJ614:OL614"/>
    <mergeCell ref="MZ614:NB614"/>
    <mergeCell ref="ND614:NF614"/>
    <mergeCell ref="NH614:NJ614"/>
    <mergeCell ref="NL614:NN614"/>
    <mergeCell ref="NP614:NR614"/>
    <mergeCell ref="MF614:MH614"/>
    <mergeCell ref="MJ614:ML614"/>
    <mergeCell ref="MN614:MP614"/>
    <mergeCell ref="MR614:MT614"/>
    <mergeCell ref="MV614:MX614"/>
    <mergeCell ref="LL614:LN614"/>
    <mergeCell ref="LP614:LR614"/>
    <mergeCell ref="LT614:LV614"/>
    <mergeCell ref="LX614:LZ614"/>
    <mergeCell ref="MB614:MD614"/>
    <mergeCell ref="VL614:VN614"/>
    <mergeCell ref="VP614:VR614"/>
    <mergeCell ref="VT614:VV614"/>
    <mergeCell ref="VX614:VZ614"/>
    <mergeCell ref="WB614:WD614"/>
    <mergeCell ref="UR614:UT614"/>
    <mergeCell ref="UV614:UX614"/>
    <mergeCell ref="UZ614:VB614"/>
    <mergeCell ref="VD614:VF614"/>
    <mergeCell ref="VH614:VJ614"/>
    <mergeCell ref="TX614:TZ614"/>
    <mergeCell ref="UB614:UD614"/>
    <mergeCell ref="UF614:UH614"/>
    <mergeCell ref="UJ614:UL614"/>
    <mergeCell ref="UN614:UP614"/>
    <mergeCell ref="TD614:TF614"/>
    <mergeCell ref="TH614:TJ614"/>
    <mergeCell ref="TL614:TN614"/>
    <mergeCell ref="TP614:TR614"/>
    <mergeCell ref="TT614:TV614"/>
    <mergeCell ref="SJ614:SL614"/>
    <mergeCell ref="SN614:SP614"/>
    <mergeCell ref="SR614:ST614"/>
    <mergeCell ref="SV614:SX614"/>
    <mergeCell ref="SZ614:TB614"/>
    <mergeCell ref="RP614:RR614"/>
    <mergeCell ref="RT614:RV614"/>
    <mergeCell ref="RX614:RZ614"/>
    <mergeCell ref="SB614:SD614"/>
    <mergeCell ref="SF614:SH614"/>
    <mergeCell ref="QV614:QX614"/>
    <mergeCell ref="QZ614:RB614"/>
    <mergeCell ref="RD614:RF614"/>
    <mergeCell ref="RH614:RJ614"/>
    <mergeCell ref="RL614:RN614"/>
    <mergeCell ref="AAV614:AAX614"/>
    <mergeCell ref="AAZ614:ABB614"/>
    <mergeCell ref="ABD614:ABF614"/>
    <mergeCell ref="ABH614:ABJ614"/>
    <mergeCell ref="ABL614:ABN614"/>
    <mergeCell ref="AAB614:AAD614"/>
    <mergeCell ref="AAF614:AAH614"/>
    <mergeCell ref="AAJ614:AAL614"/>
    <mergeCell ref="AAN614:AAP614"/>
    <mergeCell ref="AAR614:AAT614"/>
    <mergeCell ref="ZH614:ZJ614"/>
    <mergeCell ref="ZL614:ZN614"/>
    <mergeCell ref="ZP614:ZR614"/>
    <mergeCell ref="ZT614:ZV614"/>
    <mergeCell ref="ZX614:ZZ614"/>
    <mergeCell ref="YN614:YP614"/>
    <mergeCell ref="YR614:YT614"/>
    <mergeCell ref="YV614:YX614"/>
    <mergeCell ref="YZ614:ZB614"/>
    <mergeCell ref="ZD614:ZF614"/>
    <mergeCell ref="XT614:XV614"/>
    <mergeCell ref="XX614:XZ614"/>
    <mergeCell ref="YB614:YD614"/>
    <mergeCell ref="YF614:YH614"/>
    <mergeCell ref="YJ614:YL614"/>
    <mergeCell ref="WZ614:XB614"/>
    <mergeCell ref="XD614:XF614"/>
    <mergeCell ref="XH614:XJ614"/>
    <mergeCell ref="XL614:XN614"/>
    <mergeCell ref="XP614:XR614"/>
    <mergeCell ref="WF614:WH614"/>
    <mergeCell ref="WJ614:WL614"/>
    <mergeCell ref="WN614:WP614"/>
    <mergeCell ref="WR614:WT614"/>
    <mergeCell ref="WV614:WX614"/>
    <mergeCell ref="AGF614:AGH614"/>
    <mergeCell ref="AGJ614:AGL614"/>
    <mergeCell ref="AGN614:AGP614"/>
    <mergeCell ref="AGR614:AGT614"/>
    <mergeCell ref="AGV614:AGX614"/>
    <mergeCell ref="AFL614:AFN614"/>
    <mergeCell ref="AFP614:AFR614"/>
    <mergeCell ref="AFT614:AFV614"/>
    <mergeCell ref="AFX614:AFZ614"/>
    <mergeCell ref="AGB614:AGD614"/>
    <mergeCell ref="AER614:AET614"/>
    <mergeCell ref="AEV614:AEX614"/>
    <mergeCell ref="AEZ614:AFB614"/>
    <mergeCell ref="AFD614:AFF614"/>
    <mergeCell ref="AFH614:AFJ614"/>
    <mergeCell ref="ADX614:ADZ614"/>
    <mergeCell ref="AEB614:AED614"/>
    <mergeCell ref="AEF614:AEH614"/>
    <mergeCell ref="AEJ614:AEL614"/>
    <mergeCell ref="AEN614:AEP614"/>
    <mergeCell ref="ADD614:ADF614"/>
    <mergeCell ref="ADH614:ADJ614"/>
    <mergeCell ref="ADL614:ADN614"/>
    <mergeCell ref="ADP614:ADR614"/>
    <mergeCell ref="ADT614:ADV614"/>
    <mergeCell ref="ACJ614:ACL614"/>
    <mergeCell ref="ACN614:ACP614"/>
    <mergeCell ref="ACR614:ACT614"/>
    <mergeCell ref="ACV614:ACX614"/>
    <mergeCell ref="ACZ614:ADB614"/>
    <mergeCell ref="ABP614:ABR614"/>
    <mergeCell ref="ABT614:ABV614"/>
    <mergeCell ref="ABX614:ABZ614"/>
    <mergeCell ref="ACB614:ACD614"/>
    <mergeCell ref="ACF614:ACH614"/>
    <mergeCell ref="ALP614:ALR614"/>
    <mergeCell ref="ALT614:ALV614"/>
    <mergeCell ref="ALX614:ALZ614"/>
    <mergeCell ref="AMB614:AMD614"/>
    <mergeCell ref="AMF614:AMH614"/>
    <mergeCell ref="AKV614:AKX614"/>
    <mergeCell ref="AKZ614:ALB614"/>
    <mergeCell ref="ALD614:ALF614"/>
    <mergeCell ref="ALH614:ALJ614"/>
    <mergeCell ref="ALL614:ALN614"/>
    <mergeCell ref="AKB614:AKD614"/>
    <mergeCell ref="AKF614:AKH614"/>
    <mergeCell ref="AKJ614:AKL614"/>
    <mergeCell ref="AKN614:AKP614"/>
    <mergeCell ref="AKR614:AKT614"/>
    <mergeCell ref="AJH614:AJJ614"/>
    <mergeCell ref="AJL614:AJN614"/>
    <mergeCell ref="AJP614:AJR614"/>
    <mergeCell ref="AJT614:AJV614"/>
    <mergeCell ref="AJX614:AJZ614"/>
    <mergeCell ref="AIN614:AIP614"/>
    <mergeCell ref="AIR614:AIT614"/>
    <mergeCell ref="AIV614:AIX614"/>
    <mergeCell ref="AIZ614:AJB614"/>
    <mergeCell ref="AJD614:AJF614"/>
    <mergeCell ref="AHT614:AHV614"/>
    <mergeCell ref="AHX614:AHZ614"/>
    <mergeCell ref="AIB614:AID614"/>
    <mergeCell ref="AIF614:AIH614"/>
    <mergeCell ref="AIJ614:AIL614"/>
    <mergeCell ref="AGZ614:AHB614"/>
    <mergeCell ref="AHD614:AHF614"/>
    <mergeCell ref="AHH614:AHJ614"/>
    <mergeCell ref="AHL614:AHN614"/>
    <mergeCell ref="AHP614:AHR614"/>
    <mergeCell ref="AQZ614:ARB614"/>
    <mergeCell ref="ARD614:ARF614"/>
    <mergeCell ref="ARH614:ARJ614"/>
    <mergeCell ref="ARL614:ARN614"/>
    <mergeCell ref="ARP614:ARR614"/>
    <mergeCell ref="AQF614:AQH614"/>
    <mergeCell ref="AQJ614:AQL614"/>
    <mergeCell ref="AQN614:AQP614"/>
    <mergeCell ref="AQR614:AQT614"/>
    <mergeCell ref="AQV614:AQX614"/>
    <mergeCell ref="APL614:APN614"/>
    <mergeCell ref="APP614:APR614"/>
    <mergeCell ref="APT614:APV614"/>
    <mergeCell ref="APX614:APZ614"/>
    <mergeCell ref="AQB614:AQD614"/>
    <mergeCell ref="AOR614:AOT614"/>
    <mergeCell ref="AOV614:AOX614"/>
    <mergeCell ref="AOZ614:APB614"/>
    <mergeCell ref="APD614:APF614"/>
    <mergeCell ref="APH614:APJ614"/>
    <mergeCell ref="ANX614:ANZ614"/>
    <mergeCell ref="AOB614:AOD614"/>
    <mergeCell ref="AOF614:AOH614"/>
    <mergeCell ref="AOJ614:AOL614"/>
    <mergeCell ref="AON614:AOP614"/>
    <mergeCell ref="AND614:ANF614"/>
    <mergeCell ref="ANH614:ANJ614"/>
    <mergeCell ref="ANL614:ANN614"/>
    <mergeCell ref="ANP614:ANR614"/>
    <mergeCell ref="ANT614:ANV614"/>
    <mergeCell ref="AMJ614:AML614"/>
    <mergeCell ref="AMN614:AMP614"/>
    <mergeCell ref="AMR614:AMT614"/>
    <mergeCell ref="AMV614:AMX614"/>
    <mergeCell ref="AMZ614:ANB614"/>
    <mergeCell ref="AWJ614:AWL614"/>
    <mergeCell ref="AWN614:AWP614"/>
    <mergeCell ref="AWR614:AWT614"/>
    <mergeCell ref="AWV614:AWX614"/>
    <mergeCell ref="AWZ614:AXB614"/>
    <mergeCell ref="AVP614:AVR614"/>
    <mergeCell ref="AVT614:AVV614"/>
    <mergeCell ref="AVX614:AVZ614"/>
    <mergeCell ref="AWB614:AWD614"/>
    <mergeCell ref="AWF614:AWH614"/>
    <mergeCell ref="AUV614:AUX614"/>
    <mergeCell ref="AUZ614:AVB614"/>
    <mergeCell ref="AVD614:AVF614"/>
    <mergeCell ref="AVH614:AVJ614"/>
    <mergeCell ref="AVL614:AVN614"/>
    <mergeCell ref="AUB614:AUD614"/>
    <mergeCell ref="AUF614:AUH614"/>
    <mergeCell ref="AUJ614:AUL614"/>
    <mergeCell ref="AUN614:AUP614"/>
    <mergeCell ref="AUR614:AUT614"/>
    <mergeCell ref="ATH614:ATJ614"/>
    <mergeCell ref="ATL614:ATN614"/>
    <mergeCell ref="ATP614:ATR614"/>
    <mergeCell ref="ATT614:ATV614"/>
    <mergeCell ref="ATX614:ATZ614"/>
    <mergeCell ref="ASN614:ASP614"/>
    <mergeCell ref="ASR614:AST614"/>
    <mergeCell ref="ASV614:ASX614"/>
    <mergeCell ref="ASZ614:ATB614"/>
    <mergeCell ref="ATD614:ATF614"/>
    <mergeCell ref="ART614:ARV614"/>
    <mergeCell ref="ARX614:ARZ614"/>
    <mergeCell ref="ASB614:ASD614"/>
    <mergeCell ref="ASF614:ASH614"/>
    <mergeCell ref="ASJ614:ASL614"/>
    <mergeCell ref="BBT614:BBV614"/>
    <mergeCell ref="BBX614:BBZ614"/>
    <mergeCell ref="BCB614:BCD614"/>
    <mergeCell ref="BCF614:BCH614"/>
    <mergeCell ref="BCJ614:BCL614"/>
    <mergeCell ref="BAZ614:BBB614"/>
    <mergeCell ref="BBD614:BBF614"/>
    <mergeCell ref="BBH614:BBJ614"/>
    <mergeCell ref="BBL614:BBN614"/>
    <mergeCell ref="BBP614:BBR614"/>
    <mergeCell ref="BAF614:BAH614"/>
    <mergeCell ref="BAJ614:BAL614"/>
    <mergeCell ref="BAN614:BAP614"/>
    <mergeCell ref="BAR614:BAT614"/>
    <mergeCell ref="BAV614:BAX614"/>
    <mergeCell ref="AZL614:AZN614"/>
    <mergeCell ref="AZP614:AZR614"/>
    <mergeCell ref="AZT614:AZV614"/>
    <mergeCell ref="AZX614:AZZ614"/>
    <mergeCell ref="BAB614:BAD614"/>
    <mergeCell ref="AYR614:AYT614"/>
    <mergeCell ref="AYV614:AYX614"/>
    <mergeCell ref="AYZ614:AZB614"/>
    <mergeCell ref="AZD614:AZF614"/>
    <mergeCell ref="AZH614:AZJ614"/>
    <mergeCell ref="AXX614:AXZ614"/>
    <mergeCell ref="AYB614:AYD614"/>
    <mergeCell ref="AYF614:AYH614"/>
    <mergeCell ref="AYJ614:AYL614"/>
    <mergeCell ref="AYN614:AYP614"/>
    <mergeCell ref="AXD614:AXF614"/>
    <mergeCell ref="AXH614:AXJ614"/>
    <mergeCell ref="AXL614:AXN614"/>
    <mergeCell ref="AXP614:AXR614"/>
    <mergeCell ref="AXT614:AXV614"/>
    <mergeCell ref="BHD614:BHF614"/>
    <mergeCell ref="BHH614:BHJ614"/>
    <mergeCell ref="BHL614:BHN614"/>
    <mergeCell ref="BHP614:BHR614"/>
    <mergeCell ref="BHT614:BHV614"/>
    <mergeCell ref="BGJ614:BGL614"/>
    <mergeCell ref="BGN614:BGP614"/>
    <mergeCell ref="BGR614:BGT614"/>
    <mergeCell ref="BGV614:BGX614"/>
    <mergeCell ref="BGZ614:BHB614"/>
    <mergeCell ref="BFP614:BFR614"/>
    <mergeCell ref="BFT614:BFV614"/>
    <mergeCell ref="BFX614:BFZ614"/>
    <mergeCell ref="BGB614:BGD614"/>
    <mergeCell ref="BGF614:BGH614"/>
    <mergeCell ref="BEV614:BEX614"/>
    <mergeCell ref="BEZ614:BFB614"/>
    <mergeCell ref="BFD614:BFF614"/>
    <mergeCell ref="BFH614:BFJ614"/>
    <mergeCell ref="BFL614:BFN614"/>
    <mergeCell ref="BEB614:BED614"/>
    <mergeCell ref="BEF614:BEH614"/>
    <mergeCell ref="BEJ614:BEL614"/>
    <mergeCell ref="BEN614:BEP614"/>
    <mergeCell ref="BER614:BET614"/>
    <mergeCell ref="BDH614:BDJ614"/>
    <mergeCell ref="BDL614:BDN614"/>
    <mergeCell ref="BDP614:BDR614"/>
    <mergeCell ref="BDT614:BDV614"/>
    <mergeCell ref="BDX614:BDZ614"/>
    <mergeCell ref="BCN614:BCP614"/>
    <mergeCell ref="BCR614:BCT614"/>
    <mergeCell ref="BCV614:BCX614"/>
    <mergeCell ref="BCZ614:BDB614"/>
    <mergeCell ref="BDD614:BDF614"/>
    <mergeCell ref="BMN614:BMP614"/>
    <mergeCell ref="BMR614:BMT614"/>
    <mergeCell ref="BMV614:BMX614"/>
    <mergeCell ref="BMZ614:BNB614"/>
    <mergeCell ref="BND614:BNF614"/>
    <mergeCell ref="BLT614:BLV614"/>
    <mergeCell ref="BLX614:BLZ614"/>
    <mergeCell ref="BMB614:BMD614"/>
    <mergeCell ref="BMF614:BMH614"/>
    <mergeCell ref="BMJ614:BML614"/>
    <mergeCell ref="BKZ614:BLB614"/>
    <mergeCell ref="BLD614:BLF614"/>
    <mergeCell ref="BLH614:BLJ614"/>
    <mergeCell ref="BLL614:BLN614"/>
    <mergeCell ref="BLP614:BLR614"/>
    <mergeCell ref="BKF614:BKH614"/>
    <mergeCell ref="BKJ614:BKL614"/>
    <mergeCell ref="BKN614:BKP614"/>
    <mergeCell ref="BKR614:BKT614"/>
    <mergeCell ref="BKV614:BKX614"/>
    <mergeCell ref="BJL614:BJN614"/>
    <mergeCell ref="BJP614:BJR614"/>
    <mergeCell ref="BJT614:BJV614"/>
    <mergeCell ref="BJX614:BJZ614"/>
    <mergeCell ref="BKB614:BKD614"/>
    <mergeCell ref="BIR614:BIT614"/>
    <mergeCell ref="BIV614:BIX614"/>
    <mergeCell ref="BIZ614:BJB614"/>
    <mergeCell ref="BJD614:BJF614"/>
    <mergeCell ref="BJH614:BJJ614"/>
    <mergeCell ref="BHX614:BHZ614"/>
    <mergeCell ref="BIB614:BID614"/>
    <mergeCell ref="BIF614:BIH614"/>
    <mergeCell ref="BIJ614:BIL614"/>
    <mergeCell ref="BIN614:BIP614"/>
    <mergeCell ref="BRX614:BRZ614"/>
    <mergeCell ref="BSB614:BSD614"/>
    <mergeCell ref="BSF614:BSH614"/>
    <mergeCell ref="BSJ614:BSL614"/>
    <mergeCell ref="BSN614:BSP614"/>
    <mergeCell ref="BRD614:BRF614"/>
    <mergeCell ref="BRH614:BRJ614"/>
    <mergeCell ref="BRL614:BRN614"/>
    <mergeCell ref="BRP614:BRR614"/>
    <mergeCell ref="BRT614:BRV614"/>
    <mergeCell ref="BQJ614:BQL614"/>
    <mergeCell ref="BQN614:BQP614"/>
    <mergeCell ref="BQR614:BQT614"/>
    <mergeCell ref="BQV614:BQX614"/>
    <mergeCell ref="BQZ614:BRB614"/>
    <mergeCell ref="BPP614:BPR614"/>
    <mergeCell ref="BPT614:BPV614"/>
    <mergeCell ref="BPX614:BPZ614"/>
    <mergeCell ref="BQB614:BQD614"/>
    <mergeCell ref="BQF614:BQH614"/>
    <mergeCell ref="BOV614:BOX614"/>
    <mergeCell ref="BOZ614:BPB614"/>
    <mergeCell ref="BPD614:BPF614"/>
    <mergeCell ref="BPH614:BPJ614"/>
    <mergeCell ref="BPL614:BPN614"/>
    <mergeCell ref="BOB614:BOD614"/>
    <mergeCell ref="BOF614:BOH614"/>
    <mergeCell ref="BOJ614:BOL614"/>
    <mergeCell ref="BON614:BOP614"/>
    <mergeCell ref="BOR614:BOT614"/>
    <mergeCell ref="BNH614:BNJ614"/>
    <mergeCell ref="BNL614:BNN614"/>
    <mergeCell ref="BNP614:BNR614"/>
    <mergeCell ref="BNT614:BNV614"/>
    <mergeCell ref="BNX614:BNZ614"/>
    <mergeCell ref="BXH614:BXJ614"/>
    <mergeCell ref="BXL614:BXN614"/>
    <mergeCell ref="BXP614:BXR614"/>
    <mergeCell ref="BXT614:BXV614"/>
    <mergeCell ref="BXX614:BXZ614"/>
    <mergeCell ref="BWN614:BWP614"/>
    <mergeCell ref="BWR614:BWT614"/>
    <mergeCell ref="BWV614:BWX614"/>
    <mergeCell ref="BWZ614:BXB614"/>
    <mergeCell ref="BXD614:BXF614"/>
    <mergeCell ref="BVT614:BVV614"/>
    <mergeCell ref="BVX614:BVZ614"/>
    <mergeCell ref="BWB614:BWD614"/>
    <mergeCell ref="BWF614:BWH614"/>
    <mergeCell ref="BWJ614:BWL614"/>
    <mergeCell ref="BUZ614:BVB614"/>
    <mergeCell ref="BVD614:BVF614"/>
    <mergeCell ref="BVH614:BVJ614"/>
    <mergeCell ref="BVL614:BVN614"/>
    <mergeCell ref="BVP614:BVR614"/>
    <mergeCell ref="BUF614:BUH614"/>
    <mergeCell ref="BUJ614:BUL614"/>
    <mergeCell ref="BUN614:BUP614"/>
    <mergeCell ref="BUR614:BUT614"/>
    <mergeCell ref="BUV614:BUX614"/>
    <mergeCell ref="BTL614:BTN614"/>
    <mergeCell ref="BTP614:BTR614"/>
    <mergeCell ref="BTT614:BTV614"/>
    <mergeCell ref="BTX614:BTZ614"/>
    <mergeCell ref="BUB614:BUD614"/>
    <mergeCell ref="BSR614:BST614"/>
    <mergeCell ref="BSV614:BSX614"/>
    <mergeCell ref="BSZ614:BTB614"/>
    <mergeCell ref="BTD614:BTF614"/>
    <mergeCell ref="BTH614:BTJ614"/>
    <mergeCell ref="CCR614:CCT614"/>
    <mergeCell ref="CCV614:CCX614"/>
    <mergeCell ref="CCZ614:CDB614"/>
    <mergeCell ref="CDD614:CDF614"/>
    <mergeCell ref="CDH614:CDJ614"/>
    <mergeCell ref="CBX614:CBZ614"/>
    <mergeCell ref="CCB614:CCD614"/>
    <mergeCell ref="CCF614:CCH614"/>
    <mergeCell ref="CCJ614:CCL614"/>
    <mergeCell ref="CCN614:CCP614"/>
    <mergeCell ref="CBD614:CBF614"/>
    <mergeCell ref="CBH614:CBJ614"/>
    <mergeCell ref="CBL614:CBN614"/>
    <mergeCell ref="CBP614:CBR614"/>
    <mergeCell ref="CBT614:CBV614"/>
    <mergeCell ref="CAJ614:CAL614"/>
    <mergeCell ref="CAN614:CAP614"/>
    <mergeCell ref="CAR614:CAT614"/>
    <mergeCell ref="CAV614:CAX614"/>
    <mergeCell ref="CAZ614:CBB614"/>
    <mergeCell ref="BZP614:BZR614"/>
    <mergeCell ref="BZT614:BZV614"/>
    <mergeCell ref="BZX614:BZZ614"/>
    <mergeCell ref="CAB614:CAD614"/>
    <mergeCell ref="CAF614:CAH614"/>
    <mergeCell ref="BYV614:BYX614"/>
    <mergeCell ref="BYZ614:BZB614"/>
    <mergeCell ref="BZD614:BZF614"/>
    <mergeCell ref="BZH614:BZJ614"/>
    <mergeCell ref="BZL614:BZN614"/>
    <mergeCell ref="BYB614:BYD614"/>
    <mergeCell ref="BYF614:BYH614"/>
    <mergeCell ref="BYJ614:BYL614"/>
    <mergeCell ref="BYN614:BYP614"/>
    <mergeCell ref="BYR614:BYT614"/>
    <mergeCell ref="CIB614:CID614"/>
    <mergeCell ref="CIF614:CIH614"/>
    <mergeCell ref="CIJ614:CIL614"/>
    <mergeCell ref="CIN614:CIP614"/>
    <mergeCell ref="CIR614:CIT614"/>
    <mergeCell ref="CHH614:CHJ614"/>
    <mergeCell ref="CHL614:CHN614"/>
    <mergeCell ref="CHP614:CHR614"/>
    <mergeCell ref="CHT614:CHV614"/>
    <mergeCell ref="CHX614:CHZ614"/>
    <mergeCell ref="CGN614:CGP614"/>
    <mergeCell ref="CGR614:CGT614"/>
    <mergeCell ref="CGV614:CGX614"/>
    <mergeCell ref="CGZ614:CHB614"/>
    <mergeCell ref="CHD614:CHF614"/>
    <mergeCell ref="CFT614:CFV614"/>
    <mergeCell ref="CFX614:CFZ614"/>
    <mergeCell ref="CGB614:CGD614"/>
    <mergeCell ref="CGF614:CGH614"/>
    <mergeCell ref="CGJ614:CGL614"/>
    <mergeCell ref="CEZ614:CFB614"/>
    <mergeCell ref="CFD614:CFF614"/>
    <mergeCell ref="CFH614:CFJ614"/>
    <mergeCell ref="CFL614:CFN614"/>
    <mergeCell ref="CFP614:CFR614"/>
    <mergeCell ref="CEF614:CEH614"/>
    <mergeCell ref="CEJ614:CEL614"/>
    <mergeCell ref="CEN614:CEP614"/>
    <mergeCell ref="CER614:CET614"/>
    <mergeCell ref="CEV614:CEX614"/>
    <mergeCell ref="CDL614:CDN614"/>
    <mergeCell ref="CDP614:CDR614"/>
    <mergeCell ref="CDT614:CDV614"/>
    <mergeCell ref="CDX614:CDZ614"/>
    <mergeCell ref="CEB614:CED614"/>
    <mergeCell ref="CNL614:CNN614"/>
    <mergeCell ref="CNP614:CNR614"/>
    <mergeCell ref="CNT614:CNV614"/>
    <mergeCell ref="CNX614:CNZ614"/>
    <mergeCell ref="COB614:COD614"/>
    <mergeCell ref="CMR614:CMT614"/>
    <mergeCell ref="CMV614:CMX614"/>
    <mergeCell ref="CMZ614:CNB614"/>
    <mergeCell ref="CND614:CNF614"/>
    <mergeCell ref="CNH614:CNJ614"/>
    <mergeCell ref="CLX614:CLZ614"/>
    <mergeCell ref="CMB614:CMD614"/>
    <mergeCell ref="CMF614:CMH614"/>
    <mergeCell ref="CMJ614:CML614"/>
    <mergeCell ref="CMN614:CMP614"/>
    <mergeCell ref="CLD614:CLF614"/>
    <mergeCell ref="CLH614:CLJ614"/>
    <mergeCell ref="CLL614:CLN614"/>
    <mergeCell ref="CLP614:CLR614"/>
    <mergeCell ref="CLT614:CLV614"/>
    <mergeCell ref="CKJ614:CKL614"/>
    <mergeCell ref="CKN614:CKP614"/>
    <mergeCell ref="CKR614:CKT614"/>
    <mergeCell ref="CKV614:CKX614"/>
    <mergeCell ref="CKZ614:CLB614"/>
    <mergeCell ref="CJP614:CJR614"/>
    <mergeCell ref="CJT614:CJV614"/>
    <mergeCell ref="CJX614:CJZ614"/>
    <mergeCell ref="CKB614:CKD614"/>
    <mergeCell ref="CKF614:CKH614"/>
    <mergeCell ref="CIV614:CIX614"/>
    <mergeCell ref="CIZ614:CJB614"/>
    <mergeCell ref="CJD614:CJF614"/>
    <mergeCell ref="CJH614:CJJ614"/>
    <mergeCell ref="CJL614:CJN614"/>
    <mergeCell ref="CSV614:CSX614"/>
    <mergeCell ref="CSZ614:CTB614"/>
    <mergeCell ref="CTD614:CTF614"/>
    <mergeCell ref="CTH614:CTJ614"/>
    <mergeCell ref="CTL614:CTN614"/>
    <mergeCell ref="CSB614:CSD614"/>
    <mergeCell ref="CSF614:CSH614"/>
    <mergeCell ref="CSJ614:CSL614"/>
    <mergeCell ref="CSN614:CSP614"/>
    <mergeCell ref="CSR614:CST614"/>
    <mergeCell ref="CRH614:CRJ614"/>
    <mergeCell ref="CRL614:CRN614"/>
    <mergeCell ref="CRP614:CRR614"/>
    <mergeCell ref="CRT614:CRV614"/>
    <mergeCell ref="CRX614:CRZ614"/>
    <mergeCell ref="CQN614:CQP614"/>
    <mergeCell ref="CQR614:CQT614"/>
    <mergeCell ref="CQV614:CQX614"/>
    <mergeCell ref="CQZ614:CRB614"/>
    <mergeCell ref="CRD614:CRF614"/>
    <mergeCell ref="CPT614:CPV614"/>
    <mergeCell ref="CPX614:CPZ614"/>
    <mergeCell ref="CQB614:CQD614"/>
    <mergeCell ref="CQF614:CQH614"/>
    <mergeCell ref="CQJ614:CQL614"/>
    <mergeCell ref="COZ614:CPB614"/>
    <mergeCell ref="CPD614:CPF614"/>
    <mergeCell ref="CPH614:CPJ614"/>
    <mergeCell ref="CPL614:CPN614"/>
    <mergeCell ref="CPP614:CPR614"/>
    <mergeCell ref="COF614:COH614"/>
    <mergeCell ref="COJ614:COL614"/>
    <mergeCell ref="CON614:COP614"/>
    <mergeCell ref="COR614:COT614"/>
    <mergeCell ref="COV614:COX614"/>
    <mergeCell ref="CYF614:CYH614"/>
    <mergeCell ref="CYJ614:CYL614"/>
    <mergeCell ref="CYN614:CYP614"/>
    <mergeCell ref="CYR614:CYT614"/>
    <mergeCell ref="CYV614:CYX614"/>
    <mergeCell ref="CXL614:CXN614"/>
    <mergeCell ref="CXP614:CXR614"/>
    <mergeCell ref="CXT614:CXV614"/>
    <mergeCell ref="CXX614:CXZ614"/>
    <mergeCell ref="CYB614:CYD614"/>
    <mergeCell ref="CWR614:CWT614"/>
    <mergeCell ref="CWV614:CWX614"/>
    <mergeCell ref="CWZ614:CXB614"/>
    <mergeCell ref="CXD614:CXF614"/>
    <mergeCell ref="CXH614:CXJ614"/>
    <mergeCell ref="CVX614:CVZ614"/>
    <mergeCell ref="CWB614:CWD614"/>
    <mergeCell ref="CWF614:CWH614"/>
    <mergeCell ref="CWJ614:CWL614"/>
    <mergeCell ref="CWN614:CWP614"/>
    <mergeCell ref="CVD614:CVF614"/>
    <mergeCell ref="CVH614:CVJ614"/>
    <mergeCell ref="CVL614:CVN614"/>
    <mergeCell ref="CVP614:CVR614"/>
    <mergeCell ref="CVT614:CVV614"/>
    <mergeCell ref="CUJ614:CUL614"/>
    <mergeCell ref="CUN614:CUP614"/>
    <mergeCell ref="CUR614:CUT614"/>
    <mergeCell ref="CUV614:CUX614"/>
    <mergeCell ref="CUZ614:CVB614"/>
    <mergeCell ref="CTP614:CTR614"/>
    <mergeCell ref="CTT614:CTV614"/>
    <mergeCell ref="CTX614:CTZ614"/>
    <mergeCell ref="CUB614:CUD614"/>
    <mergeCell ref="CUF614:CUH614"/>
    <mergeCell ref="DDP614:DDR614"/>
    <mergeCell ref="DDT614:DDV614"/>
    <mergeCell ref="DDX614:DDZ614"/>
    <mergeCell ref="DEB614:DED614"/>
    <mergeCell ref="DEF614:DEH614"/>
    <mergeCell ref="DCV614:DCX614"/>
    <mergeCell ref="DCZ614:DDB614"/>
    <mergeCell ref="DDD614:DDF614"/>
    <mergeCell ref="DDH614:DDJ614"/>
    <mergeCell ref="DDL614:DDN614"/>
    <mergeCell ref="DCB614:DCD614"/>
    <mergeCell ref="DCF614:DCH614"/>
    <mergeCell ref="DCJ614:DCL614"/>
    <mergeCell ref="DCN614:DCP614"/>
    <mergeCell ref="DCR614:DCT614"/>
    <mergeCell ref="DBH614:DBJ614"/>
    <mergeCell ref="DBL614:DBN614"/>
    <mergeCell ref="DBP614:DBR614"/>
    <mergeCell ref="DBT614:DBV614"/>
    <mergeCell ref="DBX614:DBZ614"/>
    <mergeCell ref="DAN614:DAP614"/>
    <mergeCell ref="DAR614:DAT614"/>
    <mergeCell ref="DAV614:DAX614"/>
    <mergeCell ref="DAZ614:DBB614"/>
    <mergeCell ref="DBD614:DBF614"/>
    <mergeCell ref="CZT614:CZV614"/>
    <mergeCell ref="CZX614:CZZ614"/>
    <mergeCell ref="DAB614:DAD614"/>
    <mergeCell ref="DAF614:DAH614"/>
    <mergeCell ref="DAJ614:DAL614"/>
    <mergeCell ref="CYZ614:CZB614"/>
    <mergeCell ref="CZD614:CZF614"/>
    <mergeCell ref="CZH614:CZJ614"/>
    <mergeCell ref="CZL614:CZN614"/>
    <mergeCell ref="CZP614:CZR614"/>
    <mergeCell ref="DIZ614:DJB614"/>
    <mergeCell ref="DJD614:DJF614"/>
    <mergeCell ref="DJH614:DJJ614"/>
    <mergeCell ref="DJL614:DJN614"/>
    <mergeCell ref="DJP614:DJR614"/>
    <mergeCell ref="DIF614:DIH614"/>
    <mergeCell ref="DIJ614:DIL614"/>
    <mergeCell ref="DIN614:DIP614"/>
    <mergeCell ref="DIR614:DIT614"/>
    <mergeCell ref="DIV614:DIX614"/>
    <mergeCell ref="DHL614:DHN614"/>
    <mergeCell ref="DHP614:DHR614"/>
    <mergeCell ref="DHT614:DHV614"/>
    <mergeCell ref="DHX614:DHZ614"/>
    <mergeCell ref="DIB614:DID614"/>
    <mergeCell ref="DGR614:DGT614"/>
    <mergeCell ref="DGV614:DGX614"/>
    <mergeCell ref="DGZ614:DHB614"/>
    <mergeCell ref="DHD614:DHF614"/>
    <mergeCell ref="DHH614:DHJ614"/>
    <mergeCell ref="DFX614:DFZ614"/>
    <mergeCell ref="DGB614:DGD614"/>
    <mergeCell ref="DGF614:DGH614"/>
    <mergeCell ref="DGJ614:DGL614"/>
    <mergeCell ref="DGN614:DGP614"/>
    <mergeCell ref="DFD614:DFF614"/>
    <mergeCell ref="DFH614:DFJ614"/>
    <mergeCell ref="DFL614:DFN614"/>
    <mergeCell ref="DFP614:DFR614"/>
    <mergeCell ref="DFT614:DFV614"/>
    <mergeCell ref="DEJ614:DEL614"/>
    <mergeCell ref="DEN614:DEP614"/>
    <mergeCell ref="DER614:DET614"/>
    <mergeCell ref="DEV614:DEX614"/>
    <mergeCell ref="DEZ614:DFB614"/>
    <mergeCell ref="DOJ614:DOL614"/>
    <mergeCell ref="DON614:DOP614"/>
    <mergeCell ref="DOR614:DOT614"/>
    <mergeCell ref="DOV614:DOX614"/>
    <mergeCell ref="DOZ614:DPB614"/>
    <mergeCell ref="DNP614:DNR614"/>
    <mergeCell ref="DNT614:DNV614"/>
    <mergeCell ref="DNX614:DNZ614"/>
    <mergeCell ref="DOB614:DOD614"/>
    <mergeCell ref="DOF614:DOH614"/>
    <mergeCell ref="DMV614:DMX614"/>
    <mergeCell ref="DMZ614:DNB614"/>
    <mergeCell ref="DND614:DNF614"/>
    <mergeCell ref="DNH614:DNJ614"/>
    <mergeCell ref="DNL614:DNN614"/>
    <mergeCell ref="DMB614:DMD614"/>
    <mergeCell ref="DMF614:DMH614"/>
    <mergeCell ref="DMJ614:DML614"/>
    <mergeCell ref="DMN614:DMP614"/>
    <mergeCell ref="DMR614:DMT614"/>
    <mergeCell ref="DLH614:DLJ614"/>
    <mergeCell ref="DLL614:DLN614"/>
    <mergeCell ref="DLP614:DLR614"/>
    <mergeCell ref="DLT614:DLV614"/>
    <mergeCell ref="DLX614:DLZ614"/>
    <mergeCell ref="DKN614:DKP614"/>
    <mergeCell ref="DKR614:DKT614"/>
    <mergeCell ref="DKV614:DKX614"/>
    <mergeCell ref="DKZ614:DLB614"/>
    <mergeCell ref="DLD614:DLF614"/>
    <mergeCell ref="DJT614:DJV614"/>
    <mergeCell ref="DJX614:DJZ614"/>
    <mergeCell ref="DKB614:DKD614"/>
    <mergeCell ref="DKF614:DKH614"/>
    <mergeCell ref="DKJ614:DKL614"/>
    <mergeCell ref="DTT614:DTV614"/>
    <mergeCell ref="DTX614:DTZ614"/>
    <mergeCell ref="DUB614:DUD614"/>
    <mergeCell ref="DUF614:DUH614"/>
    <mergeCell ref="DUJ614:DUL614"/>
    <mergeCell ref="DSZ614:DTB614"/>
    <mergeCell ref="DTD614:DTF614"/>
    <mergeCell ref="DTH614:DTJ614"/>
    <mergeCell ref="DTL614:DTN614"/>
    <mergeCell ref="DTP614:DTR614"/>
    <mergeCell ref="DSF614:DSH614"/>
    <mergeCell ref="DSJ614:DSL614"/>
    <mergeCell ref="DSN614:DSP614"/>
    <mergeCell ref="DSR614:DST614"/>
    <mergeCell ref="DSV614:DSX614"/>
    <mergeCell ref="DRL614:DRN614"/>
    <mergeCell ref="DRP614:DRR614"/>
    <mergeCell ref="DRT614:DRV614"/>
    <mergeCell ref="DRX614:DRZ614"/>
    <mergeCell ref="DSB614:DSD614"/>
    <mergeCell ref="DQR614:DQT614"/>
    <mergeCell ref="DQV614:DQX614"/>
    <mergeCell ref="DQZ614:DRB614"/>
    <mergeCell ref="DRD614:DRF614"/>
    <mergeCell ref="DRH614:DRJ614"/>
    <mergeCell ref="DPX614:DPZ614"/>
    <mergeCell ref="DQB614:DQD614"/>
    <mergeCell ref="DQF614:DQH614"/>
    <mergeCell ref="DQJ614:DQL614"/>
    <mergeCell ref="DQN614:DQP614"/>
    <mergeCell ref="DPD614:DPF614"/>
    <mergeCell ref="DPH614:DPJ614"/>
    <mergeCell ref="DPL614:DPN614"/>
    <mergeCell ref="DPP614:DPR614"/>
    <mergeCell ref="DPT614:DPV614"/>
    <mergeCell ref="DZD614:DZF614"/>
    <mergeCell ref="DZH614:DZJ614"/>
    <mergeCell ref="DZL614:DZN614"/>
    <mergeCell ref="DZP614:DZR614"/>
    <mergeCell ref="DZT614:DZV614"/>
    <mergeCell ref="DYJ614:DYL614"/>
    <mergeCell ref="DYN614:DYP614"/>
    <mergeCell ref="DYR614:DYT614"/>
    <mergeCell ref="DYV614:DYX614"/>
    <mergeCell ref="DYZ614:DZB614"/>
    <mergeCell ref="DXP614:DXR614"/>
    <mergeCell ref="DXT614:DXV614"/>
    <mergeCell ref="DXX614:DXZ614"/>
    <mergeCell ref="DYB614:DYD614"/>
    <mergeCell ref="DYF614:DYH614"/>
    <mergeCell ref="DWV614:DWX614"/>
    <mergeCell ref="DWZ614:DXB614"/>
    <mergeCell ref="DXD614:DXF614"/>
    <mergeCell ref="DXH614:DXJ614"/>
    <mergeCell ref="DXL614:DXN614"/>
    <mergeCell ref="DWB614:DWD614"/>
    <mergeCell ref="DWF614:DWH614"/>
    <mergeCell ref="DWJ614:DWL614"/>
    <mergeCell ref="DWN614:DWP614"/>
    <mergeCell ref="DWR614:DWT614"/>
    <mergeCell ref="DVH614:DVJ614"/>
    <mergeCell ref="DVL614:DVN614"/>
    <mergeCell ref="DVP614:DVR614"/>
    <mergeCell ref="DVT614:DVV614"/>
    <mergeCell ref="DVX614:DVZ614"/>
    <mergeCell ref="DUN614:DUP614"/>
    <mergeCell ref="DUR614:DUT614"/>
    <mergeCell ref="DUV614:DUX614"/>
    <mergeCell ref="DUZ614:DVB614"/>
    <mergeCell ref="DVD614:DVF614"/>
    <mergeCell ref="EEN614:EEP614"/>
    <mergeCell ref="EER614:EET614"/>
    <mergeCell ref="EEV614:EEX614"/>
    <mergeCell ref="EEZ614:EFB614"/>
    <mergeCell ref="EFD614:EFF614"/>
    <mergeCell ref="EDT614:EDV614"/>
    <mergeCell ref="EDX614:EDZ614"/>
    <mergeCell ref="EEB614:EED614"/>
    <mergeCell ref="EEF614:EEH614"/>
    <mergeCell ref="EEJ614:EEL614"/>
    <mergeCell ref="ECZ614:EDB614"/>
    <mergeCell ref="EDD614:EDF614"/>
    <mergeCell ref="EDH614:EDJ614"/>
    <mergeCell ref="EDL614:EDN614"/>
    <mergeCell ref="EDP614:EDR614"/>
    <mergeCell ref="ECF614:ECH614"/>
    <mergeCell ref="ECJ614:ECL614"/>
    <mergeCell ref="ECN614:ECP614"/>
    <mergeCell ref="ECR614:ECT614"/>
    <mergeCell ref="ECV614:ECX614"/>
    <mergeCell ref="EBL614:EBN614"/>
    <mergeCell ref="EBP614:EBR614"/>
    <mergeCell ref="EBT614:EBV614"/>
    <mergeCell ref="EBX614:EBZ614"/>
    <mergeCell ref="ECB614:ECD614"/>
    <mergeCell ref="EAR614:EAT614"/>
    <mergeCell ref="EAV614:EAX614"/>
    <mergeCell ref="EAZ614:EBB614"/>
    <mergeCell ref="EBD614:EBF614"/>
    <mergeCell ref="EBH614:EBJ614"/>
    <mergeCell ref="DZX614:DZZ614"/>
    <mergeCell ref="EAB614:EAD614"/>
    <mergeCell ref="EAF614:EAH614"/>
    <mergeCell ref="EAJ614:EAL614"/>
    <mergeCell ref="EAN614:EAP614"/>
    <mergeCell ref="EJX614:EJZ614"/>
    <mergeCell ref="EKB614:EKD614"/>
    <mergeCell ref="EKF614:EKH614"/>
    <mergeCell ref="EKJ614:EKL614"/>
    <mergeCell ref="EKN614:EKP614"/>
    <mergeCell ref="EJD614:EJF614"/>
    <mergeCell ref="EJH614:EJJ614"/>
    <mergeCell ref="EJL614:EJN614"/>
    <mergeCell ref="EJP614:EJR614"/>
    <mergeCell ref="EJT614:EJV614"/>
    <mergeCell ref="EIJ614:EIL614"/>
    <mergeCell ref="EIN614:EIP614"/>
    <mergeCell ref="EIR614:EIT614"/>
    <mergeCell ref="EIV614:EIX614"/>
    <mergeCell ref="EIZ614:EJB614"/>
    <mergeCell ref="EHP614:EHR614"/>
    <mergeCell ref="EHT614:EHV614"/>
    <mergeCell ref="EHX614:EHZ614"/>
    <mergeCell ref="EIB614:EID614"/>
    <mergeCell ref="EIF614:EIH614"/>
    <mergeCell ref="EGV614:EGX614"/>
    <mergeCell ref="EGZ614:EHB614"/>
    <mergeCell ref="EHD614:EHF614"/>
    <mergeCell ref="EHH614:EHJ614"/>
    <mergeCell ref="EHL614:EHN614"/>
    <mergeCell ref="EGB614:EGD614"/>
    <mergeCell ref="EGF614:EGH614"/>
    <mergeCell ref="EGJ614:EGL614"/>
    <mergeCell ref="EGN614:EGP614"/>
    <mergeCell ref="EGR614:EGT614"/>
    <mergeCell ref="EFH614:EFJ614"/>
    <mergeCell ref="EFL614:EFN614"/>
    <mergeCell ref="EFP614:EFR614"/>
    <mergeCell ref="EFT614:EFV614"/>
    <mergeCell ref="EFX614:EFZ614"/>
    <mergeCell ref="EPH614:EPJ614"/>
    <mergeCell ref="EPL614:EPN614"/>
    <mergeCell ref="EPP614:EPR614"/>
    <mergeCell ref="EPT614:EPV614"/>
    <mergeCell ref="EPX614:EPZ614"/>
    <mergeCell ref="EON614:EOP614"/>
    <mergeCell ref="EOR614:EOT614"/>
    <mergeCell ref="EOV614:EOX614"/>
    <mergeCell ref="EOZ614:EPB614"/>
    <mergeCell ref="EPD614:EPF614"/>
    <mergeCell ref="ENT614:ENV614"/>
    <mergeCell ref="ENX614:ENZ614"/>
    <mergeCell ref="EOB614:EOD614"/>
    <mergeCell ref="EOF614:EOH614"/>
    <mergeCell ref="EOJ614:EOL614"/>
    <mergeCell ref="EMZ614:ENB614"/>
    <mergeCell ref="END614:ENF614"/>
    <mergeCell ref="ENH614:ENJ614"/>
    <mergeCell ref="ENL614:ENN614"/>
    <mergeCell ref="ENP614:ENR614"/>
    <mergeCell ref="EMF614:EMH614"/>
    <mergeCell ref="EMJ614:EML614"/>
    <mergeCell ref="EMN614:EMP614"/>
    <mergeCell ref="EMR614:EMT614"/>
    <mergeCell ref="EMV614:EMX614"/>
    <mergeCell ref="ELL614:ELN614"/>
    <mergeCell ref="ELP614:ELR614"/>
    <mergeCell ref="ELT614:ELV614"/>
    <mergeCell ref="ELX614:ELZ614"/>
    <mergeCell ref="EMB614:EMD614"/>
    <mergeCell ref="EKR614:EKT614"/>
    <mergeCell ref="EKV614:EKX614"/>
    <mergeCell ref="EKZ614:ELB614"/>
    <mergeCell ref="ELD614:ELF614"/>
    <mergeCell ref="ELH614:ELJ614"/>
    <mergeCell ref="EUR614:EUT614"/>
    <mergeCell ref="EUV614:EUX614"/>
    <mergeCell ref="EUZ614:EVB614"/>
    <mergeCell ref="EVD614:EVF614"/>
    <mergeCell ref="EVH614:EVJ614"/>
    <mergeCell ref="ETX614:ETZ614"/>
    <mergeCell ref="EUB614:EUD614"/>
    <mergeCell ref="EUF614:EUH614"/>
    <mergeCell ref="EUJ614:EUL614"/>
    <mergeCell ref="EUN614:EUP614"/>
    <mergeCell ref="ETD614:ETF614"/>
    <mergeCell ref="ETH614:ETJ614"/>
    <mergeCell ref="ETL614:ETN614"/>
    <mergeCell ref="ETP614:ETR614"/>
    <mergeCell ref="ETT614:ETV614"/>
    <mergeCell ref="ESJ614:ESL614"/>
    <mergeCell ref="ESN614:ESP614"/>
    <mergeCell ref="ESR614:EST614"/>
    <mergeCell ref="ESV614:ESX614"/>
    <mergeCell ref="ESZ614:ETB614"/>
    <mergeCell ref="ERP614:ERR614"/>
    <mergeCell ref="ERT614:ERV614"/>
    <mergeCell ref="ERX614:ERZ614"/>
    <mergeCell ref="ESB614:ESD614"/>
    <mergeCell ref="ESF614:ESH614"/>
    <mergeCell ref="EQV614:EQX614"/>
    <mergeCell ref="EQZ614:ERB614"/>
    <mergeCell ref="ERD614:ERF614"/>
    <mergeCell ref="ERH614:ERJ614"/>
    <mergeCell ref="ERL614:ERN614"/>
    <mergeCell ref="EQB614:EQD614"/>
    <mergeCell ref="EQF614:EQH614"/>
    <mergeCell ref="EQJ614:EQL614"/>
    <mergeCell ref="EQN614:EQP614"/>
    <mergeCell ref="EQR614:EQT614"/>
    <mergeCell ref="FAB614:FAD614"/>
    <mergeCell ref="FAF614:FAH614"/>
    <mergeCell ref="FAJ614:FAL614"/>
    <mergeCell ref="FAN614:FAP614"/>
    <mergeCell ref="FAR614:FAT614"/>
    <mergeCell ref="EZH614:EZJ614"/>
    <mergeCell ref="EZL614:EZN614"/>
    <mergeCell ref="EZP614:EZR614"/>
    <mergeCell ref="EZT614:EZV614"/>
    <mergeCell ref="EZX614:EZZ614"/>
    <mergeCell ref="EYN614:EYP614"/>
    <mergeCell ref="EYR614:EYT614"/>
    <mergeCell ref="EYV614:EYX614"/>
    <mergeCell ref="EYZ614:EZB614"/>
    <mergeCell ref="EZD614:EZF614"/>
    <mergeCell ref="EXT614:EXV614"/>
    <mergeCell ref="EXX614:EXZ614"/>
    <mergeCell ref="EYB614:EYD614"/>
    <mergeCell ref="EYF614:EYH614"/>
    <mergeCell ref="EYJ614:EYL614"/>
    <mergeCell ref="EWZ614:EXB614"/>
    <mergeCell ref="EXD614:EXF614"/>
    <mergeCell ref="EXH614:EXJ614"/>
    <mergeCell ref="EXL614:EXN614"/>
    <mergeCell ref="EXP614:EXR614"/>
    <mergeCell ref="EWF614:EWH614"/>
    <mergeCell ref="EWJ614:EWL614"/>
    <mergeCell ref="EWN614:EWP614"/>
    <mergeCell ref="EWR614:EWT614"/>
    <mergeCell ref="EWV614:EWX614"/>
    <mergeCell ref="EVL614:EVN614"/>
    <mergeCell ref="EVP614:EVR614"/>
    <mergeCell ref="EVT614:EVV614"/>
    <mergeCell ref="EVX614:EVZ614"/>
    <mergeCell ref="EWB614:EWD614"/>
    <mergeCell ref="FFL614:FFN614"/>
    <mergeCell ref="FFP614:FFR614"/>
    <mergeCell ref="FFT614:FFV614"/>
    <mergeCell ref="FFX614:FFZ614"/>
    <mergeCell ref="FGB614:FGD614"/>
    <mergeCell ref="FER614:FET614"/>
    <mergeCell ref="FEV614:FEX614"/>
    <mergeCell ref="FEZ614:FFB614"/>
    <mergeCell ref="FFD614:FFF614"/>
    <mergeCell ref="FFH614:FFJ614"/>
    <mergeCell ref="FDX614:FDZ614"/>
    <mergeCell ref="FEB614:FED614"/>
    <mergeCell ref="FEF614:FEH614"/>
    <mergeCell ref="FEJ614:FEL614"/>
    <mergeCell ref="FEN614:FEP614"/>
    <mergeCell ref="FDD614:FDF614"/>
    <mergeCell ref="FDH614:FDJ614"/>
    <mergeCell ref="FDL614:FDN614"/>
    <mergeCell ref="FDP614:FDR614"/>
    <mergeCell ref="FDT614:FDV614"/>
    <mergeCell ref="FCJ614:FCL614"/>
    <mergeCell ref="FCN614:FCP614"/>
    <mergeCell ref="FCR614:FCT614"/>
    <mergeCell ref="FCV614:FCX614"/>
    <mergeCell ref="FCZ614:FDB614"/>
    <mergeCell ref="FBP614:FBR614"/>
    <mergeCell ref="FBT614:FBV614"/>
    <mergeCell ref="FBX614:FBZ614"/>
    <mergeCell ref="FCB614:FCD614"/>
    <mergeCell ref="FCF614:FCH614"/>
    <mergeCell ref="FAV614:FAX614"/>
    <mergeCell ref="FAZ614:FBB614"/>
    <mergeCell ref="FBD614:FBF614"/>
    <mergeCell ref="FBH614:FBJ614"/>
    <mergeCell ref="FBL614:FBN614"/>
    <mergeCell ref="FKV614:FKX614"/>
    <mergeCell ref="FKZ614:FLB614"/>
    <mergeCell ref="FLD614:FLF614"/>
    <mergeCell ref="FLH614:FLJ614"/>
    <mergeCell ref="FLL614:FLN614"/>
    <mergeCell ref="FKB614:FKD614"/>
    <mergeCell ref="FKF614:FKH614"/>
    <mergeCell ref="FKJ614:FKL614"/>
    <mergeCell ref="FKN614:FKP614"/>
    <mergeCell ref="FKR614:FKT614"/>
    <mergeCell ref="FJH614:FJJ614"/>
    <mergeCell ref="FJL614:FJN614"/>
    <mergeCell ref="FJP614:FJR614"/>
    <mergeCell ref="FJT614:FJV614"/>
    <mergeCell ref="FJX614:FJZ614"/>
    <mergeCell ref="FIN614:FIP614"/>
    <mergeCell ref="FIR614:FIT614"/>
    <mergeCell ref="FIV614:FIX614"/>
    <mergeCell ref="FIZ614:FJB614"/>
    <mergeCell ref="FJD614:FJF614"/>
    <mergeCell ref="FHT614:FHV614"/>
    <mergeCell ref="FHX614:FHZ614"/>
    <mergeCell ref="FIB614:FID614"/>
    <mergeCell ref="FIF614:FIH614"/>
    <mergeCell ref="FIJ614:FIL614"/>
    <mergeCell ref="FGZ614:FHB614"/>
    <mergeCell ref="FHD614:FHF614"/>
    <mergeCell ref="FHH614:FHJ614"/>
    <mergeCell ref="FHL614:FHN614"/>
    <mergeCell ref="FHP614:FHR614"/>
    <mergeCell ref="FGF614:FGH614"/>
    <mergeCell ref="FGJ614:FGL614"/>
    <mergeCell ref="FGN614:FGP614"/>
    <mergeCell ref="FGR614:FGT614"/>
    <mergeCell ref="FGV614:FGX614"/>
    <mergeCell ref="FQF614:FQH614"/>
    <mergeCell ref="FQJ614:FQL614"/>
    <mergeCell ref="FQN614:FQP614"/>
    <mergeCell ref="FQR614:FQT614"/>
    <mergeCell ref="FQV614:FQX614"/>
    <mergeCell ref="FPL614:FPN614"/>
    <mergeCell ref="FPP614:FPR614"/>
    <mergeCell ref="FPT614:FPV614"/>
    <mergeCell ref="FPX614:FPZ614"/>
    <mergeCell ref="FQB614:FQD614"/>
    <mergeCell ref="FOR614:FOT614"/>
    <mergeCell ref="FOV614:FOX614"/>
    <mergeCell ref="FOZ614:FPB614"/>
    <mergeCell ref="FPD614:FPF614"/>
    <mergeCell ref="FPH614:FPJ614"/>
    <mergeCell ref="FNX614:FNZ614"/>
    <mergeCell ref="FOB614:FOD614"/>
    <mergeCell ref="FOF614:FOH614"/>
    <mergeCell ref="FOJ614:FOL614"/>
    <mergeCell ref="FON614:FOP614"/>
    <mergeCell ref="FND614:FNF614"/>
    <mergeCell ref="FNH614:FNJ614"/>
    <mergeCell ref="FNL614:FNN614"/>
    <mergeCell ref="FNP614:FNR614"/>
    <mergeCell ref="FNT614:FNV614"/>
    <mergeCell ref="FMJ614:FML614"/>
    <mergeCell ref="FMN614:FMP614"/>
    <mergeCell ref="FMR614:FMT614"/>
    <mergeCell ref="FMV614:FMX614"/>
    <mergeCell ref="FMZ614:FNB614"/>
    <mergeCell ref="FLP614:FLR614"/>
    <mergeCell ref="FLT614:FLV614"/>
    <mergeCell ref="FLX614:FLZ614"/>
    <mergeCell ref="FMB614:FMD614"/>
    <mergeCell ref="FMF614:FMH614"/>
    <mergeCell ref="FVP614:FVR614"/>
    <mergeCell ref="FVT614:FVV614"/>
    <mergeCell ref="FVX614:FVZ614"/>
    <mergeCell ref="FWB614:FWD614"/>
    <mergeCell ref="FWF614:FWH614"/>
    <mergeCell ref="FUV614:FUX614"/>
    <mergeCell ref="FUZ614:FVB614"/>
    <mergeCell ref="FVD614:FVF614"/>
    <mergeCell ref="FVH614:FVJ614"/>
    <mergeCell ref="FVL614:FVN614"/>
    <mergeCell ref="FUB614:FUD614"/>
    <mergeCell ref="FUF614:FUH614"/>
    <mergeCell ref="FUJ614:FUL614"/>
    <mergeCell ref="FUN614:FUP614"/>
    <mergeCell ref="FUR614:FUT614"/>
    <mergeCell ref="FTH614:FTJ614"/>
    <mergeCell ref="FTL614:FTN614"/>
    <mergeCell ref="FTP614:FTR614"/>
    <mergeCell ref="FTT614:FTV614"/>
    <mergeCell ref="FTX614:FTZ614"/>
    <mergeCell ref="FSN614:FSP614"/>
    <mergeCell ref="FSR614:FST614"/>
    <mergeCell ref="FSV614:FSX614"/>
    <mergeCell ref="FSZ614:FTB614"/>
    <mergeCell ref="FTD614:FTF614"/>
    <mergeCell ref="FRT614:FRV614"/>
    <mergeCell ref="FRX614:FRZ614"/>
    <mergeCell ref="FSB614:FSD614"/>
    <mergeCell ref="FSF614:FSH614"/>
    <mergeCell ref="FSJ614:FSL614"/>
    <mergeCell ref="FQZ614:FRB614"/>
    <mergeCell ref="FRD614:FRF614"/>
    <mergeCell ref="FRH614:FRJ614"/>
    <mergeCell ref="FRL614:FRN614"/>
    <mergeCell ref="FRP614:FRR614"/>
    <mergeCell ref="GAZ614:GBB614"/>
    <mergeCell ref="GBD614:GBF614"/>
    <mergeCell ref="GBH614:GBJ614"/>
    <mergeCell ref="GBL614:GBN614"/>
    <mergeCell ref="GBP614:GBR614"/>
    <mergeCell ref="GAF614:GAH614"/>
    <mergeCell ref="GAJ614:GAL614"/>
    <mergeCell ref="GAN614:GAP614"/>
    <mergeCell ref="GAR614:GAT614"/>
    <mergeCell ref="GAV614:GAX614"/>
    <mergeCell ref="FZL614:FZN614"/>
    <mergeCell ref="FZP614:FZR614"/>
    <mergeCell ref="FZT614:FZV614"/>
    <mergeCell ref="FZX614:FZZ614"/>
    <mergeCell ref="GAB614:GAD614"/>
    <mergeCell ref="FYR614:FYT614"/>
    <mergeCell ref="FYV614:FYX614"/>
    <mergeCell ref="FYZ614:FZB614"/>
    <mergeCell ref="FZD614:FZF614"/>
    <mergeCell ref="FZH614:FZJ614"/>
    <mergeCell ref="FXX614:FXZ614"/>
    <mergeCell ref="FYB614:FYD614"/>
    <mergeCell ref="FYF614:FYH614"/>
    <mergeCell ref="FYJ614:FYL614"/>
    <mergeCell ref="FYN614:FYP614"/>
    <mergeCell ref="FXD614:FXF614"/>
    <mergeCell ref="FXH614:FXJ614"/>
    <mergeCell ref="FXL614:FXN614"/>
    <mergeCell ref="FXP614:FXR614"/>
    <mergeCell ref="FXT614:FXV614"/>
    <mergeCell ref="FWJ614:FWL614"/>
    <mergeCell ref="FWN614:FWP614"/>
    <mergeCell ref="FWR614:FWT614"/>
    <mergeCell ref="FWV614:FWX614"/>
    <mergeCell ref="FWZ614:FXB614"/>
    <mergeCell ref="GGJ614:GGL614"/>
    <mergeCell ref="GGN614:GGP614"/>
    <mergeCell ref="GGR614:GGT614"/>
    <mergeCell ref="GGV614:GGX614"/>
    <mergeCell ref="GGZ614:GHB614"/>
    <mergeCell ref="GFP614:GFR614"/>
    <mergeCell ref="GFT614:GFV614"/>
    <mergeCell ref="GFX614:GFZ614"/>
    <mergeCell ref="GGB614:GGD614"/>
    <mergeCell ref="GGF614:GGH614"/>
    <mergeCell ref="GEV614:GEX614"/>
    <mergeCell ref="GEZ614:GFB614"/>
    <mergeCell ref="GFD614:GFF614"/>
    <mergeCell ref="GFH614:GFJ614"/>
    <mergeCell ref="GFL614:GFN614"/>
    <mergeCell ref="GEB614:GED614"/>
    <mergeCell ref="GEF614:GEH614"/>
    <mergeCell ref="GEJ614:GEL614"/>
    <mergeCell ref="GEN614:GEP614"/>
    <mergeCell ref="GER614:GET614"/>
    <mergeCell ref="GDH614:GDJ614"/>
    <mergeCell ref="GDL614:GDN614"/>
    <mergeCell ref="GDP614:GDR614"/>
    <mergeCell ref="GDT614:GDV614"/>
    <mergeCell ref="GDX614:GDZ614"/>
    <mergeCell ref="GCN614:GCP614"/>
    <mergeCell ref="GCR614:GCT614"/>
    <mergeCell ref="GCV614:GCX614"/>
    <mergeCell ref="GCZ614:GDB614"/>
    <mergeCell ref="GDD614:GDF614"/>
    <mergeCell ref="GBT614:GBV614"/>
    <mergeCell ref="GBX614:GBZ614"/>
    <mergeCell ref="GCB614:GCD614"/>
    <mergeCell ref="GCF614:GCH614"/>
    <mergeCell ref="GCJ614:GCL614"/>
    <mergeCell ref="GLT614:GLV614"/>
    <mergeCell ref="GLX614:GLZ614"/>
    <mergeCell ref="GMB614:GMD614"/>
    <mergeCell ref="GMF614:GMH614"/>
    <mergeCell ref="GMJ614:GML614"/>
    <mergeCell ref="GKZ614:GLB614"/>
    <mergeCell ref="GLD614:GLF614"/>
    <mergeCell ref="GLH614:GLJ614"/>
    <mergeCell ref="GLL614:GLN614"/>
    <mergeCell ref="GLP614:GLR614"/>
    <mergeCell ref="GKF614:GKH614"/>
    <mergeCell ref="GKJ614:GKL614"/>
    <mergeCell ref="GKN614:GKP614"/>
    <mergeCell ref="GKR614:GKT614"/>
    <mergeCell ref="GKV614:GKX614"/>
    <mergeCell ref="GJL614:GJN614"/>
    <mergeCell ref="GJP614:GJR614"/>
    <mergeCell ref="GJT614:GJV614"/>
    <mergeCell ref="GJX614:GJZ614"/>
    <mergeCell ref="GKB614:GKD614"/>
    <mergeCell ref="GIR614:GIT614"/>
    <mergeCell ref="GIV614:GIX614"/>
    <mergeCell ref="GIZ614:GJB614"/>
    <mergeCell ref="GJD614:GJF614"/>
    <mergeCell ref="GJH614:GJJ614"/>
    <mergeCell ref="GHX614:GHZ614"/>
    <mergeCell ref="GIB614:GID614"/>
    <mergeCell ref="GIF614:GIH614"/>
    <mergeCell ref="GIJ614:GIL614"/>
    <mergeCell ref="GIN614:GIP614"/>
    <mergeCell ref="GHD614:GHF614"/>
    <mergeCell ref="GHH614:GHJ614"/>
    <mergeCell ref="GHL614:GHN614"/>
    <mergeCell ref="GHP614:GHR614"/>
    <mergeCell ref="GHT614:GHV614"/>
    <mergeCell ref="GRD614:GRF614"/>
    <mergeCell ref="GRH614:GRJ614"/>
    <mergeCell ref="GRL614:GRN614"/>
    <mergeCell ref="GRP614:GRR614"/>
    <mergeCell ref="GRT614:GRV614"/>
    <mergeCell ref="GQJ614:GQL614"/>
    <mergeCell ref="GQN614:GQP614"/>
    <mergeCell ref="GQR614:GQT614"/>
    <mergeCell ref="GQV614:GQX614"/>
    <mergeCell ref="GQZ614:GRB614"/>
    <mergeCell ref="GPP614:GPR614"/>
    <mergeCell ref="GPT614:GPV614"/>
    <mergeCell ref="GPX614:GPZ614"/>
    <mergeCell ref="GQB614:GQD614"/>
    <mergeCell ref="GQF614:GQH614"/>
    <mergeCell ref="GOV614:GOX614"/>
    <mergeCell ref="GOZ614:GPB614"/>
    <mergeCell ref="GPD614:GPF614"/>
    <mergeCell ref="GPH614:GPJ614"/>
    <mergeCell ref="GPL614:GPN614"/>
    <mergeCell ref="GOB614:GOD614"/>
    <mergeCell ref="GOF614:GOH614"/>
    <mergeCell ref="GOJ614:GOL614"/>
    <mergeCell ref="GON614:GOP614"/>
    <mergeCell ref="GOR614:GOT614"/>
    <mergeCell ref="GNH614:GNJ614"/>
    <mergeCell ref="GNL614:GNN614"/>
    <mergeCell ref="GNP614:GNR614"/>
    <mergeCell ref="GNT614:GNV614"/>
    <mergeCell ref="GNX614:GNZ614"/>
    <mergeCell ref="GMN614:GMP614"/>
    <mergeCell ref="GMR614:GMT614"/>
    <mergeCell ref="GMV614:GMX614"/>
    <mergeCell ref="GMZ614:GNB614"/>
    <mergeCell ref="GND614:GNF614"/>
    <mergeCell ref="GWN614:GWP614"/>
    <mergeCell ref="GWR614:GWT614"/>
    <mergeCell ref="GWV614:GWX614"/>
    <mergeCell ref="GWZ614:GXB614"/>
    <mergeCell ref="GXD614:GXF614"/>
    <mergeCell ref="GVT614:GVV614"/>
    <mergeCell ref="GVX614:GVZ614"/>
    <mergeCell ref="GWB614:GWD614"/>
    <mergeCell ref="GWF614:GWH614"/>
    <mergeCell ref="GWJ614:GWL614"/>
    <mergeCell ref="GUZ614:GVB614"/>
    <mergeCell ref="GVD614:GVF614"/>
    <mergeCell ref="GVH614:GVJ614"/>
    <mergeCell ref="GVL614:GVN614"/>
    <mergeCell ref="GVP614:GVR614"/>
    <mergeCell ref="GUF614:GUH614"/>
    <mergeCell ref="GUJ614:GUL614"/>
    <mergeCell ref="GUN614:GUP614"/>
    <mergeCell ref="GUR614:GUT614"/>
    <mergeCell ref="GUV614:GUX614"/>
    <mergeCell ref="GTL614:GTN614"/>
    <mergeCell ref="GTP614:GTR614"/>
    <mergeCell ref="GTT614:GTV614"/>
    <mergeCell ref="GTX614:GTZ614"/>
    <mergeCell ref="GUB614:GUD614"/>
    <mergeCell ref="GSR614:GST614"/>
    <mergeCell ref="GSV614:GSX614"/>
    <mergeCell ref="GSZ614:GTB614"/>
    <mergeCell ref="GTD614:GTF614"/>
    <mergeCell ref="GTH614:GTJ614"/>
    <mergeCell ref="GRX614:GRZ614"/>
    <mergeCell ref="GSB614:GSD614"/>
    <mergeCell ref="GSF614:GSH614"/>
    <mergeCell ref="GSJ614:GSL614"/>
    <mergeCell ref="GSN614:GSP614"/>
    <mergeCell ref="HBX614:HBZ614"/>
    <mergeCell ref="HCB614:HCD614"/>
    <mergeCell ref="HCF614:HCH614"/>
    <mergeCell ref="HCJ614:HCL614"/>
    <mergeCell ref="HCN614:HCP614"/>
    <mergeCell ref="HBD614:HBF614"/>
    <mergeCell ref="HBH614:HBJ614"/>
    <mergeCell ref="HBL614:HBN614"/>
    <mergeCell ref="HBP614:HBR614"/>
    <mergeCell ref="HBT614:HBV614"/>
    <mergeCell ref="HAJ614:HAL614"/>
    <mergeCell ref="HAN614:HAP614"/>
    <mergeCell ref="HAR614:HAT614"/>
    <mergeCell ref="HAV614:HAX614"/>
    <mergeCell ref="HAZ614:HBB614"/>
    <mergeCell ref="GZP614:GZR614"/>
    <mergeCell ref="GZT614:GZV614"/>
    <mergeCell ref="GZX614:GZZ614"/>
    <mergeCell ref="HAB614:HAD614"/>
    <mergeCell ref="HAF614:HAH614"/>
    <mergeCell ref="GYV614:GYX614"/>
    <mergeCell ref="GYZ614:GZB614"/>
    <mergeCell ref="GZD614:GZF614"/>
    <mergeCell ref="GZH614:GZJ614"/>
    <mergeCell ref="GZL614:GZN614"/>
    <mergeCell ref="GYB614:GYD614"/>
    <mergeCell ref="GYF614:GYH614"/>
    <mergeCell ref="GYJ614:GYL614"/>
    <mergeCell ref="GYN614:GYP614"/>
    <mergeCell ref="GYR614:GYT614"/>
    <mergeCell ref="GXH614:GXJ614"/>
    <mergeCell ref="GXL614:GXN614"/>
    <mergeCell ref="GXP614:GXR614"/>
    <mergeCell ref="GXT614:GXV614"/>
    <mergeCell ref="GXX614:GXZ614"/>
    <mergeCell ref="HHH614:HHJ614"/>
    <mergeCell ref="HHL614:HHN614"/>
    <mergeCell ref="HHP614:HHR614"/>
    <mergeCell ref="HHT614:HHV614"/>
    <mergeCell ref="HHX614:HHZ614"/>
    <mergeCell ref="HGN614:HGP614"/>
    <mergeCell ref="HGR614:HGT614"/>
    <mergeCell ref="HGV614:HGX614"/>
    <mergeCell ref="HGZ614:HHB614"/>
    <mergeCell ref="HHD614:HHF614"/>
    <mergeCell ref="HFT614:HFV614"/>
    <mergeCell ref="HFX614:HFZ614"/>
    <mergeCell ref="HGB614:HGD614"/>
    <mergeCell ref="HGF614:HGH614"/>
    <mergeCell ref="HGJ614:HGL614"/>
    <mergeCell ref="HEZ614:HFB614"/>
    <mergeCell ref="HFD614:HFF614"/>
    <mergeCell ref="HFH614:HFJ614"/>
    <mergeCell ref="HFL614:HFN614"/>
    <mergeCell ref="HFP614:HFR614"/>
    <mergeCell ref="HEF614:HEH614"/>
    <mergeCell ref="HEJ614:HEL614"/>
    <mergeCell ref="HEN614:HEP614"/>
    <mergeCell ref="HER614:HET614"/>
    <mergeCell ref="HEV614:HEX614"/>
    <mergeCell ref="HDL614:HDN614"/>
    <mergeCell ref="HDP614:HDR614"/>
    <mergeCell ref="HDT614:HDV614"/>
    <mergeCell ref="HDX614:HDZ614"/>
    <mergeCell ref="HEB614:HED614"/>
    <mergeCell ref="HCR614:HCT614"/>
    <mergeCell ref="HCV614:HCX614"/>
    <mergeCell ref="HCZ614:HDB614"/>
    <mergeCell ref="HDD614:HDF614"/>
    <mergeCell ref="HDH614:HDJ614"/>
    <mergeCell ref="HMR614:HMT614"/>
    <mergeCell ref="HMV614:HMX614"/>
    <mergeCell ref="HMZ614:HNB614"/>
    <mergeCell ref="HND614:HNF614"/>
    <mergeCell ref="HNH614:HNJ614"/>
    <mergeCell ref="HLX614:HLZ614"/>
    <mergeCell ref="HMB614:HMD614"/>
    <mergeCell ref="HMF614:HMH614"/>
    <mergeCell ref="HMJ614:HML614"/>
    <mergeCell ref="HMN614:HMP614"/>
    <mergeCell ref="HLD614:HLF614"/>
    <mergeCell ref="HLH614:HLJ614"/>
    <mergeCell ref="HLL614:HLN614"/>
    <mergeCell ref="HLP614:HLR614"/>
    <mergeCell ref="HLT614:HLV614"/>
    <mergeCell ref="HKJ614:HKL614"/>
    <mergeCell ref="HKN614:HKP614"/>
    <mergeCell ref="HKR614:HKT614"/>
    <mergeCell ref="HKV614:HKX614"/>
    <mergeCell ref="HKZ614:HLB614"/>
    <mergeCell ref="HJP614:HJR614"/>
    <mergeCell ref="HJT614:HJV614"/>
    <mergeCell ref="HJX614:HJZ614"/>
    <mergeCell ref="HKB614:HKD614"/>
    <mergeCell ref="HKF614:HKH614"/>
    <mergeCell ref="HIV614:HIX614"/>
    <mergeCell ref="HIZ614:HJB614"/>
    <mergeCell ref="HJD614:HJF614"/>
    <mergeCell ref="HJH614:HJJ614"/>
    <mergeCell ref="HJL614:HJN614"/>
    <mergeCell ref="HIB614:HID614"/>
    <mergeCell ref="HIF614:HIH614"/>
    <mergeCell ref="HIJ614:HIL614"/>
    <mergeCell ref="HIN614:HIP614"/>
    <mergeCell ref="HIR614:HIT614"/>
    <mergeCell ref="HSB614:HSD614"/>
    <mergeCell ref="HSF614:HSH614"/>
    <mergeCell ref="HSJ614:HSL614"/>
    <mergeCell ref="HSN614:HSP614"/>
    <mergeCell ref="HSR614:HST614"/>
    <mergeCell ref="HRH614:HRJ614"/>
    <mergeCell ref="HRL614:HRN614"/>
    <mergeCell ref="HRP614:HRR614"/>
    <mergeCell ref="HRT614:HRV614"/>
    <mergeCell ref="HRX614:HRZ614"/>
    <mergeCell ref="HQN614:HQP614"/>
    <mergeCell ref="HQR614:HQT614"/>
    <mergeCell ref="HQV614:HQX614"/>
    <mergeCell ref="HQZ614:HRB614"/>
    <mergeCell ref="HRD614:HRF614"/>
    <mergeCell ref="HPT614:HPV614"/>
    <mergeCell ref="HPX614:HPZ614"/>
    <mergeCell ref="HQB614:HQD614"/>
    <mergeCell ref="HQF614:HQH614"/>
    <mergeCell ref="HQJ614:HQL614"/>
    <mergeCell ref="HOZ614:HPB614"/>
    <mergeCell ref="HPD614:HPF614"/>
    <mergeCell ref="HPH614:HPJ614"/>
    <mergeCell ref="HPL614:HPN614"/>
    <mergeCell ref="HPP614:HPR614"/>
    <mergeCell ref="HOF614:HOH614"/>
    <mergeCell ref="HOJ614:HOL614"/>
    <mergeCell ref="HON614:HOP614"/>
    <mergeCell ref="HOR614:HOT614"/>
    <mergeCell ref="HOV614:HOX614"/>
    <mergeCell ref="HNL614:HNN614"/>
    <mergeCell ref="HNP614:HNR614"/>
    <mergeCell ref="HNT614:HNV614"/>
    <mergeCell ref="HNX614:HNZ614"/>
    <mergeCell ref="HOB614:HOD614"/>
    <mergeCell ref="HXL614:HXN614"/>
    <mergeCell ref="HXP614:HXR614"/>
    <mergeCell ref="HXT614:HXV614"/>
    <mergeCell ref="HXX614:HXZ614"/>
    <mergeCell ref="HYB614:HYD614"/>
    <mergeCell ref="HWR614:HWT614"/>
    <mergeCell ref="HWV614:HWX614"/>
    <mergeCell ref="HWZ614:HXB614"/>
    <mergeCell ref="HXD614:HXF614"/>
    <mergeCell ref="HXH614:HXJ614"/>
    <mergeCell ref="HVX614:HVZ614"/>
    <mergeCell ref="HWB614:HWD614"/>
    <mergeCell ref="HWF614:HWH614"/>
    <mergeCell ref="HWJ614:HWL614"/>
    <mergeCell ref="HWN614:HWP614"/>
    <mergeCell ref="HVD614:HVF614"/>
    <mergeCell ref="HVH614:HVJ614"/>
    <mergeCell ref="HVL614:HVN614"/>
    <mergeCell ref="HVP614:HVR614"/>
    <mergeCell ref="HVT614:HVV614"/>
    <mergeCell ref="HUJ614:HUL614"/>
    <mergeCell ref="HUN614:HUP614"/>
    <mergeCell ref="HUR614:HUT614"/>
    <mergeCell ref="HUV614:HUX614"/>
    <mergeCell ref="HUZ614:HVB614"/>
    <mergeCell ref="HTP614:HTR614"/>
    <mergeCell ref="HTT614:HTV614"/>
    <mergeCell ref="HTX614:HTZ614"/>
    <mergeCell ref="HUB614:HUD614"/>
    <mergeCell ref="HUF614:HUH614"/>
    <mergeCell ref="HSV614:HSX614"/>
    <mergeCell ref="HSZ614:HTB614"/>
    <mergeCell ref="HTD614:HTF614"/>
    <mergeCell ref="HTH614:HTJ614"/>
    <mergeCell ref="HTL614:HTN614"/>
    <mergeCell ref="ICV614:ICX614"/>
    <mergeCell ref="ICZ614:IDB614"/>
    <mergeCell ref="IDD614:IDF614"/>
    <mergeCell ref="IDH614:IDJ614"/>
    <mergeCell ref="IDL614:IDN614"/>
    <mergeCell ref="ICB614:ICD614"/>
    <mergeCell ref="ICF614:ICH614"/>
    <mergeCell ref="ICJ614:ICL614"/>
    <mergeCell ref="ICN614:ICP614"/>
    <mergeCell ref="ICR614:ICT614"/>
    <mergeCell ref="IBH614:IBJ614"/>
    <mergeCell ref="IBL614:IBN614"/>
    <mergeCell ref="IBP614:IBR614"/>
    <mergeCell ref="IBT614:IBV614"/>
    <mergeCell ref="IBX614:IBZ614"/>
    <mergeCell ref="IAN614:IAP614"/>
    <mergeCell ref="IAR614:IAT614"/>
    <mergeCell ref="IAV614:IAX614"/>
    <mergeCell ref="IAZ614:IBB614"/>
    <mergeCell ref="IBD614:IBF614"/>
    <mergeCell ref="HZT614:HZV614"/>
    <mergeCell ref="HZX614:HZZ614"/>
    <mergeCell ref="IAB614:IAD614"/>
    <mergeCell ref="IAF614:IAH614"/>
    <mergeCell ref="IAJ614:IAL614"/>
    <mergeCell ref="HYZ614:HZB614"/>
    <mergeCell ref="HZD614:HZF614"/>
    <mergeCell ref="HZH614:HZJ614"/>
    <mergeCell ref="HZL614:HZN614"/>
    <mergeCell ref="HZP614:HZR614"/>
    <mergeCell ref="HYF614:HYH614"/>
    <mergeCell ref="HYJ614:HYL614"/>
    <mergeCell ref="HYN614:HYP614"/>
    <mergeCell ref="HYR614:HYT614"/>
    <mergeCell ref="HYV614:HYX614"/>
    <mergeCell ref="IIF614:IIH614"/>
    <mergeCell ref="IIJ614:IIL614"/>
    <mergeCell ref="IIN614:IIP614"/>
    <mergeCell ref="IIR614:IIT614"/>
    <mergeCell ref="IIV614:IIX614"/>
    <mergeCell ref="IHL614:IHN614"/>
    <mergeCell ref="IHP614:IHR614"/>
    <mergeCell ref="IHT614:IHV614"/>
    <mergeCell ref="IHX614:IHZ614"/>
    <mergeCell ref="IIB614:IID614"/>
    <mergeCell ref="IGR614:IGT614"/>
    <mergeCell ref="IGV614:IGX614"/>
    <mergeCell ref="IGZ614:IHB614"/>
    <mergeCell ref="IHD614:IHF614"/>
    <mergeCell ref="IHH614:IHJ614"/>
    <mergeCell ref="IFX614:IFZ614"/>
    <mergeCell ref="IGB614:IGD614"/>
    <mergeCell ref="IGF614:IGH614"/>
    <mergeCell ref="IGJ614:IGL614"/>
    <mergeCell ref="IGN614:IGP614"/>
    <mergeCell ref="IFD614:IFF614"/>
    <mergeCell ref="IFH614:IFJ614"/>
    <mergeCell ref="IFL614:IFN614"/>
    <mergeCell ref="IFP614:IFR614"/>
    <mergeCell ref="IFT614:IFV614"/>
    <mergeCell ref="IEJ614:IEL614"/>
    <mergeCell ref="IEN614:IEP614"/>
    <mergeCell ref="IER614:IET614"/>
    <mergeCell ref="IEV614:IEX614"/>
    <mergeCell ref="IEZ614:IFB614"/>
    <mergeCell ref="IDP614:IDR614"/>
    <mergeCell ref="IDT614:IDV614"/>
    <mergeCell ref="IDX614:IDZ614"/>
    <mergeCell ref="IEB614:IED614"/>
    <mergeCell ref="IEF614:IEH614"/>
    <mergeCell ref="INP614:INR614"/>
    <mergeCell ref="INT614:INV614"/>
    <mergeCell ref="INX614:INZ614"/>
    <mergeCell ref="IOB614:IOD614"/>
    <mergeCell ref="IOF614:IOH614"/>
    <mergeCell ref="IMV614:IMX614"/>
    <mergeCell ref="IMZ614:INB614"/>
    <mergeCell ref="IND614:INF614"/>
    <mergeCell ref="INH614:INJ614"/>
    <mergeCell ref="INL614:INN614"/>
    <mergeCell ref="IMB614:IMD614"/>
    <mergeCell ref="IMF614:IMH614"/>
    <mergeCell ref="IMJ614:IML614"/>
    <mergeCell ref="IMN614:IMP614"/>
    <mergeCell ref="IMR614:IMT614"/>
    <mergeCell ref="ILH614:ILJ614"/>
    <mergeCell ref="ILL614:ILN614"/>
    <mergeCell ref="ILP614:ILR614"/>
    <mergeCell ref="ILT614:ILV614"/>
    <mergeCell ref="ILX614:ILZ614"/>
    <mergeCell ref="IKN614:IKP614"/>
    <mergeCell ref="IKR614:IKT614"/>
    <mergeCell ref="IKV614:IKX614"/>
    <mergeCell ref="IKZ614:ILB614"/>
    <mergeCell ref="ILD614:ILF614"/>
    <mergeCell ref="IJT614:IJV614"/>
    <mergeCell ref="IJX614:IJZ614"/>
    <mergeCell ref="IKB614:IKD614"/>
    <mergeCell ref="IKF614:IKH614"/>
    <mergeCell ref="IKJ614:IKL614"/>
    <mergeCell ref="IIZ614:IJB614"/>
    <mergeCell ref="IJD614:IJF614"/>
    <mergeCell ref="IJH614:IJJ614"/>
    <mergeCell ref="IJL614:IJN614"/>
    <mergeCell ref="IJP614:IJR614"/>
    <mergeCell ref="ISZ614:ITB614"/>
    <mergeCell ref="ITD614:ITF614"/>
    <mergeCell ref="ITH614:ITJ614"/>
    <mergeCell ref="ITL614:ITN614"/>
    <mergeCell ref="ITP614:ITR614"/>
    <mergeCell ref="ISF614:ISH614"/>
    <mergeCell ref="ISJ614:ISL614"/>
    <mergeCell ref="ISN614:ISP614"/>
    <mergeCell ref="ISR614:IST614"/>
    <mergeCell ref="ISV614:ISX614"/>
    <mergeCell ref="IRL614:IRN614"/>
    <mergeCell ref="IRP614:IRR614"/>
    <mergeCell ref="IRT614:IRV614"/>
    <mergeCell ref="IRX614:IRZ614"/>
    <mergeCell ref="ISB614:ISD614"/>
    <mergeCell ref="IQR614:IQT614"/>
    <mergeCell ref="IQV614:IQX614"/>
    <mergeCell ref="IQZ614:IRB614"/>
    <mergeCell ref="IRD614:IRF614"/>
    <mergeCell ref="IRH614:IRJ614"/>
    <mergeCell ref="IPX614:IPZ614"/>
    <mergeCell ref="IQB614:IQD614"/>
    <mergeCell ref="IQF614:IQH614"/>
    <mergeCell ref="IQJ614:IQL614"/>
    <mergeCell ref="IQN614:IQP614"/>
    <mergeCell ref="IPD614:IPF614"/>
    <mergeCell ref="IPH614:IPJ614"/>
    <mergeCell ref="IPL614:IPN614"/>
    <mergeCell ref="IPP614:IPR614"/>
    <mergeCell ref="IPT614:IPV614"/>
    <mergeCell ref="IOJ614:IOL614"/>
    <mergeCell ref="ION614:IOP614"/>
    <mergeCell ref="IOR614:IOT614"/>
    <mergeCell ref="IOV614:IOX614"/>
    <mergeCell ref="IOZ614:IPB614"/>
    <mergeCell ref="IYJ614:IYL614"/>
    <mergeCell ref="IYN614:IYP614"/>
    <mergeCell ref="IYR614:IYT614"/>
    <mergeCell ref="IYV614:IYX614"/>
    <mergeCell ref="IYZ614:IZB614"/>
    <mergeCell ref="IXP614:IXR614"/>
    <mergeCell ref="IXT614:IXV614"/>
    <mergeCell ref="IXX614:IXZ614"/>
    <mergeCell ref="IYB614:IYD614"/>
    <mergeCell ref="IYF614:IYH614"/>
    <mergeCell ref="IWV614:IWX614"/>
    <mergeCell ref="IWZ614:IXB614"/>
    <mergeCell ref="IXD614:IXF614"/>
    <mergeCell ref="IXH614:IXJ614"/>
    <mergeCell ref="IXL614:IXN614"/>
    <mergeCell ref="IWB614:IWD614"/>
    <mergeCell ref="IWF614:IWH614"/>
    <mergeCell ref="IWJ614:IWL614"/>
    <mergeCell ref="IWN614:IWP614"/>
    <mergeCell ref="IWR614:IWT614"/>
    <mergeCell ref="IVH614:IVJ614"/>
    <mergeCell ref="IVL614:IVN614"/>
    <mergeCell ref="IVP614:IVR614"/>
    <mergeCell ref="IVT614:IVV614"/>
    <mergeCell ref="IVX614:IVZ614"/>
    <mergeCell ref="IUN614:IUP614"/>
    <mergeCell ref="IUR614:IUT614"/>
    <mergeCell ref="IUV614:IUX614"/>
    <mergeCell ref="IUZ614:IVB614"/>
    <mergeCell ref="IVD614:IVF614"/>
    <mergeCell ref="ITT614:ITV614"/>
    <mergeCell ref="ITX614:ITZ614"/>
    <mergeCell ref="IUB614:IUD614"/>
    <mergeCell ref="IUF614:IUH614"/>
    <mergeCell ref="IUJ614:IUL614"/>
    <mergeCell ref="JDT614:JDV614"/>
    <mergeCell ref="JDX614:JDZ614"/>
    <mergeCell ref="JEB614:JED614"/>
    <mergeCell ref="JEF614:JEH614"/>
    <mergeCell ref="JEJ614:JEL614"/>
    <mergeCell ref="JCZ614:JDB614"/>
    <mergeCell ref="JDD614:JDF614"/>
    <mergeCell ref="JDH614:JDJ614"/>
    <mergeCell ref="JDL614:JDN614"/>
    <mergeCell ref="JDP614:JDR614"/>
    <mergeCell ref="JCF614:JCH614"/>
    <mergeCell ref="JCJ614:JCL614"/>
    <mergeCell ref="JCN614:JCP614"/>
    <mergeCell ref="JCR614:JCT614"/>
    <mergeCell ref="JCV614:JCX614"/>
    <mergeCell ref="JBL614:JBN614"/>
    <mergeCell ref="JBP614:JBR614"/>
    <mergeCell ref="JBT614:JBV614"/>
    <mergeCell ref="JBX614:JBZ614"/>
    <mergeCell ref="JCB614:JCD614"/>
    <mergeCell ref="JAR614:JAT614"/>
    <mergeCell ref="JAV614:JAX614"/>
    <mergeCell ref="JAZ614:JBB614"/>
    <mergeCell ref="JBD614:JBF614"/>
    <mergeCell ref="JBH614:JBJ614"/>
    <mergeCell ref="IZX614:IZZ614"/>
    <mergeCell ref="JAB614:JAD614"/>
    <mergeCell ref="JAF614:JAH614"/>
    <mergeCell ref="JAJ614:JAL614"/>
    <mergeCell ref="JAN614:JAP614"/>
    <mergeCell ref="IZD614:IZF614"/>
    <mergeCell ref="IZH614:IZJ614"/>
    <mergeCell ref="IZL614:IZN614"/>
    <mergeCell ref="IZP614:IZR614"/>
    <mergeCell ref="IZT614:IZV614"/>
    <mergeCell ref="JJD614:JJF614"/>
    <mergeCell ref="JJH614:JJJ614"/>
    <mergeCell ref="JJL614:JJN614"/>
    <mergeCell ref="JJP614:JJR614"/>
    <mergeCell ref="JJT614:JJV614"/>
    <mergeCell ref="JIJ614:JIL614"/>
    <mergeCell ref="JIN614:JIP614"/>
    <mergeCell ref="JIR614:JIT614"/>
    <mergeCell ref="JIV614:JIX614"/>
    <mergeCell ref="JIZ614:JJB614"/>
    <mergeCell ref="JHP614:JHR614"/>
    <mergeCell ref="JHT614:JHV614"/>
    <mergeCell ref="JHX614:JHZ614"/>
    <mergeCell ref="JIB614:JID614"/>
    <mergeCell ref="JIF614:JIH614"/>
    <mergeCell ref="JGV614:JGX614"/>
    <mergeCell ref="JGZ614:JHB614"/>
    <mergeCell ref="JHD614:JHF614"/>
    <mergeCell ref="JHH614:JHJ614"/>
    <mergeCell ref="JHL614:JHN614"/>
    <mergeCell ref="JGB614:JGD614"/>
    <mergeCell ref="JGF614:JGH614"/>
    <mergeCell ref="JGJ614:JGL614"/>
    <mergeCell ref="JGN614:JGP614"/>
    <mergeCell ref="JGR614:JGT614"/>
    <mergeCell ref="JFH614:JFJ614"/>
    <mergeCell ref="JFL614:JFN614"/>
    <mergeCell ref="JFP614:JFR614"/>
    <mergeCell ref="JFT614:JFV614"/>
    <mergeCell ref="JFX614:JFZ614"/>
    <mergeCell ref="JEN614:JEP614"/>
    <mergeCell ref="JER614:JET614"/>
    <mergeCell ref="JEV614:JEX614"/>
    <mergeCell ref="JEZ614:JFB614"/>
    <mergeCell ref="JFD614:JFF614"/>
    <mergeCell ref="JON614:JOP614"/>
    <mergeCell ref="JOR614:JOT614"/>
    <mergeCell ref="JOV614:JOX614"/>
    <mergeCell ref="JOZ614:JPB614"/>
    <mergeCell ref="JPD614:JPF614"/>
    <mergeCell ref="JNT614:JNV614"/>
    <mergeCell ref="JNX614:JNZ614"/>
    <mergeCell ref="JOB614:JOD614"/>
    <mergeCell ref="JOF614:JOH614"/>
    <mergeCell ref="JOJ614:JOL614"/>
    <mergeCell ref="JMZ614:JNB614"/>
    <mergeCell ref="JND614:JNF614"/>
    <mergeCell ref="JNH614:JNJ614"/>
    <mergeCell ref="JNL614:JNN614"/>
    <mergeCell ref="JNP614:JNR614"/>
    <mergeCell ref="JMF614:JMH614"/>
    <mergeCell ref="JMJ614:JML614"/>
    <mergeCell ref="JMN614:JMP614"/>
    <mergeCell ref="JMR614:JMT614"/>
    <mergeCell ref="JMV614:JMX614"/>
    <mergeCell ref="JLL614:JLN614"/>
    <mergeCell ref="JLP614:JLR614"/>
    <mergeCell ref="JLT614:JLV614"/>
    <mergeCell ref="JLX614:JLZ614"/>
    <mergeCell ref="JMB614:JMD614"/>
    <mergeCell ref="JKR614:JKT614"/>
    <mergeCell ref="JKV614:JKX614"/>
    <mergeCell ref="JKZ614:JLB614"/>
    <mergeCell ref="JLD614:JLF614"/>
    <mergeCell ref="JLH614:JLJ614"/>
    <mergeCell ref="JJX614:JJZ614"/>
    <mergeCell ref="JKB614:JKD614"/>
    <mergeCell ref="JKF614:JKH614"/>
    <mergeCell ref="JKJ614:JKL614"/>
    <mergeCell ref="JKN614:JKP614"/>
    <mergeCell ref="JTX614:JTZ614"/>
    <mergeCell ref="JUB614:JUD614"/>
    <mergeCell ref="JUF614:JUH614"/>
    <mergeCell ref="JUJ614:JUL614"/>
    <mergeCell ref="JUN614:JUP614"/>
    <mergeCell ref="JTD614:JTF614"/>
    <mergeCell ref="JTH614:JTJ614"/>
    <mergeCell ref="JTL614:JTN614"/>
    <mergeCell ref="JTP614:JTR614"/>
    <mergeCell ref="JTT614:JTV614"/>
    <mergeCell ref="JSJ614:JSL614"/>
    <mergeCell ref="JSN614:JSP614"/>
    <mergeCell ref="JSR614:JST614"/>
    <mergeCell ref="JSV614:JSX614"/>
    <mergeCell ref="JSZ614:JTB614"/>
    <mergeCell ref="JRP614:JRR614"/>
    <mergeCell ref="JRT614:JRV614"/>
    <mergeCell ref="JRX614:JRZ614"/>
    <mergeCell ref="JSB614:JSD614"/>
    <mergeCell ref="JSF614:JSH614"/>
    <mergeCell ref="JQV614:JQX614"/>
    <mergeCell ref="JQZ614:JRB614"/>
    <mergeCell ref="JRD614:JRF614"/>
    <mergeCell ref="JRH614:JRJ614"/>
    <mergeCell ref="JRL614:JRN614"/>
    <mergeCell ref="JQB614:JQD614"/>
    <mergeCell ref="JQF614:JQH614"/>
    <mergeCell ref="JQJ614:JQL614"/>
    <mergeCell ref="JQN614:JQP614"/>
    <mergeCell ref="JQR614:JQT614"/>
    <mergeCell ref="JPH614:JPJ614"/>
    <mergeCell ref="JPL614:JPN614"/>
    <mergeCell ref="JPP614:JPR614"/>
    <mergeCell ref="JPT614:JPV614"/>
    <mergeCell ref="JPX614:JPZ614"/>
    <mergeCell ref="JZH614:JZJ614"/>
    <mergeCell ref="JZL614:JZN614"/>
    <mergeCell ref="JZP614:JZR614"/>
    <mergeCell ref="JZT614:JZV614"/>
    <mergeCell ref="JZX614:JZZ614"/>
    <mergeCell ref="JYN614:JYP614"/>
    <mergeCell ref="JYR614:JYT614"/>
    <mergeCell ref="JYV614:JYX614"/>
    <mergeCell ref="JYZ614:JZB614"/>
    <mergeCell ref="JZD614:JZF614"/>
    <mergeCell ref="JXT614:JXV614"/>
    <mergeCell ref="JXX614:JXZ614"/>
    <mergeCell ref="JYB614:JYD614"/>
    <mergeCell ref="JYF614:JYH614"/>
    <mergeCell ref="JYJ614:JYL614"/>
    <mergeCell ref="JWZ614:JXB614"/>
    <mergeCell ref="JXD614:JXF614"/>
    <mergeCell ref="JXH614:JXJ614"/>
    <mergeCell ref="JXL614:JXN614"/>
    <mergeCell ref="JXP614:JXR614"/>
    <mergeCell ref="JWF614:JWH614"/>
    <mergeCell ref="JWJ614:JWL614"/>
    <mergeCell ref="JWN614:JWP614"/>
    <mergeCell ref="JWR614:JWT614"/>
    <mergeCell ref="JWV614:JWX614"/>
    <mergeCell ref="JVL614:JVN614"/>
    <mergeCell ref="JVP614:JVR614"/>
    <mergeCell ref="JVT614:JVV614"/>
    <mergeCell ref="JVX614:JVZ614"/>
    <mergeCell ref="JWB614:JWD614"/>
    <mergeCell ref="JUR614:JUT614"/>
    <mergeCell ref="JUV614:JUX614"/>
    <mergeCell ref="JUZ614:JVB614"/>
    <mergeCell ref="JVD614:JVF614"/>
    <mergeCell ref="JVH614:JVJ614"/>
    <mergeCell ref="KER614:KET614"/>
    <mergeCell ref="KEV614:KEX614"/>
    <mergeCell ref="KEZ614:KFB614"/>
    <mergeCell ref="KFD614:KFF614"/>
    <mergeCell ref="KFH614:KFJ614"/>
    <mergeCell ref="KDX614:KDZ614"/>
    <mergeCell ref="KEB614:KED614"/>
    <mergeCell ref="KEF614:KEH614"/>
    <mergeCell ref="KEJ614:KEL614"/>
    <mergeCell ref="KEN614:KEP614"/>
    <mergeCell ref="KDD614:KDF614"/>
    <mergeCell ref="KDH614:KDJ614"/>
    <mergeCell ref="KDL614:KDN614"/>
    <mergeCell ref="KDP614:KDR614"/>
    <mergeCell ref="KDT614:KDV614"/>
    <mergeCell ref="KCJ614:KCL614"/>
    <mergeCell ref="KCN614:KCP614"/>
    <mergeCell ref="KCR614:KCT614"/>
    <mergeCell ref="KCV614:KCX614"/>
    <mergeCell ref="KCZ614:KDB614"/>
    <mergeCell ref="KBP614:KBR614"/>
    <mergeCell ref="KBT614:KBV614"/>
    <mergeCell ref="KBX614:KBZ614"/>
    <mergeCell ref="KCB614:KCD614"/>
    <mergeCell ref="KCF614:KCH614"/>
    <mergeCell ref="KAV614:KAX614"/>
    <mergeCell ref="KAZ614:KBB614"/>
    <mergeCell ref="KBD614:KBF614"/>
    <mergeCell ref="KBH614:KBJ614"/>
    <mergeCell ref="KBL614:KBN614"/>
    <mergeCell ref="KAB614:KAD614"/>
    <mergeCell ref="KAF614:KAH614"/>
    <mergeCell ref="KAJ614:KAL614"/>
    <mergeCell ref="KAN614:KAP614"/>
    <mergeCell ref="KAR614:KAT614"/>
    <mergeCell ref="KKB614:KKD614"/>
    <mergeCell ref="KKF614:KKH614"/>
    <mergeCell ref="KKJ614:KKL614"/>
    <mergeCell ref="KKN614:KKP614"/>
    <mergeCell ref="KKR614:KKT614"/>
    <mergeCell ref="KJH614:KJJ614"/>
    <mergeCell ref="KJL614:KJN614"/>
    <mergeCell ref="KJP614:KJR614"/>
    <mergeCell ref="KJT614:KJV614"/>
    <mergeCell ref="KJX614:KJZ614"/>
    <mergeCell ref="KIN614:KIP614"/>
    <mergeCell ref="KIR614:KIT614"/>
    <mergeCell ref="KIV614:KIX614"/>
    <mergeCell ref="KIZ614:KJB614"/>
    <mergeCell ref="KJD614:KJF614"/>
    <mergeCell ref="KHT614:KHV614"/>
    <mergeCell ref="KHX614:KHZ614"/>
    <mergeCell ref="KIB614:KID614"/>
    <mergeCell ref="KIF614:KIH614"/>
    <mergeCell ref="KIJ614:KIL614"/>
    <mergeCell ref="KGZ614:KHB614"/>
    <mergeCell ref="KHD614:KHF614"/>
    <mergeCell ref="KHH614:KHJ614"/>
    <mergeCell ref="KHL614:KHN614"/>
    <mergeCell ref="KHP614:KHR614"/>
    <mergeCell ref="KGF614:KGH614"/>
    <mergeCell ref="KGJ614:KGL614"/>
    <mergeCell ref="KGN614:KGP614"/>
    <mergeCell ref="KGR614:KGT614"/>
    <mergeCell ref="KGV614:KGX614"/>
    <mergeCell ref="KFL614:KFN614"/>
    <mergeCell ref="KFP614:KFR614"/>
    <mergeCell ref="KFT614:KFV614"/>
    <mergeCell ref="KFX614:KFZ614"/>
    <mergeCell ref="KGB614:KGD614"/>
    <mergeCell ref="KPL614:KPN614"/>
    <mergeCell ref="KPP614:KPR614"/>
    <mergeCell ref="KPT614:KPV614"/>
    <mergeCell ref="KPX614:KPZ614"/>
    <mergeCell ref="KQB614:KQD614"/>
    <mergeCell ref="KOR614:KOT614"/>
    <mergeCell ref="KOV614:KOX614"/>
    <mergeCell ref="KOZ614:KPB614"/>
    <mergeCell ref="KPD614:KPF614"/>
    <mergeCell ref="KPH614:KPJ614"/>
    <mergeCell ref="KNX614:KNZ614"/>
    <mergeCell ref="KOB614:KOD614"/>
    <mergeCell ref="KOF614:KOH614"/>
    <mergeCell ref="KOJ614:KOL614"/>
    <mergeCell ref="KON614:KOP614"/>
    <mergeCell ref="KND614:KNF614"/>
    <mergeCell ref="KNH614:KNJ614"/>
    <mergeCell ref="KNL614:KNN614"/>
    <mergeCell ref="KNP614:KNR614"/>
    <mergeCell ref="KNT614:KNV614"/>
    <mergeCell ref="KMJ614:KML614"/>
    <mergeCell ref="KMN614:KMP614"/>
    <mergeCell ref="KMR614:KMT614"/>
    <mergeCell ref="KMV614:KMX614"/>
    <mergeCell ref="KMZ614:KNB614"/>
    <mergeCell ref="KLP614:KLR614"/>
    <mergeCell ref="KLT614:KLV614"/>
    <mergeCell ref="KLX614:KLZ614"/>
    <mergeCell ref="KMB614:KMD614"/>
    <mergeCell ref="KMF614:KMH614"/>
    <mergeCell ref="KKV614:KKX614"/>
    <mergeCell ref="KKZ614:KLB614"/>
    <mergeCell ref="KLD614:KLF614"/>
    <mergeCell ref="KLH614:KLJ614"/>
    <mergeCell ref="KLL614:KLN614"/>
    <mergeCell ref="KUV614:KUX614"/>
    <mergeCell ref="KUZ614:KVB614"/>
    <mergeCell ref="KVD614:KVF614"/>
    <mergeCell ref="KVH614:KVJ614"/>
    <mergeCell ref="KVL614:KVN614"/>
    <mergeCell ref="KUB614:KUD614"/>
    <mergeCell ref="KUF614:KUH614"/>
    <mergeCell ref="KUJ614:KUL614"/>
    <mergeCell ref="KUN614:KUP614"/>
    <mergeCell ref="KUR614:KUT614"/>
    <mergeCell ref="KTH614:KTJ614"/>
    <mergeCell ref="KTL614:KTN614"/>
    <mergeCell ref="KTP614:KTR614"/>
    <mergeCell ref="KTT614:KTV614"/>
    <mergeCell ref="KTX614:KTZ614"/>
    <mergeCell ref="KSN614:KSP614"/>
    <mergeCell ref="KSR614:KST614"/>
    <mergeCell ref="KSV614:KSX614"/>
    <mergeCell ref="KSZ614:KTB614"/>
    <mergeCell ref="KTD614:KTF614"/>
    <mergeCell ref="KRT614:KRV614"/>
    <mergeCell ref="KRX614:KRZ614"/>
    <mergeCell ref="KSB614:KSD614"/>
    <mergeCell ref="KSF614:KSH614"/>
    <mergeCell ref="KSJ614:KSL614"/>
    <mergeCell ref="KQZ614:KRB614"/>
    <mergeCell ref="KRD614:KRF614"/>
    <mergeCell ref="KRH614:KRJ614"/>
    <mergeCell ref="KRL614:KRN614"/>
    <mergeCell ref="KRP614:KRR614"/>
    <mergeCell ref="KQF614:KQH614"/>
    <mergeCell ref="KQJ614:KQL614"/>
    <mergeCell ref="KQN614:KQP614"/>
    <mergeCell ref="KQR614:KQT614"/>
    <mergeCell ref="KQV614:KQX614"/>
    <mergeCell ref="LAF614:LAH614"/>
    <mergeCell ref="LAJ614:LAL614"/>
    <mergeCell ref="LAN614:LAP614"/>
    <mergeCell ref="LAR614:LAT614"/>
    <mergeCell ref="LAV614:LAX614"/>
    <mergeCell ref="KZL614:KZN614"/>
    <mergeCell ref="KZP614:KZR614"/>
    <mergeCell ref="KZT614:KZV614"/>
    <mergeCell ref="KZX614:KZZ614"/>
    <mergeCell ref="LAB614:LAD614"/>
    <mergeCell ref="KYR614:KYT614"/>
    <mergeCell ref="KYV614:KYX614"/>
    <mergeCell ref="KYZ614:KZB614"/>
    <mergeCell ref="KZD614:KZF614"/>
    <mergeCell ref="KZH614:KZJ614"/>
    <mergeCell ref="KXX614:KXZ614"/>
    <mergeCell ref="KYB614:KYD614"/>
    <mergeCell ref="KYF614:KYH614"/>
    <mergeCell ref="KYJ614:KYL614"/>
    <mergeCell ref="KYN614:KYP614"/>
    <mergeCell ref="KXD614:KXF614"/>
    <mergeCell ref="KXH614:KXJ614"/>
    <mergeCell ref="KXL614:KXN614"/>
    <mergeCell ref="KXP614:KXR614"/>
    <mergeCell ref="KXT614:KXV614"/>
    <mergeCell ref="KWJ614:KWL614"/>
    <mergeCell ref="KWN614:KWP614"/>
    <mergeCell ref="KWR614:KWT614"/>
    <mergeCell ref="KWV614:KWX614"/>
    <mergeCell ref="KWZ614:KXB614"/>
    <mergeCell ref="KVP614:KVR614"/>
    <mergeCell ref="KVT614:KVV614"/>
    <mergeCell ref="KVX614:KVZ614"/>
    <mergeCell ref="KWB614:KWD614"/>
    <mergeCell ref="KWF614:KWH614"/>
    <mergeCell ref="LFP614:LFR614"/>
    <mergeCell ref="LFT614:LFV614"/>
    <mergeCell ref="LFX614:LFZ614"/>
    <mergeCell ref="LGB614:LGD614"/>
    <mergeCell ref="LGF614:LGH614"/>
    <mergeCell ref="LEV614:LEX614"/>
    <mergeCell ref="LEZ614:LFB614"/>
    <mergeCell ref="LFD614:LFF614"/>
    <mergeCell ref="LFH614:LFJ614"/>
    <mergeCell ref="LFL614:LFN614"/>
    <mergeCell ref="LEB614:LED614"/>
    <mergeCell ref="LEF614:LEH614"/>
    <mergeCell ref="LEJ614:LEL614"/>
    <mergeCell ref="LEN614:LEP614"/>
    <mergeCell ref="LER614:LET614"/>
    <mergeCell ref="LDH614:LDJ614"/>
    <mergeCell ref="LDL614:LDN614"/>
    <mergeCell ref="LDP614:LDR614"/>
    <mergeCell ref="LDT614:LDV614"/>
    <mergeCell ref="LDX614:LDZ614"/>
    <mergeCell ref="LCN614:LCP614"/>
    <mergeCell ref="LCR614:LCT614"/>
    <mergeCell ref="LCV614:LCX614"/>
    <mergeCell ref="LCZ614:LDB614"/>
    <mergeCell ref="LDD614:LDF614"/>
    <mergeCell ref="LBT614:LBV614"/>
    <mergeCell ref="LBX614:LBZ614"/>
    <mergeCell ref="LCB614:LCD614"/>
    <mergeCell ref="LCF614:LCH614"/>
    <mergeCell ref="LCJ614:LCL614"/>
    <mergeCell ref="LAZ614:LBB614"/>
    <mergeCell ref="LBD614:LBF614"/>
    <mergeCell ref="LBH614:LBJ614"/>
    <mergeCell ref="LBL614:LBN614"/>
    <mergeCell ref="LBP614:LBR614"/>
    <mergeCell ref="LKZ614:LLB614"/>
    <mergeCell ref="LLD614:LLF614"/>
    <mergeCell ref="LLH614:LLJ614"/>
    <mergeCell ref="LLL614:LLN614"/>
    <mergeCell ref="LLP614:LLR614"/>
    <mergeCell ref="LKF614:LKH614"/>
    <mergeCell ref="LKJ614:LKL614"/>
    <mergeCell ref="LKN614:LKP614"/>
    <mergeCell ref="LKR614:LKT614"/>
    <mergeCell ref="LKV614:LKX614"/>
    <mergeCell ref="LJL614:LJN614"/>
    <mergeCell ref="LJP614:LJR614"/>
    <mergeCell ref="LJT614:LJV614"/>
    <mergeCell ref="LJX614:LJZ614"/>
    <mergeCell ref="LKB614:LKD614"/>
    <mergeCell ref="LIR614:LIT614"/>
    <mergeCell ref="LIV614:LIX614"/>
    <mergeCell ref="LIZ614:LJB614"/>
    <mergeCell ref="LJD614:LJF614"/>
    <mergeCell ref="LJH614:LJJ614"/>
    <mergeCell ref="LHX614:LHZ614"/>
    <mergeCell ref="LIB614:LID614"/>
    <mergeCell ref="LIF614:LIH614"/>
    <mergeCell ref="LIJ614:LIL614"/>
    <mergeCell ref="LIN614:LIP614"/>
    <mergeCell ref="LHD614:LHF614"/>
    <mergeCell ref="LHH614:LHJ614"/>
    <mergeCell ref="LHL614:LHN614"/>
    <mergeCell ref="LHP614:LHR614"/>
    <mergeCell ref="LHT614:LHV614"/>
    <mergeCell ref="LGJ614:LGL614"/>
    <mergeCell ref="LGN614:LGP614"/>
    <mergeCell ref="LGR614:LGT614"/>
    <mergeCell ref="LGV614:LGX614"/>
    <mergeCell ref="LGZ614:LHB614"/>
    <mergeCell ref="LQJ614:LQL614"/>
    <mergeCell ref="LQN614:LQP614"/>
    <mergeCell ref="LQR614:LQT614"/>
    <mergeCell ref="LQV614:LQX614"/>
    <mergeCell ref="LQZ614:LRB614"/>
    <mergeCell ref="LPP614:LPR614"/>
    <mergeCell ref="LPT614:LPV614"/>
    <mergeCell ref="LPX614:LPZ614"/>
    <mergeCell ref="LQB614:LQD614"/>
    <mergeCell ref="LQF614:LQH614"/>
    <mergeCell ref="LOV614:LOX614"/>
    <mergeCell ref="LOZ614:LPB614"/>
    <mergeCell ref="LPD614:LPF614"/>
    <mergeCell ref="LPH614:LPJ614"/>
    <mergeCell ref="LPL614:LPN614"/>
    <mergeCell ref="LOB614:LOD614"/>
    <mergeCell ref="LOF614:LOH614"/>
    <mergeCell ref="LOJ614:LOL614"/>
    <mergeCell ref="LON614:LOP614"/>
    <mergeCell ref="LOR614:LOT614"/>
    <mergeCell ref="LNH614:LNJ614"/>
    <mergeCell ref="LNL614:LNN614"/>
    <mergeCell ref="LNP614:LNR614"/>
    <mergeCell ref="LNT614:LNV614"/>
    <mergeCell ref="LNX614:LNZ614"/>
    <mergeCell ref="LMN614:LMP614"/>
    <mergeCell ref="LMR614:LMT614"/>
    <mergeCell ref="LMV614:LMX614"/>
    <mergeCell ref="LMZ614:LNB614"/>
    <mergeCell ref="LND614:LNF614"/>
    <mergeCell ref="LLT614:LLV614"/>
    <mergeCell ref="LLX614:LLZ614"/>
    <mergeCell ref="LMB614:LMD614"/>
    <mergeCell ref="LMF614:LMH614"/>
    <mergeCell ref="LMJ614:LML614"/>
    <mergeCell ref="LVT614:LVV614"/>
    <mergeCell ref="LVX614:LVZ614"/>
    <mergeCell ref="LWB614:LWD614"/>
    <mergeCell ref="LWF614:LWH614"/>
    <mergeCell ref="LWJ614:LWL614"/>
    <mergeCell ref="LUZ614:LVB614"/>
    <mergeCell ref="LVD614:LVF614"/>
    <mergeCell ref="LVH614:LVJ614"/>
    <mergeCell ref="LVL614:LVN614"/>
    <mergeCell ref="LVP614:LVR614"/>
    <mergeCell ref="LUF614:LUH614"/>
    <mergeCell ref="LUJ614:LUL614"/>
    <mergeCell ref="LUN614:LUP614"/>
    <mergeCell ref="LUR614:LUT614"/>
    <mergeCell ref="LUV614:LUX614"/>
    <mergeCell ref="LTL614:LTN614"/>
    <mergeCell ref="LTP614:LTR614"/>
    <mergeCell ref="LTT614:LTV614"/>
    <mergeCell ref="LTX614:LTZ614"/>
    <mergeCell ref="LUB614:LUD614"/>
    <mergeCell ref="LSR614:LST614"/>
    <mergeCell ref="LSV614:LSX614"/>
    <mergeCell ref="LSZ614:LTB614"/>
    <mergeCell ref="LTD614:LTF614"/>
    <mergeCell ref="LTH614:LTJ614"/>
    <mergeCell ref="LRX614:LRZ614"/>
    <mergeCell ref="LSB614:LSD614"/>
    <mergeCell ref="LSF614:LSH614"/>
    <mergeCell ref="LSJ614:LSL614"/>
    <mergeCell ref="LSN614:LSP614"/>
    <mergeCell ref="LRD614:LRF614"/>
    <mergeCell ref="LRH614:LRJ614"/>
    <mergeCell ref="LRL614:LRN614"/>
    <mergeCell ref="LRP614:LRR614"/>
    <mergeCell ref="LRT614:LRV614"/>
    <mergeCell ref="MBD614:MBF614"/>
    <mergeCell ref="MBH614:MBJ614"/>
    <mergeCell ref="MBL614:MBN614"/>
    <mergeCell ref="MBP614:MBR614"/>
    <mergeCell ref="MBT614:MBV614"/>
    <mergeCell ref="MAJ614:MAL614"/>
    <mergeCell ref="MAN614:MAP614"/>
    <mergeCell ref="MAR614:MAT614"/>
    <mergeCell ref="MAV614:MAX614"/>
    <mergeCell ref="MAZ614:MBB614"/>
    <mergeCell ref="LZP614:LZR614"/>
    <mergeCell ref="LZT614:LZV614"/>
    <mergeCell ref="LZX614:LZZ614"/>
    <mergeCell ref="MAB614:MAD614"/>
    <mergeCell ref="MAF614:MAH614"/>
    <mergeCell ref="LYV614:LYX614"/>
    <mergeCell ref="LYZ614:LZB614"/>
    <mergeCell ref="LZD614:LZF614"/>
    <mergeCell ref="LZH614:LZJ614"/>
    <mergeCell ref="LZL614:LZN614"/>
    <mergeCell ref="LYB614:LYD614"/>
    <mergeCell ref="LYF614:LYH614"/>
    <mergeCell ref="LYJ614:LYL614"/>
    <mergeCell ref="LYN614:LYP614"/>
    <mergeCell ref="LYR614:LYT614"/>
    <mergeCell ref="LXH614:LXJ614"/>
    <mergeCell ref="LXL614:LXN614"/>
    <mergeCell ref="LXP614:LXR614"/>
    <mergeCell ref="LXT614:LXV614"/>
    <mergeCell ref="LXX614:LXZ614"/>
    <mergeCell ref="LWN614:LWP614"/>
    <mergeCell ref="LWR614:LWT614"/>
    <mergeCell ref="LWV614:LWX614"/>
    <mergeCell ref="LWZ614:LXB614"/>
    <mergeCell ref="LXD614:LXF614"/>
    <mergeCell ref="MGN614:MGP614"/>
    <mergeCell ref="MGR614:MGT614"/>
    <mergeCell ref="MGV614:MGX614"/>
    <mergeCell ref="MGZ614:MHB614"/>
    <mergeCell ref="MHD614:MHF614"/>
    <mergeCell ref="MFT614:MFV614"/>
    <mergeCell ref="MFX614:MFZ614"/>
    <mergeCell ref="MGB614:MGD614"/>
    <mergeCell ref="MGF614:MGH614"/>
    <mergeCell ref="MGJ614:MGL614"/>
    <mergeCell ref="MEZ614:MFB614"/>
    <mergeCell ref="MFD614:MFF614"/>
    <mergeCell ref="MFH614:MFJ614"/>
    <mergeCell ref="MFL614:MFN614"/>
    <mergeCell ref="MFP614:MFR614"/>
    <mergeCell ref="MEF614:MEH614"/>
    <mergeCell ref="MEJ614:MEL614"/>
    <mergeCell ref="MEN614:MEP614"/>
    <mergeCell ref="MER614:MET614"/>
    <mergeCell ref="MEV614:MEX614"/>
    <mergeCell ref="MDL614:MDN614"/>
    <mergeCell ref="MDP614:MDR614"/>
    <mergeCell ref="MDT614:MDV614"/>
    <mergeCell ref="MDX614:MDZ614"/>
    <mergeCell ref="MEB614:MED614"/>
    <mergeCell ref="MCR614:MCT614"/>
    <mergeCell ref="MCV614:MCX614"/>
    <mergeCell ref="MCZ614:MDB614"/>
    <mergeCell ref="MDD614:MDF614"/>
    <mergeCell ref="MDH614:MDJ614"/>
    <mergeCell ref="MBX614:MBZ614"/>
    <mergeCell ref="MCB614:MCD614"/>
    <mergeCell ref="MCF614:MCH614"/>
    <mergeCell ref="MCJ614:MCL614"/>
    <mergeCell ref="MCN614:MCP614"/>
    <mergeCell ref="MLX614:MLZ614"/>
    <mergeCell ref="MMB614:MMD614"/>
    <mergeCell ref="MMF614:MMH614"/>
    <mergeCell ref="MMJ614:MML614"/>
    <mergeCell ref="MMN614:MMP614"/>
    <mergeCell ref="MLD614:MLF614"/>
    <mergeCell ref="MLH614:MLJ614"/>
    <mergeCell ref="MLL614:MLN614"/>
    <mergeCell ref="MLP614:MLR614"/>
    <mergeCell ref="MLT614:MLV614"/>
    <mergeCell ref="MKJ614:MKL614"/>
    <mergeCell ref="MKN614:MKP614"/>
    <mergeCell ref="MKR614:MKT614"/>
    <mergeCell ref="MKV614:MKX614"/>
    <mergeCell ref="MKZ614:MLB614"/>
    <mergeCell ref="MJP614:MJR614"/>
    <mergeCell ref="MJT614:MJV614"/>
    <mergeCell ref="MJX614:MJZ614"/>
    <mergeCell ref="MKB614:MKD614"/>
    <mergeCell ref="MKF614:MKH614"/>
    <mergeCell ref="MIV614:MIX614"/>
    <mergeCell ref="MIZ614:MJB614"/>
    <mergeCell ref="MJD614:MJF614"/>
    <mergeCell ref="MJH614:MJJ614"/>
    <mergeCell ref="MJL614:MJN614"/>
    <mergeCell ref="MIB614:MID614"/>
    <mergeCell ref="MIF614:MIH614"/>
    <mergeCell ref="MIJ614:MIL614"/>
    <mergeCell ref="MIN614:MIP614"/>
    <mergeCell ref="MIR614:MIT614"/>
    <mergeCell ref="MHH614:MHJ614"/>
    <mergeCell ref="MHL614:MHN614"/>
    <mergeCell ref="MHP614:MHR614"/>
    <mergeCell ref="MHT614:MHV614"/>
    <mergeCell ref="MHX614:MHZ614"/>
    <mergeCell ref="MRH614:MRJ614"/>
    <mergeCell ref="MRL614:MRN614"/>
    <mergeCell ref="MRP614:MRR614"/>
    <mergeCell ref="MRT614:MRV614"/>
    <mergeCell ref="MRX614:MRZ614"/>
    <mergeCell ref="MQN614:MQP614"/>
    <mergeCell ref="MQR614:MQT614"/>
    <mergeCell ref="MQV614:MQX614"/>
    <mergeCell ref="MQZ614:MRB614"/>
    <mergeCell ref="MRD614:MRF614"/>
    <mergeCell ref="MPT614:MPV614"/>
    <mergeCell ref="MPX614:MPZ614"/>
    <mergeCell ref="MQB614:MQD614"/>
    <mergeCell ref="MQF614:MQH614"/>
    <mergeCell ref="MQJ614:MQL614"/>
    <mergeCell ref="MOZ614:MPB614"/>
    <mergeCell ref="MPD614:MPF614"/>
    <mergeCell ref="MPH614:MPJ614"/>
    <mergeCell ref="MPL614:MPN614"/>
    <mergeCell ref="MPP614:MPR614"/>
    <mergeCell ref="MOF614:MOH614"/>
    <mergeCell ref="MOJ614:MOL614"/>
    <mergeCell ref="MON614:MOP614"/>
    <mergeCell ref="MOR614:MOT614"/>
    <mergeCell ref="MOV614:MOX614"/>
    <mergeCell ref="MNL614:MNN614"/>
    <mergeCell ref="MNP614:MNR614"/>
    <mergeCell ref="MNT614:MNV614"/>
    <mergeCell ref="MNX614:MNZ614"/>
    <mergeCell ref="MOB614:MOD614"/>
    <mergeCell ref="MMR614:MMT614"/>
    <mergeCell ref="MMV614:MMX614"/>
    <mergeCell ref="MMZ614:MNB614"/>
    <mergeCell ref="MND614:MNF614"/>
    <mergeCell ref="MNH614:MNJ614"/>
    <mergeCell ref="MWR614:MWT614"/>
    <mergeCell ref="MWV614:MWX614"/>
    <mergeCell ref="MWZ614:MXB614"/>
    <mergeCell ref="MXD614:MXF614"/>
    <mergeCell ref="MXH614:MXJ614"/>
    <mergeCell ref="MVX614:MVZ614"/>
    <mergeCell ref="MWB614:MWD614"/>
    <mergeCell ref="MWF614:MWH614"/>
    <mergeCell ref="MWJ614:MWL614"/>
    <mergeCell ref="MWN614:MWP614"/>
    <mergeCell ref="MVD614:MVF614"/>
    <mergeCell ref="MVH614:MVJ614"/>
    <mergeCell ref="MVL614:MVN614"/>
    <mergeCell ref="MVP614:MVR614"/>
    <mergeCell ref="MVT614:MVV614"/>
    <mergeCell ref="MUJ614:MUL614"/>
    <mergeCell ref="MUN614:MUP614"/>
    <mergeCell ref="MUR614:MUT614"/>
    <mergeCell ref="MUV614:MUX614"/>
    <mergeCell ref="MUZ614:MVB614"/>
    <mergeCell ref="MTP614:MTR614"/>
    <mergeCell ref="MTT614:MTV614"/>
    <mergeCell ref="MTX614:MTZ614"/>
    <mergeCell ref="MUB614:MUD614"/>
    <mergeCell ref="MUF614:MUH614"/>
    <mergeCell ref="MSV614:MSX614"/>
    <mergeCell ref="MSZ614:MTB614"/>
    <mergeCell ref="MTD614:MTF614"/>
    <mergeCell ref="MTH614:MTJ614"/>
    <mergeCell ref="MTL614:MTN614"/>
    <mergeCell ref="MSB614:MSD614"/>
    <mergeCell ref="MSF614:MSH614"/>
    <mergeCell ref="MSJ614:MSL614"/>
    <mergeCell ref="MSN614:MSP614"/>
    <mergeCell ref="MSR614:MST614"/>
    <mergeCell ref="NCB614:NCD614"/>
    <mergeCell ref="NCF614:NCH614"/>
    <mergeCell ref="NCJ614:NCL614"/>
    <mergeCell ref="NCN614:NCP614"/>
    <mergeCell ref="NCR614:NCT614"/>
    <mergeCell ref="NBH614:NBJ614"/>
    <mergeCell ref="NBL614:NBN614"/>
    <mergeCell ref="NBP614:NBR614"/>
    <mergeCell ref="NBT614:NBV614"/>
    <mergeCell ref="NBX614:NBZ614"/>
    <mergeCell ref="NAN614:NAP614"/>
    <mergeCell ref="NAR614:NAT614"/>
    <mergeCell ref="NAV614:NAX614"/>
    <mergeCell ref="NAZ614:NBB614"/>
    <mergeCell ref="NBD614:NBF614"/>
    <mergeCell ref="MZT614:MZV614"/>
    <mergeCell ref="MZX614:MZZ614"/>
    <mergeCell ref="NAB614:NAD614"/>
    <mergeCell ref="NAF614:NAH614"/>
    <mergeCell ref="NAJ614:NAL614"/>
    <mergeCell ref="MYZ614:MZB614"/>
    <mergeCell ref="MZD614:MZF614"/>
    <mergeCell ref="MZH614:MZJ614"/>
    <mergeCell ref="MZL614:MZN614"/>
    <mergeCell ref="MZP614:MZR614"/>
    <mergeCell ref="MYF614:MYH614"/>
    <mergeCell ref="MYJ614:MYL614"/>
    <mergeCell ref="MYN614:MYP614"/>
    <mergeCell ref="MYR614:MYT614"/>
    <mergeCell ref="MYV614:MYX614"/>
    <mergeCell ref="MXL614:MXN614"/>
    <mergeCell ref="MXP614:MXR614"/>
    <mergeCell ref="MXT614:MXV614"/>
    <mergeCell ref="MXX614:MXZ614"/>
    <mergeCell ref="MYB614:MYD614"/>
    <mergeCell ref="NHL614:NHN614"/>
    <mergeCell ref="NHP614:NHR614"/>
    <mergeCell ref="NHT614:NHV614"/>
    <mergeCell ref="NHX614:NHZ614"/>
    <mergeCell ref="NIB614:NID614"/>
    <mergeCell ref="NGR614:NGT614"/>
    <mergeCell ref="NGV614:NGX614"/>
    <mergeCell ref="NGZ614:NHB614"/>
    <mergeCell ref="NHD614:NHF614"/>
    <mergeCell ref="NHH614:NHJ614"/>
    <mergeCell ref="NFX614:NFZ614"/>
    <mergeCell ref="NGB614:NGD614"/>
    <mergeCell ref="NGF614:NGH614"/>
    <mergeCell ref="NGJ614:NGL614"/>
    <mergeCell ref="NGN614:NGP614"/>
    <mergeCell ref="NFD614:NFF614"/>
    <mergeCell ref="NFH614:NFJ614"/>
    <mergeCell ref="NFL614:NFN614"/>
    <mergeCell ref="NFP614:NFR614"/>
    <mergeCell ref="NFT614:NFV614"/>
    <mergeCell ref="NEJ614:NEL614"/>
    <mergeCell ref="NEN614:NEP614"/>
    <mergeCell ref="NER614:NET614"/>
    <mergeCell ref="NEV614:NEX614"/>
    <mergeCell ref="NEZ614:NFB614"/>
    <mergeCell ref="NDP614:NDR614"/>
    <mergeCell ref="NDT614:NDV614"/>
    <mergeCell ref="NDX614:NDZ614"/>
    <mergeCell ref="NEB614:NED614"/>
    <mergeCell ref="NEF614:NEH614"/>
    <mergeCell ref="NCV614:NCX614"/>
    <mergeCell ref="NCZ614:NDB614"/>
    <mergeCell ref="NDD614:NDF614"/>
    <mergeCell ref="NDH614:NDJ614"/>
    <mergeCell ref="NDL614:NDN614"/>
    <mergeCell ref="NMV614:NMX614"/>
    <mergeCell ref="NMZ614:NNB614"/>
    <mergeCell ref="NND614:NNF614"/>
    <mergeCell ref="NNH614:NNJ614"/>
    <mergeCell ref="NNL614:NNN614"/>
    <mergeCell ref="NMB614:NMD614"/>
    <mergeCell ref="NMF614:NMH614"/>
    <mergeCell ref="NMJ614:NML614"/>
    <mergeCell ref="NMN614:NMP614"/>
    <mergeCell ref="NMR614:NMT614"/>
    <mergeCell ref="NLH614:NLJ614"/>
    <mergeCell ref="NLL614:NLN614"/>
    <mergeCell ref="NLP614:NLR614"/>
    <mergeCell ref="NLT614:NLV614"/>
    <mergeCell ref="NLX614:NLZ614"/>
    <mergeCell ref="NKN614:NKP614"/>
    <mergeCell ref="NKR614:NKT614"/>
    <mergeCell ref="NKV614:NKX614"/>
    <mergeCell ref="NKZ614:NLB614"/>
    <mergeCell ref="NLD614:NLF614"/>
    <mergeCell ref="NJT614:NJV614"/>
    <mergeCell ref="NJX614:NJZ614"/>
    <mergeCell ref="NKB614:NKD614"/>
    <mergeCell ref="NKF614:NKH614"/>
    <mergeCell ref="NKJ614:NKL614"/>
    <mergeCell ref="NIZ614:NJB614"/>
    <mergeCell ref="NJD614:NJF614"/>
    <mergeCell ref="NJH614:NJJ614"/>
    <mergeCell ref="NJL614:NJN614"/>
    <mergeCell ref="NJP614:NJR614"/>
    <mergeCell ref="NIF614:NIH614"/>
    <mergeCell ref="NIJ614:NIL614"/>
    <mergeCell ref="NIN614:NIP614"/>
    <mergeCell ref="NIR614:NIT614"/>
    <mergeCell ref="NIV614:NIX614"/>
    <mergeCell ref="NSF614:NSH614"/>
    <mergeCell ref="NSJ614:NSL614"/>
    <mergeCell ref="NSN614:NSP614"/>
    <mergeCell ref="NSR614:NST614"/>
    <mergeCell ref="NSV614:NSX614"/>
    <mergeCell ref="NRL614:NRN614"/>
    <mergeCell ref="NRP614:NRR614"/>
    <mergeCell ref="NRT614:NRV614"/>
    <mergeCell ref="NRX614:NRZ614"/>
    <mergeCell ref="NSB614:NSD614"/>
    <mergeCell ref="NQR614:NQT614"/>
    <mergeCell ref="NQV614:NQX614"/>
    <mergeCell ref="NQZ614:NRB614"/>
    <mergeCell ref="NRD614:NRF614"/>
    <mergeCell ref="NRH614:NRJ614"/>
    <mergeCell ref="NPX614:NPZ614"/>
    <mergeCell ref="NQB614:NQD614"/>
    <mergeCell ref="NQF614:NQH614"/>
    <mergeCell ref="NQJ614:NQL614"/>
    <mergeCell ref="NQN614:NQP614"/>
    <mergeCell ref="NPD614:NPF614"/>
    <mergeCell ref="NPH614:NPJ614"/>
    <mergeCell ref="NPL614:NPN614"/>
    <mergeCell ref="NPP614:NPR614"/>
    <mergeCell ref="NPT614:NPV614"/>
    <mergeCell ref="NOJ614:NOL614"/>
    <mergeCell ref="NON614:NOP614"/>
    <mergeCell ref="NOR614:NOT614"/>
    <mergeCell ref="NOV614:NOX614"/>
    <mergeCell ref="NOZ614:NPB614"/>
    <mergeCell ref="NNP614:NNR614"/>
    <mergeCell ref="NNT614:NNV614"/>
    <mergeCell ref="NNX614:NNZ614"/>
    <mergeCell ref="NOB614:NOD614"/>
    <mergeCell ref="NOF614:NOH614"/>
    <mergeCell ref="NXP614:NXR614"/>
    <mergeCell ref="NXT614:NXV614"/>
    <mergeCell ref="NXX614:NXZ614"/>
    <mergeCell ref="NYB614:NYD614"/>
    <mergeCell ref="NYF614:NYH614"/>
    <mergeCell ref="NWV614:NWX614"/>
    <mergeCell ref="NWZ614:NXB614"/>
    <mergeCell ref="NXD614:NXF614"/>
    <mergeCell ref="NXH614:NXJ614"/>
    <mergeCell ref="NXL614:NXN614"/>
    <mergeCell ref="NWB614:NWD614"/>
    <mergeCell ref="NWF614:NWH614"/>
    <mergeCell ref="NWJ614:NWL614"/>
    <mergeCell ref="NWN614:NWP614"/>
    <mergeCell ref="NWR614:NWT614"/>
    <mergeCell ref="NVH614:NVJ614"/>
    <mergeCell ref="NVL614:NVN614"/>
    <mergeCell ref="NVP614:NVR614"/>
    <mergeCell ref="NVT614:NVV614"/>
    <mergeCell ref="NVX614:NVZ614"/>
    <mergeCell ref="NUN614:NUP614"/>
    <mergeCell ref="NUR614:NUT614"/>
    <mergeCell ref="NUV614:NUX614"/>
    <mergeCell ref="NUZ614:NVB614"/>
    <mergeCell ref="NVD614:NVF614"/>
    <mergeCell ref="NTT614:NTV614"/>
    <mergeCell ref="NTX614:NTZ614"/>
    <mergeCell ref="NUB614:NUD614"/>
    <mergeCell ref="NUF614:NUH614"/>
    <mergeCell ref="NUJ614:NUL614"/>
    <mergeCell ref="NSZ614:NTB614"/>
    <mergeCell ref="NTD614:NTF614"/>
    <mergeCell ref="NTH614:NTJ614"/>
    <mergeCell ref="NTL614:NTN614"/>
    <mergeCell ref="NTP614:NTR614"/>
    <mergeCell ref="OCZ614:ODB614"/>
    <mergeCell ref="ODD614:ODF614"/>
    <mergeCell ref="ODH614:ODJ614"/>
    <mergeCell ref="ODL614:ODN614"/>
    <mergeCell ref="ODP614:ODR614"/>
    <mergeCell ref="OCF614:OCH614"/>
    <mergeCell ref="OCJ614:OCL614"/>
    <mergeCell ref="OCN614:OCP614"/>
    <mergeCell ref="OCR614:OCT614"/>
    <mergeCell ref="OCV614:OCX614"/>
    <mergeCell ref="OBL614:OBN614"/>
    <mergeCell ref="OBP614:OBR614"/>
    <mergeCell ref="OBT614:OBV614"/>
    <mergeCell ref="OBX614:OBZ614"/>
    <mergeCell ref="OCB614:OCD614"/>
    <mergeCell ref="OAR614:OAT614"/>
    <mergeCell ref="OAV614:OAX614"/>
    <mergeCell ref="OAZ614:OBB614"/>
    <mergeCell ref="OBD614:OBF614"/>
    <mergeCell ref="OBH614:OBJ614"/>
    <mergeCell ref="NZX614:NZZ614"/>
    <mergeCell ref="OAB614:OAD614"/>
    <mergeCell ref="OAF614:OAH614"/>
    <mergeCell ref="OAJ614:OAL614"/>
    <mergeCell ref="OAN614:OAP614"/>
    <mergeCell ref="NZD614:NZF614"/>
    <mergeCell ref="NZH614:NZJ614"/>
    <mergeCell ref="NZL614:NZN614"/>
    <mergeCell ref="NZP614:NZR614"/>
    <mergeCell ref="NZT614:NZV614"/>
    <mergeCell ref="NYJ614:NYL614"/>
    <mergeCell ref="NYN614:NYP614"/>
    <mergeCell ref="NYR614:NYT614"/>
    <mergeCell ref="NYV614:NYX614"/>
    <mergeCell ref="NYZ614:NZB614"/>
    <mergeCell ref="OIJ614:OIL614"/>
    <mergeCell ref="OIN614:OIP614"/>
    <mergeCell ref="OIR614:OIT614"/>
    <mergeCell ref="OIV614:OIX614"/>
    <mergeCell ref="OIZ614:OJB614"/>
    <mergeCell ref="OHP614:OHR614"/>
    <mergeCell ref="OHT614:OHV614"/>
    <mergeCell ref="OHX614:OHZ614"/>
    <mergeCell ref="OIB614:OID614"/>
    <mergeCell ref="OIF614:OIH614"/>
    <mergeCell ref="OGV614:OGX614"/>
    <mergeCell ref="OGZ614:OHB614"/>
    <mergeCell ref="OHD614:OHF614"/>
    <mergeCell ref="OHH614:OHJ614"/>
    <mergeCell ref="OHL614:OHN614"/>
    <mergeCell ref="OGB614:OGD614"/>
    <mergeCell ref="OGF614:OGH614"/>
    <mergeCell ref="OGJ614:OGL614"/>
    <mergeCell ref="OGN614:OGP614"/>
    <mergeCell ref="OGR614:OGT614"/>
    <mergeCell ref="OFH614:OFJ614"/>
    <mergeCell ref="OFL614:OFN614"/>
    <mergeCell ref="OFP614:OFR614"/>
    <mergeCell ref="OFT614:OFV614"/>
    <mergeCell ref="OFX614:OFZ614"/>
    <mergeCell ref="OEN614:OEP614"/>
    <mergeCell ref="OER614:OET614"/>
    <mergeCell ref="OEV614:OEX614"/>
    <mergeCell ref="OEZ614:OFB614"/>
    <mergeCell ref="OFD614:OFF614"/>
    <mergeCell ref="ODT614:ODV614"/>
    <mergeCell ref="ODX614:ODZ614"/>
    <mergeCell ref="OEB614:OED614"/>
    <mergeCell ref="OEF614:OEH614"/>
    <mergeCell ref="OEJ614:OEL614"/>
    <mergeCell ref="ONT614:ONV614"/>
    <mergeCell ref="ONX614:ONZ614"/>
    <mergeCell ref="OOB614:OOD614"/>
    <mergeCell ref="OOF614:OOH614"/>
    <mergeCell ref="OOJ614:OOL614"/>
    <mergeCell ref="OMZ614:ONB614"/>
    <mergeCell ref="OND614:ONF614"/>
    <mergeCell ref="ONH614:ONJ614"/>
    <mergeCell ref="ONL614:ONN614"/>
    <mergeCell ref="ONP614:ONR614"/>
    <mergeCell ref="OMF614:OMH614"/>
    <mergeCell ref="OMJ614:OML614"/>
    <mergeCell ref="OMN614:OMP614"/>
    <mergeCell ref="OMR614:OMT614"/>
    <mergeCell ref="OMV614:OMX614"/>
    <mergeCell ref="OLL614:OLN614"/>
    <mergeCell ref="OLP614:OLR614"/>
    <mergeCell ref="OLT614:OLV614"/>
    <mergeCell ref="OLX614:OLZ614"/>
    <mergeCell ref="OMB614:OMD614"/>
    <mergeCell ref="OKR614:OKT614"/>
    <mergeCell ref="OKV614:OKX614"/>
    <mergeCell ref="OKZ614:OLB614"/>
    <mergeCell ref="OLD614:OLF614"/>
    <mergeCell ref="OLH614:OLJ614"/>
    <mergeCell ref="OJX614:OJZ614"/>
    <mergeCell ref="OKB614:OKD614"/>
    <mergeCell ref="OKF614:OKH614"/>
    <mergeCell ref="OKJ614:OKL614"/>
    <mergeCell ref="OKN614:OKP614"/>
    <mergeCell ref="OJD614:OJF614"/>
    <mergeCell ref="OJH614:OJJ614"/>
    <mergeCell ref="OJL614:OJN614"/>
    <mergeCell ref="OJP614:OJR614"/>
    <mergeCell ref="OJT614:OJV614"/>
    <mergeCell ref="OTD614:OTF614"/>
    <mergeCell ref="OTH614:OTJ614"/>
    <mergeCell ref="OTL614:OTN614"/>
    <mergeCell ref="OTP614:OTR614"/>
    <mergeCell ref="OTT614:OTV614"/>
    <mergeCell ref="OSJ614:OSL614"/>
    <mergeCell ref="OSN614:OSP614"/>
    <mergeCell ref="OSR614:OST614"/>
    <mergeCell ref="OSV614:OSX614"/>
    <mergeCell ref="OSZ614:OTB614"/>
    <mergeCell ref="ORP614:ORR614"/>
    <mergeCell ref="ORT614:ORV614"/>
    <mergeCell ref="ORX614:ORZ614"/>
    <mergeCell ref="OSB614:OSD614"/>
    <mergeCell ref="OSF614:OSH614"/>
    <mergeCell ref="OQV614:OQX614"/>
    <mergeCell ref="OQZ614:ORB614"/>
    <mergeCell ref="ORD614:ORF614"/>
    <mergeCell ref="ORH614:ORJ614"/>
    <mergeCell ref="ORL614:ORN614"/>
    <mergeCell ref="OQB614:OQD614"/>
    <mergeCell ref="OQF614:OQH614"/>
    <mergeCell ref="OQJ614:OQL614"/>
    <mergeCell ref="OQN614:OQP614"/>
    <mergeCell ref="OQR614:OQT614"/>
    <mergeCell ref="OPH614:OPJ614"/>
    <mergeCell ref="OPL614:OPN614"/>
    <mergeCell ref="OPP614:OPR614"/>
    <mergeCell ref="OPT614:OPV614"/>
    <mergeCell ref="OPX614:OPZ614"/>
    <mergeCell ref="OON614:OOP614"/>
    <mergeCell ref="OOR614:OOT614"/>
    <mergeCell ref="OOV614:OOX614"/>
    <mergeCell ref="OOZ614:OPB614"/>
    <mergeCell ref="OPD614:OPF614"/>
    <mergeCell ref="OYN614:OYP614"/>
    <mergeCell ref="OYR614:OYT614"/>
    <mergeCell ref="OYV614:OYX614"/>
    <mergeCell ref="OYZ614:OZB614"/>
    <mergeCell ref="OZD614:OZF614"/>
    <mergeCell ref="OXT614:OXV614"/>
    <mergeCell ref="OXX614:OXZ614"/>
    <mergeCell ref="OYB614:OYD614"/>
    <mergeCell ref="OYF614:OYH614"/>
    <mergeCell ref="OYJ614:OYL614"/>
    <mergeCell ref="OWZ614:OXB614"/>
    <mergeCell ref="OXD614:OXF614"/>
    <mergeCell ref="OXH614:OXJ614"/>
    <mergeCell ref="OXL614:OXN614"/>
    <mergeCell ref="OXP614:OXR614"/>
    <mergeCell ref="OWF614:OWH614"/>
    <mergeCell ref="OWJ614:OWL614"/>
    <mergeCell ref="OWN614:OWP614"/>
    <mergeCell ref="OWR614:OWT614"/>
    <mergeCell ref="OWV614:OWX614"/>
    <mergeCell ref="OVL614:OVN614"/>
    <mergeCell ref="OVP614:OVR614"/>
    <mergeCell ref="OVT614:OVV614"/>
    <mergeCell ref="OVX614:OVZ614"/>
    <mergeCell ref="OWB614:OWD614"/>
    <mergeCell ref="OUR614:OUT614"/>
    <mergeCell ref="OUV614:OUX614"/>
    <mergeCell ref="OUZ614:OVB614"/>
    <mergeCell ref="OVD614:OVF614"/>
    <mergeCell ref="OVH614:OVJ614"/>
    <mergeCell ref="OTX614:OTZ614"/>
    <mergeCell ref="OUB614:OUD614"/>
    <mergeCell ref="OUF614:OUH614"/>
    <mergeCell ref="OUJ614:OUL614"/>
    <mergeCell ref="OUN614:OUP614"/>
    <mergeCell ref="PDX614:PDZ614"/>
    <mergeCell ref="PEB614:PED614"/>
    <mergeCell ref="PEF614:PEH614"/>
    <mergeCell ref="PEJ614:PEL614"/>
    <mergeCell ref="PEN614:PEP614"/>
    <mergeCell ref="PDD614:PDF614"/>
    <mergeCell ref="PDH614:PDJ614"/>
    <mergeCell ref="PDL614:PDN614"/>
    <mergeCell ref="PDP614:PDR614"/>
    <mergeCell ref="PDT614:PDV614"/>
    <mergeCell ref="PCJ614:PCL614"/>
    <mergeCell ref="PCN614:PCP614"/>
    <mergeCell ref="PCR614:PCT614"/>
    <mergeCell ref="PCV614:PCX614"/>
    <mergeCell ref="PCZ614:PDB614"/>
    <mergeCell ref="PBP614:PBR614"/>
    <mergeCell ref="PBT614:PBV614"/>
    <mergeCell ref="PBX614:PBZ614"/>
    <mergeCell ref="PCB614:PCD614"/>
    <mergeCell ref="PCF614:PCH614"/>
    <mergeCell ref="PAV614:PAX614"/>
    <mergeCell ref="PAZ614:PBB614"/>
    <mergeCell ref="PBD614:PBF614"/>
    <mergeCell ref="PBH614:PBJ614"/>
    <mergeCell ref="PBL614:PBN614"/>
    <mergeCell ref="PAB614:PAD614"/>
    <mergeCell ref="PAF614:PAH614"/>
    <mergeCell ref="PAJ614:PAL614"/>
    <mergeCell ref="PAN614:PAP614"/>
    <mergeCell ref="PAR614:PAT614"/>
    <mergeCell ref="OZH614:OZJ614"/>
    <mergeCell ref="OZL614:OZN614"/>
    <mergeCell ref="OZP614:OZR614"/>
    <mergeCell ref="OZT614:OZV614"/>
    <mergeCell ref="OZX614:OZZ614"/>
    <mergeCell ref="PJH614:PJJ614"/>
    <mergeCell ref="PJL614:PJN614"/>
    <mergeCell ref="PJP614:PJR614"/>
    <mergeCell ref="PJT614:PJV614"/>
    <mergeCell ref="PJX614:PJZ614"/>
    <mergeCell ref="PIN614:PIP614"/>
    <mergeCell ref="PIR614:PIT614"/>
    <mergeCell ref="PIV614:PIX614"/>
    <mergeCell ref="PIZ614:PJB614"/>
    <mergeCell ref="PJD614:PJF614"/>
    <mergeCell ref="PHT614:PHV614"/>
    <mergeCell ref="PHX614:PHZ614"/>
    <mergeCell ref="PIB614:PID614"/>
    <mergeCell ref="PIF614:PIH614"/>
    <mergeCell ref="PIJ614:PIL614"/>
    <mergeCell ref="PGZ614:PHB614"/>
    <mergeCell ref="PHD614:PHF614"/>
    <mergeCell ref="PHH614:PHJ614"/>
    <mergeCell ref="PHL614:PHN614"/>
    <mergeCell ref="PHP614:PHR614"/>
    <mergeCell ref="PGF614:PGH614"/>
    <mergeCell ref="PGJ614:PGL614"/>
    <mergeCell ref="PGN614:PGP614"/>
    <mergeCell ref="PGR614:PGT614"/>
    <mergeCell ref="PGV614:PGX614"/>
    <mergeCell ref="PFL614:PFN614"/>
    <mergeCell ref="PFP614:PFR614"/>
    <mergeCell ref="PFT614:PFV614"/>
    <mergeCell ref="PFX614:PFZ614"/>
    <mergeCell ref="PGB614:PGD614"/>
    <mergeCell ref="PER614:PET614"/>
    <mergeCell ref="PEV614:PEX614"/>
    <mergeCell ref="PEZ614:PFB614"/>
    <mergeCell ref="PFD614:PFF614"/>
    <mergeCell ref="PFH614:PFJ614"/>
    <mergeCell ref="POR614:POT614"/>
    <mergeCell ref="POV614:POX614"/>
    <mergeCell ref="POZ614:PPB614"/>
    <mergeCell ref="PPD614:PPF614"/>
    <mergeCell ref="PPH614:PPJ614"/>
    <mergeCell ref="PNX614:PNZ614"/>
    <mergeCell ref="POB614:POD614"/>
    <mergeCell ref="POF614:POH614"/>
    <mergeCell ref="POJ614:POL614"/>
    <mergeCell ref="PON614:POP614"/>
    <mergeCell ref="PND614:PNF614"/>
    <mergeCell ref="PNH614:PNJ614"/>
    <mergeCell ref="PNL614:PNN614"/>
    <mergeCell ref="PNP614:PNR614"/>
    <mergeCell ref="PNT614:PNV614"/>
    <mergeCell ref="PMJ614:PML614"/>
    <mergeCell ref="PMN614:PMP614"/>
    <mergeCell ref="PMR614:PMT614"/>
    <mergeCell ref="PMV614:PMX614"/>
    <mergeCell ref="PMZ614:PNB614"/>
    <mergeCell ref="PLP614:PLR614"/>
    <mergeCell ref="PLT614:PLV614"/>
    <mergeCell ref="PLX614:PLZ614"/>
    <mergeCell ref="PMB614:PMD614"/>
    <mergeCell ref="PMF614:PMH614"/>
    <mergeCell ref="PKV614:PKX614"/>
    <mergeCell ref="PKZ614:PLB614"/>
    <mergeCell ref="PLD614:PLF614"/>
    <mergeCell ref="PLH614:PLJ614"/>
    <mergeCell ref="PLL614:PLN614"/>
    <mergeCell ref="PKB614:PKD614"/>
    <mergeCell ref="PKF614:PKH614"/>
    <mergeCell ref="PKJ614:PKL614"/>
    <mergeCell ref="PKN614:PKP614"/>
    <mergeCell ref="PKR614:PKT614"/>
    <mergeCell ref="PUB614:PUD614"/>
    <mergeCell ref="PUF614:PUH614"/>
    <mergeCell ref="PUJ614:PUL614"/>
    <mergeCell ref="PUN614:PUP614"/>
    <mergeCell ref="PUR614:PUT614"/>
    <mergeCell ref="PTH614:PTJ614"/>
    <mergeCell ref="PTL614:PTN614"/>
    <mergeCell ref="PTP614:PTR614"/>
    <mergeCell ref="PTT614:PTV614"/>
    <mergeCell ref="PTX614:PTZ614"/>
    <mergeCell ref="PSN614:PSP614"/>
    <mergeCell ref="PSR614:PST614"/>
    <mergeCell ref="PSV614:PSX614"/>
    <mergeCell ref="PSZ614:PTB614"/>
    <mergeCell ref="PTD614:PTF614"/>
    <mergeCell ref="PRT614:PRV614"/>
    <mergeCell ref="PRX614:PRZ614"/>
    <mergeCell ref="PSB614:PSD614"/>
    <mergeCell ref="PSF614:PSH614"/>
    <mergeCell ref="PSJ614:PSL614"/>
    <mergeCell ref="PQZ614:PRB614"/>
    <mergeCell ref="PRD614:PRF614"/>
    <mergeCell ref="PRH614:PRJ614"/>
    <mergeCell ref="PRL614:PRN614"/>
    <mergeCell ref="PRP614:PRR614"/>
    <mergeCell ref="PQF614:PQH614"/>
    <mergeCell ref="PQJ614:PQL614"/>
    <mergeCell ref="PQN614:PQP614"/>
    <mergeCell ref="PQR614:PQT614"/>
    <mergeCell ref="PQV614:PQX614"/>
    <mergeCell ref="PPL614:PPN614"/>
    <mergeCell ref="PPP614:PPR614"/>
    <mergeCell ref="PPT614:PPV614"/>
    <mergeCell ref="PPX614:PPZ614"/>
    <mergeCell ref="PQB614:PQD614"/>
    <mergeCell ref="PZL614:PZN614"/>
    <mergeCell ref="PZP614:PZR614"/>
    <mergeCell ref="PZT614:PZV614"/>
    <mergeCell ref="PZX614:PZZ614"/>
    <mergeCell ref="QAB614:QAD614"/>
    <mergeCell ref="PYR614:PYT614"/>
    <mergeCell ref="PYV614:PYX614"/>
    <mergeCell ref="PYZ614:PZB614"/>
    <mergeCell ref="PZD614:PZF614"/>
    <mergeCell ref="PZH614:PZJ614"/>
    <mergeCell ref="PXX614:PXZ614"/>
    <mergeCell ref="PYB614:PYD614"/>
    <mergeCell ref="PYF614:PYH614"/>
    <mergeCell ref="PYJ614:PYL614"/>
    <mergeCell ref="PYN614:PYP614"/>
    <mergeCell ref="PXD614:PXF614"/>
    <mergeCell ref="PXH614:PXJ614"/>
    <mergeCell ref="PXL614:PXN614"/>
    <mergeCell ref="PXP614:PXR614"/>
    <mergeCell ref="PXT614:PXV614"/>
    <mergeCell ref="PWJ614:PWL614"/>
    <mergeCell ref="PWN614:PWP614"/>
    <mergeCell ref="PWR614:PWT614"/>
    <mergeCell ref="PWV614:PWX614"/>
    <mergeCell ref="PWZ614:PXB614"/>
    <mergeCell ref="PVP614:PVR614"/>
    <mergeCell ref="PVT614:PVV614"/>
    <mergeCell ref="PVX614:PVZ614"/>
    <mergeCell ref="PWB614:PWD614"/>
    <mergeCell ref="PWF614:PWH614"/>
    <mergeCell ref="PUV614:PUX614"/>
    <mergeCell ref="PUZ614:PVB614"/>
    <mergeCell ref="PVD614:PVF614"/>
    <mergeCell ref="PVH614:PVJ614"/>
    <mergeCell ref="PVL614:PVN614"/>
    <mergeCell ref="QEV614:QEX614"/>
    <mergeCell ref="QEZ614:QFB614"/>
    <mergeCell ref="QFD614:QFF614"/>
    <mergeCell ref="QFH614:QFJ614"/>
    <mergeCell ref="QFL614:QFN614"/>
    <mergeCell ref="QEB614:QED614"/>
    <mergeCell ref="QEF614:QEH614"/>
    <mergeCell ref="QEJ614:QEL614"/>
    <mergeCell ref="QEN614:QEP614"/>
    <mergeCell ref="QER614:QET614"/>
    <mergeCell ref="QDH614:QDJ614"/>
    <mergeCell ref="QDL614:QDN614"/>
    <mergeCell ref="QDP614:QDR614"/>
    <mergeCell ref="QDT614:QDV614"/>
    <mergeCell ref="QDX614:QDZ614"/>
    <mergeCell ref="QCN614:QCP614"/>
    <mergeCell ref="QCR614:QCT614"/>
    <mergeCell ref="QCV614:QCX614"/>
    <mergeCell ref="QCZ614:QDB614"/>
    <mergeCell ref="QDD614:QDF614"/>
    <mergeCell ref="QBT614:QBV614"/>
    <mergeCell ref="QBX614:QBZ614"/>
    <mergeCell ref="QCB614:QCD614"/>
    <mergeCell ref="QCF614:QCH614"/>
    <mergeCell ref="QCJ614:QCL614"/>
    <mergeCell ref="QAZ614:QBB614"/>
    <mergeCell ref="QBD614:QBF614"/>
    <mergeCell ref="QBH614:QBJ614"/>
    <mergeCell ref="QBL614:QBN614"/>
    <mergeCell ref="QBP614:QBR614"/>
    <mergeCell ref="QAF614:QAH614"/>
    <mergeCell ref="QAJ614:QAL614"/>
    <mergeCell ref="QAN614:QAP614"/>
    <mergeCell ref="QAR614:QAT614"/>
    <mergeCell ref="QAV614:QAX614"/>
    <mergeCell ref="QKF614:QKH614"/>
    <mergeCell ref="QKJ614:QKL614"/>
    <mergeCell ref="QKN614:QKP614"/>
    <mergeCell ref="QKR614:QKT614"/>
    <mergeCell ref="QKV614:QKX614"/>
    <mergeCell ref="QJL614:QJN614"/>
    <mergeCell ref="QJP614:QJR614"/>
    <mergeCell ref="QJT614:QJV614"/>
    <mergeCell ref="QJX614:QJZ614"/>
    <mergeCell ref="QKB614:QKD614"/>
    <mergeCell ref="QIR614:QIT614"/>
    <mergeCell ref="QIV614:QIX614"/>
    <mergeCell ref="QIZ614:QJB614"/>
    <mergeCell ref="QJD614:QJF614"/>
    <mergeCell ref="QJH614:QJJ614"/>
    <mergeCell ref="QHX614:QHZ614"/>
    <mergeCell ref="QIB614:QID614"/>
    <mergeCell ref="QIF614:QIH614"/>
    <mergeCell ref="QIJ614:QIL614"/>
    <mergeCell ref="QIN614:QIP614"/>
    <mergeCell ref="QHD614:QHF614"/>
    <mergeCell ref="QHH614:QHJ614"/>
    <mergeCell ref="QHL614:QHN614"/>
    <mergeCell ref="QHP614:QHR614"/>
    <mergeCell ref="QHT614:QHV614"/>
    <mergeCell ref="QGJ614:QGL614"/>
    <mergeCell ref="QGN614:QGP614"/>
    <mergeCell ref="QGR614:QGT614"/>
    <mergeCell ref="QGV614:QGX614"/>
    <mergeCell ref="QGZ614:QHB614"/>
    <mergeCell ref="QFP614:QFR614"/>
    <mergeCell ref="QFT614:QFV614"/>
    <mergeCell ref="QFX614:QFZ614"/>
    <mergeCell ref="QGB614:QGD614"/>
    <mergeCell ref="QGF614:QGH614"/>
    <mergeCell ref="QPP614:QPR614"/>
    <mergeCell ref="QPT614:QPV614"/>
    <mergeCell ref="QPX614:QPZ614"/>
    <mergeCell ref="QQB614:QQD614"/>
    <mergeCell ref="QQF614:QQH614"/>
    <mergeCell ref="QOV614:QOX614"/>
    <mergeCell ref="QOZ614:QPB614"/>
    <mergeCell ref="QPD614:QPF614"/>
    <mergeCell ref="QPH614:QPJ614"/>
    <mergeCell ref="QPL614:QPN614"/>
    <mergeCell ref="QOB614:QOD614"/>
    <mergeCell ref="QOF614:QOH614"/>
    <mergeCell ref="QOJ614:QOL614"/>
    <mergeCell ref="QON614:QOP614"/>
    <mergeCell ref="QOR614:QOT614"/>
    <mergeCell ref="QNH614:QNJ614"/>
    <mergeCell ref="QNL614:QNN614"/>
    <mergeCell ref="QNP614:QNR614"/>
    <mergeCell ref="QNT614:QNV614"/>
    <mergeCell ref="QNX614:QNZ614"/>
    <mergeCell ref="QMN614:QMP614"/>
    <mergeCell ref="QMR614:QMT614"/>
    <mergeCell ref="QMV614:QMX614"/>
    <mergeCell ref="QMZ614:QNB614"/>
    <mergeCell ref="QND614:QNF614"/>
    <mergeCell ref="QLT614:QLV614"/>
    <mergeCell ref="QLX614:QLZ614"/>
    <mergeCell ref="QMB614:QMD614"/>
    <mergeCell ref="QMF614:QMH614"/>
    <mergeCell ref="QMJ614:QML614"/>
    <mergeCell ref="QKZ614:QLB614"/>
    <mergeCell ref="QLD614:QLF614"/>
    <mergeCell ref="QLH614:QLJ614"/>
    <mergeCell ref="QLL614:QLN614"/>
    <mergeCell ref="QLP614:QLR614"/>
    <mergeCell ref="QUZ614:QVB614"/>
    <mergeCell ref="QVD614:QVF614"/>
    <mergeCell ref="QVH614:QVJ614"/>
    <mergeCell ref="QVL614:QVN614"/>
    <mergeCell ref="QVP614:QVR614"/>
    <mergeCell ref="QUF614:QUH614"/>
    <mergeCell ref="QUJ614:QUL614"/>
    <mergeCell ref="QUN614:QUP614"/>
    <mergeCell ref="QUR614:QUT614"/>
    <mergeCell ref="QUV614:QUX614"/>
    <mergeCell ref="QTL614:QTN614"/>
    <mergeCell ref="QTP614:QTR614"/>
    <mergeCell ref="QTT614:QTV614"/>
    <mergeCell ref="QTX614:QTZ614"/>
    <mergeCell ref="QUB614:QUD614"/>
    <mergeCell ref="QSR614:QST614"/>
    <mergeCell ref="QSV614:QSX614"/>
    <mergeCell ref="QSZ614:QTB614"/>
    <mergeCell ref="QTD614:QTF614"/>
    <mergeCell ref="QTH614:QTJ614"/>
    <mergeCell ref="QRX614:QRZ614"/>
    <mergeCell ref="QSB614:QSD614"/>
    <mergeCell ref="QSF614:QSH614"/>
    <mergeCell ref="QSJ614:QSL614"/>
    <mergeCell ref="QSN614:QSP614"/>
    <mergeCell ref="QRD614:QRF614"/>
    <mergeCell ref="QRH614:QRJ614"/>
    <mergeCell ref="QRL614:QRN614"/>
    <mergeCell ref="QRP614:QRR614"/>
    <mergeCell ref="QRT614:QRV614"/>
    <mergeCell ref="QQJ614:QQL614"/>
    <mergeCell ref="QQN614:QQP614"/>
    <mergeCell ref="QQR614:QQT614"/>
    <mergeCell ref="QQV614:QQX614"/>
    <mergeCell ref="QQZ614:QRB614"/>
    <mergeCell ref="RAJ614:RAL614"/>
    <mergeCell ref="RAN614:RAP614"/>
    <mergeCell ref="RAR614:RAT614"/>
    <mergeCell ref="RAV614:RAX614"/>
    <mergeCell ref="RAZ614:RBB614"/>
    <mergeCell ref="QZP614:QZR614"/>
    <mergeCell ref="QZT614:QZV614"/>
    <mergeCell ref="QZX614:QZZ614"/>
    <mergeCell ref="RAB614:RAD614"/>
    <mergeCell ref="RAF614:RAH614"/>
    <mergeCell ref="QYV614:QYX614"/>
    <mergeCell ref="QYZ614:QZB614"/>
    <mergeCell ref="QZD614:QZF614"/>
    <mergeCell ref="QZH614:QZJ614"/>
    <mergeCell ref="QZL614:QZN614"/>
    <mergeCell ref="QYB614:QYD614"/>
    <mergeCell ref="QYF614:QYH614"/>
    <mergeCell ref="QYJ614:QYL614"/>
    <mergeCell ref="QYN614:QYP614"/>
    <mergeCell ref="QYR614:QYT614"/>
    <mergeCell ref="QXH614:QXJ614"/>
    <mergeCell ref="QXL614:QXN614"/>
    <mergeCell ref="QXP614:QXR614"/>
    <mergeCell ref="QXT614:QXV614"/>
    <mergeCell ref="QXX614:QXZ614"/>
    <mergeCell ref="QWN614:QWP614"/>
    <mergeCell ref="QWR614:QWT614"/>
    <mergeCell ref="QWV614:QWX614"/>
    <mergeCell ref="QWZ614:QXB614"/>
    <mergeCell ref="QXD614:QXF614"/>
    <mergeCell ref="QVT614:QVV614"/>
    <mergeCell ref="QVX614:QVZ614"/>
    <mergeCell ref="QWB614:QWD614"/>
    <mergeCell ref="QWF614:QWH614"/>
    <mergeCell ref="QWJ614:QWL614"/>
    <mergeCell ref="RFT614:RFV614"/>
    <mergeCell ref="RFX614:RFZ614"/>
    <mergeCell ref="RGB614:RGD614"/>
    <mergeCell ref="RGF614:RGH614"/>
    <mergeCell ref="RGJ614:RGL614"/>
    <mergeCell ref="REZ614:RFB614"/>
    <mergeCell ref="RFD614:RFF614"/>
    <mergeCell ref="RFH614:RFJ614"/>
    <mergeCell ref="RFL614:RFN614"/>
    <mergeCell ref="RFP614:RFR614"/>
    <mergeCell ref="REF614:REH614"/>
    <mergeCell ref="REJ614:REL614"/>
    <mergeCell ref="REN614:REP614"/>
    <mergeCell ref="RER614:RET614"/>
    <mergeCell ref="REV614:REX614"/>
    <mergeCell ref="RDL614:RDN614"/>
    <mergeCell ref="RDP614:RDR614"/>
    <mergeCell ref="RDT614:RDV614"/>
    <mergeCell ref="RDX614:RDZ614"/>
    <mergeCell ref="REB614:RED614"/>
    <mergeCell ref="RCR614:RCT614"/>
    <mergeCell ref="RCV614:RCX614"/>
    <mergeCell ref="RCZ614:RDB614"/>
    <mergeCell ref="RDD614:RDF614"/>
    <mergeCell ref="RDH614:RDJ614"/>
    <mergeCell ref="RBX614:RBZ614"/>
    <mergeCell ref="RCB614:RCD614"/>
    <mergeCell ref="RCF614:RCH614"/>
    <mergeCell ref="RCJ614:RCL614"/>
    <mergeCell ref="RCN614:RCP614"/>
    <mergeCell ref="RBD614:RBF614"/>
    <mergeCell ref="RBH614:RBJ614"/>
    <mergeCell ref="RBL614:RBN614"/>
    <mergeCell ref="RBP614:RBR614"/>
    <mergeCell ref="RBT614:RBV614"/>
    <mergeCell ref="RLD614:RLF614"/>
    <mergeCell ref="RLH614:RLJ614"/>
    <mergeCell ref="RLL614:RLN614"/>
    <mergeCell ref="RLP614:RLR614"/>
    <mergeCell ref="RLT614:RLV614"/>
    <mergeCell ref="RKJ614:RKL614"/>
    <mergeCell ref="RKN614:RKP614"/>
    <mergeCell ref="RKR614:RKT614"/>
    <mergeCell ref="RKV614:RKX614"/>
    <mergeCell ref="RKZ614:RLB614"/>
    <mergeCell ref="RJP614:RJR614"/>
    <mergeCell ref="RJT614:RJV614"/>
    <mergeCell ref="RJX614:RJZ614"/>
    <mergeCell ref="RKB614:RKD614"/>
    <mergeCell ref="RKF614:RKH614"/>
    <mergeCell ref="RIV614:RIX614"/>
    <mergeCell ref="RIZ614:RJB614"/>
    <mergeCell ref="RJD614:RJF614"/>
    <mergeCell ref="RJH614:RJJ614"/>
    <mergeCell ref="RJL614:RJN614"/>
    <mergeCell ref="RIB614:RID614"/>
    <mergeCell ref="RIF614:RIH614"/>
    <mergeCell ref="RIJ614:RIL614"/>
    <mergeCell ref="RIN614:RIP614"/>
    <mergeCell ref="RIR614:RIT614"/>
    <mergeCell ref="RHH614:RHJ614"/>
    <mergeCell ref="RHL614:RHN614"/>
    <mergeCell ref="RHP614:RHR614"/>
    <mergeCell ref="RHT614:RHV614"/>
    <mergeCell ref="RHX614:RHZ614"/>
    <mergeCell ref="RGN614:RGP614"/>
    <mergeCell ref="RGR614:RGT614"/>
    <mergeCell ref="RGV614:RGX614"/>
    <mergeCell ref="RGZ614:RHB614"/>
    <mergeCell ref="RHD614:RHF614"/>
    <mergeCell ref="RQN614:RQP614"/>
    <mergeCell ref="RQR614:RQT614"/>
    <mergeCell ref="RQV614:RQX614"/>
    <mergeCell ref="RQZ614:RRB614"/>
    <mergeCell ref="RRD614:RRF614"/>
    <mergeCell ref="RPT614:RPV614"/>
    <mergeCell ref="RPX614:RPZ614"/>
    <mergeCell ref="RQB614:RQD614"/>
    <mergeCell ref="RQF614:RQH614"/>
    <mergeCell ref="RQJ614:RQL614"/>
    <mergeCell ref="ROZ614:RPB614"/>
    <mergeCell ref="RPD614:RPF614"/>
    <mergeCell ref="RPH614:RPJ614"/>
    <mergeCell ref="RPL614:RPN614"/>
    <mergeCell ref="RPP614:RPR614"/>
    <mergeCell ref="ROF614:ROH614"/>
    <mergeCell ref="ROJ614:ROL614"/>
    <mergeCell ref="RON614:ROP614"/>
    <mergeCell ref="ROR614:ROT614"/>
    <mergeCell ref="ROV614:ROX614"/>
    <mergeCell ref="RNL614:RNN614"/>
    <mergeCell ref="RNP614:RNR614"/>
    <mergeCell ref="RNT614:RNV614"/>
    <mergeCell ref="RNX614:RNZ614"/>
    <mergeCell ref="ROB614:ROD614"/>
    <mergeCell ref="RMR614:RMT614"/>
    <mergeCell ref="RMV614:RMX614"/>
    <mergeCell ref="RMZ614:RNB614"/>
    <mergeCell ref="RND614:RNF614"/>
    <mergeCell ref="RNH614:RNJ614"/>
    <mergeCell ref="RLX614:RLZ614"/>
    <mergeCell ref="RMB614:RMD614"/>
    <mergeCell ref="RMF614:RMH614"/>
    <mergeCell ref="RMJ614:RML614"/>
    <mergeCell ref="RMN614:RMP614"/>
    <mergeCell ref="RVX614:RVZ614"/>
    <mergeCell ref="RWB614:RWD614"/>
    <mergeCell ref="RWF614:RWH614"/>
    <mergeCell ref="RWJ614:RWL614"/>
    <mergeCell ref="RWN614:RWP614"/>
    <mergeCell ref="RVD614:RVF614"/>
    <mergeCell ref="RVH614:RVJ614"/>
    <mergeCell ref="RVL614:RVN614"/>
    <mergeCell ref="RVP614:RVR614"/>
    <mergeCell ref="RVT614:RVV614"/>
    <mergeCell ref="RUJ614:RUL614"/>
    <mergeCell ref="RUN614:RUP614"/>
    <mergeCell ref="RUR614:RUT614"/>
    <mergeCell ref="RUV614:RUX614"/>
    <mergeCell ref="RUZ614:RVB614"/>
    <mergeCell ref="RTP614:RTR614"/>
    <mergeCell ref="RTT614:RTV614"/>
    <mergeCell ref="RTX614:RTZ614"/>
    <mergeCell ref="RUB614:RUD614"/>
    <mergeCell ref="RUF614:RUH614"/>
    <mergeCell ref="RSV614:RSX614"/>
    <mergeCell ref="RSZ614:RTB614"/>
    <mergeCell ref="RTD614:RTF614"/>
    <mergeCell ref="RTH614:RTJ614"/>
    <mergeCell ref="RTL614:RTN614"/>
    <mergeCell ref="RSB614:RSD614"/>
    <mergeCell ref="RSF614:RSH614"/>
    <mergeCell ref="RSJ614:RSL614"/>
    <mergeCell ref="RSN614:RSP614"/>
    <mergeCell ref="RSR614:RST614"/>
    <mergeCell ref="RRH614:RRJ614"/>
    <mergeCell ref="RRL614:RRN614"/>
    <mergeCell ref="RRP614:RRR614"/>
    <mergeCell ref="RRT614:RRV614"/>
    <mergeCell ref="RRX614:RRZ614"/>
    <mergeCell ref="SBH614:SBJ614"/>
    <mergeCell ref="SBL614:SBN614"/>
    <mergeCell ref="SBP614:SBR614"/>
    <mergeCell ref="SBT614:SBV614"/>
    <mergeCell ref="SBX614:SBZ614"/>
    <mergeCell ref="SAN614:SAP614"/>
    <mergeCell ref="SAR614:SAT614"/>
    <mergeCell ref="SAV614:SAX614"/>
    <mergeCell ref="SAZ614:SBB614"/>
    <mergeCell ref="SBD614:SBF614"/>
    <mergeCell ref="RZT614:RZV614"/>
    <mergeCell ref="RZX614:RZZ614"/>
    <mergeCell ref="SAB614:SAD614"/>
    <mergeCell ref="SAF614:SAH614"/>
    <mergeCell ref="SAJ614:SAL614"/>
    <mergeCell ref="RYZ614:RZB614"/>
    <mergeCell ref="RZD614:RZF614"/>
    <mergeCell ref="RZH614:RZJ614"/>
    <mergeCell ref="RZL614:RZN614"/>
    <mergeCell ref="RZP614:RZR614"/>
    <mergeCell ref="RYF614:RYH614"/>
    <mergeCell ref="RYJ614:RYL614"/>
    <mergeCell ref="RYN614:RYP614"/>
    <mergeCell ref="RYR614:RYT614"/>
    <mergeCell ref="RYV614:RYX614"/>
    <mergeCell ref="RXL614:RXN614"/>
    <mergeCell ref="RXP614:RXR614"/>
    <mergeCell ref="RXT614:RXV614"/>
    <mergeCell ref="RXX614:RXZ614"/>
    <mergeCell ref="RYB614:RYD614"/>
    <mergeCell ref="RWR614:RWT614"/>
    <mergeCell ref="RWV614:RWX614"/>
    <mergeCell ref="RWZ614:RXB614"/>
    <mergeCell ref="RXD614:RXF614"/>
    <mergeCell ref="RXH614:RXJ614"/>
    <mergeCell ref="SGR614:SGT614"/>
    <mergeCell ref="SGV614:SGX614"/>
    <mergeCell ref="SGZ614:SHB614"/>
    <mergeCell ref="SHD614:SHF614"/>
    <mergeCell ref="SHH614:SHJ614"/>
    <mergeCell ref="SFX614:SFZ614"/>
    <mergeCell ref="SGB614:SGD614"/>
    <mergeCell ref="SGF614:SGH614"/>
    <mergeCell ref="SGJ614:SGL614"/>
    <mergeCell ref="SGN614:SGP614"/>
    <mergeCell ref="SFD614:SFF614"/>
    <mergeCell ref="SFH614:SFJ614"/>
    <mergeCell ref="SFL614:SFN614"/>
    <mergeCell ref="SFP614:SFR614"/>
    <mergeCell ref="SFT614:SFV614"/>
    <mergeCell ref="SEJ614:SEL614"/>
    <mergeCell ref="SEN614:SEP614"/>
    <mergeCell ref="SER614:SET614"/>
    <mergeCell ref="SEV614:SEX614"/>
    <mergeCell ref="SEZ614:SFB614"/>
    <mergeCell ref="SDP614:SDR614"/>
    <mergeCell ref="SDT614:SDV614"/>
    <mergeCell ref="SDX614:SDZ614"/>
    <mergeCell ref="SEB614:SED614"/>
    <mergeCell ref="SEF614:SEH614"/>
    <mergeCell ref="SCV614:SCX614"/>
    <mergeCell ref="SCZ614:SDB614"/>
    <mergeCell ref="SDD614:SDF614"/>
    <mergeCell ref="SDH614:SDJ614"/>
    <mergeCell ref="SDL614:SDN614"/>
    <mergeCell ref="SCB614:SCD614"/>
    <mergeCell ref="SCF614:SCH614"/>
    <mergeCell ref="SCJ614:SCL614"/>
    <mergeCell ref="SCN614:SCP614"/>
    <mergeCell ref="SCR614:SCT614"/>
    <mergeCell ref="SMB614:SMD614"/>
    <mergeCell ref="SMF614:SMH614"/>
    <mergeCell ref="SMJ614:SML614"/>
    <mergeCell ref="SMN614:SMP614"/>
    <mergeCell ref="SMR614:SMT614"/>
    <mergeCell ref="SLH614:SLJ614"/>
    <mergeCell ref="SLL614:SLN614"/>
    <mergeCell ref="SLP614:SLR614"/>
    <mergeCell ref="SLT614:SLV614"/>
    <mergeCell ref="SLX614:SLZ614"/>
    <mergeCell ref="SKN614:SKP614"/>
    <mergeCell ref="SKR614:SKT614"/>
    <mergeCell ref="SKV614:SKX614"/>
    <mergeCell ref="SKZ614:SLB614"/>
    <mergeCell ref="SLD614:SLF614"/>
    <mergeCell ref="SJT614:SJV614"/>
    <mergeCell ref="SJX614:SJZ614"/>
    <mergeCell ref="SKB614:SKD614"/>
    <mergeCell ref="SKF614:SKH614"/>
    <mergeCell ref="SKJ614:SKL614"/>
    <mergeCell ref="SIZ614:SJB614"/>
    <mergeCell ref="SJD614:SJF614"/>
    <mergeCell ref="SJH614:SJJ614"/>
    <mergeCell ref="SJL614:SJN614"/>
    <mergeCell ref="SJP614:SJR614"/>
    <mergeCell ref="SIF614:SIH614"/>
    <mergeCell ref="SIJ614:SIL614"/>
    <mergeCell ref="SIN614:SIP614"/>
    <mergeCell ref="SIR614:SIT614"/>
    <mergeCell ref="SIV614:SIX614"/>
    <mergeCell ref="SHL614:SHN614"/>
    <mergeCell ref="SHP614:SHR614"/>
    <mergeCell ref="SHT614:SHV614"/>
    <mergeCell ref="SHX614:SHZ614"/>
    <mergeCell ref="SIB614:SID614"/>
    <mergeCell ref="SRL614:SRN614"/>
    <mergeCell ref="SRP614:SRR614"/>
    <mergeCell ref="SRT614:SRV614"/>
    <mergeCell ref="SRX614:SRZ614"/>
    <mergeCell ref="SSB614:SSD614"/>
    <mergeCell ref="SQR614:SQT614"/>
    <mergeCell ref="SQV614:SQX614"/>
    <mergeCell ref="SQZ614:SRB614"/>
    <mergeCell ref="SRD614:SRF614"/>
    <mergeCell ref="SRH614:SRJ614"/>
    <mergeCell ref="SPX614:SPZ614"/>
    <mergeCell ref="SQB614:SQD614"/>
    <mergeCell ref="SQF614:SQH614"/>
    <mergeCell ref="SQJ614:SQL614"/>
    <mergeCell ref="SQN614:SQP614"/>
    <mergeCell ref="SPD614:SPF614"/>
    <mergeCell ref="SPH614:SPJ614"/>
    <mergeCell ref="SPL614:SPN614"/>
    <mergeCell ref="SPP614:SPR614"/>
    <mergeCell ref="SPT614:SPV614"/>
    <mergeCell ref="SOJ614:SOL614"/>
    <mergeCell ref="SON614:SOP614"/>
    <mergeCell ref="SOR614:SOT614"/>
    <mergeCell ref="SOV614:SOX614"/>
    <mergeCell ref="SOZ614:SPB614"/>
    <mergeCell ref="SNP614:SNR614"/>
    <mergeCell ref="SNT614:SNV614"/>
    <mergeCell ref="SNX614:SNZ614"/>
    <mergeCell ref="SOB614:SOD614"/>
    <mergeCell ref="SOF614:SOH614"/>
    <mergeCell ref="SMV614:SMX614"/>
    <mergeCell ref="SMZ614:SNB614"/>
    <mergeCell ref="SND614:SNF614"/>
    <mergeCell ref="SNH614:SNJ614"/>
    <mergeCell ref="SNL614:SNN614"/>
    <mergeCell ref="SWV614:SWX614"/>
    <mergeCell ref="SWZ614:SXB614"/>
    <mergeCell ref="SXD614:SXF614"/>
    <mergeCell ref="SXH614:SXJ614"/>
    <mergeCell ref="SXL614:SXN614"/>
    <mergeCell ref="SWB614:SWD614"/>
    <mergeCell ref="SWF614:SWH614"/>
    <mergeCell ref="SWJ614:SWL614"/>
    <mergeCell ref="SWN614:SWP614"/>
    <mergeCell ref="SWR614:SWT614"/>
    <mergeCell ref="SVH614:SVJ614"/>
    <mergeCell ref="SVL614:SVN614"/>
    <mergeCell ref="SVP614:SVR614"/>
    <mergeCell ref="SVT614:SVV614"/>
    <mergeCell ref="SVX614:SVZ614"/>
    <mergeCell ref="SUN614:SUP614"/>
    <mergeCell ref="SUR614:SUT614"/>
    <mergeCell ref="SUV614:SUX614"/>
    <mergeCell ref="SUZ614:SVB614"/>
    <mergeCell ref="SVD614:SVF614"/>
    <mergeCell ref="STT614:STV614"/>
    <mergeCell ref="STX614:STZ614"/>
    <mergeCell ref="SUB614:SUD614"/>
    <mergeCell ref="SUF614:SUH614"/>
    <mergeCell ref="SUJ614:SUL614"/>
    <mergeCell ref="SSZ614:STB614"/>
    <mergeCell ref="STD614:STF614"/>
    <mergeCell ref="STH614:STJ614"/>
    <mergeCell ref="STL614:STN614"/>
    <mergeCell ref="STP614:STR614"/>
    <mergeCell ref="SSF614:SSH614"/>
    <mergeCell ref="SSJ614:SSL614"/>
    <mergeCell ref="SSN614:SSP614"/>
    <mergeCell ref="SSR614:SST614"/>
    <mergeCell ref="SSV614:SSX614"/>
    <mergeCell ref="TCF614:TCH614"/>
    <mergeCell ref="TCJ614:TCL614"/>
    <mergeCell ref="TCN614:TCP614"/>
    <mergeCell ref="TCR614:TCT614"/>
    <mergeCell ref="TCV614:TCX614"/>
    <mergeCell ref="TBL614:TBN614"/>
    <mergeCell ref="TBP614:TBR614"/>
    <mergeCell ref="TBT614:TBV614"/>
    <mergeCell ref="TBX614:TBZ614"/>
    <mergeCell ref="TCB614:TCD614"/>
    <mergeCell ref="TAR614:TAT614"/>
    <mergeCell ref="TAV614:TAX614"/>
    <mergeCell ref="TAZ614:TBB614"/>
    <mergeCell ref="TBD614:TBF614"/>
    <mergeCell ref="TBH614:TBJ614"/>
    <mergeCell ref="SZX614:SZZ614"/>
    <mergeCell ref="TAB614:TAD614"/>
    <mergeCell ref="TAF614:TAH614"/>
    <mergeCell ref="TAJ614:TAL614"/>
    <mergeCell ref="TAN614:TAP614"/>
    <mergeCell ref="SZD614:SZF614"/>
    <mergeCell ref="SZH614:SZJ614"/>
    <mergeCell ref="SZL614:SZN614"/>
    <mergeCell ref="SZP614:SZR614"/>
    <mergeCell ref="SZT614:SZV614"/>
    <mergeCell ref="SYJ614:SYL614"/>
    <mergeCell ref="SYN614:SYP614"/>
    <mergeCell ref="SYR614:SYT614"/>
    <mergeCell ref="SYV614:SYX614"/>
    <mergeCell ref="SYZ614:SZB614"/>
    <mergeCell ref="SXP614:SXR614"/>
    <mergeCell ref="SXT614:SXV614"/>
    <mergeCell ref="SXX614:SXZ614"/>
    <mergeCell ref="SYB614:SYD614"/>
    <mergeCell ref="SYF614:SYH614"/>
    <mergeCell ref="THP614:THR614"/>
    <mergeCell ref="THT614:THV614"/>
    <mergeCell ref="THX614:THZ614"/>
    <mergeCell ref="TIB614:TID614"/>
    <mergeCell ref="TIF614:TIH614"/>
    <mergeCell ref="TGV614:TGX614"/>
    <mergeCell ref="TGZ614:THB614"/>
    <mergeCell ref="THD614:THF614"/>
    <mergeCell ref="THH614:THJ614"/>
    <mergeCell ref="THL614:THN614"/>
    <mergeCell ref="TGB614:TGD614"/>
    <mergeCell ref="TGF614:TGH614"/>
    <mergeCell ref="TGJ614:TGL614"/>
    <mergeCell ref="TGN614:TGP614"/>
    <mergeCell ref="TGR614:TGT614"/>
    <mergeCell ref="TFH614:TFJ614"/>
    <mergeCell ref="TFL614:TFN614"/>
    <mergeCell ref="TFP614:TFR614"/>
    <mergeCell ref="TFT614:TFV614"/>
    <mergeCell ref="TFX614:TFZ614"/>
    <mergeCell ref="TEN614:TEP614"/>
    <mergeCell ref="TER614:TET614"/>
    <mergeCell ref="TEV614:TEX614"/>
    <mergeCell ref="TEZ614:TFB614"/>
    <mergeCell ref="TFD614:TFF614"/>
    <mergeCell ref="TDT614:TDV614"/>
    <mergeCell ref="TDX614:TDZ614"/>
    <mergeCell ref="TEB614:TED614"/>
    <mergeCell ref="TEF614:TEH614"/>
    <mergeCell ref="TEJ614:TEL614"/>
    <mergeCell ref="TCZ614:TDB614"/>
    <mergeCell ref="TDD614:TDF614"/>
    <mergeCell ref="TDH614:TDJ614"/>
    <mergeCell ref="TDL614:TDN614"/>
    <mergeCell ref="TDP614:TDR614"/>
    <mergeCell ref="TMZ614:TNB614"/>
    <mergeCell ref="TND614:TNF614"/>
    <mergeCell ref="TNH614:TNJ614"/>
    <mergeCell ref="TNL614:TNN614"/>
    <mergeCell ref="TNP614:TNR614"/>
    <mergeCell ref="TMF614:TMH614"/>
    <mergeCell ref="TMJ614:TML614"/>
    <mergeCell ref="TMN614:TMP614"/>
    <mergeCell ref="TMR614:TMT614"/>
    <mergeCell ref="TMV614:TMX614"/>
    <mergeCell ref="TLL614:TLN614"/>
    <mergeCell ref="TLP614:TLR614"/>
    <mergeCell ref="TLT614:TLV614"/>
    <mergeCell ref="TLX614:TLZ614"/>
    <mergeCell ref="TMB614:TMD614"/>
    <mergeCell ref="TKR614:TKT614"/>
    <mergeCell ref="TKV614:TKX614"/>
    <mergeCell ref="TKZ614:TLB614"/>
    <mergeCell ref="TLD614:TLF614"/>
    <mergeCell ref="TLH614:TLJ614"/>
    <mergeCell ref="TJX614:TJZ614"/>
    <mergeCell ref="TKB614:TKD614"/>
    <mergeCell ref="TKF614:TKH614"/>
    <mergeCell ref="TKJ614:TKL614"/>
    <mergeCell ref="TKN614:TKP614"/>
    <mergeCell ref="TJD614:TJF614"/>
    <mergeCell ref="TJH614:TJJ614"/>
    <mergeCell ref="TJL614:TJN614"/>
    <mergeCell ref="TJP614:TJR614"/>
    <mergeCell ref="TJT614:TJV614"/>
    <mergeCell ref="TIJ614:TIL614"/>
    <mergeCell ref="TIN614:TIP614"/>
    <mergeCell ref="TIR614:TIT614"/>
    <mergeCell ref="TIV614:TIX614"/>
    <mergeCell ref="TIZ614:TJB614"/>
    <mergeCell ref="TSJ614:TSL614"/>
    <mergeCell ref="TSN614:TSP614"/>
    <mergeCell ref="TSR614:TST614"/>
    <mergeCell ref="TSV614:TSX614"/>
    <mergeCell ref="TSZ614:TTB614"/>
    <mergeCell ref="TRP614:TRR614"/>
    <mergeCell ref="TRT614:TRV614"/>
    <mergeCell ref="TRX614:TRZ614"/>
    <mergeCell ref="TSB614:TSD614"/>
    <mergeCell ref="TSF614:TSH614"/>
    <mergeCell ref="TQV614:TQX614"/>
    <mergeCell ref="TQZ614:TRB614"/>
    <mergeCell ref="TRD614:TRF614"/>
    <mergeCell ref="TRH614:TRJ614"/>
    <mergeCell ref="TRL614:TRN614"/>
    <mergeCell ref="TQB614:TQD614"/>
    <mergeCell ref="TQF614:TQH614"/>
    <mergeCell ref="TQJ614:TQL614"/>
    <mergeCell ref="TQN614:TQP614"/>
    <mergeCell ref="TQR614:TQT614"/>
    <mergeCell ref="TPH614:TPJ614"/>
    <mergeCell ref="TPL614:TPN614"/>
    <mergeCell ref="TPP614:TPR614"/>
    <mergeCell ref="TPT614:TPV614"/>
    <mergeCell ref="TPX614:TPZ614"/>
    <mergeCell ref="TON614:TOP614"/>
    <mergeCell ref="TOR614:TOT614"/>
    <mergeCell ref="TOV614:TOX614"/>
    <mergeCell ref="TOZ614:TPB614"/>
    <mergeCell ref="TPD614:TPF614"/>
    <mergeCell ref="TNT614:TNV614"/>
    <mergeCell ref="TNX614:TNZ614"/>
    <mergeCell ref="TOB614:TOD614"/>
    <mergeCell ref="TOF614:TOH614"/>
    <mergeCell ref="TOJ614:TOL614"/>
    <mergeCell ref="TXT614:TXV614"/>
    <mergeCell ref="TXX614:TXZ614"/>
    <mergeCell ref="TYB614:TYD614"/>
    <mergeCell ref="TYF614:TYH614"/>
    <mergeCell ref="TYJ614:TYL614"/>
    <mergeCell ref="TWZ614:TXB614"/>
    <mergeCell ref="TXD614:TXF614"/>
    <mergeCell ref="TXH614:TXJ614"/>
    <mergeCell ref="TXL614:TXN614"/>
    <mergeCell ref="TXP614:TXR614"/>
    <mergeCell ref="TWF614:TWH614"/>
    <mergeCell ref="TWJ614:TWL614"/>
    <mergeCell ref="TWN614:TWP614"/>
    <mergeCell ref="TWR614:TWT614"/>
    <mergeCell ref="TWV614:TWX614"/>
    <mergeCell ref="TVL614:TVN614"/>
    <mergeCell ref="TVP614:TVR614"/>
    <mergeCell ref="TVT614:TVV614"/>
    <mergeCell ref="TVX614:TVZ614"/>
    <mergeCell ref="TWB614:TWD614"/>
    <mergeCell ref="TUR614:TUT614"/>
    <mergeCell ref="TUV614:TUX614"/>
    <mergeCell ref="TUZ614:TVB614"/>
    <mergeCell ref="TVD614:TVF614"/>
    <mergeCell ref="TVH614:TVJ614"/>
    <mergeCell ref="TTX614:TTZ614"/>
    <mergeCell ref="TUB614:TUD614"/>
    <mergeCell ref="TUF614:TUH614"/>
    <mergeCell ref="TUJ614:TUL614"/>
    <mergeCell ref="TUN614:TUP614"/>
    <mergeCell ref="TTD614:TTF614"/>
    <mergeCell ref="TTH614:TTJ614"/>
    <mergeCell ref="TTL614:TTN614"/>
    <mergeCell ref="TTP614:TTR614"/>
    <mergeCell ref="TTT614:TTV614"/>
    <mergeCell ref="UDD614:UDF614"/>
    <mergeCell ref="UDH614:UDJ614"/>
    <mergeCell ref="UDL614:UDN614"/>
    <mergeCell ref="UDP614:UDR614"/>
    <mergeCell ref="UDT614:UDV614"/>
    <mergeCell ref="UCJ614:UCL614"/>
    <mergeCell ref="UCN614:UCP614"/>
    <mergeCell ref="UCR614:UCT614"/>
    <mergeCell ref="UCV614:UCX614"/>
    <mergeCell ref="UCZ614:UDB614"/>
    <mergeCell ref="UBP614:UBR614"/>
    <mergeCell ref="UBT614:UBV614"/>
    <mergeCell ref="UBX614:UBZ614"/>
    <mergeCell ref="UCB614:UCD614"/>
    <mergeCell ref="UCF614:UCH614"/>
    <mergeCell ref="UAV614:UAX614"/>
    <mergeCell ref="UAZ614:UBB614"/>
    <mergeCell ref="UBD614:UBF614"/>
    <mergeCell ref="UBH614:UBJ614"/>
    <mergeCell ref="UBL614:UBN614"/>
    <mergeCell ref="UAB614:UAD614"/>
    <mergeCell ref="UAF614:UAH614"/>
    <mergeCell ref="UAJ614:UAL614"/>
    <mergeCell ref="UAN614:UAP614"/>
    <mergeCell ref="UAR614:UAT614"/>
    <mergeCell ref="TZH614:TZJ614"/>
    <mergeCell ref="TZL614:TZN614"/>
    <mergeCell ref="TZP614:TZR614"/>
    <mergeCell ref="TZT614:TZV614"/>
    <mergeCell ref="TZX614:TZZ614"/>
    <mergeCell ref="TYN614:TYP614"/>
    <mergeCell ref="TYR614:TYT614"/>
    <mergeCell ref="TYV614:TYX614"/>
    <mergeCell ref="TYZ614:TZB614"/>
    <mergeCell ref="TZD614:TZF614"/>
    <mergeCell ref="UIN614:UIP614"/>
    <mergeCell ref="UIR614:UIT614"/>
    <mergeCell ref="UIV614:UIX614"/>
    <mergeCell ref="UIZ614:UJB614"/>
    <mergeCell ref="UJD614:UJF614"/>
    <mergeCell ref="UHT614:UHV614"/>
    <mergeCell ref="UHX614:UHZ614"/>
    <mergeCell ref="UIB614:UID614"/>
    <mergeCell ref="UIF614:UIH614"/>
    <mergeCell ref="UIJ614:UIL614"/>
    <mergeCell ref="UGZ614:UHB614"/>
    <mergeCell ref="UHD614:UHF614"/>
    <mergeCell ref="UHH614:UHJ614"/>
    <mergeCell ref="UHL614:UHN614"/>
    <mergeCell ref="UHP614:UHR614"/>
    <mergeCell ref="UGF614:UGH614"/>
    <mergeCell ref="UGJ614:UGL614"/>
    <mergeCell ref="UGN614:UGP614"/>
    <mergeCell ref="UGR614:UGT614"/>
    <mergeCell ref="UGV614:UGX614"/>
    <mergeCell ref="UFL614:UFN614"/>
    <mergeCell ref="UFP614:UFR614"/>
    <mergeCell ref="UFT614:UFV614"/>
    <mergeCell ref="UFX614:UFZ614"/>
    <mergeCell ref="UGB614:UGD614"/>
    <mergeCell ref="UER614:UET614"/>
    <mergeCell ref="UEV614:UEX614"/>
    <mergeCell ref="UEZ614:UFB614"/>
    <mergeCell ref="UFD614:UFF614"/>
    <mergeCell ref="UFH614:UFJ614"/>
    <mergeCell ref="UDX614:UDZ614"/>
    <mergeCell ref="UEB614:UED614"/>
    <mergeCell ref="UEF614:UEH614"/>
    <mergeCell ref="UEJ614:UEL614"/>
    <mergeCell ref="UEN614:UEP614"/>
    <mergeCell ref="UNX614:UNZ614"/>
    <mergeCell ref="UOB614:UOD614"/>
    <mergeCell ref="UOF614:UOH614"/>
    <mergeCell ref="UOJ614:UOL614"/>
    <mergeCell ref="UON614:UOP614"/>
    <mergeCell ref="UND614:UNF614"/>
    <mergeCell ref="UNH614:UNJ614"/>
    <mergeCell ref="UNL614:UNN614"/>
    <mergeCell ref="UNP614:UNR614"/>
    <mergeCell ref="UNT614:UNV614"/>
    <mergeCell ref="UMJ614:UML614"/>
    <mergeCell ref="UMN614:UMP614"/>
    <mergeCell ref="UMR614:UMT614"/>
    <mergeCell ref="UMV614:UMX614"/>
    <mergeCell ref="UMZ614:UNB614"/>
    <mergeCell ref="ULP614:ULR614"/>
    <mergeCell ref="ULT614:ULV614"/>
    <mergeCell ref="ULX614:ULZ614"/>
    <mergeCell ref="UMB614:UMD614"/>
    <mergeCell ref="UMF614:UMH614"/>
    <mergeCell ref="UKV614:UKX614"/>
    <mergeCell ref="UKZ614:ULB614"/>
    <mergeCell ref="ULD614:ULF614"/>
    <mergeCell ref="ULH614:ULJ614"/>
    <mergeCell ref="ULL614:ULN614"/>
    <mergeCell ref="UKB614:UKD614"/>
    <mergeCell ref="UKF614:UKH614"/>
    <mergeCell ref="UKJ614:UKL614"/>
    <mergeCell ref="UKN614:UKP614"/>
    <mergeCell ref="UKR614:UKT614"/>
    <mergeCell ref="UJH614:UJJ614"/>
    <mergeCell ref="UJL614:UJN614"/>
    <mergeCell ref="UJP614:UJR614"/>
    <mergeCell ref="UJT614:UJV614"/>
    <mergeCell ref="UJX614:UJZ614"/>
    <mergeCell ref="UTH614:UTJ614"/>
    <mergeCell ref="UTL614:UTN614"/>
    <mergeCell ref="UTP614:UTR614"/>
    <mergeCell ref="UTT614:UTV614"/>
    <mergeCell ref="UTX614:UTZ614"/>
    <mergeCell ref="USN614:USP614"/>
    <mergeCell ref="USR614:UST614"/>
    <mergeCell ref="USV614:USX614"/>
    <mergeCell ref="USZ614:UTB614"/>
    <mergeCell ref="UTD614:UTF614"/>
    <mergeCell ref="URT614:URV614"/>
    <mergeCell ref="URX614:URZ614"/>
    <mergeCell ref="USB614:USD614"/>
    <mergeCell ref="USF614:USH614"/>
    <mergeCell ref="USJ614:USL614"/>
    <mergeCell ref="UQZ614:URB614"/>
    <mergeCell ref="URD614:URF614"/>
    <mergeCell ref="URH614:URJ614"/>
    <mergeCell ref="URL614:URN614"/>
    <mergeCell ref="URP614:URR614"/>
    <mergeCell ref="UQF614:UQH614"/>
    <mergeCell ref="UQJ614:UQL614"/>
    <mergeCell ref="UQN614:UQP614"/>
    <mergeCell ref="UQR614:UQT614"/>
    <mergeCell ref="UQV614:UQX614"/>
    <mergeCell ref="UPL614:UPN614"/>
    <mergeCell ref="UPP614:UPR614"/>
    <mergeCell ref="UPT614:UPV614"/>
    <mergeCell ref="UPX614:UPZ614"/>
    <mergeCell ref="UQB614:UQD614"/>
    <mergeCell ref="UOR614:UOT614"/>
    <mergeCell ref="UOV614:UOX614"/>
    <mergeCell ref="UOZ614:UPB614"/>
    <mergeCell ref="UPD614:UPF614"/>
    <mergeCell ref="UPH614:UPJ614"/>
    <mergeCell ref="UYR614:UYT614"/>
    <mergeCell ref="UYV614:UYX614"/>
    <mergeCell ref="UYZ614:UZB614"/>
    <mergeCell ref="UZD614:UZF614"/>
    <mergeCell ref="UZH614:UZJ614"/>
    <mergeCell ref="UXX614:UXZ614"/>
    <mergeCell ref="UYB614:UYD614"/>
    <mergeCell ref="UYF614:UYH614"/>
    <mergeCell ref="UYJ614:UYL614"/>
    <mergeCell ref="UYN614:UYP614"/>
    <mergeCell ref="UXD614:UXF614"/>
    <mergeCell ref="UXH614:UXJ614"/>
    <mergeCell ref="UXL614:UXN614"/>
    <mergeCell ref="UXP614:UXR614"/>
    <mergeCell ref="UXT614:UXV614"/>
    <mergeCell ref="UWJ614:UWL614"/>
    <mergeCell ref="UWN614:UWP614"/>
    <mergeCell ref="UWR614:UWT614"/>
    <mergeCell ref="UWV614:UWX614"/>
    <mergeCell ref="UWZ614:UXB614"/>
    <mergeCell ref="UVP614:UVR614"/>
    <mergeCell ref="UVT614:UVV614"/>
    <mergeCell ref="UVX614:UVZ614"/>
    <mergeCell ref="UWB614:UWD614"/>
    <mergeCell ref="UWF614:UWH614"/>
    <mergeCell ref="UUV614:UUX614"/>
    <mergeCell ref="UUZ614:UVB614"/>
    <mergeCell ref="UVD614:UVF614"/>
    <mergeCell ref="UVH614:UVJ614"/>
    <mergeCell ref="UVL614:UVN614"/>
    <mergeCell ref="UUB614:UUD614"/>
    <mergeCell ref="UUF614:UUH614"/>
    <mergeCell ref="UUJ614:UUL614"/>
    <mergeCell ref="UUN614:UUP614"/>
    <mergeCell ref="UUR614:UUT614"/>
    <mergeCell ref="VEB614:VED614"/>
    <mergeCell ref="VEF614:VEH614"/>
    <mergeCell ref="VEJ614:VEL614"/>
    <mergeCell ref="VEN614:VEP614"/>
    <mergeCell ref="VER614:VET614"/>
    <mergeCell ref="VDH614:VDJ614"/>
    <mergeCell ref="VDL614:VDN614"/>
    <mergeCell ref="VDP614:VDR614"/>
    <mergeCell ref="VDT614:VDV614"/>
    <mergeCell ref="VDX614:VDZ614"/>
    <mergeCell ref="VCN614:VCP614"/>
    <mergeCell ref="VCR614:VCT614"/>
    <mergeCell ref="VCV614:VCX614"/>
    <mergeCell ref="VCZ614:VDB614"/>
    <mergeCell ref="VDD614:VDF614"/>
    <mergeCell ref="VBT614:VBV614"/>
    <mergeCell ref="VBX614:VBZ614"/>
    <mergeCell ref="VCB614:VCD614"/>
    <mergeCell ref="VCF614:VCH614"/>
    <mergeCell ref="VCJ614:VCL614"/>
    <mergeCell ref="VAZ614:VBB614"/>
    <mergeCell ref="VBD614:VBF614"/>
    <mergeCell ref="VBH614:VBJ614"/>
    <mergeCell ref="VBL614:VBN614"/>
    <mergeCell ref="VBP614:VBR614"/>
    <mergeCell ref="VAF614:VAH614"/>
    <mergeCell ref="VAJ614:VAL614"/>
    <mergeCell ref="VAN614:VAP614"/>
    <mergeCell ref="VAR614:VAT614"/>
    <mergeCell ref="VAV614:VAX614"/>
    <mergeCell ref="UZL614:UZN614"/>
    <mergeCell ref="UZP614:UZR614"/>
    <mergeCell ref="UZT614:UZV614"/>
    <mergeCell ref="UZX614:UZZ614"/>
    <mergeCell ref="VAB614:VAD614"/>
    <mergeCell ref="VJL614:VJN614"/>
    <mergeCell ref="VJP614:VJR614"/>
    <mergeCell ref="VJT614:VJV614"/>
    <mergeCell ref="VJX614:VJZ614"/>
    <mergeCell ref="VKB614:VKD614"/>
    <mergeCell ref="VIR614:VIT614"/>
    <mergeCell ref="VIV614:VIX614"/>
    <mergeCell ref="VIZ614:VJB614"/>
    <mergeCell ref="VJD614:VJF614"/>
    <mergeCell ref="VJH614:VJJ614"/>
    <mergeCell ref="VHX614:VHZ614"/>
    <mergeCell ref="VIB614:VID614"/>
    <mergeCell ref="VIF614:VIH614"/>
    <mergeCell ref="VIJ614:VIL614"/>
    <mergeCell ref="VIN614:VIP614"/>
    <mergeCell ref="VHD614:VHF614"/>
    <mergeCell ref="VHH614:VHJ614"/>
    <mergeCell ref="VHL614:VHN614"/>
    <mergeCell ref="VHP614:VHR614"/>
    <mergeCell ref="VHT614:VHV614"/>
    <mergeCell ref="VGJ614:VGL614"/>
    <mergeCell ref="VGN614:VGP614"/>
    <mergeCell ref="VGR614:VGT614"/>
    <mergeCell ref="VGV614:VGX614"/>
    <mergeCell ref="VGZ614:VHB614"/>
    <mergeCell ref="VFP614:VFR614"/>
    <mergeCell ref="VFT614:VFV614"/>
    <mergeCell ref="VFX614:VFZ614"/>
    <mergeCell ref="VGB614:VGD614"/>
    <mergeCell ref="VGF614:VGH614"/>
    <mergeCell ref="VEV614:VEX614"/>
    <mergeCell ref="VEZ614:VFB614"/>
    <mergeCell ref="VFD614:VFF614"/>
    <mergeCell ref="VFH614:VFJ614"/>
    <mergeCell ref="VFL614:VFN614"/>
    <mergeCell ref="VOV614:VOX614"/>
    <mergeCell ref="VOZ614:VPB614"/>
    <mergeCell ref="VPD614:VPF614"/>
    <mergeCell ref="VPH614:VPJ614"/>
    <mergeCell ref="VPL614:VPN614"/>
    <mergeCell ref="VOB614:VOD614"/>
    <mergeCell ref="VOF614:VOH614"/>
    <mergeCell ref="VOJ614:VOL614"/>
    <mergeCell ref="VON614:VOP614"/>
    <mergeCell ref="VOR614:VOT614"/>
    <mergeCell ref="VNH614:VNJ614"/>
    <mergeCell ref="VNL614:VNN614"/>
    <mergeCell ref="VNP614:VNR614"/>
    <mergeCell ref="VNT614:VNV614"/>
    <mergeCell ref="VNX614:VNZ614"/>
    <mergeCell ref="VMN614:VMP614"/>
    <mergeCell ref="VMR614:VMT614"/>
    <mergeCell ref="VMV614:VMX614"/>
    <mergeCell ref="VMZ614:VNB614"/>
    <mergeCell ref="VND614:VNF614"/>
    <mergeCell ref="VLT614:VLV614"/>
    <mergeCell ref="VLX614:VLZ614"/>
    <mergeCell ref="VMB614:VMD614"/>
    <mergeCell ref="VMF614:VMH614"/>
    <mergeCell ref="VMJ614:VML614"/>
    <mergeCell ref="VKZ614:VLB614"/>
    <mergeCell ref="VLD614:VLF614"/>
    <mergeCell ref="VLH614:VLJ614"/>
    <mergeCell ref="VLL614:VLN614"/>
    <mergeCell ref="VLP614:VLR614"/>
    <mergeCell ref="VKF614:VKH614"/>
    <mergeCell ref="VKJ614:VKL614"/>
    <mergeCell ref="VKN614:VKP614"/>
    <mergeCell ref="VKR614:VKT614"/>
    <mergeCell ref="VKV614:VKX614"/>
    <mergeCell ref="VUF614:VUH614"/>
    <mergeCell ref="VUJ614:VUL614"/>
    <mergeCell ref="VUN614:VUP614"/>
    <mergeCell ref="VUR614:VUT614"/>
    <mergeCell ref="VUV614:VUX614"/>
    <mergeCell ref="VTL614:VTN614"/>
    <mergeCell ref="VTP614:VTR614"/>
    <mergeCell ref="VTT614:VTV614"/>
    <mergeCell ref="VTX614:VTZ614"/>
    <mergeCell ref="VUB614:VUD614"/>
    <mergeCell ref="VSR614:VST614"/>
    <mergeCell ref="VSV614:VSX614"/>
    <mergeCell ref="VSZ614:VTB614"/>
    <mergeCell ref="VTD614:VTF614"/>
    <mergeCell ref="VTH614:VTJ614"/>
    <mergeCell ref="VRX614:VRZ614"/>
    <mergeCell ref="VSB614:VSD614"/>
    <mergeCell ref="VSF614:VSH614"/>
    <mergeCell ref="VSJ614:VSL614"/>
    <mergeCell ref="VSN614:VSP614"/>
    <mergeCell ref="VRD614:VRF614"/>
    <mergeCell ref="VRH614:VRJ614"/>
    <mergeCell ref="VRL614:VRN614"/>
    <mergeCell ref="VRP614:VRR614"/>
    <mergeCell ref="VRT614:VRV614"/>
    <mergeCell ref="VQJ614:VQL614"/>
    <mergeCell ref="VQN614:VQP614"/>
    <mergeCell ref="VQR614:VQT614"/>
    <mergeCell ref="VQV614:VQX614"/>
    <mergeCell ref="VQZ614:VRB614"/>
    <mergeCell ref="VPP614:VPR614"/>
    <mergeCell ref="VPT614:VPV614"/>
    <mergeCell ref="VPX614:VPZ614"/>
    <mergeCell ref="VQB614:VQD614"/>
    <mergeCell ref="VQF614:VQH614"/>
    <mergeCell ref="VZP614:VZR614"/>
    <mergeCell ref="VZT614:VZV614"/>
    <mergeCell ref="VZX614:VZZ614"/>
    <mergeCell ref="WAB614:WAD614"/>
    <mergeCell ref="WAF614:WAH614"/>
    <mergeCell ref="VYV614:VYX614"/>
    <mergeCell ref="VYZ614:VZB614"/>
    <mergeCell ref="VZD614:VZF614"/>
    <mergeCell ref="VZH614:VZJ614"/>
    <mergeCell ref="VZL614:VZN614"/>
    <mergeCell ref="VYB614:VYD614"/>
    <mergeCell ref="VYF614:VYH614"/>
    <mergeCell ref="VYJ614:VYL614"/>
    <mergeCell ref="VYN614:VYP614"/>
    <mergeCell ref="VYR614:VYT614"/>
    <mergeCell ref="VXH614:VXJ614"/>
    <mergeCell ref="VXL614:VXN614"/>
    <mergeCell ref="VXP614:VXR614"/>
    <mergeCell ref="VXT614:VXV614"/>
    <mergeCell ref="VXX614:VXZ614"/>
    <mergeCell ref="VWN614:VWP614"/>
    <mergeCell ref="VWR614:VWT614"/>
    <mergeCell ref="VWV614:VWX614"/>
    <mergeCell ref="VWZ614:VXB614"/>
    <mergeCell ref="VXD614:VXF614"/>
    <mergeCell ref="VVT614:VVV614"/>
    <mergeCell ref="VVX614:VVZ614"/>
    <mergeCell ref="VWB614:VWD614"/>
    <mergeCell ref="VWF614:VWH614"/>
    <mergeCell ref="VWJ614:VWL614"/>
    <mergeCell ref="VUZ614:VVB614"/>
    <mergeCell ref="VVD614:VVF614"/>
    <mergeCell ref="VVH614:VVJ614"/>
    <mergeCell ref="VVL614:VVN614"/>
    <mergeCell ref="VVP614:VVR614"/>
    <mergeCell ref="WEZ614:WFB614"/>
    <mergeCell ref="WFD614:WFF614"/>
    <mergeCell ref="WFH614:WFJ614"/>
    <mergeCell ref="WFL614:WFN614"/>
    <mergeCell ref="WFP614:WFR614"/>
    <mergeCell ref="WEF614:WEH614"/>
    <mergeCell ref="WEJ614:WEL614"/>
    <mergeCell ref="WEN614:WEP614"/>
    <mergeCell ref="WER614:WET614"/>
    <mergeCell ref="WEV614:WEX614"/>
    <mergeCell ref="WDL614:WDN614"/>
    <mergeCell ref="WDP614:WDR614"/>
    <mergeCell ref="WDT614:WDV614"/>
    <mergeCell ref="WDX614:WDZ614"/>
    <mergeCell ref="WEB614:WED614"/>
    <mergeCell ref="WCR614:WCT614"/>
    <mergeCell ref="WCV614:WCX614"/>
    <mergeCell ref="WCZ614:WDB614"/>
    <mergeCell ref="WDD614:WDF614"/>
    <mergeCell ref="WDH614:WDJ614"/>
    <mergeCell ref="WBX614:WBZ614"/>
    <mergeCell ref="WCB614:WCD614"/>
    <mergeCell ref="WCF614:WCH614"/>
    <mergeCell ref="WCJ614:WCL614"/>
    <mergeCell ref="WCN614:WCP614"/>
    <mergeCell ref="WBD614:WBF614"/>
    <mergeCell ref="WBH614:WBJ614"/>
    <mergeCell ref="WBL614:WBN614"/>
    <mergeCell ref="WBP614:WBR614"/>
    <mergeCell ref="WBT614:WBV614"/>
    <mergeCell ref="WAJ614:WAL614"/>
    <mergeCell ref="WAN614:WAP614"/>
    <mergeCell ref="WAR614:WAT614"/>
    <mergeCell ref="WAV614:WAX614"/>
    <mergeCell ref="WAZ614:WBB614"/>
    <mergeCell ref="WKJ614:WKL614"/>
    <mergeCell ref="WKN614:WKP614"/>
    <mergeCell ref="WKR614:WKT614"/>
    <mergeCell ref="WKV614:WKX614"/>
    <mergeCell ref="WKZ614:WLB614"/>
    <mergeCell ref="WJP614:WJR614"/>
    <mergeCell ref="WJT614:WJV614"/>
    <mergeCell ref="WJX614:WJZ614"/>
    <mergeCell ref="WKB614:WKD614"/>
    <mergeCell ref="WKF614:WKH614"/>
    <mergeCell ref="WIV614:WIX614"/>
    <mergeCell ref="WIZ614:WJB614"/>
    <mergeCell ref="WJD614:WJF614"/>
    <mergeCell ref="WJH614:WJJ614"/>
    <mergeCell ref="WJL614:WJN614"/>
    <mergeCell ref="WIB614:WID614"/>
    <mergeCell ref="WIF614:WIH614"/>
    <mergeCell ref="WIJ614:WIL614"/>
    <mergeCell ref="WIN614:WIP614"/>
    <mergeCell ref="WIR614:WIT614"/>
    <mergeCell ref="WHH614:WHJ614"/>
    <mergeCell ref="WHL614:WHN614"/>
    <mergeCell ref="WHP614:WHR614"/>
    <mergeCell ref="WHT614:WHV614"/>
    <mergeCell ref="WHX614:WHZ614"/>
    <mergeCell ref="WGN614:WGP614"/>
    <mergeCell ref="WGR614:WGT614"/>
    <mergeCell ref="WGV614:WGX614"/>
    <mergeCell ref="WGZ614:WHB614"/>
    <mergeCell ref="WHD614:WHF614"/>
    <mergeCell ref="WFT614:WFV614"/>
    <mergeCell ref="WFX614:WFZ614"/>
    <mergeCell ref="WGB614:WGD614"/>
    <mergeCell ref="WGF614:WGH614"/>
    <mergeCell ref="WGJ614:WGL614"/>
    <mergeCell ref="WPT614:WPV614"/>
    <mergeCell ref="WPX614:WPZ614"/>
    <mergeCell ref="WQB614:WQD614"/>
    <mergeCell ref="WQF614:WQH614"/>
    <mergeCell ref="WQJ614:WQL614"/>
    <mergeCell ref="WOZ614:WPB614"/>
    <mergeCell ref="WPD614:WPF614"/>
    <mergeCell ref="WPH614:WPJ614"/>
    <mergeCell ref="WPL614:WPN614"/>
    <mergeCell ref="WPP614:WPR614"/>
    <mergeCell ref="WOF614:WOH614"/>
    <mergeCell ref="WOJ614:WOL614"/>
    <mergeCell ref="WON614:WOP614"/>
    <mergeCell ref="WOR614:WOT614"/>
    <mergeCell ref="WOV614:WOX614"/>
    <mergeCell ref="WNL614:WNN614"/>
    <mergeCell ref="WNP614:WNR614"/>
    <mergeCell ref="WNT614:WNV614"/>
    <mergeCell ref="WNX614:WNZ614"/>
    <mergeCell ref="WOB614:WOD614"/>
    <mergeCell ref="WMR614:WMT614"/>
    <mergeCell ref="WMV614:WMX614"/>
    <mergeCell ref="WMZ614:WNB614"/>
    <mergeCell ref="WND614:WNF614"/>
    <mergeCell ref="WNH614:WNJ614"/>
    <mergeCell ref="WLX614:WLZ614"/>
    <mergeCell ref="WMB614:WMD614"/>
    <mergeCell ref="WMF614:WMH614"/>
    <mergeCell ref="WMJ614:WML614"/>
    <mergeCell ref="WMN614:WMP614"/>
    <mergeCell ref="WLD614:WLF614"/>
    <mergeCell ref="WLH614:WLJ614"/>
    <mergeCell ref="WLL614:WLN614"/>
    <mergeCell ref="WLP614:WLR614"/>
    <mergeCell ref="WLT614:WLV614"/>
    <mergeCell ref="XEJ614:XEL614"/>
    <mergeCell ref="XEN614:XEP614"/>
    <mergeCell ref="XER614:XET614"/>
    <mergeCell ref="XDP614:XDR614"/>
    <mergeCell ref="XDT614:XDV614"/>
    <mergeCell ref="XDX614:XDZ614"/>
    <mergeCell ref="XEB614:XED614"/>
    <mergeCell ref="XEF614:XEH614"/>
    <mergeCell ref="XCV614:XCX614"/>
    <mergeCell ref="XCZ614:XDB614"/>
    <mergeCell ref="XDD614:XDF614"/>
    <mergeCell ref="XDH614:XDJ614"/>
    <mergeCell ref="XDL614:XDN614"/>
    <mergeCell ref="XCB614:XCD614"/>
    <mergeCell ref="XCF614:XCH614"/>
    <mergeCell ref="XCJ614:XCL614"/>
    <mergeCell ref="XCN614:XCP614"/>
    <mergeCell ref="XCR614:XCT614"/>
    <mergeCell ref="XBH614:XBJ614"/>
    <mergeCell ref="XBL614:XBN614"/>
    <mergeCell ref="XBP614:XBR614"/>
    <mergeCell ref="XBT614:XBV614"/>
    <mergeCell ref="XBX614:XBZ614"/>
    <mergeCell ref="XAN614:XAP614"/>
    <mergeCell ref="XAR614:XAT614"/>
    <mergeCell ref="XAV614:XAX614"/>
    <mergeCell ref="XAZ614:XBB614"/>
    <mergeCell ref="XBD614:XBF614"/>
    <mergeCell ref="WZT614:WZV614"/>
    <mergeCell ref="WZX614:WZZ614"/>
    <mergeCell ref="XAB614:XAD614"/>
    <mergeCell ref="XAF614:XAH614"/>
    <mergeCell ref="XAJ614:XAL614"/>
    <mergeCell ref="M9:M10"/>
    <mergeCell ref="M7:M8"/>
    <mergeCell ref="E9:H10"/>
    <mergeCell ref="E7:H8"/>
    <mergeCell ref="WYZ614:WZB614"/>
    <mergeCell ref="WZD614:WZF614"/>
    <mergeCell ref="WZH614:WZJ614"/>
    <mergeCell ref="WZL614:WZN614"/>
    <mergeCell ref="WZP614:WZR614"/>
    <mergeCell ref="WYF614:WYH614"/>
    <mergeCell ref="WYJ614:WYL614"/>
    <mergeCell ref="WYN614:WYP614"/>
    <mergeCell ref="WYR614:WYT614"/>
    <mergeCell ref="WYV614:WYX614"/>
    <mergeCell ref="WXL614:WXN614"/>
    <mergeCell ref="WXP614:WXR614"/>
    <mergeCell ref="WXT614:WXV614"/>
    <mergeCell ref="WXX614:WXZ614"/>
    <mergeCell ref="WYB614:WYD614"/>
    <mergeCell ref="WWR614:WWT614"/>
    <mergeCell ref="WWV614:WWX614"/>
    <mergeCell ref="WWZ614:WXB614"/>
    <mergeCell ref="WXD614:WXF614"/>
    <mergeCell ref="WXH614:WXJ614"/>
    <mergeCell ref="WVX614:WVZ614"/>
    <mergeCell ref="WWB614:WWD614"/>
    <mergeCell ref="WWF614:WWH614"/>
    <mergeCell ref="WWJ614:WWL614"/>
    <mergeCell ref="WWN614:WWP614"/>
    <mergeCell ref="WVD614:WVF614"/>
    <mergeCell ref="WVH614:WVJ614"/>
    <mergeCell ref="WVL614:WVN614"/>
    <mergeCell ref="WVP614:WVR614"/>
    <mergeCell ref="WVT614:WVV614"/>
    <mergeCell ref="WUJ614:WUL614"/>
    <mergeCell ref="WUN614:WUP614"/>
    <mergeCell ref="WUR614:WUT614"/>
    <mergeCell ref="WUV614:WUX614"/>
    <mergeCell ref="WUZ614:WVB614"/>
    <mergeCell ref="WTP614:WTR614"/>
    <mergeCell ref="WTT614:WTV614"/>
    <mergeCell ref="WTX614:WTZ614"/>
    <mergeCell ref="WUB614:WUD614"/>
    <mergeCell ref="WUF614:WUH614"/>
    <mergeCell ref="WSV614:WSX614"/>
    <mergeCell ref="WSZ614:WTB614"/>
    <mergeCell ref="WTD614:WTF614"/>
    <mergeCell ref="WTH614:WTJ614"/>
    <mergeCell ref="WTL614:WTN614"/>
    <mergeCell ref="WSB614:WSD614"/>
    <mergeCell ref="WSF614:WSH614"/>
    <mergeCell ref="WSJ614:WSL614"/>
    <mergeCell ref="WSN614:WSP614"/>
    <mergeCell ref="WSR614:WST614"/>
    <mergeCell ref="WRH614:WRJ614"/>
    <mergeCell ref="WRL614:WRN614"/>
    <mergeCell ref="WRP614:WRR614"/>
    <mergeCell ref="WRT614:WRV614"/>
    <mergeCell ref="WRX614:WRZ614"/>
    <mergeCell ref="WQN614:WQP614"/>
    <mergeCell ref="WQR614:WQT614"/>
    <mergeCell ref="WQV614:WQX614"/>
    <mergeCell ref="WQZ614:WRB614"/>
    <mergeCell ref="WRD614:WRF614"/>
  </mergeCells>
  <conditionalFormatting sqref="F243:M246">
    <cfRule type="cellIs" dxfId="36" priority="34" operator="equal">
      <formula>TRUE</formula>
    </cfRule>
  </conditionalFormatting>
  <conditionalFormatting sqref="F255:M258">
    <cfRule type="cellIs" dxfId="35" priority="19" operator="equal">
      <formula>TRUE</formula>
    </cfRule>
  </conditionalFormatting>
  <conditionalFormatting sqref="F269:N270">
    <cfRule type="cellIs" dxfId="34" priority="36" operator="equal">
      <formula>TRUE</formula>
    </cfRule>
  </conditionalFormatting>
  <conditionalFormatting sqref="G267:M267 M268">
    <cfRule type="cellIs" dxfId="33" priority="38" operator="equal">
      <formula>TRUE</formula>
    </cfRule>
  </conditionalFormatting>
  <conditionalFormatting sqref="G299:N299">
    <cfRule type="cellIs" dxfId="32" priority="27" operator="equal">
      <formula>TRUE</formula>
    </cfRule>
  </conditionalFormatting>
  <conditionalFormatting sqref="H238">
    <cfRule type="cellIs" dxfId="31" priority="40" operator="equal">
      <formula>TRUE</formula>
    </cfRule>
  </conditionalFormatting>
  <conditionalFormatting sqref="H271:N271 N272:N273 H274:N277 I278:N278 G301:N301">
    <cfRule type="cellIs" dxfId="30" priority="43" operator="equal">
      <formula>TRUE</formula>
    </cfRule>
  </conditionalFormatting>
  <conditionalFormatting sqref="M270">
    <cfRule type="cellIs" dxfId="29" priority="37" operator="equal">
      <formula>TRUE</formula>
    </cfRule>
  </conditionalFormatting>
  <conditionalFormatting sqref="M289:M294">
    <cfRule type="cellIs" dxfId="28" priority="26" operator="equal">
      <formula>TRUE</formula>
    </cfRule>
  </conditionalFormatting>
  <conditionalFormatting sqref="M303:M308">
    <cfRule type="cellIs" dxfId="27" priority="14" operator="equal">
      <formula>TRUE</formula>
    </cfRule>
  </conditionalFormatting>
  <conditionalFormatting sqref="M343">
    <cfRule type="cellIs" dxfId="26" priority="21" operator="equal">
      <formula>TRUE</formula>
    </cfRule>
  </conditionalFormatting>
  <conditionalFormatting sqref="M356">
    <cfRule type="cellIs" dxfId="25" priority="11" operator="equal">
      <formula>TRUE</formula>
    </cfRule>
  </conditionalFormatting>
  <conditionalFormatting sqref="M369">
    <cfRule type="cellIs" dxfId="24" priority="10" operator="equal">
      <formula>TRUE</formula>
    </cfRule>
  </conditionalFormatting>
  <conditionalFormatting sqref="M384">
    <cfRule type="cellIs" dxfId="23" priority="9" operator="equal">
      <formula>TRUE</formula>
    </cfRule>
  </conditionalFormatting>
  <conditionalFormatting sqref="M397">
    <cfRule type="cellIs" dxfId="22" priority="8" operator="equal">
      <formula>TRUE</formula>
    </cfRule>
  </conditionalFormatting>
  <conditionalFormatting sqref="M410">
    <cfRule type="cellIs" dxfId="21" priority="7" operator="equal">
      <formula>TRUE</formula>
    </cfRule>
  </conditionalFormatting>
  <conditionalFormatting sqref="M438">
    <cfRule type="cellIs" dxfId="20" priority="5" operator="equal">
      <formula>TRUE</formula>
    </cfRule>
  </conditionalFormatting>
  <conditionalFormatting sqref="M451">
    <cfRule type="cellIs" dxfId="19" priority="4" operator="equal">
      <formula>TRUE</formula>
    </cfRule>
  </conditionalFormatting>
  <conditionalFormatting sqref="N300">
    <cfRule type="cellIs" dxfId="18" priority="28" operator="equal">
      <formula>TRUE</formula>
    </cfRule>
  </conditionalFormatting>
  <dataValidations disablePrompts="1" count="2">
    <dataValidation type="whole" allowBlank="1" showErrorMessage="1" errorTitle="ERROR" error="El valor de trayectoria introducido no es valido. Las trayectorias estan comprendidas entre los valores 1 y 4." sqref="M9" xr:uid="{F69AC2E1-A48B-4D93-9CC8-79B135B4DE50}">
      <formula1>1</formula1>
      <formula2>4</formula2>
    </dataValidation>
    <dataValidation allowBlank="1" showErrorMessage="1" errorTitle="ERROR" error="El valor de trayectoria introducido no es valido. Las trayectorias estan comprendidas entre los valores 1 y 4." sqref="M7" xr:uid="{F255DDEC-59B4-408B-88C2-658AF0BF977C}"/>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1985" r:id="rId5" name="Spinner 1">
              <controlPr defaultSize="0" autoPict="0">
                <anchor moveWithCells="1" sizeWithCells="1">
                  <from>
                    <xdr:col>13</xdr:col>
                    <xdr:colOff>47625</xdr:colOff>
                    <xdr:row>6</xdr:row>
                    <xdr:rowOff>47625</xdr:rowOff>
                  </from>
                  <to>
                    <xdr:col>13</xdr:col>
                    <xdr:colOff>238125</xdr:colOff>
                    <xdr:row>7</xdr:row>
                    <xdr:rowOff>152400</xdr:rowOff>
                  </to>
                </anchor>
              </controlPr>
            </control>
          </mc:Choice>
        </mc:AlternateContent>
        <mc:AlternateContent xmlns:mc="http://schemas.openxmlformats.org/markup-compatibility/2006">
          <mc:Choice Requires="x14">
            <control shapeId="41986" r:id="rId6" name="Spinner 2">
              <controlPr defaultSize="0" autoPict="0">
                <anchor moveWithCells="1" sizeWithCells="1">
                  <from>
                    <xdr:col>13</xdr:col>
                    <xdr:colOff>47625</xdr:colOff>
                    <xdr:row>8</xdr:row>
                    <xdr:rowOff>38100</xdr:rowOff>
                  </from>
                  <to>
                    <xdr:col>13</xdr:col>
                    <xdr:colOff>238125</xdr:colOff>
                    <xdr:row>9</xdr:row>
                    <xdr:rowOff>142875</xdr:rowOff>
                  </to>
                </anchor>
              </controlPr>
            </control>
          </mc:Choice>
        </mc:AlternateContent>
      </controls>
    </mc:Choice>
  </mc:AlternateConten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8293C-BE08-4FEF-9C5D-E7CBB3FD0D16}">
  <sheetPr codeName="Hoja18"/>
  <dimension ref="A1:AC126"/>
  <sheetViews>
    <sheetView showGridLines="0" zoomScale="80" zoomScaleNormal="80" workbookViewId="0">
      <selection activeCell="F17" sqref="F17:M20"/>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19.28515625" style="3" customWidth="1"/>
    <col min="6" max="6" width="11.85546875" style="3" bestFit="1" customWidth="1"/>
    <col min="7" max="7" width="11.5703125" style="3"/>
    <col min="8" max="8" width="15.140625" style="3" customWidth="1"/>
    <col min="9" max="13" width="14.28515625" style="3" bestFit="1" customWidth="1"/>
    <col min="14" max="14" width="5.7109375" style="3" customWidth="1"/>
    <col min="15" max="15" width="11.5703125" style="3"/>
    <col min="16" max="16" width="11.85546875" style="3" bestFit="1" customWidth="1"/>
    <col min="17"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1" spans="1:14" ht="15" customHeight="1">
      <c r="E1" s="2"/>
    </row>
    <row r="2" spans="1:14" ht="15" customHeight="1">
      <c r="E2" s="2"/>
    </row>
    <row r="4" spans="1:14" ht="15" customHeight="1">
      <c r="D4" s="8" t="s">
        <v>1622</v>
      </c>
      <c r="E4" s="5"/>
      <c r="F4" s="5"/>
      <c r="G4" s="5"/>
      <c r="H4" s="5"/>
      <c r="I4" s="5"/>
      <c r="J4" s="5"/>
      <c r="K4" s="5"/>
      <c r="L4" s="5"/>
      <c r="M4" s="5"/>
      <c r="N4" s="5"/>
    </row>
    <row r="5" spans="1:14" ht="15" customHeight="1">
      <c r="A5" s="1559"/>
      <c r="D5" s="6"/>
      <c r="E5" s="6"/>
      <c r="F5" s="6"/>
      <c r="G5" s="6"/>
      <c r="H5" s="6"/>
      <c r="I5" s="6"/>
      <c r="J5" s="6"/>
      <c r="K5" s="6"/>
      <c r="L5" s="6"/>
      <c r="M5" s="6"/>
      <c r="N5" s="6"/>
    </row>
    <row r="6" spans="1:14" ht="15" customHeight="1">
      <c r="D6" s="6"/>
      <c r="E6" s="126" t="s">
        <v>1623</v>
      </c>
      <c r="F6" s="127"/>
      <c r="G6" s="127"/>
      <c r="H6" s="127"/>
      <c r="I6" s="127"/>
      <c r="J6" s="127"/>
      <c r="K6" s="127"/>
      <c r="L6" s="127"/>
      <c r="M6" s="179" t="s">
        <v>879</v>
      </c>
      <c r="N6" s="6"/>
    </row>
    <row r="7" spans="1:14" ht="15" customHeight="1">
      <c r="D7" s="6"/>
      <c r="E7" s="3913" t="s">
        <v>1366</v>
      </c>
      <c r="F7" s="3913"/>
      <c r="G7" s="3913"/>
      <c r="H7" s="3913"/>
      <c r="I7" s="127"/>
      <c r="J7" s="127"/>
      <c r="K7" s="127"/>
      <c r="L7" s="127"/>
      <c r="M7" s="3935">
        <f>TRAYECTORIA_TRANSPORTE_AVIACION</f>
        <v>1</v>
      </c>
      <c r="N7" s="6"/>
    </row>
    <row r="8" spans="1:14" ht="15" customHeight="1">
      <c r="D8" s="6"/>
      <c r="E8" s="3924"/>
      <c r="F8" s="3924"/>
      <c r="G8" s="3924"/>
      <c r="H8" s="3924"/>
      <c r="I8" s="7"/>
      <c r="J8" s="7"/>
      <c r="K8" s="7"/>
      <c r="L8" s="7"/>
      <c r="M8" s="3936"/>
      <c r="N8" s="6"/>
    </row>
    <row r="9" spans="1:14" ht="15" customHeight="1">
      <c r="D9" s="6"/>
      <c r="E9" s="6"/>
      <c r="F9" s="6"/>
      <c r="G9" s="6"/>
      <c r="H9" s="6"/>
      <c r="I9" s="6"/>
      <c r="J9" s="6"/>
      <c r="K9" s="6"/>
      <c r="L9" s="6"/>
      <c r="M9" s="6"/>
      <c r="N9" s="6"/>
    </row>
    <row r="11" spans="1:14" ht="15" customHeight="1">
      <c r="D11" s="335" t="s">
        <v>1190</v>
      </c>
      <c r="E11" s="336"/>
      <c r="F11" s="336"/>
      <c r="G11" s="336"/>
      <c r="H11" s="336"/>
      <c r="I11" s="336"/>
      <c r="J11" s="336"/>
      <c r="K11" s="336"/>
      <c r="L11" s="336"/>
      <c r="M11" s="336"/>
      <c r="N11" s="336"/>
    </row>
    <row r="12" spans="1:14" ht="15" customHeight="1">
      <c r="D12" s="11"/>
      <c r="E12" s="12"/>
      <c r="F12" s="12"/>
      <c r="G12" s="12"/>
      <c r="H12" s="12"/>
      <c r="I12" s="12"/>
      <c r="J12" s="12"/>
      <c r="K12" s="12"/>
      <c r="L12" s="12"/>
      <c r="M12" s="12"/>
      <c r="N12" s="12"/>
    </row>
    <row r="13" spans="1:14" ht="15" customHeight="1">
      <c r="D13" s="11"/>
      <c r="E13" s="940" t="s">
        <v>1366</v>
      </c>
      <c r="F13" s="181"/>
      <c r="G13" s="181"/>
      <c r="H13" s="181"/>
      <c r="I13" s="181"/>
      <c r="J13" s="181"/>
      <c r="K13" s="181"/>
      <c r="L13" s="181"/>
      <c r="M13" s="181"/>
      <c r="N13" s="12"/>
    </row>
    <row r="14" spans="1:14" ht="15" customHeight="1">
      <c r="D14" s="11"/>
      <c r="E14" s="182"/>
      <c r="F14" s="12"/>
      <c r="G14" s="12"/>
      <c r="H14" s="12"/>
      <c r="I14" s="12"/>
      <c r="J14" s="12"/>
      <c r="K14" s="12"/>
      <c r="L14" s="12"/>
      <c r="M14" s="12"/>
      <c r="N14" s="12"/>
    </row>
    <row r="15" spans="1:14" ht="15" customHeight="1">
      <c r="D15" s="11"/>
      <c r="E15" s="130"/>
      <c r="F15" s="12"/>
      <c r="G15" s="12"/>
      <c r="H15" s="12"/>
      <c r="I15" s="12"/>
      <c r="J15" s="12"/>
      <c r="K15" s="12"/>
      <c r="L15" s="12"/>
      <c r="M15" s="183" t="s">
        <v>9</v>
      </c>
      <c r="N15" s="12"/>
    </row>
    <row r="16" spans="1:14" ht="15" customHeight="1">
      <c r="D16" s="11"/>
      <c r="E16" s="185" t="s">
        <v>879</v>
      </c>
      <c r="F16" s="864">
        <v>2018</v>
      </c>
      <c r="G16" s="864">
        <v>2020</v>
      </c>
      <c r="H16" s="864">
        <v>2025</v>
      </c>
      <c r="I16" s="864">
        <v>2030</v>
      </c>
      <c r="J16" s="864">
        <v>2035</v>
      </c>
      <c r="K16" s="864">
        <v>2040</v>
      </c>
      <c r="L16" s="864">
        <v>2045</v>
      </c>
      <c r="M16" s="864">
        <v>2050</v>
      </c>
      <c r="N16" s="12"/>
    </row>
    <row r="17" spans="1:28" customFormat="1" ht="15" customHeight="1">
      <c r="A17" s="663"/>
      <c r="B17" s="667"/>
      <c r="D17" s="187"/>
      <c r="E17" s="123">
        <v>1</v>
      </c>
      <c r="F17" s="3782">
        <v>0.26328619776232887</v>
      </c>
      <c r="G17" s="3782">
        <v>0.29035757392314177</v>
      </c>
      <c r="H17" s="3782">
        <v>0.3298469515641147</v>
      </c>
      <c r="I17" s="3782">
        <v>0.35755086589500845</v>
      </c>
      <c r="J17" s="3782">
        <v>0.37964842497165197</v>
      </c>
      <c r="K17" s="3782">
        <v>0.40203094125630268</v>
      </c>
      <c r="L17" s="3782">
        <v>0.42464689690048624</v>
      </c>
      <c r="M17" s="3782">
        <v>0.44778485958433889</v>
      </c>
      <c r="N17" s="12"/>
      <c r="O17" s="3"/>
      <c r="P17" s="3"/>
      <c r="Q17" s="3"/>
      <c r="R17" s="3"/>
      <c r="S17" s="3"/>
      <c r="T17" s="3"/>
      <c r="U17" s="3"/>
      <c r="V17" s="3"/>
      <c r="W17" s="3"/>
      <c r="X17" s="3"/>
      <c r="Y17" s="184"/>
      <c r="Z17" s="184"/>
      <c r="AA17" s="184"/>
      <c r="AB17" s="184"/>
    </row>
    <row r="18" spans="1:28" customFormat="1" ht="15" customHeight="1">
      <c r="A18" s="663"/>
      <c r="B18" s="667"/>
      <c r="D18" s="187"/>
      <c r="E18" s="123">
        <v>2</v>
      </c>
      <c r="F18" s="3783">
        <v>0.2601140748977222</v>
      </c>
      <c r="G18" s="3783">
        <v>0.28360507220399839</v>
      </c>
      <c r="H18" s="3783">
        <v>0.31872851499453875</v>
      </c>
      <c r="I18" s="3783">
        <v>0.34200517607348496</v>
      </c>
      <c r="J18" s="3783">
        <v>0.35966692892051272</v>
      </c>
      <c r="K18" s="3783">
        <v>0.37741680199571276</v>
      </c>
      <c r="L18" s="3783">
        <v>0.39521592384797699</v>
      </c>
      <c r="M18" s="3783">
        <v>0.41333987038554287</v>
      </c>
      <c r="N18" s="12"/>
      <c r="O18" s="3"/>
      <c r="P18" s="3"/>
      <c r="Q18" s="3"/>
      <c r="R18" s="3"/>
      <c r="S18" s="3"/>
      <c r="T18" s="3"/>
      <c r="U18" s="3"/>
      <c r="V18" s="3"/>
      <c r="W18" s="3"/>
      <c r="X18" s="3"/>
      <c r="Y18" s="184"/>
      <c r="Z18" s="184"/>
    </row>
    <row r="19" spans="1:28" customFormat="1" ht="15" customHeight="1">
      <c r="A19" s="663"/>
      <c r="B19" s="667"/>
      <c r="D19" s="187"/>
      <c r="E19" s="123">
        <v>3</v>
      </c>
      <c r="F19" s="3784">
        <v>0.26328619776232887</v>
      </c>
      <c r="G19" s="3783">
        <v>0.29035757392314177</v>
      </c>
      <c r="H19" s="3783">
        <v>0.31872851499453875</v>
      </c>
      <c r="I19" s="3783">
        <v>0.33423233116272533</v>
      </c>
      <c r="J19" s="3783">
        <v>0.34368173207960179</v>
      </c>
      <c r="K19" s="3783">
        <v>0.35280266273512279</v>
      </c>
      <c r="L19" s="3783">
        <v>0.36158052607368246</v>
      </c>
      <c r="M19" s="3783">
        <v>0.3702836338870496</v>
      </c>
      <c r="N19" s="12"/>
      <c r="O19" s="3"/>
      <c r="P19" s="3"/>
      <c r="Q19" s="3"/>
      <c r="R19" s="3"/>
      <c r="S19" s="3"/>
      <c r="T19" s="3"/>
      <c r="U19" s="3"/>
      <c r="V19" s="3"/>
      <c r="W19" s="3"/>
      <c r="X19" s="3"/>
      <c r="Y19" s="184"/>
      <c r="Z19" s="184"/>
    </row>
    <row r="20" spans="1:28" customFormat="1" ht="15" customHeight="1">
      <c r="A20" s="663"/>
      <c r="B20" s="667"/>
      <c r="D20" s="187"/>
      <c r="E20" s="188">
        <v>4</v>
      </c>
      <c r="F20" s="3785">
        <v>0.26328619776232887</v>
      </c>
      <c r="G20" s="3785">
        <v>0.29035757392314177</v>
      </c>
      <c r="H20" s="3785">
        <v>0.31502236947134615</v>
      </c>
      <c r="I20" s="3785">
        <v>0.32645948625196364</v>
      </c>
      <c r="J20" s="3785">
        <v>0.33169283444891701</v>
      </c>
      <c r="K20" s="3785">
        <v>0.33639323656139697</v>
      </c>
      <c r="L20" s="3785">
        <v>0.34055840246474783</v>
      </c>
      <c r="M20" s="3785">
        <v>0.34444989198795317</v>
      </c>
      <c r="N20" s="12"/>
      <c r="O20" s="3"/>
      <c r="P20" s="3"/>
      <c r="Q20" s="3"/>
      <c r="R20" s="3"/>
      <c r="S20" s="3"/>
      <c r="T20" s="3"/>
      <c r="U20" s="3"/>
      <c r="V20" s="3"/>
      <c r="W20" s="3"/>
      <c r="X20" s="3"/>
      <c r="Y20" s="184"/>
      <c r="Z20" s="184"/>
      <c r="AB20" s="186"/>
    </row>
    <row r="21" spans="1:28" customFormat="1" ht="15" customHeight="1">
      <c r="A21" s="663"/>
      <c r="B21" s="667"/>
      <c r="D21" s="132"/>
      <c r="E21" s="143"/>
      <c r="F21" s="3786"/>
      <c r="G21" s="3787"/>
      <c r="H21" s="3786"/>
      <c r="I21" s="3786"/>
      <c r="J21" s="3786"/>
      <c r="K21" s="3786"/>
      <c r="L21" s="3786"/>
      <c r="M21" s="3786"/>
      <c r="N21" s="135"/>
      <c r="O21" s="3"/>
      <c r="P21" s="3"/>
      <c r="Q21" s="3"/>
      <c r="R21" s="3"/>
      <c r="S21" s="3"/>
      <c r="T21" s="3"/>
      <c r="U21" s="3"/>
      <c r="V21" s="3"/>
      <c r="W21" s="3"/>
      <c r="X21" s="3"/>
      <c r="Y21" s="184"/>
      <c r="Z21" s="184"/>
    </row>
    <row r="22" spans="1:28" customFormat="1" ht="15" customHeight="1">
      <c r="A22" s="663"/>
      <c r="B22" s="667"/>
      <c r="D22" s="25"/>
      <c r="E22" s="35"/>
      <c r="F22" s="3400"/>
      <c r="G22" s="3400"/>
      <c r="H22" s="2728"/>
      <c r="I22" s="3788"/>
      <c r="J22" s="3788"/>
      <c r="K22" s="3788"/>
      <c r="L22" s="3788"/>
      <c r="M22" s="3788"/>
      <c r="N22" s="36"/>
      <c r="O22" s="3"/>
      <c r="P22" s="3"/>
      <c r="Q22" s="3"/>
      <c r="R22" s="3"/>
      <c r="S22" s="3"/>
      <c r="T22" s="3"/>
      <c r="U22" s="3"/>
      <c r="V22" s="3"/>
      <c r="W22" s="3"/>
      <c r="X22" s="3"/>
      <c r="Y22" s="184"/>
      <c r="Z22" s="184"/>
    </row>
    <row r="23" spans="1:28" s="131" customFormat="1" ht="15" customHeight="1">
      <c r="A23" s="663"/>
      <c r="B23" s="667"/>
      <c r="D23" s="3"/>
      <c r="E23" s="3"/>
      <c r="F23" s="3789"/>
      <c r="G23" s="3789"/>
      <c r="H23" s="3789"/>
      <c r="I23" s="3789"/>
      <c r="J23" s="3789"/>
      <c r="K23" s="3789"/>
      <c r="L23" s="3789"/>
      <c r="M23" s="3789"/>
      <c r="N23" s="3"/>
      <c r="O23" s="3"/>
      <c r="P23" s="3"/>
      <c r="Q23" s="3"/>
      <c r="R23" s="3"/>
      <c r="S23" s="3"/>
      <c r="T23" s="3"/>
      <c r="U23" s="3"/>
      <c r="V23" s="3"/>
      <c r="W23" s="3"/>
      <c r="X23" s="3"/>
      <c r="Y23" s="184"/>
      <c r="Z23" s="184"/>
    </row>
    <row r="24" spans="1:28" ht="15" customHeight="1">
      <c r="D24" s="956" t="s">
        <v>996</v>
      </c>
      <c r="E24" s="336"/>
      <c r="F24" s="3790"/>
      <c r="G24" s="3790"/>
      <c r="H24" s="3790"/>
      <c r="I24" s="3790"/>
      <c r="J24" s="3790"/>
      <c r="K24" s="3790"/>
      <c r="L24" s="3790"/>
      <c r="M24" s="3790"/>
      <c r="N24" s="336"/>
      <c r="Y24" s="184"/>
      <c r="Z24" s="184"/>
    </row>
    <row r="25" spans="1:28" ht="15" customHeight="1">
      <c r="D25" s="11"/>
      <c r="E25" s="12"/>
      <c r="F25" s="2933"/>
      <c r="G25" s="2933"/>
      <c r="H25" s="2933"/>
      <c r="I25" s="2933"/>
      <c r="J25" s="2933"/>
      <c r="K25" s="2933"/>
      <c r="L25" s="2933"/>
      <c r="M25" s="2933"/>
      <c r="N25" s="12"/>
      <c r="Y25" s="184"/>
      <c r="Z25" s="184"/>
    </row>
    <row r="26" spans="1:28" ht="15" customHeight="1">
      <c r="D26" s="11"/>
      <c r="E26" s="940" t="s">
        <v>1366</v>
      </c>
      <c r="F26" s="3791"/>
      <c r="G26" s="3791"/>
      <c r="H26" s="3791"/>
      <c r="I26" s="3791"/>
      <c r="J26" s="3791"/>
      <c r="K26" s="3791"/>
      <c r="L26" s="3791"/>
      <c r="M26" s="3791"/>
      <c r="N26" s="12"/>
      <c r="Y26" s="184"/>
      <c r="Z26" s="184"/>
    </row>
    <row r="27" spans="1:28" customFormat="1" ht="15" customHeight="1">
      <c r="A27" s="663"/>
      <c r="B27" s="667"/>
      <c r="D27" s="11"/>
      <c r="E27" s="130"/>
      <c r="F27" s="2933"/>
      <c r="G27" s="3792"/>
      <c r="H27" s="3793"/>
      <c r="I27" s="2933"/>
      <c r="J27" s="2933"/>
      <c r="K27" s="2933"/>
      <c r="L27" s="2933"/>
      <c r="M27" s="2933"/>
      <c r="N27" s="12"/>
      <c r="O27" s="3"/>
      <c r="P27" s="3"/>
      <c r="Q27" s="3"/>
      <c r="R27" s="3"/>
      <c r="S27" s="3"/>
      <c r="T27" s="3"/>
      <c r="U27" s="3"/>
      <c r="V27" s="3"/>
      <c r="W27" s="3"/>
      <c r="X27" s="3"/>
      <c r="Y27" s="189"/>
      <c r="Z27" s="189"/>
      <c r="AA27" s="189"/>
      <c r="AB27" s="189"/>
    </row>
    <row r="28" spans="1:28" customFormat="1" ht="15" customHeight="1">
      <c r="A28" s="663"/>
      <c r="B28" s="667"/>
      <c r="D28" s="11"/>
      <c r="E28" s="12"/>
      <c r="F28" s="2933"/>
      <c r="G28" s="3793" t="s">
        <v>9</v>
      </c>
      <c r="H28" s="3793"/>
      <c r="I28" s="2933"/>
      <c r="J28" s="2933"/>
      <c r="K28" s="2933"/>
      <c r="L28" s="2933"/>
      <c r="M28" s="2933"/>
      <c r="N28" s="12"/>
      <c r="O28" s="3"/>
      <c r="P28" s="3"/>
      <c r="Q28" s="3"/>
      <c r="R28" s="3"/>
      <c r="S28" s="3"/>
      <c r="T28" s="3"/>
      <c r="U28" s="3"/>
      <c r="V28" s="3"/>
      <c r="W28" s="3"/>
      <c r="X28" s="3"/>
      <c r="Y28" s="189"/>
      <c r="Z28" s="189"/>
      <c r="AA28" s="189"/>
      <c r="AB28" s="189"/>
    </row>
    <row r="29" spans="1:28" customFormat="1" ht="15" customHeight="1">
      <c r="A29" s="663"/>
      <c r="B29" s="667"/>
      <c r="D29" s="187"/>
      <c r="E29" s="144"/>
      <c r="F29" s="3794"/>
      <c r="G29" s="885">
        <v>2018</v>
      </c>
      <c r="H29" s="3795"/>
      <c r="I29" s="3795"/>
      <c r="J29" s="3795"/>
      <c r="K29" s="3795"/>
      <c r="L29" s="3795"/>
      <c r="M29" s="3795"/>
      <c r="N29" s="12"/>
      <c r="O29" s="3"/>
      <c r="P29" s="3"/>
      <c r="Q29" s="3"/>
      <c r="R29" s="3"/>
      <c r="S29" s="3"/>
      <c r="T29" s="3"/>
      <c r="U29" s="3"/>
      <c r="V29" s="3"/>
      <c r="W29" s="3"/>
      <c r="X29" s="3"/>
      <c r="Y29" s="189"/>
      <c r="Z29" s="189"/>
      <c r="AA29" s="189"/>
      <c r="AB29" s="189"/>
    </row>
    <row r="30" spans="1:28" customFormat="1" ht="15" customHeight="1">
      <c r="A30" s="663"/>
      <c r="B30" s="667"/>
      <c r="D30" s="187"/>
      <c r="E30" s="191" t="s">
        <v>502</v>
      </c>
      <c r="F30" s="3796"/>
      <c r="G30" s="3797">
        <v>4.1953744624329721</v>
      </c>
      <c r="H30" s="3798"/>
      <c r="I30" s="3799"/>
      <c r="J30" s="3799"/>
      <c r="K30" s="3798"/>
      <c r="L30" s="3798"/>
      <c r="M30" s="3798"/>
      <c r="N30" s="12"/>
      <c r="O30" s="3"/>
      <c r="P30" s="3"/>
      <c r="S30" s="186"/>
      <c r="T30" s="186"/>
      <c r="U30" s="186"/>
      <c r="V30" s="186"/>
      <c r="W30" s="186"/>
      <c r="X30" s="186"/>
      <c r="Y30" s="186"/>
      <c r="Z30" s="186"/>
      <c r="AA30" s="186"/>
      <c r="AB30" s="186"/>
    </row>
    <row r="31" spans="1:28" customFormat="1" ht="15" customHeight="1">
      <c r="A31" s="663"/>
      <c r="B31" s="667"/>
      <c r="D31" s="11"/>
      <c r="E31" s="12"/>
      <c r="F31" s="2933"/>
      <c r="G31" s="2933"/>
      <c r="H31" s="2933"/>
      <c r="I31" s="2933"/>
      <c r="J31" s="2933"/>
      <c r="K31" s="2933"/>
      <c r="L31" s="2933"/>
      <c r="M31" s="2933"/>
      <c r="N31" s="12"/>
      <c r="O31" s="3"/>
    </row>
    <row r="32" spans="1:28" customFormat="1" ht="15" customHeight="1">
      <c r="A32" s="663"/>
      <c r="B32" s="667"/>
      <c r="D32" s="11"/>
      <c r="E32" s="12"/>
      <c r="F32" s="2933"/>
      <c r="G32" s="2933"/>
      <c r="H32" s="2933"/>
      <c r="I32" s="2933"/>
      <c r="J32" s="2933"/>
      <c r="K32" s="2933"/>
      <c r="L32" s="2933"/>
      <c r="M32" s="2933"/>
      <c r="N32" s="12"/>
      <c r="O32" s="3"/>
      <c r="AB32" t="s">
        <v>2415</v>
      </c>
    </row>
    <row r="33" spans="1:16" customFormat="1" ht="15" customHeight="1">
      <c r="A33" s="663"/>
      <c r="B33" s="667"/>
      <c r="D33" s="11"/>
      <c r="E33" s="940" t="s">
        <v>1371</v>
      </c>
      <c r="F33" s="3791"/>
      <c r="G33" s="3791"/>
      <c r="H33" s="3791"/>
      <c r="I33" s="3791"/>
      <c r="J33" s="3791"/>
      <c r="K33" s="3791"/>
      <c r="L33" s="3791"/>
      <c r="M33" s="3791"/>
      <c r="N33" s="12"/>
      <c r="O33" s="3"/>
      <c r="P33" s="3"/>
    </row>
    <row r="34" spans="1:16" customFormat="1" ht="15" customHeight="1">
      <c r="A34" s="663"/>
      <c r="B34" s="667"/>
      <c r="D34" s="11"/>
      <c r="E34" s="130"/>
      <c r="F34" s="2933"/>
      <c r="G34" s="2933"/>
      <c r="H34" s="2933"/>
      <c r="I34" s="2933"/>
      <c r="J34" s="2933"/>
      <c r="K34" s="2933"/>
      <c r="L34" s="2933"/>
      <c r="M34" s="2933"/>
      <c r="N34" s="12"/>
      <c r="O34" s="3"/>
      <c r="P34" s="3"/>
    </row>
    <row r="35" spans="1:16" customFormat="1" ht="15" customHeight="1">
      <c r="A35" s="663"/>
      <c r="B35" s="667"/>
      <c r="D35" s="11"/>
      <c r="E35" s="12"/>
      <c r="F35" s="3800"/>
      <c r="G35" s="2933"/>
      <c r="H35" s="2933"/>
      <c r="I35" s="2933"/>
      <c r="J35" s="2933"/>
      <c r="K35" s="2933"/>
      <c r="L35" s="2933"/>
      <c r="M35" s="3793" t="s">
        <v>788</v>
      </c>
      <c r="N35" s="12"/>
      <c r="O35" s="3"/>
      <c r="P35" s="3"/>
    </row>
    <row r="36" spans="1:16" customFormat="1" ht="15" customHeight="1">
      <c r="A36" s="663"/>
      <c r="B36" s="667"/>
      <c r="D36" s="11"/>
      <c r="E36" s="193" t="s">
        <v>859</v>
      </c>
      <c r="F36" s="870">
        <v>2018</v>
      </c>
      <c r="G36" s="870" t="s">
        <v>322</v>
      </c>
      <c r="H36" s="870">
        <v>2025</v>
      </c>
      <c r="I36" s="870" t="s">
        <v>324</v>
      </c>
      <c r="J36" s="870" t="s">
        <v>325</v>
      </c>
      <c r="K36" s="870" t="s">
        <v>326</v>
      </c>
      <c r="L36" s="870" t="s">
        <v>327</v>
      </c>
      <c r="M36" s="870" t="s">
        <v>328</v>
      </c>
      <c r="N36" s="12"/>
      <c r="O36" s="3"/>
      <c r="P36" s="3"/>
    </row>
    <row r="37" spans="1:16" customFormat="1" ht="15" customHeight="1">
      <c r="A37" s="663"/>
      <c r="B37" s="667"/>
      <c r="D37" s="11"/>
      <c r="E37" s="194" t="s">
        <v>2412</v>
      </c>
      <c r="F37" s="3801">
        <v>6.9559999999999997E-2</v>
      </c>
      <c r="G37" s="3801">
        <v>6.9559999999999997E-2</v>
      </c>
      <c r="H37" s="3801">
        <v>6.9559999999999997E-2</v>
      </c>
      <c r="I37" s="3801">
        <v>6.9559999999999997E-2</v>
      </c>
      <c r="J37" s="3801">
        <v>6.9559999999999997E-2</v>
      </c>
      <c r="K37" s="3801">
        <v>6.9559999999999997E-2</v>
      </c>
      <c r="L37" s="3801">
        <v>6.9559999999999997E-2</v>
      </c>
      <c r="M37" s="3801">
        <v>6.9559999999999997E-2</v>
      </c>
      <c r="N37" s="12"/>
      <c r="O37" s="3"/>
      <c r="P37" s="3"/>
    </row>
    <row r="38" spans="1:16" customFormat="1" ht="15" customHeight="1">
      <c r="A38" s="663"/>
      <c r="B38" s="667"/>
      <c r="D38" s="196"/>
      <c r="E38" s="197"/>
      <c r="F38" s="871"/>
      <c r="G38" s="869"/>
      <c r="H38" s="872"/>
      <c r="I38" s="872"/>
      <c r="J38" s="872"/>
      <c r="K38" s="872"/>
      <c r="L38" s="873"/>
      <c r="M38" s="873"/>
      <c r="N38" s="198"/>
      <c r="O38" s="3"/>
      <c r="P38" s="3"/>
    </row>
    <row r="39" spans="1:16" customFormat="1" ht="15" customHeight="1">
      <c r="A39" s="663"/>
      <c r="B39" s="667"/>
      <c r="D39" s="196"/>
      <c r="E39" s="192"/>
      <c r="F39" s="874"/>
      <c r="G39" s="874"/>
      <c r="H39" s="875"/>
      <c r="I39" s="875"/>
      <c r="J39" s="875"/>
      <c r="K39" s="875"/>
      <c r="L39" s="875"/>
      <c r="M39" s="875"/>
      <c r="N39" s="199"/>
      <c r="O39" s="3"/>
      <c r="P39" s="3"/>
    </row>
    <row r="40" spans="1:16" s="195" customFormat="1" ht="15" customHeight="1">
      <c r="A40" s="663"/>
      <c r="B40" s="667"/>
      <c r="D40" s="3"/>
      <c r="E40" s="3"/>
      <c r="F40" s="696"/>
      <c r="G40" s="696"/>
      <c r="H40" s="696"/>
      <c r="I40" s="696"/>
      <c r="J40" s="696"/>
      <c r="K40" s="696"/>
      <c r="L40" s="696"/>
      <c r="M40" s="696"/>
      <c r="N40" s="3"/>
      <c r="O40" s="3"/>
      <c r="P40" s="3"/>
    </row>
    <row r="41" spans="1:16" s="200" customFormat="1" ht="15" customHeight="1">
      <c r="A41" s="663"/>
      <c r="B41" s="667"/>
      <c r="C41" s="195"/>
      <c r="D41" s="956" t="s">
        <v>51</v>
      </c>
      <c r="E41" s="336"/>
      <c r="F41" s="908"/>
      <c r="G41" s="908"/>
      <c r="H41" s="908"/>
      <c r="I41" s="908"/>
      <c r="J41" s="908"/>
      <c r="K41" s="908"/>
      <c r="L41" s="908"/>
      <c r="M41" s="908"/>
      <c r="N41" s="336"/>
      <c r="O41" s="3"/>
      <c r="P41" s="3"/>
    </row>
    <row r="42" spans="1:16" ht="15" customHeight="1">
      <c r="D42" s="25"/>
      <c r="E42" s="19"/>
      <c r="F42" s="754"/>
      <c r="G42" s="754"/>
      <c r="H42" s="754"/>
      <c r="I42" s="754"/>
      <c r="J42" s="754"/>
      <c r="K42" s="754"/>
      <c r="L42" s="754"/>
      <c r="M42" s="754"/>
      <c r="N42" s="40"/>
    </row>
    <row r="43" spans="1:16" ht="15" customHeight="1">
      <c r="D43" s="11"/>
      <c r="E43" s="180" t="s">
        <v>2416</v>
      </c>
      <c r="F43" s="867"/>
      <c r="G43" s="867"/>
      <c r="H43" s="867"/>
      <c r="I43" s="867"/>
      <c r="J43" s="867"/>
      <c r="K43" s="867"/>
      <c r="L43" s="867"/>
      <c r="M43" s="867"/>
      <c r="N43" s="12"/>
    </row>
    <row r="44" spans="1:16" ht="15" customHeight="1">
      <c r="D44" s="11"/>
      <c r="E44" s="130"/>
      <c r="F44" s="752"/>
      <c r="G44" s="752"/>
      <c r="H44" s="876"/>
      <c r="I44" s="876"/>
      <c r="J44" s="876"/>
      <c r="K44" s="876"/>
      <c r="L44" s="876"/>
      <c r="M44" s="752"/>
      <c r="N44" s="12"/>
    </row>
    <row r="45" spans="1:16" customFormat="1" ht="15" customHeight="1">
      <c r="A45" s="663"/>
      <c r="B45" s="667"/>
      <c r="D45" s="11"/>
      <c r="E45" s="201" t="s">
        <v>820</v>
      </c>
      <c r="F45" s="752"/>
      <c r="G45" s="752"/>
      <c r="H45" s="752"/>
      <c r="I45" s="752"/>
      <c r="J45" s="752"/>
      <c r="K45" s="752"/>
      <c r="L45" s="752"/>
      <c r="M45" s="868" t="s">
        <v>2417</v>
      </c>
      <c r="N45" s="12"/>
      <c r="O45" s="3"/>
      <c r="P45" s="3"/>
    </row>
    <row r="46" spans="1:16" customFormat="1" ht="15" customHeight="1">
      <c r="A46" s="663"/>
      <c r="B46" s="667"/>
      <c r="D46" s="11"/>
      <c r="E46" s="202" t="s">
        <v>2241</v>
      </c>
      <c r="F46" s="870">
        <v>2018</v>
      </c>
      <c r="G46" s="870" t="s">
        <v>322</v>
      </c>
      <c r="H46" s="870">
        <v>2025</v>
      </c>
      <c r="I46" s="870" t="s">
        <v>324</v>
      </c>
      <c r="J46" s="870" t="s">
        <v>325</v>
      </c>
      <c r="K46" s="870" t="s">
        <v>326</v>
      </c>
      <c r="L46" s="870" t="s">
        <v>327</v>
      </c>
      <c r="M46" s="870" t="s">
        <v>328</v>
      </c>
      <c r="N46" s="12"/>
      <c r="O46" s="3"/>
      <c r="P46" s="3"/>
    </row>
    <row r="47" spans="1:16" customFormat="1" ht="15" customHeight="1">
      <c r="A47" s="663"/>
      <c r="B47" s="667"/>
      <c r="D47" s="11"/>
      <c r="E47" s="203" t="s">
        <v>822</v>
      </c>
      <c r="F47" s="877">
        <v>0</v>
      </c>
      <c r="G47" s="877">
        <v>0</v>
      </c>
      <c r="H47" s="877">
        <v>0</v>
      </c>
      <c r="I47" s="877">
        <v>0</v>
      </c>
      <c r="J47" s="877">
        <v>0</v>
      </c>
      <c r="K47" s="877">
        <v>0</v>
      </c>
      <c r="L47" s="877">
        <v>0</v>
      </c>
      <c r="M47" s="877">
        <v>0</v>
      </c>
      <c r="N47" s="12"/>
      <c r="O47" s="3"/>
      <c r="P47" s="3"/>
    </row>
    <row r="48" spans="1:16" customFormat="1" ht="15" customHeight="1">
      <c r="A48" s="663"/>
      <c r="B48" s="667"/>
      <c r="D48" s="11"/>
      <c r="E48" s="203" t="s">
        <v>821</v>
      </c>
      <c r="F48" s="878">
        <v>0</v>
      </c>
      <c r="G48" s="878">
        <v>0</v>
      </c>
      <c r="H48" s="878">
        <v>0</v>
      </c>
      <c r="I48" s="878">
        <v>0</v>
      </c>
      <c r="J48" s="878">
        <v>0</v>
      </c>
      <c r="K48" s="878">
        <v>0</v>
      </c>
      <c r="L48" s="878">
        <v>0</v>
      </c>
      <c r="M48" s="878">
        <v>0</v>
      </c>
      <c r="N48" s="12"/>
      <c r="O48" s="3"/>
      <c r="P48" s="3"/>
    </row>
    <row r="49" spans="1:23" customFormat="1" ht="15" customHeight="1">
      <c r="A49" s="663"/>
      <c r="B49" s="667"/>
      <c r="D49" s="11"/>
      <c r="E49" s="204" t="s">
        <v>820</v>
      </c>
      <c r="F49" s="879">
        <v>0</v>
      </c>
      <c r="G49" s="879">
        <v>0</v>
      </c>
      <c r="H49" s="879">
        <v>0</v>
      </c>
      <c r="I49" s="879">
        <v>0</v>
      </c>
      <c r="J49" s="879">
        <v>0</v>
      </c>
      <c r="K49" s="879">
        <v>0</v>
      </c>
      <c r="L49" s="879">
        <v>0</v>
      </c>
      <c r="M49" s="879">
        <v>0</v>
      </c>
      <c r="N49" s="12"/>
      <c r="O49" s="3"/>
      <c r="P49" s="3"/>
    </row>
    <row r="50" spans="1:23" customFormat="1" ht="15" customHeight="1">
      <c r="A50" s="663"/>
      <c r="B50" s="667"/>
      <c r="D50" s="205"/>
      <c r="E50" s="205"/>
      <c r="F50" s="205"/>
      <c r="G50" s="205"/>
      <c r="H50" s="206"/>
      <c r="I50" s="205"/>
      <c r="J50" s="205"/>
      <c r="K50" s="206"/>
      <c r="L50" s="205"/>
      <c r="M50" s="205"/>
      <c r="N50" s="205"/>
      <c r="O50" s="3"/>
      <c r="P50" s="3"/>
    </row>
    <row r="51" spans="1:23" customFormat="1" ht="15" customHeight="1">
      <c r="A51" s="663"/>
      <c r="B51" s="667"/>
      <c r="D51" s="12"/>
      <c r="E51" s="12"/>
      <c r="F51" s="12"/>
      <c r="G51" s="12"/>
      <c r="H51" s="12"/>
      <c r="I51" s="12"/>
      <c r="J51" s="12"/>
      <c r="K51" s="12"/>
      <c r="L51" s="12"/>
      <c r="M51" s="12"/>
      <c r="N51" s="12"/>
      <c r="O51" s="3"/>
      <c r="P51" s="3"/>
    </row>
    <row r="52" spans="1:23" customFormat="1" ht="15" customHeight="1">
      <c r="A52" s="663"/>
      <c r="B52" s="667"/>
      <c r="D52" s="12"/>
      <c r="E52" s="12"/>
      <c r="F52" s="12"/>
      <c r="G52" s="12"/>
      <c r="H52" s="12"/>
      <c r="I52" s="12"/>
      <c r="J52" s="12"/>
      <c r="K52" s="12"/>
      <c r="L52" s="12"/>
      <c r="M52" s="12"/>
      <c r="N52" s="12"/>
      <c r="O52" s="3"/>
      <c r="P52" s="3"/>
    </row>
    <row r="53" spans="1:23" customFormat="1" ht="15" customHeight="1">
      <c r="A53" s="663"/>
      <c r="B53" s="667"/>
      <c r="D53" s="3"/>
      <c r="E53" s="3"/>
      <c r="F53" s="3"/>
      <c r="G53" s="3"/>
      <c r="H53" s="3"/>
      <c r="I53" s="3"/>
      <c r="J53" s="3"/>
      <c r="K53" s="3"/>
      <c r="L53" s="3"/>
      <c r="M53" s="3"/>
      <c r="N53" s="3"/>
      <c r="O53" s="3"/>
      <c r="P53" s="3"/>
      <c r="T53" s="195"/>
      <c r="U53" s="195"/>
      <c r="V53" s="195"/>
      <c r="W53" s="195"/>
    </row>
    <row r="54" spans="1:23" ht="15" customHeight="1">
      <c r="C54"/>
      <c r="D54" s="99" t="s">
        <v>52</v>
      </c>
      <c r="E54" s="49"/>
      <c r="F54" s="49"/>
      <c r="G54" s="49"/>
      <c r="H54" s="49"/>
      <c r="I54" s="49"/>
      <c r="J54" s="49"/>
      <c r="K54" s="49"/>
      <c r="L54" s="49"/>
      <c r="M54" s="49"/>
      <c r="N54" s="49"/>
    </row>
    <row r="55" spans="1:23" ht="15" customHeight="1">
      <c r="C55"/>
      <c r="D55" s="50"/>
      <c r="E55" s="50"/>
      <c r="F55" s="50"/>
      <c r="G55" s="50"/>
      <c r="H55" s="50"/>
      <c r="I55" s="50"/>
      <c r="J55" s="50"/>
      <c r="K55" s="50"/>
      <c r="L55" s="50"/>
      <c r="M55" s="50"/>
      <c r="N55" s="50"/>
    </row>
    <row r="56" spans="1:23" s="208" customFormat="1" ht="15" customHeight="1">
      <c r="A56" s="663"/>
      <c r="B56" s="667"/>
      <c r="C56"/>
      <c r="D56" s="209"/>
      <c r="E56" s="210" t="s">
        <v>1877</v>
      </c>
      <c r="F56" s="210"/>
      <c r="G56" s="210"/>
      <c r="H56" s="210"/>
      <c r="I56" s="210"/>
      <c r="J56" s="210"/>
      <c r="K56" s="210"/>
      <c r="L56" s="210"/>
      <c r="M56" s="210"/>
      <c r="N56" s="6"/>
      <c r="O56" s="3"/>
      <c r="P56" s="3"/>
      <c r="Q56" s="207"/>
      <c r="R56" s="207"/>
      <c r="S56" s="207"/>
      <c r="T56" s="207"/>
    </row>
    <row r="57" spans="1:23" s="208" customFormat="1" ht="15" customHeight="1">
      <c r="A57" s="663"/>
      <c r="B57" s="667"/>
      <c r="C57"/>
      <c r="D57" s="209"/>
      <c r="E57" s="212"/>
      <c r="F57" s="6"/>
      <c r="G57" s="213"/>
      <c r="H57" s="6"/>
      <c r="I57" s="6"/>
      <c r="J57" s="6"/>
      <c r="K57" s="6"/>
      <c r="L57" s="6"/>
      <c r="M57" s="214" t="s">
        <v>9</v>
      </c>
      <c r="N57" s="50"/>
      <c r="O57" s="3"/>
      <c r="P57" s="3"/>
      <c r="Q57" s="207"/>
      <c r="R57" s="207"/>
      <c r="S57" s="207"/>
      <c r="T57" s="207"/>
    </row>
    <row r="58" spans="1:23" customFormat="1" ht="15" customHeight="1">
      <c r="A58" s="663"/>
      <c r="B58" s="667"/>
      <c r="D58" s="209"/>
      <c r="E58" s="215" t="s">
        <v>699</v>
      </c>
      <c r="F58" s="216">
        <v>2018</v>
      </c>
      <c r="G58" s="216" t="s">
        <v>322</v>
      </c>
      <c r="H58" s="216" t="s">
        <v>323</v>
      </c>
      <c r="I58" s="216" t="s">
        <v>324</v>
      </c>
      <c r="J58" s="216" t="s">
        <v>325</v>
      </c>
      <c r="K58" s="216" t="s">
        <v>326</v>
      </c>
      <c r="L58" s="216" t="s">
        <v>327</v>
      </c>
      <c r="M58" s="216" t="s">
        <v>328</v>
      </c>
      <c r="N58" s="50"/>
      <c r="O58" s="3"/>
      <c r="P58" s="3"/>
      <c r="Q58" s="207"/>
      <c r="U58" s="211"/>
      <c r="V58" s="211"/>
      <c r="W58" s="211"/>
    </row>
    <row r="59" spans="1:23" customFormat="1" ht="15" customHeight="1">
      <c r="A59" s="663"/>
      <c r="B59" s="667"/>
      <c r="D59" s="218"/>
      <c r="E59" s="219" t="s">
        <v>2418</v>
      </c>
      <c r="F59" s="2246" cm="1">
        <f t="array" ref="F59:M59">_xlfn.ANCHORARRAY(F97)</f>
        <v>0.26328619776232887</v>
      </c>
      <c r="G59" s="2246">
        <v>0.29035757392314177</v>
      </c>
      <c r="H59" s="2246">
        <v>0.3298469515641147</v>
      </c>
      <c r="I59" s="2246">
        <v>0.35755086589500845</v>
      </c>
      <c r="J59" s="2246">
        <v>0.37964842497165197</v>
      </c>
      <c r="K59" s="2246">
        <v>0.40203094125630268</v>
      </c>
      <c r="L59" s="2246">
        <v>0.42464689690048624</v>
      </c>
      <c r="M59" s="2246">
        <v>0.44778485958433889</v>
      </c>
      <c r="N59" s="50"/>
      <c r="O59" s="3"/>
      <c r="P59" s="3"/>
      <c r="Q59" s="207"/>
      <c r="U59" s="211"/>
      <c r="V59" s="211"/>
      <c r="W59" s="211"/>
    </row>
    <row r="60" spans="1:23" customFormat="1" ht="15" customHeight="1">
      <c r="A60" s="663"/>
      <c r="B60" s="667"/>
      <c r="D60" s="218"/>
      <c r="E60" s="219" t="s">
        <v>502</v>
      </c>
      <c r="F60" s="2246" cm="1">
        <f t="array" ref="F60:M60">(_xlfn.ANCHORARRAY(F97))</f>
        <v>0.26328619776232887</v>
      </c>
      <c r="G60" s="2246">
        <v>0.29035757392314177</v>
      </c>
      <c r="H60" s="2246">
        <v>0.3298469515641147</v>
      </c>
      <c r="I60" s="2246">
        <v>0.35755086589500845</v>
      </c>
      <c r="J60" s="2246">
        <v>0.37964842497165197</v>
      </c>
      <c r="K60" s="2246">
        <v>0.40203094125630268</v>
      </c>
      <c r="L60" s="2246">
        <v>0.42464689690048624</v>
      </c>
      <c r="M60" s="2246">
        <v>0.44778485958433889</v>
      </c>
      <c r="N60" s="50"/>
      <c r="O60" s="3"/>
      <c r="P60" s="3"/>
      <c r="Q60" s="207"/>
      <c r="U60" s="211"/>
      <c r="V60" s="211"/>
      <c r="W60" s="211"/>
    </row>
    <row r="61" spans="1:23" customFormat="1" ht="15" customHeight="1">
      <c r="A61" s="663"/>
      <c r="B61" s="667"/>
      <c r="C61" s="217"/>
      <c r="D61" s="218"/>
      <c r="E61" s="1507" t="s">
        <v>338</v>
      </c>
      <c r="F61" s="1058">
        <f>F59-F60</f>
        <v>0</v>
      </c>
      <c r="G61" s="1058">
        <f t="shared" ref="G61:M61" si="0">G59-G60</f>
        <v>0</v>
      </c>
      <c r="H61" s="1058">
        <f t="shared" si="0"/>
        <v>0</v>
      </c>
      <c r="I61" s="1058">
        <f t="shared" si="0"/>
        <v>0</v>
      </c>
      <c r="J61" s="1058">
        <f t="shared" si="0"/>
        <v>0</v>
      </c>
      <c r="K61" s="1058">
        <f t="shared" si="0"/>
        <v>0</v>
      </c>
      <c r="L61" s="1058">
        <f t="shared" si="0"/>
        <v>0</v>
      </c>
      <c r="M61" s="1058">
        <f t="shared" si="0"/>
        <v>0</v>
      </c>
      <c r="N61" s="50"/>
      <c r="O61" s="3"/>
      <c r="P61" s="3"/>
      <c r="Q61" s="207"/>
    </row>
    <row r="62" spans="1:23" customFormat="1" ht="15" customHeight="1">
      <c r="A62" s="663"/>
      <c r="B62" s="667"/>
      <c r="C62" s="217"/>
      <c r="D62" s="50"/>
      <c r="E62" s="50"/>
      <c r="F62" s="50"/>
      <c r="G62" s="50"/>
      <c r="H62" s="50"/>
      <c r="I62" s="50"/>
      <c r="J62" s="50"/>
      <c r="K62" s="50"/>
      <c r="L62" s="50"/>
      <c r="M62" s="50"/>
      <c r="N62" s="50"/>
      <c r="O62" s="3"/>
      <c r="P62" s="3"/>
      <c r="Q62" s="207"/>
    </row>
    <row r="63" spans="1:23" customFormat="1" ht="15" customHeight="1">
      <c r="A63" s="663"/>
      <c r="B63" s="667"/>
      <c r="C63" s="217"/>
      <c r="D63" s="221"/>
      <c r="E63" s="222"/>
      <c r="F63" s="222"/>
      <c r="G63" s="222"/>
      <c r="H63" s="222"/>
      <c r="I63" s="222"/>
      <c r="J63" s="222"/>
      <c r="K63" s="222"/>
      <c r="L63" s="222"/>
      <c r="M63" s="222"/>
      <c r="N63" s="222"/>
      <c r="O63" s="3"/>
      <c r="P63" s="3"/>
      <c r="Q63" s="207"/>
    </row>
    <row r="64" spans="1:23" customFormat="1" ht="15" customHeight="1">
      <c r="A64" s="663"/>
      <c r="B64" s="667"/>
      <c r="C64" s="217"/>
      <c r="D64" s="207"/>
      <c r="E64" s="207"/>
      <c r="F64" s="207"/>
      <c r="G64" s="207"/>
      <c r="H64" s="207"/>
      <c r="I64" s="207"/>
      <c r="J64" s="207"/>
      <c r="K64" s="207"/>
      <c r="L64" s="207"/>
      <c r="M64" s="207"/>
      <c r="N64" s="207"/>
      <c r="O64" s="3"/>
      <c r="P64" s="3"/>
      <c r="Q64" s="207"/>
    </row>
    <row r="65" spans="1:29" customFormat="1" ht="15" customHeight="1">
      <c r="A65" s="663"/>
      <c r="B65" s="667"/>
      <c r="C65" s="217"/>
      <c r="D65" s="105" t="s">
        <v>1671</v>
      </c>
      <c r="E65" s="57"/>
      <c r="F65" s="57"/>
      <c r="G65" s="57"/>
      <c r="H65" s="57"/>
      <c r="I65" s="57"/>
      <c r="J65" s="57"/>
      <c r="K65" s="57"/>
      <c r="L65" s="57"/>
      <c r="M65" s="57"/>
      <c r="N65" s="57"/>
      <c r="O65" s="3"/>
      <c r="P65" s="3"/>
      <c r="Q65" s="207"/>
    </row>
    <row r="66" spans="1:29" s="208" customFormat="1" ht="15" customHeight="1">
      <c r="A66" s="663"/>
      <c r="B66" s="667"/>
      <c r="C66" s="220"/>
      <c r="D66" s="58"/>
      <c r="E66" s="58"/>
      <c r="F66" s="58"/>
      <c r="G66" s="58"/>
      <c r="H66" s="58"/>
      <c r="I66" s="58"/>
      <c r="J66" s="58"/>
      <c r="K66" s="58"/>
      <c r="L66" s="58"/>
      <c r="M66" s="58"/>
      <c r="N66" s="58"/>
      <c r="O66" s="3"/>
      <c r="P66" s="207"/>
      <c r="Q66" s="207"/>
      <c r="R66" s="207"/>
      <c r="S66" s="223"/>
      <c r="T66" s="207"/>
    </row>
    <row r="67" spans="1:29" s="208" customFormat="1" ht="15" customHeight="1">
      <c r="A67" s="663"/>
      <c r="B67" s="667"/>
      <c r="C67" s="220"/>
      <c r="D67" s="58"/>
      <c r="E67" s="224" t="s">
        <v>2419</v>
      </c>
      <c r="F67" s="224"/>
      <c r="G67" s="225"/>
      <c r="H67" s="56"/>
      <c r="I67" s="225"/>
      <c r="J67" s="56"/>
      <c r="K67" s="56"/>
      <c r="L67" s="56"/>
      <c r="M67" s="56"/>
      <c r="N67" s="58"/>
      <c r="O67" s="3"/>
      <c r="P67" s="207"/>
      <c r="Q67" s="207"/>
      <c r="R67" s="207"/>
      <c r="S67" s="223"/>
      <c r="T67" s="207"/>
    </row>
    <row r="68" spans="1:29" s="208" customFormat="1" ht="15" customHeight="1">
      <c r="A68" s="663"/>
      <c r="B68" s="667"/>
      <c r="C68" s="220"/>
      <c r="D68" s="58"/>
      <c r="E68" s="226"/>
      <c r="F68" s="227"/>
      <c r="G68" s="228"/>
      <c r="H68" s="58"/>
      <c r="I68" s="228"/>
      <c r="J68" s="58"/>
      <c r="K68" s="58"/>
      <c r="L68" s="58"/>
      <c r="M68" s="58"/>
      <c r="N68" s="58"/>
      <c r="O68" s="3"/>
      <c r="P68" s="207"/>
      <c r="Q68" s="207"/>
      <c r="R68" s="207"/>
      <c r="S68" s="223"/>
      <c r="T68" s="207"/>
    </row>
    <row r="69" spans="1:29" s="208" customFormat="1" ht="15" customHeight="1">
      <c r="A69" s="663"/>
      <c r="B69" s="667"/>
      <c r="C69" s="220"/>
      <c r="D69" s="58"/>
      <c r="E69" s="227"/>
      <c r="F69" s="58"/>
      <c r="G69" s="58"/>
      <c r="H69" s="58"/>
      <c r="I69" s="58"/>
      <c r="J69" s="58"/>
      <c r="K69" s="58"/>
      <c r="L69" s="58"/>
      <c r="M69" s="60" t="s">
        <v>29</v>
      </c>
      <c r="N69" s="58"/>
      <c r="O69" s="3"/>
      <c r="P69" s="207"/>
      <c r="Q69" s="207"/>
      <c r="R69" s="207"/>
      <c r="S69" s="207"/>
      <c r="T69" s="207"/>
    </row>
    <row r="70" spans="1:29" customFormat="1" ht="15" customHeight="1">
      <c r="A70" s="663"/>
      <c r="B70" s="667"/>
      <c r="D70" s="2697"/>
      <c r="E70" s="1149" t="s">
        <v>1986</v>
      </c>
      <c r="F70" s="229">
        <v>2018</v>
      </c>
      <c r="G70" s="229" t="s">
        <v>322</v>
      </c>
      <c r="H70" s="229" t="s">
        <v>323</v>
      </c>
      <c r="I70" s="229" t="s">
        <v>324</v>
      </c>
      <c r="J70" s="229" t="s">
        <v>325</v>
      </c>
      <c r="K70" s="229" t="s">
        <v>326</v>
      </c>
      <c r="L70" s="229" t="s">
        <v>327</v>
      </c>
      <c r="M70" s="229" t="s">
        <v>328</v>
      </c>
      <c r="N70" s="58"/>
      <c r="O70" s="3"/>
      <c r="P70" s="207"/>
    </row>
    <row r="71" spans="1:29" customFormat="1" ht="15" customHeight="1">
      <c r="A71" s="663"/>
      <c r="B71" s="667"/>
      <c r="D71" s="2697"/>
      <c r="E71" s="1261" t="s">
        <v>694</v>
      </c>
      <c r="F71" s="1299" cm="1">
        <f t="array" ref="F71:M71">_xlfn.ANCHORARRAY(F105)</f>
        <v>7.0082231098425138E-2</v>
      </c>
      <c r="G71" s="1299">
        <v>7.7288163108454488E-2</v>
      </c>
      <c r="H71" s="1299">
        <v>8.7799552286044052E-2</v>
      </c>
      <c r="I71" s="1299">
        <v>9.5173855014291625E-2</v>
      </c>
      <c r="J71" s="1299">
        <v>0.1010558429615611</v>
      </c>
      <c r="K71" s="1299">
        <v>0.10701368158795642</v>
      </c>
      <c r="L71" s="1299">
        <v>0.11303365773345182</v>
      </c>
      <c r="M71" s="1299">
        <v>0.11919258312239414</v>
      </c>
      <c r="N71" s="58"/>
      <c r="O71" s="3"/>
      <c r="P71" s="207"/>
    </row>
    <row r="72" spans="1:29" customFormat="1" ht="15" customHeight="1">
      <c r="A72" s="663"/>
      <c r="B72" s="667"/>
      <c r="D72" s="2697"/>
      <c r="E72" s="1261" t="s">
        <v>695</v>
      </c>
      <c r="F72" s="1299" cm="1">
        <f t="array" ref="F72:M72">_xlfn.ANCHORARRAY(F106)</f>
        <v>4.7391515597219196E-7</v>
      </c>
      <c r="G72" s="1299">
        <v>5.2264363306165518E-7</v>
      </c>
      <c r="H72" s="1299">
        <v>5.9372451281540654E-7</v>
      </c>
      <c r="I72" s="1299">
        <v>6.4359155861101521E-7</v>
      </c>
      <c r="J72" s="1299">
        <v>6.8336716494897357E-7</v>
      </c>
      <c r="K72" s="1299">
        <v>7.2365569426134488E-7</v>
      </c>
      <c r="L72" s="1299">
        <v>7.6436441442087534E-7</v>
      </c>
      <c r="M72" s="1299">
        <v>8.0601274725181005E-7</v>
      </c>
      <c r="N72" s="58"/>
      <c r="O72" s="3"/>
      <c r="P72" s="207"/>
    </row>
    <row r="73" spans="1:29" customFormat="1" ht="15" customHeight="1">
      <c r="A73" s="663"/>
      <c r="B73" s="667"/>
      <c r="D73" s="2697"/>
      <c r="E73" s="1261" t="s">
        <v>1616</v>
      </c>
      <c r="F73" s="1299" cm="1">
        <f t="array" ref="F73:M73">_xlfn.ANCHORARRAY(F107)</f>
        <v>1.8956606238887679E-6</v>
      </c>
      <c r="G73" s="1299">
        <v>2.0905745322466207E-6</v>
      </c>
      <c r="H73" s="1299">
        <v>2.3748980512616262E-6</v>
      </c>
      <c r="I73" s="1299">
        <v>2.5743662344440608E-6</v>
      </c>
      <c r="J73" s="1299">
        <v>2.7334686597958943E-6</v>
      </c>
      <c r="K73" s="1299">
        <v>2.8946227770453795E-6</v>
      </c>
      <c r="L73" s="1299">
        <v>3.0574576576835014E-6</v>
      </c>
      <c r="M73" s="1299">
        <v>3.2240509890072402E-6</v>
      </c>
      <c r="N73" s="58"/>
      <c r="O73" s="3"/>
      <c r="P73" s="207"/>
    </row>
    <row r="74" spans="1:29" customFormat="1" ht="15" customHeight="1">
      <c r="A74" s="663"/>
      <c r="B74" s="667"/>
      <c r="D74" s="2697"/>
      <c r="E74" s="1145" t="s">
        <v>1990</v>
      </c>
      <c r="F74" s="2240" cm="1">
        <f t="array" ref="F74:M74">_xlfn.ANCHORARRAY(F108)</f>
        <v>7.0597850788122876E-2</v>
      </c>
      <c r="G74" s="2240">
        <v>7.7856799381225569E-2</v>
      </c>
      <c r="H74" s="2240">
        <v>8.8445524555987212E-2</v>
      </c>
      <c r="I74" s="2240">
        <v>9.587408263006042E-2</v>
      </c>
      <c r="J74" s="2240">
        <v>0.10179934643702558</v>
      </c>
      <c r="K74" s="2240">
        <v>0.10780101898331276</v>
      </c>
      <c r="L74" s="2240">
        <v>0.11386528621634175</v>
      </c>
      <c r="M74" s="2240">
        <v>0.12006952499140411</v>
      </c>
      <c r="N74" s="58"/>
      <c r="O74" s="3"/>
      <c r="P74" s="207"/>
    </row>
    <row r="75" spans="1:29" customFormat="1" ht="15" customHeight="1">
      <c r="A75" s="663"/>
      <c r="B75" s="667"/>
      <c r="D75" s="2698"/>
      <c r="E75" s="231"/>
      <c r="F75" s="231"/>
      <c r="G75" s="231"/>
      <c r="H75" s="232"/>
      <c r="I75" s="232"/>
      <c r="J75" s="232"/>
      <c r="K75" s="232"/>
      <c r="L75" s="232"/>
      <c r="M75" s="232"/>
      <c r="N75" s="232"/>
      <c r="O75" s="3"/>
      <c r="P75" s="207"/>
    </row>
    <row r="76" spans="1:29" customFormat="1" ht="15" customHeight="1">
      <c r="A76" s="663"/>
      <c r="B76" s="667"/>
      <c r="D76" s="207"/>
      <c r="E76" s="207"/>
      <c r="F76" s="207"/>
      <c r="G76" s="207"/>
      <c r="H76" s="207"/>
      <c r="I76" s="207"/>
      <c r="J76" s="207"/>
      <c r="K76" s="207"/>
      <c r="L76" s="207"/>
      <c r="M76" s="207"/>
      <c r="N76" s="207"/>
      <c r="O76" s="3"/>
      <c r="P76" s="207"/>
    </row>
    <row r="77" spans="1:29" customFormat="1" ht="15" customHeight="1">
      <c r="A77" s="663"/>
      <c r="B77" s="667"/>
      <c r="D77" s="207"/>
      <c r="E77" s="207"/>
      <c r="F77" s="207"/>
      <c r="G77" s="207"/>
      <c r="H77" s="207"/>
      <c r="I77" s="207"/>
      <c r="J77" s="207"/>
      <c r="K77" s="207"/>
      <c r="L77" s="207"/>
      <c r="M77" s="207"/>
      <c r="N77" s="207"/>
      <c r="O77" s="3"/>
      <c r="P77" s="207"/>
    </row>
    <row r="78" spans="1:29" s="208" customFormat="1" ht="15" customHeight="1">
      <c r="A78" s="663"/>
      <c r="B78" s="667"/>
      <c r="C78" s="220"/>
      <c r="D78" s="110" t="s">
        <v>797</v>
      </c>
      <c r="E78" s="65"/>
      <c r="F78" s="65"/>
      <c r="G78" s="65"/>
      <c r="H78" s="65"/>
      <c r="I78" s="65"/>
      <c r="J78" s="65"/>
      <c r="K78" s="65"/>
      <c r="L78" s="65"/>
      <c r="M78" s="65"/>
      <c r="N78" s="65"/>
      <c r="O78" s="3"/>
      <c r="P78" s="207"/>
      <c r="Q78" s="207"/>
      <c r="R78" s="207"/>
      <c r="S78" s="223"/>
      <c r="T78" s="207"/>
    </row>
    <row r="79" spans="1:29" s="207" customFormat="1" ht="15" customHeight="1">
      <c r="A79" s="663"/>
      <c r="B79" s="667"/>
      <c r="D79" s="66"/>
      <c r="E79" s="66"/>
      <c r="F79" s="66"/>
      <c r="G79" s="66"/>
      <c r="H79" s="66"/>
      <c r="I79" s="66"/>
      <c r="J79" s="66"/>
      <c r="K79" s="66"/>
      <c r="L79" s="66"/>
      <c r="M79" s="66"/>
      <c r="N79" s="66"/>
      <c r="O79" s="3"/>
      <c r="U79" s="233"/>
      <c r="V79" s="233"/>
      <c r="W79" s="233"/>
      <c r="X79" s="233"/>
      <c r="Y79" s="233"/>
      <c r="Z79" s="233"/>
      <c r="AA79" s="233"/>
      <c r="AB79" s="233"/>
      <c r="AC79" s="233"/>
    </row>
    <row r="80" spans="1:29" s="208" customFormat="1" ht="15" customHeight="1">
      <c r="A80" s="663"/>
      <c r="B80" s="667"/>
      <c r="C80" s="207"/>
      <c r="D80" s="234"/>
      <c r="E80" s="235" t="s">
        <v>2420</v>
      </c>
      <c r="F80" s="66"/>
      <c r="G80" s="66"/>
      <c r="H80" s="66"/>
      <c r="I80" s="66"/>
      <c r="J80" s="66"/>
      <c r="K80" s="66"/>
      <c r="L80" s="66"/>
      <c r="M80" s="236" t="s">
        <v>803</v>
      </c>
      <c r="N80" s="66"/>
      <c r="O80" s="3"/>
      <c r="P80" s="207"/>
      <c r="Q80" s="207"/>
      <c r="R80" s="207"/>
      <c r="S80" s="207"/>
      <c r="T80" s="207"/>
    </row>
    <row r="81" spans="1:20" s="208" customFormat="1" ht="15" customHeight="1">
      <c r="A81" s="663"/>
      <c r="B81" s="667"/>
      <c r="C81" s="207"/>
      <c r="D81" s="237"/>
      <c r="E81" s="238" t="s">
        <v>699</v>
      </c>
      <c r="F81" s="239">
        <v>2018</v>
      </c>
      <c r="G81" s="239" t="s">
        <v>322</v>
      </c>
      <c r="H81" s="239" t="s">
        <v>323</v>
      </c>
      <c r="I81" s="239" t="s">
        <v>324</v>
      </c>
      <c r="J81" s="239" t="s">
        <v>325</v>
      </c>
      <c r="K81" s="239" t="s">
        <v>326</v>
      </c>
      <c r="L81" s="239" t="s">
        <v>327</v>
      </c>
      <c r="M81" s="239" t="s">
        <v>328</v>
      </c>
      <c r="N81" s="66"/>
      <c r="O81" s="3"/>
      <c r="P81" s="207"/>
      <c r="Q81" s="207"/>
      <c r="R81" s="207"/>
      <c r="S81" s="207"/>
      <c r="T81" s="207"/>
    </row>
    <row r="82" spans="1:20" s="208" customFormat="1" ht="15" customHeight="1">
      <c r="A82" s="663"/>
      <c r="B82" s="667"/>
      <c r="C82" s="207"/>
      <c r="D82" s="237"/>
      <c r="E82" s="240" t="s">
        <v>2421</v>
      </c>
      <c r="F82" s="241" cm="1">
        <f t="array" ref="F82:M82">F47:M47</f>
        <v>0</v>
      </c>
      <c r="G82" s="241">
        <v>0</v>
      </c>
      <c r="H82" s="241">
        <v>0</v>
      </c>
      <c r="I82" s="241">
        <v>0</v>
      </c>
      <c r="J82" s="241">
        <v>0</v>
      </c>
      <c r="K82" s="241">
        <v>0</v>
      </c>
      <c r="L82" s="241">
        <v>0</v>
      </c>
      <c r="M82" s="241">
        <v>0</v>
      </c>
      <c r="N82" s="66"/>
      <c r="O82" s="3"/>
      <c r="P82" s="207"/>
      <c r="Q82" s="207"/>
      <c r="R82" s="207"/>
      <c r="S82" s="207"/>
      <c r="T82" s="207"/>
    </row>
    <row r="83" spans="1:20" customFormat="1" ht="15" customHeight="1">
      <c r="A83" s="663"/>
      <c r="B83" s="667"/>
      <c r="D83" s="237"/>
      <c r="E83" s="240" t="s">
        <v>2422</v>
      </c>
      <c r="F83" s="241" cm="1">
        <f t="array" ref="F83:M83">F48:M48</f>
        <v>0</v>
      </c>
      <c r="G83" s="241">
        <v>0</v>
      </c>
      <c r="H83" s="241">
        <v>0</v>
      </c>
      <c r="I83" s="241">
        <v>0</v>
      </c>
      <c r="J83" s="241">
        <v>0</v>
      </c>
      <c r="K83" s="241">
        <v>0</v>
      </c>
      <c r="L83" s="241">
        <v>0</v>
      </c>
      <c r="M83" s="241">
        <v>0</v>
      </c>
      <c r="N83" s="66"/>
      <c r="O83" s="3"/>
      <c r="P83" s="207"/>
    </row>
    <row r="84" spans="1:20" customFormat="1" ht="15" customHeight="1">
      <c r="A84" s="663"/>
      <c r="B84" s="667"/>
      <c r="D84" s="237"/>
      <c r="E84" s="1946" t="s">
        <v>2423</v>
      </c>
      <c r="F84" s="334" cm="1">
        <f t="array" ref="F84:M84">F49:M49</f>
        <v>0</v>
      </c>
      <c r="G84" s="334">
        <v>0</v>
      </c>
      <c r="H84" s="334">
        <v>0</v>
      </c>
      <c r="I84" s="334">
        <v>0</v>
      </c>
      <c r="J84" s="334">
        <v>0</v>
      </c>
      <c r="K84" s="334">
        <v>0</v>
      </c>
      <c r="L84" s="334">
        <v>0</v>
      </c>
      <c r="M84" s="334">
        <v>0</v>
      </c>
      <c r="N84" s="66"/>
      <c r="O84" s="3"/>
      <c r="P84" s="207"/>
    </row>
    <row r="85" spans="1:20" customFormat="1" ht="15" customHeight="1">
      <c r="A85" s="663"/>
      <c r="B85" s="667"/>
      <c r="D85" s="242"/>
      <c r="E85" s="243"/>
      <c r="F85" s="243"/>
      <c r="G85" s="243"/>
      <c r="H85" s="243"/>
      <c r="I85" s="243"/>
      <c r="J85" s="243"/>
      <c r="K85" s="243"/>
      <c r="L85" s="243"/>
      <c r="M85" s="243"/>
      <c r="N85" s="243"/>
      <c r="O85" s="3"/>
      <c r="P85" s="207"/>
    </row>
    <row r="86" spans="1:20" customFormat="1" ht="15" customHeight="1">
      <c r="A86" s="663"/>
      <c r="B86" s="667"/>
      <c r="D86" s="243"/>
      <c r="E86" s="243"/>
      <c r="F86" s="243"/>
      <c r="G86" s="243"/>
      <c r="H86" s="243"/>
      <c r="I86" s="243"/>
      <c r="J86" s="243"/>
      <c r="K86" s="243"/>
      <c r="L86" s="243"/>
      <c r="M86" s="243"/>
      <c r="N86" s="243"/>
      <c r="O86" s="3"/>
      <c r="P86" s="207"/>
    </row>
    <row r="87" spans="1:20" customFormat="1" ht="15" customHeight="1">
      <c r="A87" s="663"/>
      <c r="B87" s="667"/>
      <c r="D87" s="3"/>
      <c r="E87" s="3"/>
      <c r="F87" s="3"/>
      <c r="G87" s="3"/>
      <c r="H87" s="3"/>
      <c r="I87" s="3"/>
      <c r="J87" s="3"/>
      <c r="K87" s="3"/>
      <c r="L87" s="3"/>
      <c r="M87" s="3"/>
      <c r="N87" s="3"/>
      <c r="O87" s="3"/>
      <c r="P87" s="207"/>
    </row>
    <row r="88" spans="1:20" s="207" customFormat="1" ht="15" customHeight="1">
      <c r="A88" s="663"/>
      <c r="B88" s="667"/>
      <c r="D88" s="2" t="s">
        <v>1893</v>
      </c>
      <c r="E88" s="3"/>
      <c r="F88" s="3"/>
      <c r="G88" s="3"/>
      <c r="H88" s="3"/>
      <c r="I88" s="3"/>
      <c r="J88" s="3"/>
      <c r="K88" s="3"/>
      <c r="L88" s="3"/>
      <c r="M88" s="3"/>
      <c r="N88" s="3"/>
      <c r="O88" s="3"/>
    </row>
    <row r="89" spans="1:20" s="207" customFormat="1" ht="15" customHeight="1">
      <c r="A89" s="663"/>
      <c r="B89" s="667"/>
      <c r="D89" s="3">
        <v>1</v>
      </c>
      <c r="E89" s="3" t="s">
        <v>2424</v>
      </c>
      <c r="F89" s="3"/>
      <c r="G89" s="3"/>
      <c r="H89" s="3"/>
      <c r="I89" s="3"/>
      <c r="J89" s="3"/>
      <c r="K89" s="3"/>
      <c r="L89" s="3"/>
      <c r="M89" s="3"/>
      <c r="N89" s="3"/>
      <c r="O89" s="3"/>
    </row>
    <row r="90" spans="1:20" ht="15" customHeight="1">
      <c r="D90" s="3">
        <v>2</v>
      </c>
      <c r="E90" s="3" t="s">
        <v>2425</v>
      </c>
    </row>
    <row r="91" spans="1:20" ht="15" customHeight="1">
      <c r="D91" s="3">
        <v>3</v>
      </c>
      <c r="E91" s="3" t="s">
        <v>2197</v>
      </c>
    </row>
    <row r="93" spans="1:20" ht="15" customHeight="1">
      <c r="D93" s="2" t="s">
        <v>2426</v>
      </c>
    </row>
    <row r="95" spans="1:20" ht="15" customHeight="1">
      <c r="M95" s="554" t="s">
        <v>9</v>
      </c>
    </row>
    <row r="96" spans="1:20" ht="15" customHeight="1">
      <c r="C96" s="554" t="s">
        <v>2427</v>
      </c>
      <c r="D96" s="2"/>
      <c r="E96" s="611" t="s">
        <v>2092</v>
      </c>
      <c r="F96" s="611">
        <v>2018</v>
      </c>
      <c r="G96" s="611">
        <v>2020</v>
      </c>
      <c r="H96" s="611">
        <v>2025</v>
      </c>
      <c r="I96" s="611">
        <v>2030</v>
      </c>
      <c r="J96" s="611">
        <v>2035</v>
      </c>
      <c r="K96" s="611">
        <v>2040</v>
      </c>
      <c r="L96" s="611">
        <v>2045</v>
      </c>
      <c r="M96" s="611">
        <v>2050</v>
      </c>
      <c r="N96" s="2"/>
    </row>
    <row r="97" spans="1:16" ht="15" customHeight="1">
      <c r="E97" s="3" t="s">
        <v>1365</v>
      </c>
      <c r="F97" s="980" cm="1">
        <f t="array" ref="F97:M97">INDEX(ST_COMBUSTIBLE_AVIACION,1,0)</f>
        <v>0.26328619776232887</v>
      </c>
      <c r="G97" s="980">
        <v>0.29035757392314177</v>
      </c>
      <c r="H97" s="980">
        <v>0.3298469515641147</v>
      </c>
      <c r="I97" s="980">
        <v>0.35755086589500845</v>
      </c>
      <c r="J97" s="980">
        <v>0.37964842497165197</v>
      </c>
      <c r="K97" s="980">
        <v>0.40203094125630268</v>
      </c>
      <c r="L97" s="980">
        <v>0.42464689690048624</v>
      </c>
      <c r="M97" s="980">
        <v>0.44778485958433889</v>
      </c>
    </row>
    <row r="99" spans="1:16" s="2" customFormat="1" ht="15" customHeight="1">
      <c r="A99" s="663"/>
      <c r="B99" s="667"/>
      <c r="D99" s="3"/>
      <c r="E99" s="3"/>
      <c r="F99" s="3"/>
      <c r="G99" s="3"/>
      <c r="H99" s="3"/>
      <c r="I99" s="3"/>
      <c r="J99" s="3"/>
      <c r="K99" s="3"/>
      <c r="L99" s="3"/>
      <c r="M99" s="3"/>
      <c r="N99" s="3"/>
    </row>
    <row r="102" spans="1:16" ht="15" customHeight="1">
      <c r="D102" s="2" t="s">
        <v>2428</v>
      </c>
      <c r="E102" s="554"/>
    </row>
    <row r="103" spans="1:16" ht="15" customHeight="1">
      <c r="D103" s="2"/>
      <c r="E103" s="554"/>
      <c r="M103" s="554" t="s">
        <v>29</v>
      </c>
    </row>
    <row r="104" spans="1:16" ht="15" customHeight="1">
      <c r="E104" s="1303" t="s">
        <v>1986</v>
      </c>
      <c r="F104" s="611">
        <v>2018</v>
      </c>
      <c r="G104" s="611">
        <v>2020</v>
      </c>
      <c r="H104" s="611">
        <v>2025</v>
      </c>
      <c r="I104" s="611">
        <v>2030</v>
      </c>
      <c r="J104" s="611">
        <v>2035</v>
      </c>
      <c r="K104" s="611">
        <v>2040</v>
      </c>
      <c r="L104" s="611">
        <v>2045</v>
      </c>
      <c r="M104" s="611">
        <v>2050</v>
      </c>
    </row>
    <row r="105" spans="1:16" ht="15" customHeight="1">
      <c r="C105" s="554"/>
      <c r="E105" s="1304" t="s">
        <v>694</v>
      </c>
      <c r="F105" s="1305" cm="1">
        <f t="array" ref="F105:M105">_xlfn.ANCHORARRAY(F97)*UNIDAD_TWH_A_TJ*FE_AVIACION_CO2_QUEROSENO*UNIDAD_KG_A_MT</f>
        <v>7.0082231098425138E-2</v>
      </c>
      <c r="G105" s="1305">
        <v>7.7288163108454488E-2</v>
      </c>
      <c r="H105" s="1305">
        <v>8.7799552286044052E-2</v>
      </c>
      <c r="I105" s="1305">
        <v>9.5173855014291625E-2</v>
      </c>
      <c r="J105" s="1305">
        <v>0.1010558429615611</v>
      </c>
      <c r="K105" s="1305">
        <v>0.10701368158795642</v>
      </c>
      <c r="L105" s="1305">
        <v>0.11303365773345182</v>
      </c>
      <c r="M105" s="1305">
        <v>0.11919258312239414</v>
      </c>
    </row>
    <row r="106" spans="1:16" ht="15" customHeight="1">
      <c r="C106" s="554"/>
      <c r="E106" s="559" t="s">
        <v>695</v>
      </c>
      <c r="F106" s="1306" cm="1">
        <f t="array" ref="F106:M106">_xlfn.ANCHORARRAY(F97)*UNIDAD_TWH_A_TJ*FE_AVIACION_CH4_QUEROSENO*UNIDAD_KG_A_MT</f>
        <v>4.7391515597219196E-7</v>
      </c>
      <c r="G106" s="1306">
        <v>5.2264363306165518E-7</v>
      </c>
      <c r="H106" s="1306">
        <v>5.9372451281540654E-7</v>
      </c>
      <c r="I106" s="1306">
        <v>6.4359155861101521E-7</v>
      </c>
      <c r="J106" s="1306">
        <v>6.8336716494897357E-7</v>
      </c>
      <c r="K106" s="1306">
        <v>7.2365569426134488E-7</v>
      </c>
      <c r="L106" s="1306">
        <v>7.6436441442087534E-7</v>
      </c>
      <c r="M106" s="1306">
        <v>8.0601274725181005E-7</v>
      </c>
    </row>
    <row r="107" spans="1:16" ht="15" customHeight="1">
      <c r="E107" s="559" t="s">
        <v>1616</v>
      </c>
      <c r="F107" s="981" cm="1">
        <f t="array" ref="F107:M107">_xlfn.ANCHORARRAY(F97)*UNIDAD_TWH_A_TJ*FE_AVIACION_N2O_QUEROSENO*UNIDAD_KG_A_MT</f>
        <v>1.8956606238887679E-6</v>
      </c>
      <c r="G107" s="981">
        <v>2.0905745322466207E-6</v>
      </c>
      <c r="H107" s="981">
        <v>2.3748980512616262E-6</v>
      </c>
      <c r="I107" s="981">
        <v>2.5743662344440608E-6</v>
      </c>
      <c r="J107" s="981">
        <v>2.7334686597958943E-6</v>
      </c>
      <c r="K107" s="981">
        <v>2.8946227770453795E-6</v>
      </c>
      <c r="L107" s="981">
        <v>3.0574576576835014E-6</v>
      </c>
      <c r="M107" s="981">
        <v>3.2240509890072402E-6</v>
      </c>
    </row>
    <row r="108" spans="1:16" ht="15" customHeight="1">
      <c r="E108" s="551" t="s">
        <v>1990</v>
      </c>
      <c r="F108" s="561" cm="1">
        <f t="array" ref="F108:M108">_xlfn.ANCHORARRAY(F105)*PCG_CO2+_xlfn.ANCHORARRAY(F106)*PCG_CH4+_xlfn.ANCHORARRAY(F107)*PCG_N2O</f>
        <v>7.0597850788122876E-2</v>
      </c>
      <c r="G108" s="561">
        <v>7.7856799381225569E-2</v>
      </c>
      <c r="H108" s="561">
        <v>8.8445524555987212E-2</v>
      </c>
      <c r="I108" s="561">
        <v>9.587408263006042E-2</v>
      </c>
      <c r="J108" s="561">
        <v>0.10179934643702558</v>
      </c>
      <c r="K108" s="561">
        <v>0.10780101898331276</v>
      </c>
      <c r="L108" s="561">
        <v>0.11386528621634175</v>
      </c>
      <c r="M108" s="561">
        <v>0.12006952499140411</v>
      </c>
    </row>
    <row r="112" spans="1:16" ht="15" customHeight="1">
      <c r="C112" s="517"/>
      <c r="D112" s="125" t="s">
        <v>2429</v>
      </c>
      <c r="E112" s="517"/>
      <c r="F112" s="517"/>
      <c r="G112" s="517"/>
      <c r="H112" s="517"/>
      <c r="I112" s="517"/>
      <c r="J112" s="517"/>
      <c r="K112" s="517"/>
      <c r="L112" s="517"/>
      <c r="M112" s="517"/>
      <c r="N112" s="517"/>
      <c r="O112" s="517"/>
      <c r="P112" s="517"/>
    </row>
    <row r="113" spans="3:16" ht="15" customHeight="1">
      <c r="C113" s="517"/>
      <c r="D113" s="517"/>
      <c r="E113" s="517"/>
      <c r="F113" s="517"/>
      <c r="G113" s="517"/>
      <c r="H113" s="517"/>
      <c r="I113" s="517"/>
      <c r="J113" s="517"/>
      <c r="K113" s="517"/>
      <c r="L113" s="517"/>
      <c r="M113" s="1056" t="s">
        <v>9</v>
      </c>
      <c r="N113" s="517"/>
      <c r="O113" s="517"/>
      <c r="P113" s="517"/>
    </row>
    <row r="114" spans="3:16" ht="15" customHeight="1">
      <c r="C114" s="517"/>
      <c r="D114" s="517"/>
      <c r="E114" s="1057" t="s">
        <v>2430</v>
      </c>
      <c r="F114" s="1057">
        <v>2018</v>
      </c>
      <c r="G114" s="1057">
        <v>2020</v>
      </c>
      <c r="H114" s="1057">
        <v>2025</v>
      </c>
      <c r="I114" s="1057">
        <v>2030</v>
      </c>
      <c r="J114" s="1057">
        <v>2035</v>
      </c>
      <c r="K114" s="1057">
        <v>2040</v>
      </c>
      <c r="L114" s="1057">
        <v>2045</v>
      </c>
      <c r="M114" s="1057">
        <v>2050</v>
      </c>
      <c r="N114" s="517"/>
      <c r="O114" s="517"/>
      <c r="P114" s="517"/>
    </row>
    <row r="115" spans="3:16" ht="15" customHeight="1">
      <c r="C115" s="517"/>
      <c r="D115" s="517"/>
      <c r="E115" s="517" t="s">
        <v>2431</v>
      </c>
      <c r="F115" s="517"/>
      <c r="G115" s="517"/>
      <c r="H115" s="517"/>
      <c r="I115" s="517"/>
      <c r="J115" s="517"/>
      <c r="K115" s="517"/>
      <c r="L115" s="517"/>
      <c r="M115" s="517"/>
      <c r="N115" s="517"/>
      <c r="O115" s="517"/>
      <c r="P115" s="517"/>
    </row>
    <row r="116" spans="3:16" ht="15" customHeight="1">
      <c r="C116" s="517"/>
      <c r="D116" s="517"/>
      <c r="E116" s="517" t="s">
        <v>2432</v>
      </c>
      <c r="F116" s="517"/>
      <c r="G116" s="517"/>
      <c r="H116" s="517"/>
      <c r="I116" s="517"/>
      <c r="J116" s="517"/>
      <c r="K116" s="517"/>
      <c r="L116" s="517"/>
      <c r="M116" s="517"/>
      <c r="N116" s="517"/>
      <c r="O116" s="517"/>
      <c r="P116" s="517"/>
    </row>
    <row r="117" spans="3:16" ht="15" customHeight="1">
      <c r="C117" s="517"/>
      <c r="D117" s="517"/>
      <c r="E117" s="517" t="s">
        <v>2433</v>
      </c>
      <c r="F117" s="517"/>
      <c r="G117" s="517"/>
      <c r="H117" s="517"/>
      <c r="I117" s="517"/>
      <c r="J117" s="517"/>
      <c r="K117" s="517"/>
      <c r="L117" s="517"/>
      <c r="M117" s="517"/>
      <c r="N117" s="517"/>
      <c r="O117" s="517"/>
      <c r="P117" s="517"/>
    </row>
    <row r="118" spans="3:16" ht="15" customHeight="1">
      <c r="C118" s="517"/>
      <c r="D118" s="517"/>
      <c r="E118" s="517"/>
      <c r="F118" s="517"/>
      <c r="G118" s="517"/>
      <c r="H118" s="517"/>
      <c r="I118" s="517"/>
      <c r="J118" s="517"/>
      <c r="K118" s="517"/>
      <c r="L118" s="517"/>
      <c r="M118" s="1056" t="s">
        <v>1716</v>
      </c>
      <c r="N118" s="517"/>
      <c r="O118" s="517"/>
      <c r="P118" s="517"/>
    </row>
    <row r="119" spans="3:16" ht="15" customHeight="1">
      <c r="C119" s="517"/>
      <c r="D119" s="517"/>
      <c r="E119" s="1057" t="s">
        <v>2430</v>
      </c>
      <c r="F119" s="1057">
        <v>2018</v>
      </c>
      <c r="G119" s="1057">
        <v>2020</v>
      </c>
      <c r="H119" s="1057">
        <v>2025</v>
      </c>
      <c r="I119" s="1057">
        <v>2030</v>
      </c>
      <c r="J119" s="1057">
        <v>2035</v>
      </c>
      <c r="K119" s="1057">
        <v>2040</v>
      </c>
      <c r="L119" s="1057">
        <v>2045</v>
      </c>
      <c r="M119" s="1057">
        <v>2050</v>
      </c>
      <c r="N119" s="517"/>
      <c r="O119" s="517"/>
      <c r="P119" s="517"/>
    </row>
    <row r="120" spans="3:16" ht="15" customHeight="1">
      <c r="C120" s="517"/>
      <c r="D120" s="517"/>
      <c r="E120" s="517" t="s">
        <v>2434</v>
      </c>
      <c r="F120" s="517"/>
      <c r="G120" s="517"/>
      <c r="H120" s="517"/>
      <c r="I120" s="517"/>
      <c r="J120" s="517"/>
      <c r="K120" s="517"/>
      <c r="L120" s="517"/>
      <c r="M120" s="517"/>
      <c r="N120" s="517"/>
      <c r="O120" s="517"/>
      <c r="P120" s="517"/>
    </row>
    <row r="121" spans="3:16" ht="15" customHeight="1">
      <c r="C121" s="517"/>
      <c r="D121" s="517"/>
      <c r="E121" s="517" t="s">
        <v>2435</v>
      </c>
      <c r="F121" s="517"/>
      <c r="G121" s="517"/>
      <c r="H121" s="517"/>
      <c r="I121" s="517"/>
      <c r="J121" s="517"/>
      <c r="K121" s="517"/>
      <c r="L121" s="517"/>
      <c r="M121" s="517"/>
      <c r="N121" s="517"/>
      <c r="O121" s="517"/>
      <c r="P121" s="517"/>
    </row>
    <row r="122" spans="3:16" ht="15" customHeight="1">
      <c r="C122" s="517"/>
      <c r="D122" s="517"/>
      <c r="E122" s="517"/>
      <c r="F122" s="517"/>
      <c r="G122" s="517"/>
      <c r="H122" s="517"/>
      <c r="I122" s="517"/>
      <c r="J122" s="517"/>
      <c r="K122" s="517"/>
      <c r="L122" s="517"/>
      <c r="M122" s="1056" t="s">
        <v>803</v>
      </c>
      <c r="N122" s="517"/>
      <c r="O122" s="517"/>
      <c r="P122" s="517"/>
    </row>
    <row r="123" spans="3:16" ht="15" customHeight="1">
      <c r="C123" s="517"/>
      <c r="D123" s="517"/>
      <c r="E123" s="1057" t="s">
        <v>2430</v>
      </c>
      <c r="F123" s="1057">
        <v>2018</v>
      </c>
      <c r="G123" s="1057">
        <v>2020</v>
      </c>
      <c r="H123" s="1057">
        <v>2025</v>
      </c>
      <c r="I123" s="1057">
        <v>2030</v>
      </c>
      <c r="J123" s="1057">
        <v>2035</v>
      </c>
      <c r="K123" s="1057">
        <v>2040</v>
      </c>
      <c r="L123" s="1057">
        <v>2045</v>
      </c>
      <c r="M123" s="1057">
        <v>2050</v>
      </c>
      <c r="N123" s="517"/>
      <c r="O123" s="517"/>
      <c r="P123" s="517"/>
    </row>
    <row r="124" spans="3:16" ht="15" customHeight="1">
      <c r="C124" s="517"/>
      <c r="D124" s="517"/>
      <c r="E124" s="517" t="s">
        <v>2436</v>
      </c>
      <c r="F124" s="517"/>
      <c r="G124" s="517"/>
      <c r="H124" s="517"/>
      <c r="I124" s="517"/>
      <c r="J124" s="517"/>
      <c r="K124" s="517"/>
      <c r="L124" s="517"/>
      <c r="M124" s="517"/>
      <c r="N124" s="517"/>
      <c r="O124" s="517"/>
      <c r="P124" s="517"/>
    </row>
    <row r="125" spans="3:16" ht="15" customHeight="1">
      <c r="C125" s="517"/>
      <c r="D125" s="517"/>
      <c r="E125" s="517" t="s">
        <v>2437</v>
      </c>
      <c r="F125" s="517"/>
      <c r="G125" s="517"/>
      <c r="H125" s="517"/>
      <c r="I125" s="517"/>
      <c r="J125" s="517"/>
      <c r="K125" s="517"/>
      <c r="L125" s="517"/>
      <c r="M125" s="517"/>
      <c r="N125" s="517"/>
      <c r="O125" s="517"/>
      <c r="P125" s="517"/>
    </row>
    <row r="126" spans="3:16" ht="15" customHeight="1">
      <c r="C126" s="517"/>
      <c r="D126" s="517"/>
      <c r="E126" s="517" t="s">
        <v>2438</v>
      </c>
      <c r="F126" s="517"/>
      <c r="G126" s="517"/>
      <c r="H126" s="517"/>
      <c r="I126" s="517"/>
      <c r="J126" s="517"/>
      <c r="K126" s="517"/>
      <c r="L126" s="517"/>
      <c r="M126" s="517"/>
      <c r="N126" s="517"/>
      <c r="O126" s="517"/>
      <c r="P126" s="517"/>
    </row>
  </sheetData>
  <sheetProtection algorithmName="SHA-512" hashValue="H7X1+ScaEDOS7CHAveMvXwfnVr39J8aIR+CN9xA/hKFrnuzwmJ8xup0TzX8PqPm5CaWcR/1gueJnLYAVaOVzyg==" saltValue="fKJUrQPlPhT1b2ykgEZYLg==" spinCount="100000" sheet="1" objects="1" scenarios="1"/>
  <mergeCells count="2">
    <mergeCell ref="M7:M8"/>
    <mergeCell ref="E7:H8"/>
  </mergeCells>
  <conditionalFormatting sqref="H25:N25 N26">
    <cfRule type="cellIs" dxfId="17" priority="2" operator="equal">
      <formula>TRUE</formula>
    </cfRule>
  </conditionalFormatting>
  <conditionalFormatting sqref="I27:N28 H29:M29 N29:N30 L36:L37">
    <cfRule type="cellIs" dxfId="16" priority="3" operator="equal">
      <formula>TRUE</formula>
    </cfRule>
  </conditionalFormatting>
  <conditionalFormatting sqref="L46">
    <cfRule type="cellIs" dxfId="15" priority="1" operator="equal">
      <formula>TRUE</formula>
    </cfRule>
  </conditionalFormatting>
  <dataValidations count="1">
    <dataValidation type="whole" allowBlank="1" showErrorMessage="1" errorTitle="ERROR" error="El valor de trayectoria introducido no es valido. Las trayectorias estan comprendidas entre los valores 1 y 4." sqref="M7" xr:uid="{4D553399-2E9A-4319-BD31-9A9C4C2B0E5E}">
      <formula1>1</formula1>
      <formula2>4</formula2>
    </dataValidation>
  </dataValidations>
  <pageMargins left="0.7" right="0.7" top="0.75" bottom="0.75" header="0.3" footer="0.3"/>
  <customProperties>
    <customPr name="_pios_id" r:id="rId1"/>
  </customProperties>
  <ignoredErrors>
    <ignoredError sqref="G46 I46:M46 G58 K58:M58"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43009" r:id="rId4" name="Spinner 1">
              <controlPr defaultSize="0" autoPict="0">
                <anchor moveWithCells="1" sizeWithCells="1">
                  <from>
                    <xdr:col>13</xdr:col>
                    <xdr:colOff>9525</xdr:colOff>
                    <xdr:row>6</xdr:row>
                    <xdr:rowOff>38100</xdr:rowOff>
                  </from>
                  <to>
                    <xdr:col>13</xdr:col>
                    <xdr:colOff>200025</xdr:colOff>
                    <xdr:row>7</xdr:row>
                    <xdr:rowOff>142875</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D3C1F-9BA7-4403-B8C7-7B568B86FE50}">
  <sheetPr codeName="Hoja19"/>
  <dimension ref="A1:AH107"/>
  <sheetViews>
    <sheetView showGridLines="0" zoomScale="80" zoomScaleNormal="80" workbookViewId="0">
      <selection activeCell="F17" sqref="F17:M20"/>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20.5703125" style="3" customWidth="1"/>
    <col min="6" max="6" width="21.5703125" style="3" bestFit="1" customWidth="1"/>
    <col min="7" max="7" width="11.5703125" style="3"/>
    <col min="8" max="8" width="19" style="3" bestFit="1" customWidth="1"/>
    <col min="9" max="13" width="14.28515625" style="3" bestFit="1" customWidth="1"/>
    <col min="14" max="14" width="5.7109375" style="3" customWidth="1"/>
    <col min="15"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1" spans="1:25" ht="15" customHeight="1">
      <c r="E1" s="2"/>
    </row>
    <row r="2" spans="1:25" ht="15" customHeight="1">
      <c r="E2" s="2"/>
    </row>
    <row r="4" spans="1:25" ht="15" customHeight="1">
      <c r="D4" s="668" t="s">
        <v>1622</v>
      </c>
      <c r="E4" s="5"/>
      <c r="F4" s="5"/>
      <c r="G4" s="5"/>
      <c r="H4" s="5"/>
      <c r="I4" s="5"/>
      <c r="J4" s="5"/>
      <c r="K4" s="5"/>
      <c r="L4" s="5"/>
      <c r="M4" s="5"/>
      <c r="N4" s="5"/>
    </row>
    <row r="5" spans="1:25" ht="15" customHeight="1">
      <c r="A5" s="1559"/>
      <c r="D5" s="6"/>
      <c r="E5" s="6"/>
      <c r="F5" s="6"/>
      <c r="G5" s="6"/>
      <c r="H5" s="6"/>
      <c r="I5" s="6"/>
      <c r="J5" s="6"/>
      <c r="K5" s="6"/>
      <c r="L5" s="6"/>
      <c r="M5" s="6"/>
      <c r="N5" s="6"/>
    </row>
    <row r="6" spans="1:25" ht="15" customHeight="1">
      <c r="D6" s="6"/>
      <c r="E6" s="126" t="s">
        <v>1623</v>
      </c>
      <c r="F6" s="127"/>
      <c r="G6" s="127"/>
      <c r="H6" s="127"/>
      <c r="I6" s="127"/>
      <c r="J6" s="127"/>
      <c r="K6" s="127"/>
      <c r="L6" s="127"/>
      <c r="M6" s="179" t="s">
        <v>879</v>
      </c>
      <c r="N6" s="6"/>
    </row>
    <row r="7" spans="1:25" ht="15" customHeight="1">
      <c r="D7" s="6"/>
      <c r="E7" s="3913" t="s">
        <v>2439</v>
      </c>
      <c r="F7" s="3913"/>
      <c r="G7" s="3913"/>
      <c r="H7" s="126"/>
      <c r="I7" s="126"/>
      <c r="J7" s="126"/>
      <c r="K7" s="126"/>
      <c r="L7" s="126"/>
      <c r="M7" s="3930">
        <f>TRAYECTORIA_TRANSPORTE_NAVEGA</f>
        <v>1</v>
      </c>
      <c r="N7" s="6"/>
    </row>
    <row r="8" spans="1:25" ht="15" customHeight="1">
      <c r="D8" s="6"/>
      <c r="E8" s="3924"/>
      <c r="F8" s="3924"/>
      <c r="G8" s="3924"/>
      <c r="H8" s="1566"/>
      <c r="I8" s="1566"/>
      <c r="J8" s="1566"/>
      <c r="K8" s="1566"/>
      <c r="L8" s="1566"/>
      <c r="M8" s="3915"/>
      <c r="N8" s="6"/>
    </row>
    <row r="9" spans="1:25" ht="15" customHeight="1">
      <c r="D9" s="6"/>
      <c r="E9" s="6"/>
      <c r="F9" s="6"/>
      <c r="G9" s="6"/>
      <c r="H9" s="6"/>
      <c r="I9" s="6"/>
      <c r="J9" s="6"/>
      <c r="K9" s="6"/>
      <c r="L9" s="6"/>
      <c r="M9" s="6"/>
      <c r="N9" s="6"/>
    </row>
    <row r="11" spans="1:25" ht="15" customHeight="1">
      <c r="D11" s="335" t="s">
        <v>1190</v>
      </c>
      <c r="E11" s="336"/>
      <c r="F11" s="336"/>
      <c r="G11" s="336"/>
      <c r="H11" s="336"/>
      <c r="I11" s="336"/>
      <c r="J11" s="336"/>
      <c r="K11" s="336"/>
      <c r="L11" s="336"/>
      <c r="M11" s="336"/>
      <c r="N11" s="336"/>
    </row>
    <row r="12" spans="1:25" ht="15" customHeight="1">
      <c r="D12" s="12"/>
      <c r="E12" s="12"/>
      <c r="F12" s="12"/>
      <c r="G12" s="12"/>
      <c r="H12" s="12"/>
      <c r="I12" s="12"/>
      <c r="J12" s="12"/>
      <c r="K12" s="12"/>
      <c r="L12" s="12"/>
      <c r="M12" s="12"/>
      <c r="N12" s="12"/>
    </row>
    <row r="13" spans="1:25" ht="15" customHeight="1">
      <c r="D13" s="12"/>
      <c r="E13" s="940" t="s">
        <v>2440</v>
      </c>
      <c r="F13" s="129"/>
      <c r="G13" s="129"/>
      <c r="H13" s="129"/>
      <c r="I13" s="129"/>
      <c r="J13" s="129"/>
      <c r="K13" s="129"/>
      <c r="L13" s="129"/>
      <c r="M13" s="129"/>
      <c r="N13" s="12"/>
    </row>
    <row r="14" spans="1:25" ht="15" customHeight="1">
      <c r="D14" s="12"/>
      <c r="E14" s="130"/>
      <c r="F14" s="12"/>
      <c r="G14" s="12"/>
      <c r="H14" s="12"/>
      <c r="I14" s="12"/>
      <c r="J14" s="12"/>
      <c r="K14" s="12"/>
      <c r="L14" s="12"/>
      <c r="M14" s="12"/>
      <c r="N14" s="12"/>
      <c r="Y14" s="3333"/>
    </row>
    <row r="15" spans="1:25" ht="15" customHeight="1">
      <c r="D15" s="135"/>
      <c r="E15" s="1152" t="s">
        <v>526</v>
      </c>
      <c r="F15" s="133"/>
      <c r="G15" s="133"/>
      <c r="H15" s="133"/>
      <c r="I15" s="133"/>
      <c r="J15" s="133"/>
      <c r="K15" s="133"/>
      <c r="L15" s="133"/>
      <c r="M15" s="134" t="s">
        <v>9</v>
      </c>
      <c r="N15" s="135"/>
      <c r="Y15" s="3333"/>
    </row>
    <row r="16" spans="1:25" ht="15" customHeight="1">
      <c r="D16" s="1343"/>
      <c r="E16" s="137" t="s">
        <v>879</v>
      </c>
      <c r="F16" s="880">
        <v>2018</v>
      </c>
      <c r="G16" s="880">
        <v>2020</v>
      </c>
      <c r="H16" s="880">
        <v>2025</v>
      </c>
      <c r="I16" s="880">
        <v>2030</v>
      </c>
      <c r="J16" s="880">
        <v>2035</v>
      </c>
      <c r="K16" s="880">
        <v>2040</v>
      </c>
      <c r="L16" s="880">
        <v>2045</v>
      </c>
      <c r="M16" s="880">
        <v>2050</v>
      </c>
      <c r="N16" s="3715"/>
      <c r="Q16" s="552"/>
      <c r="R16" s="552"/>
      <c r="S16" s="552"/>
      <c r="T16" s="552"/>
      <c r="U16" s="552"/>
      <c r="V16" s="552"/>
      <c r="W16" s="552"/>
      <c r="X16" s="552"/>
      <c r="Y16" s="3333"/>
    </row>
    <row r="17" spans="1:34" s="131" customFormat="1" ht="15" customHeight="1">
      <c r="A17" s="663"/>
      <c r="B17" s="667"/>
      <c r="D17" s="1343"/>
      <c r="E17" s="139">
        <v>1</v>
      </c>
      <c r="F17" s="3780">
        <v>0</v>
      </c>
      <c r="G17" s="3780">
        <v>0</v>
      </c>
      <c r="H17" s="3780">
        <v>0</v>
      </c>
      <c r="I17" s="3780">
        <v>0</v>
      </c>
      <c r="J17" s="3780">
        <v>0</v>
      </c>
      <c r="K17" s="3780">
        <v>0</v>
      </c>
      <c r="L17" s="3780">
        <v>0</v>
      </c>
      <c r="M17" s="3780">
        <v>0</v>
      </c>
      <c r="N17" s="3715"/>
      <c r="P17" s="3716"/>
      <c r="Q17" s="3717"/>
      <c r="Y17" s="3713"/>
    </row>
    <row r="18" spans="1:34" s="131" customFormat="1" ht="15" customHeight="1">
      <c r="A18" s="663"/>
      <c r="B18" s="667"/>
      <c r="D18" s="1343"/>
      <c r="E18" s="139">
        <v>2</v>
      </c>
      <c r="F18" s="3780">
        <v>0</v>
      </c>
      <c r="G18" s="3780">
        <v>0</v>
      </c>
      <c r="H18" s="3780">
        <v>0</v>
      </c>
      <c r="I18" s="3780">
        <v>0</v>
      </c>
      <c r="J18" s="3780">
        <v>0</v>
      </c>
      <c r="K18" s="3780">
        <v>0</v>
      </c>
      <c r="L18" s="3780">
        <v>0</v>
      </c>
      <c r="M18" s="3780">
        <v>0</v>
      </c>
      <c r="N18" s="3715"/>
      <c r="O18" s="3"/>
      <c r="W18" s="138"/>
      <c r="X18" s="138"/>
      <c r="Y18" s="3713"/>
      <c r="Z18" s="138"/>
      <c r="AA18" s="138"/>
      <c r="AB18" s="138"/>
      <c r="AC18" s="138"/>
      <c r="AD18" s="138"/>
      <c r="AE18" s="138"/>
      <c r="AF18" s="138"/>
      <c r="AG18" s="138"/>
      <c r="AH18" s="138"/>
    </row>
    <row r="19" spans="1:34" s="131" customFormat="1" ht="15" customHeight="1">
      <c r="A19" s="663"/>
      <c r="B19" s="667"/>
      <c r="D19" s="1343"/>
      <c r="E19" s="139">
        <v>3</v>
      </c>
      <c r="F19" s="3780">
        <v>0</v>
      </c>
      <c r="G19" s="3780">
        <v>0</v>
      </c>
      <c r="H19" s="3780">
        <v>0</v>
      </c>
      <c r="I19" s="3780">
        <v>0</v>
      </c>
      <c r="J19" s="3780">
        <v>0</v>
      </c>
      <c r="K19" s="3780">
        <v>0</v>
      </c>
      <c r="L19" s="3780">
        <v>0</v>
      </c>
      <c r="M19" s="3780">
        <v>0</v>
      </c>
      <c r="N19" s="3715"/>
      <c r="O19" s="3"/>
      <c r="W19" s="138"/>
      <c r="X19" s="138"/>
      <c r="Y19" s="3713"/>
      <c r="Z19" s="138"/>
      <c r="AA19" s="138"/>
      <c r="AB19" s="140"/>
      <c r="AC19" s="140"/>
      <c r="AD19" s="140"/>
      <c r="AE19" s="141"/>
      <c r="AF19" s="141"/>
      <c r="AG19" s="141"/>
      <c r="AH19" s="141"/>
    </row>
    <row r="20" spans="1:34" s="131" customFormat="1" ht="15" customHeight="1">
      <c r="A20" s="663"/>
      <c r="B20" s="667"/>
      <c r="D20" s="1343"/>
      <c r="E20" s="2022">
        <v>4</v>
      </c>
      <c r="F20" s="3781">
        <v>0</v>
      </c>
      <c r="G20" s="3781">
        <v>0</v>
      </c>
      <c r="H20" s="3781">
        <v>0</v>
      </c>
      <c r="I20" s="3781">
        <v>0</v>
      </c>
      <c r="J20" s="3781">
        <v>0</v>
      </c>
      <c r="K20" s="3781">
        <v>0</v>
      </c>
      <c r="L20" s="3781">
        <v>0</v>
      </c>
      <c r="M20" s="3781">
        <v>0</v>
      </c>
      <c r="N20" s="3715"/>
      <c r="O20" s="3"/>
      <c r="W20" s="138"/>
      <c r="X20" s="138"/>
      <c r="Y20" s="3713"/>
      <c r="Z20" s="138"/>
      <c r="AA20" s="138"/>
      <c r="AB20" s="141"/>
      <c r="AC20" s="141"/>
      <c r="AD20" s="141"/>
      <c r="AE20" s="141"/>
      <c r="AF20" s="141"/>
      <c r="AG20" s="141"/>
      <c r="AH20" s="141"/>
    </row>
    <row r="21" spans="1:34" s="131" customFormat="1" ht="15" customHeight="1">
      <c r="A21" s="663"/>
      <c r="B21" s="667"/>
      <c r="D21" s="12"/>
      <c r="E21" s="12"/>
      <c r="F21" s="752"/>
      <c r="G21" s="752"/>
      <c r="H21" s="752"/>
      <c r="I21" s="752"/>
      <c r="J21" s="752"/>
      <c r="K21" s="752"/>
      <c r="L21" s="752"/>
      <c r="M21" s="752"/>
      <c r="N21" s="3715"/>
      <c r="O21" s="3"/>
      <c r="Y21" s="3714"/>
      <c r="Z21" s="138"/>
      <c r="AA21" s="138"/>
    </row>
    <row r="22" spans="1:34" s="131" customFormat="1" ht="15" customHeight="1">
      <c r="A22" s="663"/>
      <c r="B22" s="667"/>
      <c r="D22" s="3"/>
      <c r="E22" s="3"/>
      <c r="F22" s="696"/>
      <c r="G22" s="696"/>
      <c r="H22" s="696"/>
      <c r="I22" s="696"/>
      <c r="J22" s="696"/>
      <c r="K22" s="696"/>
      <c r="L22" s="696"/>
      <c r="M22" s="696"/>
      <c r="N22" s="3333"/>
      <c r="Y22" s="3713"/>
    </row>
    <row r="23" spans="1:34" ht="15" customHeight="1">
      <c r="D23" s="956" t="s">
        <v>51</v>
      </c>
      <c r="E23" s="336"/>
      <c r="F23" s="908"/>
      <c r="G23" s="908"/>
      <c r="H23" s="908"/>
      <c r="I23" s="908"/>
      <c r="J23" s="908"/>
      <c r="K23" s="908"/>
      <c r="L23" s="908"/>
      <c r="M23" s="908"/>
      <c r="N23" s="336"/>
    </row>
    <row r="24" spans="1:34" ht="15" customHeight="1">
      <c r="D24" s="40"/>
      <c r="E24" s="19"/>
      <c r="F24" s="754"/>
      <c r="G24" s="754"/>
      <c r="H24" s="754"/>
      <c r="I24" s="754"/>
      <c r="J24" s="754"/>
      <c r="K24" s="754"/>
      <c r="L24" s="754"/>
      <c r="M24" s="754"/>
      <c r="N24" s="40"/>
    </row>
    <row r="25" spans="1:34" ht="15" customHeight="1">
      <c r="D25" s="135"/>
      <c r="E25" s="129" t="s">
        <v>2416</v>
      </c>
      <c r="F25" s="881"/>
      <c r="G25" s="882"/>
      <c r="H25" s="881"/>
      <c r="I25" s="881"/>
      <c r="J25" s="881"/>
      <c r="K25" s="881"/>
      <c r="L25" s="881"/>
      <c r="M25" s="881"/>
      <c r="N25" s="135"/>
    </row>
    <row r="26" spans="1:34" ht="15" customHeight="1">
      <c r="D26" s="135"/>
      <c r="E26" s="143"/>
      <c r="F26" s="865"/>
      <c r="G26" s="866"/>
      <c r="H26" s="865"/>
      <c r="I26" s="865"/>
      <c r="J26" s="865"/>
      <c r="K26" s="865"/>
      <c r="L26" s="865"/>
      <c r="M26" s="865"/>
      <c r="N26" s="135"/>
    </row>
    <row r="27" spans="1:34" s="131" customFormat="1" ht="15" customHeight="1">
      <c r="A27" s="663"/>
      <c r="B27" s="667"/>
      <c r="D27" s="133"/>
      <c r="E27" s="133"/>
      <c r="F27" s="883"/>
      <c r="G27" s="883"/>
      <c r="H27" s="883"/>
      <c r="I27" s="883"/>
      <c r="J27" s="883"/>
      <c r="K27" s="883"/>
      <c r="L27" s="883"/>
      <c r="M27" s="884" t="s">
        <v>2417</v>
      </c>
      <c r="N27" s="135"/>
      <c r="O27" s="3"/>
      <c r="P27" s="136"/>
    </row>
    <row r="28" spans="1:34" s="131" customFormat="1" ht="15" customHeight="1">
      <c r="A28" s="663"/>
      <c r="B28" s="667"/>
      <c r="D28" s="133"/>
      <c r="E28" s="144"/>
      <c r="F28" s="885">
        <v>2018</v>
      </c>
      <c r="G28" s="885" t="s">
        <v>322</v>
      </c>
      <c r="H28" s="885" t="s">
        <v>323</v>
      </c>
      <c r="I28" s="885" t="s">
        <v>324</v>
      </c>
      <c r="J28" s="885" t="s">
        <v>325</v>
      </c>
      <c r="K28" s="885" t="s">
        <v>326</v>
      </c>
      <c r="L28" s="885" t="s">
        <v>327</v>
      </c>
      <c r="M28" s="885" t="s">
        <v>328</v>
      </c>
      <c r="N28" s="135"/>
      <c r="O28" s="3"/>
      <c r="P28" s="136"/>
    </row>
    <row r="29" spans="1:34" s="131" customFormat="1" ht="15" customHeight="1">
      <c r="A29" s="663"/>
      <c r="B29" s="667"/>
      <c r="D29" s="133"/>
      <c r="E29" s="145" t="s">
        <v>822</v>
      </c>
      <c r="F29" s="877">
        <v>0</v>
      </c>
      <c r="G29" s="877">
        <v>0</v>
      </c>
      <c r="H29" s="877">
        <v>0</v>
      </c>
      <c r="I29" s="877">
        <v>0</v>
      </c>
      <c r="J29" s="877">
        <v>0</v>
      </c>
      <c r="K29" s="877">
        <v>0</v>
      </c>
      <c r="L29" s="877">
        <v>0</v>
      </c>
      <c r="M29" s="877">
        <v>0</v>
      </c>
      <c r="N29" s="135"/>
    </row>
    <row r="30" spans="1:34" s="131" customFormat="1" ht="15" customHeight="1">
      <c r="A30" s="663"/>
      <c r="B30" s="667"/>
      <c r="D30" s="133"/>
      <c r="E30" s="146" t="s">
        <v>821</v>
      </c>
      <c r="F30" s="878">
        <v>0</v>
      </c>
      <c r="G30" s="878">
        <v>0</v>
      </c>
      <c r="H30" s="878">
        <v>0</v>
      </c>
      <c r="I30" s="878">
        <v>0</v>
      </c>
      <c r="J30" s="878">
        <v>0</v>
      </c>
      <c r="K30" s="878">
        <v>0</v>
      </c>
      <c r="L30" s="878">
        <v>0</v>
      </c>
      <c r="M30" s="878">
        <v>0</v>
      </c>
      <c r="N30" s="135"/>
      <c r="W30" s="138"/>
      <c r="X30" s="138"/>
      <c r="Y30" s="138"/>
      <c r="Z30" s="138"/>
      <c r="AA30" s="138"/>
      <c r="AB30" s="138"/>
      <c r="AC30" s="138"/>
      <c r="AD30" s="138"/>
      <c r="AE30" s="138"/>
      <c r="AF30" s="138"/>
      <c r="AG30" s="138"/>
      <c r="AH30" s="138"/>
    </row>
    <row r="31" spans="1:34" s="131" customFormat="1" ht="15" customHeight="1">
      <c r="A31" s="663"/>
      <c r="B31" s="667"/>
      <c r="D31" s="133"/>
      <c r="E31" s="147" t="s">
        <v>820</v>
      </c>
      <c r="F31" s="879">
        <v>0</v>
      </c>
      <c r="G31" s="879">
        <v>0</v>
      </c>
      <c r="H31" s="879">
        <v>0</v>
      </c>
      <c r="I31" s="879">
        <v>0</v>
      </c>
      <c r="J31" s="879">
        <v>0</v>
      </c>
      <c r="K31" s="879">
        <v>0</v>
      </c>
      <c r="L31" s="879">
        <v>0</v>
      </c>
      <c r="M31" s="879">
        <v>0</v>
      </c>
      <c r="N31" s="135"/>
      <c r="W31" s="138"/>
      <c r="X31" s="138"/>
      <c r="Y31" s="138"/>
      <c r="Z31" s="138"/>
      <c r="AA31" s="138"/>
      <c r="AB31" s="140"/>
      <c r="AC31" s="140"/>
      <c r="AD31" s="140"/>
      <c r="AE31" s="141"/>
      <c r="AF31" s="141"/>
      <c r="AG31" s="141"/>
      <c r="AH31" s="141"/>
    </row>
    <row r="32" spans="1:34" s="131" customFormat="1" ht="15" customHeight="1">
      <c r="A32" s="663"/>
      <c r="B32" s="667"/>
      <c r="D32" s="148"/>
      <c r="E32" s="133"/>
      <c r="F32" s="133"/>
      <c r="G32" s="133"/>
      <c r="H32" s="133"/>
      <c r="I32" s="133"/>
      <c r="J32" s="133"/>
      <c r="K32" s="133"/>
      <c r="L32" s="133"/>
      <c r="M32" s="133"/>
      <c r="N32" s="133"/>
      <c r="W32" s="138"/>
      <c r="X32" s="138"/>
      <c r="Y32" s="138"/>
      <c r="Z32" s="138"/>
      <c r="AA32" s="138"/>
      <c r="AB32" s="141"/>
      <c r="AC32" s="141"/>
      <c r="AD32" s="141"/>
      <c r="AE32" s="141"/>
      <c r="AF32" s="141"/>
      <c r="AG32" s="141"/>
      <c r="AH32" s="141"/>
    </row>
    <row r="33" spans="1:27" s="131" customFormat="1" ht="15" customHeight="1">
      <c r="A33" s="663"/>
      <c r="B33" s="667"/>
      <c r="D33" s="12"/>
      <c r="E33" s="12"/>
      <c r="F33" s="12"/>
      <c r="G33" s="12"/>
      <c r="H33" s="12"/>
      <c r="I33" s="12"/>
      <c r="J33" s="12"/>
      <c r="K33" s="12"/>
      <c r="L33" s="12"/>
      <c r="M33" s="12"/>
      <c r="N33" s="12"/>
      <c r="W33" s="138"/>
      <c r="X33" s="138"/>
      <c r="Y33" s="138"/>
      <c r="Z33" s="138"/>
      <c r="AA33" s="138"/>
    </row>
    <row r="34" spans="1:27" s="131" customFormat="1" ht="15" customHeight="1">
      <c r="A34" s="663"/>
      <c r="B34" s="667"/>
      <c r="D34" s="3"/>
      <c r="E34" s="3"/>
      <c r="F34" s="3"/>
      <c r="G34" s="3"/>
      <c r="H34" s="3"/>
      <c r="I34" s="3"/>
      <c r="J34" s="3"/>
      <c r="K34" s="3"/>
      <c r="L34" s="3"/>
      <c r="M34" s="3"/>
      <c r="N34" s="3"/>
    </row>
    <row r="35" spans="1:27" customFormat="1" ht="15" customHeight="1">
      <c r="A35" s="663"/>
      <c r="B35" s="667"/>
      <c r="D35" s="2250" t="s">
        <v>52</v>
      </c>
      <c r="E35" s="2251"/>
      <c r="F35" s="2251"/>
      <c r="G35" s="2251"/>
      <c r="H35" s="2251"/>
      <c r="I35" s="2251"/>
      <c r="J35" s="2251"/>
      <c r="K35" s="2251"/>
      <c r="L35" s="2251"/>
      <c r="M35" s="2251"/>
      <c r="N35" s="2251"/>
    </row>
    <row r="36" spans="1:27" ht="15" customHeight="1">
      <c r="D36" s="150"/>
      <c r="E36" s="150"/>
      <c r="F36" s="150"/>
      <c r="G36" s="150"/>
      <c r="H36" s="150"/>
      <c r="I36" s="150"/>
      <c r="J36" s="150"/>
      <c r="K36" s="150"/>
      <c r="L36" s="150"/>
      <c r="M36" s="150"/>
      <c r="N36" s="150"/>
    </row>
    <row r="37" spans="1:27" s="149" customFormat="1" ht="15" customHeight="1" collapsed="1">
      <c r="A37" s="663"/>
      <c r="B37" s="667"/>
      <c r="C37" s="1350"/>
      <c r="D37" s="150"/>
      <c r="E37" s="151" t="s">
        <v>1877</v>
      </c>
      <c r="F37" s="152"/>
      <c r="G37" s="153"/>
      <c r="H37" s="152"/>
      <c r="I37" s="153"/>
      <c r="J37" s="152"/>
      <c r="K37" s="152"/>
      <c r="L37" s="152"/>
      <c r="M37" s="152"/>
      <c r="N37" s="150"/>
      <c r="O37" s="131"/>
    </row>
    <row r="38" spans="1:27" s="149" customFormat="1" ht="15" customHeight="1">
      <c r="A38" s="663"/>
      <c r="B38" s="667"/>
      <c r="D38" s="150"/>
      <c r="E38" s="154"/>
      <c r="F38" s="150"/>
      <c r="G38" s="155"/>
      <c r="H38" s="150"/>
      <c r="I38" s="155"/>
      <c r="J38" s="150"/>
      <c r="K38" s="150"/>
      <c r="L38" s="150"/>
      <c r="M38" s="150"/>
      <c r="N38" s="150"/>
      <c r="O38"/>
    </row>
    <row r="39" spans="1:27" s="149" customFormat="1" ht="15" customHeight="1">
      <c r="A39" s="663"/>
      <c r="B39" s="667"/>
      <c r="D39" s="150"/>
      <c r="E39" s="150"/>
      <c r="F39" s="150"/>
      <c r="G39" s="150"/>
      <c r="H39" s="150"/>
      <c r="I39" s="150"/>
      <c r="J39" s="150"/>
      <c r="K39" s="150"/>
      <c r="L39" s="150"/>
      <c r="M39" s="156" t="s">
        <v>9</v>
      </c>
      <c r="N39" s="150"/>
      <c r="O39" s="3"/>
    </row>
    <row r="40" spans="1:27" s="149" customFormat="1" ht="15" customHeight="1">
      <c r="A40" s="663"/>
      <c r="B40" s="667"/>
      <c r="D40" s="1344"/>
      <c r="E40" s="157" t="s">
        <v>699</v>
      </c>
      <c r="F40" s="158">
        <v>2018</v>
      </c>
      <c r="G40" s="158" t="s">
        <v>322</v>
      </c>
      <c r="H40" s="158" t="s">
        <v>323</v>
      </c>
      <c r="I40" s="158" t="s">
        <v>324</v>
      </c>
      <c r="J40" s="158" t="s">
        <v>325</v>
      </c>
      <c r="K40" s="158" t="s">
        <v>326</v>
      </c>
      <c r="L40" s="158" t="s">
        <v>327</v>
      </c>
      <c r="M40" s="158">
        <v>2050</v>
      </c>
      <c r="N40" s="150"/>
      <c r="O40" s="3"/>
    </row>
    <row r="41" spans="1:27" s="149" customFormat="1" ht="15" customHeight="1">
      <c r="A41" s="663"/>
      <c r="B41" s="667"/>
      <c r="C41" s="1351"/>
      <c r="D41" s="1344"/>
      <c r="E41" s="1337" t="s">
        <v>495</v>
      </c>
      <c r="F41" s="1338" cm="1">
        <f t="array" ref="F41:M41">_xlfn.ANCHORARRAY(F78)</f>
        <v>0</v>
      </c>
      <c r="G41" s="1338">
        <v>0</v>
      </c>
      <c r="H41" s="1338">
        <v>0</v>
      </c>
      <c r="I41" s="1338">
        <v>0</v>
      </c>
      <c r="J41" s="1338">
        <v>0</v>
      </c>
      <c r="K41" s="1338">
        <v>0</v>
      </c>
      <c r="L41" s="1338">
        <v>0</v>
      </c>
      <c r="M41" s="1338">
        <v>0</v>
      </c>
      <c r="N41" s="150"/>
      <c r="O41" s="3"/>
    </row>
    <row r="42" spans="1:27" s="149" customFormat="1" ht="15" customHeight="1">
      <c r="A42" s="663"/>
      <c r="B42" s="667"/>
      <c r="C42" s="1351"/>
      <c r="D42" s="1345"/>
      <c r="E42" s="159"/>
      <c r="F42" s="159"/>
      <c r="G42" s="159"/>
      <c r="H42" s="159"/>
      <c r="I42" s="159"/>
      <c r="J42" s="159"/>
      <c r="K42" s="159"/>
      <c r="L42" s="159"/>
      <c r="M42" s="159"/>
      <c r="N42" s="159"/>
      <c r="O42" s="131"/>
    </row>
    <row r="43" spans="1:27" s="149" customFormat="1" ht="15" customHeight="1">
      <c r="A43" s="663"/>
      <c r="B43" s="667"/>
      <c r="C43" s="1351"/>
      <c r="O43"/>
    </row>
    <row r="44" spans="1:27" s="149" customFormat="1" ht="15" customHeight="1">
      <c r="A44" s="663"/>
      <c r="B44" s="667"/>
      <c r="C44" s="1351"/>
      <c r="D44" s="2247" t="s">
        <v>1671</v>
      </c>
      <c r="E44" s="2248"/>
      <c r="F44" s="2249"/>
      <c r="G44" s="2249"/>
      <c r="H44" s="2249"/>
      <c r="I44" s="2249"/>
      <c r="J44" s="2249"/>
      <c r="K44" s="2249"/>
      <c r="L44" s="2249"/>
      <c r="M44" s="2249"/>
      <c r="N44" s="2249"/>
      <c r="O44" s="3"/>
    </row>
    <row r="45" spans="1:27" s="149" customFormat="1" ht="15" customHeight="1">
      <c r="A45" s="663"/>
      <c r="B45" s="667"/>
      <c r="D45" s="161"/>
      <c r="E45" s="161"/>
      <c r="F45" s="161"/>
      <c r="G45" s="161"/>
      <c r="H45" s="161"/>
      <c r="I45" s="161"/>
      <c r="J45" s="161"/>
      <c r="K45" s="161"/>
      <c r="L45" s="161"/>
      <c r="M45" s="161"/>
      <c r="N45" s="161"/>
    </row>
    <row r="46" spans="1:27" s="149" customFormat="1" ht="15" customHeight="1">
      <c r="A46" s="663"/>
      <c r="B46" s="667"/>
      <c r="C46" s="1350"/>
      <c r="D46" s="161"/>
      <c r="E46" s="160" t="s">
        <v>1671</v>
      </c>
      <c r="F46" s="161"/>
      <c r="G46" s="162"/>
      <c r="H46" s="161"/>
      <c r="I46" s="162"/>
      <c r="J46" s="161"/>
      <c r="K46" s="161"/>
      <c r="L46" s="161"/>
      <c r="M46" s="161"/>
      <c r="N46" s="161"/>
    </row>
    <row r="47" spans="1:27" s="149" customFormat="1" ht="15" customHeight="1">
      <c r="A47" s="663"/>
      <c r="B47" s="667"/>
      <c r="D47" s="161"/>
      <c r="E47" s="161"/>
      <c r="F47" s="162"/>
      <c r="G47" s="162"/>
      <c r="H47" s="162"/>
      <c r="I47" s="162"/>
      <c r="J47" s="162"/>
      <c r="K47" s="162"/>
      <c r="L47" s="162"/>
      <c r="M47" s="163" t="s">
        <v>2441</v>
      </c>
      <c r="N47" s="164"/>
    </row>
    <row r="48" spans="1:27" s="149" customFormat="1" ht="15" customHeight="1">
      <c r="A48" s="663"/>
      <c r="B48" s="667"/>
      <c r="D48" s="1346"/>
      <c r="E48" s="1311" t="s">
        <v>2430</v>
      </c>
      <c r="F48" s="165">
        <v>2018</v>
      </c>
      <c r="G48" s="165" t="s">
        <v>322</v>
      </c>
      <c r="H48" s="165" t="s">
        <v>323</v>
      </c>
      <c r="I48" s="165" t="s">
        <v>324</v>
      </c>
      <c r="J48" s="165" t="s">
        <v>325</v>
      </c>
      <c r="K48" s="165" t="s">
        <v>326</v>
      </c>
      <c r="L48" s="165" t="s">
        <v>327</v>
      </c>
      <c r="M48" s="165" t="s">
        <v>328</v>
      </c>
      <c r="N48" s="164"/>
    </row>
    <row r="49" spans="1:14" s="149" customFormat="1" ht="15" customHeight="1">
      <c r="A49" s="663"/>
      <c r="B49" s="667"/>
      <c r="D49" s="1346"/>
      <c r="E49" s="58" t="s">
        <v>694</v>
      </c>
      <c r="F49" s="1300" cm="1">
        <f t="array" ref="F49:M49">F86:M86</f>
        <v>0</v>
      </c>
      <c r="G49" s="1300">
        <v>0</v>
      </c>
      <c r="H49" s="1300">
        <v>0</v>
      </c>
      <c r="I49" s="1300">
        <v>0</v>
      </c>
      <c r="J49" s="1300">
        <v>0</v>
      </c>
      <c r="K49" s="1300">
        <v>0</v>
      </c>
      <c r="L49" s="1300">
        <v>0</v>
      </c>
      <c r="M49" s="1300">
        <v>0</v>
      </c>
      <c r="N49" s="164"/>
    </row>
    <row r="50" spans="1:14" s="149" customFormat="1" ht="15" customHeight="1">
      <c r="A50" s="663"/>
      <c r="B50" s="667"/>
      <c r="D50" s="1346"/>
      <c r="E50" s="58" t="s">
        <v>695</v>
      </c>
      <c r="F50" s="1301" cm="1">
        <f t="array" ref="F50:M50">F87:M87</f>
        <v>0</v>
      </c>
      <c r="G50" s="1301">
        <v>0</v>
      </c>
      <c r="H50" s="1301">
        <v>0</v>
      </c>
      <c r="I50" s="1301">
        <v>0</v>
      </c>
      <c r="J50" s="1301">
        <v>0</v>
      </c>
      <c r="K50" s="1301">
        <v>0</v>
      </c>
      <c r="L50" s="1301">
        <v>0</v>
      </c>
      <c r="M50" s="1301">
        <v>0</v>
      </c>
      <c r="N50" s="164"/>
    </row>
    <row r="51" spans="1:14" s="149" customFormat="1" ht="15" customHeight="1">
      <c r="A51" s="663"/>
      <c r="B51" s="667"/>
      <c r="D51" s="1346"/>
      <c r="E51" s="1232" t="s">
        <v>1616</v>
      </c>
      <c r="F51" s="1301" cm="1">
        <f t="array" ref="F51:M51">F88:M88</f>
        <v>0</v>
      </c>
      <c r="G51" s="1301">
        <v>0</v>
      </c>
      <c r="H51" s="1301">
        <v>0</v>
      </c>
      <c r="I51" s="1301">
        <v>0</v>
      </c>
      <c r="J51" s="1301">
        <v>0</v>
      </c>
      <c r="K51" s="1301">
        <v>0</v>
      </c>
      <c r="L51" s="1301">
        <v>0</v>
      </c>
      <c r="M51" s="1301">
        <v>0</v>
      </c>
      <c r="N51" s="164"/>
    </row>
    <row r="52" spans="1:14" s="149" customFormat="1" ht="15" customHeight="1">
      <c r="A52" s="663"/>
      <c r="B52" s="667"/>
      <c r="D52" s="1346"/>
      <c r="E52" s="1145" t="s">
        <v>1990</v>
      </c>
      <c r="F52" s="1302" cm="1">
        <f t="array" ref="F52:M52">F89:M89</f>
        <v>0</v>
      </c>
      <c r="G52" s="1302">
        <v>0</v>
      </c>
      <c r="H52" s="1302">
        <v>0</v>
      </c>
      <c r="I52" s="1302">
        <v>0</v>
      </c>
      <c r="J52" s="1302">
        <v>0</v>
      </c>
      <c r="K52" s="1302">
        <v>0</v>
      </c>
      <c r="L52" s="1302">
        <v>0</v>
      </c>
      <c r="M52" s="1302">
        <v>0</v>
      </c>
      <c r="N52" s="164"/>
    </row>
    <row r="53" spans="1:14" s="149" customFormat="1" ht="15" customHeight="1">
      <c r="A53" s="663"/>
      <c r="B53" s="667"/>
      <c r="D53" s="1346"/>
      <c r="E53" s="161"/>
      <c r="F53" s="161"/>
      <c r="G53" s="161"/>
      <c r="H53" s="161"/>
      <c r="I53" s="161"/>
      <c r="J53" s="161"/>
      <c r="K53" s="161"/>
      <c r="L53" s="161"/>
      <c r="M53" s="161"/>
      <c r="N53" s="161"/>
    </row>
    <row r="54" spans="1:14" s="149" customFormat="1" ht="15" customHeight="1">
      <c r="A54" s="663"/>
      <c r="B54" s="667"/>
    </row>
    <row r="55" spans="1:14" s="149" customFormat="1" ht="15" customHeight="1">
      <c r="A55" s="663"/>
      <c r="B55" s="667"/>
      <c r="D55" s="1347" t="s">
        <v>797</v>
      </c>
      <c r="E55" s="166"/>
      <c r="F55" s="166"/>
      <c r="G55" s="166"/>
      <c r="H55" s="166"/>
      <c r="I55" s="166"/>
      <c r="J55" s="166"/>
      <c r="K55" s="166"/>
      <c r="L55" s="166"/>
      <c r="M55" s="166"/>
      <c r="N55" s="166"/>
    </row>
    <row r="56" spans="1:14" s="149" customFormat="1" ht="15" customHeight="1">
      <c r="A56" s="663"/>
      <c r="B56" s="667"/>
      <c r="D56" s="167"/>
      <c r="E56" s="167"/>
      <c r="F56" s="167"/>
      <c r="G56" s="167"/>
      <c r="H56" s="167"/>
      <c r="I56" s="167"/>
      <c r="J56" s="167"/>
      <c r="K56" s="167"/>
      <c r="L56" s="167"/>
      <c r="M56" s="167"/>
      <c r="N56" s="167"/>
    </row>
    <row r="57" spans="1:14" s="149" customFormat="1" ht="15" customHeight="1">
      <c r="A57" s="663"/>
      <c r="B57" s="667"/>
      <c r="D57" s="167"/>
      <c r="E57" s="168" t="s">
        <v>797</v>
      </c>
      <c r="F57" s="167"/>
      <c r="G57" s="167"/>
      <c r="H57" s="167"/>
      <c r="I57" s="167"/>
      <c r="J57" s="167"/>
      <c r="K57" s="167"/>
      <c r="L57" s="167"/>
      <c r="M57" s="167"/>
      <c r="N57" s="167"/>
    </row>
    <row r="58" spans="1:14" s="149" customFormat="1" ht="15" customHeight="1">
      <c r="A58" s="663"/>
      <c r="B58" s="667"/>
      <c r="D58" s="167"/>
      <c r="E58" s="167"/>
      <c r="F58" s="167"/>
      <c r="G58" s="167"/>
      <c r="H58" s="167"/>
      <c r="I58" s="167"/>
      <c r="J58" s="167"/>
      <c r="K58" s="167"/>
      <c r="L58" s="167"/>
      <c r="M58" s="169" t="s">
        <v>803</v>
      </c>
      <c r="N58" s="167"/>
    </row>
    <row r="59" spans="1:14" s="149" customFormat="1" ht="15" customHeight="1">
      <c r="A59" s="663"/>
      <c r="B59" s="667"/>
      <c r="D59" s="1348"/>
      <c r="E59" s="170" t="s">
        <v>699</v>
      </c>
      <c r="F59" s="171">
        <v>2018</v>
      </c>
      <c r="G59" s="171" t="s">
        <v>322</v>
      </c>
      <c r="H59" s="171" t="s">
        <v>323</v>
      </c>
      <c r="I59" s="171" t="s">
        <v>324</v>
      </c>
      <c r="J59" s="171" t="s">
        <v>325</v>
      </c>
      <c r="K59" s="171" t="s">
        <v>326</v>
      </c>
      <c r="L59" s="171" t="s">
        <v>327</v>
      </c>
      <c r="M59" s="171" t="s">
        <v>328</v>
      </c>
      <c r="N59" s="167"/>
    </row>
    <row r="60" spans="1:14" s="149" customFormat="1" ht="15" customHeight="1">
      <c r="A60" s="663"/>
      <c r="B60" s="667"/>
      <c r="D60" s="1348"/>
      <c r="E60" s="172"/>
      <c r="F60" s="173"/>
      <c r="G60" s="173"/>
      <c r="H60" s="173"/>
      <c r="I60" s="173"/>
      <c r="J60" s="173"/>
      <c r="K60" s="173"/>
      <c r="L60" s="173"/>
      <c r="M60" s="173"/>
      <c r="N60" s="167"/>
    </row>
    <row r="61" spans="1:14" s="149" customFormat="1" ht="15" customHeight="1">
      <c r="A61" s="663"/>
      <c r="B61" s="667"/>
      <c r="D61" s="1348"/>
      <c r="E61" s="174"/>
      <c r="F61" s="175"/>
      <c r="G61" s="175"/>
      <c r="H61" s="175"/>
      <c r="I61" s="175"/>
      <c r="J61" s="175"/>
      <c r="K61" s="175"/>
      <c r="L61" s="175"/>
      <c r="M61" s="175"/>
      <c r="N61" s="167"/>
    </row>
    <row r="62" spans="1:14" s="149" customFormat="1" ht="15" customHeight="1">
      <c r="A62" s="663"/>
      <c r="B62" s="667"/>
      <c r="D62" s="1348"/>
      <c r="E62" s="174"/>
      <c r="F62" s="175"/>
      <c r="G62" s="175"/>
      <c r="H62" s="175"/>
      <c r="I62" s="175"/>
      <c r="J62" s="175"/>
      <c r="K62" s="175"/>
      <c r="L62" s="175"/>
      <c r="M62" s="175"/>
      <c r="N62" s="167"/>
    </row>
    <row r="63" spans="1:14" s="149" customFormat="1" ht="15" customHeight="1">
      <c r="A63" s="663"/>
      <c r="B63" s="667"/>
      <c r="D63" s="1348"/>
      <c r="E63" s="174"/>
      <c r="F63" s="175"/>
      <c r="G63" s="175"/>
      <c r="H63" s="175"/>
      <c r="I63" s="175"/>
      <c r="J63" s="175"/>
      <c r="K63" s="175"/>
      <c r="L63" s="175"/>
      <c r="M63" s="175"/>
      <c r="N63" s="167"/>
    </row>
    <row r="64" spans="1:14" s="149" customFormat="1" ht="15" customHeight="1">
      <c r="A64" s="663"/>
      <c r="B64" s="667"/>
      <c r="D64" s="1348"/>
      <c r="E64" s="174"/>
      <c r="F64" s="175"/>
      <c r="G64" s="175"/>
      <c r="H64" s="175"/>
      <c r="I64" s="175"/>
      <c r="J64" s="175"/>
      <c r="K64" s="175"/>
      <c r="L64" s="175"/>
      <c r="M64" s="175"/>
      <c r="N64" s="167"/>
    </row>
    <row r="65" spans="1:15" s="149" customFormat="1" ht="15" customHeight="1">
      <c r="A65" s="663"/>
      <c r="B65" s="667"/>
      <c r="D65" s="1348"/>
      <c r="E65" s="176"/>
      <c r="F65" s="177"/>
      <c r="G65" s="177"/>
      <c r="H65" s="177"/>
      <c r="I65" s="177"/>
      <c r="J65" s="177"/>
      <c r="K65" s="177"/>
      <c r="L65" s="177"/>
      <c r="M65" s="177"/>
      <c r="N65" s="167"/>
    </row>
    <row r="66" spans="1:15" s="149" customFormat="1" ht="15" customHeight="1">
      <c r="A66" s="663"/>
      <c r="B66" s="667"/>
      <c r="D66" s="1349"/>
      <c r="E66" s="178"/>
      <c r="F66" s="178"/>
      <c r="G66" s="178"/>
      <c r="H66" s="178"/>
      <c r="I66" s="178"/>
      <c r="J66" s="178"/>
      <c r="K66" s="178"/>
      <c r="L66" s="178"/>
      <c r="M66" s="178"/>
      <c r="N66" s="178"/>
    </row>
    <row r="67" spans="1:15" s="149" customFormat="1" ht="15" customHeight="1">
      <c r="A67" s="663"/>
      <c r="B67" s="667"/>
      <c r="D67" s="3"/>
      <c r="E67" s="3"/>
      <c r="F67" s="3"/>
      <c r="G67" s="3"/>
      <c r="H67" s="3"/>
      <c r="I67" s="3"/>
      <c r="J67" s="3"/>
      <c r="K67" s="3"/>
      <c r="L67" s="3"/>
      <c r="M67" s="3"/>
      <c r="N67" s="3"/>
    </row>
    <row r="68" spans="1:15" s="149" customFormat="1" ht="15" customHeight="1">
      <c r="A68" s="663"/>
      <c r="B68" s="667"/>
      <c r="D68" s="3"/>
      <c r="E68" s="3"/>
      <c r="F68" s="3"/>
      <c r="G68" s="3"/>
      <c r="H68" s="3"/>
      <c r="I68" s="3"/>
      <c r="J68" s="3"/>
      <c r="K68" s="3"/>
      <c r="L68" s="3"/>
      <c r="M68" s="3"/>
      <c r="N68" s="3"/>
    </row>
    <row r="69" spans="1:15" ht="15" customHeight="1">
      <c r="D69" s="2" t="s">
        <v>1893</v>
      </c>
      <c r="O69" s="149"/>
    </row>
    <row r="70" spans="1:15" ht="15" customHeight="1">
      <c r="D70" s="3">
        <v>1</v>
      </c>
      <c r="E70" s="3" t="s">
        <v>2424</v>
      </c>
      <c r="O70" s="149"/>
    </row>
    <row r="71" spans="1:15" ht="15" customHeight="1">
      <c r="D71" s="3">
        <v>2</v>
      </c>
      <c r="E71" s="3" t="s">
        <v>2425</v>
      </c>
    </row>
    <row r="72" spans="1:15" ht="15" customHeight="1">
      <c r="D72" s="3">
        <v>3</v>
      </c>
      <c r="E72" s="3" t="s">
        <v>2197</v>
      </c>
    </row>
    <row r="74" spans="1:15" ht="15" customHeight="1">
      <c r="D74" s="2" t="s">
        <v>2426</v>
      </c>
    </row>
    <row r="76" spans="1:15" ht="15" customHeight="1">
      <c r="C76" s="554" t="s">
        <v>2427</v>
      </c>
      <c r="M76" s="554" t="s">
        <v>9</v>
      </c>
    </row>
    <row r="77" spans="1:15" ht="15" customHeight="1">
      <c r="D77" s="2"/>
      <c r="E77" s="611" t="s">
        <v>2092</v>
      </c>
      <c r="F77" s="611">
        <v>2018</v>
      </c>
      <c r="G77" s="611">
        <v>2020</v>
      </c>
      <c r="H77" s="611">
        <v>2025</v>
      </c>
      <c r="I77" s="611">
        <v>2030</v>
      </c>
      <c r="J77" s="611">
        <v>2035</v>
      </c>
      <c r="K77" s="611">
        <v>2040</v>
      </c>
      <c r="L77" s="611">
        <v>2045</v>
      </c>
      <c r="M77" s="611">
        <v>2050</v>
      </c>
      <c r="N77" s="2"/>
    </row>
    <row r="78" spans="1:15" ht="15" customHeight="1">
      <c r="E78" s="561" t="s">
        <v>526</v>
      </c>
      <c r="F78" s="561" cm="1">
        <f t="array" ref="F78:M78">INDEX(ST_COMBUSTIBLE_NAVEGACION,1,0)</f>
        <v>0</v>
      </c>
      <c r="G78" s="561">
        <v>0</v>
      </c>
      <c r="H78" s="561">
        <v>0</v>
      </c>
      <c r="I78" s="561">
        <v>0</v>
      </c>
      <c r="J78" s="561">
        <v>0</v>
      </c>
      <c r="K78" s="561">
        <v>0</v>
      </c>
      <c r="L78" s="561">
        <v>0</v>
      </c>
      <c r="M78" s="561">
        <v>0</v>
      </c>
    </row>
    <row r="79" spans="1:15" s="2" customFormat="1" ht="15" customHeight="1">
      <c r="A79" s="663"/>
      <c r="B79" s="667"/>
      <c r="D79" s="3"/>
      <c r="E79" s="3"/>
      <c r="F79" s="3"/>
      <c r="G79" s="3"/>
      <c r="H79" s="3"/>
      <c r="I79" s="3"/>
      <c r="J79" s="3"/>
      <c r="K79" s="3"/>
      <c r="L79" s="3"/>
      <c r="M79" s="3"/>
      <c r="N79" s="3"/>
    </row>
    <row r="83" spans="3:13" ht="15" customHeight="1">
      <c r="D83" s="2" t="s">
        <v>2428</v>
      </c>
      <c r="E83" s="554"/>
    </row>
    <row r="84" spans="3:13" ht="15" customHeight="1">
      <c r="D84" s="2"/>
      <c r="E84" s="554"/>
      <c r="M84" s="554" t="s">
        <v>29</v>
      </c>
    </row>
    <row r="85" spans="3:13" ht="15" customHeight="1">
      <c r="C85" s="554"/>
      <c r="E85" s="611" t="s">
        <v>2430</v>
      </c>
      <c r="F85" s="611">
        <v>2018</v>
      </c>
      <c r="G85" s="611">
        <v>2020</v>
      </c>
      <c r="H85" s="611">
        <v>2025</v>
      </c>
      <c r="I85" s="611">
        <v>2030</v>
      </c>
      <c r="J85" s="611">
        <v>2035</v>
      </c>
      <c r="K85" s="611">
        <v>2040</v>
      </c>
      <c r="L85" s="611">
        <v>2045</v>
      </c>
      <c r="M85" s="611">
        <v>2050</v>
      </c>
    </row>
    <row r="86" spans="3:13" ht="15" customHeight="1">
      <c r="C86" s="554"/>
      <c r="E86" s="1307" t="s">
        <v>694</v>
      </c>
      <c r="F86" s="1308" cm="1">
        <f t="array" ref="F86:M86">_xlfn.ANCHORARRAY(F78)*UNIDAD_TWH_A_TJ*FE_TRANSPORTE_MARITIMO_FLUVIAL_CO2_DIESEL*UNIDAD_KG_A_MT</f>
        <v>0</v>
      </c>
      <c r="G86" s="1308">
        <v>0</v>
      </c>
      <c r="H86" s="1308">
        <v>0</v>
      </c>
      <c r="I86" s="1308">
        <v>0</v>
      </c>
      <c r="J86" s="1308">
        <v>0</v>
      </c>
      <c r="K86" s="1308">
        <v>0</v>
      </c>
      <c r="L86" s="1308">
        <v>0</v>
      </c>
      <c r="M86" s="1308">
        <v>0</v>
      </c>
    </row>
    <row r="87" spans="3:13" ht="15" customHeight="1">
      <c r="E87" s="3" t="s">
        <v>695</v>
      </c>
      <c r="F87" s="1309" cm="1">
        <f t="array" ref="F87:M87">_xlfn.ANCHORARRAY(F78)*UNIDAD_TWH_A_TJ*FE_TRANSPORTE_MARITIMO_FLUVIAL_CH4_DIESEL*UNIDAD_KG_A_MT</f>
        <v>0</v>
      </c>
      <c r="G87" s="1309">
        <v>0</v>
      </c>
      <c r="H87" s="1309">
        <v>0</v>
      </c>
      <c r="I87" s="1309">
        <v>0</v>
      </c>
      <c r="J87" s="1309">
        <v>0</v>
      </c>
      <c r="K87" s="1309">
        <v>0</v>
      </c>
      <c r="L87" s="1309">
        <v>0</v>
      </c>
      <c r="M87" s="1309">
        <v>0</v>
      </c>
    </row>
    <row r="88" spans="3:13" ht="15" customHeight="1">
      <c r="E88" s="958" t="s">
        <v>1616</v>
      </c>
      <c r="F88" s="1310" cm="1">
        <f t="array" ref="F88:M88">_xlfn.ANCHORARRAY(F78)*UNIDAD_TWH_A_TJ*FE_TRANSPORTE_MARITIMO_FLUVIAL_N2O_DIESEL*UNIDAD_KG_A_MT</f>
        <v>0</v>
      </c>
      <c r="G88" s="1310">
        <v>0</v>
      </c>
      <c r="H88" s="1310">
        <v>0</v>
      </c>
      <c r="I88" s="1310">
        <v>0</v>
      </c>
      <c r="J88" s="1310">
        <v>0</v>
      </c>
      <c r="K88" s="1310">
        <v>0</v>
      </c>
      <c r="L88" s="1310">
        <v>0</v>
      </c>
      <c r="M88" s="1310">
        <v>0</v>
      </c>
    </row>
    <row r="89" spans="3:13" ht="15" customHeight="1">
      <c r="E89" s="551" t="s">
        <v>1990</v>
      </c>
      <c r="F89" s="561" cm="1">
        <f t="array" ref="F89:M89">_xlfn.ANCHORARRAY(F86)*PCG_CO2+_xlfn.ANCHORARRAY(F87)*PCG_CH4+_xlfn.ANCHORARRAY(F88)*PCG_N2O</f>
        <v>0</v>
      </c>
      <c r="G89" s="561">
        <v>0</v>
      </c>
      <c r="H89" s="561">
        <v>0</v>
      </c>
      <c r="I89" s="561">
        <v>0</v>
      </c>
      <c r="J89" s="561">
        <v>0</v>
      </c>
      <c r="K89" s="561">
        <v>0</v>
      </c>
      <c r="L89" s="561">
        <v>0</v>
      </c>
      <c r="M89" s="561">
        <v>0</v>
      </c>
    </row>
    <row r="93" spans="3:13" ht="15" customHeight="1">
      <c r="D93" s="2" t="s">
        <v>2429</v>
      </c>
    </row>
    <row r="94" spans="3:13" ht="15" customHeight="1">
      <c r="M94" s="554" t="s">
        <v>9</v>
      </c>
    </row>
    <row r="95" spans="3:13" ht="15" customHeight="1">
      <c r="E95" s="611" t="s">
        <v>2430</v>
      </c>
      <c r="F95" s="611">
        <v>2018</v>
      </c>
      <c r="G95" s="611">
        <v>2020</v>
      </c>
      <c r="H95" s="611">
        <v>2025</v>
      </c>
      <c r="I95" s="611">
        <v>2030</v>
      </c>
      <c r="J95" s="611">
        <v>2035</v>
      </c>
      <c r="K95" s="611">
        <v>2040</v>
      </c>
      <c r="L95" s="611">
        <v>2045</v>
      </c>
      <c r="M95" s="611">
        <v>2050</v>
      </c>
    </row>
    <row r="96" spans="3:13" ht="15" customHeight="1">
      <c r="E96" s="3" t="s">
        <v>2431</v>
      </c>
    </row>
    <row r="97" spans="5:13" ht="15" customHeight="1">
      <c r="E97" s="3" t="s">
        <v>2432</v>
      </c>
    </row>
    <row r="98" spans="5:13" ht="15" customHeight="1">
      <c r="E98" s="3" t="s">
        <v>2433</v>
      </c>
    </row>
    <row r="99" spans="5:13" ht="15" customHeight="1">
      <c r="M99" s="554" t="s">
        <v>1716</v>
      </c>
    </row>
    <row r="100" spans="5:13" ht="15" customHeight="1">
      <c r="E100" s="611" t="s">
        <v>2430</v>
      </c>
      <c r="F100" s="611">
        <v>2018</v>
      </c>
      <c r="G100" s="611">
        <v>2020</v>
      </c>
      <c r="H100" s="611">
        <v>2025</v>
      </c>
      <c r="I100" s="611">
        <v>2030</v>
      </c>
      <c r="J100" s="611">
        <v>2035</v>
      </c>
      <c r="K100" s="611">
        <v>2040</v>
      </c>
      <c r="L100" s="611">
        <v>2045</v>
      </c>
      <c r="M100" s="611">
        <v>2050</v>
      </c>
    </row>
    <row r="101" spans="5:13" ht="15" customHeight="1">
      <c r="E101" s="3" t="s">
        <v>2434</v>
      </c>
    </row>
    <row r="102" spans="5:13" ht="15" customHeight="1">
      <c r="E102" s="3" t="s">
        <v>2435</v>
      </c>
    </row>
    <row r="103" spans="5:13" ht="15" customHeight="1">
      <c r="M103" s="554" t="s">
        <v>803</v>
      </c>
    </row>
    <row r="104" spans="5:13" ht="15" customHeight="1">
      <c r="E104" s="611" t="s">
        <v>2430</v>
      </c>
      <c r="F104" s="611">
        <v>2018</v>
      </c>
      <c r="G104" s="611">
        <v>2020</v>
      </c>
      <c r="H104" s="611">
        <v>2025</v>
      </c>
      <c r="I104" s="611">
        <v>2030</v>
      </c>
      <c r="J104" s="611">
        <v>2035</v>
      </c>
      <c r="K104" s="611">
        <v>2040</v>
      </c>
      <c r="L104" s="611">
        <v>2045</v>
      </c>
      <c r="M104" s="611">
        <v>2050</v>
      </c>
    </row>
    <row r="105" spans="5:13" ht="15" customHeight="1">
      <c r="E105" s="3" t="s">
        <v>2436</v>
      </c>
    </row>
    <row r="106" spans="5:13" ht="15" customHeight="1">
      <c r="E106" s="3" t="s">
        <v>2437</v>
      </c>
    </row>
    <row r="107" spans="5:13" ht="15" customHeight="1">
      <c r="E107" s="3" t="s">
        <v>2438</v>
      </c>
    </row>
  </sheetData>
  <sheetProtection algorithmName="SHA-512" hashValue="BotIvyL7zgZopdAyfO6AFy5ZNaYGFS0CrwPzFg4BfFFK6jsl5QNKfjnz3qH+QkD0Vph1B7LQXvzaKycXIVpMhA==" saltValue="gV5mCfWqcXQohNap+CJyzQ==" spinCount="100000" sheet="1" objects="1" scenarios="1"/>
  <mergeCells count="2">
    <mergeCell ref="M7:M8"/>
    <mergeCell ref="E7:G8"/>
  </mergeCells>
  <dataValidations count="1">
    <dataValidation type="whole" allowBlank="1" showErrorMessage="1" errorTitle="ERROR" error="El valor de trayectoria introducido no es valido. Las trayectorias estan comprendidas entre los valores 1 y 4." sqref="M7" xr:uid="{1DB71B8E-DFD5-4D17-8A3C-B64484A1CB27}">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4033" r:id="rId5" name="Spinner 1">
              <controlPr defaultSize="0" autoPict="0">
                <anchor moveWithCells="1" sizeWithCells="1">
                  <from>
                    <xdr:col>13</xdr:col>
                    <xdr:colOff>28575</xdr:colOff>
                    <xdr:row>6</xdr:row>
                    <xdr:rowOff>38100</xdr:rowOff>
                  </from>
                  <to>
                    <xdr:col>13</xdr:col>
                    <xdr:colOff>219075</xdr:colOff>
                    <xdr:row>7</xdr:row>
                    <xdr:rowOff>142875</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C0235-7EC3-43D7-9E7F-FA0429CA2F5C}">
  <sheetPr codeName="Hoja22"/>
  <dimension ref="A1:P548"/>
  <sheetViews>
    <sheetView showGridLines="0" zoomScale="80" zoomScaleNormal="80" workbookViewId="0">
      <selection activeCell="E396" sqref="E396"/>
    </sheetView>
  </sheetViews>
  <sheetFormatPr baseColWidth="10" defaultColWidth="11.42578125" defaultRowHeight="15"/>
  <cols>
    <col min="1" max="1" width="20.7109375" style="663" customWidth="1"/>
    <col min="2" max="2" width="7.7109375" customWidth="1"/>
    <col min="3" max="3" width="5.7109375" customWidth="1"/>
    <col min="4" max="4" width="53.28515625" customWidth="1"/>
    <col min="5" max="5" width="26.42578125" bestFit="1" customWidth="1"/>
    <col min="6" max="10" width="14.140625" bestFit="1" customWidth="1"/>
    <col min="11" max="12" width="14.28515625" bestFit="1" customWidth="1"/>
    <col min="13" max="13" width="5.7109375" customWidth="1"/>
    <col min="15" max="15" width="11.85546875" bestFit="1" customWidth="1"/>
  </cols>
  <sheetData>
    <row r="1" spans="1:14" ht="15" customHeight="1"/>
    <row r="2" spans="1:14" ht="15" customHeight="1"/>
    <row r="3" spans="1:14" ht="15" customHeight="1"/>
    <row r="4" spans="1:14" ht="15" customHeight="1">
      <c r="C4" s="8" t="s">
        <v>1622</v>
      </c>
      <c r="D4" s="5"/>
      <c r="E4" s="5"/>
      <c r="F4" s="5"/>
      <c r="G4" s="5"/>
      <c r="H4" s="5"/>
      <c r="I4" s="5"/>
      <c r="J4" s="5"/>
      <c r="K4" s="5"/>
      <c r="L4" s="5"/>
      <c r="M4" s="5"/>
    </row>
    <row r="5" spans="1:14" ht="15" customHeight="1">
      <c r="A5" s="1559"/>
      <c r="C5" s="6"/>
      <c r="D5" s="6"/>
      <c r="E5" s="6"/>
      <c r="F5" s="6"/>
      <c r="G5" s="6"/>
      <c r="H5" s="6"/>
      <c r="I5" s="6"/>
      <c r="J5" s="6"/>
      <c r="K5" s="6"/>
      <c r="L5" s="6"/>
      <c r="M5" s="6"/>
    </row>
    <row r="6" spans="1:14" ht="15" customHeight="1">
      <c r="C6" s="6"/>
      <c r="D6" s="126" t="s">
        <v>1623</v>
      </c>
      <c r="E6" s="127"/>
      <c r="F6" s="127"/>
      <c r="G6" s="127"/>
      <c r="H6" s="127"/>
      <c r="I6" s="127"/>
      <c r="J6" s="127"/>
      <c r="K6" s="127"/>
      <c r="L6" s="128" t="s">
        <v>879</v>
      </c>
      <c r="M6" s="6"/>
    </row>
    <row r="7" spans="1:14" ht="15" customHeight="1">
      <c r="C7" s="6"/>
      <c r="D7" s="3939" t="s">
        <v>108</v>
      </c>
      <c r="E7" s="2757"/>
      <c r="F7" s="2757"/>
      <c r="G7" s="2757"/>
      <c r="H7" s="2757"/>
      <c r="I7" s="2757"/>
      <c r="J7" s="2757"/>
      <c r="K7" s="2757"/>
      <c r="L7" s="3930">
        <f>TRAYECTORIA_MEJORES_PRACTICAS_AGRICOLAS</f>
        <v>1</v>
      </c>
      <c r="M7" s="50"/>
      <c r="N7" s="1035"/>
    </row>
    <row r="8" spans="1:14" ht="15" customHeight="1">
      <c r="C8" s="6"/>
      <c r="D8" s="3918"/>
      <c r="E8" s="2758"/>
      <c r="F8" s="2758"/>
      <c r="G8" s="2758"/>
      <c r="H8" s="2758"/>
      <c r="I8" s="2758"/>
      <c r="J8" s="2758"/>
      <c r="K8" s="2758"/>
      <c r="L8" s="3914"/>
      <c r="M8" s="50"/>
    </row>
    <row r="9" spans="1:14" ht="15" customHeight="1">
      <c r="C9" s="6"/>
      <c r="D9" s="3937" t="s">
        <v>110</v>
      </c>
      <c r="E9" s="2922"/>
      <c r="F9" s="2922"/>
      <c r="G9" s="2922"/>
      <c r="H9" s="2922"/>
      <c r="I9" s="2922"/>
      <c r="J9" s="2922"/>
      <c r="K9" s="2922"/>
      <c r="L9" s="3940">
        <f>TRAYECTORIA_AGRICULTURA_PRODUCCION_DE_BIOMASA</f>
        <v>1</v>
      </c>
      <c r="M9" s="50"/>
    </row>
    <row r="10" spans="1:14" ht="15" customHeight="1">
      <c r="C10" s="6"/>
      <c r="D10" s="3938"/>
      <c r="E10" s="2923"/>
      <c r="F10" s="2923"/>
      <c r="G10" s="2923"/>
      <c r="H10" s="2923"/>
      <c r="I10" s="2923"/>
      <c r="J10" s="2923"/>
      <c r="K10" s="2923"/>
      <c r="L10" s="3941"/>
      <c r="M10" s="50"/>
    </row>
    <row r="11" spans="1:14" ht="15" customHeight="1">
      <c r="C11" s="6"/>
      <c r="D11" s="3918" t="s">
        <v>111</v>
      </c>
      <c r="E11" s="2758"/>
      <c r="F11" s="2758"/>
      <c r="G11" s="2758"/>
      <c r="H11" s="2758"/>
      <c r="I11" s="2758"/>
      <c r="J11" s="2758"/>
      <c r="K11" s="2758"/>
      <c r="L11" s="3914">
        <f>TRAYECTORIA_AGRICULTURA_TIERRA_DEDICADA_BIOCOMBUSTIBLES</f>
        <v>1</v>
      </c>
      <c r="M11" s="50"/>
    </row>
    <row r="12" spans="1:14" ht="15" customHeight="1">
      <c r="C12" s="6"/>
      <c r="D12" s="3919"/>
      <c r="E12" s="2924"/>
      <c r="F12" s="2924"/>
      <c r="G12" s="2924"/>
      <c r="H12" s="2924"/>
      <c r="I12" s="2924"/>
      <c r="J12" s="2924"/>
      <c r="K12" s="2924"/>
      <c r="L12" s="3915"/>
      <c r="M12" s="50"/>
    </row>
    <row r="13" spans="1:14" ht="15" customHeight="1">
      <c r="C13" s="6"/>
      <c r="D13" s="6"/>
      <c r="E13" s="6"/>
      <c r="F13" s="6"/>
      <c r="G13" s="6"/>
      <c r="H13" s="6"/>
      <c r="I13" s="6"/>
      <c r="J13" s="6"/>
      <c r="K13" s="6"/>
      <c r="L13" s="6"/>
      <c r="M13" s="6"/>
    </row>
    <row r="14" spans="1:14" ht="15" customHeight="1"/>
    <row r="15" spans="1:14" ht="15" customHeight="1">
      <c r="C15" s="335" t="s">
        <v>1190</v>
      </c>
      <c r="D15" s="336"/>
      <c r="E15" s="336"/>
      <c r="F15" s="336"/>
      <c r="G15" s="336"/>
      <c r="H15" s="336"/>
      <c r="I15" s="336"/>
      <c r="J15" s="336"/>
      <c r="K15" s="336"/>
      <c r="L15" s="336"/>
      <c r="M15" s="336"/>
    </row>
    <row r="16" spans="1:14" ht="15" customHeight="1">
      <c r="C16" s="11"/>
      <c r="D16" s="12"/>
      <c r="E16" s="12"/>
      <c r="F16" s="12"/>
      <c r="G16" s="12"/>
      <c r="H16" s="12"/>
      <c r="I16" s="12"/>
      <c r="J16" s="12"/>
      <c r="K16" s="12"/>
      <c r="L16" s="12"/>
      <c r="M16" s="12"/>
    </row>
    <row r="17" spans="3:13" ht="15" customHeight="1">
      <c r="C17" s="11"/>
      <c r="D17" s="245" t="s">
        <v>2442</v>
      </c>
      <c r="E17" s="245"/>
      <c r="F17" s="245"/>
      <c r="G17" s="245"/>
      <c r="H17" s="245"/>
      <c r="I17" s="245"/>
      <c r="J17" s="245"/>
      <c r="K17" s="245"/>
      <c r="L17" s="245"/>
      <c r="M17" s="12"/>
    </row>
    <row r="18" spans="3:13" ht="15" customHeight="1">
      <c r="C18" s="11"/>
      <c r="D18" s="96"/>
      <c r="E18" s="12"/>
      <c r="F18" s="12"/>
      <c r="G18" s="12"/>
      <c r="H18" s="12"/>
      <c r="I18" s="12"/>
      <c r="J18" s="12"/>
      <c r="K18" s="12"/>
      <c r="L18" s="12"/>
      <c r="M18" s="12"/>
    </row>
    <row r="19" spans="3:13" ht="15" customHeight="1">
      <c r="C19" s="244"/>
      <c r="D19" s="1152" t="s">
        <v>1619</v>
      </c>
      <c r="E19" s="133"/>
      <c r="F19" s="133"/>
      <c r="G19" s="133"/>
      <c r="H19" s="133"/>
      <c r="I19" s="133"/>
      <c r="J19" s="133"/>
      <c r="K19" s="133"/>
      <c r="L19" s="2143" t="s">
        <v>788</v>
      </c>
      <c r="M19" s="251"/>
    </row>
    <row r="20" spans="3:13" ht="15" customHeight="1">
      <c r="C20" s="253"/>
      <c r="D20" s="2144" t="s">
        <v>879</v>
      </c>
      <c r="E20" s="2172">
        <v>2018</v>
      </c>
      <c r="F20" s="2172">
        <v>2020</v>
      </c>
      <c r="G20" s="2172">
        <v>2025</v>
      </c>
      <c r="H20" s="2172">
        <v>2030</v>
      </c>
      <c r="I20" s="2172">
        <v>2035</v>
      </c>
      <c r="J20" s="2172">
        <v>2040</v>
      </c>
      <c r="K20" s="2172">
        <v>2045</v>
      </c>
      <c r="L20" s="2172">
        <v>2050</v>
      </c>
      <c r="M20" s="251"/>
    </row>
    <row r="21" spans="3:13" ht="15" customHeight="1">
      <c r="C21" s="253"/>
      <c r="D21" s="139">
        <v>1</v>
      </c>
      <c r="E21" s="2925">
        <v>0</v>
      </c>
      <c r="F21" s="2925">
        <v>0</v>
      </c>
      <c r="G21" s="2925">
        <v>0</v>
      </c>
      <c r="H21" s="2925">
        <v>0</v>
      </c>
      <c r="I21" s="2925">
        <v>0</v>
      </c>
      <c r="J21" s="2925">
        <v>0</v>
      </c>
      <c r="K21" s="2925">
        <v>0</v>
      </c>
      <c r="L21" s="2925">
        <v>0</v>
      </c>
      <c r="M21" s="251"/>
    </row>
    <row r="22" spans="3:13" ht="15" customHeight="1">
      <c r="C22" s="253"/>
      <c r="D22" s="139">
        <v>2</v>
      </c>
      <c r="E22" s="2925">
        <v>0</v>
      </c>
      <c r="F22" s="2925">
        <v>0.05</v>
      </c>
      <c r="G22" s="2925">
        <v>0.1</v>
      </c>
      <c r="H22" s="2925">
        <v>0.15</v>
      </c>
      <c r="I22" s="2925">
        <v>0.2</v>
      </c>
      <c r="J22" s="2925">
        <v>0.25</v>
      </c>
      <c r="K22" s="2925">
        <v>0.3</v>
      </c>
      <c r="L22" s="2925">
        <v>0.35</v>
      </c>
      <c r="M22" s="251"/>
    </row>
    <row r="23" spans="3:13" ht="15" customHeight="1">
      <c r="C23" s="253"/>
      <c r="D23" s="139">
        <v>3</v>
      </c>
      <c r="E23" s="2925">
        <v>0</v>
      </c>
      <c r="F23" s="2925">
        <v>0.06</v>
      </c>
      <c r="G23" s="2925">
        <v>0.12</v>
      </c>
      <c r="H23" s="2925">
        <v>0.18</v>
      </c>
      <c r="I23" s="2925">
        <v>0.24</v>
      </c>
      <c r="J23" s="2925">
        <v>0.3</v>
      </c>
      <c r="K23" s="2925">
        <v>0.36</v>
      </c>
      <c r="L23" s="2925">
        <v>0.42</v>
      </c>
      <c r="M23" s="251"/>
    </row>
    <row r="24" spans="3:13" ht="15" customHeight="1">
      <c r="C24" s="253"/>
      <c r="D24" s="142">
        <v>4</v>
      </c>
      <c r="E24" s="2926">
        <v>0</v>
      </c>
      <c r="F24" s="2926">
        <v>0.08</v>
      </c>
      <c r="G24" s="2926">
        <v>0.16</v>
      </c>
      <c r="H24" s="2926">
        <v>0.24</v>
      </c>
      <c r="I24" s="2926">
        <v>0.32</v>
      </c>
      <c r="J24" s="2926">
        <v>0.4</v>
      </c>
      <c r="K24" s="2926">
        <v>0.48</v>
      </c>
      <c r="L24" s="2926">
        <v>0.56000000000000005</v>
      </c>
      <c r="M24" s="251"/>
    </row>
    <row r="25" spans="3:13" ht="15" customHeight="1">
      <c r="C25" s="12"/>
      <c r="D25" s="12"/>
      <c r="E25" s="2927"/>
      <c r="F25" s="2927"/>
      <c r="G25" s="2927"/>
      <c r="H25" s="2927"/>
      <c r="I25" s="2927"/>
      <c r="J25" s="2927"/>
      <c r="K25" s="2927"/>
      <c r="L25" s="2927"/>
      <c r="M25" s="12"/>
    </row>
    <row r="26" spans="3:13" ht="15" customHeight="1">
      <c r="C26" s="12"/>
      <c r="D26" s="1152" t="s">
        <v>950</v>
      </c>
      <c r="E26" s="2928"/>
      <c r="F26" s="2928"/>
      <c r="G26" s="2928"/>
      <c r="H26" s="2928"/>
      <c r="I26" s="2928"/>
      <c r="J26" s="2928"/>
      <c r="K26" s="2928"/>
      <c r="L26" s="2929" t="s">
        <v>788</v>
      </c>
      <c r="M26" s="12"/>
    </row>
    <row r="27" spans="3:13" ht="15" customHeight="1">
      <c r="C27" s="12"/>
      <c r="D27" s="2144" t="s">
        <v>879</v>
      </c>
      <c r="E27" s="2172">
        <v>2018</v>
      </c>
      <c r="F27" s="2172">
        <v>2020</v>
      </c>
      <c r="G27" s="2172">
        <v>2025</v>
      </c>
      <c r="H27" s="2172">
        <v>2030</v>
      </c>
      <c r="I27" s="2172">
        <v>2035</v>
      </c>
      <c r="J27" s="2172">
        <v>2040</v>
      </c>
      <c r="K27" s="2172">
        <v>2045</v>
      </c>
      <c r="L27" s="2172">
        <v>2050</v>
      </c>
      <c r="M27" s="12"/>
    </row>
    <row r="28" spans="3:13" ht="15" customHeight="1">
      <c r="C28" s="12"/>
      <c r="D28" s="139">
        <v>1</v>
      </c>
      <c r="E28" s="2925">
        <v>0</v>
      </c>
      <c r="F28" s="2925">
        <v>0</v>
      </c>
      <c r="G28" s="2925">
        <v>0</v>
      </c>
      <c r="H28" s="2925">
        <v>0</v>
      </c>
      <c r="I28" s="2925">
        <v>0</v>
      </c>
      <c r="J28" s="2925">
        <v>0</v>
      </c>
      <c r="K28" s="2925">
        <v>0</v>
      </c>
      <c r="L28" s="2925">
        <v>0</v>
      </c>
      <c r="M28" s="12"/>
    </row>
    <row r="29" spans="3:13" ht="15" customHeight="1">
      <c r="C29" s="12"/>
      <c r="D29" s="139">
        <v>2</v>
      </c>
      <c r="E29" s="2925">
        <v>0</v>
      </c>
      <c r="F29" s="2925">
        <v>0.05</v>
      </c>
      <c r="G29" s="2925">
        <v>0.1</v>
      </c>
      <c r="H29" s="2925">
        <v>0.15</v>
      </c>
      <c r="I29" s="2925">
        <v>0.2</v>
      </c>
      <c r="J29" s="2925">
        <v>0.25</v>
      </c>
      <c r="K29" s="2925">
        <v>0.3</v>
      </c>
      <c r="L29" s="2925">
        <v>0.35</v>
      </c>
      <c r="M29" s="12"/>
    </row>
    <row r="30" spans="3:13" ht="15" customHeight="1">
      <c r="C30" s="12"/>
      <c r="D30" s="139">
        <v>3</v>
      </c>
      <c r="E30" s="2925">
        <v>0</v>
      </c>
      <c r="F30" s="2925">
        <v>0.06</v>
      </c>
      <c r="G30" s="2925">
        <v>0.12</v>
      </c>
      <c r="H30" s="2925">
        <v>0.18</v>
      </c>
      <c r="I30" s="2925">
        <v>0.24</v>
      </c>
      <c r="J30" s="2925">
        <v>0.3</v>
      </c>
      <c r="K30" s="2925">
        <v>0.36</v>
      </c>
      <c r="L30" s="2925">
        <v>0.42</v>
      </c>
      <c r="M30" s="12"/>
    </row>
    <row r="31" spans="3:13" ht="15" customHeight="1">
      <c r="C31" s="12"/>
      <c r="D31" s="142">
        <v>4</v>
      </c>
      <c r="E31" s="2926">
        <v>0</v>
      </c>
      <c r="F31" s="2926">
        <v>0.08</v>
      </c>
      <c r="G31" s="2926">
        <v>0.16</v>
      </c>
      <c r="H31" s="2926">
        <v>0.24</v>
      </c>
      <c r="I31" s="2926">
        <v>0.32</v>
      </c>
      <c r="J31" s="2926">
        <v>0.4</v>
      </c>
      <c r="K31" s="2926">
        <v>0.48</v>
      </c>
      <c r="L31" s="2926">
        <v>0.56000000000000005</v>
      </c>
      <c r="M31" s="12"/>
    </row>
    <row r="32" spans="3:13" ht="15" customHeight="1">
      <c r="C32" s="12"/>
      <c r="D32" s="12"/>
      <c r="E32" s="2930"/>
      <c r="F32" s="2930"/>
      <c r="G32" s="2930"/>
      <c r="H32" s="2930"/>
      <c r="I32" s="2930"/>
      <c r="J32" s="2930"/>
      <c r="K32" s="2930"/>
      <c r="L32" s="2930"/>
      <c r="M32" s="12"/>
    </row>
    <row r="33" spans="3:13">
      <c r="C33" s="12"/>
      <c r="D33" s="1152" t="s">
        <v>1620</v>
      </c>
      <c r="E33" s="2928"/>
      <c r="F33" s="2928"/>
      <c r="G33" s="2928"/>
      <c r="H33" s="2928"/>
      <c r="I33" s="2928"/>
      <c r="J33" s="2928"/>
      <c r="K33" s="2928"/>
      <c r="L33" s="2929" t="s">
        <v>788</v>
      </c>
      <c r="M33" s="12"/>
    </row>
    <row r="34" spans="3:13">
      <c r="C34" s="12"/>
      <c r="D34" s="2144" t="s">
        <v>879</v>
      </c>
      <c r="E34" s="2172">
        <v>2018</v>
      </c>
      <c r="F34" s="2172">
        <v>2020</v>
      </c>
      <c r="G34" s="2172">
        <v>2025</v>
      </c>
      <c r="H34" s="2172">
        <v>2030</v>
      </c>
      <c r="I34" s="2172">
        <v>2035</v>
      </c>
      <c r="J34" s="2172">
        <v>2040</v>
      </c>
      <c r="K34" s="2172">
        <v>2045</v>
      </c>
      <c r="L34" s="2172">
        <v>2050</v>
      </c>
      <c r="M34" s="12"/>
    </row>
    <row r="35" spans="3:13">
      <c r="C35" s="12"/>
      <c r="D35" s="139">
        <v>1</v>
      </c>
      <c r="E35" s="2925">
        <v>0</v>
      </c>
      <c r="F35" s="2925">
        <v>0</v>
      </c>
      <c r="G35" s="2925">
        <v>0</v>
      </c>
      <c r="H35" s="2925">
        <v>0</v>
      </c>
      <c r="I35" s="2925">
        <v>0</v>
      </c>
      <c r="J35" s="2925">
        <v>0</v>
      </c>
      <c r="K35" s="2925">
        <v>0</v>
      </c>
      <c r="L35" s="2925">
        <v>0</v>
      </c>
      <c r="M35" s="12"/>
    </row>
    <row r="36" spans="3:13">
      <c r="C36" s="12"/>
      <c r="D36" s="139">
        <v>2</v>
      </c>
      <c r="E36" s="2925">
        <v>0</v>
      </c>
      <c r="F36" s="2925">
        <v>0.05</v>
      </c>
      <c r="G36" s="2925">
        <v>0.1</v>
      </c>
      <c r="H36" s="2925">
        <v>0.15</v>
      </c>
      <c r="I36" s="2925">
        <v>0.2</v>
      </c>
      <c r="J36" s="2925">
        <v>0.25</v>
      </c>
      <c r="K36" s="2925">
        <v>0.3</v>
      </c>
      <c r="L36" s="2925">
        <v>0.35</v>
      </c>
      <c r="M36" s="12"/>
    </row>
    <row r="37" spans="3:13">
      <c r="C37" s="12"/>
      <c r="D37" s="139">
        <v>3</v>
      </c>
      <c r="E37" s="2925">
        <v>0</v>
      </c>
      <c r="F37" s="2925">
        <v>0.06</v>
      </c>
      <c r="G37" s="2925">
        <v>0.12</v>
      </c>
      <c r="H37" s="2925">
        <v>0.18</v>
      </c>
      <c r="I37" s="2925">
        <v>0.24</v>
      </c>
      <c r="J37" s="2925">
        <v>0.3</v>
      </c>
      <c r="K37" s="2925">
        <v>0.36</v>
      </c>
      <c r="L37" s="2925">
        <v>0.42</v>
      </c>
      <c r="M37" s="12"/>
    </row>
    <row r="38" spans="3:13">
      <c r="C38" s="12"/>
      <c r="D38" s="142">
        <v>4</v>
      </c>
      <c r="E38" s="2926">
        <v>0</v>
      </c>
      <c r="F38" s="2926">
        <v>0.08</v>
      </c>
      <c r="G38" s="2926">
        <v>0.16</v>
      </c>
      <c r="H38" s="2926">
        <v>0.24</v>
      </c>
      <c r="I38" s="2926">
        <v>0.32</v>
      </c>
      <c r="J38" s="2926">
        <v>0.4</v>
      </c>
      <c r="K38" s="2926">
        <v>0.48</v>
      </c>
      <c r="L38" s="2926">
        <v>0.56000000000000005</v>
      </c>
      <c r="M38" s="12"/>
    </row>
    <row r="39" spans="3:13">
      <c r="C39" s="12"/>
      <c r="D39" s="12"/>
      <c r="E39" s="2930"/>
      <c r="F39" s="2930"/>
      <c r="G39" s="2930"/>
      <c r="H39" s="2930"/>
      <c r="I39" s="2930"/>
      <c r="J39" s="2930"/>
      <c r="K39" s="2930"/>
      <c r="L39" s="2930"/>
      <c r="M39" s="12"/>
    </row>
    <row r="40" spans="3:13">
      <c r="C40" s="12"/>
      <c r="D40" s="1152" t="s">
        <v>953</v>
      </c>
      <c r="E40" s="2928"/>
      <c r="F40" s="2928"/>
      <c r="G40" s="2928"/>
      <c r="H40" s="2928"/>
      <c r="I40" s="2928"/>
      <c r="J40" s="2928"/>
      <c r="K40" s="2928"/>
      <c r="L40" s="2929" t="s">
        <v>788</v>
      </c>
      <c r="M40" s="12"/>
    </row>
    <row r="41" spans="3:13">
      <c r="C41" s="12"/>
      <c r="D41" s="2144" t="s">
        <v>879</v>
      </c>
      <c r="E41" s="2172">
        <v>2018</v>
      </c>
      <c r="F41" s="2172">
        <v>2020</v>
      </c>
      <c r="G41" s="2172">
        <v>2025</v>
      </c>
      <c r="H41" s="2172">
        <v>2030</v>
      </c>
      <c r="I41" s="2172">
        <v>2035</v>
      </c>
      <c r="J41" s="2172">
        <v>2040</v>
      </c>
      <c r="K41" s="2172">
        <v>2045</v>
      </c>
      <c r="L41" s="2172">
        <v>2050</v>
      </c>
      <c r="M41" s="12"/>
    </row>
    <row r="42" spans="3:13">
      <c r="C42" s="12"/>
      <c r="D42" s="139">
        <v>1</v>
      </c>
      <c r="E42" s="2925">
        <v>0</v>
      </c>
      <c r="F42" s="2925">
        <v>0</v>
      </c>
      <c r="G42" s="2925">
        <v>0</v>
      </c>
      <c r="H42" s="2925">
        <v>0</v>
      </c>
      <c r="I42" s="2925">
        <v>0</v>
      </c>
      <c r="J42" s="2925">
        <v>0</v>
      </c>
      <c r="K42" s="2925">
        <v>0</v>
      </c>
      <c r="L42" s="2925">
        <v>0</v>
      </c>
      <c r="M42" s="12"/>
    </row>
    <row r="43" spans="3:13">
      <c r="C43" s="12"/>
      <c r="D43" s="139">
        <v>2</v>
      </c>
      <c r="E43" s="2925">
        <v>0</v>
      </c>
      <c r="F43" s="2925">
        <v>0.05</v>
      </c>
      <c r="G43" s="2925">
        <v>0.1</v>
      </c>
      <c r="H43" s="2925">
        <v>0.15</v>
      </c>
      <c r="I43" s="2925">
        <v>0.2</v>
      </c>
      <c r="J43" s="2925">
        <v>0.25</v>
      </c>
      <c r="K43" s="2925">
        <v>0.3</v>
      </c>
      <c r="L43" s="2925">
        <v>0.35</v>
      </c>
      <c r="M43" s="12"/>
    </row>
    <row r="44" spans="3:13">
      <c r="C44" s="12"/>
      <c r="D44" s="139">
        <v>3</v>
      </c>
      <c r="E44" s="2925">
        <v>0</v>
      </c>
      <c r="F44" s="2925">
        <v>0.06</v>
      </c>
      <c r="G44" s="2925">
        <v>0.12</v>
      </c>
      <c r="H44" s="2925">
        <v>0.18</v>
      </c>
      <c r="I44" s="2925">
        <v>0.24</v>
      </c>
      <c r="J44" s="2925">
        <v>0.3</v>
      </c>
      <c r="K44" s="2925">
        <v>0.36</v>
      </c>
      <c r="L44" s="2925">
        <v>0.42</v>
      </c>
      <c r="M44" s="12"/>
    </row>
    <row r="45" spans="3:13">
      <c r="C45" s="12"/>
      <c r="D45" s="142">
        <v>4</v>
      </c>
      <c r="E45" s="2926">
        <v>0</v>
      </c>
      <c r="F45" s="2926">
        <v>0.08</v>
      </c>
      <c r="G45" s="2926">
        <v>0.16</v>
      </c>
      <c r="H45" s="2926">
        <v>0.24</v>
      </c>
      <c r="I45" s="2926">
        <v>0.32</v>
      </c>
      <c r="J45" s="2926">
        <v>0.4</v>
      </c>
      <c r="K45" s="2926">
        <v>0.48</v>
      </c>
      <c r="L45" s="2926">
        <v>0.56000000000000005</v>
      </c>
      <c r="M45" s="12"/>
    </row>
    <row r="46" spans="3:13">
      <c r="C46" s="12"/>
      <c r="D46" s="139"/>
      <c r="E46" s="2925"/>
      <c r="F46" s="2925"/>
      <c r="G46" s="2925"/>
      <c r="H46" s="2925"/>
      <c r="I46" s="2925"/>
      <c r="J46" s="2925"/>
      <c r="K46" s="2925"/>
      <c r="L46" s="2925"/>
      <c r="M46" s="12"/>
    </row>
    <row r="47" spans="3:13">
      <c r="C47" s="12"/>
      <c r="D47" s="1152" t="s">
        <v>110</v>
      </c>
      <c r="E47" s="133"/>
      <c r="F47" s="133"/>
      <c r="G47" s="133"/>
      <c r="H47" s="133"/>
      <c r="I47" s="133"/>
      <c r="J47" s="133"/>
      <c r="K47" s="133"/>
      <c r="L47" s="2143" t="s">
        <v>788</v>
      </c>
      <c r="M47" s="12"/>
    </row>
    <row r="48" spans="3:13">
      <c r="C48" s="12"/>
      <c r="D48" s="2144" t="s">
        <v>879</v>
      </c>
      <c r="E48" s="2172">
        <v>2018</v>
      </c>
      <c r="F48" s="2172">
        <v>2020</v>
      </c>
      <c r="G48" s="2172">
        <v>2025</v>
      </c>
      <c r="H48" s="2172">
        <v>2030</v>
      </c>
      <c r="I48" s="2172">
        <v>2035</v>
      </c>
      <c r="J48" s="2172">
        <v>2040</v>
      </c>
      <c r="K48" s="2172">
        <v>2045</v>
      </c>
      <c r="L48" s="2172">
        <v>2050</v>
      </c>
      <c r="M48" s="12"/>
    </row>
    <row r="49" spans="3:13">
      <c r="C49" s="12"/>
      <c r="D49" s="139">
        <v>1</v>
      </c>
      <c r="E49" s="2925">
        <v>0</v>
      </c>
      <c r="F49" s="2925">
        <v>0</v>
      </c>
      <c r="G49" s="2925">
        <v>0</v>
      </c>
      <c r="H49" s="2925">
        <v>0</v>
      </c>
      <c r="I49" s="2925">
        <v>0</v>
      </c>
      <c r="J49" s="2925">
        <v>0</v>
      </c>
      <c r="K49" s="2925">
        <v>0</v>
      </c>
      <c r="L49" s="2925">
        <v>0</v>
      </c>
      <c r="M49" s="12"/>
    </row>
    <row r="50" spans="3:13">
      <c r="C50" s="12"/>
      <c r="D50" s="139">
        <v>2</v>
      </c>
      <c r="E50" s="2925">
        <v>0</v>
      </c>
      <c r="F50" s="2925">
        <v>0</v>
      </c>
      <c r="G50" s="2925">
        <v>0</v>
      </c>
      <c r="H50" s="2925">
        <v>0.3</v>
      </c>
      <c r="I50" s="2925">
        <v>0.3</v>
      </c>
      <c r="J50" s="2925">
        <v>0.3</v>
      </c>
      <c r="K50" s="2925">
        <v>0.3</v>
      </c>
      <c r="L50" s="2925">
        <v>0.3</v>
      </c>
      <c r="M50" s="12"/>
    </row>
    <row r="51" spans="3:13">
      <c r="C51" s="12"/>
      <c r="D51" s="139">
        <v>3</v>
      </c>
      <c r="E51" s="2925">
        <v>0</v>
      </c>
      <c r="F51" s="2925">
        <v>0</v>
      </c>
      <c r="G51" s="2925">
        <v>0</v>
      </c>
      <c r="H51" s="2925">
        <v>0.3</v>
      </c>
      <c r="I51" s="2925">
        <v>0.34</v>
      </c>
      <c r="J51" s="2925">
        <v>0.39</v>
      </c>
      <c r="K51" s="2925">
        <v>0.44</v>
      </c>
      <c r="L51" s="2925">
        <v>0.5</v>
      </c>
      <c r="M51" s="12"/>
    </row>
    <row r="52" spans="3:13">
      <c r="C52" s="12"/>
      <c r="D52" s="142">
        <v>4</v>
      </c>
      <c r="E52" s="2926">
        <v>0</v>
      </c>
      <c r="F52" s="2926">
        <v>0</v>
      </c>
      <c r="G52" s="2926">
        <v>0</v>
      </c>
      <c r="H52" s="2926">
        <v>0.3</v>
      </c>
      <c r="I52" s="2926">
        <v>0.39</v>
      </c>
      <c r="J52" s="2926">
        <v>0.5</v>
      </c>
      <c r="K52" s="2926">
        <v>0.63</v>
      </c>
      <c r="L52" s="2926">
        <v>0.8</v>
      </c>
      <c r="M52" s="12"/>
    </row>
    <row r="53" spans="3:13">
      <c r="C53" s="12"/>
      <c r="D53" s="12"/>
      <c r="E53" s="447"/>
      <c r="F53" s="447"/>
      <c r="G53" s="447"/>
      <c r="H53" s="447"/>
      <c r="I53" s="447"/>
      <c r="J53" s="447"/>
      <c r="K53" s="447"/>
      <c r="L53" s="447"/>
      <c r="M53" s="12"/>
    </row>
    <row r="54" spans="3:13" ht="15.75">
      <c r="C54" s="11"/>
      <c r="D54" s="245" t="s">
        <v>1381</v>
      </c>
      <c r="E54" s="2931"/>
      <c r="F54" s="2931"/>
      <c r="G54" s="2931"/>
      <c r="H54" s="2931"/>
      <c r="I54" s="2931"/>
      <c r="J54" s="2931"/>
      <c r="K54" s="2931"/>
      <c r="L54" s="2931"/>
      <c r="M54" s="12"/>
    </row>
    <row r="55" spans="3:13">
      <c r="C55" s="11"/>
      <c r="D55" s="96"/>
      <c r="E55" s="447"/>
      <c r="F55" s="447"/>
      <c r="G55" s="447"/>
      <c r="H55" s="447"/>
      <c r="I55" s="447"/>
      <c r="J55" s="447"/>
      <c r="K55" s="447"/>
      <c r="L55" s="447"/>
      <c r="M55" s="12"/>
    </row>
    <row r="56" spans="3:13">
      <c r="C56" s="244"/>
      <c r="D56" s="1152" t="s">
        <v>611</v>
      </c>
      <c r="E56" s="2932"/>
      <c r="F56" s="2932"/>
      <c r="G56" s="2932"/>
      <c r="H56" s="2932"/>
      <c r="I56" s="2932"/>
      <c r="J56" s="2932"/>
      <c r="K56" s="2932"/>
      <c r="L56" s="2929" t="s">
        <v>788</v>
      </c>
      <c r="M56" s="251"/>
    </row>
    <row r="57" spans="3:13" ht="15.75">
      <c r="C57" s="253"/>
      <c r="D57" s="2144" t="s">
        <v>879</v>
      </c>
      <c r="E57" s="2172">
        <v>2018</v>
      </c>
      <c r="F57" s="2172">
        <v>2020</v>
      </c>
      <c r="G57" s="2172">
        <v>2025</v>
      </c>
      <c r="H57" s="2172">
        <v>2030</v>
      </c>
      <c r="I57" s="2172">
        <v>2035</v>
      </c>
      <c r="J57" s="2172">
        <v>2040</v>
      </c>
      <c r="K57" s="2172">
        <v>2045</v>
      </c>
      <c r="L57" s="2172">
        <v>2050</v>
      </c>
      <c r="M57" s="251"/>
    </row>
    <row r="58" spans="3:13" ht="15.75">
      <c r="C58" s="253"/>
      <c r="D58" s="139">
        <v>1</v>
      </c>
      <c r="E58" s="2925">
        <v>0</v>
      </c>
      <c r="F58" s="2925">
        <v>0</v>
      </c>
      <c r="G58" s="2925">
        <v>0</v>
      </c>
      <c r="H58" s="2925">
        <v>0</v>
      </c>
      <c r="I58" s="2925">
        <v>0</v>
      </c>
      <c r="J58" s="2925">
        <v>0</v>
      </c>
      <c r="K58" s="2925">
        <v>0</v>
      </c>
      <c r="L58" s="2925">
        <v>0</v>
      </c>
      <c r="M58" s="251"/>
    </row>
    <row r="59" spans="3:13" ht="15.75">
      <c r="C59" s="253"/>
      <c r="D59" s="139">
        <v>2</v>
      </c>
      <c r="E59" s="2925">
        <v>0</v>
      </c>
      <c r="F59" s="3537">
        <v>5.0000000000000001E-3</v>
      </c>
      <c r="G59" s="3537">
        <v>5.0000000000000001E-3</v>
      </c>
      <c r="H59" s="3537">
        <v>0.01</v>
      </c>
      <c r="I59" s="3537">
        <v>0.01</v>
      </c>
      <c r="J59" s="3537">
        <v>1.4999999999999999E-2</v>
      </c>
      <c r="K59" s="3537">
        <v>1.4999999999999999E-2</v>
      </c>
      <c r="L59" s="2925">
        <v>0.02</v>
      </c>
      <c r="M59" s="251"/>
    </row>
    <row r="60" spans="3:13" ht="15.75">
      <c r="C60" s="253"/>
      <c r="D60" s="139">
        <v>3</v>
      </c>
      <c r="E60" s="2925">
        <v>0</v>
      </c>
      <c r="F60" s="3537">
        <v>0.03</v>
      </c>
      <c r="G60" s="3537">
        <v>0.06</v>
      </c>
      <c r="H60" s="3537">
        <v>0.09</v>
      </c>
      <c r="I60" s="3537">
        <v>0.12</v>
      </c>
      <c r="J60" s="3537">
        <v>0.15</v>
      </c>
      <c r="K60" s="3537">
        <v>0.18</v>
      </c>
      <c r="L60" s="2925">
        <v>0.2</v>
      </c>
      <c r="M60" s="251"/>
    </row>
    <row r="61" spans="3:13" ht="15.75">
      <c r="C61" s="253"/>
      <c r="D61" s="142">
        <v>4</v>
      </c>
      <c r="E61" s="2926">
        <v>0</v>
      </c>
      <c r="F61" s="2926">
        <v>0.05</v>
      </c>
      <c r="G61" s="2926">
        <v>0.1</v>
      </c>
      <c r="H61" s="2926">
        <v>0.15</v>
      </c>
      <c r="I61" s="2926">
        <v>0.2</v>
      </c>
      <c r="J61" s="2926">
        <v>0.25</v>
      </c>
      <c r="K61" s="2926">
        <v>0.3</v>
      </c>
      <c r="L61" s="2926">
        <v>0.35</v>
      </c>
      <c r="M61" s="251"/>
    </row>
    <row r="62" spans="3:13">
      <c r="C62" s="12"/>
      <c r="D62" s="12"/>
      <c r="E62" s="2927"/>
      <c r="F62" s="2927"/>
      <c r="G62" s="2927"/>
      <c r="H62" s="2927"/>
      <c r="I62" s="2927"/>
      <c r="J62" s="2927"/>
      <c r="K62" s="2927"/>
      <c r="L62" s="2933"/>
      <c r="M62" s="12"/>
    </row>
    <row r="63" spans="3:13">
      <c r="C63" s="12"/>
      <c r="D63" s="1152" t="s">
        <v>612</v>
      </c>
      <c r="E63" s="2928"/>
      <c r="F63" s="2928"/>
      <c r="G63" s="2928"/>
      <c r="H63" s="2928"/>
      <c r="I63" s="2928"/>
      <c r="J63" s="2928"/>
      <c r="K63" s="2928"/>
      <c r="L63" s="2929" t="s">
        <v>788</v>
      </c>
      <c r="M63" s="12"/>
    </row>
    <row r="64" spans="3:13">
      <c r="C64" s="12"/>
      <c r="D64" s="2144" t="s">
        <v>879</v>
      </c>
      <c r="E64" s="2172">
        <v>2018</v>
      </c>
      <c r="F64" s="2172">
        <v>2020</v>
      </c>
      <c r="G64" s="2172">
        <v>2025</v>
      </c>
      <c r="H64" s="2172">
        <v>2030</v>
      </c>
      <c r="I64" s="2172">
        <v>2035</v>
      </c>
      <c r="J64" s="2172">
        <v>2040</v>
      </c>
      <c r="K64" s="2172">
        <v>2045</v>
      </c>
      <c r="L64" s="2172">
        <v>2050</v>
      </c>
      <c r="M64" s="12"/>
    </row>
    <row r="65" spans="3:13">
      <c r="C65" s="12"/>
      <c r="D65" s="139">
        <v>1</v>
      </c>
      <c r="E65" s="2925">
        <v>0</v>
      </c>
      <c r="F65" s="2925">
        <v>0</v>
      </c>
      <c r="G65" s="2925">
        <v>0</v>
      </c>
      <c r="H65" s="2925">
        <v>0</v>
      </c>
      <c r="I65" s="2925">
        <v>0</v>
      </c>
      <c r="J65" s="2925">
        <v>0</v>
      </c>
      <c r="K65" s="2925">
        <v>0</v>
      </c>
      <c r="L65" s="2925">
        <v>0</v>
      </c>
      <c r="M65" s="12"/>
    </row>
    <row r="66" spans="3:13">
      <c r="C66" s="12"/>
      <c r="D66" s="139">
        <v>2</v>
      </c>
      <c r="E66" s="2925">
        <v>0</v>
      </c>
      <c r="F66" s="2925">
        <v>5.0000000000000001E-3</v>
      </c>
      <c r="G66" s="2925">
        <v>5.0000000000000001E-3</v>
      </c>
      <c r="H66" s="2925">
        <v>0.01</v>
      </c>
      <c r="I66" s="2925">
        <v>0.01</v>
      </c>
      <c r="J66" s="2925">
        <v>1.4999999999999999E-2</v>
      </c>
      <c r="K66" s="2925">
        <v>1.4999999999999999E-2</v>
      </c>
      <c r="L66" s="2925">
        <v>0.02</v>
      </c>
      <c r="M66" s="12"/>
    </row>
    <row r="67" spans="3:13">
      <c r="C67" s="12"/>
      <c r="D67" s="139">
        <v>3</v>
      </c>
      <c r="E67" s="2925">
        <v>0</v>
      </c>
      <c r="F67" s="2925">
        <v>0.03</v>
      </c>
      <c r="G67" s="2925">
        <v>0.06</v>
      </c>
      <c r="H67" s="2925">
        <v>0.09</v>
      </c>
      <c r="I67" s="2925">
        <v>0.12</v>
      </c>
      <c r="J67" s="2925">
        <v>0.15</v>
      </c>
      <c r="K67" s="2925">
        <v>0.18</v>
      </c>
      <c r="L67" s="2925">
        <v>0.2</v>
      </c>
      <c r="M67" s="12"/>
    </row>
    <row r="68" spans="3:13">
      <c r="C68" s="12"/>
      <c r="D68" s="142">
        <v>4</v>
      </c>
      <c r="E68" s="2926">
        <v>0</v>
      </c>
      <c r="F68" s="2926">
        <v>0.05</v>
      </c>
      <c r="G68" s="2926">
        <v>0.1</v>
      </c>
      <c r="H68" s="2926">
        <v>0.15</v>
      </c>
      <c r="I68" s="2926">
        <v>0.2</v>
      </c>
      <c r="J68" s="2926">
        <v>0.25</v>
      </c>
      <c r="K68" s="2926">
        <v>0.3</v>
      </c>
      <c r="L68" s="2926">
        <v>0.35</v>
      </c>
      <c r="M68" s="12"/>
    </row>
    <row r="69" spans="3:13">
      <c r="C69" s="12"/>
      <c r="D69" s="12"/>
      <c r="E69" s="12"/>
      <c r="F69" s="12"/>
      <c r="G69" s="12"/>
      <c r="H69" s="12"/>
      <c r="I69" s="12"/>
      <c r="J69" s="12"/>
      <c r="K69" s="12"/>
      <c r="L69" s="12"/>
      <c r="M69" s="12"/>
    </row>
    <row r="71" spans="3:13" ht="18.75">
      <c r="C71" s="956" t="s">
        <v>996</v>
      </c>
      <c r="D71" s="336"/>
      <c r="E71" s="908"/>
      <c r="F71" s="908"/>
      <c r="G71" s="908"/>
      <c r="H71" s="908"/>
      <c r="I71" s="908"/>
      <c r="J71" s="908"/>
      <c r="K71" s="908"/>
      <c r="L71" s="908"/>
      <c r="M71" s="336"/>
    </row>
    <row r="72" spans="3:13">
      <c r="C72" s="12"/>
      <c r="D72" s="12"/>
      <c r="E72" s="752"/>
      <c r="F72" s="752"/>
      <c r="G72" s="752"/>
      <c r="H72" s="752"/>
      <c r="I72" s="752"/>
      <c r="J72" s="752"/>
      <c r="K72" s="752"/>
      <c r="L72" s="752"/>
      <c r="M72" s="12"/>
    </row>
    <row r="73" spans="3:13" ht="15.75">
      <c r="C73" s="12"/>
      <c r="D73" s="940" t="s">
        <v>1384</v>
      </c>
      <c r="E73" s="2145"/>
      <c r="F73" s="2145"/>
      <c r="G73" s="2145"/>
      <c r="H73" s="2145"/>
      <c r="I73" s="2145"/>
      <c r="J73" s="2145"/>
      <c r="K73" s="2145"/>
      <c r="L73" s="2145"/>
      <c r="M73" s="12"/>
    </row>
    <row r="74" spans="3:13">
      <c r="C74" s="12"/>
      <c r="D74" s="96"/>
      <c r="E74" s="752"/>
      <c r="F74" s="767"/>
      <c r="G74" s="771"/>
      <c r="H74" s="752"/>
      <c r="I74" s="752"/>
      <c r="J74" s="752"/>
      <c r="K74" s="752"/>
      <c r="L74" s="752"/>
      <c r="M74" s="12"/>
    </row>
    <row r="75" spans="3:13">
      <c r="C75" s="12"/>
      <c r="D75" s="2146" t="s">
        <v>2443</v>
      </c>
      <c r="E75" s="2146"/>
      <c r="F75" s="2146"/>
      <c r="G75" s="2146"/>
      <c r="H75" s="2146" t="s">
        <v>871</v>
      </c>
      <c r="I75" s="2147" t="s">
        <v>698</v>
      </c>
      <c r="J75" s="12"/>
      <c r="K75" s="12"/>
      <c r="L75" s="12"/>
      <c r="M75" s="12"/>
    </row>
    <row r="76" spans="3:13">
      <c r="C76" s="12"/>
      <c r="D76" s="283" t="s">
        <v>611</v>
      </c>
      <c r="E76" s="12"/>
      <c r="F76" s="12"/>
      <c r="G76" s="12"/>
      <c r="H76" s="2148">
        <v>3.57</v>
      </c>
      <c r="I76" s="277" t="s">
        <v>2444</v>
      </c>
      <c r="J76" s="12"/>
      <c r="K76" s="12"/>
      <c r="L76" s="12"/>
      <c r="M76" s="12"/>
    </row>
    <row r="77" spans="3:13">
      <c r="C77" s="12"/>
      <c r="D77" s="1038" t="s">
        <v>612</v>
      </c>
      <c r="E77" s="1038"/>
      <c r="F77" s="1038"/>
      <c r="G77" s="1038"/>
      <c r="H77" s="1037">
        <v>1.65</v>
      </c>
      <c r="I77" s="1154" t="s">
        <v>2445</v>
      </c>
      <c r="J77" s="12"/>
      <c r="K77" s="12"/>
      <c r="L77" s="12"/>
      <c r="M77" s="12"/>
    </row>
    <row r="78" spans="3:13">
      <c r="C78" s="12"/>
      <c r="D78" s="12"/>
      <c r="E78" s="12"/>
      <c r="F78" s="12"/>
      <c r="G78" s="12"/>
      <c r="H78" s="12"/>
      <c r="I78" s="12"/>
      <c r="J78" s="12"/>
      <c r="K78" s="12"/>
      <c r="L78" s="12"/>
      <c r="M78" s="12"/>
    </row>
    <row r="79" spans="3:13">
      <c r="C79" s="12"/>
      <c r="D79" s="2146" t="s">
        <v>2443</v>
      </c>
      <c r="E79" s="2146"/>
      <c r="F79" s="2146"/>
      <c r="G79" s="2146"/>
      <c r="H79" s="2146" t="s">
        <v>871</v>
      </c>
      <c r="I79" s="2147" t="s">
        <v>698</v>
      </c>
      <c r="J79" s="12"/>
      <c r="K79" s="12"/>
      <c r="L79" s="12"/>
      <c r="M79" s="12"/>
    </row>
    <row r="80" spans="3:13">
      <c r="C80" s="12"/>
      <c r="D80" s="283" t="s">
        <v>611</v>
      </c>
      <c r="E80" s="12"/>
      <c r="F80" s="12"/>
      <c r="G80" s="12"/>
      <c r="H80" s="2148">
        <v>1.1666666666666666E-5</v>
      </c>
      <c r="I80" s="277" t="s">
        <v>2446</v>
      </c>
      <c r="J80" s="12"/>
      <c r="K80" s="516"/>
      <c r="L80" s="12"/>
      <c r="M80" s="12"/>
    </row>
    <row r="81" spans="3:13">
      <c r="C81" s="12"/>
      <c r="D81" s="1038" t="s">
        <v>612</v>
      </c>
      <c r="E81" s="1038"/>
      <c r="F81" s="1038"/>
      <c r="G81" s="1038"/>
      <c r="H81" s="1037">
        <v>5.8924649790338432E-5</v>
      </c>
      <c r="I81" s="1154" t="s">
        <v>2447</v>
      </c>
      <c r="J81" s="12"/>
      <c r="K81" s="12"/>
      <c r="L81" s="12"/>
      <c r="M81" s="12"/>
    </row>
    <row r="82" spans="3:13">
      <c r="C82" s="12"/>
      <c r="D82" s="12"/>
      <c r="E82" s="12"/>
      <c r="F82" s="12"/>
      <c r="G82" s="12"/>
      <c r="H82" s="12"/>
      <c r="I82" s="12"/>
      <c r="J82" s="12"/>
      <c r="K82" s="12"/>
      <c r="L82" s="12"/>
      <c r="M82" s="12"/>
    </row>
    <row r="83" spans="3:13" ht="15.75">
      <c r="C83" s="12"/>
      <c r="D83" s="940" t="s">
        <v>1387</v>
      </c>
      <c r="E83" s="2145"/>
      <c r="F83" s="2145"/>
      <c r="G83" s="2145"/>
      <c r="H83" s="2145"/>
      <c r="I83" s="2145"/>
      <c r="J83" s="2145"/>
      <c r="K83" s="2145"/>
      <c r="L83" s="2145"/>
      <c r="M83" s="12"/>
    </row>
    <row r="84" spans="3:13">
      <c r="C84" s="12"/>
      <c r="D84" s="12"/>
      <c r="E84" s="12"/>
      <c r="F84" s="12"/>
      <c r="G84" s="12"/>
      <c r="H84" s="2149" t="s">
        <v>9</v>
      </c>
      <c r="I84" s="12"/>
      <c r="J84" s="12"/>
      <c r="K84" s="12"/>
      <c r="L84" s="12"/>
      <c r="M84" s="12"/>
    </row>
    <row r="85" spans="3:13">
      <c r="C85" s="12"/>
      <c r="D85" s="2146" t="s">
        <v>869</v>
      </c>
      <c r="E85" s="2146"/>
      <c r="F85" s="2146"/>
      <c r="G85" s="2146"/>
      <c r="H85" s="2150" t="s">
        <v>871</v>
      </c>
      <c r="I85" s="12"/>
      <c r="J85" s="12"/>
      <c r="K85" s="12"/>
      <c r="L85" s="12"/>
      <c r="M85" s="12"/>
    </row>
    <row r="86" spans="3:13">
      <c r="C86" s="12"/>
      <c r="D86" s="283" t="s">
        <v>2448</v>
      </c>
      <c r="E86" s="12"/>
      <c r="F86" s="12"/>
      <c r="G86" s="12"/>
      <c r="H86" s="2148">
        <v>4</v>
      </c>
      <c r="I86" s="12"/>
      <c r="J86" s="12"/>
      <c r="K86" s="12"/>
      <c r="L86" s="12"/>
      <c r="M86" s="12"/>
    </row>
    <row r="87" spans="3:13">
      <c r="C87" s="12"/>
      <c r="D87" s="1038" t="s">
        <v>2449</v>
      </c>
      <c r="E87" s="1038"/>
      <c r="F87" s="1038"/>
      <c r="G87" s="1038"/>
      <c r="H87" s="1037">
        <v>2</v>
      </c>
      <c r="I87" s="12"/>
      <c r="J87" s="12"/>
      <c r="K87" s="12"/>
      <c r="L87" s="12"/>
      <c r="M87" s="12"/>
    </row>
    <row r="88" spans="3:13">
      <c r="C88" s="12"/>
      <c r="D88" s="12"/>
      <c r="E88" s="12"/>
      <c r="F88" s="12"/>
      <c r="G88" s="12"/>
      <c r="H88" s="12"/>
      <c r="I88" s="12"/>
      <c r="J88" s="12"/>
      <c r="K88" s="12"/>
      <c r="L88" s="12"/>
      <c r="M88" s="12"/>
    </row>
    <row r="89" spans="3:13" ht="15.75">
      <c r="C89" s="12"/>
      <c r="D89" s="940" t="s">
        <v>1389</v>
      </c>
      <c r="E89" s="2145"/>
      <c r="F89" s="2145"/>
      <c r="G89" s="2145"/>
      <c r="H89" s="2145"/>
      <c r="I89" s="2145"/>
      <c r="J89" s="2145"/>
      <c r="K89" s="2145"/>
      <c r="L89" s="2145"/>
      <c r="M89" s="12"/>
    </row>
    <row r="90" spans="3:13">
      <c r="C90" s="12"/>
      <c r="D90" s="12"/>
      <c r="E90" s="12"/>
      <c r="F90" s="12"/>
      <c r="G90" s="12"/>
      <c r="H90" s="2149" t="s">
        <v>788</v>
      </c>
      <c r="I90" s="12"/>
      <c r="J90" s="12"/>
      <c r="K90" s="12"/>
      <c r="L90" s="12"/>
      <c r="M90" s="12"/>
    </row>
    <row r="91" spans="3:13">
      <c r="C91" s="12"/>
      <c r="D91" s="2146" t="s">
        <v>869</v>
      </c>
      <c r="E91" s="2146"/>
      <c r="F91" s="2146"/>
      <c r="G91" s="2146"/>
      <c r="H91" s="2146" t="s">
        <v>871</v>
      </c>
      <c r="I91" s="12"/>
      <c r="J91" s="12"/>
      <c r="K91" s="12"/>
      <c r="L91" s="12"/>
      <c r="M91" s="12"/>
    </row>
    <row r="92" spans="3:13">
      <c r="C92" s="12"/>
      <c r="D92" s="283" t="s">
        <v>611</v>
      </c>
      <c r="E92" s="12"/>
      <c r="F92" s="12"/>
      <c r="G92" s="12"/>
      <c r="H92" s="2148">
        <v>30</v>
      </c>
      <c r="I92" s="12"/>
      <c r="J92" s="12"/>
      <c r="K92" s="12"/>
      <c r="L92" s="12"/>
      <c r="M92" s="12"/>
    </row>
    <row r="93" spans="3:13">
      <c r="C93" s="12"/>
      <c r="D93" s="1038" t="s">
        <v>612</v>
      </c>
      <c r="E93" s="1038"/>
      <c r="F93" s="1038"/>
      <c r="G93" s="1038"/>
      <c r="H93" s="1037">
        <v>30</v>
      </c>
      <c r="I93" s="12"/>
      <c r="J93" s="12"/>
      <c r="K93" s="12"/>
      <c r="L93" s="12"/>
      <c r="M93" s="12"/>
    </row>
    <row r="94" spans="3:13">
      <c r="C94" s="12"/>
      <c r="D94" s="12"/>
      <c r="E94" s="12"/>
      <c r="F94" s="12"/>
      <c r="G94" s="12"/>
      <c r="H94" s="12"/>
      <c r="I94" s="12"/>
      <c r="J94" s="12"/>
      <c r="K94" s="12"/>
      <c r="L94" s="12"/>
      <c r="M94" s="12"/>
    </row>
    <row r="95" spans="3:13" ht="15.75">
      <c r="C95" s="12"/>
      <c r="D95" s="940" t="s">
        <v>1392</v>
      </c>
      <c r="E95" s="2145"/>
      <c r="F95" s="2145"/>
      <c r="G95" s="2145"/>
      <c r="H95" s="2145"/>
      <c r="I95" s="2145"/>
      <c r="J95" s="2145"/>
      <c r="K95" s="2145"/>
      <c r="L95" s="2145"/>
      <c r="M95" s="12"/>
    </row>
    <row r="96" spans="3:13">
      <c r="C96" s="12"/>
      <c r="D96" s="12"/>
      <c r="E96" s="12"/>
      <c r="F96" s="12"/>
      <c r="G96" s="12"/>
      <c r="H96" s="2149" t="s">
        <v>2450</v>
      </c>
      <c r="I96" s="12"/>
      <c r="J96" s="12"/>
      <c r="K96" s="12"/>
      <c r="L96" s="12"/>
      <c r="M96" s="12"/>
    </row>
    <row r="97" spans="3:15">
      <c r="C97" s="12"/>
      <c r="D97" s="2146" t="s">
        <v>869</v>
      </c>
      <c r="E97" s="2146"/>
      <c r="F97" s="2146"/>
      <c r="G97" s="2146"/>
      <c r="H97" s="2150" t="s">
        <v>871</v>
      </c>
      <c r="I97" s="12"/>
      <c r="J97" s="12"/>
      <c r="K97" s="12"/>
      <c r="L97" s="12"/>
      <c r="M97" s="12"/>
    </row>
    <row r="98" spans="3:15">
      <c r="C98" s="12"/>
      <c r="D98" s="283" t="s">
        <v>611</v>
      </c>
      <c r="E98" s="12"/>
      <c r="F98" s="12"/>
      <c r="G98" s="12"/>
      <c r="H98" s="2148">
        <v>12.2</v>
      </c>
      <c r="I98" s="12"/>
      <c r="J98" s="12"/>
      <c r="K98" s="12"/>
      <c r="L98" s="12"/>
      <c r="M98" s="12"/>
    </row>
    <row r="99" spans="3:15">
      <c r="C99" s="12"/>
      <c r="D99" s="1038" t="s">
        <v>612</v>
      </c>
      <c r="E99" s="1038"/>
      <c r="F99" s="1038"/>
      <c r="G99" s="1038"/>
      <c r="H99" s="1037">
        <v>12.2</v>
      </c>
      <c r="I99" s="12"/>
      <c r="J99" s="12"/>
      <c r="K99" s="12"/>
      <c r="L99" s="12"/>
      <c r="M99" s="12"/>
    </row>
    <row r="100" spans="3:15">
      <c r="C100" s="12"/>
      <c r="D100" s="12"/>
      <c r="E100" s="12"/>
      <c r="F100" s="12"/>
      <c r="G100" s="12"/>
      <c r="H100" s="12"/>
      <c r="I100" s="12"/>
      <c r="J100" s="12"/>
      <c r="K100" s="12"/>
      <c r="L100" s="12"/>
      <c r="M100" s="12"/>
    </row>
    <row r="101" spans="3:15">
      <c r="C101" s="12"/>
      <c r="D101" s="139"/>
      <c r="E101" s="1151"/>
      <c r="F101" s="1151"/>
      <c r="G101" s="1151"/>
      <c r="H101" s="1151"/>
      <c r="I101" s="1151"/>
      <c r="J101" s="1151"/>
      <c r="K101" s="1151"/>
      <c r="L101" s="1151"/>
      <c r="M101" s="12"/>
    </row>
    <row r="102" spans="3:15" ht="15.75">
      <c r="C102" s="12"/>
      <c r="D102" s="940" t="s">
        <v>1398</v>
      </c>
      <c r="E102" s="2145"/>
      <c r="F102" s="2145"/>
      <c r="G102" s="2145"/>
      <c r="H102" s="2145"/>
      <c r="I102" s="2145"/>
      <c r="J102" s="2145"/>
      <c r="K102" s="2145"/>
      <c r="L102" s="2145"/>
      <c r="M102" s="12"/>
    </row>
    <row r="103" spans="3:15">
      <c r="C103" s="12"/>
      <c r="D103" s="139"/>
      <c r="E103" s="1151"/>
      <c r="F103" s="1151"/>
      <c r="G103" s="1151"/>
      <c r="H103" s="1151"/>
      <c r="I103" s="1151"/>
      <c r="J103" s="1151"/>
      <c r="K103" s="1151"/>
      <c r="L103" s="1151"/>
      <c r="M103" s="12"/>
    </row>
    <row r="104" spans="3:15">
      <c r="C104" s="12"/>
      <c r="D104" s="20"/>
      <c r="E104" s="2152"/>
      <c r="F104" s="2152"/>
      <c r="G104" s="20"/>
      <c r="H104" s="283"/>
      <c r="I104" s="27"/>
      <c r="J104" s="12"/>
      <c r="K104" s="12"/>
      <c r="L104" s="12"/>
      <c r="M104" s="12"/>
    </row>
    <row r="105" spans="3:15">
      <c r="C105" s="12"/>
      <c r="D105" s="2146" t="s">
        <v>869</v>
      </c>
      <c r="E105" s="1009" t="s">
        <v>2451</v>
      </c>
      <c r="F105" s="2147" t="s">
        <v>2452</v>
      </c>
      <c r="G105" s="2153" t="s">
        <v>2453</v>
      </c>
      <c r="H105" s="2147" t="s">
        <v>2454</v>
      </c>
      <c r="I105" s="2147" t="s">
        <v>2455</v>
      </c>
      <c r="J105" s="12"/>
      <c r="K105" s="12"/>
      <c r="L105" s="12"/>
      <c r="M105" s="12"/>
      <c r="O105" s="1053"/>
    </row>
    <row r="106" spans="3:15">
      <c r="C106" s="12"/>
      <c r="D106" s="360" t="s">
        <v>306</v>
      </c>
      <c r="E106" s="2154">
        <v>22</v>
      </c>
      <c r="F106" s="2155">
        <f>E106/E110</f>
        <v>0.19298245614035087</v>
      </c>
      <c r="G106" s="2156">
        <v>5.3</v>
      </c>
      <c r="H106" s="2155">
        <f>G106/G110</f>
        <v>7.7147016011644837E-2</v>
      </c>
      <c r="I106" s="2157">
        <f>E106-G106</f>
        <v>16.7</v>
      </c>
      <c r="J106" s="12"/>
      <c r="K106" s="12"/>
      <c r="L106" s="12"/>
      <c r="M106" s="12"/>
    </row>
    <row r="107" spans="3:15">
      <c r="C107" s="12"/>
      <c r="D107" s="360" t="s">
        <v>354</v>
      </c>
      <c r="E107" s="2154">
        <v>15</v>
      </c>
      <c r="F107" s="2155">
        <f>E107/E110</f>
        <v>0.13157894736842105</v>
      </c>
      <c r="G107" s="2156">
        <v>34</v>
      </c>
      <c r="H107" s="2155">
        <f>G107/G110</f>
        <v>0.49490538573508014</v>
      </c>
      <c r="I107" s="2157">
        <f>E107-G107</f>
        <v>-19</v>
      </c>
      <c r="J107" s="12"/>
      <c r="K107" s="12"/>
      <c r="L107" s="12"/>
      <c r="M107" s="12"/>
    </row>
    <row r="108" spans="3:15">
      <c r="C108" s="12"/>
      <c r="D108" s="360" t="s">
        <v>310</v>
      </c>
      <c r="E108" s="2154">
        <v>48</v>
      </c>
      <c r="F108" s="2155">
        <f>E108/E110</f>
        <v>0.42105263157894735</v>
      </c>
      <c r="G108" s="2156">
        <v>0.4</v>
      </c>
      <c r="H108" s="2155">
        <f>G108/G110</f>
        <v>5.8224163027656489E-3</v>
      </c>
      <c r="I108" s="2157">
        <f>E108-G108</f>
        <v>47.6</v>
      </c>
      <c r="J108" s="12"/>
      <c r="K108" s="12"/>
      <c r="L108" s="12"/>
      <c r="M108" s="12"/>
    </row>
    <row r="109" spans="3:15">
      <c r="C109" s="12"/>
      <c r="D109" s="360" t="s">
        <v>564</v>
      </c>
      <c r="E109" s="2154">
        <f>E110-SUM(E106:E108)</f>
        <v>29</v>
      </c>
      <c r="F109" s="2155">
        <f>E109/E110</f>
        <v>0.25438596491228072</v>
      </c>
      <c r="G109" s="2156">
        <v>29</v>
      </c>
      <c r="H109" s="2155">
        <f>G109/G110</f>
        <v>0.42212518195050952</v>
      </c>
      <c r="I109" s="2157">
        <f>E109-G109</f>
        <v>0</v>
      </c>
      <c r="J109" s="12"/>
      <c r="K109" s="12"/>
      <c r="L109" s="12"/>
      <c r="M109" s="12"/>
    </row>
    <row r="110" spans="3:15">
      <c r="C110" s="12"/>
      <c r="D110" s="2158" t="s">
        <v>338</v>
      </c>
      <c r="E110" s="2159">
        <v>114</v>
      </c>
      <c r="F110" s="2160">
        <f>SUM(F106:F109)</f>
        <v>1</v>
      </c>
      <c r="G110" s="2161">
        <f>SUM(G106:G109)</f>
        <v>68.699999999999989</v>
      </c>
      <c r="H110" s="2160">
        <f>SUM(H106:H109)</f>
        <v>1.0000000000000002</v>
      </c>
      <c r="I110" s="2162">
        <f>E110-G110</f>
        <v>45.300000000000011</v>
      </c>
      <c r="J110" s="12"/>
      <c r="K110" s="12"/>
      <c r="L110" s="12"/>
      <c r="M110" s="12"/>
    </row>
    <row r="111" spans="3:15">
      <c r="C111" s="12"/>
      <c r="D111" s="12"/>
      <c r="E111" s="12"/>
      <c r="F111" s="12"/>
      <c r="G111" s="12"/>
      <c r="H111" s="12"/>
      <c r="I111" s="12"/>
      <c r="J111" s="12"/>
      <c r="K111" s="12"/>
      <c r="L111" s="12"/>
      <c r="M111" s="12"/>
    </row>
    <row r="112" spans="3:15" ht="15.75">
      <c r="C112" s="12"/>
      <c r="D112" s="940" t="s">
        <v>1401</v>
      </c>
      <c r="E112" s="2145"/>
      <c r="F112" s="2145"/>
      <c r="G112" s="2145"/>
      <c r="H112" s="2145"/>
      <c r="I112" s="2145"/>
      <c r="J112" s="2145"/>
      <c r="K112" s="2145"/>
      <c r="L112" s="2145"/>
      <c r="M112" s="12"/>
    </row>
    <row r="113" spans="3:13">
      <c r="C113" s="12"/>
      <c r="D113" s="12"/>
      <c r="E113" s="12"/>
      <c r="F113" s="12"/>
      <c r="G113" s="12"/>
      <c r="H113" s="12"/>
      <c r="I113" s="12"/>
      <c r="J113" s="12"/>
      <c r="K113" s="12"/>
      <c r="L113" s="12"/>
      <c r="M113" s="12"/>
    </row>
    <row r="114" spans="3:13">
      <c r="C114" s="12"/>
      <c r="D114" s="1152"/>
      <c r="E114" s="133"/>
      <c r="F114" s="133"/>
      <c r="G114" s="133"/>
      <c r="H114" s="133"/>
      <c r="I114" s="133"/>
      <c r="J114" s="133"/>
      <c r="K114" s="133"/>
      <c r="L114" s="2143" t="s">
        <v>788</v>
      </c>
      <c r="M114" s="12"/>
    </row>
    <row r="115" spans="3:13">
      <c r="C115" s="12"/>
      <c r="D115" s="2151" t="s">
        <v>869</v>
      </c>
      <c r="E115" s="2172">
        <v>2018</v>
      </c>
      <c r="F115" s="2172">
        <v>2020</v>
      </c>
      <c r="G115" s="2172">
        <v>2025</v>
      </c>
      <c r="H115" s="2172">
        <v>2030</v>
      </c>
      <c r="I115" s="2172">
        <v>2035</v>
      </c>
      <c r="J115" s="2172">
        <v>2040</v>
      </c>
      <c r="K115" s="2172">
        <v>2045</v>
      </c>
      <c r="L115" s="2172">
        <v>2050</v>
      </c>
      <c r="M115" s="12"/>
    </row>
    <row r="116" spans="3:13">
      <c r="C116" s="12"/>
      <c r="D116" s="1155" t="s">
        <v>2456</v>
      </c>
      <c r="E116" s="2934">
        <v>3.9719942804609998E-2</v>
      </c>
      <c r="F116" s="2934">
        <v>3.8434611003676296E-2</v>
      </c>
      <c r="G116" s="2934">
        <v>3.8391477341601032E-2</v>
      </c>
      <c r="H116" s="2934">
        <v>3.8099050415201841E-2</v>
      </c>
      <c r="I116" s="2934">
        <v>3.5026750446815337E-2</v>
      </c>
      <c r="J116" s="2934">
        <v>3.5026750446815337E-2</v>
      </c>
      <c r="K116" s="2934">
        <v>3.5026750446815337E-2</v>
      </c>
      <c r="L116" s="2934">
        <v>3.5026750446815337E-2</v>
      </c>
      <c r="M116" s="12"/>
    </row>
    <row r="117" spans="3:13">
      <c r="C117" s="12"/>
      <c r="D117" s="12"/>
      <c r="E117" s="12"/>
      <c r="F117" s="12"/>
      <c r="G117" s="12"/>
      <c r="H117" s="12"/>
      <c r="I117" s="12"/>
      <c r="J117" s="12"/>
      <c r="K117" s="12"/>
      <c r="L117" s="12"/>
      <c r="M117" s="12"/>
    </row>
    <row r="118" spans="3:13" ht="15.75">
      <c r="C118" s="12"/>
      <c r="D118" s="940" t="s">
        <v>2457</v>
      </c>
      <c r="E118" s="2145"/>
      <c r="F118" s="2145"/>
      <c r="G118" s="2145"/>
      <c r="H118" s="2145"/>
      <c r="I118" s="2145"/>
      <c r="J118" s="2145"/>
      <c r="K118" s="2145"/>
      <c r="L118" s="2145"/>
      <c r="M118" s="12"/>
    </row>
    <row r="119" spans="3:13">
      <c r="C119" s="12"/>
      <c r="D119" s="12"/>
      <c r="E119" s="12"/>
      <c r="F119" s="12"/>
      <c r="G119" s="12"/>
      <c r="H119" s="12"/>
      <c r="I119" s="12"/>
      <c r="J119" s="12"/>
      <c r="K119" s="12"/>
      <c r="L119" s="12"/>
      <c r="M119" s="12"/>
    </row>
    <row r="120" spans="3:13">
      <c r="C120" s="12"/>
      <c r="D120" s="12"/>
      <c r="E120" s="12"/>
      <c r="F120" s="12"/>
      <c r="G120" s="12"/>
      <c r="H120" s="12"/>
      <c r="I120" s="12"/>
      <c r="J120" s="12"/>
      <c r="K120" s="12"/>
      <c r="L120" s="12"/>
      <c r="M120" s="12"/>
    </row>
    <row r="121" spans="3:13" ht="15.75">
      <c r="C121" s="12"/>
      <c r="D121" s="940" t="s">
        <v>1403</v>
      </c>
      <c r="E121" s="2145"/>
      <c r="F121" s="2145"/>
      <c r="G121" s="2145"/>
      <c r="H121" s="2145"/>
      <c r="I121" s="2145"/>
      <c r="J121" s="2145"/>
      <c r="K121" s="2145"/>
      <c r="L121" s="2145"/>
      <c r="M121" s="12"/>
    </row>
    <row r="122" spans="3:13">
      <c r="C122" s="12"/>
      <c r="D122" s="12"/>
      <c r="E122" s="12"/>
      <c r="F122" s="12"/>
      <c r="G122" s="12"/>
      <c r="H122" s="12"/>
      <c r="I122" s="12"/>
      <c r="J122" s="12"/>
      <c r="K122" s="12"/>
      <c r="L122" s="12"/>
      <c r="M122" s="12"/>
    </row>
    <row r="123" spans="3:13">
      <c r="C123" s="12"/>
      <c r="D123" s="12"/>
      <c r="E123" s="12"/>
      <c r="F123" s="12"/>
      <c r="G123" s="12"/>
      <c r="H123" s="12"/>
      <c r="I123" s="12"/>
      <c r="J123" s="12"/>
      <c r="K123" s="12"/>
      <c r="L123" s="1158" t="s">
        <v>613</v>
      </c>
      <c r="M123" s="12"/>
    </row>
    <row r="124" spans="3:13">
      <c r="C124" s="12"/>
      <c r="D124" s="2151" t="s">
        <v>869</v>
      </c>
      <c r="E124" s="2163">
        <v>2018</v>
      </c>
      <c r="F124" s="2163">
        <v>2020</v>
      </c>
      <c r="G124" s="2163">
        <v>2025</v>
      </c>
      <c r="H124" s="2163">
        <v>2030</v>
      </c>
      <c r="I124" s="2163">
        <v>2035</v>
      </c>
      <c r="J124" s="2163">
        <v>2040</v>
      </c>
      <c r="K124" s="2163">
        <v>2045</v>
      </c>
      <c r="L124" s="2163">
        <v>2050</v>
      </c>
      <c r="M124" s="12"/>
    </row>
    <row r="125" spans="3:13">
      <c r="C125" s="12"/>
      <c r="D125" s="2164" t="s">
        <v>1619</v>
      </c>
      <c r="E125" s="2165">
        <v>759.74608263526795</v>
      </c>
      <c r="F125" s="1508">
        <v>759.74608263526795</v>
      </c>
      <c r="G125" s="1508">
        <v>759.74608263526795</v>
      </c>
      <c r="H125" s="1508">
        <v>759.74608263526795</v>
      </c>
      <c r="I125" s="1508">
        <v>759.74608263526795</v>
      </c>
      <c r="J125" s="1508">
        <v>759.74608263526795</v>
      </c>
      <c r="K125" s="1508">
        <v>759.74608263526795</v>
      </c>
      <c r="L125" s="1508">
        <v>759.74608263526795</v>
      </c>
      <c r="M125" s="12"/>
    </row>
    <row r="126" spans="3:13">
      <c r="C126" s="12"/>
      <c r="D126" s="12" t="s">
        <v>950</v>
      </c>
      <c r="E126" s="2165">
        <v>1337.1531054380716</v>
      </c>
      <c r="F126" s="1509">
        <v>1337.1531054380716</v>
      </c>
      <c r="G126" s="1510">
        <v>1337.1531054380716</v>
      </c>
      <c r="H126" s="1510">
        <v>1337.1531054380716</v>
      </c>
      <c r="I126" s="1510">
        <v>1337.1531054380716</v>
      </c>
      <c r="J126" s="1510">
        <v>1337.1531054380716</v>
      </c>
      <c r="K126" s="1510">
        <v>1337.1531054380716</v>
      </c>
      <c r="L126" s="1510">
        <v>1337.1531054380716</v>
      </c>
      <c r="M126" s="12"/>
    </row>
    <row r="127" spans="3:13">
      <c r="C127" s="12"/>
      <c r="D127" s="12" t="s">
        <v>953</v>
      </c>
      <c r="E127" s="2165">
        <v>911.69529916232159</v>
      </c>
      <c r="F127" s="1509">
        <v>911.69529916232159</v>
      </c>
      <c r="G127" s="1510">
        <v>911.69529916232159</v>
      </c>
      <c r="H127" s="1510">
        <v>911.69529916232159</v>
      </c>
      <c r="I127" s="1510">
        <v>911.69529916232159</v>
      </c>
      <c r="J127" s="1510">
        <v>911.69529916232159</v>
      </c>
      <c r="K127" s="1510">
        <v>911.69529916232159</v>
      </c>
      <c r="L127" s="1510">
        <v>911.69529916232159</v>
      </c>
      <c r="M127" s="12"/>
    </row>
    <row r="128" spans="3:13">
      <c r="C128" s="12"/>
      <c r="D128" s="12" t="s">
        <v>1620</v>
      </c>
      <c r="E128" s="2165">
        <v>3899.8526167750938</v>
      </c>
      <c r="F128" s="1509">
        <v>3899.8526167750938</v>
      </c>
      <c r="G128" s="1510">
        <v>3899.8526167750938</v>
      </c>
      <c r="H128" s="1510">
        <v>3899.8526167750938</v>
      </c>
      <c r="I128" s="1510">
        <v>3899.8526167750938</v>
      </c>
      <c r="J128" s="1510">
        <v>3899.8526167750938</v>
      </c>
      <c r="K128" s="1510">
        <v>3899.8526167750938</v>
      </c>
      <c r="L128" s="1510">
        <v>3899.8526167750938</v>
      </c>
      <c r="M128" s="12"/>
    </row>
    <row r="129" spans="3:13">
      <c r="C129" s="12"/>
      <c r="D129" s="1867" t="s">
        <v>2458</v>
      </c>
      <c r="E129" s="2166">
        <f t="shared" ref="E129:L129" si="0">SUM(E125:E128)</f>
        <v>6908.4471040107546</v>
      </c>
      <c r="F129" s="2167">
        <f t="shared" si="0"/>
        <v>6908.4471040107546</v>
      </c>
      <c r="G129" s="2167">
        <f t="shared" si="0"/>
        <v>6908.4471040107546</v>
      </c>
      <c r="H129" s="2167">
        <f t="shared" si="0"/>
        <v>6908.4471040107546</v>
      </c>
      <c r="I129" s="2167">
        <f t="shared" si="0"/>
        <v>6908.4471040107546</v>
      </c>
      <c r="J129" s="2167">
        <f t="shared" si="0"/>
        <v>6908.4471040107546</v>
      </c>
      <c r="K129" s="2167">
        <f t="shared" si="0"/>
        <v>6908.4471040107546</v>
      </c>
      <c r="L129" s="2167">
        <f t="shared" si="0"/>
        <v>6908.4471040107546</v>
      </c>
      <c r="M129" s="12"/>
    </row>
    <row r="130" spans="3:13">
      <c r="C130" s="12"/>
      <c r="D130" s="12"/>
      <c r="E130" s="12"/>
      <c r="F130" s="12"/>
      <c r="G130" s="12"/>
      <c r="H130" s="12"/>
      <c r="I130" s="12"/>
      <c r="J130" s="12"/>
      <c r="K130" s="12"/>
      <c r="L130" s="12"/>
      <c r="M130" s="12"/>
    </row>
    <row r="131" spans="3:13" ht="15.75">
      <c r="C131" s="12"/>
      <c r="D131" s="940" t="s">
        <v>2459</v>
      </c>
      <c r="E131" s="2145"/>
      <c r="F131" s="2145"/>
      <c r="G131" s="2145"/>
      <c r="H131" s="2145"/>
      <c r="I131" s="2145"/>
      <c r="J131" s="2145"/>
      <c r="K131" s="2145"/>
      <c r="L131" s="2145"/>
      <c r="M131" s="12"/>
    </row>
    <row r="132" spans="3:13">
      <c r="C132" s="12"/>
      <c r="D132" s="12"/>
      <c r="E132" s="12"/>
      <c r="F132" s="12"/>
      <c r="G132" s="12"/>
      <c r="H132" s="12"/>
      <c r="I132" s="12"/>
      <c r="J132" s="12"/>
      <c r="K132" s="12"/>
      <c r="L132" s="12"/>
      <c r="M132" s="12"/>
    </row>
    <row r="133" spans="3:13" ht="15.75">
      <c r="C133" s="12"/>
      <c r="D133" s="940" t="s">
        <v>1405</v>
      </c>
      <c r="E133" s="2145"/>
      <c r="F133" s="2145"/>
      <c r="G133" s="2145"/>
      <c r="H133" s="2145"/>
      <c r="I133" s="2145"/>
      <c r="J133" s="2145"/>
      <c r="K133" s="2145"/>
      <c r="L133" s="2145"/>
      <c r="M133" s="12"/>
    </row>
    <row r="134" spans="3:13">
      <c r="C134" s="12"/>
      <c r="D134" s="12"/>
      <c r="E134" s="12"/>
      <c r="F134" s="12"/>
      <c r="G134" s="12"/>
      <c r="H134" s="12"/>
      <c r="I134" s="12"/>
      <c r="J134" s="12"/>
      <c r="K134" s="12"/>
      <c r="L134" s="12"/>
      <c r="M134" s="12"/>
    </row>
    <row r="135" spans="3:13" ht="18">
      <c r="C135" s="12"/>
      <c r="D135" s="1162" t="s">
        <v>2460</v>
      </c>
      <c r="E135" s="1163" t="s">
        <v>2461</v>
      </c>
      <c r="F135" s="12"/>
      <c r="G135" s="12"/>
      <c r="H135" s="12"/>
      <c r="I135" s="12"/>
      <c r="J135" s="12"/>
      <c r="K135" s="12"/>
      <c r="L135" s="12"/>
      <c r="M135" s="12"/>
    </row>
    <row r="136" spans="3:13">
      <c r="C136" s="12"/>
      <c r="D136" s="12" t="s">
        <v>611</v>
      </c>
      <c r="E136" s="2935">
        <v>9.3479376596123807</v>
      </c>
      <c r="F136" s="12"/>
      <c r="G136" s="12"/>
      <c r="H136" s="12"/>
      <c r="I136" s="12"/>
      <c r="J136" s="12"/>
      <c r="K136" s="12"/>
      <c r="L136" s="12"/>
      <c r="M136" s="12"/>
    </row>
    <row r="137" spans="3:13">
      <c r="C137" s="12"/>
      <c r="D137" s="12" t="s">
        <v>612</v>
      </c>
      <c r="E137" s="2935">
        <v>117.58</v>
      </c>
      <c r="F137" s="12"/>
      <c r="G137" s="12"/>
      <c r="H137" s="12"/>
      <c r="I137" s="12"/>
      <c r="J137" s="12"/>
      <c r="K137" s="12"/>
      <c r="L137" s="12"/>
      <c r="M137" s="12"/>
    </row>
    <row r="138" spans="3:13">
      <c r="C138" s="12"/>
      <c r="D138" s="12" t="s">
        <v>2462</v>
      </c>
      <c r="E138" s="2935">
        <v>40.109282042707399</v>
      </c>
      <c r="F138" s="12"/>
      <c r="G138" s="12"/>
      <c r="H138" s="12"/>
      <c r="I138" s="12"/>
      <c r="J138" s="12"/>
      <c r="K138" s="12"/>
      <c r="L138" s="12"/>
      <c r="M138" s="12"/>
    </row>
    <row r="139" spans="3:13">
      <c r="C139" s="12"/>
      <c r="D139" s="12" t="s">
        <v>2463</v>
      </c>
      <c r="E139" s="2935">
        <v>0.63424422702273497</v>
      </c>
      <c r="F139" s="12"/>
      <c r="G139" s="12"/>
      <c r="H139" s="12"/>
      <c r="I139" s="12"/>
      <c r="J139" s="12"/>
      <c r="K139" s="12"/>
      <c r="L139" s="12"/>
      <c r="M139" s="12"/>
    </row>
    <row r="140" spans="3:13">
      <c r="C140" s="12"/>
      <c r="D140" s="12" t="s">
        <v>2464</v>
      </c>
      <c r="E140" s="2935">
        <v>2.7416157603676399</v>
      </c>
      <c r="F140" s="12"/>
      <c r="G140" s="12"/>
      <c r="H140" s="12"/>
      <c r="I140" s="12"/>
      <c r="J140" s="12"/>
      <c r="K140" s="12"/>
      <c r="L140" s="12"/>
      <c r="M140" s="12"/>
    </row>
    <row r="141" spans="3:13">
      <c r="C141" s="12"/>
      <c r="D141" s="12" t="s">
        <v>2465</v>
      </c>
      <c r="E141" s="2935">
        <v>5.2900055146462499</v>
      </c>
      <c r="F141" s="12"/>
      <c r="G141" s="12"/>
      <c r="H141" s="12"/>
      <c r="I141" s="12"/>
      <c r="J141" s="12"/>
      <c r="K141" s="12"/>
      <c r="L141" s="12"/>
      <c r="M141" s="12"/>
    </row>
    <row r="142" spans="3:13">
      <c r="C142" s="12"/>
      <c r="D142" s="12" t="s">
        <v>2466</v>
      </c>
      <c r="E142" s="2936">
        <v>129.01</v>
      </c>
      <c r="F142" s="12"/>
      <c r="G142" s="12"/>
      <c r="H142" s="12"/>
      <c r="I142" s="12"/>
      <c r="J142" s="12"/>
      <c r="K142" s="12"/>
      <c r="L142" s="12"/>
      <c r="M142" s="12"/>
    </row>
    <row r="143" spans="3:13">
      <c r="C143" s="12"/>
      <c r="D143" s="275" t="s">
        <v>2467</v>
      </c>
      <c r="E143" s="2937">
        <v>15.81</v>
      </c>
      <c r="F143" s="12"/>
      <c r="G143" s="12"/>
      <c r="H143" s="12"/>
      <c r="I143" s="12"/>
      <c r="J143" s="12"/>
      <c r="K143" s="12"/>
      <c r="L143" s="12"/>
      <c r="M143" s="12"/>
    </row>
    <row r="144" spans="3:13">
      <c r="C144" s="12"/>
      <c r="D144" s="12"/>
      <c r="E144" s="12"/>
      <c r="F144" s="12"/>
      <c r="G144" s="12"/>
      <c r="H144" s="12"/>
      <c r="I144" s="12"/>
      <c r="J144" s="12"/>
      <c r="K144" s="12"/>
      <c r="L144" s="12"/>
      <c r="M144" s="12"/>
    </row>
    <row r="145" spans="3:13" ht="15.75">
      <c r="C145" s="516"/>
      <c r="D145" s="2168" t="s">
        <v>1408</v>
      </c>
      <c r="E145" s="2169"/>
      <c r="F145" s="2169"/>
      <c r="G145" s="2169"/>
      <c r="H145" s="2169"/>
      <c r="I145" s="2169"/>
      <c r="J145" s="2169"/>
      <c r="K145" s="2169"/>
      <c r="L145" s="2169"/>
      <c r="M145" s="12"/>
    </row>
    <row r="146" spans="3:13">
      <c r="C146" s="516"/>
      <c r="D146" s="447"/>
      <c r="E146" s="447"/>
      <c r="F146" s="447"/>
      <c r="G146" s="447"/>
      <c r="H146" s="447"/>
      <c r="I146" s="447"/>
      <c r="J146" s="447"/>
      <c r="K146" s="447"/>
      <c r="L146" s="516"/>
      <c r="M146" s="12"/>
    </row>
    <row r="147" spans="3:13">
      <c r="C147" s="516"/>
      <c r="D147" s="1828" t="s">
        <v>611</v>
      </c>
      <c r="E147" s="1828" t="s">
        <v>2468</v>
      </c>
      <c r="F147" s="2140"/>
      <c r="G147" s="447"/>
      <c r="H147" s="447"/>
      <c r="I147" s="447"/>
      <c r="J147" s="1828" t="s">
        <v>2469</v>
      </c>
      <c r="K147" s="447"/>
      <c r="L147" s="516"/>
      <c r="M147" s="12"/>
    </row>
    <row r="148" spans="3:13">
      <c r="C148" s="516"/>
      <c r="D148" s="2170" t="s">
        <v>2470</v>
      </c>
      <c r="E148" s="2171" t="s">
        <v>2471</v>
      </c>
      <c r="F148" s="2172"/>
      <c r="G148" s="2171"/>
      <c r="H148" s="2172" t="s">
        <v>1408</v>
      </c>
      <c r="I148" s="2172"/>
      <c r="J148" s="2172"/>
      <c r="K148" s="2171"/>
      <c r="L148" s="516"/>
      <c r="M148" s="12"/>
    </row>
    <row r="149" spans="3:13">
      <c r="C149" s="516"/>
      <c r="D149" s="447" t="s">
        <v>2472</v>
      </c>
      <c r="E149" s="447">
        <v>0.217</v>
      </c>
      <c r="F149" s="447"/>
      <c r="G149" s="447"/>
      <c r="H149" s="447">
        <v>3.8565264869134725E-6</v>
      </c>
      <c r="I149" s="447"/>
      <c r="J149" s="447"/>
      <c r="K149" s="447"/>
      <c r="L149" s="516"/>
      <c r="M149" s="12"/>
    </row>
    <row r="150" spans="3:13">
      <c r="C150" s="516"/>
      <c r="D150" s="447" t="s">
        <v>2473</v>
      </c>
      <c r="E150" s="447">
        <v>0.627</v>
      </c>
      <c r="F150" s="447"/>
      <c r="G150" s="447"/>
      <c r="H150" s="447">
        <v>3.4436126215684166E-6</v>
      </c>
      <c r="I150" s="447"/>
      <c r="J150" s="447"/>
      <c r="K150" s="447"/>
      <c r="L150" s="516"/>
      <c r="M150" s="12"/>
    </row>
    <row r="151" spans="3:13">
      <c r="C151" s="516"/>
      <c r="D151" s="1174" t="s">
        <v>2474</v>
      </c>
      <c r="E151" s="1174">
        <v>1.06</v>
      </c>
      <c r="F151" s="1174"/>
      <c r="G151" s="1174"/>
      <c r="H151" s="1174">
        <v>1.985372779396675E-6</v>
      </c>
      <c r="I151" s="1174"/>
      <c r="J151" s="1174"/>
      <c r="K151" s="1174"/>
      <c r="L151" s="516"/>
      <c r="M151" s="12"/>
    </row>
    <row r="152" spans="3:13">
      <c r="C152" s="516"/>
      <c r="D152" s="447"/>
      <c r="E152" s="447"/>
      <c r="F152" s="447"/>
      <c r="G152" s="447"/>
      <c r="H152" s="447"/>
      <c r="I152" s="447"/>
      <c r="J152" s="447"/>
      <c r="K152" s="447"/>
      <c r="L152" s="516"/>
      <c r="M152" s="12"/>
    </row>
    <row r="153" spans="3:13">
      <c r="C153" s="516"/>
      <c r="D153" s="1828" t="s">
        <v>2475</v>
      </c>
      <c r="E153" s="1828" t="s">
        <v>2468</v>
      </c>
      <c r="F153" s="2140"/>
      <c r="G153" s="447"/>
      <c r="H153" s="447"/>
      <c r="I153" s="447"/>
      <c r="J153" s="1828" t="s">
        <v>2469</v>
      </c>
      <c r="K153" s="447"/>
      <c r="L153" s="516"/>
      <c r="M153" s="12"/>
    </row>
    <row r="154" spans="3:13">
      <c r="C154" s="516"/>
      <c r="D154" s="2170" t="s">
        <v>2470</v>
      </c>
      <c r="E154" s="2171" t="s">
        <v>2471</v>
      </c>
      <c r="F154" s="2172"/>
      <c r="G154" s="2171"/>
      <c r="H154" s="2172" t="s">
        <v>1408</v>
      </c>
      <c r="I154" s="2172"/>
      <c r="J154" s="2172"/>
      <c r="K154" s="2171"/>
      <c r="L154" s="516"/>
      <c r="M154" s="12"/>
    </row>
    <row r="155" spans="3:13">
      <c r="C155" s="516"/>
      <c r="D155" s="447" t="s">
        <v>2476</v>
      </c>
      <c r="E155" s="447">
        <v>3.36</v>
      </c>
      <c r="F155" s="447"/>
      <c r="G155" s="447"/>
      <c r="H155" s="447">
        <v>1.3588695445454334E-6</v>
      </c>
      <c r="I155" s="447"/>
      <c r="J155" s="447"/>
      <c r="K155" s="447"/>
      <c r="L155" s="516"/>
      <c r="M155" s="12"/>
    </row>
    <row r="156" spans="3:13">
      <c r="C156" s="516"/>
      <c r="D156" s="1174" t="s">
        <v>504</v>
      </c>
      <c r="E156" s="1174">
        <v>2.68</v>
      </c>
      <c r="F156" s="1174"/>
      <c r="G156" s="1174"/>
      <c r="H156" s="1174">
        <v>3.0466006569134997E-6</v>
      </c>
      <c r="I156" s="1174"/>
      <c r="J156" s="1174"/>
      <c r="K156" s="1174"/>
      <c r="L156" s="516"/>
      <c r="M156" s="12"/>
    </row>
    <row r="157" spans="3:13">
      <c r="C157" s="516"/>
      <c r="D157" s="447"/>
      <c r="E157" s="447"/>
      <c r="F157" s="447"/>
      <c r="G157" s="447"/>
      <c r="H157" s="447"/>
      <c r="I157" s="447"/>
      <c r="J157" s="447"/>
      <c r="K157" s="447"/>
      <c r="L157" s="516"/>
      <c r="M157" s="12"/>
    </row>
    <row r="158" spans="3:13">
      <c r="C158" s="516"/>
      <c r="D158" s="1828" t="s">
        <v>2462</v>
      </c>
      <c r="E158" s="1828" t="s">
        <v>2468</v>
      </c>
      <c r="F158" s="2140"/>
      <c r="G158" s="447"/>
      <c r="H158" s="447"/>
      <c r="I158" s="447"/>
      <c r="J158" s="1828" t="s">
        <v>2469</v>
      </c>
      <c r="K158" s="447"/>
      <c r="L158" s="516"/>
      <c r="M158" s="12"/>
    </row>
    <row r="159" spans="3:13">
      <c r="C159" s="516"/>
      <c r="D159" s="2170" t="s">
        <v>2470</v>
      </c>
      <c r="E159" s="2171" t="s">
        <v>2471</v>
      </c>
      <c r="F159" s="2172"/>
      <c r="G159" s="2171"/>
      <c r="H159" s="2172" t="s">
        <v>1408</v>
      </c>
      <c r="I159" s="2172"/>
      <c r="J159" s="2172"/>
      <c r="K159" s="2171"/>
      <c r="L159" s="516"/>
      <c r="M159" s="12"/>
    </row>
    <row r="160" spans="3:13">
      <c r="C160" s="516"/>
      <c r="D160" s="447" t="s">
        <v>504</v>
      </c>
      <c r="E160" s="447">
        <v>2.5299999999999998</v>
      </c>
      <c r="F160" s="447"/>
      <c r="G160" s="447"/>
      <c r="H160" s="447">
        <v>4.5157138092018609E-6</v>
      </c>
      <c r="I160" s="447"/>
      <c r="J160" s="447"/>
      <c r="K160" s="447"/>
      <c r="L160" s="516"/>
      <c r="M160" s="12"/>
    </row>
    <row r="161" spans="3:13">
      <c r="C161" s="516"/>
      <c r="D161" s="1174" t="s">
        <v>2477</v>
      </c>
      <c r="E161" s="1174">
        <v>3.75</v>
      </c>
      <c r="F161" s="1174"/>
      <c r="G161" s="1174"/>
      <c r="H161" s="1174">
        <v>9.1678436965876103E-7</v>
      </c>
      <c r="I161" s="1174"/>
      <c r="J161" s="1174"/>
      <c r="K161" s="1174"/>
      <c r="L161" s="516"/>
      <c r="M161" s="12"/>
    </row>
    <row r="162" spans="3:13">
      <c r="C162" s="516"/>
      <c r="D162" s="447"/>
      <c r="E162" s="447"/>
      <c r="F162" s="447"/>
      <c r="G162" s="447"/>
      <c r="H162" s="447"/>
      <c r="I162" s="447"/>
      <c r="J162" s="447"/>
      <c r="K162" s="447"/>
      <c r="L162" s="516"/>
      <c r="M162" s="12"/>
    </row>
    <row r="163" spans="3:13">
      <c r="C163" s="516"/>
      <c r="D163" s="1828" t="s">
        <v>2463</v>
      </c>
      <c r="E163" s="1828" t="s">
        <v>2468</v>
      </c>
      <c r="F163" s="2140"/>
      <c r="G163" s="447"/>
      <c r="H163" s="447"/>
      <c r="I163" s="447"/>
      <c r="J163" s="1828" t="s">
        <v>2469</v>
      </c>
      <c r="K163" s="447"/>
      <c r="L163" s="516"/>
      <c r="M163" s="12"/>
    </row>
    <row r="164" spans="3:13">
      <c r="C164" s="516"/>
      <c r="D164" s="2170" t="s">
        <v>2470</v>
      </c>
      <c r="E164" s="2171" t="s">
        <v>2471</v>
      </c>
      <c r="F164" s="2172"/>
      <c r="G164" s="2171"/>
      <c r="H164" s="2172" t="s">
        <v>1408</v>
      </c>
      <c r="I164" s="2172"/>
      <c r="J164" s="2172"/>
      <c r="K164" s="2171"/>
      <c r="L164" s="516"/>
      <c r="M164" s="12"/>
    </row>
    <row r="165" spans="3:13">
      <c r="C165" s="516"/>
      <c r="D165" s="447" t="s">
        <v>2478</v>
      </c>
      <c r="E165" s="447">
        <v>2.1309999999999998</v>
      </c>
      <c r="F165" s="447"/>
      <c r="G165" s="447"/>
      <c r="H165" s="447">
        <v>9.9690616528707785E-7</v>
      </c>
      <c r="I165" s="447"/>
      <c r="J165" s="447"/>
      <c r="K165" s="447"/>
      <c r="L165" s="516"/>
      <c r="M165" s="12"/>
    </row>
    <row r="166" spans="3:13">
      <c r="C166" s="516"/>
      <c r="D166" s="447" t="s">
        <v>2479</v>
      </c>
      <c r="E166" s="447">
        <v>0.20499999999999999</v>
      </c>
      <c r="F166" s="447"/>
      <c r="G166" s="447"/>
      <c r="H166" s="447">
        <v>4.800677034698028E-6</v>
      </c>
      <c r="I166" s="447"/>
      <c r="J166" s="447"/>
      <c r="K166" s="447"/>
      <c r="L166" s="516"/>
      <c r="M166" s="12"/>
    </row>
    <row r="167" spans="3:13">
      <c r="C167" s="516"/>
      <c r="D167" s="1174" t="s">
        <v>2480</v>
      </c>
      <c r="E167" s="1174">
        <v>3.024</v>
      </c>
      <c r="F167" s="1174"/>
      <c r="G167" s="1174"/>
      <c r="H167" s="1174">
        <v>3.7589644797829163E-6</v>
      </c>
      <c r="I167" s="1174"/>
      <c r="J167" s="1174"/>
      <c r="K167" s="1174"/>
      <c r="L167" s="516"/>
      <c r="M167" s="12"/>
    </row>
    <row r="168" spans="3:13">
      <c r="C168" s="516"/>
      <c r="D168" s="447"/>
      <c r="E168" s="447"/>
      <c r="F168" s="447"/>
      <c r="G168" s="447"/>
      <c r="H168" s="447"/>
      <c r="I168" s="447"/>
      <c r="J168" s="447"/>
      <c r="K168" s="447"/>
      <c r="L168" s="516"/>
      <c r="M168" s="12"/>
    </row>
    <row r="169" spans="3:13">
      <c r="C169" s="516"/>
      <c r="D169" s="1828" t="s">
        <v>2464</v>
      </c>
      <c r="E169" s="1828" t="s">
        <v>2468</v>
      </c>
      <c r="F169" s="2140"/>
      <c r="G169" s="447"/>
      <c r="H169" s="447"/>
      <c r="I169" s="447"/>
      <c r="J169" s="1828" t="s">
        <v>2469</v>
      </c>
      <c r="K169" s="447"/>
      <c r="L169" s="516"/>
      <c r="M169" s="12"/>
    </row>
    <row r="170" spans="3:13">
      <c r="C170" s="516"/>
      <c r="D170" s="2170" t="s">
        <v>2470</v>
      </c>
      <c r="E170" s="2171" t="s">
        <v>2471</v>
      </c>
      <c r="F170" s="2172"/>
      <c r="G170" s="2171"/>
      <c r="H170" s="2171" t="s">
        <v>1408</v>
      </c>
      <c r="I170" s="2172"/>
      <c r="J170" s="2172"/>
      <c r="K170" s="2171"/>
      <c r="L170" s="516"/>
      <c r="M170" s="12"/>
    </row>
    <row r="171" spans="3:13">
      <c r="C171" s="516"/>
      <c r="D171" s="447" t="s">
        <v>2481</v>
      </c>
      <c r="E171" s="447">
        <v>0.93400000000000005</v>
      </c>
      <c r="F171" s="447"/>
      <c r="G171" s="447"/>
      <c r="H171" s="447">
        <v>2.7314530557928335E-6</v>
      </c>
      <c r="I171" s="447"/>
      <c r="J171" s="447"/>
      <c r="K171" s="447"/>
      <c r="L171" s="516"/>
      <c r="M171" s="12"/>
    </row>
    <row r="172" spans="3:13">
      <c r="C172" s="516"/>
      <c r="D172" s="447" t="s">
        <v>2482</v>
      </c>
      <c r="E172" s="447">
        <v>0.27</v>
      </c>
      <c r="F172" s="447"/>
      <c r="G172" s="447"/>
      <c r="H172" s="447">
        <v>2.8901976317560001E-6</v>
      </c>
      <c r="I172" s="447"/>
      <c r="J172" s="447"/>
      <c r="K172" s="447"/>
      <c r="L172" s="516"/>
      <c r="M172" s="12"/>
    </row>
    <row r="173" spans="3:13">
      <c r="C173" s="516"/>
      <c r="D173" s="1174" t="s">
        <v>2483</v>
      </c>
      <c r="E173" s="1174">
        <v>0.21099999999999999</v>
      </c>
      <c r="F173" s="1174"/>
      <c r="G173" s="1174"/>
      <c r="H173" s="1174">
        <v>4.2155763408116669E-6</v>
      </c>
      <c r="I173" s="1174"/>
      <c r="J173" s="1174"/>
      <c r="K173" s="1174"/>
      <c r="L173" s="516"/>
      <c r="M173" s="12"/>
    </row>
    <row r="174" spans="3:13">
      <c r="C174" s="516"/>
      <c r="D174" s="447"/>
      <c r="E174" s="447"/>
      <c r="F174" s="447"/>
      <c r="G174" s="447"/>
      <c r="H174" s="447"/>
      <c r="I174" s="447"/>
      <c r="J174" s="447"/>
      <c r="K174" s="447"/>
      <c r="L174" s="516"/>
      <c r="M174" s="12"/>
    </row>
    <row r="175" spans="3:13">
      <c r="C175" s="516"/>
      <c r="D175" s="1828" t="s">
        <v>2465</v>
      </c>
      <c r="E175" s="1828" t="s">
        <v>2468</v>
      </c>
      <c r="F175" s="2140"/>
      <c r="G175" s="447"/>
      <c r="H175" s="447"/>
      <c r="I175" s="447"/>
      <c r="J175" s="1828" t="s">
        <v>2469</v>
      </c>
      <c r="K175" s="447"/>
      <c r="L175" s="516"/>
      <c r="M175" s="12"/>
    </row>
    <row r="176" spans="3:13">
      <c r="C176" s="516"/>
      <c r="D176" s="2170" t="s">
        <v>2470</v>
      </c>
      <c r="E176" s="2171" t="s">
        <v>2471</v>
      </c>
      <c r="F176" s="2172"/>
      <c r="G176" s="2171"/>
      <c r="H176" s="2171" t="s">
        <v>1408</v>
      </c>
      <c r="I176" s="2172"/>
      <c r="J176" s="2172"/>
      <c r="K176" s="2171"/>
      <c r="L176" s="516"/>
      <c r="M176" s="12"/>
    </row>
    <row r="177" spans="3:13">
      <c r="C177" s="516"/>
      <c r="D177" s="447" t="s">
        <v>2484</v>
      </c>
      <c r="E177" s="447">
        <v>2.35</v>
      </c>
      <c r="F177" s="447"/>
      <c r="G177" s="447"/>
      <c r="H177" s="447">
        <v>9.9311998011339158E-7</v>
      </c>
      <c r="I177" s="447"/>
      <c r="J177" s="447"/>
      <c r="K177" s="447"/>
      <c r="L177" s="516"/>
      <c r="M177" s="12"/>
    </row>
    <row r="178" spans="3:13">
      <c r="C178" s="516"/>
      <c r="D178" s="1174" t="s">
        <v>2485</v>
      </c>
      <c r="E178" s="1174">
        <v>0.2</v>
      </c>
      <c r="F178" s="1174"/>
      <c r="G178" s="1174"/>
      <c r="H178" s="1174">
        <v>4.0231730637358058E-6</v>
      </c>
      <c r="I178" s="1174"/>
      <c r="J178" s="1174"/>
      <c r="K178" s="1174"/>
      <c r="L178" s="516"/>
      <c r="M178" s="12"/>
    </row>
    <row r="179" spans="3:13">
      <c r="C179" s="516"/>
      <c r="D179" s="447"/>
      <c r="E179" s="447"/>
      <c r="F179" s="447"/>
      <c r="G179" s="447"/>
      <c r="H179" s="447"/>
      <c r="I179" s="447"/>
      <c r="J179" s="447"/>
      <c r="K179" s="447"/>
      <c r="L179" s="516"/>
      <c r="M179" s="12"/>
    </row>
    <row r="180" spans="3:13">
      <c r="C180" s="516"/>
      <c r="D180" s="1828" t="s">
        <v>2486</v>
      </c>
      <c r="E180" s="1828" t="s">
        <v>2468</v>
      </c>
      <c r="F180" s="2140"/>
      <c r="G180" s="447"/>
      <c r="H180" s="447"/>
      <c r="I180" s="447"/>
      <c r="J180" s="1828" t="s">
        <v>2469</v>
      </c>
      <c r="K180" s="447"/>
      <c r="L180" s="516"/>
      <c r="M180" s="12"/>
    </row>
    <row r="181" spans="3:13">
      <c r="C181" s="516"/>
      <c r="D181" s="2170" t="s">
        <v>2470</v>
      </c>
      <c r="E181" s="2171" t="s">
        <v>2471</v>
      </c>
      <c r="F181" s="2172"/>
      <c r="G181" s="2171"/>
      <c r="H181" s="2171" t="s">
        <v>1408</v>
      </c>
      <c r="I181" s="2172"/>
      <c r="J181" s="2172"/>
      <c r="K181" s="2171"/>
      <c r="L181" s="516"/>
      <c r="M181" s="12"/>
    </row>
    <row r="182" spans="3:13">
      <c r="C182" s="516"/>
      <c r="D182" s="447" t="s">
        <v>2487</v>
      </c>
      <c r="E182" s="447">
        <v>1</v>
      </c>
      <c r="F182" s="447"/>
      <c r="G182" s="447"/>
      <c r="H182" s="447">
        <v>1.1925019460183555E-7</v>
      </c>
      <c r="I182" s="447"/>
      <c r="J182" s="447"/>
      <c r="K182" s="447"/>
      <c r="L182" s="516"/>
      <c r="M182" s="12"/>
    </row>
    <row r="183" spans="3:13">
      <c r="C183" s="516"/>
      <c r="D183" s="447" t="s">
        <v>2488</v>
      </c>
      <c r="E183" s="447">
        <v>5</v>
      </c>
      <c r="F183" s="447"/>
      <c r="G183" s="447"/>
      <c r="H183" s="447">
        <v>1.5660049553513168E-7</v>
      </c>
      <c r="I183" s="447"/>
      <c r="J183" s="447"/>
      <c r="K183" s="447"/>
      <c r="L183" s="516"/>
      <c r="M183" s="12"/>
    </row>
    <row r="184" spans="3:13">
      <c r="C184" s="516"/>
      <c r="D184" s="1174" t="s">
        <v>2489</v>
      </c>
      <c r="E184" s="1174">
        <v>0.15</v>
      </c>
      <c r="F184" s="1174"/>
      <c r="G184" s="1174"/>
      <c r="H184" s="1174">
        <v>4.8839273062116944E-7</v>
      </c>
      <c r="I184" s="1174"/>
      <c r="J184" s="1174"/>
      <c r="K184" s="1174"/>
      <c r="L184" s="516"/>
      <c r="M184" s="12"/>
    </row>
    <row r="185" spans="3:13">
      <c r="C185" s="516"/>
      <c r="D185" s="447"/>
      <c r="E185" s="447"/>
      <c r="F185" s="447"/>
      <c r="G185" s="447"/>
      <c r="H185" s="447"/>
      <c r="I185" s="447"/>
      <c r="J185" s="447"/>
      <c r="K185" s="447"/>
      <c r="L185" s="516"/>
      <c r="M185" s="12"/>
    </row>
    <row r="186" spans="3:13">
      <c r="C186" s="516"/>
      <c r="D186" s="1828" t="s">
        <v>2490</v>
      </c>
      <c r="E186" s="1828" t="s">
        <v>2468</v>
      </c>
      <c r="F186" s="2140"/>
      <c r="G186" s="447"/>
      <c r="H186" s="447"/>
      <c r="I186" s="447"/>
      <c r="J186" s="1828" t="s">
        <v>2469</v>
      </c>
      <c r="K186" s="447"/>
      <c r="L186" s="516"/>
      <c r="M186" s="12"/>
    </row>
    <row r="187" spans="3:13">
      <c r="C187" s="516"/>
      <c r="D187" s="2170" t="s">
        <v>2470</v>
      </c>
      <c r="E187" s="2171" t="s">
        <v>2471</v>
      </c>
      <c r="F187" s="2172"/>
      <c r="G187" s="2171"/>
      <c r="H187" s="2171" t="s">
        <v>1408</v>
      </c>
      <c r="I187" s="2172"/>
      <c r="J187" s="2172"/>
      <c r="K187" s="2171"/>
      <c r="L187" s="516"/>
      <c r="M187" s="12"/>
    </row>
    <row r="188" spans="3:13">
      <c r="C188" s="516"/>
      <c r="D188" s="447" t="s">
        <v>2491</v>
      </c>
      <c r="E188" s="447">
        <v>1</v>
      </c>
      <c r="F188" s="447"/>
      <c r="G188" s="447"/>
      <c r="H188" s="447">
        <v>1.19250003339E-7</v>
      </c>
      <c r="I188" s="447"/>
      <c r="J188" s="447"/>
      <c r="K188" s="447"/>
      <c r="L188" s="516"/>
      <c r="M188" s="12"/>
    </row>
    <row r="189" spans="3:13">
      <c r="C189" s="516"/>
      <c r="D189" s="447" t="s">
        <v>2492</v>
      </c>
      <c r="E189" s="447">
        <v>5</v>
      </c>
      <c r="F189" s="447"/>
      <c r="G189" s="447"/>
      <c r="H189" s="447">
        <v>1.5660061070060668E-7</v>
      </c>
      <c r="I189" s="447"/>
      <c r="J189" s="447"/>
      <c r="K189" s="447"/>
      <c r="L189" s="516"/>
      <c r="M189" s="12"/>
    </row>
    <row r="190" spans="3:13">
      <c r="C190" s="516"/>
      <c r="D190" s="1174" t="s">
        <v>2493</v>
      </c>
      <c r="E190" s="1174">
        <v>0.15</v>
      </c>
      <c r="F190" s="1174"/>
      <c r="G190" s="1174"/>
      <c r="H190" s="1174">
        <v>4.8839780314882224E-7</v>
      </c>
      <c r="I190" s="1174"/>
      <c r="J190" s="1174"/>
      <c r="K190" s="1174"/>
      <c r="L190" s="516"/>
      <c r="M190" s="12"/>
    </row>
    <row r="191" spans="3:13">
      <c r="C191" s="516"/>
      <c r="D191" s="447"/>
      <c r="E191" s="447"/>
      <c r="F191" s="447"/>
      <c r="G191" s="447"/>
      <c r="H191" s="447"/>
      <c r="I191" s="447"/>
      <c r="J191" s="447"/>
      <c r="K191" s="447"/>
      <c r="L191" s="516"/>
      <c r="M191" s="12"/>
    </row>
    <row r="192" spans="3:13">
      <c r="C192" s="3"/>
      <c r="D192" s="3"/>
      <c r="E192" s="3"/>
      <c r="F192" s="3"/>
      <c r="G192" s="3"/>
      <c r="H192" s="3"/>
      <c r="I192" s="3"/>
      <c r="J192" s="3"/>
      <c r="K192" s="3"/>
      <c r="L192" s="3"/>
      <c r="M192" s="3"/>
    </row>
    <row r="193" spans="1:15" ht="18.75">
      <c r="C193" s="956" t="s">
        <v>51</v>
      </c>
      <c r="D193" s="336"/>
      <c r="E193" s="908"/>
      <c r="F193" s="908"/>
      <c r="G193" s="908"/>
      <c r="H193" s="908"/>
      <c r="I193" s="908"/>
      <c r="J193" s="908"/>
      <c r="K193" s="908"/>
      <c r="L193" s="908"/>
      <c r="M193" s="336"/>
    </row>
    <row r="194" spans="1:15" ht="15.75">
      <c r="C194" s="25"/>
      <c r="D194" s="19"/>
      <c r="E194" s="754"/>
      <c r="F194" s="754"/>
      <c r="G194" s="754"/>
      <c r="H194" s="754"/>
      <c r="I194" s="754"/>
      <c r="J194" s="754"/>
      <c r="K194" s="754"/>
      <c r="L194" s="754"/>
      <c r="M194" s="40"/>
    </row>
    <row r="195" spans="1:15" ht="15.75">
      <c r="C195" s="11"/>
      <c r="D195" s="940" t="s">
        <v>2494</v>
      </c>
      <c r="E195" s="2145"/>
      <c r="F195" s="2145"/>
      <c r="G195" s="2145"/>
      <c r="H195" s="2145"/>
      <c r="I195" s="2145"/>
      <c r="J195" s="2145"/>
      <c r="K195" s="2145"/>
      <c r="L195" s="2145"/>
      <c r="M195" s="12"/>
    </row>
    <row r="196" spans="1:15">
      <c r="C196" s="11"/>
      <c r="D196" s="96"/>
      <c r="E196" s="752"/>
      <c r="F196" s="752"/>
      <c r="G196" s="2173"/>
      <c r="H196" s="2173"/>
      <c r="I196" s="2173"/>
      <c r="J196" s="2173"/>
      <c r="K196" s="2173"/>
      <c r="L196" s="752"/>
      <c r="M196" s="12"/>
    </row>
    <row r="197" spans="1:15">
      <c r="C197" s="11"/>
      <c r="D197" s="264" t="s">
        <v>820</v>
      </c>
      <c r="E197" s="752"/>
      <c r="F197" s="752"/>
      <c r="G197" s="752"/>
      <c r="H197" s="752"/>
      <c r="I197" s="752"/>
      <c r="J197" s="752"/>
      <c r="K197" s="752"/>
      <c r="L197" s="771" t="s">
        <v>2495</v>
      </c>
      <c r="M197" s="12"/>
    </row>
    <row r="198" spans="1:15">
      <c r="C198" s="11"/>
      <c r="D198" s="2174" t="s">
        <v>869</v>
      </c>
      <c r="E198" s="2175">
        <v>2018</v>
      </c>
      <c r="F198" s="2175" t="s">
        <v>322</v>
      </c>
      <c r="G198" s="2175">
        <v>2025</v>
      </c>
      <c r="H198" s="2175" t="s">
        <v>324</v>
      </c>
      <c r="I198" s="2175" t="s">
        <v>325</v>
      </c>
      <c r="J198" s="2175" t="s">
        <v>326</v>
      </c>
      <c r="K198" s="2175" t="s">
        <v>327</v>
      </c>
      <c r="L198" s="2175" t="s">
        <v>328</v>
      </c>
      <c r="M198" s="12"/>
    </row>
    <row r="199" spans="1:15">
      <c r="C199" s="11"/>
      <c r="D199" s="203" t="s">
        <v>1619</v>
      </c>
      <c r="E199" s="2669">
        <f>$E$125*(COSTOS_AGRO_SISTEMAS_AGROFORESTALES*(1+COSTOS_AGRO_ESCENARIO_ALTO_SISTEMAS_AGROFORESTALES)^(E198-$E$198)*COSTOS_Pesos_Colombianos_COP_MMCOP)</f>
        <v>0.22808641045226435</v>
      </c>
      <c r="F199" s="2669">
        <f t="shared" ref="F199:L199" si="1">($E$125+F125)*((COSTOS_AGRO_SISTEMAS_AGROFORESTALES*(1+COSTOS_AGRO_ESCENARIO_ALTO_SISTEMAS_AGROFORESTALES)^(F198-$E$198))*COSTOS_Pesos_Colombianos_COP_MMCOP)</f>
        <v>0.45617282090452871</v>
      </c>
      <c r="G199" s="2669">
        <f t="shared" si="1"/>
        <v>0.45617282090452871</v>
      </c>
      <c r="H199" s="2669">
        <f t="shared" si="1"/>
        <v>0.45617282090452871</v>
      </c>
      <c r="I199" s="2669">
        <f t="shared" si="1"/>
        <v>0.45617282090452871</v>
      </c>
      <c r="J199" s="2669">
        <f t="shared" si="1"/>
        <v>0.45617282090452871</v>
      </c>
      <c r="K199" s="2669">
        <f t="shared" si="1"/>
        <v>0.45617282090452871</v>
      </c>
      <c r="L199" s="2669">
        <f t="shared" si="1"/>
        <v>0.45617282090452871</v>
      </c>
      <c r="M199" s="12"/>
    </row>
    <row r="200" spans="1:15">
      <c r="C200" s="11"/>
      <c r="D200" s="203" t="s">
        <v>950</v>
      </c>
      <c r="E200" s="2670">
        <f>E$126*(COSTOS_AGRO_USO_EFICIENTE_FERTILIZANTES*((1+COSTOS_AGRO_ESCENARIO_ALTO_USO_EFICIENTE_FERTILIZANTES)^(E124-$E$124))*COSTOS_2019_US_dolares_MMCOP)</f>
        <v>2.3323877377510638E-3</v>
      </c>
      <c r="F200" s="2670">
        <f t="shared" ref="F200:L200" si="2">($E$126+F126)*(COSTOS_AGRO_USO_EFICIENTE_FERTILIZANTES*((1+COSTOS_AGRO_ESCENARIO_ALTO_USO_EFICIENTE_FERTILIZANTES)^(F198-$E$198))*COSTOS_2019_US_dolares_MMCOP)</f>
        <v>4.6647754755021276E-3</v>
      </c>
      <c r="G200" s="2670">
        <f t="shared" si="2"/>
        <v>4.6647754755021276E-3</v>
      </c>
      <c r="H200" s="2670">
        <f t="shared" si="2"/>
        <v>4.6647754755021276E-3</v>
      </c>
      <c r="I200" s="2670">
        <f t="shared" si="2"/>
        <v>4.6647754755021276E-3</v>
      </c>
      <c r="J200" s="2670">
        <f t="shared" si="2"/>
        <v>4.6647754755021276E-3</v>
      </c>
      <c r="K200" s="2670">
        <f t="shared" si="2"/>
        <v>4.6647754755021276E-3</v>
      </c>
      <c r="L200" s="2670">
        <f t="shared" si="2"/>
        <v>4.6647754755021276E-3</v>
      </c>
      <c r="M200" s="12"/>
    </row>
    <row r="201" spans="1:15">
      <c r="C201" s="11"/>
      <c r="D201" s="203" t="s">
        <v>953</v>
      </c>
      <c r="E201" s="2671">
        <f>E$127*(COSTOS_AGRO_USO_BIODIGESTORES*((1+COSTOS_AGRO_ESCENARIO_ALTO_USO_BIODIGESTORES)^(E124-$E$124))*COSTOS_2019_US_dolares_MMCOP)</f>
        <v>1.1320525999870341E-4</v>
      </c>
      <c r="F201" s="2671">
        <f t="shared" ref="F201:L201" si="3">(E$127+F127)*(COSTOS_AGRO_USO_BIODIGESTORES*((1+COSTOS_AGRO_ESCENARIO_ALTO_USO_BIODIGESTORES)^(F198-$E$198))*COSTOS_2019_US_dolares_MMCOP)</f>
        <v>2.2641051999740681E-4</v>
      </c>
      <c r="G201" s="2671">
        <f t="shared" si="3"/>
        <v>2.2641051999740681E-4</v>
      </c>
      <c r="H201" s="2671">
        <f t="shared" si="3"/>
        <v>2.2641051999740681E-4</v>
      </c>
      <c r="I201" s="2671">
        <f t="shared" si="3"/>
        <v>2.2641051999740681E-4</v>
      </c>
      <c r="J201" s="2671">
        <f t="shared" si="3"/>
        <v>2.2641051999740681E-4</v>
      </c>
      <c r="K201" s="2671">
        <f t="shared" si="3"/>
        <v>2.2641051999740681E-4</v>
      </c>
      <c r="L201" s="2671">
        <f t="shared" si="3"/>
        <v>2.2641051999740681E-4</v>
      </c>
      <c r="M201" s="12"/>
    </row>
    <row r="202" spans="1:15">
      <c r="C202" s="205"/>
      <c r="D202" s="2743" t="s">
        <v>2496</v>
      </c>
      <c r="E202" s="2744">
        <f>E$128*(COSTOS_AGRO_PLANTACIONES_MANGO_AGUACATE*((1+COSTOS_AGRO_ESCENARIO_ALTO_PLANTACIONES_MANGO_AGUACATE)^(E125-$E$124))*COSTOS_Pesos_Colombianos_COP_MMCOP)</f>
        <v>5.5260911579703082E-3</v>
      </c>
      <c r="F202" s="2744">
        <f t="shared" ref="F202:L202" si="4">(E$128+F128)*(COSTOS_AGRO_PLANTACIONES_MANGO_AGUACATE*((1+COSTOS_AGRO_ESCENARIO_ALTO_PLANTACIONES_MANGO_AGUACATE)^(F205-$E$205))*COSTOS_Pesos_Colombianos_COP_MMCOP)</f>
        <v>1.1052182315940616E-2</v>
      </c>
      <c r="G202" s="2744">
        <f t="shared" si="4"/>
        <v>1.1052182315940616E-2</v>
      </c>
      <c r="H202" s="2744">
        <f t="shared" si="4"/>
        <v>1.1052182315940616E-2</v>
      </c>
      <c r="I202" s="2744">
        <f t="shared" si="4"/>
        <v>1.1052182315940616E-2</v>
      </c>
      <c r="J202" s="2744">
        <f t="shared" si="4"/>
        <v>1.1052182315940616E-2</v>
      </c>
      <c r="K202" s="2744">
        <f t="shared" si="4"/>
        <v>1.1052182315940616E-2</v>
      </c>
      <c r="L202" s="2744">
        <f t="shared" si="4"/>
        <v>1.1052182315940616E-2</v>
      </c>
      <c r="M202" s="205"/>
    </row>
    <row r="203" spans="1:15" s="270" customFormat="1" ht="15" customHeight="1">
      <c r="A203" s="663"/>
      <c r="C203" s="12"/>
      <c r="D203" s="12"/>
      <c r="E203" s="12"/>
      <c r="F203" s="12"/>
      <c r="G203" s="12"/>
      <c r="H203" s="12"/>
      <c r="I203" s="12"/>
      <c r="J203" s="12"/>
      <c r="K203" s="12"/>
      <c r="L203" s="12"/>
      <c r="M203" s="12"/>
      <c r="N203" s="3"/>
      <c r="O203" s="3"/>
    </row>
    <row r="204" spans="1:15" s="603" customFormat="1" ht="15" customHeight="1">
      <c r="A204" s="663"/>
      <c r="B204" s="270"/>
      <c r="C204" s="11"/>
      <c r="D204" s="264" t="s">
        <v>821</v>
      </c>
      <c r="E204" s="752"/>
      <c r="F204" s="752"/>
      <c r="G204" s="752"/>
      <c r="H204" s="752"/>
      <c r="I204" s="752"/>
      <c r="J204" s="752"/>
      <c r="K204" s="752"/>
      <c r="L204" s="771" t="s">
        <v>2495</v>
      </c>
      <c r="M204" s="12"/>
      <c r="N204" s="3"/>
      <c r="O204" s="3"/>
    </row>
    <row r="205" spans="1:15" s="3" customFormat="1" ht="15" customHeight="1">
      <c r="A205" s="663"/>
      <c r="C205" s="11"/>
      <c r="D205" s="2174" t="s">
        <v>869</v>
      </c>
      <c r="E205" s="2175">
        <v>2018</v>
      </c>
      <c r="F205" s="2175" t="s">
        <v>322</v>
      </c>
      <c r="G205" s="2175">
        <v>2025</v>
      </c>
      <c r="H205" s="2175" t="s">
        <v>324</v>
      </c>
      <c r="I205" s="2175" t="s">
        <v>325</v>
      </c>
      <c r="J205" s="2175" t="s">
        <v>326</v>
      </c>
      <c r="K205" s="2175" t="s">
        <v>327</v>
      </c>
      <c r="L205" s="2175" t="s">
        <v>328</v>
      </c>
      <c r="M205" s="12"/>
    </row>
    <row r="206" spans="1:15" s="3" customFormat="1" ht="15" customHeight="1">
      <c r="A206" s="663"/>
      <c r="C206" s="11"/>
      <c r="D206" s="203" t="s">
        <v>1619</v>
      </c>
      <c r="E206" s="1173">
        <f>$E$125*(COSTOS_AGRO_SISTEMAS_AGROFORESTALES*(1+COSTOS_AGRO_ESCENARIO_MEDIO_SISTEMAS_AGROFORESTALES)^(E198-$E$198)*COSTOS_Pesos_Colombianos_COP_MMCOP)</f>
        <v>0.22808641045226435</v>
      </c>
      <c r="F206" s="1173">
        <f t="shared" ref="F206:L206" si="5">($E$125+F125)*((COSTOS_AGRO_SISTEMAS_AGROFORESTALES*(1+COSTOS_AGRO_ESCENARIO_MEDIO_SISTEMAS_AGROFORESTALES)^(F198-$E$198))*COSTOS_Pesos_Colombianos_COP_MMCOP)</f>
        <v>0.44985497766548194</v>
      </c>
      <c r="G206" s="1173">
        <f t="shared" si="5"/>
        <v>0.43444053595352145</v>
      </c>
      <c r="H206" s="1173">
        <f t="shared" si="5"/>
        <v>0.41955427560019465</v>
      </c>
      <c r="I206" s="1173">
        <f t="shared" si="5"/>
        <v>0.40517809828233003</v>
      </c>
      <c r="J206" s="1173">
        <f t="shared" si="5"/>
        <v>0.3912945258222732</v>
      </c>
      <c r="K206" s="1173">
        <f t="shared" si="5"/>
        <v>0.37788667893837852</v>
      </c>
      <c r="L206" s="1173">
        <f t="shared" si="5"/>
        <v>0.36493825672362329</v>
      </c>
      <c r="M206" s="12"/>
    </row>
    <row r="207" spans="1:15" s="3" customFormat="1" ht="15" customHeight="1">
      <c r="A207" s="663"/>
      <c r="C207" s="11"/>
      <c r="D207" s="203" t="s">
        <v>950</v>
      </c>
      <c r="E207" s="2670">
        <f>E$126*(COSTOS_AGRO_USO_EFICIENTE_FERTILIZANTES*((1+COSTOS_AGRO_ESCENARIO_MEDIO_USO_EFICIENTE_FERTILIZANTES)^(E124-$E$124))*COSTOS_2019_US_dolares_MMCOP)</f>
        <v>2.3323877377510638E-3</v>
      </c>
      <c r="F207" s="2670">
        <f t="shared" ref="F207:L207" si="6">($E$126+F126)*(COSTOS_AGRO_USO_EFICIENTE_FERTILIZANTES*((1+COSTOS_AGRO_ESCENARIO_MEDIO_USO_EFICIENTE_FERTILIZANTES)^(F198-$E$198))*COSTOS_2019_US_dolares_MMCOP)</f>
        <v>4.6001698724301718E-3</v>
      </c>
      <c r="G207" s="2670">
        <f t="shared" si="6"/>
        <v>4.4425434063817722E-3</v>
      </c>
      <c r="H207" s="2670">
        <f t="shared" si="6"/>
        <v>4.2903180675717004E-3</v>
      </c>
      <c r="I207" s="2670">
        <f t="shared" si="6"/>
        <v>4.1433087844432778E-3</v>
      </c>
      <c r="J207" s="2670">
        <f t="shared" si="6"/>
        <v>4.0013368269829182E-3</v>
      </c>
      <c r="K207" s="2670">
        <f t="shared" si="6"/>
        <v>3.8642295894248764E-3</v>
      </c>
      <c r="L207" s="2670">
        <f t="shared" si="6"/>
        <v>3.7318203804017052E-3</v>
      </c>
      <c r="M207" s="12"/>
    </row>
    <row r="208" spans="1:15" ht="15" customHeight="1">
      <c r="C208" s="11"/>
      <c r="D208" s="203" t="s">
        <v>953</v>
      </c>
      <c r="E208" s="2671">
        <f>E$127*(COSTOS_AGRO_USO_BIODIGESTORES*((1+COSTOS_AGRO_ESCENARIO_MEDIO_USO_BIODIGESTORES)^(E124-$E$124))*COSTOS_2019_US_dolares_MMCOP)</f>
        <v>1.1320525999870341E-4</v>
      </c>
      <c r="F208" s="2671">
        <f t="shared" ref="F208:L208" si="7">(E$127+F127)*(COSTOS_AGRO_USO_BIODIGESTORES*((1+COSTOS_AGRO_ESCENARIO_MEDIO_USO_BIODIGESTORES)^(F198-$E$198))*COSTOS_2019_US_dolares_MMCOP)</f>
        <v>2.2327480890839819E-4</v>
      </c>
      <c r="G208" s="2671">
        <f t="shared" si="7"/>
        <v>2.1562421772114925E-4</v>
      </c>
      <c r="H208" s="2671">
        <f t="shared" si="7"/>
        <v>2.0823577677736297E-4</v>
      </c>
      <c r="I208" s="2671">
        <f t="shared" si="7"/>
        <v>2.0110050340518219E-4</v>
      </c>
      <c r="J208" s="2671">
        <f t="shared" si="7"/>
        <v>1.9420972272721408E-4</v>
      </c>
      <c r="K208" s="2671">
        <f t="shared" si="7"/>
        <v>1.8755505711384225E-4</v>
      </c>
      <c r="L208" s="2671">
        <f t="shared" si="7"/>
        <v>1.8112841599792563E-4</v>
      </c>
      <c r="M208" s="12"/>
      <c r="N208" s="3"/>
      <c r="O208" s="3"/>
    </row>
    <row r="209" spans="1:15" ht="15" customHeight="1">
      <c r="C209" s="205"/>
      <c r="D209" s="2743" t="s">
        <v>2496</v>
      </c>
      <c r="E209" s="2744">
        <f>E$128*(COSTOS_AGRO_PLANTACIONES_MANGO_AGUACATE*((1+COSTOS_AGRO_ESCENARIO_MEDIO_PLANTACIONES_MANGO_AGUACATE)^(E205-E205))*COSTOS_Pesos_Colombianos_COP_MMCOP)</f>
        <v>5.5260911579703082E-3</v>
      </c>
      <c r="F209" s="2744">
        <f t="shared" ref="F209:L209" si="8">(E$128+F128)*(COSTOS_AGRO_PLANTACIONES_MANGO_AGUACATE*((1+COSTOS_AGRO_ESCENARIO_MEDIO_PLANTACIONES_MANGO_AGUACATE)^(F205-$E$205))*COSTOS_Pesos_Colombianos_COP_MMCOP)</f>
        <v>1.0899113233080699E-2</v>
      </c>
      <c r="G209" s="2744">
        <f t="shared" si="8"/>
        <v>1.0525651219799812E-2</v>
      </c>
      <c r="H209" s="2744">
        <f t="shared" si="8"/>
        <v>1.0164986015982333E-2</v>
      </c>
      <c r="I209" s="2744">
        <f t="shared" si="8"/>
        <v>9.8166791343748828E-3</v>
      </c>
      <c r="J209" s="2744">
        <f t="shared" si="8"/>
        <v>9.4803071126466649E-3</v>
      </c>
      <c r="K209" s="2744">
        <f t="shared" si="8"/>
        <v>9.1554609985551073E-3</v>
      </c>
      <c r="L209" s="2744">
        <f t="shared" si="8"/>
        <v>8.8417458527525004E-3</v>
      </c>
      <c r="M209" s="205"/>
      <c r="N209" s="3"/>
      <c r="O209" s="3"/>
    </row>
    <row r="210" spans="1:15" ht="15" customHeight="1">
      <c r="C210" s="12"/>
      <c r="D210" s="12"/>
      <c r="E210" s="12"/>
      <c r="F210" s="12"/>
      <c r="G210" s="12"/>
      <c r="H210" s="12"/>
      <c r="I210" s="12"/>
      <c r="J210" s="12"/>
      <c r="K210" s="12"/>
      <c r="L210" s="12"/>
      <c r="M210" s="12"/>
      <c r="N210" s="3"/>
      <c r="O210" s="3"/>
    </row>
    <row r="211" spans="1:15" ht="15" customHeight="1">
      <c r="C211" s="11"/>
      <c r="D211" s="264" t="s">
        <v>822</v>
      </c>
      <c r="E211" s="752"/>
      <c r="F211" s="752"/>
      <c r="G211" s="752"/>
      <c r="H211" s="752"/>
      <c r="I211" s="752"/>
      <c r="J211" s="752"/>
      <c r="K211" s="752"/>
      <c r="L211" s="771" t="s">
        <v>2495</v>
      </c>
      <c r="M211" s="12"/>
      <c r="N211" s="3"/>
      <c r="O211" s="3"/>
    </row>
    <row r="212" spans="1:15" ht="15" customHeight="1">
      <c r="C212" s="11"/>
      <c r="D212" s="2174" t="s">
        <v>869</v>
      </c>
      <c r="E212" s="2175">
        <v>2018</v>
      </c>
      <c r="F212" s="2175" t="s">
        <v>322</v>
      </c>
      <c r="G212" s="2175">
        <v>2025</v>
      </c>
      <c r="H212" s="2175" t="s">
        <v>324</v>
      </c>
      <c r="I212" s="2175" t="s">
        <v>325</v>
      </c>
      <c r="J212" s="2175" t="s">
        <v>326</v>
      </c>
      <c r="K212" s="2175" t="s">
        <v>327</v>
      </c>
      <c r="L212" s="2175" t="s">
        <v>328</v>
      </c>
      <c r="M212" s="12"/>
      <c r="N212" s="3"/>
      <c r="O212" s="3"/>
    </row>
    <row r="213" spans="1:15" ht="15" customHeight="1">
      <c r="C213" s="11"/>
      <c r="D213" s="203" t="s">
        <v>1619</v>
      </c>
      <c r="E213" s="1173" cm="1">
        <f t="array" ref="E213">$E$125*(COSTOS_AGRO_SISTEMAS_AGROFORESTALES*(1+COSTOS_AGRO_ESCENARIO_BAJO_SISTEMAS_AGROFORESTALES)^(E198-$E$198)*COSTOS_Pesos_Colombianos_COP_MMCOP)</f>
        <v>0.22808641045226435</v>
      </c>
      <c r="F213" s="1173" cm="1">
        <f t="array" ref="F213">($E$125+F125)*((COSTOS_AGRO_SISTEMAS_AGROFORESTALES*(1+COSTOS_AGRO_ESCENARIO_BAJO_SISTEMAS_AGROFORESTALES)^(F198-$E$198))*COSTOS_Pesos_Colombianos_COP_MMCOP)</f>
        <v>0.44611624047506276</v>
      </c>
      <c r="G213" s="1173" cm="1">
        <f t="array" ref="G213">($E$125+G125)*((COSTOS_AGRO_SISTEMAS_AGROFORESTALES*(1+COSTOS_AGRO_ESCENARIO_BAJO_SISTEMAS_AGROFORESTALES)^(G198-$E$198))*COSTOS_Pesos_Colombianos_COP_MMCOP)</f>
        <v>0.42193407731494009</v>
      </c>
      <c r="H213" s="1173" cm="1">
        <f t="array" ref="H213">($E$125+H125)*((COSTOS_AGRO_SISTEMAS_AGROFORESTALES*(1+COSTOS_AGRO_ESCENARIO_BAJO_SISTEMAS_AGROFORESTALES)^(H198-$E$198))*COSTOS_Pesos_Colombianos_COP_MMCOP)</f>
        <v>0.39906273174460105</v>
      </c>
      <c r="I213" s="1173" cm="1">
        <f t="array" ref="I213">($E$125+I125)*((COSTOS_AGRO_SISTEMAS_AGROFORESTALES*(1+COSTOS_AGRO_ESCENARIO_BAJO_SISTEMAS_AGROFORESTALES)^(I198-$E$198))*COSTOS_Pesos_Colombianos_COP_MMCOP)</f>
        <v>0.37743114962623697</v>
      </c>
      <c r="J213" s="1173" cm="1">
        <f t="array" ref="J213">($E$125+J125)*((COSTOS_AGRO_SISTEMAS_AGROFORESTALES*(1+COSTOS_AGRO_ESCENARIO_BAJO_SISTEMAS_AGROFORESTALES)^(J198-$E$198))*COSTOS_Pesos_Colombianos_COP_MMCOP)</f>
        <v>0.35697212838044012</v>
      </c>
      <c r="K213" s="1173" cm="1">
        <f t="array" ref="K213">($E$125+K125)*((COSTOS_AGRO_SISTEMAS_AGROFORESTALES*(1+COSTOS_AGRO_ESCENARIO_BAJO_SISTEMAS_AGROFORESTALES)^(K198-$E$198))*COSTOS_Pesos_Colombianos_COP_MMCOP)</f>
        <v>0.33762210820874777</v>
      </c>
      <c r="L213" s="1173" cm="1">
        <f t="array" ref="L213">($E$125+L125)*((COSTOS_AGRO_SISTEMAS_AGROFORESTALES*(1+COSTOS_AGRO_ESCENARIO_BAJO_SISTEMAS_AGROFORESTALES)^(L198-$E$198))*COSTOS_Pesos_Colombianos_COP_MMCOP)</f>
        <v>0.31932097463317044</v>
      </c>
      <c r="M213" s="12"/>
      <c r="N213" s="3"/>
      <c r="O213" s="3"/>
    </row>
    <row r="214" spans="1:15" s="3" customFormat="1" ht="15" customHeight="1">
      <c r="A214" s="663"/>
      <c r="C214" s="11"/>
      <c r="D214" s="203" t="s">
        <v>950</v>
      </c>
      <c r="E214" s="2670">
        <f>E$126*(COSTOS_AGRO_USO_EFICIENTE_FERTILIZANTES*((1+COSTOS_AGRO_ESCENARIO_BAJO_USO_EFICIENTE_FERTILIZANTES)^(E124-$E$124))*COSTOS_2019_US_dolares_MMCOP)</f>
        <v>2.3323877377510638E-3</v>
      </c>
      <c r="F214" s="2670">
        <f t="shared" ref="F214:L214" si="9">($E$126+F126)*(COSTOS_AGRO_USO_EFICIENTE_FERTILIZANTES*((1+COSTOS_AGRO_ESCENARIO_BAJO_USO_EFICIENTE_FERTILIZANTES)^(F198-$E$198))*COSTOS_2019_US_dolares_MMCOP)</f>
        <v>4.5619379376107463E-3</v>
      </c>
      <c r="G214" s="2670">
        <f t="shared" si="9"/>
        <v>4.314653670586123E-3</v>
      </c>
      <c r="H214" s="2670">
        <f t="shared" si="9"/>
        <v>4.080773686906472E-3</v>
      </c>
      <c r="I214" s="2670">
        <f t="shared" si="9"/>
        <v>3.859571394402567E-3</v>
      </c>
      <c r="J214" s="2670">
        <f t="shared" si="9"/>
        <v>3.6503595865378809E-3</v>
      </c>
      <c r="K214" s="2670">
        <f t="shared" si="9"/>
        <v>3.4524883074721932E-3</v>
      </c>
      <c r="L214" s="2670">
        <f t="shared" si="9"/>
        <v>3.2653428328514927E-3</v>
      </c>
      <c r="M214" s="12"/>
    </row>
    <row r="215" spans="1:15" ht="15" customHeight="1">
      <c r="C215" s="11"/>
      <c r="D215" s="203" t="s">
        <v>953</v>
      </c>
      <c r="E215" s="2671">
        <f>E$127*(COSTOS_AGRO_USO_BIODIGESTORES*((1+COSTOS_AGRO_ESCENARIO_BAJO_USO_BIODIGESTORES)^(E124-$E$124))*COSTOS_2019_US_dolares_MMCOP)</f>
        <v>1.1320525999870341E-4</v>
      </c>
      <c r="F215" s="2671">
        <f t="shared" ref="F215:L215" si="10">(E$127+F127)*(COSTOS_AGRO_USO_BIODIGESTORES*((1+COSTOS_AGRO_ESCENARIO_BAJO_USO_BIODIGESTORES)^(F198-$E$198))*COSTOS_2019_US_dolares_MMCOP)</f>
        <v>2.2141917570837983E-4</v>
      </c>
      <c r="G215" s="2671">
        <f t="shared" si="10"/>
        <v>2.0941693470487351E-4</v>
      </c>
      <c r="H215" s="2671">
        <f t="shared" si="10"/>
        <v>1.9806528680670857E-4</v>
      </c>
      <c r="I215" s="2671">
        <f t="shared" si="10"/>
        <v>1.8732896598409993E-4</v>
      </c>
      <c r="J215" s="2671">
        <f t="shared" si="10"/>
        <v>1.7717461783658438E-4</v>
      </c>
      <c r="K215" s="2671">
        <f t="shared" si="10"/>
        <v>1.6757069597130063E-4</v>
      </c>
      <c r="L215" s="2671">
        <f t="shared" si="10"/>
        <v>1.5848736399818496E-4</v>
      </c>
      <c r="M215" s="12"/>
      <c r="N215" s="3"/>
      <c r="O215" s="3"/>
    </row>
    <row r="216" spans="1:15" ht="15" customHeight="1">
      <c r="C216" s="205"/>
      <c r="D216" s="2743" t="s">
        <v>2496</v>
      </c>
      <c r="E216" s="2744">
        <f>E$128*(COSTOS_AGRO_PLANTACIONES_MANGO_AGUACATE*((1+COSTOS_AGRO_ESCENARIO_BAJO_PLANTACIONES_MANGO_AGUACATE)^(E212-E212))*COSTOS_Pesos_Colombianos_COP_MMCOP)</f>
        <v>5.5260911579703082E-3</v>
      </c>
      <c r="F216" s="2744">
        <f t="shared" ref="F216:L216" si="11">(E$128+F128)*(COSTOS_AGRO_PLANTACIONES_MANGO_AGUACATE*((1+COSTOS_AGRO_ESCENARIO_BAJO_PLANTACIONES_MANGO_AGUACATE)^(F205-$E$205))*COSTOS_Pesos_Colombianos_COP_MMCOP)</f>
        <v>1.0808530885412622E-2</v>
      </c>
      <c r="G216" s="2744">
        <f t="shared" si="11"/>
        <v>1.0222643993884218E-2</v>
      </c>
      <c r="H216" s="2744">
        <f t="shared" si="11"/>
        <v>9.6685156691123843E-3</v>
      </c>
      <c r="I216" s="2744">
        <f t="shared" si="11"/>
        <v>9.1444244072078629E-3</v>
      </c>
      <c r="J216" s="2744">
        <f t="shared" si="11"/>
        <v>8.6487420200680714E-3</v>
      </c>
      <c r="K216" s="2744">
        <f t="shared" si="11"/>
        <v>8.1799285771044662E-3</v>
      </c>
      <c r="L216" s="2744">
        <f t="shared" si="11"/>
        <v>7.7365276211584389E-3</v>
      </c>
      <c r="M216" s="205"/>
      <c r="N216" s="3"/>
      <c r="O216" s="3"/>
    </row>
    <row r="217" spans="1:15" ht="15" customHeight="1">
      <c r="C217" s="12"/>
      <c r="D217" s="12"/>
      <c r="E217" s="447"/>
      <c r="F217" s="447"/>
      <c r="G217" s="447"/>
      <c r="H217" s="447"/>
      <c r="I217" s="447"/>
      <c r="J217" s="447"/>
      <c r="K217" s="447"/>
      <c r="L217" s="447"/>
      <c r="M217" s="12"/>
      <c r="N217" s="3"/>
      <c r="O217" s="3"/>
    </row>
    <row r="218" spans="1:15" ht="15" customHeight="1">
      <c r="C218" s="12"/>
      <c r="D218" s="940" t="s">
        <v>2497</v>
      </c>
      <c r="E218" s="2145"/>
      <c r="F218" s="2145"/>
      <c r="G218" s="2145"/>
      <c r="H218" s="2145"/>
      <c r="I218" s="2145"/>
      <c r="J218" s="2145"/>
      <c r="K218" s="2145"/>
      <c r="L218" s="2145"/>
      <c r="M218" s="12"/>
      <c r="N218" s="3"/>
      <c r="O218" s="3"/>
    </row>
    <row r="219" spans="1:15" ht="15" customHeight="1">
      <c r="C219" s="12"/>
      <c r="D219" s="12"/>
      <c r="E219" s="12"/>
      <c r="F219" s="12"/>
      <c r="G219" s="12"/>
      <c r="H219" s="12"/>
      <c r="I219" s="12"/>
      <c r="J219" s="12"/>
      <c r="K219" s="12"/>
      <c r="L219" s="12"/>
      <c r="M219" s="12"/>
      <c r="N219" s="3"/>
      <c r="O219" s="3"/>
    </row>
    <row r="220" spans="1:15">
      <c r="C220" s="12"/>
      <c r="D220" s="1828" t="s">
        <v>2498</v>
      </c>
      <c r="E220" s="386"/>
      <c r="F220" s="2176"/>
      <c r="G220" s="2177"/>
      <c r="H220" s="2148"/>
      <c r="I220" s="2148"/>
      <c r="J220" s="2148"/>
      <c r="K220" s="2148"/>
      <c r="L220" s="1158" t="s">
        <v>2499</v>
      </c>
      <c r="M220" s="12"/>
    </row>
    <row r="221" spans="1:15" s="3" customFormat="1" ht="15" customHeight="1">
      <c r="A221" s="663"/>
      <c r="C221" s="12"/>
      <c r="D221" s="2174" t="s">
        <v>869</v>
      </c>
      <c r="E221" s="2178">
        <v>2018</v>
      </c>
      <c r="F221" s="2178" t="s">
        <v>322</v>
      </c>
      <c r="G221" s="2178">
        <v>2025</v>
      </c>
      <c r="H221" s="2178" t="s">
        <v>324</v>
      </c>
      <c r="I221" s="2178" t="s">
        <v>325</v>
      </c>
      <c r="J221" s="2178" t="s">
        <v>326</v>
      </c>
      <c r="K221" s="2178" t="s">
        <v>327</v>
      </c>
      <c r="L221" s="2178" t="s">
        <v>328</v>
      </c>
      <c r="M221" s="12"/>
    </row>
    <row r="222" spans="1:15" ht="15" customHeight="1">
      <c r="C222" s="12"/>
      <c r="D222" s="203" t="s">
        <v>820</v>
      </c>
      <c r="E222" s="2095">
        <v>0</v>
      </c>
      <c r="F222" s="2095" cm="1">
        <f t="array" ref="F222">IF((F380*(COSTOS_AGRO_PALMA_ACEITE*(1+COSTOS_AGRO_ESCENARIO_ALTO_PALMA_ACEITE)^(F221-$E$221)*COSTOS_Pesos_Colombianos_COP_MMCOP))&gt;0,(F380*(COSTOS_AGRO_PALMA_ACEITE*(1+COSTOS_AGRO_ESCENARIO_ALTO_PALMA_ACEITE)^(F221-$E$221)*COSTOS_Pesos_Colombianos_COP_MMCOP)),0)</f>
        <v>0</v>
      </c>
      <c r="G222" s="2095" cm="1">
        <f t="array" ref="G222">IF((G380*(COSTOS_AGRO_PALMA_ACEITE*(1+COSTOS_AGRO_ESCENARIO_ALTO_PALMA_ACEITE)^(G221-$E$221)*COSTOS_Pesos_Colombianos_COP_MMCOP))&gt;0,(G380*(COSTOS_AGRO_PALMA_ACEITE*(1+COSTOS_AGRO_ESCENARIO_ALTO_PALMA_ACEITE)^(G221-$E$221)*COSTOS_Pesos_Colombianos_COP_MMCOP)),0)</f>
        <v>0</v>
      </c>
      <c r="H222" s="2095" cm="1">
        <f t="array" ref="H222">IF((H380*(COSTOS_AGRO_PALMA_ACEITE*(1+COSTOS_AGRO_ESCENARIO_ALTO_PALMA_ACEITE)^(H221-$E$221)*COSTOS_Pesos_Colombianos_COP_MMCOP))&gt;0,(H380*(COSTOS_AGRO_PALMA_ACEITE*(1+COSTOS_AGRO_ESCENARIO_ALTO_PALMA_ACEITE)^(H221-$E$221)*COSTOS_Pesos_Colombianos_COP_MMCOP)),0)</f>
        <v>0</v>
      </c>
      <c r="I222" s="2095" cm="1">
        <f t="array" ref="I222">IF((I380*(COSTOS_AGRO_PALMA_ACEITE*(1+COSTOS_AGRO_ESCENARIO_ALTO_PALMA_ACEITE)^(I221-$E$221)*COSTOS_Pesos_Colombianos_COP_MMCOP))&gt;0,(I380*(COSTOS_AGRO_PALMA_ACEITE*(1+COSTOS_AGRO_ESCENARIO_ALTO_PALMA_ACEITE)^(I221-$E$221)*COSTOS_Pesos_Colombianos_COP_MMCOP)),0)</f>
        <v>0</v>
      </c>
      <c r="J222" s="2095" cm="1">
        <f t="array" ref="J222">IF((J380*(COSTOS_AGRO_PALMA_ACEITE*(1+COSTOS_AGRO_ESCENARIO_ALTO_PALMA_ACEITE)^(J221-$E$221)*COSTOS_Pesos_Colombianos_COP_MMCOP))&gt;0,(J380*(COSTOS_AGRO_PALMA_ACEITE*(1+COSTOS_AGRO_ESCENARIO_ALTO_PALMA_ACEITE)^(J221-$E$221)*COSTOS_Pesos_Colombianos_COP_MMCOP)),0)</f>
        <v>0</v>
      </c>
      <c r="K222" s="2095" cm="1">
        <f t="array" ref="K222">IF((K380*(COSTOS_AGRO_PALMA_ACEITE*(1+COSTOS_AGRO_ESCENARIO_ALTO_PALMA_ACEITE)^(K221-$E$221)*COSTOS_Pesos_Colombianos_COP_MMCOP))&gt;0,(K380*(COSTOS_AGRO_PALMA_ACEITE*(1+COSTOS_AGRO_ESCENARIO_ALTO_PALMA_ACEITE)^(K221-$E$221)*COSTOS_Pesos_Colombianos_COP_MMCOP)),0)</f>
        <v>0</v>
      </c>
      <c r="L222" s="2095" cm="1">
        <f t="array" ref="L222">IF((L380*(COSTOS_AGRO_PALMA_ACEITE*(1+COSTOS_AGRO_ESCENARIO_ALTO_PALMA_ACEITE)^(L221-$E$221)*COSTOS_Pesos_Colombianos_COP_MMCOP))&gt;0,(L380*(COSTOS_AGRO_PALMA_ACEITE*(1+COSTOS_AGRO_ESCENARIO_ALTO_PALMA_ACEITE)^(L221-$E$221)*COSTOS_Pesos_Colombianos_COP_MMCOP)),0)</f>
        <v>0</v>
      </c>
      <c r="M222" s="12"/>
      <c r="N222" s="3"/>
      <c r="O222" s="3"/>
    </row>
    <row r="223" spans="1:15" ht="15" customHeight="1">
      <c r="C223" s="12"/>
      <c r="D223" s="203" t="s">
        <v>821</v>
      </c>
      <c r="E223" s="2095">
        <v>0</v>
      </c>
      <c r="F223" s="2095" cm="1">
        <f t="array" ref="F223">IF((F380*(COSTOS_AGRO_PALMA_ACEITE*(1+COSTOS_AGRO_ESCENARIO_MEDIO_PALMA_ACEITE)^(F221-$E$221)*COSTOS_Pesos_Colombianos_COP_MMCOP))&gt;0,(F380*(COSTOS_AGRO_PALMA_ACEITE*(1+COSTOS_AGRO_ESCENARIO_MEDIO_PALMA_ACEITE)^(F221-$E$221)*COSTOS_Pesos_Colombianos_COP_MMCOP)),0)</f>
        <v>0</v>
      </c>
      <c r="G223" s="2095" cm="1">
        <f t="array" ref="G223">IF((G380*(COSTOS_AGRO_PALMA_ACEITE*(1+COSTOS_AGRO_ESCENARIO_MEDIO_PALMA_ACEITE)^(G221-$E$221)*COSTOS_Pesos_Colombianos_COP_MMCOP))&gt;0,(G380*(COSTOS_AGRO_PALMA_ACEITE*(1+COSTOS_AGRO_ESCENARIO_MEDIO_PALMA_ACEITE)^(G221-$E$221)*COSTOS_Pesos_Colombianos_COP_MMCOP)),0)</f>
        <v>0</v>
      </c>
      <c r="H223" s="2095" cm="1">
        <f t="array" ref="H223">IF((H380*(COSTOS_AGRO_PALMA_ACEITE*(1+COSTOS_AGRO_ESCENARIO_MEDIO_PALMA_ACEITE)^(H221-$E$221)*COSTOS_Pesos_Colombianos_COP_MMCOP))&gt;0,(H380*(COSTOS_AGRO_PALMA_ACEITE*(1+COSTOS_AGRO_ESCENARIO_MEDIO_PALMA_ACEITE)^(H221-$E$221)*COSTOS_Pesos_Colombianos_COP_MMCOP)),0)</f>
        <v>0</v>
      </c>
      <c r="I223" s="2095" cm="1">
        <f t="array" ref="I223">IF((I380*(COSTOS_AGRO_PALMA_ACEITE*(1+COSTOS_AGRO_ESCENARIO_MEDIO_PALMA_ACEITE)^(I221-$E$221)*COSTOS_Pesos_Colombianos_COP_MMCOP))&gt;0,(I380*(COSTOS_AGRO_PALMA_ACEITE*(1+COSTOS_AGRO_ESCENARIO_MEDIO_PALMA_ACEITE)^(I221-$E$221)*COSTOS_Pesos_Colombianos_COP_MMCOP)),0)</f>
        <v>0</v>
      </c>
      <c r="J223" s="2095" cm="1">
        <f t="array" ref="J223">IF((J380*(COSTOS_AGRO_PALMA_ACEITE*(1+COSTOS_AGRO_ESCENARIO_MEDIO_PALMA_ACEITE)^(J221-$E$221)*COSTOS_Pesos_Colombianos_COP_MMCOP))&gt;0,(J380*(COSTOS_AGRO_PALMA_ACEITE*(1+COSTOS_AGRO_ESCENARIO_MEDIO_PALMA_ACEITE)^(J221-$E$221)*COSTOS_Pesos_Colombianos_COP_MMCOP)),0)</f>
        <v>0</v>
      </c>
      <c r="K223" s="2095" cm="1">
        <f t="array" ref="K223">IF((K380*(COSTOS_AGRO_PALMA_ACEITE*(1+COSTOS_AGRO_ESCENARIO_MEDIO_PALMA_ACEITE)^(K221-$E$221)*COSTOS_Pesos_Colombianos_COP_MMCOP))&gt;0,(K380*(COSTOS_AGRO_PALMA_ACEITE*(1+COSTOS_AGRO_ESCENARIO_MEDIO_PALMA_ACEITE)^(K221-$E$221)*COSTOS_Pesos_Colombianos_COP_MMCOP)),0)</f>
        <v>0</v>
      </c>
      <c r="L223" s="2095" cm="1">
        <f t="array" ref="L223">IF((L380*(COSTOS_AGRO_PALMA_ACEITE*(1+COSTOS_AGRO_ESCENARIO_MEDIO_PALMA_ACEITE)^(L221-$E$221)*COSTOS_Pesos_Colombianos_COP_MMCOP))&gt;0,(L380*(COSTOS_AGRO_PALMA_ACEITE*(1+COSTOS_AGRO_ESCENARIO_MEDIO_PALMA_ACEITE)^(L221-$E$221)*COSTOS_Pesos_Colombianos_COP_MMCOP)),0)</f>
        <v>0</v>
      </c>
      <c r="M223" s="12"/>
      <c r="N223" s="3"/>
      <c r="O223" s="3"/>
    </row>
    <row r="224" spans="1:15" ht="15" customHeight="1">
      <c r="C224" s="12"/>
      <c r="D224" s="204" t="s">
        <v>822</v>
      </c>
      <c r="E224" s="2096">
        <v>0</v>
      </c>
      <c r="F224" s="2096" cm="1">
        <f t="array" ref="F224">IF((F380*(COSTOS_AGRO_PALMA_ACEITE*(1+COSTOS_AGRO_ESCENARIO_BAJO_PALMA_ACEITE)^(F221-$E$221)*COSTOS_Pesos_Colombianos_COP_MMCOP))&gt;0,F380*(COSTOS_AGRO_PALMA_ACEITE*(1+COSTOS_AGRO_ESCENARIO_BAJO_PALMA_ACEITE)^(F221-$E$221)*COSTOS_Pesos_Colombianos_COP_MMCOP),0)</f>
        <v>0</v>
      </c>
      <c r="G224" s="2096" cm="1">
        <f t="array" ref="G224">IF((G380*(COSTOS_AGRO_PALMA_ACEITE*(1+COSTOS_AGRO_ESCENARIO_BAJO_PALMA_ACEITE)^(G221-$E$221)*COSTOS_Pesos_Colombianos_COP_MMCOP))&gt;0,G380*(COSTOS_AGRO_PALMA_ACEITE*(1+COSTOS_AGRO_ESCENARIO_BAJO_PALMA_ACEITE)^(G221-$E$221)*COSTOS_Pesos_Colombianos_COP_MMCOP),0)</f>
        <v>0</v>
      </c>
      <c r="H224" s="2096" cm="1">
        <f t="array" ref="H224">IF((H380*(COSTOS_AGRO_PALMA_ACEITE*(1+COSTOS_AGRO_ESCENARIO_BAJO_PALMA_ACEITE)^(H221-$E$221)*COSTOS_Pesos_Colombianos_COP_MMCOP))&gt;0,H380*(COSTOS_AGRO_PALMA_ACEITE*(1+COSTOS_AGRO_ESCENARIO_BAJO_PALMA_ACEITE)^(H221-$E$221)*COSTOS_Pesos_Colombianos_COP_MMCOP),0)</f>
        <v>0</v>
      </c>
      <c r="I224" s="2096" cm="1">
        <f t="array" ref="I224">IF((I380*(COSTOS_AGRO_PALMA_ACEITE*(1+COSTOS_AGRO_ESCENARIO_BAJO_PALMA_ACEITE)^(I221-$E$221)*COSTOS_Pesos_Colombianos_COP_MMCOP))&gt;0,I380*(COSTOS_AGRO_PALMA_ACEITE*(1+COSTOS_AGRO_ESCENARIO_BAJO_PALMA_ACEITE)^(I221-$E$221)*COSTOS_Pesos_Colombianos_COP_MMCOP),0)</f>
        <v>0</v>
      </c>
      <c r="J224" s="2096" cm="1">
        <f t="array" ref="J224">IF((J380*(COSTOS_AGRO_PALMA_ACEITE*(1+COSTOS_AGRO_ESCENARIO_BAJO_PALMA_ACEITE)^(J221-$E$221)*COSTOS_Pesos_Colombianos_COP_MMCOP))&gt;0,J380*(COSTOS_AGRO_PALMA_ACEITE*(1+COSTOS_AGRO_ESCENARIO_BAJO_PALMA_ACEITE)^(J221-$E$221)*COSTOS_Pesos_Colombianos_COP_MMCOP),0)</f>
        <v>0</v>
      </c>
      <c r="K224" s="2096" cm="1">
        <f t="array" ref="K224">IF((K380*(COSTOS_AGRO_PALMA_ACEITE*(1+COSTOS_AGRO_ESCENARIO_BAJO_PALMA_ACEITE)^(K221-$E$221)*COSTOS_Pesos_Colombianos_COP_MMCOP))&gt;0,K380*(COSTOS_AGRO_PALMA_ACEITE*(1+COSTOS_AGRO_ESCENARIO_BAJO_PALMA_ACEITE)^(K221-$E$221)*COSTOS_Pesos_Colombianos_COP_MMCOP),0)</f>
        <v>0</v>
      </c>
      <c r="L224" s="2096" cm="1">
        <f t="array" ref="L224">IF((L380*(COSTOS_AGRO_PALMA_ACEITE*(1+COSTOS_AGRO_ESCENARIO_BAJO_PALMA_ACEITE)^(L221-$E$221)*COSTOS_Pesos_Colombianos_COP_MMCOP))&gt;0,L380*(COSTOS_AGRO_PALMA_ACEITE*(1+COSTOS_AGRO_ESCENARIO_BAJO_PALMA_ACEITE)^(L221-$E$221)*COSTOS_Pesos_Colombianos_COP_MMCOP),0)</f>
        <v>0</v>
      </c>
      <c r="M224" s="12"/>
      <c r="N224" s="3"/>
      <c r="O224" s="3"/>
    </row>
    <row r="225" spans="3:15" ht="15" customHeight="1">
      <c r="C225" s="12"/>
      <c r="D225" s="12"/>
      <c r="E225" s="12"/>
      <c r="F225" s="12"/>
      <c r="G225" s="12"/>
      <c r="H225" s="12"/>
      <c r="I225" s="12"/>
      <c r="J225" s="12"/>
      <c r="K225" s="12"/>
      <c r="L225" s="12"/>
      <c r="M225" s="12"/>
      <c r="N225" s="3"/>
      <c r="O225" s="3"/>
    </row>
    <row r="226" spans="3:15" ht="15" customHeight="1">
      <c r="C226" s="12"/>
      <c r="D226" s="2179" t="s">
        <v>2500</v>
      </c>
      <c r="E226" s="2180"/>
      <c r="F226" s="2180"/>
      <c r="G226" s="2180"/>
      <c r="H226" s="2180"/>
      <c r="I226" s="2179"/>
      <c r="J226" s="1191"/>
      <c r="K226" s="1191"/>
      <c r="L226" s="1158" t="s">
        <v>2499</v>
      </c>
      <c r="M226" s="12"/>
      <c r="N226" s="3"/>
      <c r="O226" s="3"/>
    </row>
    <row r="227" spans="3:15" ht="15" customHeight="1">
      <c r="C227" s="12"/>
      <c r="D227" s="2174" t="s">
        <v>869</v>
      </c>
      <c r="E227" s="2178">
        <v>2018</v>
      </c>
      <c r="F227" s="2178" t="s">
        <v>322</v>
      </c>
      <c r="G227" s="2178">
        <v>2025</v>
      </c>
      <c r="H227" s="2178" t="s">
        <v>324</v>
      </c>
      <c r="I227" s="2178" t="s">
        <v>325</v>
      </c>
      <c r="J227" s="2178" t="s">
        <v>326</v>
      </c>
      <c r="K227" s="2178" t="s">
        <v>327</v>
      </c>
      <c r="L227" s="2178" t="s">
        <v>328</v>
      </c>
      <c r="M227" s="12"/>
      <c r="N227" s="3"/>
      <c r="O227" s="3"/>
    </row>
    <row r="228" spans="3:15" ht="15" customHeight="1">
      <c r="C228" s="12"/>
      <c r="D228" s="2181" t="s">
        <v>820</v>
      </c>
      <c r="E228" s="2095">
        <v>0</v>
      </c>
      <c r="F228" s="2674">
        <f t="shared" ref="F228:L228" si="12">IF((F381*(COSTOS_AGRO_CAÑA_AZUCAR*(1+COSTOS_AGRO_ESCENARIO_ALTO_CAÑA_AZUCAR)^(F227-$E$227)*COSTOS_2019_US_dolares_MMCOP))&gt;0,(F381*(COSTOS_AGRO_CAÑA_AZUCAR*(1+COSTOS_AGRO_ESCENARIO_ALTO_CAÑA_AZUCAR)^(F227-$E$227)*COSTOS_2019_US_dolares_MMCOP)),0)</f>
        <v>0</v>
      </c>
      <c r="G228" s="2674">
        <f t="shared" si="12"/>
        <v>0</v>
      </c>
      <c r="H228" s="2674">
        <f t="shared" si="12"/>
        <v>0</v>
      </c>
      <c r="I228" s="2674">
        <f t="shared" si="12"/>
        <v>0</v>
      </c>
      <c r="J228" s="2674">
        <f t="shared" si="12"/>
        <v>0</v>
      </c>
      <c r="K228" s="2674">
        <f t="shared" si="12"/>
        <v>0</v>
      </c>
      <c r="L228" s="2674">
        <f t="shared" si="12"/>
        <v>0</v>
      </c>
      <c r="M228" s="12"/>
      <c r="N228" s="3"/>
      <c r="O228" s="3"/>
    </row>
    <row r="229" spans="3:15">
      <c r="C229" s="12"/>
      <c r="D229" s="2182" t="s">
        <v>821</v>
      </c>
      <c r="E229" s="2095">
        <v>0</v>
      </c>
      <c r="F229" s="2674">
        <f t="shared" ref="F229:L229" si="13">IF((F381*(COSTOS_AGRO_CAÑA_AZUCAR*(1+COSTOS_AGRO_ESCENARIO_MEDIO_CAÑA_AZUCAR)^(F227-$E$227)*COSTOS_2019_US_dolares_MMCOP))&gt;0,(F381*(COSTOS_AGRO_CAÑA_AZUCAR*(1+COSTOS_AGRO_ESCENARIO_MEDIO_CAÑA_AZUCAR)^(F227-$E$227)*COSTOS_2019_US_dolares_MMCOP)),0)</f>
        <v>0</v>
      </c>
      <c r="G229" s="2674">
        <f t="shared" si="13"/>
        <v>0</v>
      </c>
      <c r="H229" s="2674">
        <f t="shared" si="13"/>
        <v>0</v>
      </c>
      <c r="I229" s="2674">
        <f t="shared" si="13"/>
        <v>0</v>
      </c>
      <c r="J229" s="2674">
        <f t="shared" si="13"/>
        <v>0</v>
      </c>
      <c r="K229" s="2674">
        <f t="shared" si="13"/>
        <v>0</v>
      </c>
      <c r="L229" s="2674">
        <f t="shared" si="13"/>
        <v>0</v>
      </c>
      <c r="M229" s="12"/>
    </row>
    <row r="230" spans="3:15">
      <c r="C230" s="12"/>
      <c r="D230" s="2183" t="s">
        <v>822</v>
      </c>
      <c r="E230" s="2096">
        <v>0</v>
      </c>
      <c r="F230" s="2675">
        <f t="shared" ref="F230:L230" si="14">IF((F381*(COSTOS_AGRO_CAÑA_AZUCAR*(1+COSTOS_AGRO_ESCENARIO_BAJO_CAÑA_AZUCAR)^(F227-$E$227)*COSTOS_2019_US_dolares_MMCOP))&gt;0,(F381*(COSTOS_AGRO_CAÑA_AZUCAR*(1+COSTOS_AGRO_ESCENARIO_BAJO_CAÑA_AZUCAR)^(F227-$E$227)*COSTOS_2019_US_dolares_MMCOP)),0)</f>
        <v>0</v>
      </c>
      <c r="G230" s="2675">
        <f t="shared" si="14"/>
        <v>0</v>
      </c>
      <c r="H230" s="2675">
        <f t="shared" si="14"/>
        <v>0</v>
      </c>
      <c r="I230" s="2675">
        <f t="shared" si="14"/>
        <v>0</v>
      </c>
      <c r="J230" s="2675">
        <f t="shared" si="14"/>
        <v>0</v>
      </c>
      <c r="K230" s="2675">
        <f t="shared" si="14"/>
        <v>0</v>
      </c>
      <c r="L230" s="2675">
        <f t="shared" si="14"/>
        <v>0</v>
      </c>
      <c r="M230" s="12"/>
    </row>
    <row r="231" spans="3:15">
      <c r="C231" s="12"/>
      <c r="D231" s="12"/>
      <c r="E231" s="12"/>
      <c r="F231" s="12"/>
      <c r="G231" s="12"/>
      <c r="H231" s="12"/>
      <c r="I231" s="12"/>
      <c r="J231" s="12"/>
      <c r="K231" s="12"/>
      <c r="L231" s="12"/>
      <c r="M231" s="12"/>
    </row>
    <row r="233" spans="3:15" ht="18.75">
      <c r="C233" s="99" t="s">
        <v>52</v>
      </c>
      <c r="D233" s="49"/>
      <c r="E233" s="49"/>
      <c r="F233" s="49"/>
      <c r="G233" s="49"/>
      <c r="H233" s="49"/>
      <c r="I233" s="49"/>
      <c r="J233" s="49"/>
      <c r="K233" s="49"/>
      <c r="L233" s="49"/>
      <c r="M233" s="49"/>
    </row>
    <row r="234" spans="3:15">
      <c r="C234" s="50"/>
      <c r="D234" s="50"/>
      <c r="E234" s="50"/>
      <c r="F234" s="50"/>
      <c r="G234" s="50"/>
      <c r="H234" s="50"/>
      <c r="I234" s="50"/>
      <c r="J234" s="50"/>
      <c r="K234" s="50"/>
      <c r="L234" s="50"/>
      <c r="M234" s="50"/>
    </row>
    <row r="235" spans="3:15" ht="15.75">
      <c r="C235" s="81"/>
      <c r="D235" s="297" t="s">
        <v>608</v>
      </c>
      <c r="E235" s="390"/>
      <c r="F235" s="391"/>
      <c r="G235" s="390"/>
      <c r="H235" s="391"/>
      <c r="I235" s="390"/>
      <c r="J235" s="390"/>
      <c r="K235" s="390"/>
      <c r="L235" s="390"/>
      <c r="M235" s="81"/>
    </row>
    <row r="236" spans="3:15">
      <c r="C236" s="81"/>
      <c r="D236" s="302"/>
      <c r="E236" s="81"/>
      <c r="F236" s="301"/>
      <c r="G236" s="81"/>
      <c r="H236" s="301"/>
      <c r="I236" s="81"/>
      <c r="J236" s="81"/>
      <c r="K236" s="81"/>
      <c r="L236" s="81"/>
      <c r="M236" s="81"/>
    </row>
    <row r="237" spans="3:15">
      <c r="C237" s="6"/>
      <c r="D237" s="1166" t="s">
        <v>611</v>
      </c>
      <c r="E237" s="6"/>
      <c r="F237" s="6"/>
      <c r="G237" s="6"/>
      <c r="H237" s="6"/>
      <c r="I237" s="6"/>
      <c r="J237" s="6"/>
      <c r="K237" s="6"/>
      <c r="L237" s="214" t="s">
        <v>9</v>
      </c>
      <c r="M237" s="6"/>
    </row>
    <row r="238" spans="3:15">
      <c r="C238" s="6"/>
      <c r="D238" s="2116" t="s">
        <v>2470</v>
      </c>
      <c r="E238" s="2114">
        <v>2018</v>
      </c>
      <c r="F238" s="2114">
        <v>2020</v>
      </c>
      <c r="G238" s="2114">
        <v>2025</v>
      </c>
      <c r="H238" s="2114">
        <v>2030</v>
      </c>
      <c r="I238" s="2114">
        <v>2035</v>
      </c>
      <c r="J238" s="2114">
        <v>2040</v>
      </c>
      <c r="K238" s="2114">
        <v>2045</v>
      </c>
      <c r="L238" s="2114">
        <v>2050</v>
      </c>
      <c r="M238" s="6"/>
    </row>
    <row r="239" spans="3:15">
      <c r="C239" s="6"/>
      <c r="D239" s="6" t="s">
        <v>2472</v>
      </c>
      <c r="E239" s="3348" cm="1">
        <f t="array" ref="E239:L241">E459:L461*E512</f>
        <v>1.1397466826462393E-3</v>
      </c>
      <c r="F239" s="3348">
        <v>1.1382817299900253E-3</v>
      </c>
      <c r="G239" s="3348">
        <v>1.1382817299900253E-3</v>
      </c>
      <c r="H239" s="3348">
        <v>1.1382817299900253E-3</v>
      </c>
      <c r="I239" s="3348">
        <v>1.1382817299900253E-3</v>
      </c>
      <c r="J239" s="3348">
        <v>1.1382817299900253E-3</v>
      </c>
      <c r="K239" s="3348">
        <v>1.1382817299900253E-3</v>
      </c>
      <c r="L239" s="3348">
        <v>1.1382817299900253E-3</v>
      </c>
      <c r="M239" s="6"/>
    </row>
    <row r="240" spans="3:15">
      <c r="C240" s="6"/>
      <c r="D240" s="6" t="s">
        <v>2473</v>
      </c>
      <c r="E240" s="3348">
        <v>2.9405875641399046E-3</v>
      </c>
      <c r="F240" s="3348">
        <v>2.9368079334302854E-3</v>
      </c>
      <c r="G240" s="3348">
        <v>2.9368079334302854E-3</v>
      </c>
      <c r="H240" s="3348">
        <v>2.9368079334302854E-3</v>
      </c>
      <c r="I240" s="3348">
        <v>2.9368079334302854E-3</v>
      </c>
      <c r="J240" s="3348">
        <v>2.9368079334302854E-3</v>
      </c>
      <c r="K240" s="3348">
        <v>2.9368079334302854E-3</v>
      </c>
      <c r="L240" s="3348">
        <v>2.9368079334302854E-3</v>
      </c>
      <c r="M240" s="6"/>
    </row>
    <row r="241" spans="3:14">
      <c r="C241" s="6"/>
      <c r="D241" s="7" t="s">
        <v>2474</v>
      </c>
      <c r="E241" s="3349">
        <v>2.8661585625990829E-3</v>
      </c>
      <c r="F241" s="3349">
        <v>2.8624745978520559E-3</v>
      </c>
      <c r="G241" s="3349">
        <v>2.8624745978520559E-3</v>
      </c>
      <c r="H241" s="3349">
        <v>2.8624745978520559E-3</v>
      </c>
      <c r="I241" s="3349">
        <v>2.8624745978520559E-3</v>
      </c>
      <c r="J241" s="3349">
        <v>2.8624745978520559E-3</v>
      </c>
      <c r="K241" s="3349">
        <v>2.8624745978520559E-3</v>
      </c>
      <c r="L241" s="3349">
        <v>2.8624745978520559E-3</v>
      </c>
      <c r="M241" s="6"/>
    </row>
    <row r="242" spans="3:14">
      <c r="C242" s="6"/>
      <c r="D242" s="6"/>
      <c r="E242" s="6"/>
      <c r="F242" s="6"/>
      <c r="G242" s="6"/>
      <c r="H242" s="6"/>
      <c r="I242" s="6"/>
      <c r="J242" s="6"/>
      <c r="K242" s="6"/>
      <c r="L242" s="6"/>
      <c r="M242" s="6"/>
    </row>
    <row r="243" spans="3:14">
      <c r="C243" s="6"/>
      <c r="D243" s="1166" t="s">
        <v>2475</v>
      </c>
      <c r="E243" s="6"/>
      <c r="F243" s="6"/>
      <c r="G243" s="6"/>
      <c r="H243" s="6"/>
      <c r="I243" s="6"/>
      <c r="J243" s="6"/>
      <c r="K243" s="6"/>
      <c r="L243" s="214" t="s">
        <v>9</v>
      </c>
      <c r="M243" s="6"/>
    </row>
    <row r="244" spans="3:14">
      <c r="C244" s="6"/>
      <c r="D244" s="2117" t="s">
        <v>2470</v>
      </c>
      <c r="E244" s="2115">
        <v>2018</v>
      </c>
      <c r="F244" s="2115">
        <v>2020</v>
      </c>
      <c r="G244" s="2115">
        <v>2025</v>
      </c>
      <c r="H244" s="2115">
        <v>2030</v>
      </c>
      <c r="I244" s="2115">
        <v>2035</v>
      </c>
      <c r="J244" s="2115">
        <v>2040</v>
      </c>
      <c r="K244" s="2115">
        <v>2045</v>
      </c>
      <c r="L244" s="2115">
        <v>2050</v>
      </c>
      <c r="M244" s="6"/>
    </row>
    <row r="245" spans="3:14">
      <c r="C245" s="6"/>
      <c r="D245" s="6" t="s">
        <v>2476</v>
      </c>
      <c r="E245" s="3348" cm="1">
        <f t="array" ref="E245:L246">E466:L467*E512</f>
        <v>9.7805134573105593E-2</v>
      </c>
      <c r="F245" s="3348">
        <v>9.7679422523344175E-2</v>
      </c>
      <c r="G245" s="3348">
        <v>9.7679422523344175E-2</v>
      </c>
      <c r="H245" s="3348">
        <v>9.7679422523344175E-2</v>
      </c>
      <c r="I245" s="3348">
        <v>9.7679422523344175E-2</v>
      </c>
      <c r="J245" s="3348">
        <v>9.7679422523344175E-2</v>
      </c>
      <c r="K245" s="3348">
        <v>9.7679422523344175E-2</v>
      </c>
      <c r="L245" s="3348">
        <v>9.7679422523344175E-2</v>
      </c>
      <c r="M245" s="6"/>
    </row>
    <row r="246" spans="3:14">
      <c r="C246" s="6"/>
      <c r="D246" s="7" t="s">
        <v>504</v>
      </c>
      <c r="E246" s="3349">
        <v>0.17490206530593425</v>
      </c>
      <c r="F246" s="3349">
        <v>0.17467725811934753</v>
      </c>
      <c r="G246" s="3349">
        <v>0.17467725811934753</v>
      </c>
      <c r="H246" s="3349">
        <v>0.17467725811934753</v>
      </c>
      <c r="I246" s="3349">
        <v>0.17467725811934753</v>
      </c>
      <c r="J246" s="3349">
        <v>0.17467725811934753</v>
      </c>
      <c r="K246" s="3349">
        <v>0.17467725811934753</v>
      </c>
      <c r="L246" s="3349">
        <v>0.17467725811934753</v>
      </c>
      <c r="M246" s="6"/>
    </row>
    <row r="247" spans="3:14">
      <c r="C247" s="6"/>
      <c r="D247" s="6"/>
      <c r="E247" s="6"/>
      <c r="F247" s="6"/>
      <c r="G247" s="6"/>
      <c r="H247" s="6"/>
      <c r="I247" s="6"/>
      <c r="J247" s="6"/>
      <c r="K247" s="6"/>
      <c r="L247" s="6"/>
      <c r="M247" s="6"/>
    </row>
    <row r="248" spans="3:14">
      <c r="C248" s="6"/>
      <c r="D248" s="1166" t="s">
        <v>2462</v>
      </c>
      <c r="E248" s="6"/>
      <c r="F248" s="6"/>
      <c r="G248" s="6"/>
      <c r="H248" s="6"/>
      <c r="I248" s="6"/>
      <c r="J248" s="6"/>
      <c r="K248" s="6"/>
      <c r="L248" s="214" t="s">
        <v>9</v>
      </c>
      <c r="M248" s="6"/>
    </row>
    <row r="249" spans="3:14">
      <c r="C249" s="6"/>
      <c r="D249" s="2117" t="s">
        <v>2470</v>
      </c>
      <c r="E249" s="2115">
        <v>2018</v>
      </c>
      <c r="F249" s="2115">
        <v>2020</v>
      </c>
      <c r="G249" s="2115">
        <v>2025</v>
      </c>
      <c r="H249" s="2115">
        <v>2030</v>
      </c>
      <c r="I249" s="2115">
        <v>2035</v>
      </c>
      <c r="J249" s="2115">
        <v>2040</v>
      </c>
      <c r="K249" s="2115">
        <v>2045</v>
      </c>
      <c r="L249" s="2115">
        <v>2050</v>
      </c>
      <c r="M249" s="6"/>
    </row>
    <row r="250" spans="3:14">
      <c r="C250" s="6"/>
      <c r="D250" s="6" t="s">
        <v>504</v>
      </c>
      <c r="E250" s="3348" cm="1">
        <f t="array" ref="E250:L251">E472:L473*E512</f>
        <v>0.12659509511706868</v>
      </c>
      <c r="F250" s="3348">
        <v>0.12643237841547247</v>
      </c>
      <c r="G250" s="3348">
        <v>0.1262698708588274</v>
      </c>
      <c r="H250" s="3348">
        <v>0.12610757217831275</v>
      </c>
      <c r="I250" s="3348">
        <v>0.12594548210545342</v>
      </c>
      <c r="J250" s="3348">
        <v>0.12578360037211936</v>
      </c>
      <c r="K250" s="3348">
        <v>0.12562192671052513</v>
      </c>
      <c r="L250" s="3348">
        <v>0.12546046085322954</v>
      </c>
      <c r="M250" s="6"/>
      <c r="N250" s="887"/>
    </row>
    <row r="251" spans="3:14">
      <c r="C251" s="6"/>
      <c r="D251" s="7" t="s">
        <v>2477</v>
      </c>
      <c r="E251" s="3349">
        <v>3.8095038457256029E-2</v>
      </c>
      <c r="F251" s="3349">
        <v>3.8046073692869116E-2</v>
      </c>
      <c r="G251" s="3349">
        <v>3.7997171864451014E-2</v>
      </c>
      <c r="H251" s="3349">
        <v>3.7948332891108084E-2</v>
      </c>
      <c r="I251" s="3349">
        <v>3.789955669205073E-2</v>
      </c>
      <c r="J251" s="3349">
        <v>3.7850843186593146E-2</v>
      </c>
      <c r="K251" s="3349">
        <v>3.7802192294153256E-2</v>
      </c>
      <c r="L251" s="3349">
        <v>3.7753603934252582E-2</v>
      </c>
      <c r="M251" s="6"/>
    </row>
    <row r="252" spans="3:14">
      <c r="C252" s="6"/>
      <c r="D252" s="6"/>
      <c r="E252" s="6"/>
      <c r="F252" s="6"/>
      <c r="G252" s="6"/>
      <c r="H252" s="6"/>
      <c r="I252" s="6"/>
      <c r="J252" s="6"/>
      <c r="K252" s="6"/>
      <c r="L252" s="6"/>
      <c r="M252" s="6"/>
    </row>
    <row r="253" spans="3:14">
      <c r="C253" s="6"/>
      <c r="D253" s="1166" t="s">
        <v>2463</v>
      </c>
      <c r="E253" s="6"/>
      <c r="F253" s="6"/>
      <c r="G253" s="6"/>
      <c r="H253" s="6"/>
      <c r="I253" s="6"/>
      <c r="J253" s="6"/>
      <c r="K253" s="6"/>
      <c r="L253" s="214" t="s">
        <v>9</v>
      </c>
      <c r="M253" s="6"/>
    </row>
    <row r="254" spans="3:14">
      <c r="C254" s="6"/>
      <c r="D254" s="2117" t="s">
        <v>2470</v>
      </c>
      <c r="E254" s="2115">
        <v>2018</v>
      </c>
      <c r="F254" s="2115">
        <v>2020</v>
      </c>
      <c r="G254" s="2115">
        <v>2025</v>
      </c>
      <c r="H254" s="2115">
        <v>2030</v>
      </c>
      <c r="I254" s="2115">
        <v>2035</v>
      </c>
      <c r="J254" s="2115">
        <v>2040</v>
      </c>
      <c r="K254" s="2115">
        <v>2045</v>
      </c>
      <c r="L254" s="2115">
        <v>2050</v>
      </c>
      <c r="M254" s="6"/>
    </row>
    <row r="255" spans="3:14">
      <c r="C255" s="6"/>
      <c r="D255" s="6" t="s">
        <v>2478</v>
      </c>
      <c r="E255" s="3348" cm="1">
        <f t="array" ref="E255:L257">E478:L480*E512</f>
        <v>1.5606412559081874E-3</v>
      </c>
      <c r="F255" s="3348">
        <v>1.5606412559081874E-3</v>
      </c>
      <c r="G255" s="3348">
        <v>1.5606412559081874E-3</v>
      </c>
      <c r="H255" s="3348">
        <v>1.5606412559081874E-3</v>
      </c>
      <c r="I255" s="3348">
        <v>1.5606412559081874E-3</v>
      </c>
      <c r="J255" s="3348">
        <v>1.5606412559081874E-3</v>
      </c>
      <c r="K255" s="3348">
        <v>1.5606412559081874E-3</v>
      </c>
      <c r="L255" s="3348">
        <v>1.5606412559081874E-3</v>
      </c>
      <c r="M255" s="6"/>
    </row>
    <row r="256" spans="3:14">
      <c r="C256" s="6"/>
      <c r="D256" s="6" t="s">
        <v>2479</v>
      </c>
      <c r="E256" s="3348">
        <v>7.2297237434938548E-4</v>
      </c>
      <c r="F256" s="3348">
        <v>7.2297237434938548E-4</v>
      </c>
      <c r="G256" s="3348">
        <v>7.2297237434938548E-4</v>
      </c>
      <c r="H256" s="3348">
        <v>7.2297237434938548E-4</v>
      </c>
      <c r="I256" s="3348">
        <v>7.2297237434938548E-4</v>
      </c>
      <c r="J256" s="3348">
        <v>7.2297237434938548E-4</v>
      </c>
      <c r="K256" s="3348">
        <v>7.2297237434938548E-4</v>
      </c>
      <c r="L256" s="3348">
        <v>7.2297237434938548E-4</v>
      </c>
      <c r="M256" s="6"/>
    </row>
    <row r="257" spans="3:13">
      <c r="C257" s="6"/>
      <c r="D257" s="7" t="s">
        <v>2480</v>
      </c>
      <c r="E257" s="3349">
        <v>8.3505553793754E-3</v>
      </c>
      <c r="F257" s="3349">
        <v>8.3505553793754E-3</v>
      </c>
      <c r="G257" s="3349">
        <v>8.3505553793754E-3</v>
      </c>
      <c r="H257" s="3349">
        <v>8.3505553793754E-3</v>
      </c>
      <c r="I257" s="3349">
        <v>8.3505553793754E-3</v>
      </c>
      <c r="J257" s="3349">
        <v>8.3505553793754E-3</v>
      </c>
      <c r="K257" s="3349">
        <v>8.3505553793754E-3</v>
      </c>
      <c r="L257" s="3349">
        <v>8.3505553793754E-3</v>
      </c>
      <c r="M257" s="6"/>
    </row>
    <row r="258" spans="3:13">
      <c r="C258" s="6"/>
      <c r="D258" s="6"/>
      <c r="E258" s="6"/>
      <c r="F258" s="6"/>
      <c r="G258" s="6"/>
      <c r="H258" s="6"/>
      <c r="I258" s="6"/>
      <c r="J258" s="6"/>
      <c r="K258" s="6"/>
      <c r="L258" s="6"/>
      <c r="M258" s="6"/>
    </row>
    <row r="259" spans="3:13">
      <c r="C259" s="6"/>
      <c r="D259" s="1166" t="s">
        <v>2464</v>
      </c>
      <c r="E259" s="6"/>
      <c r="F259" s="6"/>
      <c r="G259" s="6"/>
      <c r="H259" s="6"/>
      <c r="I259" s="6"/>
      <c r="J259" s="6"/>
      <c r="K259" s="6"/>
      <c r="L259" s="214" t="s">
        <v>9</v>
      </c>
      <c r="M259" s="6"/>
    </row>
    <row r="260" spans="3:13">
      <c r="C260" s="6"/>
      <c r="D260" s="2117" t="s">
        <v>2470</v>
      </c>
      <c r="E260" s="2115">
        <v>2018</v>
      </c>
      <c r="F260" s="2115">
        <v>2020</v>
      </c>
      <c r="G260" s="2115">
        <v>2025</v>
      </c>
      <c r="H260" s="2115">
        <v>2030</v>
      </c>
      <c r="I260" s="2115">
        <v>2035</v>
      </c>
      <c r="J260" s="2115">
        <v>2040</v>
      </c>
      <c r="K260" s="2115">
        <v>2045</v>
      </c>
      <c r="L260" s="2115">
        <v>2050</v>
      </c>
      <c r="M260" s="6"/>
    </row>
    <row r="261" spans="3:13">
      <c r="C261" s="6"/>
      <c r="D261" s="6" t="s">
        <v>2481</v>
      </c>
      <c r="E261" s="3348" cm="1">
        <f t="array" ref="E261:L263">E485:L487*E512</f>
        <v>3.6061032334399933E-3</v>
      </c>
      <c r="F261" s="3348">
        <v>3.6061032334399933E-3</v>
      </c>
      <c r="G261" s="3348">
        <v>3.6061032334399933E-3</v>
      </c>
      <c r="H261" s="3348">
        <v>3.6061032334399933E-3</v>
      </c>
      <c r="I261" s="3348">
        <v>3.6061032334399933E-3</v>
      </c>
      <c r="J261" s="3348">
        <v>3.6061032334399933E-3</v>
      </c>
      <c r="K261" s="3348">
        <v>3.6061032334399933E-3</v>
      </c>
      <c r="L261" s="3348">
        <v>3.6061032334399933E-3</v>
      </c>
      <c r="M261" s="6"/>
    </row>
    <row r="262" spans="3:13">
      <c r="C262" s="6"/>
      <c r="D262" s="6" t="s">
        <v>2482</v>
      </c>
      <c r="E262" s="3348">
        <v>1.1030338572364806E-3</v>
      </c>
      <c r="F262" s="3348">
        <v>1.1030338572364806E-3</v>
      </c>
      <c r="G262" s="3348">
        <v>1.1030338572364806E-3</v>
      </c>
      <c r="H262" s="3348">
        <v>1.1030338572364806E-3</v>
      </c>
      <c r="I262" s="3348">
        <v>1.1030338572364806E-3</v>
      </c>
      <c r="J262" s="3348">
        <v>1.1030338572364806E-3</v>
      </c>
      <c r="K262" s="3348">
        <v>1.1030338572364806E-3</v>
      </c>
      <c r="L262" s="3348">
        <v>1.1030338572364806E-3</v>
      </c>
      <c r="M262" s="6"/>
    </row>
    <row r="263" spans="3:13">
      <c r="C263" s="6"/>
      <c r="D263" s="7" t="s">
        <v>2483</v>
      </c>
      <c r="E263" s="3349">
        <v>1.2572943151839752E-3</v>
      </c>
      <c r="F263" s="3349">
        <v>1.2572943151839752E-3</v>
      </c>
      <c r="G263" s="3349">
        <v>1.2572943151839752E-3</v>
      </c>
      <c r="H263" s="3349">
        <v>1.2572943151839752E-3</v>
      </c>
      <c r="I263" s="3349">
        <v>1.2572943151839752E-3</v>
      </c>
      <c r="J263" s="3349">
        <v>1.2572943151839752E-3</v>
      </c>
      <c r="K263" s="3349">
        <v>1.2572943151839752E-3</v>
      </c>
      <c r="L263" s="3349">
        <v>1.2572943151839752E-3</v>
      </c>
      <c r="M263" s="6"/>
    </row>
    <row r="264" spans="3:13">
      <c r="C264" s="6"/>
      <c r="D264" s="6"/>
      <c r="E264" s="6"/>
      <c r="F264" s="6"/>
      <c r="G264" s="6"/>
      <c r="H264" s="6"/>
      <c r="I264" s="6"/>
      <c r="J264" s="6"/>
      <c r="K264" s="6"/>
      <c r="L264" s="6"/>
      <c r="M264" s="6"/>
    </row>
    <row r="265" spans="3:13">
      <c r="C265" s="6"/>
      <c r="D265" s="1166" t="s">
        <v>2465</v>
      </c>
      <c r="E265" s="6"/>
      <c r="F265" s="6"/>
      <c r="G265" s="6"/>
      <c r="H265" s="6"/>
      <c r="I265" s="6"/>
      <c r="J265" s="6"/>
      <c r="K265" s="6"/>
      <c r="L265" s="214" t="s">
        <v>9</v>
      </c>
      <c r="M265" s="6"/>
    </row>
    <row r="266" spans="3:13">
      <c r="C266" s="6"/>
      <c r="D266" s="2117" t="s">
        <v>2470</v>
      </c>
      <c r="E266" s="2115">
        <v>2018</v>
      </c>
      <c r="F266" s="2115">
        <v>2020</v>
      </c>
      <c r="G266" s="2115">
        <v>2025</v>
      </c>
      <c r="H266" s="2115">
        <v>2030</v>
      </c>
      <c r="I266" s="2115">
        <v>2035</v>
      </c>
      <c r="J266" s="2115">
        <v>2040</v>
      </c>
      <c r="K266" s="2115">
        <v>2045</v>
      </c>
      <c r="L266" s="2115">
        <v>2050</v>
      </c>
      <c r="M266" s="6"/>
    </row>
    <row r="267" spans="3:13">
      <c r="C267" s="6"/>
      <c r="D267" s="6" t="s">
        <v>2484</v>
      </c>
      <c r="E267" s="3348" cm="1">
        <f t="array" ref="E267:L268">E492:L493*E512</f>
        <v>4.3698914441501363E-4</v>
      </c>
      <c r="F267" s="3348">
        <v>4.3698914441501363E-4</v>
      </c>
      <c r="G267" s="3348">
        <v>4.3698914441501363E-4</v>
      </c>
      <c r="H267" s="3348">
        <v>4.3698914441501363E-4</v>
      </c>
      <c r="I267" s="3348">
        <v>4.3698914441501363E-4</v>
      </c>
      <c r="J267" s="3348">
        <v>4.3698914441501363E-4</v>
      </c>
      <c r="K267" s="3348">
        <v>4.3698914441501363E-4</v>
      </c>
      <c r="L267" s="3348">
        <v>4.3698914441501363E-4</v>
      </c>
      <c r="M267" s="6"/>
    </row>
    <row r="268" spans="3:13">
      <c r="C268" s="6"/>
      <c r="D268" s="7" t="s">
        <v>2485</v>
      </c>
      <c r="E268" s="3349">
        <v>1.5066062939919875E-4</v>
      </c>
      <c r="F268" s="3349">
        <v>1.5066062939919875E-4</v>
      </c>
      <c r="G268" s="3349">
        <v>1.5066062939919875E-4</v>
      </c>
      <c r="H268" s="3349">
        <v>1.5066062939919875E-4</v>
      </c>
      <c r="I268" s="3349">
        <v>1.5066062939919875E-4</v>
      </c>
      <c r="J268" s="3349">
        <v>1.5066062939919875E-4</v>
      </c>
      <c r="K268" s="3349">
        <v>1.5066062939919875E-4</v>
      </c>
      <c r="L268" s="3349">
        <v>1.5066062939919875E-4</v>
      </c>
      <c r="M268" s="6"/>
    </row>
    <row r="269" spans="3:13">
      <c r="C269" s="6"/>
      <c r="D269" s="6"/>
      <c r="E269" s="6"/>
      <c r="F269" s="6"/>
      <c r="G269" s="6"/>
      <c r="H269" s="6"/>
      <c r="I269" s="6"/>
      <c r="J269" s="6"/>
      <c r="K269" s="6"/>
      <c r="L269" s="6"/>
      <c r="M269" s="6"/>
    </row>
    <row r="270" spans="3:13">
      <c r="C270" s="6"/>
      <c r="D270" s="1166" t="s">
        <v>2486</v>
      </c>
      <c r="E270" s="6"/>
      <c r="F270" s="6"/>
      <c r="G270" s="6"/>
      <c r="H270" s="6"/>
      <c r="I270" s="6"/>
      <c r="J270" s="6"/>
      <c r="K270" s="6"/>
      <c r="L270" s="214" t="s">
        <v>9</v>
      </c>
      <c r="M270" s="6"/>
    </row>
    <row r="271" spans="3:13">
      <c r="C271" s="6"/>
      <c r="D271" s="2117" t="s">
        <v>2470</v>
      </c>
      <c r="E271" s="2115">
        <v>2018</v>
      </c>
      <c r="F271" s="2115">
        <v>2020</v>
      </c>
      <c r="G271" s="2115">
        <v>2025</v>
      </c>
      <c r="H271" s="2115">
        <v>2030</v>
      </c>
      <c r="I271" s="2115">
        <v>2035</v>
      </c>
      <c r="J271" s="2115">
        <v>2040</v>
      </c>
      <c r="K271" s="2115">
        <v>2045</v>
      </c>
      <c r="L271" s="2115">
        <v>2050</v>
      </c>
      <c r="M271" s="6"/>
    </row>
    <row r="272" spans="3:13">
      <c r="C272" s="6"/>
      <c r="D272" s="6" t="s">
        <v>2487</v>
      </c>
      <c r="E272" s="3348" cm="1">
        <f t="array" ref="E272:L274">E498:L500*E512</f>
        <v>6.1927010217647859E-5</v>
      </c>
      <c r="F272" s="3348">
        <v>6.1927010217647859E-5</v>
      </c>
      <c r="G272" s="3348">
        <v>6.1927010217647859E-5</v>
      </c>
      <c r="H272" s="3348">
        <v>6.1927010217647859E-5</v>
      </c>
      <c r="I272" s="3348">
        <v>6.1927010217647859E-5</v>
      </c>
      <c r="J272" s="3348">
        <v>6.1927010217647859E-5</v>
      </c>
      <c r="K272" s="3348">
        <v>6.1927010217647859E-5</v>
      </c>
      <c r="L272" s="3348">
        <v>6.1927010217647859E-5</v>
      </c>
      <c r="M272" s="6"/>
    </row>
    <row r="273" spans="3:13">
      <c r="C273" s="6"/>
      <c r="D273" s="6" t="s">
        <v>2488</v>
      </c>
      <c r="E273" s="3348">
        <v>4.0661570907589716E-4</v>
      </c>
      <c r="F273" s="3348">
        <v>4.0661570907589716E-4</v>
      </c>
      <c r="G273" s="3348">
        <v>4.0661570907589716E-4</v>
      </c>
      <c r="H273" s="3348">
        <v>4.0661570907589716E-4</v>
      </c>
      <c r="I273" s="3348">
        <v>4.0661570907589716E-4</v>
      </c>
      <c r="J273" s="3348">
        <v>4.0661570907589716E-4</v>
      </c>
      <c r="K273" s="3348">
        <v>4.0661570907589716E-4</v>
      </c>
      <c r="L273" s="3348">
        <v>4.0661570907589716E-4</v>
      </c>
      <c r="M273" s="6"/>
    </row>
    <row r="274" spans="3:13">
      <c r="C274" s="6"/>
      <c r="D274" s="7" t="s">
        <v>2489</v>
      </c>
      <c r="E274" s="3349">
        <v>3.8043587753109496E-5</v>
      </c>
      <c r="F274" s="3349">
        <v>3.8043587753109496E-5</v>
      </c>
      <c r="G274" s="3349">
        <v>3.8043587753109496E-5</v>
      </c>
      <c r="H274" s="3349">
        <v>3.8043587753109496E-5</v>
      </c>
      <c r="I274" s="3349">
        <v>3.8043587753109496E-5</v>
      </c>
      <c r="J274" s="3349">
        <v>3.8043587753109496E-5</v>
      </c>
      <c r="K274" s="3349">
        <v>3.8043587753109496E-5</v>
      </c>
      <c r="L274" s="3349">
        <v>3.8043587753109496E-5</v>
      </c>
      <c r="M274" s="6"/>
    </row>
    <row r="275" spans="3:13">
      <c r="C275" s="6"/>
      <c r="D275" s="6"/>
      <c r="E275" s="6"/>
      <c r="F275" s="6"/>
      <c r="G275" s="6"/>
      <c r="H275" s="6"/>
      <c r="I275" s="6"/>
      <c r="J275" s="6"/>
      <c r="K275" s="6"/>
      <c r="L275" s="6"/>
      <c r="M275" s="6"/>
    </row>
    <row r="276" spans="3:13">
      <c r="C276" s="6"/>
      <c r="D276" s="1166" t="s">
        <v>2490</v>
      </c>
      <c r="E276" s="6"/>
      <c r="F276" s="6"/>
      <c r="G276" s="6"/>
      <c r="H276" s="6"/>
      <c r="I276" s="6"/>
      <c r="J276" s="6"/>
      <c r="K276" s="6"/>
      <c r="L276" s="214" t="s">
        <v>9</v>
      </c>
      <c r="M276" s="6"/>
    </row>
    <row r="277" spans="3:13">
      <c r="C277" s="6"/>
      <c r="D277" s="2117" t="s">
        <v>2470</v>
      </c>
      <c r="E277" s="2115">
        <v>2018</v>
      </c>
      <c r="F277" s="2115">
        <v>2020</v>
      </c>
      <c r="G277" s="2115">
        <v>2025</v>
      </c>
      <c r="H277" s="2115">
        <v>2030</v>
      </c>
      <c r="I277" s="2115">
        <v>2035</v>
      </c>
      <c r="J277" s="2115">
        <v>2040</v>
      </c>
      <c r="K277" s="2115">
        <v>2045</v>
      </c>
      <c r="L277" s="2115">
        <v>2050</v>
      </c>
      <c r="M277" s="6"/>
    </row>
    <row r="278" spans="3:13">
      <c r="C278" s="6"/>
      <c r="D278" s="6" t="s">
        <v>2491</v>
      </c>
      <c r="E278" s="3348" cm="1">
        <f t="array" ref="E278:L280">E505:L507*E512</f>
        <v>2.9414742037119258E-4</v>
      </c>
      <c r="F278" s="3348">
        <v>2.9414742037119258E-4</v>
      </c>
      <c r="G278" s="3348">
        <v>2.9414742037119258E-4</v>
      </c>
      <c r="H278" s="3348">
        <v>2.9414742037119258E-4</v>
      </c>
      <c r="I278" s="3348">
        <v>2.9414742037119258E-4</v>
      </c>
      <c r="J278" s="3348">
        <v>2.9414742037119258E-4</v>
      </c>
      <c r="K278" s="3348">
        <v>2.9414742037119258E-4</v>
      </c>
      <c r="L278" s="3348">
        <v>2.9414742037119258E-4</v>
      </c>
      <c r="M278" s="6"/>
    </row>
    <row r="279" spans="3:13">
      <c r="C279" s="6"/>
      <c r="D279" s="6" t="s">
        <v>2492</v>
      </c>
      <c r="E279" s="3348">
        <v>1.9313905398890665E-3</v>
      </c>
      <c r="F279" s="3348">
        <v>1.9313905398890665E-3</v>
      </c>
      <c r="G279" s="3348">
        <v>1.9313905398890665E-3</v>
      </c>
      <c r="H279" s="3348">
        <v>1.9313905398890665E-3</v>
      </c>
      <c r="I279" s="3348">
        <v>1.9313905398890665E-3</v>
      </c>
      <c r="J279" s="3348">
        <v>1.9313905398890665E-3</v>
      </c>
      <c r="K279" s="3348">
        <v>1.9313905398890665E-3</v>
      </c>
      <c r="L279" s="3348">
        <v>1.9313905398890665E-3</v>
      </c>
      <c r="M279" s="6"/>
    </row>
    <row r="280" spans="3:13">
      <c r="C280" s="6"/>
      <c r="D280" s="7" t="s">
        <v>2493</v>
      </c>
      <c r="E280" s="3349">
        <v>1.8070559734424777E-4</v>
      </c>
      <c r="F280" s="3349">
        <v>1.8070559734424777E-4</v>
      </c>
      <c r="G280" s="3349">
        <v>1.8070559734424777E-4</v>
      </c>
      <c r="H280" s="3349">
        <v>1.8070559734424777E-4</v>
      </c>
      <c r="I280" s="3349">
        <v>1.8070559734424777E-4</v>
      </c>
      <c r="J280" s="3349">
        <v>1.8070559734424777E-4</v>
      </c>
      <c r="K280" s="3349">
        <v>1.8070559734424777E-4</v>
      </c>
      <c r="L280" s="3349">
        <v>1.8070559734424777E-4</v>
      </c>
      <c r="M280" s="6"/>
    </row>
    <row r="281" spans="3:13">
      <c r="C281" s="6"/>
      <c r="D281" s="6"/>
      <c r="E281" s="6"/>
      <c r="F281" s="6"/>
      <c r="G281" s="6"/>
      <c r="H281" s="6"/>
      <c r="I281" s="6"/>
      <c r="J281" s="6"/>
      <c r="K281" s="6"/>
      <c r="L281" s="6"/>
      <c r="M281" s="6"/>
    </row>
    <row r="282" spans="3:13">
      <c r="C282" s="6"/>
      <c r="D282" s="1723" t="s">
        <v>2501</v>
      </c>
      <c r="E282" s="2063">
        <f t="shared" ref="E282:L282" si="15">SUM(E239:E241,E245:E246,E250:E251,E255:E257,E261:E263,E267:E268,E272:E274,E278:E280)</f>
        <v>0.46444490631670859</v>
      </c>
      <c r="F282" s="2063">
        <f t="shared" si="15"/>
        <v>0.46387377706626448</v>
      </c>
      <c r="G282" s="2063">
        <f t="shared" si="15"/>
        <v>0.46366236768120134</v>
      </c>
      <c r="H282" s="2063">
        <f t="shared" si="15"/>
        <v>0.46345123002734379</v>
      </c>
      <c r="I282" s="2063">
        <f t="shared" si="15"/>
        <v>0.4632403637554271</v>
      </c>
      <c r="J282" s="2063">
        <f t="shared" si="15"/>
        <v>0.46302976851663546</v>
      </c>
      <c r="K282" s="2063">
        <f t="shared" si="15"/>
        <v>0.46281944396260133</v>
      </c>
      <c r="L282" s="2063">
        <f t="shared" si="15"/>
        <v>0.46260938974540505</v>
      </c>
      <c r="M282" s="6"/>
    </row>
    <row r="283" spans="3:13">
      <c r="C283" s="6"/>
      <c r="D283" s="6"/>
      <c r="E283" s="6"/>
      <c r="F283" s="6"/>
      <c r="G283" s="6"/>
      <c r="H283" s="6"/>
      <c r="I283" s="6"/>
      <c r="J283" s="6"/>
      <c r="K283" s="6"/>
      <c r="L283" s="6"/>
      <c r="M283" s="6"/>
    </row>
    <row r="284" spans="3:13" ht="15.75">
      <c r="C284" s="6"/>
      <c r="D284" s="297" t="s">
        <v>609</v>
      </c>
      <c r="E284" s="390"/>
      <c r="F284" s="391"/>
      <c r="G284" s="390"/>
      <c r="H284" s="391"/>
      <c r="I284" s="390"/>
      <c r="J284" s="390"/>
      <c r="K284" s="390"/>
      <c r="L284" s="390"/>
      <c r="M284" s="6"/>
    </row>
    <row r="285" spans="3:13">
      <c r="C285" s="6"/>
      <c r="D285" s="6"/>
      <c r="E285" s="6"/>
      <c r="F285" s="6"/>
      <c r="G285" s="6"/>
      <c r="H285" s="6"/>
      <c r="I285" s="6"/>
      <c r="J285" s="6"/>
      <c r="K285" s="6"/>
      <c r="L285" s="6"/>
      <c r="M285" s="6"/>
    </row>
    <row r="286" spans="3:13">
      <c r="C286" s="6"/>
      <c r="D286" s="1166"/>
      <c r="E286" s="6"/>
      <c r="F286" s="6"/>
      <c r="G286" s="6"/>
      <c r="H286" s="6"/>
      <c r="I286" s="6"/>
      <c r="J286" s="6"/>
      <c r="K286" s="6"/>
      <c r="L286" s="214" t="s">
        <v>9</v>
      </c>
      <c r="M286" s="6"/>
    </row>
    <row r="287" spans="3:13">
      <c r="C287" s="6"/>
      <c r="D287" s="2117" t="s">
        <v>2460</v>
      </c>
      <c r="E287" s="2115">
        <v>2018</v>
      </c>
      <c r="F287" s="2115">
        <v>2020</v>
      </c>
      <c r="G287" s="2115">
        <v>2025</v>
      </c>
      <c r="H287" s="2115">
        <v>2030</v>
      </c>
      <c r="I287" s="2115">
        <v>2035</v>
      </c>
      <c r="J287" s="2115">
        <v>2040</v>
      </c>
      <c r="K287" s="2115">
        <v>2045</v>
      </c>
      <c r="L287" s="2115">
        <v>2050</v>
      </c>
      <c r="M287" s="6"/>
    </row>
    <row r="288" spans="3:13">
      <c r="C288" s="6"/>
      <c r="D288" s="6" t="s">
        <v>2502</v>
      </c>
      <c r="E288" s="1341" cm="1">
        <f t="array" ref="E288:L288">_xlfn.ANCHORARRAY(E524)</f>
        <v>0</v>
      </c>
      <c r="F288" s="1341">
        <v>0</v>
      </c>
      <c r="G288" s="1341">
        <v>0</v>
      </c>
      <c r="H288" s="1341">
        <v>0</v>
      </c>
      <c r="I288" s="1341">
        <v>0</v>
      </c>
      <c r="J288" s="1341">
        <v>0</v>
      </c>
      <c r="K288" s="1341">
        <v>0</v>
      </c>
      <c r="L288" s="1341">
        <v>0</v>
      </c>
      <c r="M288" s="6"/>
    </row>
    <row r="289" spans="3:13">
      <c r="C289" s="6"/>
      <c r="D289" s="7" t="s">
        <v>2503</v>
      </c>
      <c r="E289" s="1341" cm="1">
        <f t="array" ref="E289:L289">_xlfn.ANCHORARRAY(E525)</f>
        <v>0</v>
      </c>
      <c r="F289" s="1342">
        <v>0</v>
      </c>
      <c r="G289" s="1342">
        <v>0</v>
      </c>
      <c r="H289" s="1342">
        <v>0</v>
      </c>
      <c r="I289" s="1342">
        <v>0</v>
      </c>
      <c r="J289" s="1342">
        <v>0</v>
      </c>
      <c r="K289" s="1342">
        <v>0</v>
      </c>
      <c r="L289" s="1342">
        <v>0</v>
      </c>
      <c r="M289" s="6"/>
    </row>
    <row r="290" spans="3:13">
      <c r="C290" s="6"/>
      <c r="D290" s="1723" t="s">
        <v>338</v>
      </c>
      <c r="E290" s="2076">
        <f t="shared" ref="E290:L290" si="16">SUM(E288:E289)</f>
        <v>0</v>
      </c>
      <c r="F290" s="2076">
        <f t="shared" si="16"/>
        <v>0</v>
      </c>
      <c r="G290" s="2076">
        <f t="shared" si="16"/>
        <v>0</v>
      </c>
      <c r="H290" s="2076">
        <f t="shared" si="16"/>
        <v>0</v>
      </c>
      <c r="I290" s="2076">
        <f t="shared" si="16"/>
        <v>0</v>
      </c>
      <c r="J290" s="2076">
        <f t="shared" si="16"/>
        <v>0</v>
      </c>
      <c r="K290" s="2076">
        <f t="shared" si="16"/>
        <v>0</v>
      </c>
      <c r="L290" s="2076">
        <f t="shared" si="16"/>
        <v>0</v>
      </c>
      <c r="M290" s="6"/>
    </row>
    <row r="291" spans="3:13">
      <c r="C291" s="6"/>
      <c r="D291" s="6"/>
      <c r="E291" s="6"/>
      <c r="F291" s="6"/>
      <c r="G291" s="6"/>
      <c r="H291" s="6"/>
      <c r="I291" s="6"/>
      <c r="J291" s="6"/>
      <c r="K291" s="6"/>
      <c r="L291" s="6"/>
      <c r="M291" s="6"/>
    </row>
    <row r="292" spans="3:13">
      <c r="C292" s="3"/>
      <c r="D292" s="3"/>
      <c r="E292" s="3"/>
      <c r="F292" s="3"/>
      <c r="G292" s="3"/>
      <c r="H292" s="3"/>
      <c r="I292" s="3"/>
      <c r="J292" s="3"/>
      <c r="K292" s="3"/>
      <c r="L292" s="3"/>
      <c r="M292" s="3"/>
    </row>
    <row r="293" spans="3:13" ht="18.75">
      <c r="C293" s="105" t="s">
        <v>1671</v>
      </c>
      <c r="D293" s="57"/>
      <c r="E293" s="57"/>
      <c r="F293" s="57"/>
      <c r="G293" s="57"/>
      <c r="H293" s="57"/>
      <c r="I293" s="57"/>
      <c r="J293" s="57"/>
      <c r="K293" s="57"/>
      <c r="L293" s="57"/>
      <c r="M293" s="57"/>
    </row>
    <row r="294" spans="3:13">
      <c r="C294" s="58"/>
      <c r="D294" s="58"/>
      <c r="E294" s="58"/>
      <c r="F294" s="58"/>
      <c r="G294" s="58"/>
      <c r="H294" s="58"/>
      <c r="I294" s="58"/>
      <c r="J294" s="58"/>
      <c r="K294" s="58"/>
      <c r="L294" s="58"/>
      <c r="M294" s="58"/>
    </row>
    <row r="295" spans="3:13">
      <c r="C295" s="58"/>
      <c r="D295" s="478" t="s">
        <v>2504</v>
      </c>
      <c r="E295" s="477"/>
      <c r="F295" s="477"/>
      <c r="G295" s="477"/>
      <c r="H295" s="477"/>
      <c r="I295" s="477"/>
      <c r="J295" s="477"/>
      <c r="K295" s="477"/>
      <c r="L295" s="479" t="s">
        <v>29</v>
      </c>
      <c r="M295" s="58"/>
    </row>
    <row r="296" spans="3:13">
      <c r="C296" s="58"/>
      <c r="D296" s="1168" t="s">
        <v>2460</v>
      </c>
      <c r="E296" s="1169">
        <v>2018</v>
      </c>
      <c r="F296" s="1169">
        <v>2020</v>
      </c>
      <c r="G296" s="1169">
        <v>2025</v>
      </c>
      <c r="H296" s="1169">
        <v>2030</v>
      </c>
      <c r="I296" s="1169">
        <v>2035</v>
      </c>
      <c r="J296" s="1169">
        <v>2040</v>
      </c>
      <c r="K296" s="1169">
        <v>2045</v>
      </c>
      <c r="L296" s="1169">
        <v>2050</v>
      </c>
      <c r="M296" s="58"/>
    </row>
    <row r="297" spans="3:13">
      <c r="C297" s="58"/>
      <c r="D297" s="1170" t="s">
        <v>611</v>
      </c>
      <c r="E297" s="1171" cm="1">
        <f t="array" ref="E297:L297">_xlfn.ANCHORARRAY(E538)</f>
        <v>0.13166263400196046</v>
      </c>
      <c r="F297" s="1171">
        <v>0.131493403831483</v>
      </c>
      <c r="G297" s="1171">
        <v>0.131493403831483</v>
      </c>
      <c r="H297" s="1171">
        <v>0.131493403831483</v>
      </c>
      <c r="I297" s="1171">
        <v>0.131493403831483</v>
      </c>
      <c r="J297" s="1171">
        <v>0.131493403831483</v>
      </c>
      <c r="K297" s="1171">
        <v>0.131493403831483</v>
      </c>
      <c r="L297" s="1171">
        <v>0.131493403831483</v>
      </c>
      <c r="M297" s="58"/>
    </row>
    <row r="298" spans="3:13">
      <c r="C298" s="58"/>
      <c r="D298" s="2039" t="s">
        <v>612</v>
      </c>
      <c r="E298" s="1229" cm="1">
        <f t="array" ref="E298:L298">_xlfn.ANCHORARRAY(E539)</f>
        <v>0.16464070561608729</v>
      </c>
      <c r="F298" s="1229">
        <v>0.16442908768143077</v>
      </c>
      <c r="G298" s="1229">
        <v>0.16442908768143077</v>
      </c>
      <c r="H298" s="1229">
        <v>0.16442908768143077</v>
      </c>
      <c r="I298" s="1229">
        <v>0.16442908768143077</v>
      </c>
      <c r="J298" s="1229">
        <v>0.16442908768143077</v>
      </c>
      <c r="K298" s="1229">
        <v>0.16442908768143077</v>
      </c>
      <c r="L298" s="1229">
        <v>0.16442908768143077</v>
      </c>
      <c r="M298" s="58"/>
    </row>
    <row r="299" spans="3:13">
      <c r="C299" s="58"/>
      <c r="D299" s="1724" t="s">
        <v>1714</v>
      </c>
      <c r="E299" s="1530" cm="1">
        <f t="array" ref="E299:L299">_xlfn.ANCHORARRAY(E297)+_xlfn.ANCHORARRAY(E298)</f>
        <v>0.29630333961804778</v>
      </c>
      <c r="F299" s="1530">
        <v>0.29592249151291378</v>
      </c>
      <c r="G299" s="1530">
        <v>0.29592249151291378</v>
      </c>
      <c r="H299" s="1530">
        <v>0.29592249151291378</v>
      </c>
      <c r="I299" s="1530">
        <v>0.29592249151291378</v>
      </c>
      <c r="J299" s="1530">
        <v>0.29592249151291378</v>
      </c>
      <c r="K299" s="1530">
        <v>0.29592249151291378</v>
      </c>
      <c r="L299" s="1530">
        <v>0.29592249151291378</v>
      </c>
      <c r="M299" s="58"/>
    </row>
    <row r="300" spans="3:13">
      <c r="C300" s="58"/>
      <c r="D300" s="1170"/>
      <c r="E300" s="2124"/>
      <c r="F300" s="2124"/>
      <c r="G300" s="2124"/>
      <c r="H300" s="2124"/>
      <c r="I300" s="2124"/>
      <c r="J300" s="2124"/>
      <c r="K300" s="2124"/>
      <c r="L300" s="2124"/>
      <c r="M300" s="58"/>
    </row>
    <row r="301" spans="3:13">
      <c r="C301" s="58"/>
      <c r="D301" s="1170"/>
      <c r="E301" s="1171"/>
      <c r="F301" s="1171"/>
      <c r="G301" s="1171"/>
      <c r="H301" s="1171"/>
      <c r="I301" s="1171"/>
      <c r="J301" s="1171"/>
      <c r="K301" s="1171"/>
      <c r="L301" s="1171"/>
      <c r="M301" s="58"/>
    </row>
    <row r="302" spans="3:13">
      <c r="C302" s="58"/>
      <c r="D302" s="478" t="s">
        <v>2505</v>
      </c>
      <c r="E302" s="477"/>
      <c r="F302" s="477"/>
      <c r="G302" s="477"/>
      <c r="H302" s="477"/>
      <c r="I302" s="477"/>
      <c r="J302" s="477"/>
      <c r="K302" s="477"/>
      <c r="L302" s="479" t="s">
        <v>29</v>
      </c>
      <c r="M302" s="58"/>
    </row>
    <row r="303" spans="3:13">
      <c r="C303" s="58"/>
      <c r="D303" s="1168" t="s">
        <v>1623</v>
      </c>
      <c r="E303" s="1169">
        <v>2018</v>
      </c>
      <c r="F303" s="1169" t="s">
        <v>322</v>
      </c>
      <c r="G303" s="1169" t="s">
        <v>323</v>
      </c>
      <c r="H303" s="1169" t="s">
        <v>324</v>
      </c>
      <c r="I303" s="1169" t="s">
        <v>325</v>
      </c>
      <c r="J303" s="1169" t="s">
        <v>326</v>
      </c>
      <c r="K303" s="1169" t="s">
        <v>327</v>
      </c>
      <c r="L303" s="1169" t="s">
        <v>328</v>
      </c>
      <c r="M303" s="58"/>
    </row>
    <row r="304" spans="3:13">
      <c r="C304" s="58"/>
      <c r="D304" s="1170" t="s">
        <v>1619</v>
      </c>
      <c r="E304" s="1171" cm="1">
        <f t="array" ref="E304:L304">_xlfn.ANCHORARRAY(E530)</f>
        <v>6.7617401354538847E-3</v>
      </c>
      <c r="F304" s="1171">
        <v>6.7617401354538847E-3</v>
      </c>
      <c r="G304" s="1171">
        <v>6.7617401354538847E-3</v>
      </c>
      <c r="H304" s="1171">
        <v>6.7617401354538847E-3</v>
      </c>
      <c r="I304" s="1171">
        <v>6.7617401354538847E-3</v>
      </c>
      <c r="J304" s="1171">
        <v>6.7617401354538847E-3</v>
      </c>
      <c r="K304" s="1171">
        <v>6.7617401354538847E-3</v>
      </c>
      <c r="L304" s="1171">
        <v>6.7617401354538847E-3</v>
      </c>
      <c r="M304" s="58"/>
    </row>
    <row r="305" spans="3:16">
      <c r="C305" s="58"/>
      <c r="D305" s="1170" t="s">
        <v>950</v>
      </c>
      <c r="E305" s="1171" cm="1">
        <f t="array" ref="E305:L305">_xlfn.ANCHORARRAY(E531)</f>
        <v>1.8404356865803718E-3</v>
      </c>
      <c r="F305" s="1171">
        <v>1.8404356865803718E-3</v>
      </c>
      <c r="G305" s="1171">
        <v>1.8404356865803718E-3</v>
      </c>
      <c r="H305" s="1171">
        <v>1.8404356865803718E-3</v>
      </c>
      <c r="I305" s="1171">
        <v>1.8404356865803718E-3</v>
      </c>
      <c r="J305" s="1171">
        <v>1.8404356865803718E-3</v>
      </c>
      <c r="K305" s="1171">
        <v>1.8404356865803718E-3</v>
      </c>
      <c r="L305" s="1171">
        <v>1.8404356865803718E-3</v>
      </c>
      <c r="M305" s="58"/>
      <c r="P305" s="1790"/>
    </row>
    <row r="306" spans="3:16">
      <c r="C306" s="58"/>
      <c r="D306" s="1170" t="s">
        <v>953</v>
      </c>
      <c r="E306" s="1171" cm="1">
        <f t="array" ref="E306:L306">_xlfn.ANCHORARRAY(E532)</f>
        <v>1.2007027089967776E-3</v>
      </c>
      <c r="F306" s="1171">
        <v>1.2007027089967776E-3</v>
      </c>
      <c r="G306" s="1171">
        <v>1.2007027089967776E-3</v>
      </c>
      <c r="H306" s="1171">
        <v>1.2007027089967776E-3</v>
      </c>
      <c r="I306" s="1171">
        <v>1.2007027089967776E-3</v>
      </c>
      <c r="J306" s="1171">
        <v>1.2007027089967776E-3</v>
      </c>
      <c r="K306" s="1171">
        <v>1.2007027089967776E-3</v>
      </c>
      <c r="L306" s="1171">
        <v>1.2007027089967776E-3</v>
      </c>
      <c r="M306" s="58"/>
    </row>
    <row r="307" spans="3:16">
      <c r="C307" s="58"/>
      <c r="D307" s="1170" t="s">
        <v>1620</v>
      </c>
      <c r="E307" s="1171" cm="1">
        <f t="array" ref="E307:L307">_xlfn.ANCHORARRAY(E533)</f>
        <v>6.2397641868401502E-4</v>
      </c>
      <c r="F307" s="1171">
        <v>6.2397641868401502E-4</v>
      </c>
      <c r="G307" s="1171">
        <v>6.2397641868401502E-4</v>
      </c>
      <c r="H307" s="1171">
        <v>6.2397641868401502E-4</v>
      </c>
      <c r="I307" s="1171">
        <v>6.2397641868401502E-4</v>
      </c>
      <c r="J307" s="1171">
        <v>6.2397641868401502E-4</v>
      </c>
      <c r="K307" s="1171">
        <v>6.2397641868401502E-4</v>
      </c>
      <c r="L307" s="1171">
        <v>6.2397641868401502E-4</v>
      </c>
      <c r="M307" s="58"/>
    </row>
    <row r="308" spans="3:16">
      <c r="C308" s="58"/>
      <c r="D308" s="1172" t="s">
        <v>2506</v>
      </c>
      <c r="E308" s="1883" cm="1">
        <f t="array" ref="E308:L308">-E534:L534</f>
        <v>-1.0426854949715049E-2</v>
      </c>
      <c r="F308" s="1883">
        <v>-1.0426854949715049E-2</v>
      </c>
      <c r="G308" s="1883">
        <v>-1.0426854949715049E-2</v>
      </c>
      <c r="H308" s="1883">
        <v>-1.0426854949715049E-2</v>
      </c>
      <c r="I308" s="1883">
        <v>-1.0426854949715049E-2</v>
      </c>
      <c r="J308" s="1883">
        <v>-1.0426854949715049E-2</v>
      </c>
      <c r="K308" s="1883">
        <v>-1.0426854949715049E-2</v>
      </c>
      <c r="L308" s="1883">
        <v>-1.0426854949715049E-2</v>
      </c>
      <c r="M308" s="58"/>
    </row>
    <row r="309" spans="3:16">
      <c r="C309" s="58"/>
      <c r="D309" s="2120"/>
      <c r="E309" s="2121"/>
      <c r="F309" s="2121"/>
      <c r="G309" s="2121"/>
      <c r="H309" s="2121"/>
      <c r="I309" s="2121"/>
      <c r="J309" s="2121"/>
      <c r="K309" s="2121"/>
      <c r="L309" s="2121"/>
      <c r="M309" s="58"/>
    </row>
    <row r="310" spans="3:16">
      <c r="C310" s="58"/>
      <c r="D310" s="1724" t="s">
        <v>2507</v>
      </c>
      <c r="E310" s="1883" cm="1">
        <f t="array" ref="E310:L310">+_xlfn.ANCHORARRAY(E299)+SALIDA_EMISIONES_AGRO_REDUCCION_MEDIDAS</f>
        <v>0.28587648466833271</v>
      </c>
      <c r="F310" s="1883">
        <v>0.28549563656319871</v>
      </c>
      <c r="G310" s="1883">
        <v>0.28549563656319871</v>
      </c>
      <c r="H310" s="1883">
        <v>0.28549563656319871</v>
      </c>
      <c r="I310" s="1883">
        <v>0.28549563656319871</v>
      </c>
      <c r="J310" s="1883">
        <v>0.28549563656319871</v>
      </c>
      <c r="K310" s="1883">
        <v>0.28549563656319871</v>
      </c>
      <c r="L310" s="1883">
        <v>0.28549563656319871</v>
      </c>
      <c r="M310" s="58"/>
    </row>
    <row r="311" spans="3:16">
      <c r="C311" s="58"/>
      <c r="D311" s="2120"/>
      <c r="E311" s="2121"/>
      <c r="F311" s="2121"/>
      <c r="G311" s="2121"/>
      <c r="H311" s="2121"/>
      <c r="I311" s="2121"/>
      <c r="J311" s="2121"/>
      <c r="K311" s="2121"/>
      <c r="L311" s="2121"/>
      <c r="M311" s="58"/>
    </row>
    <row r="312" spans="3:16" ht="15.75">
      <c r="C312" s="58"/>
      <c r="D312" s="56" t="s">
        <v>2508</v>
      </c>
      <c r="E312" s="2122"/>
      <c r="F312" s="2123"/>
      <c r="G312" s="2122"/>
      <c r="H312" s="2123"/>
      <c r="I312" s="2122"/>
      <c r="J312" s="2122"/>
      <c r="K312" s="2122"/>
      <c r="L312" s="2122"/>
      <c r="M312" s="58"/>
    </row>
    <row r="313" spans="3:16">
      <c r="C313" s="58"/>
      <c r="D313" s="2120"/>
      <c r="E313" s="2121"/>
      <c r="F313" s="2121"/>
      <c r="G313" s="2121"/>
      <c r="H313" s="2121"/>
      <c r="I313" s="2121"/>
      <c r="J313" s="2121"/>
      <c r="K313" s="2121"/>
      <c r="L313" s="2121"/>
      <c r="M313" s="58"/>
    </row>
    <row r="314" spans="3:16">
      <c r="C314" s="58"/>
      <c r="D314" s="478" t="s">
        <v>2504</v>
      </c>
      <c r="E314" s="477"/>
      <c r="F314" s="477"/>
      <c r="G314" s="477"/>
      <c r="H314" s="477"/>
      <c r="I314" s="477"/>
      <c r="J314" s="477"/>
      <c r="K314" s="477"/>
      <c r="L314" s="479" t="s">
        <v>29</v>
      </c>
      <c r="M314" s="58"/>
    </row>
    <row r="315" spans="3:16">
      <c r="C315" s="58"/>
      <c r="D315" s="1168" t="s">
        <v>2460</v>
      </c>
      <c r="E315" s="1169">
        <v>2018</v>
      </c>
      <c r="F315" s="1169">
        <v>2020</v>
      </c>
      <c r="G315" s="1169">
        <v>2025</v>
      </c>
      <c r="H315" s="1169">
        <v>2030</v>
      </c>
      <c r="I315" s="1169">
        <v>2035</v>
      </c>
      <c r="J315" s="1169">
        <v>2040</v>
      </c>
      <c r="K315" s="1169">
        <v>2045</v>
      </c>
      <c r="L315" s="1169">
        <v>2050</v>
      </c>
      <c r="M315" s="58"/>
    </row>
    <row r="316" spans="3:16">
      <c r="C316" s="58"/>
      <c r="D316" s="2074" t="s">
        <v>2509</v>
      </c>
      <c r="E316" s="2132" cm="1">
        <f t="array" ref="E316:L316">_xlfn.ANCHORARRAY(E547)*PCG_CH4+_xlfn.ANCHORARRAY(E548)*PCG_N2O</f>
        <v>2.131022839070458E-2</v>
      </c>
      <c r="F316" s="2132">
        <v>2.128583625103719E-2</v>
      </c>
      <c r="G316" s="2132">
        <v>2.1277426045735251E-2</v>
      </c>
      <c r="H316" s="2132">
        <v>2.1269026650337638E-2</v>
      </c>
      <c r="I316" s="2132">
        <v>2.1260638050950038E-2</v>
      </c>
      <c r="J316" s="2132">
        <v>2.1252260233695995E-2</v>
      </c>
      <c r="K316" s="2132">
        <v>2.1243893184716894E-2</v>
      </c>
      <c r="L316" s="2132">
        <v>2.1235536890171922E-2</v>
      </c>
      <c r="M316" s="1701"/>
    </row>
    <row r="317" spans="3:16">
      <c r="C317" s="58"/>
      <c r="D317" s="58"/>
      <c r="E317" s="2184"/>
      <c r="F317" s="58"/>
      <c r="G317" s="58"/>
      <c r="H317" s="58"/>
      <c r="I317" s="58"/>
      <c r="J317" s="58"/>
      <c r="K317" s="58"/>
      <c r="L317" s="58"/>
      <c r="M317" s="58"/>
    </row>
    <row r="319" spans="3:16" ht="18.75">
      <c r="C319" s="110" t="s">
        <v>797</v>
      </c>
      <c r="D319" s="65"/>
      <c r="E319" s="65"/>
      <c r="F319" s="65"/>
      <c r="G319" s="65"/>
      <c r="H319" s="65"/>
      <c r="I319" s="65"/>
      <c r="J319" s="65"/>
      <c r="K319" s="65"/>
      <c r="L319" s="65"/>
      <c r="M319" s="65"/>
    </row>
    <row r="320" spans="3:16">
      <c r="C320" s="66"/>
      <c r="D320" s="66"/>
      <c r="E320" s="66"/>
      <c r="F320" s="66"/>
      <c r="G320" s="66"/>
      <c r="H320" s="66"/>
      <c r="I320" s="66"/>
      <c r="J320" s="66"/>
      <c r="K320" s="66"/>
      <c r="L320" s="66"/>
      <c r="M320" s="66"/>
    </row>
    <row r="321" spans="3:13">
      <c r="C321" s="324"/>
      <c r="D321" s="2141" t="s">
        <v>2510</v>
      </c>
      <c r="E321" s="2142"/>
      <c r="F321" s="2142"/>
      <c r="G321" s="2142"/>
      <c r="H321" s="2142"/>
      <c r="I321" s="2142"/>
      <c r="J321" s="2142"/>
      <c r="K321" s="2142"/>
      <c r="L321" s="2142"/>
      <c r="M321" s="324"/>
    </row>
    <row r="322" spans="3:13">
      <c r="C322" s="324"/>
      <c r="D322" s="324"/>
      <c r="E322" s="324"/>
      <c r="F322" s="324"/>
      <c r="G322" s="324"/>
      <c r="H322" s="324"/>
      <c r="I322" s="324"/>
      <c r="J322" s="324"/>
      <c r="K322" s="324"/>
      <c r="L322" s="324"/>
      <c r="M322" s="324"/>
    </row>
    <row r="323" spans="3:13">
      <c r="C323" s="324"/>
      <c r="D323" s="2658" t="s">
        <v>2511</v>
      </c>
      <c r="E323" s="324"/>
      <c r="F323" s="324"/>
      <c r="G323" s="324"/>
      <c r="H323" s="324"/>
      <c r="I323" s="324"/>
      <c r="J323" s="324"/>
      <c r="K323" s="324"/>
      <c r="L323" s="325" t="s">
        <v>803</v>
      </c>
      <c r="M323" s="66"/>
    </row>
    <row r="324" spans="3:13" ht="15.75">
      <c r="C324" s="394"/>
      <c r="D324" s="2024" t="s">
        <v>699</v>
      </c>
      <c r="E324" s="2025">
        <v>2018</v>
      </c>
      <c r="F324" s="2025" t="s">
        <v>322</v>
      </c>
      <c r="G324" s="2025" t="s">
        <v>323</v>
      </c>
      <c r="H324" s="2025" t="s">
        <v>324</v>
      </c>
      <c r="I324" s="2025" t="s">
        <v>325</v>
      </c>
      <c r="J324" s="2025" t="s">
        <v>326</v>
      </c>
      <c r="K324" s="2025" t="s">
        <v>327</v>
      </c>
      <c r="L324" s="2025" t="s">
        <v>328</v>
      </c>
      <c r="M324" s="66"/>
    </row>
    <row r="325" spans="3:13" ht="15.75">
      <c r="C325" s="394"/>
      <c r="D325" s="329" t="s">
        <v>2175</v>
      </c>
      <c r="E325" s="2799" cm="1">
        <f t="array" ref="E325:L325">E213:L213</f>
        <v>0.22808641045226435</v>
      </c>
      <c r="F325" s="2799">
        <v>0.44611624047506276</v>
      </c>
      <c r="G325" s="2799">
        <v>0.42193407731494009</v>
      </c>
      <c r="H325" s="2799">
        <v>0.39906273174460105</v>
      </c>
      <c r="I325" s="2799">
        <v>0.37743114962623697</v>
      </c>
      <c r="J325" s="2799">
        <v>0.35697212838044012</v>
      </c>
      <c r="K325" s="2799">
        <v>0.33762210820874777</v>
      </c>
      <c r="L325" s="2799">
        <v>0.31932097463317044</v>
      </c>
      <c r="M325" s="66"/>
    </row>
    <row r="326" spans="3:13" ht="15.75">
      <c r="C326" s="394"/>
      <c r="D326" s="331" t="s">
        <v>2108</v>
      </c>
      <c r="E326" s="2800" cm="1">
        <f t="array" ref="E326:L326">E206:L206</f>
        <v>0.22808641045226435</v>
      </c>
      <c r="F326" s="2800">
        <v>0.44985497766548194</v>
      </c>
      <c r="G326" s="2800">
        <v>0.43444053595352145</v>
      </c>
      <c r="H326" s="2800">
        <v>0.41955427560019465</v>
      </c>
      <c r="I326" s="2800">
        <v>0.40517809828233003</v>
      </c>
      <c r="J326" s="2800">
        <v>0.3912945258222732</v>
      </c>
      <c r="K326" s="2800">
        <v>0.37788667893837852</v>
      </c>
      <c r="L326" s="2800">
        <v>0.36493825672362329</v>
      </c>
      <c r="M326" s="66"/>
    </row>
    <row r="327" spans="3:13">
      <c r="C327" s="395"/>
      <c r="D327" s="333" t="s">
        <v>2107</v>
      </c>
      <c r="E327" s="2801" cm="1">
        <f t="array" ref="E327:L327">E199:L199</f>
        <v>0.22808641045226435</v>
      </c>
      <c r="F327" s="2801">
        <v>0.45617282090452871</v>
      </c>
      <c r="G327" s="2801">
        <v>0.45617282090452871</v>
      </c>
      <c r="H327" s="2801">
        <v>0.45617282090452871</v>
      </c>
      <c r="I327" s="2801">
        <v>0.45617282090452871</v>
      </c>
      <c r="J327" s="2801">
        <v>0.45617282090452871</v>
      </c>
      <c r="K327" s="2801">
        <v>0.45617282090452871</v>
      </c>
      <c r="L327" s="2801">
        <v>0.45617282090452871</v>
      </c>
      <c r="M327" s="66"/>
    </row>
    <row r="328" spans="3:13">
      <c r="C328" s="395"/>
      <c r="D328" s="331"/>
      <c r="E328" s="241"/>
      <c r="F328" s="241"/>
      <c r="G328" s="241"/>
      <c r="H328" s="241"/>
      <c r="I328" s="241"/>
      <c r="J328" s="241"/>
      <c r="K328" s="241"/>
      <c r="L328" s="241"/>
      <c r="M328" s="66"/>
    </row>
    <row r="329" spans="3:13">
      <c r="C329" s="395"/>
      <c r="D329" s="2658" t="s">
        <v>2512</v>
      </c>
      <c r="E329" s="324"/>
      <c r="F329" s="324"/>
      <c r="G329" s="324"/>
      <c r="H329" s="324"/>
      <c r="I329" s="324"/>
      <c r="J329" s="324"/>
      <c r="K329" s="324"/>
      <c r="L329" s="325" t="s">
        <v>803</v>
      </c>
      <c r="M329" s="66"/>
    </row>
    <row r="330" spans="3:13">
      <c r="C330" s="324"/>
      <c r="D330" s="2658" t="s">
        <v>699</v>
      </c>
      <c r="E330" s="2025">
        <v>2018</v>
      </c>
      <c r="F330" s="2025" t="s">
        <v>322</v>
      </c>
      <c r="G330" s="2025" t="s">
        <v>323</v>
      </c>
      <c r="H330" s="2025" t="s">
        <v>324</v>
      </c>
      <c r="I330" s="2025" t="s">
        <v>325</v>
      </c>
      <c r="J330" s="2025" t="s">
        <v>326</v>
      </c>
      <c r="K330" s="2025" t="s">
        <v>327</v>
      </c>
      <c r="L330" s="2025" t="s">
        <v>328</v>
      </c>
      <c r="M330" s="66"/>
    </row>
    <row r="331" spans="3:13">
      <c r="C331" s="324"/>
      <c r="D331" s="329" t="s">
        <v>2175</v>
      </c>
      <c r="E331" s="2799" cm="1">
        <f t="array" ref="E331:L331">E214:L214</f>
        <v>2.3323877377510638E-3</v>
      </c>
      <c r="F331" s="2799">
        <v>4.5619379376107463E-3</v>
      </c>
      <c r="G331" s="2799">
        <v>4.314653670586123E-3</v>
      </c>
      <c r="H331" s="2799">
        <v>4.080773686906472E-3</v>
      </c>
      <c r="I331" s="2799">
        <v>3.859571394402567E-3</v>
      </c>
      <c r="J331" s="2799">
        <v>3.6503595865378809E-3</v>
      </c>
      <c r="K331" s="2799">
        <v>3.4524883074721932E-3</v>
      </c>
      <c r="L331" s="2799">
        <v>3.2653428328514927E-3</v>
      </c>
      <c r="M331" s="66"/>
    </row>
    <row r="332" spans="3:13">
      <c r="C332" s="324"/>
      <c r="D332" s="331" t="s">
        <v>2108</v>
      </c>
      <c r="E332" s="2800" cm="1">
        <f t="array" ref="E332:L332">E207:L207</f>
        <v>2.3323877377510638E-3</v>
      </c>
      <c r="F332" s="2800">
        <v>4.6001698724301718E-3</v>
      </c>
      <c r="G332" s="2800">
        <v>4.4425434063817722E-3</v>
      </c>
      <c r="H332" s="2800">
        <v>4.2903180675717004E-3</v>
      </c>
      <c r="I332" s="2800">
        <v>4.1433087844432778E-3</v>
      </c>
      <c r="J332" s="2800">
        <v>4.0013368269829182E-3</v>
      </c>
      <c r="K332" s="2800">
        <v>3.8642295894248764E-3</v>
      </c>
      <c r="L332" s="2800">
        <v>3.7318203804017052E-3</v>
      </c>
      <c r="M332" s="66"/>
    </row>
    <row r="333" spans="3:13" ht="15.75">
      <c r="C333" s="394"/>
      <c r="D333" s="333" t="s">
        <v>2107</v>
      </c>
      <c r="E333" s="2801" cm="1">
        <f t="array" ref="E333:L333">E200:L200</f>
        <v>2.3323877377510638E-3</v>
      </c>
      <c r="F333" s="2801">
        <v>4.6647754755021276E-3</v>
      </c>
      <c r="G333" s="2801">
        <v>4.6647754755021276E-3</v>
      </c>
      <c r="H333" s="2801">
        <v>4.6647754755021276E-3</v>
      </c>
      <c r="I333" s="2801">
        <v>4.6647754755021276E-3</v>
      </c>
      <c r="J333" s="2801">
        <v>4.6647754755021276E-3</v>
      </c>
      <c r="K333" s="2801">
        <v>4.6647754755021276E-3</v>
      </c>
      <c r="L333" s="2801">
        <v>4.6647754755021276E-3</v>
      </c>
      <c r="M333" s="66"/>
    </row>
    <row r="334" spans="3:13" ht="15.75">
      <c r="C334" s="394"/>
      <c r="D334" s="331"/>
      <c r="E334" s="241"/>
      <c r="F334" s="241"/>
      <c r="G334" s="241"/>
      <c r="H334" s="241"/>
      <c r="I334" s="241"/>
      <c r="J334" s="241"/>
      <c r="K334" s="241"/>
      <c r="L334" s="241"/>
      <c r="M334" s="66"/>
    </row>
    <row r="335" spans="3:13" ht="15.75">
      <c r="C335" s="394"/>
      <c r="D335" s="2658" t="s">
        <v>2513</v>
      </c>
      <c r="E335" s="324"/>
      <c r="F335" s="324"/>
      <c r="G335" s="324"/>
      <c r="H335" s="324"/>
      <c r="I335" s="324"/>
      <c r="J335" s="324"/>
      <c r="K335" s="324"/>
      <c r="L335" s="325" t="s">
        <v>803</v>
      </c>
      <c r="M335" s="66"/>
    </row>
    <row r="336" spans="3:13" ht="15.75">
      <c r="C336" s="394"/>
      <c r="D336" s="2024" t="s">
        <v>699</v>
      </c>
      <c r="E336" s="2025">
        <v>2018</v>
      </c>
      <c r="F336" s="2025" t="s">
        <v>322</v>
      </c>
      <c r="G336" s="2025" t="s">
        <v>323</v>
      </c>
      <c r="H336" s="2025" t="s">
        <v>324</v>
      </c>
      <c r="I336" s="2025" t="s">
        <v>325</v>
      </c>
      <c r="J336" s="2025" t="s">
        <v>326</v>
      </c>
      <c r="K336" s="2025" t="s">
        <v>327</v>
      </c>
      <c r="L336" s="2025" t="s">
        <v>328</v>
      </c>
      <c r="M336" s="66"/>
    </row>
    <row r="337" spans="3:14">
      <c r="C337" s="395"/>
      <c r="D337" s="329" t="s">
        <v>2175</v>
      </c>
      <c r="E337" s="2799" cm="1">
        <f t="array" ref="E337:L337">E216:L216</f>
        <v>5.5260911579703082E-3</v>
      </c>
      <c r="F337" s="2799">
        <v>1.0808530885412622E-2</v>
      </c>
      <c r="G337" s="2799">
        <v>1.0222643993884218E-2</v>
      </c>
      <c r="H337" s="2799">
        <v>9.6685156691123843E-3</v>
      </c>
      <c r="I337" s="2799">
        <v>9.1444244072078629E-3</v>
      </c>
      <c r="J337" s="2799">
        <v>8.6487420200680714E-3</v>
      </c>
      <c r="K337" s="2799">
        <v>8.1799285771044662E-3</v>
      </c>
      <c r="L337" s="2799">
        <v>7.7365276211584389E-3</v>
      </c>
      <c r="M337" s="66"/>
    </row>
    <row r="338" spans="3:14">
      <c r="C338" s="395"/>
      <c r="D338" s="331" t="s">
        <v>2108</v>
      </c>
      <c r="E338" s="2800" cm="1">
        <f t="array" ref="E338:L338">E209:L209</f>
        <v>5.5260911579703082E-3</v>
      </c>
      <c r="F338" s="2800">
        <v>1.0899113233080699E-2</v>
      </c>
      <c r="G338" s="2800">
        <v>1.0525651219799812E-2</v>
      </c>
      <c r="H338" s="2800">
        <v>1.0164986015982333E-2</v>
      </c>
      <c r="I338" s="2800">
        <v>9.8166791343748828E-3</v>
      </c>
      <c r="J338" s="2800">
        <v>9.4803071126466649E-3</v>
      </c>
      <c r="K338" s="2800">
        <v>9.1554609985551073E-3</v>
      </c>
      <c r="L338" s="2800">
        <v>8.8417458527525004E-3</v>
      </c>
      <c r="M338" s="66"/>
    </row>
    <row r="339" spans="3:14">
      <c r="C339" s="324"/>
      <c r="D339" s="333" t="s">
        <v>2107</v>
      </c>
      <c r="E339" s="2801" cm="1">
        <f t="array" ref="E339:L339">E202:L202</f>
        <v>5.5260911579703082E-3</v>
      </c>
      <c r="F339" s="2801">
        <v>1.1052182315940616E-2</v>
      </c>
      <c r="G339" s="2801">
        <v>1.1052182315940616E-2</v>
      </c>
      <c r="H339" s="2801">
        <v>1.1052182315940616E-2</v>
      </c>
      <c r="I339" s="2801">
        <v>1.1052182315940616E-2</v>
      </c>
      <c r="J339" s="2801">
        <v>1.1052182315940616E-2</v>
      </c>
      <c r="K339" s="2801">
        <v>1.1052182315940616E-2</v>
      </c>
      <c r="L339" s="2801">
        <v>1.1052182315940616E-2</v>
      </c>
      <c r="M339" s="324"/>
    </row>
    <row r="340" spans="3:14">
      <c r="C340" s="324"/>
      <c r="D340" s="324"/>
      <c r="E340" s="324"/>
      <c r="F340" s="324"/>
      <c r="G340" s="324"/>
      <c r="H340" s="324"/>
      <c r="I340" s="324"/>
      <c r="J340" s="324"/>
      <c r="K340" s="324"/>
      <c r="L340" s="324"/>
      <c r="M340" s="324"/>
    </row>
    <row r="341" spans="3:14">
      <c r="C341" s="66"/>
      <c r="D341" s="2658" t="s">
        <v>2514</v>
      </c>
      <c r="E341" s="324"/>
      <c r="F341" s="324"/>
      <c r="G341" s="324"/>
      <c r="H341" s="324"/>
      <c r="I341" s="324"/>
      <c r="J341" s="324"/>
      <c r="K341" s="324"/>
      <c r="L341" s="325" t="s">
        <v>803</v>
      </c>
      <c r="M341" s="66"/>
    </row>
    <row r="342" spans="3:14">
      <c r="C342" s="66"/>
      <c r="D342" s="2024" t="s">
        <v>699</v>
      </c>
      <c r="E342" s="2025">
        <v>2018</v>
      </c>
      <c r="F342" s="2025" t="s">
        <v>322</v>
      </c>
      <c r="G342" s="2025" t="s">
        <v>323</v>
      </c>
      <c r="H342" s="2025" t="s">
        <v>324</v>
      </c>
      <c r="I342" s="2025" t="s">
        <v>325</v>
      </c>
      <c r="J342" s="2025" t="s">
        <v>326</v>
      </c>
      <c r="K342" s="2025" t="s">
        <v>327</v>
      </c>
      <c r="L342" s="2025" t="s">
        <v>328</v>
      </c>
      <c r="M342" s="66"/>
    </row>
    <row r="343" spans="3:14">
      <c r="C343" s="66"/>
      <c r="D343" s="329" t="s">
        <v>2175</v>
      </c>
      <c r="E343" s="2799" cm="1">
        <f t="array" ref="E343:L343">E215:L215</f>
        <v>1.1320525999870341E-4</v>
      </c>
      <c r="F343" s="2799">
        <v>2.2141917570837983E-4</v>
      </c>
      <c r="G343" s="2799">
        <v>2.0941693470487351E-4</v>
      </c>
      <c r="H343" s="2799">
        <v>1.9806528680670857E-4</v>
      </c>
      <c r="I343" s="2799">
        <v>1.8732896598409993E-4</v>
      </c>
      <c r="J343" s="2799">
        <v>1.7717461783658438E-4</v>
      </c>
      <c r="K343" s="2799">
        <v>1.6757069597130063E-4</v>
      </c>
      <c r="L343" s="2799">
        <v>1.5848736399818496E-4</v>
      </c>
      <c r="M343" s="66"/>
    </row>
    <row r="344" spans="3:14">
      <c r="C344" s="66"/>
      <c r="D344" s="331" t="s">
        <v>2108</v>
      </c>
      <c r="E344" s="2800" cm="1">
        <f t="array" ref="E344:L344">E208:L208</f>
        <v>1.1320525999870341E-4</v>
      </c>
      <c r="F344" s="2800">
        <v>2.2327480890839819E-4</v>
      </c>
      <c r="G344" s="2800">
        <v>2.1562421772114925E-4</v>
      </c>
      <c r="H344" s="2800">
        <v>2.0823577677736297E-4</v>
      </c>
      <c r="I344" s="2800">
        <v>2.0110050340518219E-4</v>
      </c>
      <c r="J344" s="2800">
        <v>1.9420972272721408E-4</v>
      </c>
      <c r="K344" s="2800">
        <v>1.8755505711384225E-4</v>
      </c>
      <c r="L344" s="2800">
        <v>1.8112841599792563E-4</v>
      </c>
      <c r="M344" s="66"/>
    </row>
    <row r="345" spans="3:14">
      <c r="C345" s="66"/>
      <c r="D345" s="333" t="s">
        <v>2107</v>
      </c>
      <c r="E345" s="2801" cm="1">
        <f t="array" ref="E345:L345">E201:L201</f>
        <v>1.1320525999870341E-4</v>
      </c>
      <c r="F345" s="2801">
        <v>2.2641051999740681E-4</v>
      </c>
      <c r="G345" s="2801">
        <v>2.2641051999740681E-4</v>
      </c>
      <c r="H345" s="2801">
        <v>2.2641051999740681E-4</v>
      </c>
      <c r="I345" s="2801">
        <v>2.2641051999740681E-4</v>
      </c>
      <c r="J345" s="2801">
        <v>2.2641051999740681E-4</v>
      </c>
      <c r="K345" s="2801">
        <v>2.2641051999740681E-4</v>
      </c>
      <c r="L345" s="2801">
        <v>2.2641051999740681E-4</v>
      </c>
      <c r="M345" s="66"/>
    </row>
    <row r="346" spans="3:14">
      <c r="C346" s="66"/>
      <c r="D346" s="66"/>
      <c r="E346" s="66"/>
      <c r="F346" s="66"/>
      <c r="G346" s="66"/>
      <c r="H346" s="66"/>
      <c r="I346" s="66"/>
      <c r="J346" s="66"/>
      <c r="K346" s="66"/>
      <c r="L346" s="66"/>
      <c r="M346" s="66"/>
    </row>
    <row r="347" spans="3:14" ht="15.75">
      <c r="C347" s="394"/>
      <c r="D347" s="2141" t="s">
        <v>2515</v>
      </c>
      <c r="E347" s="2142"/>
      <c r="F347" s="2142"/>
      <c r="G347" s="2142"/>
      <c r="H347" s="2142"/>
      <c r="I347" s="2142"/>
      <c r="J347" s="2142"/>
      <c r="K347" s="2142"/>
      <c r="L347" s="2142"/>
      <c r="M347" s="66"/>
    </row>
    <row r="348" spans="3:14" ht="15.75">
      <c r="C348" s="394"/>
      <c r="D348" s="394"/>
      <c r="E348" s="394"/>
      <c r="F348" s="394"/>
      <c r="G348" s="394"/>
      <c r="H348" s="394"/>
      <c r="I348" s="394"/>
      <c r="J348" s="394"/>
      <c r="K348" s="394"/>
      <c r="L348" s="394"/>
      <c r="M348" s="66"/>
      <c r="N348" s="3"/>
    </row>
    <row r="349" spans="3:14" ht="15.75">
      <c r="C349" s="394"/>
      <c r="D349" s="2658" t="s">
        <v>2516</v>
      </c>
      <c r="E349" s="324"/>
      <c r="F349" s="324"/>
      <c r="G349" s="324"/>
      <c r="H349" s="324"/>
      <c r="I349" s="324"/>
      <c r="J349" s="324"/>
      <c r="K349" s="324"/>
      <c r="L349" s="325" t="s">
        <v>803</v>
      </c>
      <c r="M349" s="66"/>
      <c r="N349" s="3"/>
    </row>
    <row r="350" spans="3:14" ht="15.75">
      <c r="C350" s="394"/>
      <c r="D350" s="2024" t="s">
        <v>699</v>
      </c>
      <c r="E350" s="2025">
        <v>2018</v>
      </c>
      <c r="F350" s="2025" t="s">
        <v>322</v>
      </c>
      <c r="G350" s="2025" t="s">
        <v>323</v>
      </c>
      <c r="H350" s="2025" t="s">
        <v>324</v>
      </c>
      <c r="I350" s="2025" t="s">
        <v>325</v>
      </c>
      <c r="J350" s="2025" t="s">
        <v>326</v>
      </c>
      <c r="K350" s="2025" t="s">
        <v>327</v>
      </c>
      <c r="L350" s="2025" t="s">
        <v>328</v>
      </c>
      <c r="M350" s="66"/>
      <c r="N350" s="3"/>
    </row>
    <row r="351" spans="3:14">
      <c r="C351" s="395"/>
      <c r="D351" s="329" t="s">
        <v>2175</v>
      </c>
      <c r="E351" s="330" cm="1">
        <f t="array" ref="E351:L351">E224:L224</f>
        <v>0</v>
      </c>
      <c r="F351" s="330">
        <v>0</v>
      </c>
      <c r="G351" s="330">
        <v>0</v>
      </c>
      <c r="H351" s="330">
        <v>0</v>
      </c>
      <c r="I351" s="330">
        <v>0</v>
      </c>
      <c r="J351" s="330">
        <v>0</v>
      </c>
      <c r="K351" s="330">
        <v>0</v>
      </c>
      <c r="L351" s="330">
        <v>0</v>
      </c>
      <c r="M351" s="66"/>
      <c r="N351" s="3"/>
    </row>
    <row r="352" spans="3:14">
      <c r="C352" s="395"/>
      <c r="D352" s="331" t="s">
        <v>2108</v>
      </c>
      <c r="E352" s="1234" cm="1">
        <f t="array" ref="E352:L352">E223:L223</f>
        <v>0</v>
      </c>
      <c r="F352" s="1234">
        <v>0</v>
      </c>
      <c r="G352" s="1234">
        <v>0</v>
      </c>
      <c r="H352" s="1234">
        <v>0</v>
      </c>
      <c r="I352" s="1234">
        <v>0</v>
      </c>
      <c r="J352" s="1234">
        <v>0</v>
      </c>
      <c r="K352" s="1234">
        <v>0</v>
      </c>
      <c r="L352" s="1234">
        <v>0</v>
      </c>
      <c r="M352" s="66"/>
      <c r="N352" s="3"/>
    </row>
    <row r="353" spans="3:14">
      <c r="C353" s="324"/>
      <c r="D353" s="333" t="s">
        <v>2107</v>
      </c>
      <c r="E353" s="334" cm="1">
        <f t="array" ref="E353:L353">E222:L222</f>
        <v>0</v>
      </c>
      <c r="F353" s="334">
        <v>0</v>
      </c>
      <c r="G353" s="334">
        <v>0</v>
      </c>
      <c r="H353" s="334">
        <v>0</v>
      </c>
      <c r="I353" s="334">
        <v>0</v>
      </c>
      <c r="J353" s="334">
        <v>0</v>
      </c>
      <c r="K353" s="334">
        <v>0</v>
      </c>
      <c r="L353" s="334">
        <v>0</v>
      </c>
      <c r="M353" s="324"/>
      <c r="N353" s="3"/>
    </row>
    <row r="354" spans="3:14">
      <c r="C354" s="324"/>
      <c r="D354" s="324"/>
      <c r="E354" s="324"/>
      <c r="F354" s="324"/>
      <c r="G354" s="324"/>
      <c r="H354" s="324"/>
      <c r="I354" s="324"/>
      <c r="J354" s="324"/>
      <c r="K354" s="324"/>
      <c r="L354" s="324"/>
      <c r="M354" s="324"/>
      <c r="N354" s="3"/>
    </row>
    <row r="355" spans="3:14">
      <c r="C355" s="66"/>
      <c r="D355" s="2658" t="s">
        <v>2517</v>
      </c>
      <c r="E355" s="324"/>
      <c r="F355" s="324"/>
      <c r="G355" s="324"/>
      <c r="H355" s="324"/>
      <c r="I355" s="324"/>
      <c r="J355" s="324"/>
      <c r="K355" s="324"/>
      <c r="L355" s="325" t="s">
        <v>803</v>
      </c>
      <c r="M355" s="66"/>
    </row>
    <row r="356" spans="3:14">
      <c r="C356" s="66"/>
      <c r="D356" s="2024" t="s">
        <v>699</v>
      </c>
      <c r="E356" s="2025">
        <v>2018</v>
      </c>
      <c r="F356" s="2025" t="s">
        <v>322</v>
      </c>
      <c r="G356" s="2025" t="s">
        <v>323</v>
      </c>
      <c r="H356" s="2025" t="s">
        <v>324</v>
      </c>
      <c r="I356" s="2025" t="s">
        <v>325</v>
      </c>
      <c r="J356" s="2025" t="s">
        <v>326</v>
      </c>
      <c r="K356" s="2025" t="s">
        <v>327</v>
      </c>
      <c r="L356" s="2025" t="s">
        <v>328</v>
      </c>
      <c r="M356" s="66"/>
    </row>
    <row r="357" spans="3:14">
      <c r="C357" s="66"/>
      <c r="D357" s="329" t="s">
        <v>2175</v>
      </c>
      <c r="E357" s="330" cm="1">
        <f t="array" ref="E357:L357">E230:L230</f>
        <v>0</v>
      </c>
      <c r="F357" s="330">
        <v>0</v>
      </c>
      <c r="G357" s="330">
        <v>0</v>
      </c>
      <c r="H357" s="330">
        <v>0</v>
      </c>
      <c r="I357" s="330">
        <v>0</v>
      </c>
      <c r="J357" s="330">
        <v>0</v>
      </c>
      <c r="K357" s="330">
        <v>0</v>
      </c>
      <c r="L357" s="330">
        <v>0</v>
      </c>
      <c r="M357" s="66"/>
    </row>
    <row r="358" spans="3:14">
      <c r="C358" s="66"/>
      <c r="D358" s="331" t="s">
        <v>2108</v>
      </c>
      <c r="E358" s="1234" cm="1">
        <f t="array" ref="E358:L358">E229:L229</f>
        <v>0</v>
      </c>
      <c r="F358" s="1234">
        <v>0</v>
      </c>
      <c r="G358" s="1234">
        <v>0</v>
      </c>
      <c r="H358" s="1234">
        <v>0</v>
      </c>
      <c r="I358" s="1234">
        <v>0</v>
      </c>
      <c r="J358" s="1234">
        <v>0</v>
      </c>
      <c r="K358" s="1234">
        <v>0</v>
      </c>
      <c r="L358" s="1234">
        <v>0</v>
      </c>
      <c r="M358" s="66"/>
    </row>
    <row r="359" spans="3:14">
      <c r="C359" s="66"/>
      <c r="D359" s="333" t="s">
        <v>2107</v>
      </c>
      <c r="E359" s="334" cm="1">
        <f t="array" ref="E359:L359">E228:L228</f>
        <v>0</v>
      </c>
      <c r="F359" s="334">
        <v>0</v>
      </c>
      <c r="G359" s="334">
        <v>0</v>
      </c>
      <c r="H359" s="334">
        <v>0</v>
      </c>
      <c r="I359" s="334">
        <v>0</v>
      </c>
      <c r="J359" s="334">
        <v>0</v>
      </c>
      <c r="K359" s="334">
        <v>0</v>
      </c>
      <c r="L359" s="334">
        <v>0</v>
      </c>
      <c r="M359" s="66"/>
    </row>
    <row r="360" spans="3:14">
      <c r="C360" s="66"/>
      <c r="D360" s="66"/>
      <c r="E360" s="66"/>
      <c r="F360" s="66"/>
      <c r="G360" s="66"/>
      <c r="H360" s="66"/>
      <c r="I360" s="66"/>
      <c r="J360" s="66"/>
      <c r="K360" s="66"/>
      <c r="L360" s="66"/>
      <c r="M360" s="66"/>
    </row>
    <row r="361" spans="3:14">
      <c r="C361" s="3"/>
      <c r="D361" s="3"/>
      <c r="E361" s="3"/>
      <c r="F361" s="3"/>
      <c r="G361" s="3"/>
      <c r="H361" s="3"/>
      <c r="I361" s="3"/>
      <c r="J361" s="3"/>
      <c r="K361" s="3"/>
      <c r="L361" s="3"/>
      <c r="M361" s="3"/>
    </row>
    <row r="362" spans="3:14">
      <c r="C362" s="3"/>
      <c r="D362" s="3"/>
      <c r="E362" s="3"/>
      <c r="F362" s="3"/>
      <c r="G362" s="3"/>
      <c r="H362" s="3"/>
      <c r="I362" s="3"/>
      <c r="J362" s="3"/>
      <c r="K362" s="3"/>
      <c r="L362" s="3"/>
      <c r="M362" s="3"/>
      <c r="N362" s="3"/>
    </row>
    <row r="363" spans="3:14">
      <c r="C363" s="2" t="s">
        <v>1893</v>
      </c>
      <c r="D363" s="3"/>
      <c r="E363" s="3"/>
      <c r="F363" s="3"/>
      <c r="G363" s="3"/>
      <c r="H363" s="3"/>
      <c r="I363" s="3"/>
      <c r="J363" s="3"/>
      <c r="K363" s="3"/>
      <c r="L363" s="3"/>
      <c r="M363" s="3"/>
      <c r="N363" s="3"/>
    </row>
    <row r="364" spans="3:14">
      <c r="C364" s="3"/>
      <c r="D364" s="3"/>
      <c r="E364" s="3"/>
      <c r="F364" s="3"/>
      <c r="G364" s="3"/>
      <c r="H364" s="3"/>
      <c r="I364" s="3"/>
      <c r="J364" s="3"/>
      <c r="K364" s="3"/>
      <c r="L364" s="3"/>
      <c r="M364" s="3"/>
      <c r="N364" s="3"/>
    </row>
    <row r="365" spans="3:14">
      <c r="C365" s="3"/>
      <c r="D365" s="1176" t="s">
        <v>2518</v>
      </c>
      <c r="E365" s="1176"/>
      <c r="F365" s="1176"/>
      <c r="G365" s="1176"/>
      <c r="H365" s="1176"/>
      <c r="I365" s="1176"/>
      <c r="J365" s="1176"/>
      <c r="K365" s="1176"/>
      <c r="L365" s="1176"/>
      <c r="M365" s="3"/>
      <c r="N365" s="3"/>
    </row>
    <row r="366" spans="3:14">
      <c r="C366" s="3"/>
      <c r="D366" s="1177"/>
      <c r="E366" s="2185"/>
      <c r="F366" s="1178"/>
      <c r="G366" s="1179"/>
      <c r="H366" s="1178"/>
      <c r="I366" s="1178"/>
      <c r="J366" s="1178"/>
      <c r="K366" s="1178"/>
      <c r="L366" s="1753" t="s">
        <v>16</v>
      </c>
      <c r="M366" s="3"/>
      <c r="N366" s="3"/>
    </row>
    <row r="367" spans="3:14">
      <c r="C367" s="3"/>
      <c r="D367" s="1180" t="s">
        <v>2460</v>
      </c>
      <c r="E367" s="2938">
        <v>2018</v>
      </c>
      <c r="F367" s="1333">
        <v>2020</v>
      </c>
      <c r="G367" s="1333">
        <v>2025</v>
      </c>
      <c r="H367" s="1333">
        <v>2030</v>
      </c>
      <c r="I367" s="1333">
        <v>2035</v>
      </c>
      <c r="J367" s="1333">
        <v>2040</v>
      </c>
      <c r="K367" s="1333">
        <v>2045</v>
      </c>
      <c r="L367" s="1333">
        <v>2050</v>
      </c>
      <c r="M367" s="3"/>
      <c r="N367" s="3"/>
    </row>
    <row r="368" spans="3:14">
      <c r="C368" s="3"/>
      <c r="D368" s="1182" t="s">
        <v>611</v>
      </c>
      <c r="E368" s="2939">
        <v>10792.019180488562</v>
      </c>
      <c r="F368" s="1183">
        <v>10778.147855039591</v>
      </c>
      <c r="G368" s="1183">
        <v>10778.147855039591</v>
      </c>
      <c r="H368" s="1183">
        <v>10778.147855039591</v>
      </c>
      <c r="I368" s="1183">
        <v>10778.147855039591</v>
      </c>
      <c r="J368" s="1183">
        <v>10778.147855039591</v>
      </c>
      <c r="K368" s="1183">
        <v>10778.147855039591</v>
      </c>
      <c r="L368" s="1184">
        <v>10778.147855039591</v>
      </c>
      <c r="M368" s="3"/>
      <c r="N368" s="3"/>
    </row>
    <row r="369" spans="3:14">
      <c r="C369" s="3"/>
      <c r="D369" s="1185" t="s">
        <v>612</v>
      </c>
      <c r="E369" s="2940">
        <v>13495.13980459732</v>
      </c>
      <c r="F369" s="1325">
        <v>13477.794072248425</v>
      </c>
      <c r="G369" s="1325">
        <v>13477.794072248425</v>
      </c>
      <c r="H369" s="1325">
        <v>13477.794072248425</v>
      </c>
      <c r="I369" s="1325">
        <v>13477.794072248425</v>
      </c>
      <c r="J369" s="1325">
        <v>13477.794072248425</v>
      </c>
      <c r="K369" s="1325">
        <v>13477.794072248425</v>
      </c>
      <c r="L369" s="1325">
        <v>13477.794072248425</v>
      </c>
      <c r="M369" s="3"/>
      <c r="N369" s="3"/>
    </row>
    <row r="370" spans="3:14">
      <c r="C370" s="3"/>
      <c r="D370" s="1186" t="s">
        <v>2462</v>
      </c>
      <c r="E370" s="2941">
        <v>20464.03602091939</v>
      </c>
      <c r="F370" s="1334">
        <v>20437.732944646246</v>
      </c>
      <c r="G370" s="1334">
        <v>20411.463676553503</v>
      </c>
      <c r="H370" s="1334">
        <v>20385.228173186428</v>
      </c>
      <c r="I370" s="1334">
        <v>20359.026391146141</v>
      </c>
      <c r="J370" s="1334">
        <v>20332.858287089552</v>
      </c>
      <c r="K370" s="1334">
        <v>20306.723817729278</v>
      </c>
      <c r="L370" s="1334">
        <v>20280.622939833571</v>
      </c>
      <c r="M370" s="3"/>
      <c r="N370" s="3"/>
    </row>
    <row r="371" spans="3:14">
      <c r="C371" s="3"/>
      <c r="D371" s="1186" t="s">
        <v>2463</v>
      </c>
      <c r="E371" s="2941">
        <v>85797.584362195339</v>
      </c>
      <c r="F371" s="1334">
        <v>85797.584362195339</v>
      </c>
      <c r="G371" s="1334">
        <v>85797.584362195339</v>
      </c>
      <c r="H371" s="1334">
        <v>85797.584362195339</v>
      </c>
      <c r="I371" s="1334">
        <v>85797.584362195339</v>
      </c>
      <c r="J371" s="1334">
        <v>85797.584362195339</v>
      </c>
      <c r="K371" s="1334">
        <v>85797.584362195339</v>
      </c>
      <c r="L371" s="1334">
        <v>85797.584362195339</v>
      </c>
      <c r="M371" s="3"/>
      <c r="N371" s="3"/>
    </row>
    <row r="372" spans="3:14">
      <c r="C372" s="3"/>
      <c r="D372" s="1186" t="s">
        <v>2464</v>
      </c>
      <c r="E372" s="2941">
        <v>38190.661572408018</v>
      </c>
      <c r="F372" s="1334">
        <v>38190.661572408018</v>
      </c>
      <c r="G372" s="1334">
        <v>38190.661572408018</v>
      </c>
      <c r="H372" s="1334">
        <v>38190.661572408018</v>
      </c>
      <c r="I372" s="1334">
        <v>38190.661572408018</v>
      </c>
      <c r="J372" s="1334">
        <v>38190.661572408018</v>
      </c>
      <c r="K372" s="1334">
        <v>38190.661572408018</v>
      </c>
      <c r="L372" s="1334">
        <v>38190.661572408018</v>
      </c>
      <c r="M372" s="3"/>
      <c r="N372" s="3"/>
    </row>
    <row r="373" spans="3:14">
      <c r="C373" s="3"/>
      <c r="D373" s="1186" t="s">
        <v>2465</v>
      </c>
      <c r="E373" s="2941">
        <v>2621.8701164028475</v>
      </c>
      <c r="F373" s="1334">
        <v>2621.8701164028475</v>
      </c>
      <c r="G373" s="1334">
        <v>2621.8701164028475</v>
      </c>
      <c r="H373" s="1334">
        <v>2621.8701164028475</v>
      </c>
      <c r="I373" s="1334">
        <v>2621.8701164028475</v>
      </c>
      <c r="J373" s="1334">
        <v>2621.8701164028475</v>
      </c>
      <c r="K373" s="1334">
        <v>2621.8701164028475</v>
      </c>
      <c r="L373" s="1334">
        <v>2621.8701164028475</v>
      </c>
      <c r="M373" s="3"/>
      <c r="N373" s="3"/>
    </row>
    <row r="374" spans="3:14">
      <c r="C374" s="3"/>
      <c r="D374" s="1186" t="s">
        <v>2466</v>
      </c>
      <c r="E374" s="2941">
        <v>298.16995034546176</v>
      </c>
      <c r="F374" s="1334">
        <v>298.16995034546176</v>
      </c>
      <c r="G374" s="1334">
        <v>298.16995034546176</v>
      </c>
      <c r="H374" s="1334">
        <v>298.16995034546176</v>
      </c>
      <c r="I374" s="1334">
        <v>298.16995034546176</v>
      </c>
      <c r="J374" s="1334">
        <v>298.16995034546176</v>
      </c>
      <c r="K374" s="1334">
        <v>298.16995034546176</v>
      </c>
      <c r="L374" s="1334">
        <v>298.16995034546176</v>
      </c>
      <c r="M374" s="3"/>
      <c r="N374" s="3"/>
    </row>
    <row r="375" spans="3:14">
      <c r="C375" s="3"/>
      <c r="D375" s="1187" t="s">
        <v>2467</v>
      </c>
      <c r="E375" s="2942">
        <v>11556.890695027563</v>
      </c>
      <c r="F375" s="1335">
        <v>11556.890695027563</v>
      </c>
      <c r="G375" s="1335">
        <v>11556.890695027563</v>
      </c>
      <c r="H375" s="1335">
        <v>11556.890695027563</v>
      </c>
      <c r="I375" s="1335">
        <v>11556.890695027563</v>
      </c>
      <c r="J375" s="1335">
        <v>11556.890695027563</v>
      </c>
      <c r="K375" s="1335">
        <v>11556.890695027563</v>
      </c>
      <c r="L375" s="1335">
        <v>11556.890695027563</v>
      </c>
      <c r="M375" s="3"/>
      <c r="N375" s="3"/>
    </row>
    <row r="376" spans="3:14">
      <c r="C376" s="3"/>
      <c r="D376" s="1186"/>
      <c r="E376" s="2941"/>
      <c r="F376" s="2673"/>
      <c r="G376" s="2673"/>
      <c r="H376" s="2673"/>
      <c r="I376" s="2673"/>
      <c r="J376" s="2673"/>
      <c r="K376" s="2673"/>
      <c r="L376" s="2673"/>
      <c r="M376" s="3"/>
      <c r="N376" s="3"/>
    </row>
    <row r="377" spans="3:14">
      <c r="C377" s="3"/>
      <c r="D377" s="1176" t="s">
        <v>2519</v>
      </c>
      <c r="E377" s="1176"/>
      <c r="F377" s="1176"/>
      <c r="G377" s="1176"/>
      <c r="H377" s="1176"/>
      <c r="I377" s="1176"/>
      <c r="J377" s="1176"/>
      <c r="K377" s="1176"/>
      <c r="L377" s="1176"/>
      <c r="M377" s="3"/>
    </row>
    <row r="378" spans="3:14">
      <c r="D378" s="1177"/>
      <c r="E378" s="2943"/>
      <c r="F378" s="1178"/>
      <c r="G378" s="1179"/>
      <c r="H378" s="1178"/>
      <c r="I378" s="1178"/>
      <c r="J378" s="1178"/>
      <c r="K378" s="1178"/>
      <c r="L378" s="1753" t="s">
        <v>16</v>
      </c>
    </row>
    <row r="379" spans="3:14">
      <c r="D379" s="1180" t="s">
        <v>2460</v>
      </c>
      <c r="E379" s="2938">
        <v>2018</v>
      </c>
      <c r="F379" s="1333">
        <v>2020</v>
      </c>
      <c r="G379" s="1333">
        <v>2025</v>
      </c>
      <c r="H379" s="1333">
        <v>2030</v>
      </c>
      <c r="I379" s="1333">
        <v>2035</v>
      </c>
      <c r="J379" s="1333">
        <v>2040</v>
      </c>
      <c r="K379" s="1333">
        <v>2045</v>
      </c>
      <c r="L379" s="1333">
        <v>2050</v>
      </c>
    </row>
    <row r="380" spans="3:14">
      <c r="D380" s="1182" t="s">
        <v>611</v>
      </c>
      <c r="E380" s="2939">
        <f>E368</f>
        <v>10792.019180488562</v>
      </c>
      <c r="F380" s="1183">
        <f>IF((F368-E368)&gt;0,(F368-E368),0)</f>
        <v>0</v>
      </c>
      <c r="G380" s="1183">
        <f t="shared" ref="G380:L380" si="17">IF((G368-F368)&gt;0,(G368-F368),0)</f>
        <v>0</v>
      </c>
      <c r="H380" s="1183">
        <f t="shared" si="17"/>
        <v>0</v>
      </c>
      <c r="I380" s="1183">
        <f t="shared" si="17"/>
        <v>0</v>
      </c>
      <c r="J380" s="1183">
        <f t="shared" si="17"/>
        <v>0</v>
      </c>
      <c r="K380" s="1183">
        <f t="shared" si="17"/>
        <v>0</v>
      </c>
      <c r="L380" s="1184">
        <f t="shared" si="17"/>
        <v>0</v>
      </c>
    </row>
    <row r="381" spans="3:14">
      <c r="D381" s="1185" t="s">
        <v>612</v>
      </c>
      <c r="E381" s="2940">
        <f>E369</f>
        <v>13495.13980459732</v>
      </c>
      <c r="F381" s="1325">
        <f>IF((F369-E369)&gt;0,(F369-E369),0)</f>
        <v>0</v>
      </c>
      <c r="G381" s="1325">
        <f t="shared" ref="G381:L381" si="18">IF((G369-F369)&gt;0,(G369-F369),0)</f>
        <v>0</v>
      </c>
      <c r="H381" s="1325">
        <f t="shared" si="18"/>
        <v>0</v>
      </c>
      <c r="I381" s="1325">
        <f t="shared" si="18"/>
        <v>0</v>
      </c>
      <c r="J381" s="1325">
        <f t="shared" si="18"/>
        <v>0</v>
      </c>
      <c r="K381" s="1325">
        <f t="shared" si="18"/>
        <v>0</v>
      </c>
      <c r="L381" s="1325">
        <f t="shared" si="18"/>
        <v>0</v>
      </c>
    </row>
    <row r="382" spans="3:14">
      <c r="D382" s="1186" t="s">
        <v>2462</v>
      </c>
      <c r="E382" s="2941">
        <f>E370</f>
        <v>20464.03602091939</v>
      </c>
      <c r="F382" s="1334">
        <f t="shared" ref="F382:L382" si="19">IF((F370-E370)&gt;0,(F370-E370),0)</f>
        <v>0</v>
      </c>
      <c r="G382" s="1334">
        <f t="shared" si="19"/>
        <v>0</v>
      </c>
      <c r="H382" s="1334">
        <f t="shared" si="19"/>
        <v>0</v>
      </c>
      <c r="I382" s="1334">
        <f t="shared" si="19"/>
        <v>0</v>
      </c>
      <c r="J382" s="1334">
        <f t="shared" si="19"/>
        <v>0</v>
      </c>
      <c r="K382" s="1334">
        <f t="shared" si="19"/>
        <v>0</v>
      </c>
      <c r="L382" s="1334">
        <f t="shared" si="19"/>
        <v>0</v>
      </c>
    </row>
    <row r="383" spans="3:14">
      <c r="D383" s="1186" t="s">
        <v>2463</v>
      </c>
      <c r="E383" s="2941">
        <f t="shared" ref="E383:E387" si="20">E371</f>
        <v>85797.584362195339</v>
      </c>
      <c r="F383" s="1334">
        <f t="shared" ref="F383:L383" si="21">IF((F371-E371)&gt;0,(F371-E371),0)</f>
        <v>0</v>
      </c>
      <c r="G383" s="1334">
        <f t="shared" si="21"/>
        <v>0</v>
      </c>
      <c r="H383" s="1334">
        <f t="shared" si="21"/>
        <v>0</v>
      </c>
      <c r="I383" s="1334">
        <f t="shared" si="21"/>
        <v>0</v>
      </c>
      <c r="J383" s="1334">
        <f t="shared" si="21"/>
        <v>0</v>
      </c>
      <c r="K383" s="1334">
        <f t="shared" si="21"/>
        <v>0</v>
      </c>
      <c r="L383" s="1334">
        <f t="shared" si="21"/>
        <v>0</v>
      </c>
    </row>
    <row r="384" spans="3:14">
      <c r="D384" s="1186" t="s">
        <v>2464</v>
      </c>
      <c r="E384" s="2941">
        <f t="shared" si="20"/>
        <v>38190.661572408018</v>
      </c>
      <c r="F384" s="1334">
        <f t="shared" ref="F384:L384" si="22">IF((F372-E372)&gt;0,(F372-E372),0)</f>
        <v>0</v>
      </c>
      <c r="G384" s="1334">
        <f t="shared" si="22"/>
        <v>0</v>
      </c>
      <c r="H384" s="1334">
        <f t="shared" si="22"/>
        <v>0</v>
      </c>
      <c r="I384" s="1334">
        <f t="shared" si="22"/>
        <v>0</v>
      </c>
      <c r="J384" s="1334">
        <f t="shared" si="22"/>
        <v>0</v>
      </c>
      <c r="K384" s="1334">
        <f t="shared" si="22"/>
        <v>0</v>
      </c>
      <c r="L384" s="1334">
        <f t="shared" si="22"/>
        <v>0</v>
      </c>
    </row>
    <row r="385" spans="4:15">
      <c r="D385" s="1186" t="s">
        <v>2465</v>
      </c>
      <c r="E385" s="2941">
        <f t="shared" si="20"/>
        <v>2621.8701164028475</v>
      </c>
      <c r="F385" s="1334">
        <f t="shared" ref="F385:L385" si="23">IF((F373-E373)&gt;0,(F373-E373),0)</f>
        <v>0</v>
      </c>
      <c r="G385" s="1334">
        <f t="shared" si="23"/>
        <v>0</v>
      </c>
      <c r="H385" s="1334">
        <f t="shared" si="23"/>
        <v>0</v>
      </c>
      <c r="I385" s="1334">
        <f t="shared" si="23"/>
        <v>0</v>
      </c>
      <c r="J385" s="1334">
        <f t="shared" si="23"/>
        <v>0</v>
      </c>
      <c r="K385" s="1334">
        <f t="shared" si="23"/>
        <v>0</v>
      </c>
      <c r="L385" s="1334">
        <f t="shared" si="23"/>
        <v>0</v>
      </c>
    </row>
    <row r="386" spans="4:15">
      <c r="D386" s="1186" t="s">
        <v>2466</v>
      </c>
      <c r="E386" s="2941">
        <f t="shared" si="20"/>
        <v>298.16995034546176</v>
      </c>
      <c r="F386" s="1334">
        <f t="shared" ref="F386:L386" si="24">IF((F374-E374)&gt;0,(F374-E374),0)</f>
        <v>0</v>
      </c>
      <c r="G386" s="1334">
        <f t="shared" si="24"/>
        <v>0</v>
      </c>
      <c r="H386" s="1334">
        <f t="shared" si="24"/>
        <v>0</v>
      </c>
      <c r="I386" s="1334">
        <f t="shared" si="24"/>
        <v>0</v>
      </c>
      <c r="J386" s="1334">
        <f t="shared" si="24"/>
        <v>0</v>
      </c>
      <c r="K386" s="1334">
        <f t="shared" si="24"/>
        <v>0</v>
      </c>
      <c r="L386" s="1334">
        <f t="shared" si="24"/>
        <v>0</v>
      </c>
    </row>
    <row r="387" spans="4:15">
      <c r="D387" s="1187" t="s">
        <v>2467</v>
      </c>
      <c r="E387" s="2942">
        <f t="shared" si="20"/>
        <v>11556.890695027563</v>
      </c>
      <c r="F387" s="1335">
        <f t="shared" ref="F387:L387" si="25">IF((F375-E375)&gt;0,(F375-E375),0)</f>
        <v>0</v>
      </c>
      <c r="G387" s="1335">
        <f t="shared" si="25"/>
        <v>0</v>
      </c>
      <c r="H387" s="1335">
        <f t="shared" si="25"/>
        <v>0</v>
      </c>
      <c r="I387" s="1335">
        <f t="shared" si="25"/>
        <v>0</v>
      </c>
      <c r="J387" s="1335">
        <f t="shared" si="25"/>
        <v>0</v>
      </c>
      <c r="K387" s="1335">
        <f t="shared" si="25"/>
        <v>0</v>
      </c>
      <c r="L387" s="1335">
        <f t="shared" si="25"/>
        <v>0</v>
      </c>
    </row>
    <row r="388" spans="4:15">
      <c r="D388" s="1186"/>
      <c r="E388" s="2672"/>
      <c r="F388" s="2673"/>
      <c r="G388" s="2673"/>
      <c r="H388" s="2673"/>
      <c r="I388" s="2673"/>
      <c r="J388" s="2673"/>
      <c r="K388" s="2673"/>
      <c r="L388" s="2673"/>
    </row>
    <row r="390" spans="4:15" ht="15.75">
      <c r="D390" s="1868" t="s">
        <v>162</v>
      </c>
    </row>
    <row r="392" spans="4:15">
      <c r="D392" s="1176" t="s">
        <v>110</v>
      </c>
      <c r="E392" s="1176"/>
      <c r="F392" s="1176"/>
      <c r="G392" s="1176"/>
      <c r="H392" s="1176"/>
      <c r="I392" s="1176"/>
      <c r="J392" s="1176"/>
      <c r="K392" s="1176"/>
      <c r="L392" s="1176"/>
      <c r="O392" s="3"/>
    </row>
    <row r="393" spans="4:15">
      <c r="D393" s="1177"/>
      <c r="E393" s="2185"/>
      <c r="F393" s="1178"/>
      <c r="G393" s="1179"/>
      <c r="H393" s="1178"/>
      <c r="I393" s="1178"/>
      <c r="J393" s="1178"/>
      <c r="K393" s="1178"/>
      <c r="L393" s="554" t="s">
        <v>2002</v>
      </c>
      <c r="O393" s="3"/>
    </row>
    <row r="394" spans="4:15">
      <c r="D394" s="1180" t="s">
        <v>2460</v>
      </c>
      <c r="E394" s="1181">
        <v>2018</v>
      </c>
      <c r="F394" s="1181">
        <v>2020</v>
      </c>
      <c r="G394" s="1181">
        <v>2025</v>
      </c>
      <c r="H394" s="1181">
        <v>2030</v>
      </c>
      <c r="I394" s="1181">
        <v>2035</v>
      </c>
      <c r="J394" s="1181">
        <v>2040</v>
      </c>
      <c r="K394" s="1181">
        <v>2045</v>
      </c>
      <c r="L394" s="1181">
        <v>2050</v>
      </c>
      <c r="M394" s="3"/>
      <c r="N394" s="3"/>
      <c r="O394" s="3"/>
    </row>
    <row r="395" spans="4:15">
      <c r="D395" s="1188" t="s">
        <v>611</v>
      </c>
      <c r="E395" s="1752" cm="1">
        <f t="array" ref="E395:L395">(E368:L368)*SF_FACTOR_PRODUCCION_BIOMASA_CULTIVO_PALMA_DE_ACEITE</f>
        <v>100883.12252054816</v>
      </c>
      <c r="F395" s="1752">
        <v>100753.45423499499</v>
      </c>
      <c r="G395" s="1189">
        <v>100753.45423499499</v>
      </c>
      <c r="H395" s="1189">
        <v>100753.45423499499</v>
      </c>
      <c r="I395" s="1189">
        <v>100753.45423499499</v>
      </c>
      <c r="J395" s="1189">
        <v>100753.45423499499</v>
      </c>
      <c r="K395" s="1189">
        <v>100753.45423499499</v>
      </c>
      <c r="L395" s="1189">
        <v>100753.45423499499</v>
      </c>
      <c r="M395" s="3"/>
      <c r="N395" s="3"/>
      <c r="O395" s="3"/>
    </row>
    <row r="396" spans="4:15">
      <c r="D396" s="1186" t="s">
        <v>612</v>
      </c>
      <c r="E396" s="1189" cm="1">
        <f t="array" ref="E396:L396">E369:L369*SF_FACTOR_PRODUCCION_BIOMASA_CULTIVO_CAÑA_DE_AZUCAR</f>
        <v>1586758.538224553</v>
      </c>
      <c r="F396" s="1189">
        <v>1584719.0270149698</v>
      </c>
      <c r="G396" s="1189">
        <v>1584719.0270149698</v>
      </c>
      <c r="H396" s="1189">
        <v>1584719.0270149698</v>
      </c>
      <c r="I396" s="1189">
        <v>1584719.0270149698</v>
      </c>
      <c r="J396" s="1189">
        <v>1584719.0270149698</v>
      </c>
      <c r="K396" s="1189">
        <v>1584719.0270149698</v>
      </c>
      <c r="L396" s="1189">
        <v>1584719.0270149698</v>
      </c>
      <c r="M396" s="3"/>
      <c r="N396" s="3"/>
      <c r="O396" s="3"/>
    </row>
    <row r="397" spans="4:15">
      <c r="D397" s="1186" t="s">
        <v>2462</v>
      </c>
      <c r="E397" s="1189" cm="1">
        <f t="array" ref="E397:L397">E370:L370*SF_FACTOR_PRODUCCION_BIOMASA_CULTIVO_CAÑA_PANELERA</f>
        <v>820797.79249517946</v>
      </c>
      <c r="F397" s="1189">
        <v>819742.7949903491</v>
      </c>
      <c r="G397" s="1189">
        <v>818689.15350736177</v>
      </c>
      <c r="H397" s="1189">
        <v>817636.8663032793</v>
      </c>
      <c r="I397" s="1189">
        <v>816585.9316374039</v>
      </c>
      <c r="J397" s="1189">
        <v>815536.34777127532</v>
      </c>
      <c r="K397" s="1189">
        <v>814488.11296866753</v>
      </c>
      <c r="L397" s="1189">
        <v>813441.2254955864</v>
      </c>
      <c r="M397" s="3"/>
      <c r="N397" s="3"/>
      <c r="O397" s="3"/>
    </row>
    <row r="398" spans="4:15">
      <c r="D398" s="1186" t="s">
        <v>2463</v>
      </c>
      <c r="E398" s="1189" cm="1">
        <f t="array" ref="E398:L398">E371:L371*SF_FACTOR_PRODUCCION_BIOMASA_CULTIVO_CAFE</f>
        <v>54416.622574218476</v>
      </c>
      <c r="F398" s="1189">
        <v>54416.622574218476</v>
      </c>
      <c r="G398" s="1189">
        <v>54416.622574218476</v>
      </c>
      <c r="H398" s="1189">
        <v>54416.622574218476</v>
      </c>
      <c r="I398" s="1189">
        <v>54416.622574218476</v>
      </c>
      <c r="J398" s="1189">
        <v>54416.622574218476</v>
      </c>
      <c r="K398" s="1189">
        <v>54416.622574218476</v>
      </c>
      <c r="L398" s="1189">
        <v>54416.622574218476</v>
      </c>
      <c r="M398" s="3"/>
      <c r="N398" s="3"/>
      <c r="O398" s="3"/>
    </row>
    <row r="399" spans="4:15">
      <c r="D399" s="1186" t="s">
        <v>2464</v>
      </c>
      <c r="E399" s="1189" cm="1">
        <f t="array" ref="E399:L399">E372:L372*SF_FACTOR_PRODUCCION_BIOMASA_CULTIVO_MAIZ</f>
        <v>104704.11966578061</v>
      </c>
      <c r="F399" s="1189">
        <v>104704.11966578061</v>
      </c>
      <c r="G399" s="1189">
        <v>104704.11966578061</v>
      </c>
      <c r="H399" s="1189">
        <v>104704.11966578061</v>
      </c>
      <c r="I399" s="1189">
        <v>104704.11966578061</v>
      </c>
      <c r="J399" s="1189">
        <v>104704.11966578061</v>
      </c>
      <c r="K399" s="1189">
        <v>104704.11966578061</v>
      </c>
      <c r="L399" s="1189">
        <v>104704.11966578061</v>
      </c>
      <c r="M399" s="3"/>
      <c r="N399" s="3"/>
      <c r="O399" s="3"/>
    </row>
    <row r="400" spans="4:15">
      <c r="D400" s="1186" t="s">
        <v>2465</v>
      </c>
      <c r="E400" s="1189" cm="1">
        <f t="array" ref="E400:L400">E373:L373*SF_FACTOR_PRODUCCION_BIOMASA_CULTIVO_ARROZ</f>
        <v>13869.707374457268</v>
      </c>
      <c r="F400" s="1189">
        <v>13869.707374457268</v>
      </c>
      <c r="G400" s="1189">
        <v>13869.707374457268</v>
      </c>
      <c r="H400" s="1189">
        <v>13869.707374457268</v>
      </c>
      <c r="I400" s="1189">
        <v>13869.707374457268</v>
      </c>
      <c r="J400" s="1189">
        <v>13869.707374457268</v>
      </c>
      <c r="K400" s="1189">
        <v>13869.707374457268</v>
      </c>
      <c r="L400" s="1189">
        <v>13869.707374457268</v>
      </c>
      <c r="M400" s="3"/>
      <c r="N400" s="3"/>
      <c r="O400" s="3"/>
    </row>
    <row r="401" spans="4:15">
      <c r="D401" s="1186" t="s">
        <v>2466</v>
      </c>
      <c r="E401" s="1189" cm="1">
        <f t="array" ref="E401:L401">E374:L374*SF_FACTOR_PRODUCCION_BIOMASA_CULTIVO_BANANO</f>
        <v>38466.905294068019</v>
      </c>
      <c r="F401" s="1189">
        <v>38466.905294068019</v>
      </c>
      <c r="G401" s="1189">
        <v>38466.905294068019</v>
      </c>
      <c r="H401" s="1189">
        <v>38466.905294068019</v>
      </c>
      <c r="I401" s="1189">
        <v>38466.905294068019</v>
      </c>
      <c r="J401" s="1189">
        <v>38466.905294068019</v>
      </c>
      <c r="K401" s="1189">
        <v>38466.905294068019</v>
      </c>
      <c r="L401" s="1189">
        <v>38466.905294068019</v>
      </c>
      <c r="M401" s="3"/>
      <c r="N401" s="3"/>
      <c r="O401" s="3"/>
    </row>
    <row r="402" spans="4:15">
      <c r="D402" s="1187" t="s">
        <v>2467</v>
      </c>
      <c r="E402" s="1190" cm="1">
        <f t="array" ref="E402:L402">E375:L375*SF_FACTOR_PRODUCCION_BIOMASA_CULTIVO_PLATANO</f>
        <v>182714.44188838577</v>
      </c>
      <c r="F402" s="1190">
        <v>182714.44188838577</v>
      </c>
      <c r="G402" s="1190">
        <v>182714.44188838577</v>
      </c>
      <c r="H402" s="1190">
        <v>182714.44188838577</v>
      </c>
      <c r="I402" s="1190">
        <v>182714.44188838577</v>
      </c>
      <c r="J402" s="1190">
        <v>182714.44188838577</v>
      </c>
      <c r="K402" s="1190">
        <v>182714.44188838577</v>
      </c>
      <c r="L402" s="1190">
        <v>182714.44188838577</v>
      </c>
      <c r="M402" s="3"/>
      <c r="N402" s="3"/>
      <c r="O402" s="3"/>
    </row>
    <row r="403" spans="4:15">
      <c r="E403" s="2186"/>
      <c r="M403" s="3"/>
      <c r="N403" s="3"/>
      <c r="O403" s="3"/>
    </row>
    <row r="404" spans="4:15">
      <c r="D404" s="1176" t="s">
        <v>2520</v>
      </c>
      <c r="M404" s="3"/>
      <c r="N404" s="3"/>
      <c r="O404" s="3"/>
    </row>
    <row r="405" spans="4:15">
      <c r="D405" s="3"/>
      <c r="E405" s="3"/>
      <c r="F405" s="3"/>
      <c r="G405" s="3"/>
      <c r="H405" s="3"/>
      <c r="I405" s="3"/>
      <c r="J405" s="3"/>
      <c r="K405" s="3"/>
      <c r="L405" s="3"/>
      <c r="M405" s="3"/>
      <c r="N405" s="3"/>
      <c r="O405" s="3"/>
    </row>
    <row r="406" spans="4:15">
      <c r="D406" s="2" t="s">
        <v>611</v>
      </c>
      <c r="E406" s="3"/>
      <c r="F406" s="3"/>
      <c r="G406" s="3"/>
      <c r="H406" s="3"/>
      <c r="I406" s="3"/>
      <c r="J406" s="3"/>
      <c r="K406" s="3"/>
      <c r="L406" s="554" t="s">
        <v>2002</v>
      </c>
      <c r="M406" s="3"/>
      <c r="N406" s="3"/>
      <c r="O406" s="3"/>
    </row>
    <row r="407" spans="4:15">
      <c r="D407" s="2187" t="s">
        <v>2470</v>
      </c>
      <c r="E407" s="2188">
        <v>2018</v>
      </c>
      <c r="F407" s="2188">
        <v>2020</v>
      </c>
      <c r="G407" s="2188">
        <v>2025</v>
      </c>
      <c r="H407" s="2188">
        <v>2030</v>
      </c>
      <c r="I407" s="2188">
        <v>2035</v>
      </c>
      <c r="J407" s="2188">
        <v>2040</v>
      </c>
      <c r="K407" s="2188">
        <v>2045</v>
      </c>
      <c r="L407" s="2188">
        <v>2050</v>
      </c>
      <c r="M407" s="3"/>
      <c r="N407" s="3"/>
      <c r="O407" s="3"/>
    </row>
    <row r="408" spans="4:15">
      <c r="D408" s="3" t="s">
        <v>2472</v>
      </c>
      <c r="E408" s="2189" cm="1">
        <f t="array" ref="E408:L408">E395:L395*SF_FACTOR_PRODUCCION_RESIDUO_PALMA_DE_ACEITE_CUESCO*(1+(CHOOSE(TRAYECTORIA_PRODUCCION_BIOMASA,E49:L49,E50:L50,E51:L51,E52:L52)))</f>
        <v>21891.63758695895</v>
      </c>
      <c r="F408" s="1754">
        <v>21863.499568993913</v>
      </c>
      <c r="G408" s="1754">
        <v>21863.499568993913</v>
      </c>
      <c r="H408" s="1754">
        <v>21863.499568993913</v>
      </c>
      <c r="I408" s="1754">
        <v>21863.499568993913</v>
      </c>
      <c r="J408" s="1754">
        <v>21863.499568993913</v>
      </c>
      <c r="K408" s="1754">
        <v>21863.499568993913</v>
      </c>
      <c r="L408" s="1754">
        <v>21863.499568993913</v>
      </c>
      <c r="M408" s="3"/>
      <c r="N408" s="3"/>
      <c r="O408" s="3"/>
    </row>
    <row r="409" spans="4:15">
      <c r="D409" s="3" t="s">
        <v>2473</v>
      </c>
      <c r="E409" s="2189" cm="1">
        <f t="array" ref="E409:L409">E395:L395*SF_FACTOR_PRODUCCION_RESIDUO_PALMA_DE_ACEITEFIBRA*(1+(CHOOSE(TRAYECTORIA_PRODUCCION_BIOMASA,E49:L49,E50:L50,E51:L51,E52:L52)))</f>
        <v>63253.717820383696</v>
      </c>
      <c r="F409" s="1754">
        <v>63172.415805341858</v>
      </c>
      <c r="G409" s="1754">
        <v>63172.415805341858</v>
      </c>
      <c r="H409" s="1754">
        <v>63172.415805341858</v>
      </c>
      <c r="I409" s="1754">
        <v>63172.415805341858</v>
      </c>
      <c r="J409" s="1754">
        <v>63172.415805341858</v>
      </c>
      <c r="K409" s="1754">
        <v>63172.415805341858</v>
      </c>
      <c r="L409" s="1754">
        <v>63172.415805341858</v>
      </c>
      <c r="M409" s="3"/>
      <c r="N409" s="3"/>
      <c r="O409" s="3"/>
    </row>
    <row r="410" spans="4:15">
      <c r="D410" s="958" t="s">
        <v>2474</v>
      </c>
      <c r="E410" s="2190" cm="1">
        <f t="array" ref="E410:L410">E395:L395*SF_FACTOR_PRODUCCION_RESIDUO_PALMA_DE_ACEITE_RAQUIS*(1+(CHOOSE(TRAYECTORIA_PRODUCCION_BIOMASA,E49:L49,E50:L50,E51:L51,E52:L52)))</f>
        <v>106936.10987178105</v>
      </c>
      <c r="F410" s="1755">
        <v>106798.66148909469</v>
      </c>
      <c r="G410" s="1755">
        <v>106798.66148909469</v>
      </c>
      <c r="H410" s="1755">
        <v>106798.66148909469</v>
      </c>
      <c r="I410" s="1755">
        <v>106798.66148909469</v>
      </c>
      <c r="J410" s="1755">
        <v>106798.66148909469</v>
      </c>
      <c r="K410" s="1755">
        <v>106798.66148909469</v>
      </c>
      <c r="L410" s="1755">
        <v>106798.66148909469</v>
      </c>
      <c r="M410" s="3"/>
      <c r="N410" s="3"/>
      <c r="O410" s="3"/>
    </row>
    <row r="411" spans="4:15">
      <c r="D411" s="3"/>
      <c r="E411" s="3"/>
      <c r="F411" s="3"/>
      <c r="G411" s="3"/>
      <c r="H411" s="3"/>
      <c r="I411" s="3"/>
      <c r="J411" s="3"/>
      <c r="K411" s="3"/>
      <c r="L411" s="3"/>
      <c r="M411" s="3"/>
      <c r="N411" s="3"/>
      <c r="O411" s="3"/>
    </row>
    <row r="412" spans="4:15">
      <c r="D412" s="2" t="s">
        <v>2475</v>
      </c>
      <c r="E412" s="3"/>
      <c r="F412" s="3"/>
      <c r="G412" s="3"/>
      <c r="H412" s="3"/>
      <c r="I412" s="3"/>
      <c r="J412" s="3"/>
      <c r="K412" s="3"/>
      <c r="L412" s="554" t="s">
        <v>2002</v>
      </c>
      <c r="M412" s="3"/>
      <c r="N412" s="3"/>
      <c r="O412" s="3"/>
    </row>
    <row r="413" spans="4:15">
      <c r="D413" s="2191" t="s">
        <v>2470</v>
      </c>
      <c r="E413" s="2192">
        <v>2018</v>
      </c>
      <c r="F413" s="2192">
        <v>2020</v>
      </c>
      <c r="G413" s="2192">
        <v>2025</v>
      </c>
      <c r="H413" s="2192">
        <v>2030</v>
      </c>
      <c r="I413" s="2192">
        <v>2035</v>
      </c>
      <c r="J413" s="2192">
        <v>2040</v>
      </c>
      <c r="K413" s="2192">
        <v>2045</v>
      </c>
      <c r="L413" s="2192">
        <v>2050</v>
      </c>
      <c r="M413" s="3"/>
      <c r="N413" s="3"/>
      <c r="O413" s="3"/>
    </row>
    <row r="414" spans="4:15">
      <c r="D414" s="3" t="s">
        <v>2476</v>
      </c>
      <c r="E414" s="2193" cm="1">
        <f t="array" ref="E414:L414">_xlfn.ANCHORARRAY(E396)*SF_FACTOR_PRODUCCION_RESIDUO_CAÑA_DE_AZUCAR_COGOLLO*(1+(CHOOSE(TRAYECTORIA_PRODUCCION_BIOMASA,E49:L49,E50:L50,E51:L51,E52:L52)))</f>
        <v>5331508.6884344975</v>
      </c>
      <c r="F414" s="2193">
        <v>5324655.9307702985</v>
      </c>
      <c r="G414" s="2193">
        <v>5324655.9307702985</v>
      </c>
      <c r="H414" s="2193">
        <v>5324655.9307702985</v>
      </c>
      <c r="I414" s="2193">
        <v>5324655.9307702985</v>
      </c>
      <c r="J414" s="2193">
        <v>5324655.9307702985</v>
      </c>
      <c r="K414" s="2193">
        <v>5324655.9307702985</v>
      </c>
      <c r="L414" s="2193">
        <v>5324655.9307702985</v>
      </c>
      <c r="M414" s="3"/>
      <c r="N414" s="3"/>
      <c r="O414" s="3"/>
    </row>
    <row r="415" spans="4:15">
      <c r="D415" s="958" t="s">
        <v>504</v>
      </c>
      <c r="E415" s="2194" cm="1">
        <f t="array" ref="E415:L415">_xlfn.ANCHORARRAY(E396)*SF_FACTOR_PRODUCCION_RESIDUO_CAÑA_DE_AZUCAR_BAGAZO*(1+(CHOOSE(TRAYECTORIA_PRODUCCION_BIOMASA,E49:L49,E50:L50,E51:L51,E52:L52)))</f>
        <v>4252512.882441802</v>
      </c>
      <c r="F415" s="2194">
        <v>4247046.9924001191</v>
      </c>
      <c r="G415" s="2194">
        <v>4247046.9924001191</v>
      </c>
      <c r="H415" s="2194">
        <v>4247046.9924001191</v>
      </c>
      <c r="I415" s="2194">
        <v>4247046.9924001191</v>
      </c>
      <c r="J415" s="2194">
        <v>4247046.9924001191</v>
      </c>
      <c r="K415" s="2194">
        <v>4247046.9924001191</v>
      </c>
      <c r="L415" s="2194">
        <v>4247046.9924001191</v>
      </c>
      <c r="M415" s="3"/>
      <c r="N415" s="3"/>
      <c r="O415" s="3"/>
    </row>
    <row r="416" spans="4:15">
      <c r="D416" s="3"/>
      <c r="E416" s="3"/>
      <c r="F416" s="3"/>
      <c r="G416" s="3"/>
      <c r="H416" s="3"/>
      <c r="I416" s="3"/>
      <c r="J416" s="3"/>
      <c r="K416" s="3"/>
      <c r="L416" s="3"/>
      <c r="M416" s="3"/>
      <c r="N416" s="3"/>
      <c r="O416" s="3"/>
    </row>
    <row r="417" spans="4:15">
      <c r="D417" s="2" t="s">
        <v>2462</v>
      </c>
      <c r="E417" s="3"/>
      <c r="F417" s="3"/>
      <c r="G417" s="3"/>
      <c r="H417" s="3"/>
      <c r="I417" s="3"/>
      <c r="J417" s="3"/>
      <c r="K417" s="3"/>
      <c r="L417" s="554" t="s">
        <v>2002</v>
      </c>
      <c r="M417" s="3"/>
      <c r="N417" s="3"/>
      <c r="O417" s="3"/>
    </row>
    <row r="418" spans="4:15">
      <c r="D418" s="2191" t="s">
        <v>2470</v>
      </c>
      <c r="E418" s="2192">
        <v>2018</v>
      </c>
      <c r="F418" s="2192">
        <v>2020</v>
      </c>
      <c r="G418" s="2192">
        <v>2025</v>
      </c>
      <c r="H418" s="2192">
        <v>2030</v>
      </c>
      <c r="I418" s="2192">
        <v>2035</v>
      </c>
      <c r="J418" s="2192">
        <v>2040</v>
      </c>
      <c r="K418" s="2192">
        <v>2045</v>
      </c>
      <c r="L418" s="2192">
        <v>2050</v>
      </c>
      <c r="M418" s="3"/>
      <c r="N418" s="3"/>
      <c r="O418" s="3"/>
    </row>
    <row r="419" spans="4:15">
      <c r="D419" s="3" t="s">
        <v>504</v>
      </c>
      <c r="E419" s="2193" cm="1">
        <f t="array" ref="E419:L419">_xlfn.ANCHORARRAY(E397)*SF_FACTOR_PRODUCCION_RESIDUO_CAÑA_PANELERA_BAGAZO*(1+(CHOOSE(TRAYECTORIA_PRODUCCION_BIOMASA,E49:L49,E50:L50,E51:L51,E52:L52)))</f>
        <v>2076618.4150128039</v>
      </c>
      <c r="F419" s="2193">
        <v>2073949.2713255831</v>
      </c>
      <c r="G419" s="2193">
        <v>2071283.5583736252</v>
      </c>
      <c r="H419" s="2193">
        <v>2068621.2717472964</v>
      </c>
      <c r="I419" s="2193">
        <v>2065962.4070426316</v>
      </c>
      <c r="J419" s="2193">
        <v>2063306.9598613265</v>
      </c>
      <c r="K419" s="2193">
        <v>2060654.9258107287</v>
      </c>
      <c r="L419" s="2193">
        <v>2058006.3005038335</v>
      </c>
      <c r="M419" s="3"/>
      <c r="N419" s="3"/>
      <c r="O419" s="3"/>
    </row>
    <row r="420" spans="4:15">
      <c r="D420" s="958" t="s">
        <v>2477</v>
      </c>
      <c r="E420" s="2194" cm="1">
        <f t="array" ref="E420:L420">_xlfn.ANCHORARRAY(E397)*SF_FACTOR_PRODUCCION_RESIDUO_CAÑA_PANELERA_HOJAS_COGOLLO*(1+(CHOOSE(TRAYECTORIA_PRODUCCION_BIOMASA,E49:L49,E50:L50,E51:L51,E52:L52)))</f>
        <v>3077991.7218569228</v>
      </c>
      <c r="F420" s="2194">
        <v>3074035.481213809</v>
      </c>
      <c r="G420" s="2194">
        <v>3070084.3256526068</v>
      </c>
      <c r="H420" s="2194">
        <v>3066138.2486372972</v>
      </c>
      <c r="I420" s="2194">
        <v>3062197.2436402645</v>
      </c>
      <c r="J420" s="2194">
        <v>3058261.3041422823</v>
      </c>
      <c r="K420" s="2194">
        <v>3054330.423632503</v>
      </c>
      <c r="L420" s="2194">
        <v>3050404.5956084491</v>
      </c>
      <c r="M420" s="3"/>
      <c r="N420" s="3"/>
      <c r="O420" s="3"/>
    </row>
    <row r="421" spans="4:15">
      <c r="D421" s="3"/>
      <c r="E421" s="3"/>
      <c r="F421" s="3"/>
      <c r="G421" s="3"/>
      <c r="H421" s="3"/>
      <c r="I421" s="3"/>
      <c r="J421" s="3"/>
      <c r="K421" s="3"/>
      <c r="L421" s="3"/>
      <c r="M421" s="3"/>
      <c r="N421" s="3"/>
      <c r="O421" s="3"/>
    </row>
    <row r="422" spans="4:15">
      <c r="D422" s="2" t="s">
        <v>2463</v>
      </c>
      <c r="E422" s="3"/>
      <c r="F422" s="3"/>
      <c r="G422" s="3"/>
      <c r="H422" s="3"/>
      <c r="I422" s="3"/>
      <c r="J422" s="3"/>
      <c r="K422" s="3"/>
      <c r="L422" s="554" t="s">
        <v>2002</v>
      </c>
      <c r="M422" s="3"/>
      <c r="N422" s="3"/>
      <c r="O422" s="3"/>
    </row>
    <row r="423" spans="4:15">
      <c r="D423" s="2191" t="s">
        <v>2470</v>
      </c>
      <c r="E423" s="2192">
        <v>2018</v>
      </c>
      <c r="F423" s="2192">
        <v>2020</v>
      </c>
      <c r="G423" s="2192">
        <v>2025</v>
      </c>
      <c r="H423" s="2192">
        <v>2030</v>
      </c>
      <c r="I423" s="2192">
        <v>2035</v>
      </c>
      <c r="J423" s="2192">
        <v>2040</v>
      </c>
      <c r="K423" s="2192">
        <v>2045</v>
      </c>
      <c r="L423" s="2192">
        <v>2050</v>
      </c>
      <c r="M423" s="3"/>
      <c r="N423" s="3"/>
      <c r="O423" s="3"/>
    </row>
    <row r="424" spans="4:15">
      <c r="D424" s="3" t="s">
        <v>2478</v>
      </c>
      <c r="E424" s="2193" cm="1">
        <f t="array" ref="E424:L424">_xlfn.ANCHORARRAY(E398)*SF_FACTOR_PRODUCCION_RESIDUO_CAFE_PULPA*(1+(CHOOSE(TRAYECTORIA_PRODUCCION_BIOMASA,E49:L49,E50:L50,E51:L51,E52:L52)))</f>
        <v>115961.82270565956</v>
      </c>
      <c r="F424" s="2193">
        <v>115961.82270565956</v>
      </c>
      <c r="G424" s="2193">
        <v>115961.82270565956</v>
      </c>
      <c r="H424" s="2193">
        <v>115961.82270565956</v>
      </c>
      <c r="I424" s="2193">
        <v>115961.82270565956</v>
      </c>
      <c r="J424" s="2193">
        <v>115961.82270565956</v>
      </c>
      <c r="K424" s="2193">
        <v>115961.82270565956</v>
      </c>
      <c r="L424" s="2193">
        <v>115961.82270565956</v>
      </c>
      <c r="M424" s="3"/>
      <c r="N424" s="3"/>
      <c r="O424" s="3"/>
    </row>
    <row r="425" spans="4:15">
      <c r="D425" s="3" t="s">
        <v>2479</v>
      </c>
      <c r="E425" s="2193" cm="1">
        <f t="array" ref="E425:L425">_xlfn.ANCHORARRAY(E398)*SF_FACTOR_PRODUCCION_RESIDUO_CAFE_CISCO*(1+(CHOOSE(TRAYECTORIA_PRODUCCION_BIOMASA,E49:L49,E50:L50,E51:L51,E52:L52)))</f>
        <v>11155.407627714787</v>
      </c>
      <c r="F425" s="2193">
        <v>11155.407627714787</v>
      </c>
      <c r="G425" s="2193">
        <v>11155.407627714787</v>
      </c>
      <c r="H425" s="2193">
        <v>11155.407627714787</v>
      </c>
      <c r="I425" s="2193">
        <v>11155.407627714787</v>
      </c>
      <c r="J425" s="2193">
        <v>11155.407627714787</v>
      </c>
      <c r="K425" s="2193">
        <v>11155.407627714787</v>
      </c>
      <c r="L425" s="2193">
        <v>11155.407627714787</v>
      </c>
      <c r="M425" s="3"/>
      <c r="N425" s="3"/>
      <c r="O425" s="3"/>
    </row>
    <row r="426" spans="4:15">
      <c r="D426" s="958" t="s">
        <v>2480</v>
      </c>
      <c r="E426" s="2194" cm="1">
        <f t="array" ref="E426:L426">_xlfn.ANCHORARRAY(E398)*SF_FACTOR_PRODUCCION_RESIDUO_CAFE_TALLOS*(1+(CHOOSE(TRAYECTORIA_PRODUCCION_BIOMASA,E49:L49,E50:L50,E51:L51,E52:L52)))</f>
        <v>164555.86666443667</v>
      </c>
      <c r="F426" s="2194">
        <v>164555.86666443667</v>
      </c>
      <c r="G426" s="2194">
        <v>164555.86666443667</v>
      </c>
      <c r="H426" s="2194">
        <v>164555.86666443667</v>
      </c>
      <c r="I426" s="2194">
        <v>164555.86666443667</v>
      </c>
      <c r="J426" s="2194">
        <v>164555.86666443667</v>
      </c>
      <c r="K426" s="2194">
        <v>164555.86666443667</v>
      </c>
      <c r="L426" s="2194">
        <v>164555.86666443667</v>
      </c>
      <c r="M426" s="3"/>
      <c r="N426" s="3"/>
      <c r="O426" s="3"/>
    </row>
    <row r="427" spans="4:15">
      <c r="D427" s="3"/>
      <c r="E427" s="3"/>
      <c r="F427" s="3"/>
      <c r="G427" s="3"/>
      <c r="H427" s="3"/>
      <c r="I427" s="3"/>
      <c r="J427" s="3"/>
      <c r="K427" s="3"/>
      <c r="L427" s="3"/>
      <c r="M427" s="3"/>
      <c r="N427" s="3"/>
      <c r="O427" s="3"/>
    </row>
    <row r="428" spans="4:15">
      <c r="D428" s="2" t="s">
        <v>2464</v>
      </c>
      <c r="E428" s="3"/>
      <c r="F428" s="3"/>
      <c r="G428" s="3"/>
      <c r="H428" s="3"/>
      <c r="I428" s="3"/>
      <c r="J428" s="3"/>
      <c r="K428" s="3"/>
      <c r="L428" s="554" t="s">
        <v>2002</v>
      </c>
      <c r="M428" s="3"/>
      <c r="N428" s="3"/>
      <c r="O428" s="3"/>
    </row>
    <row r="429" spans="4:15">
      <c r="D429" s="2191" t="s">
        <v>2470</v>
      </c>
      <c r="E429" s="2192">
        <v>2018</v>
      </c>
      <c r="F429" s="2192">
        <v>2020</v>
      </c>
      <c r="G429" s="2192">
        <v>2025</v>
      </c>
      <c r="H429" s="2192">
        <v>2030</v>
      </c>
      <c r="I429" s="2192">
        <v>2035</v>
      </c>
      <c r="J429" s="2192">
        <v>2040</v>
      </c>
      <c r="K429" s="2192">
        <v>2045</v>
      </c>
      <c r="L429" s="2192">
        <v>2050</v>
      </c>
      <c r="M429" s="3"/>
      <c r="N429" s="3"/>
      <c r="O429" s="3"/>
    </row>
    <row r="430" spans="4:15">
      <c r="D430" s="3" t="s">
        <v>2481</v>
      </c>
      <c r="E430" s="2193" cm="1">
        <f t="array" ref="E430:L430">_xlfn.ANCHORARRAY(E399)*SF_FACTOR_PRODUCCION_RESIDUO_MAIZ_RASTROJO*(1+(CHOOSE(TRAYECTORIA_PRODUCCION_BIOMASA,E49:L49,E50:L50,E51:L51,E52:L52)))</f>
        <v>97793.647767839095</v>
      </c>
      <c r="F430" s="2193">
        <v>97793.647767839095</v>
      </c>
      <c r="G430" s="2193">
        <v>97793.647767839095</v>
      </c>
      <c r="H430" s="2193">
        <v>97793.647767839095</v>
      </c>
      <c r="I430" s="2193">
        <v>97793.647767839095</v>
      </c>
      <c r="J430" s="2193">
        <v>97793.647767839095</v>
      </c>
      <c r="K430" s="2193">
        <v>97793.647767839095</v>
      </c>
      <c r="L430" s="2193">
        <v>97793.647767839095</v>
      </c>
      <c r="M430" s="3"/>
      <c r="N430" s="3"/>
      <c r="O430" s="3"/>
    </row>
    <row r="431" spans="4:15">
      <c r="D431" s="3" t="s">
        <v>2482</v>
      </c>
      <c r="E431" s="2193" cm="1">
        <f t="array" ref="E431:L431">_xlfn.ANCHORARRAY(E399)*SF_FACTOR_PRODUCCION_RESIDUO_MAIZ_TUSA*(1+(CHOOSE(TRAYECTORIA_PRODUCCION_BIOMASA,E49:L49,E50:L50,E51:L51,E52:L52)))</f>
        <v>28270.112309760767</v>
      </c>
      <c r="F431" s="2193">
        <v>28270.112309760767</v>
      </c>
      <c r="G431" s="2193">
        <v>28270.112309760767</v>
      </c>
      <c r="H431" s="2193">
        <v>28270.112309760767</v>
      </c>
      <c r="I431" s="2193">
        <v>28270.112309760767</v>
      </c>
      <c r="J431" s="2193">
        <v>28270.112309760767</v>
      </c>
      <c r="K431" s="2193">
        <v>28270.112309760767</v>
      </c>
      <c r="L431" s="2193">
        <v>28270.112309760767</v>
      </c>
      <c r="M431" s="3"/>
      <c r="N431" s="3"/>
      <c r="O431" s="3"/>
    </row>
    <row r="432" spans="4:15">
      <c r="D432" s="958" t="s">
        <v>2483</v>
      </c>
      <c r="E432" s="2194" cm="1">
        <f t="array" ref="E432:L432">_xlfn.ANCHORARRAY(E399)*SF_FACTOR_PRODUCCION_RESIDUO_MAIZ_CAPACHO*(1+(CHOOSE(TRAYECTORIA_PRODUCCION_BIOMASA,E49:L49,E50:L50,E51:L51,E52:L52)))</f>
        <v>22092.569249479708</v>
      </c>
      <c r="F432" s="2194">
        <v>22092.569249479708</v>
      </c>
      <c r="G432" s="2194">
        <v>22092.569249479708</v>
      </c>
      <c r="H432" s="2194">
        <v>22092.569249479708</v>
      </c>
      <c r="I432" s="2194">
        <v>22092.569249479708</v>
      </c>
      <c r="J432" s="2194">
        <v>22092.569249479708</v>
      </c>
      <c r="K432" s="2194">
        <v>22092.569249479708</v>
      </c>
      <c r="L432" s="2194">
        <v>22092.569249479708</v>
      </c>
      <c r="M432" s="3"/>
      <c r="N432" s="3"/>
      <c r="O432" s="3"/>
    </row>
    <row r="433" spans="4:15">
      <c r="D433" s="3"/>
      <c r="E433" s="3"/>
      <c r="F433" s="3"/>
      <c r="G433" s="3"/>
      <c r="H433" s="3"/>
      <c r="I433" s="3"/>
      <c r="J433" s="3"/>
      <c r="K433" s="3"/>
      <c r="L433" s="3"/>
      <c r="M433" s="3"/>
      <c r="N433" s="3"/>
      <c r="O433" s="3"/>
    </row>
    <row r="434" spans="4:15">
      <c r="D434" s="2" t="s">
        <v>2465</v>
      </c>
      <c r="E434" s="3"/>
      <c r="F434" s="3"/>
      <c r="G434" s="3"/>
      <c r="H434" s="3"/>
      <c r="I434" s="3"/>
      <c r="J434" s="3"/>
      <c r="K434" s="3"/>
      <c r="L434" s="554" t="s">
        <v>2002</v>
      </c>
      <c r="M434" s="3"/>
      <c r="N434" s="3"/>
      <c r="O434" s="3"/>
    </row>
    <row r="435" spans="4:15">
      <c r="D435" s="2191" t="s">
        <v>2470</v>
      </c>
      <c r="E435" s="2192">
        <v>2018</v>
      </c>
      <c r="F435" s="2192">
        <v>2020</v>
      </c>
      <c r="G435" s="2192">
        <v>2025</v>
      </c>
      <c r="H435" s="2192">
        <v>2030</v>
      </c>
      <c r="I435" s="2192">
        <v>2035</v>
      </c>
      <c r="J435" s="2192">
        <v>2040</v>
      </c>
      <c r="K435" s="2192">
        <v>2045</v>
      </c>
      <c r="L435" s="2192">
        <v>2050</v>
      </c>
      <c r="M435" s="3"/>
      <c r="O435" s="3"/>
    </row>
    <row r="436" spans="4:15">
      <c r="D436" s="3" t="s">
        <v>2484</v>
      </c>
      <c r="E436" s="2193" cm="1">
        <f t="array" ref="E436:L436">_xlfn.ANCHORARRAY(E400)*SF_FACTOR_PRODUCCION_RESIDUO_ARROZ_TAMP*(1+(CHOOSE(TRAYECTORIA_PRODUCCION_BIOMASA,E49:L49,E50:L50,E51:L51,E52:L52)))</f>
        <v>32593.812329974582</v>
      </c>
      <c r="F436" s="2193">
        <v>32593.812329974582</v>
      </c>
      <c r="G436" s="2193">
        <v>32593.812329974582</v>
      </c>
      <c r="H436" s="2193">
        <v>32593.812329974582</v>
      </c>
      <c r="I436" s="2193">
        <v>32593.812329974582</v>
      </c>
      <c r="J436" s="2193">
        <v>32593.812329974582</v>
      </c>
      <c r="K436" s="2193">
        <v>32593.812329974582</v>
      </c>
      <c r="L436" s="2193">
        <v>32593.812329974582</v>
      </c>
      <c r="M436" s="3"/>
      <c r="O436" s="3"/>
    </row>
    <row r="437" spans="4:15">
      <c r="D437" s="958" t="s">
        <v>2485</v>
      </c>
      <c r="E437" s="2194" cm="1">
        <f t="array" ref="E437:L437">_xlfn.ANCHORARRAY(E400)*SF_FACTOR_PRODUCCION_RESIDUO_ARROZ_CASCARILLA*(1+(CHOOSE(TRAYECTORIA_PRODUCCION_BIOMASA,E49:L49,E50:L50,E51:L51,E52:L52)))</f>
        <v>2773.9414748914537</v>
      </c>
      <c r="F437" s="2194">
        <v>2773.9414748914537</v>
      </c>
      <c r="G437" s="2194">
        <v>2773.9414748914537</v>
      </c>
      <c r="H437" s="2194">
        <v>2773.9414748914537</v>
      </c>
      <c r="I437" s="2194">
        <v>2773.9414748914537</v>
      </c>
      <c r="J437" s="2194">
        <v>2773.9414748914537</v>
      </c>
      <c r="K437" s="2194">
        <v>2773.9414748914537</v>
      </c>
      <c r="L437" s="2194">
        <v>2773.9414748914537</v>
      </c>
      <c r="M437" s="3"/>
      <c r="O437" s="3"/>
    </row>
    <row r="438" spans="4:15">
      <c r="D438" s="3"/>
      <c r="E438" s="3"/>
      <c r="F438" s="3"/>
      <c r="G438" s="3"/>
      <c r="H438" s="3"/>
      <c r="I438" s="3"/>
      <c r="J438" s="3"/>
      <c r="K438" s="3"/>
      <c r="L438" s="3"/>
      <c r="M438" s="3"/>
      <c r="O438" s="3"/>
    </row>
    <row r="439" spans="4:15">
      <c r="D439" s="2" t="s">
        <v>2486</v>
      </c>
      <c r="E439" s="3"/>
      <c r="F439" s="3"/>
      <c r="G439" s="3"/>
      <c r="H439" s="3"/>
      <c r="I439" s="3"/>
      <c r="J439" s="3"/>
      <c r="K439" s="3"/>
      <c r="L439" s="554" t="s">
        <v>2002</v>
      </c>
      <c r="M439" s="3"/>
      <c r="O439" s="3"/>
    </row>
    <row r="440" spans="4:15">
      <c r="D440" s="2191" t="s">
        <v>2470</v>
      </c>
      <c r="E440" s="2192">
        <v>2018</v>
      </c>
      <c r="F440" s="2192">
        <v>2020</v>
      </c>
      <c r="G440" s="2192">
        <v>2025</v>
      </c>
      <c r="H440" s="2192">
        <v>2030</v>
      </c>
      <c r="I440" s="2192">
        <v>2035</v>
      </c>
      <c r="J440" s="2192">
        <v>2040</v>
      </c>
      <c r="K440" s="2192">
        <v>2045</v>
      </c>
      <c r="L440" s="2192">
        <v>2050</v>
      </c>
      <c r="M440" s="3"/>
      <c r="O440" s="3"/>
    </row>
    <row r="441" spans="4:15">
      <c r="D441" s="3" t="s">
        <v>2487</v>
      </c>
      <c r="E441" s="2193" cm="1">
        <f t="array" ref="E441:L441">_xlfn.ANCHORARRAY(E401)*SF_FACTOR_PRODUCCION_RESIDUO_BANANO_RAQUIS*(1+(CHOOSE(TRAYECTORIA_PRODUCCION_BIOMASA,E49:L49,E50:L50,E51:L51,E52:L52)))</f>
        <v>38466.905294068019</v>
      </c>
      <c r="F441" s="2193">
        <v>38466.905294068019</v>
      </c>
      <c r="G441" s="2193">
        <v>38466.905294068019</v>
      </c>
      <c r="H441" s="2193">
        <v>38466.905294068019</v>
      </c>
      <c r="I441" s="2193">
        <v>38466.905294068019</v>
      </c>
      <c r="J441" s="2193">
        <v>38466.905294068019</v>
      </c>
      <c r="K441" s="2193">
        <v>38466.905294068019</v>
      </c>
      <c r="L441" s="2193">
        <v>38466.905294068019</v>
      </c>
      <c r="M441" s="3"/>
      <c r="N441" s="3"/>
      <c r="O441" s="3"/>
    </row>
    <row r="442" spans="4:15">
      <c r="D442" s="3" t="s">
        <v>2488</v>
      </c>
      <c r="E442" s="2193" cm="1">
        <f t="array" ref="E442:L442">_xlfn.ANCHORARRAY(E401)*SF_FACTOR_PRODUCCION_RESIDUO_BANANO_VASTAGO*(1+(CHOOSE(TRAYECTORIA_PRODUCCION_BIOMASA,E49:L49,E50:L50,E51:L51,E52:L52)))</f>
        <v>192334.52647034009</v>
      </c>
      <c r="F442" s="2193">
        <v>192334.52647034009</v>
      </c>
      <c r="G442" s="2193">
        <v>192334.52647034009</v>
      </c>
      <c r="H442" s="2193">
        <v>192334.52647034009</v>
      </c>
      <c r="I442" s="2193">
        <v>192334.52647034009</v>
      </c>
      <c r="J442" s="2193">
        <v>192334.52647034009</v>
      </c>
      <c r="K442" s="2193">
        <v>192334.52647034009</v>
      </c>
      <c r="L442" s="2193">
        <v>192334.52647034009</v>
      </c>
      <c r="M442" s="3"/>
      <c r="N442" s="3"/>
      <c r="O442" s="3"/>
    </row>
    <row r="443" spans="4:15">
      <c r="D443" s="958" t="s">
        <v>2489</v>
      </c>
      <c r="E443" s="2194" cm="1">
        <f t="array" ref="E443:L443">_xlfn.ANCHORARRAY(E401)*SF_FACTOR_PRODUCCION_RESIDUO_BANANO_RECHAZO*(1+(CHOOSE(TRAYECTORIA_PRODUCCION_BIOMASA,E49:L49,E50:L50,E51:L51,E52:L52)))</f>
        <v>5770.0357941102029</v>
      </c>
      <c r="F443" s="2194">
        <v>5770.0357941102029</v>
      </c>
      <c r="G443" s="2194">
        <v>5770.0357941102029</v>
      </c>
      <c r="H443" s="2194">
        <v>5770.0357941102029</v>
      </c>
      <c r="I443" s="2194">
        <v>5770.0357941102029</v>
      </c>
      <c r="J443" s="2194">
        <v>5770.0357941102029</v>
      </c>
      <c r="K443" s="2194">
        <v>5770.0357941102029</v>
      </c>
      <c r="L443" s="2194">
        <v>5770.0357941102029</v>
      </c>
      <c r="M443" s="3"/>
      <c r="N443" s="3"/>
    </row>
    <row r="444" spans="4:15">
      <c r="D444" s="3"/>
      <c r="E444" s="3"/>
      <c r="F444" s="3"/>
      <c r="G444" s="3"/>
      <c r="H444" s="3"/>
      <c r="I444" s="3"/>
      <c r="J444" s="3"/>
      <c r="K444" s="3"/>
      <c r="L444" s="3"/>
      <c r="M444" s="3"/>
      <c r="N444" s="3"/>
    </row>
    <row r="445" spans="4:15">
      <c r="D445" s="2" t="s">
        <v>2490</v>
      </c>
      <c r="E445" s="3"/>
      <c r="F445" s="3"/>
      <c r="G445" s="3"/>
      <c r="H445" s="3"/>
      <c r="I445" s="3"/>
      <c r="J445" s="3"/>
      <c r="K445" s="3"/>
      <c r="L445" s="554" t="s">
        <v>2002</v>
      </c>
      <c r="M445" s="3"/>
      <c r="N445" s="3"/>
    </row>
    <row r="446" spans="4:15">
      <c r="D446" s="2191" t="s">
        <v>2470</v>
      </c>
      <c r="E446" s="2192">
        <v>2018</v>
      </c>
      <c r="F446" s="2192">
        <v>2020</v>
      </c>
      <c r="G446" s="2192">
        <v>2025</v>
      </c>
      <c r="H446" s="2192">
        <v>2030</v>
      </c>
      <c r="I446" s="2192">
        <v>2035</v>
      </c>
      <c r="J446" s="2192">
        <v>2040</v>
      </c>
      <c r="K446" s="2192">
        <v>2045</v>
      </c>
      <c r="L446" s="2192">
        <v>2050</v>
      </c>
      <c r="M446" s="3"/>
      <c r="N446" s="3"/>
    </row>
    <row r="447" spans="4:15">
      <c r="D447" s="3" t="s">
        <v>2491</v>
      </c>
      <c r="E447" s="2193" cm="1">
        <f t="array" ref="E447:L447">_xlfn.ANCHORARRAY(E402)*SF_FACTOR_PRODUCCION_RESIDUO_PLATANO_RAQUIS*(1+(CHOOSE(TRAYECTORIA_PRODUCCION_BIOMASA,E49:L49,E50:L50,E51:L51,E52:L52)))</f>
        <v>182714.44188838577</v>
      </c>
      <c r="F447" s="2193">
        <v>182714.44188838577</v>
      </c>
      <c r="G447" s="2193">
        <v>182714.44188838577</v>
      </c>
      <c r="H447" s="2193">
        <v>182714.44188838577</v>
      </c>
      <c r="I447" s="2193">
        <v>182714.44188838577</v>
      </c>
      <c r="J447" s="2193">
        <v>182714.44188838577</v>
      </c>
      <c r="K447" s="2193">
        <v>182714.44188838577</v>
      </c>
      <c r="L447" s="2193">
        <v>182714.44188838577</v>
      </c>
      <c r="M447" s="3"/>
      <c r="N447" s="3"/>
    </row>
    <row r="448" spans="4:15">
      <c r="D448" s="3" t="s">
        <v>2492</v>
      </c>
      <c r="E448" s="2193" cm="1">
        <f t="array" ref="E448:L448">_xlfn.ANCHORARRAY(E402)*SF_FACTOR_PRODUCCION_RESIDUO_PLATANO_VASTAGO*(1+(CHOOSE(TRAYECTORIA_PRODUCCION_BIOMASA,E49:L49,E50:L50,E51:L51,E52:L52)))</f>
        <v>913572.20944192889</v>
      </c>
      <c r="F448" s="2193">
        <v>913572.20944192889</v>
      </c>
      <c r="G448" s="2193">
        <v>913572.20944192889</v>
      </c>
      <c r="H448" s="2193">
        <v>913572.20944192889</v>
      </c>
      <c r="I448" s="2193">
        <v>913572.20944192889</v>
      </c>
      <c r="J448" s="2193">
        <v>913572.20944192889</v>
      </c>
      <c r="K448" s="2193">
        <v>913572.20944192889</v>
      </c>
      <c r="L448" s="2193">
        <v>913572.20944192889</v>
      </c>
      <c r="M448" s="3"/>
      <c r="N448" s="3"/>
    </row>
    <row r="449" spans="4:14">
      <c r="D449" s="958" t="s">
        <v>2493</v>
      </c>
      <c r="E449" s="2194" cm="1">
        <f t="array" ref="E449:L449">_xlfn.ANCHORARRAY(E402)*SF_FACTOR_PRODUCCION_RESIDUO_PLATANO_RECHAZO*(1+(CHOOSE(TRAYECTORIA_PRODUCCION_BIOMASA,E49:L49,E50:L50,E51:L51,E52:L52)))</f>
        <v>27407.166283257866</v>
      </c>
      <c r="F449" s="2194">
        <v>27407.166283257866</v>
      </c>
      <c r="G449" s="2194">
        <v>27407.166283257866</v>
      </c>
      <c r="H449" s="2194">
        <v>27407.166283257866</v>
      </c>
      <c r="I449" s="2194">
        <v>27407.166283257866</v>
      </c>
      <c r="J449" s="2194">
        <v>27407.166283257866</v>
      </c>
      <c r="K449" s="2194">
        <v>27407.166283257866</v>
      </c>
      <c r="L449" s="2194">
        <v>27407.166283257866</v>
      </c>
      <c r="M449" s="3"/>
      <c r="N449" s="3"/>
    </row>
    <row r="450" spans="4:14">
      <c r="D450" s="3"/>
      <c r="E450" s="3"/>
      <c r="F450" s="3"/>
      <c r="G450" s="3"/>
      <c r="H450" s="3"/>
      <c r="I450" s="3"/>
      <c r="J450" s="3"/>
      <c r="K450" s="3"/>
      <c r="L450" s="3"/>
      <c r="M450" s="3"/>
      <c r="N450" s="3"/>
    </row>
    <row r="451" spans="4:14">
      <c r="D451" s="3"/>
      <c r="E451" s="3"/>
      <c r="F451" s="3"/>
      <c r="G451" s="3"/>
      <c r="H451" s="3"/>
      <c r="I451" s="3"/>
      <c r="J451" s="3"/>
      <c r="K451" s="3"/>
      <c r="L451" s="554" t="s">
        <v>2002</v>
      </c>
      <c r="M451" s="3"/>
      <c r="N451" s="3"/>
    </row>
    <row r="452" spans="4:14">
      <c r="D452" s="2191"/>
      <c r="E452" s="2192">
        <v>2018</v>
      </c>
      <c r="F452" s="2192">
        <v>2020</v>
      </c>
      <c r="G452" s="2192">
        <v>2025</v>
      </c>
      <c r="H452" s="2192">
        <v>2030</v>
      </c>
      <c r="I452" s="2192">
        <v>2035</v>
      </c>
      <c r="J452" s="2192">
        <v>2040</v>
      </c>
      <c r="K452" s="2192">
        <v>2045</v>
      </c>
      <c r="L452" s="2192">
        <v>2050</v>
      </c>
      <c r="M452" s="3"/>
      <c r="N452" s="3"/>
    </row>
    <row r="453" spans="4:14">
      <c r="D453" s="551" t="s">
        <v>2521</v>
      </c>
      <c r="E453" s="2195" cm="1">
        <f t="array" ref="E453:L453">_xlfn.ANCHORARRAY(E408)+_xlfn.ANCHORARRAY(E409)+_xlfn.ANCHORARRAY(E410)+_xlfn.ANCHORARRAY(E414)+_xlfn.ANCHORARRAY(E415)+_xlfn.ANCHORARRAY(E419)+_xlfn.ANCHORARRAY(E420)+_xlfn.ANCHORARRAY(E424)+_xlfn.ANCHORARRAY(E425)+_xlfn.ANCHORARRAY(E426)+_xlfn.ANCHORARRAY(E430)+_xlfn.ANCHORARRAY(E431)++_xlfn.ANCHORARRAY(E432)+_xlfn.ANCHORARRAY(E436)+_xlfn.ANCHORARRAY(E437)+_xlfn.ANCHORARRAY(E441)+_xlfn.ANCHORARRAY(E442)+_xlfn.ANCHORARRAY(E443)+_xlfn.ANCHORARRAY(E447)+_xlfn.ANCHORARRAY(E448)+_xlfn.ANCHORARRAY(E449)</f>
        <v>16766175.638327001</v>
      </c>
      <c r="F453" s="2195">
        <v>16746984.717875091</v>
      </c>
      <c r="G453" s="2195">
        <v>16740367.84936193</v>
      </c>
      <c r="H453" s="2195">
        <v>16733759.485720294</v>
      </c>
      <c r="I453" s="2195">
        <v>16727159.616018595</v>
      </c>
      <c r="J453" s="2195">
        <v>16720568.229339307</v>
      </c>
      <c r="K453" s="2195">
        <v>16713985.31477893</v>
      </c>
      <c r="L453" s="2195">
        <v>16707410.861447981</v>
      </c>
      <c r="M453" s="3"/>
      <c r="N453" s="3"/>
    </row>
    <row r="454" spans="4:14">
      <c r="D454" s="3"/>
      <c r="E454" s="3"/>
      <c r="F454" s="3"/>
      <c r="G454" s="3"/>
      <c r="H454" s="3"/>
      <c r="I454" s="3"/>
      <c r="J454" s="3"/>
      <c r="K454" s="3"/>
      <c r="L454" s="3"/>
      <c r="M454" s="3"/>
      <c r="N454" s="3"/>
    </row>
    <row r="455" spans="4:14">
      <c r="D455" s="2" t="s">
        <v>2522</v>
      </c>
      <c r="E455" s="3"/>
      <c r="F455" s="3"/>
      <c r="G455" s="3"/>
      <c r="H455" s="3"/>
      <c r="I455" s="3"/>
      <c r="J455" s="3"/>
      <c r="K455" s="3"/>
      <c r="L455" s="3"/>
      <c r="M455" s="3"/>
      <c r="N455" s="3"/>
    </row>
    <row r="456" spans="4:14">
      <c r="D456" s="3"/>
      <c r="E456" s="3"/>
      <c r="F456" s="3"/>
      <c r="G456" s="3"/>
      <c r="H456" s="3"/>
      <c r="I456" s="3"/>
      <c r="J456" s="3"/>
      <c r="K456" s="3"/>
      <c r="L456" s="3"/>
      <c r="M456" s="3"/>
      <c r="N456" s="3"/>
    </row>
    <row r="457" spans="4:14">
      <c r="D457" s="2" t="s">
        <v>611</v>
      </c>
      <c r="E457" s="3"/>
      <c r="F457" s="3"/>
      <c r="G457" s="3"/>
      <c r="H457" s="3"/>
      <c r="I457" s="3"/>
      <c r="J457" s="3"/>
      <c r="K457" s="3"/>
      <c r="L457" s="554" t="s">
        <v>9</v>
      </c>
      <c r="M457" s="3"/>
      <c r="N457" s="3"/>
    </row>
    <row r="458" spans="4:14">
      <c r="D458" s="2187" t="s">
        <v>2470</v>
      </c>
      <c r="E458" s="2188">
        <v>2018</v>
      </c>
      <c r="F458" s="2188">
        <v>2020</v>
      </c>
      <c r="G458" s="2188">
        <v>2025</v>
      </c>
      <c r="H458" s="2188">
        <v>2030</v>
      </c>
      <c r="I458" s="2188">
        <v>2035</v>
      </c>
      <c r="J458" s="2188">
        <v>2040</v>
      </c>
      <c r="K458" s="2188">
        <v>2045</v>
      </c>
      <c r="L458" s="2188">
        <v>2050</v>
      </c>
      <c r="M458" s="3"/>
      <c r="N458" s="3"/>
    </row>
    <row r="459" spans="4:14">
      <c r="D459" s="3" t="s">
        <v>2472</v>
      </c>
      <c r="E459" s="2189" cm="1">
        <f t="array" ref="E459:L459">_xlfn.ANCHORARRAY(E408)*H149</f>
        <v>8.4425680196017733E-2</v>
      </c>
      <c r="F459" s="1754">
        <v>8.4317165184446319E-2</v>
      </c>
      <c r="G459" s="1754">
        <v>8.4317165184446319E-2</v>
      </c>
      <c r="H459" s="1754">
        <v>8.4317165184446319E-2</v>
      </c>
      <c r="I459" s="1754">
        <v>8.4317165184446319E-2</v>
      </c>
      <c r="J459" s="1754">
        <v>8.4317165184446319E-2</v>
      </c>
      <c r="K459" s="1754">
        <v>8.4317165184446319E-2</v>
      </c>
      <c r="L459" s="1754">
        <v>8.4317165184446319E-2</v>
      </c>
      <c r="M459" s="3"/>
      <c r="N459" s="3"/>
    </row>
    <row r="460" spans="4:14">
      <c r="D460" s="3" t="s">
        <v>2473</v>
      </c>
      <c r="E460" s="2189" cm="1">
        <f t="array" ref="E460:L460">_xlfn.ANCHORARRAY(E409)*SF_POTENCIAL_ENERGETICO_BIOMASA_PALMA_DE_ACEITE_FIBRA</f>
        <v>0.21782130104740036</v>
      </c>
      <c r="F460" s="1754">
        <v>0.21754132840224336</v>
      </c>
      <c r="G460" s="1754">
        <v>0.21754132840224336</v>
      </c>
      <c r="H460" s="1754">
        <v>0.21754132840224336</v>
      </c>
      <c r="I460" s="1754">
        <v>0.21754132840224336</v>
      </c>
      <c r="J460" s="1754">
        <v>0.21754132840224336</v>
      </c>
      <c r="K460" s="1754">
        <v>0.21754132840224336</v>
      </c>
      <c r="L460" s="1754">
        <v>0.21754132840224336</v>
      </c>
      <c r="M460" s="3"/>
      <c r="N460" s="3"/>
    </row>
    <row r="461" spans="4:14">
      <c r="D461" s="958" t="s">
        <v>2474</v>
      </c>
      <c r="E461" s="2190" cm="1">
        <f t="array" ref="E461:L461">_xlfn.ANCHORARRAY(E410)*SF_POTENCIAL_ENERGETICO_BIOMASA_PALMA_DE_ACEITE_RAQUIS</f>
        <v>0.21230804167400616</v>
      </c>
      <c r="F461" s="1755">
        <v>0.21203515539644857</v>
      </c>
      <c r="G461" s="1755">
        <v>0.21203515539644857</v>
      </c>
      <c r="H461" s="1755">
        <v>0.21203515539644857</v>
      </c>
      <c r="I461" s="1755">
        <v>0.21203515539644857</v>
      </c>
      <c r="J461" s="1755">
        <v>0.21203515539644857</v>
      </c>
      <c r="K461" s="1755">
        <v>0.21203515539644857</v>
      </c>
      <c r="L461" s="1755">
        <v>0.21203515539644857</v>
      </c>
      <c r="M461" s="3"/>
      <c r="N461" s="3"/>
    </row>
    <row r="462" spans="4:14">
      <c r="D462" s="554" t="s">
        <v>338</v>
      </c>
      <c r="E462" s="2193" cm="1">
        <f t="array" ref="E462:L462">_xlfn.ANCHORARRAY(E459)+_xlfn.ANCHORARRAY(E460)+_xlfn.ANCHORARRAY(E461)</f>
        <v>0.51455502291742428</v>
      </c>
      <c r="F462" s="2193">
        <v>0.51389364898313827</v>
      </c>
      <c r="G462" s="2193">
        <v>0.51389364898313827</v>
      </c>
      <c r="H462" s="2193">
        <v>0.51389364898313827</v>
      </c>
      <c r="I462" s="2193">
        <v>0.51389364898313827</v>
      </c>
      <c r="J462" s="2193">
        <v>0.51389364898313827</v>
      </c>
      <c r="K462" s="2193">
        <v>0.51389364898313827</v>
      </c>
      <c r="L462" s="2193">
        <v>0.51389364898313827</v>
      </c>
      <c r="M462" s="3"/>
      <c r="N462" s="3"/>
    </row>
    <row r="463" spans="4:14">
      <c r="D463" s="3"/>
      <c r="E463" s="3"/>
      <c r="F463" s="3"/>
      <c r="G463" s="3"/>
      <c r="H463" s="3"/>
      <c r="I463" s="3"/>
      <c r="J463" s="3"/>
      <c r="K463" s="3"/>
      <c r="L463" s="3"/>
      <c r="M463" s="3"/>
      <c r="N463" s="3"/>
    </row>
    <row r="464" spans="4:14">
      <c r="D464" s="2" t="s">
        <v>2475</v>
      </c>
      <c r="E464" s="3"/>
      <c r="F464" s="3"/>
      <c r="G464" s="3"/>
      <c r="H464" s="3"/>
      <c r="I464" s="3"/>
      <c r="J464" s="3"/>
      <c r="K464" s="3"/>
      <c r="L464" s="554" t="s">
        <v>9</v>
      </c>
      <c r="M464" s="3"/>
      <c r="N464" s="3"/>
    </row>
    <row r="465" spans="4:14">
      <c r="D465" s="2191" t="s">
        <v>2470</v>
      </c>
      <c r="E465" s="2192">
        <v>2018</v>
      </c>
      <c r="F465" s="2192">
        <v>2020</v>
      </c>
      <c r="G465" s="2192">
        <v>2025</v>
      </c>
      <c r="H465" s="2192">
        <v>2030</v>
      </c>
      <c r="I465" s="2192">
        <v>2035</v>
      </c>
      <c r="J465" s="2192">
        <v>2040</v>
      </c>
      <c r="K465" s="2192">
        <v>2045</v>
      </c>
      <c r="L465" s="2192">
        <v>2050</v>
      </c>
      <c r="M465" s="3"/>
      <c r="N465" s="3"/>
    </row>
    <row r="466" spans="4:14">
      <c r="D466" s="3" t="s">
        <v>2476</v>
      </c>
      <c r="E466" s="2193" cm="1">
        <f t="array" ref="E466:L466">_xlfn.ANCHORARRAY(E414)*SF_POTENCIAL_ENERGETICO_POR_UD_BIOMASA_CAÑA_DE_AZUCAR_COGOLLO</f>
        <v>7.2448247831930068</v>
      </c>
      <c r="F466" s="2193">
        <v>7.2355127795069762</v>
      </c>
      <c r="G466" s="2193">
        <v>7.2355127795069762</v>
      </c>
      <c r="H466" s="2193">
        <v>7.2355127795069762</v>
      </c>
      <c r="I466" s="2193">
        <v>7.2355127795069762</v>
      </c>
      <c r="J466" s="2193">
        <v>7.2355127795069762</v>
      </c>
      <c r="K466" s="2193">
        <v>7.2355127795069762</v>
      </c>
      <c r="L466" s="2193">
        <v>7.2355127795069762</v>
      </c>
      <c r="M466" s="3"/>
      <c r="N466" s="3"/>
    </row>
    <row r="467" spans="4:14">
      <c r="D467" s="958" t="s">
        <v>504</v>
      </c>
      <c r="E467" s="2194" cm="1">
        <f t="array" ref="E467:L467">_xlfn.ANCHORARRAY(E415)*SF_POTENCIAL_ENERGETICO_POR_UD_BIOMASA_CAÑA_DE_AZUCAR_BAGAZO</f>
        <v>12.955708541180314</v>
      </c>
      <c r="F467" s="2194">
        <v>12.939056156988705</v>
      </c>
      <c r="G467" s="2194">
        <v>12.939056156988705</v>
      </c>
      <c r="H467" s="2194">
        <v>12.939056156988705</v>
      </c>
      <c r="I467" s="2194">
        <v>12.939056156988705</v>
      </c>
      <c r="J467" s="2194">
        <v>12.939056156988705</v>
      </c>
      <c r="K467" s="2194">
        <v>12.939056156988705</v>
      </c>
      <c r="L467" s="2194">
        <v>12.939056156988705</v>
      </c>
      <c r="M467" s="3"/>
      <c r="N467" s="3"/>
    </row>
    <row r="468" spans="4:14">
      <c r="D468" s="554" t="s">
        <v>338</v>
      </c>
      <c r="E468" s="2193" cm="1">
        <f t="array" ref="E468:L468">_xlfn.ANCHORARRAY(E466)+_xlfn.ANCHORARRAY(E467)</f>
        <v>20.200533324373321</v>
      </c>
      <c r="F468" s="1626">
        <v>20.174568936495682</v>
      </c>
      <c r="G468" s="1626">
        <v>20.174568936495682</v>
      </c>
      <c r="H468" s="1626">
        <v>20.174568936495682</v>
      </c>
      <c r="I468" s="1626">
        <v>20.174568936495682</v>
      </c>
      <c r="J468" s="1626">
        <v>20.174568936495682</v>
      </c>
      <c r="K468" s="1626">
        <v>20.174568936495682</v>
      </c>
      <c r="L468" s="1626">
        <v>20.174568936495682</v>
      </c>
      <c r="M468" s="3"/>
      <c r="N468" s="3"/>
    </row>
    <row r="469" spans="4:14">
      <c r="D469" s="3"/>
      <c r="E469" s="3"/>
      <c r="F469" s="3"/>
      <c r="G469" s="3"/>
      <c r="H469" s="3"/>
      <c r="I469" s="3"/>
      <c r="J469" s="3"/>
      <c r="K469" s="3"/>
      <c r="L469" s="3"/>
      <c r="M469" s="3"/>
      <c r="N469" s="3"/>
    </row>
    <row r="470" spans="4:14">
      <c r="D470" s="2" t="s">
        <v>2462</v>
      </c>
      <c r="E470" s="3"/>
      <c r="F470" s="3"/>
      <c r="G470" s="3"/>
      <c r="H470" s="3"/>
      <c r="I470" s="3"/>
      <c r="J470" s="3"/>
      <c r="K470" s="3"/>
      <c r="L470" s="554" t="s">
        <v>9</v>
      </c>
      <c r="M470" s="3"/>
      <c r="N470" s="3"/>
    </row>
    <row r="471" spans="4:14">
      <c r="D471" s="2191" t="s">
        <v>2470</v>
      </c>
      <c r="E471" s="2192">
        <v>2018</v>
      </c>
      <c r="F471" s="2192">
        <v>2020</v>
      </c>
      <c r="G471" s="2192">
        <v>2025</v>
      </c>
      <c r="H471" s="2192">
        <v>2030</v>
      </c>
      <c r="I471" s="2192">
        <v>2035</v>
      </c>
      <c r="J471" s="2192">
        <v>2040</v>
      </c>
      <c r="K471" s="2192">
        <v>2045</v>
      </c>
      <c r="L471" s="2192">
        <v>2050</v>
      </c>
      <c r="M471" s="3"/>
      <c r="N471" s="3"/>
    </row>
    <row r="472" spans="4:14">
      <c r="D472" s="3" t="s">
        <v>504</v>
      </c>
      <c r="E472" s="2193" cm="1">
        <f t="array" ref="E472:L472">_xlfn.ANCHORARRAY(E419)*SF_POTENCIAL_ENERGETICO_POR_UD_BIOMASA_CAÑA_PANELERA_BAGAZO</f>
        <v>9.3774144531161987</v>
      </c>
      <c r="F472" s="2193">
        <v>9.3653613641090718</v>
      </c>
      <c r="G472" s="2193">
        <v>9.353323767320548</v>
      </c>
      <c r="H472" s="2193">
        <v>9.3413016428379816</v>
      </c>
      <c r="I472" s="2193">
        <v>9.3292949707743276</v>
      </c>
      <c r="J472" s="2193">
        <v>9.3173037312681011</v>
      </c>
      <c r="K472" s="2193">
        <v>9.3053279044833435</v>
      </c>
      <c r="L472" s="2193">
        <v>9.2933674706095957</v>
      </c>
      <c r="M472" s="3"/>
      <c r="N472" s="3"/>
    </row>
    <row r="473" spans="4:14">
      <c r="D473" s="958" t="s">
        <v>2477</v>
      </c>
      <c r="E473" s="2194" cm="1">
        <f t="array" ref="E473:L473">_xlfn.ANCHORARRAY(E420)*SF_POTENCIAL_ENERGETICO_POR_UD_BIOMASA_CAÑA_PANELERA_HOJAS_COGOLLO</f>
        <v>2.8218547005374837</v>
      </c>
      <c r="F473" s="2194">
        <v>2.8182276809532678</v>
      </c>
      <c r="G473" s="2194">
        <v>2.8146053232926675</v>
      </c>
      <c r="H473" s="2194">
        <v>2.8109876215635619</v>
      </c>
      <c r="I473" s="2194">
        <v>2.8073745697815355</v>
      </c>
      <c r="J473" s="2194">
        <v>2.8037661619698628</v>
      </c>
      <c r="K473" s="2194">
        <v>2.8001623921595007</v>
      </c>
      <c r="L473" s="2194">
        <v>2.7965632543890799</v>
      </c>
      <c r="M473" s="3"/>
      <c r="N473" s="3"/>
    </row>
    <row r="474" spans="4:14">
      <c r="D474" s="554" t="s">
        <v>338</v>
      </c>
      <c r="E474" s="2193" cm="1">
        <f t="array" ref="E474:L474">_xlfn.ANCHORARRAY(E472)+_xlfn.ANCHORARRAY(E473)</f>
        <v>12.199269153653683</v>
      </c>
      <c r="F474" s="2193">
        <v>12.183589045062339</v>
      </c>
      <c r="G474" s="2193">
        <v>12.167929090613216</v>
      </c>
      <c r="H474" s="2193">
        <v>12.152289264401544</v>
      </c>
      <c r="I474" s="2193">
        <v>12.136669540555863</v>
      </c>
      <c r="J474" s="2193">
        <v>12.121069893237964</v>
      </c>
      <c r="K474" s="2193">
        <v>12.105490296642845</v>
      </c>
      <c r="L474" s="2193">
        <v>12.089930724998675</v>
      </c>
      <c r="M474" s="3"/>
      <c r="N474" s="3"/>
    </row>
    <row r="475" spans="4:14">
      <c r="D475" s="3"/>
      <c r="E475" s="3"/>
      <c r="F475" s="3"/>
      <c r="G475" s="3"/>
      <c r="H475" s="3"/>
      <c r="I475" s="3"/>
      <c r="J475" s="3"/>
      <c r="K475" s="3"/>
      <c r="L475" s="3"/>
      <c r="M475" s="3"/>
      <c r="N475" s="3"/>
    </row>
    <row r="476" spans="4:14">
      <c r="D476" s="2" t="s">
        <v>2463</v>
      </c>
      <c r="E476" s="3"/>
      <c r="F476" s="3"/>
      <c r="G476" s="3"/>
      <c r="H476" s="3"/>
      <c r="I476" s="3"/>
      <c r="J476" s="3"/>
      <c r="K476" s="3"/>
      <c r="L476" s="554" t="s">
        <v>9</v>
      </c>
      <c r="M476" s="3"/>
      <c r="N476" s="3"/>
    </row>
    <row r="477" spans="4:14">
      <c r="D477" s="2191" t="s">
        <v>2470</v>
      </c>
      <c r="E477" s="2192">
        <v>2018</v>
      </c>
      <c r="F477" s="2192">
        <v>2020</v>
      </c>
      <c r="G477" s="2192">
        <v>2025</v>
      </c>
      <c r="H477" s="2192">
        <v>2030</v>
      </c>
      <c r="I477" s="2192">
        <v>2035</v>
      </c>
      <c r="J477" s="2192">
        <v>2040</v>
      </c>
      <c r="K477" s="2192">
        <v>2045</v>
      </c>
      <c r="L477" s="2192">
        <v>2050</v>
      </c>
      <c r="M477" s="3"/>
      <c r="N477" s="3"/>
    </row>
    <row r="478" spans="4:14">
      <c r="D478" s="3" t="s">
        <v>2478</v>
      </c>
      <c r="E478" s="2193" cm="1">
        <f t="array" ref="E478:L478">_xlfn.ANCHORARRAY(E424)*SF_POTENCIAL_ENERGETICO_POR_UD_BIOMASA_CAFE_PULPÀ</f>
        <v>0.11560305599319907</v>
      </c>
      <c r="F478" s="2193">
        <v>0.11560305599319907</v>
      </c>
      <c r="G478" s="2193">
        <v>0.11560305599319907</v>
      </c>
      <c r="H478" s="2193">
        <v>0.11560305599319907</v>
      </c>
      <c r="I478" s="2193">
        <v>0.11560305599319907</v>
      </c>
      <c r="J478" s="2193">
        <v>0.11560305599319907</v>
      </c>
      <c r="K478" s="2193">
        <v>0.11560305599319907</v>
      </c>
      <c r="L478" s="2193">
        <v>0.11560305599319907</v>
      </c>
      <c r="M478" s="3"/>
      <c r="N478" s="3"/>
    </row>
    <row r="479" spans="4:14">
      <c r="D479" s="3" t="s">
        <v>2479</v>
      </c>
      <c r="E479" s="2193" cm="1">
        <f t="array" ref="E479:L479">_xlfn.ANCHORARRAY(E425)*SF_POTENCIAL_ENERGETICO_POR_UD_BIOMASA_CAFE_CISCO</f>
        <v>5.3553509211065588E-2</v>
      </c>
      <c r="F479" s="2193">
        <v>5.3553509211065588E-2</v>
      </c>
      <c r="G479" s="2193">
        <v>5.3553509211065588E-2</v>
      </c>
      <c r="H479" s="2193">
        <v>5.3553509211065588E-2</v>
      </c>
      <c r="I479" s="2193">
        <v>5.3553509211065588E-2</v>
      </c>
      <c r="J479" s="2193">
        <v>5.3553509211065588E-2</v>
      </c>
      <c r="K479" s="2193">
        <v>5.3553509211065588E-2</v>
      </c>
      <c r="L479" s="2193">
        <v>5.3553509211065588E-2</v>
      </c>
      <c r="M479" s="3"/>
      <c r="N479" s="3"/>
    </row>
    <row r="480" spans="4:14">
      <c r="D480" s="958" t="s">
        <v>2480</v>
      </c>
      <c r="E480" s="2194" cm="1">
        <f t="array" ref="E480:L480">_xlfn.ANCHORARRAY(E426)*SF_POTENCIAL_ENERGETICO_POR_UD_BIOMASA_CAFE_TALLOS</f>
        <v>0.61855965773151111</v>
      </c>
      <c r="F480" s="2194">
        <v>0.61855965773151111</v>
      </c>
      <c r="G480" s="2194">
        <v>0.61855965773151111</v>
      </c>
      <c r="H480" s="2194">
        <v>0.61855965773151111</v>
      </c>
      <c r="I480" s="2194">
        <v>0.61855965773151111</v>
      </c>
      <c r="J480" s="2194">
        <v>0.61855965773151111</v>
      </c>
      <c r="K480" s="2194">
        <v>0.61855965773151111</v>
      </c>
      <c r="L480" s="2194">
        <v>0.61855965773151111</v>
      </c>
      <c r="M480" s="3"/>
      <c r="N480" s="3"/>
    </row>
    <row r="481" spans="4:14">
      <c r="D481" s="554" t="s">
        <v>338</v>
      </c>
      <c r="E481" s="2193" cm="1">
        <f t="array" ref="E481:L481">_xlfn.ANCHORARRAY(E478)+_xlfn.ANCHORARRAY(E479)+_xlfn.ANCHORARRAY(E480)</f>
        <v>0.78771622293577581</v>
      </c>
      <c r="F481" s="2193">
        <v>0.78771622293577581</v>
      </c>
      <c r="G481" s="2193">
        <v>0.78771622293577581</v>
      </c>
      <c r="H481" s="2193">
        <v>0.78771622293577581</v>
      </c>
      <c r="I481" s="2193">
        <v>0.78771622293577581</v>
      </c>
      <c r="J481" s="2193">
        <v>0.78771622293577581</v>
      </c>
      <c r="K481" s="2193">
        <v>0.78771622293577581</v>
      </c>
      <c r="L481" s="2193">
        <v>0.78771622293577581</v>
      </c>
      <c r="M481" s="3"/>
      <c r="N481" s="3"/>
    </row>
    <row r="482" spans="4:14">
      <c r="D482" s="3"/>
      <c r="E482" s="3"/>
      <c r="F482" s="3"/>
      <c r="G482" s="3"/>
      <c r="H482" s="3"/>
      <c r="I482" s="3"/>
      <c r="J482" s="3"/>
      <c r="K482" s="3"/>
      <c r="L482" s="3"/>
      <c r="M482" s="3"/>
      <c r="N482" s="3"/>
    </row>
    <row r="483" spans="4:14">
      <c r="D483" s="2" t="s">
        <v>2464</v>
      </c>
      <c r="E483" s="3"/>
      <c r="F483" s="3"/>
      <c r="G483" s="3"/>
      <c r="H483" s="3"/>
      <c r="I483" s="3"/>
      <c r="J483" s="3"/>
      <c r="K483" s="3"/>
      <c r="L483" s="554" t="s">
        <v>9</v>
      </c>
      <c r="M483" s="3"/>
      <c r="N483" s="3"/>
    </row>
    <row r="484" spans="4:14">
      <c r="D484" s="2191" t="s">
        <v>2470</v>
      </c>
      <c r="E484" s="2192">
        <v>2018</v>
      </c>
      <c r="F484" s="2192">
        <v>2020</v>
      </c>
      <c r="G484" s="2192">
        <v>2025</v>
      </c>
      <c r="H484" s="2192">
        <v>2030</v>
      </c>
      <c r="I484" s="2192">
        <v>2035</v>
      </c>
      <c r="J484" s="2192">
        <v>2040</v>
      </c>
      <c r="K484" s="2192">
        <v>2045</v>
      </c>
      <c r="L484" s="2192">
        <v>2050</v>
      </c>
      <c r="M484" s="3"/>
      <c r="N484" s="3"/>
    </row>
    <row r="485" spans="4:14">
      <c r="D485" s="3" t="s">
        <v>2481</v>
      </c>
      <c r="E485" s="2193" cm="1">
        <f t="array" ref="E485:L485">_xlfn.ANCHORARRAY(E430)*SF_POTENCIAL_ENERGETICO_POR_UD_BIOMASA_MAIZ_RASTROJO</f>
        <v>0.26711875803259211</v>
      </c>
      <c r="F485" s="2193">
        <v>0.26711875803259211</v>
      </c>
      <c r="G485" s="2193">
        <v>0.26711875803259211</v>
      </c>
      <c r="H485" s="2193">
        <v>0.26711875803259211</v>
      </c>
      <c r="I485" s="2193">
        <v>0.26711875803259211</v>
      </c>
      <c r="J485" s="2193">
        <v>0.26711875803259211</v>
      </c>
      <c r="K485" s="2193">
        <v>0.26711875803259211</v>
      </c>
      <c r="L485" s="2193">
        <v>0.26711875803259211</v>
      </c>
      <c r="M485" s="3"/>
      <c r="N485" s="3"/>
    </row>
    <row r="486" spans="4:14">
      <c r="D486" s="3" t="s">
        <v>2482</v>
      </c>
      <c r="E486" s="2193" cm="1">
        <f t="array" ref="E486:L486">_xlfn.ANCHORARRAY(E431)*SF_POTENCIAL_ENERGETICO_POR_UD_BIOMASA_MAIZ_TUSA</f>
        <v>8.1706211647146712E-2</v>
      </c>
      <c r="F486" s="2193">
        <v>8.1706211647146712E-2</v>
      </c>
      <c r="G486" s="2193">
        <v>8.1706211647146712E-2</v>
      </c>
      <c r="H486" s="2193">
        <v>8.1706211647146712E-2</v>
      </c>
      <c r="I486" s="2193">
        <v>8.1706211647146712E-2</v>
      </c>
      <c r="J486" s="2193">
        <v>8.1706211647146712E-2</v>
      </c>
      <c r="K486" s="2193">
        <v>8.1706211647146712E-2</v>
      </c>
      <c r="L486" s="2193">
        <v>8.1706211647146712E-2</v>
      </c>
      <c r="M486" s="3"/>
      <c r="N486" s="3"/>
    </row>
    <row r="487" spans="4:14">
      <c r="D487" s="958" t="s">
        <v>2483</v>
      </c>
      <c r="E487" s="2194" cm="1">
        <f t="array" ref="E487:L487">_xlfn.ANCHORARRAY(E432)*SF_POTENCIAL_ENERGETICO_POR_UD_BIOMASA_MAIZ_CAPACHO</f>
        <v>9.3132912235850018E-2</v>
      </c>
      <c r="F487" s="2194">
        <v>9.3132912235850018E-2</v>
      </c>
      <c r="G487" s="2194">
        <v>9.3132912235850018E-2</v>
      </c>
      <c r="H487" s="2194">
        <v>9.3132912235850018E-2</v>
      </c>
      <c r="I487" s="2194">
        <v>9.3132912235850018E-2</v>
      </c>
      <c r="J487" s="2194">
        <v>9.3132912235850018E-2</v>
      </c>
      <c r="K487" s="2194">
        <v>9.3132912235850018E-2</v>
      </c>
      <c r="L487" s="2194">
        <v>9.3132912235850018E-2</v>
      </c>
      <c r="M487" s="3"/>
      <c r="N487" s="3"/>
    </row>
    <row r="488" spans="4:14">
      <c r="D488" s="554" t="s">
        <v>338</v>
      </c>
      <c r="E488" s="2193" cm="1">
        <f t="array" ref="E488:L488">_xlfn.ANCHORARRAY(E485)+_xlfn.ANCHORARRAY(E486)+_xlfn.ANCHORARRAY(E487)</f>
        <v>0.44195788191558882</v>
      </c>
      <c r="F488" s="2193">
        <v>0.44195788191558882</v>
      </c>
      <c r="G488" s="2193">
        <v>0.44195788191558882</v>
      </c>
      <c r="H488" s="2193">
        <v>0.44195788191558882</v>
      </c>
      <c r="I488" s="2193">
        <v>0.44195788191558882</v>
      </c>
      <c r="J488" s="2193">
        <v>0.44195788191558882</v>
      </c>
      <c r="K488" s="2193">
        <v>0.44195788191558882</v>
      </c>
      <c r="L488" s="2193">
        <v>0.44195788191558882</v>
      </c>
      <c r="M488" s="3"/>
      <c r="N488" s="3"/>
    </row>
    <row r="489" spans="4:14">
      <c r="D489" s="3"/>
      <c r="E489" s="3"/>
      <c r="F489" s="3"/>
      <c r="G489" s="3"/>
      <c r="H489" s="3"/>
      <c r="I489" s="3"/>
      <c r="J489" s="3"/>
      <c r="K489" s="3"/>
      <c r="L489" s="3"/>
      <c r="M489" s="3"/>
      <c r="N489" s="3"/>
    </row>
    <row r="490" spans="4:14">
      <c r="D490" s="2" t="s">
        <v>2465</v>
      </c>
      <c r="E490" s="3"/>
      <c r="F490" s="3"/>
      <c r="G490" s="3"/>
      <c r="H490" s="3"/>
      <c r="I490" s="3"/>
      <c r="J490" s="3"/>
      <c r="K490" s="3"/>
      <c r="L490" s="554" t="s">
        <v>9</v>
      </c>
      <c r="M490" s="3"/>
      <c r="N490" s="3"/>
    </row>
    <row r="491" spans="4:14">
      <c r="D491" s="2191" t="s">
        <v>2470</v>
      </c>
      <c r="E491" s="2192">
        <v>2018</v>
      </c>
      <c r="F491" s="2192">
        <v>2020</v>
      </c>
      <c r="G491" s="2192">
        <v>2025</v>
      </c>
      <c r="H491" s="2192">
        <v>2030</v>
      </c>
      <c r="I491" s="2192">
        <v>2035</v>
      </c>
      <c r="J491" s="2192">
        <v>2040</v>
      </c>
      <c r="K491" s="2192">
        <v>2045</v>
      </c>
      <c r="L491" s="2192">
        <v>2050</v>
      </c>
      <c r="M491" s="3"/>
      <c r="N491" s="3"/>
    </row>
    <row r="492" spans="4:14">
      <c r="D492" s="3" t="s">
        <v>2484</v>
      </c>
      <c r="E492" s="2193" cm="1">
        <f t="array" ref="E492:L492">E436:L436*SF_POTENCIAL_ENERGETICO_POR_UD_BIOMASA_ARROZ_TAMO</f>
        <v>3.2369566252963972E-2</v>
      </c>
      <c r="F492" s="2193">
        <v>3.2369566252963972E-2</v>
      </c>
      <c r="G492" s="2193">
        <v>3.2369566252963972E-2</v>
      </c>
      <c r="H492" s="2193">
        <v>3.2369566252963972E-2</v>
      </c>
      <c r="I492" s="2193">
        <v>3.2369566252963972E-2</v>
      </c>
      <c r="J492" s="2193">
        <v>3.2369566252963972E-2</v>
      </c>
      <c r="K492" s="2193">
        <v>3.2369566252963972E-2</v>
      </c>
      <c r="L492" s="2193">
        <v>3.2369566252963972E-2</v>
      </c>
      <c r="M492" s="3"/>
      <c r="N492" s="2080"/>
    </row>
    <row r="493" spans="4:14">
      <c r="D493" s="958" t="s">
        <v>2485</v>
      </c>
      <c r="E493" s="2194" cm="1">
        <f t="array" ref="E493:L493">_xlfn.ANCHORARRAY(E437)*SF_POTENCIAL_ENERGETICO_POR_UD_BIOMASA_CASCARILLA</f>
        <v>1.116004662216287E-2</v>
      </c>
      <c r="F493" s="2194">
        <v>1.116004662216287E-2</v>
      </c>
      <c r="G493" s="2194">
        <v>1.116004662216287E-2</v>
      </c>
      <c r="H493" s="2194">
        <v>1.116004662216287E-2</v>
      </c>
      <c r="I493" s="2194">
        <v>1.116004662216287E-2</v>
      </c>
      <c r="J493" s="2194">
        <v>1.116004662216287E-2</v>
      </c>
      <c r="K493" s="2194">
        <v>1.116004662216287E-2</v>
      </c>
      <c r="L493" s="2194">
        <v>1.116004662216287E-2</v>
      </c>
      <c r="M493" s="3"/>
      <c r="N493" s="2080"/>
    </row>
    <row r="494" spans="4:14">
      <c r="D494" s="554" t="s">
        <v>338</v>
      </c>
      <c r="E494" s="2193" cm="1">
        <f t="array" ref="E494:L494">E492:L492+_xlfn.ANCHORARRAY(E493)</f>
        <v>4.3529612875126841E-2</v>
      </c>
      <c r="F494" s="2193">
        <v>4.3529612875126841E-2</v>
      </c>
      <c r="G494" s="2193">
        <v>4.3529612875126841E-2</v>
      </c>
      <c r="H494" s="2193">
        <v>4.3529612875126841E-2</v>
      </c>
      <c r="I494" s="2193">
        <v>4.3529612875126841E-2</v>
      </c>
      <c r="J494" s="2193">
        <v>4.3529612875126841E-2</v>
      </c>
      <c r="K494" s="2193">
        <v>4.3529612875126841E-2</v>
      </c>
      <c r="L494" s="2193">
        <v>4.3529612875126841E-2</v>
      </c>
      <c r="M494" s="3"/>
      <c r="N494" s="3"/>
    </row>
    <row r="495" spans="4:14">
      <c r="D495" s="3"/>
      <c r="E495" s="3"/>
      <c r="F495" s="3"/>
      <c r="G495" s="3"/>
      <c r="H495" s="3"/>
      <c r="I495" s="3"/>
      <c r="J495" s="3"/>
      <c r="K495" s="3"/>
      <c r="L495" s="3"/>
      <c r="M495" s="3"/>
      <c r="N495" s="3"/>
    </row>
    <row r="496" spans="4:14">
      <c r="D496" s="2" t="s">
        <v>2486</v>
      </c>
      <c r="E496" s="3"/>
      <c r="F496" s="3"/>
      <c r="G496" s="3"/>
      <c r="H496" s="3"/>
      <c r="I496" s="3"/>
      <c r="J496" s="3"/>
      <c r="K496" s="3"/>
      <c r="L496" s="554" t="s">
        <v>9</v>
      </c>
      <c r="M496" s="3"/>
      <c r="N496" s="3"/>
    </row>
    <row r="497" spans="4:14">
      <c r="D497" s="2191" t="s">
        <v>2470</v>
      </c>
      <c r="E497" s="2192">
        <v>2018</v>
      </c>
      <c r="F497" s="2192">
        <v>2020</v>
      </c>
      <c r="G497" s="2192">
        <v>2025</v>
      </c>
      <c r="H497" s="2192">
        <v>2030</v>
      </c>
      <c r="I497" s="2192">
        <v>2035</v>
      </c>
      <c r="J497" s="2192">
        <v>2040</v>
      </c>
      <c r="K497" s="2192">
        <v>2045</v>
      </c>
      <c r="L497" s="2192">
        <v>2050</v>
      </c>
      <c r="M497" s="3"/>
      <c r="N497" s="3"/>
    </row>
    <row r="498" spans="4:14">
      <c r="D498" s="3" t="s">
        <v>2487</v>
      </c>
      <c r="E498" s="2193" cm="1">
        <f t="array" ref="E498:L498">_xlfn.ANCHORARRAY(E441)*SF_POTENCIAL_ENERGETICO_POR_UD_BIOMASA_BANANO_RAQUIS_DE_BANANO</f>
        <v>4.5871859420479897E-3</v>
      </c>
      <c r="F498" s="2193">
        <v>4.5871859420479897E-3</v>
      </c>
      <c r="G498" s="2193">
        <v>4.5871859420479897E-3</v>
      </c>
      <c r="H498" s="2193">
        <v>4.5871859420479897E-3</v>
      </c>
      <c r="I498" s="2193">
        <v>4.5871859420479897E-3</v>
      </c>
      <c r="J498" s="2193">
        <v>4.5871859420479897E-3</v>
      </c>
      <c r="K498" s="2193">
        <v>4.5871859420479897E-3</v>
      </c>
      <c r="L498" s="2193">
        <v>4.5871859420479897E-3</v>
      </c>
      <c r="M498" s="2080"/>
      <c r="N498" s="3"/>
    </row>
    <row r="499" spans="4:14">
      <c r="D499" s="3" t="s">
        <v>2488</v>
      </c>
      <c r="E499" s="2193" cm="1">
        <f t="array" ref="E499:L499">_xlfn.ANCHORARRAY(E442)*SF_POTENCIAL_ENERGETICO_POR_UD_BIOMASA_BANANO_VASTAGO</f>
        <v>3.0119682153770158E-2</v>
      </c>
      <c r="F499" s="2193">
        <v>3.0119682153770158E-2</v>
      </c>
      <c r="G499" s="2193">
        <v>3.0119682153770158E-2</v>
      </c>
      <c r="H499" s="2193">
        <v>3.0119682153770158E-2</v>
      </c>
      <c r="I499" s="2193">
        <v>3.0119682153770158E-2</v>
      </c>
      <c r="J499" s="2193">
        <v>3.0119682153770158E-2</v>
      </c>
      <c r="K499" s="2193">
        <v>3.0119682153770158E-2</v>
      </c>
      <c r="L499" s="2193">
        <v>3.0119682153770158E-2</v>
      </c>
      <c r="M499" s="2080"/>
      <c r="N499" s="3"/>
    </row>
    <row r="500" spans="4:14">
      <c r="D500" s="958" t="s">
        <v>2489</v>
      </c>
      <c r="E500" s="2194" cm="1">
        <f t="array" ref="E500:L500">_xlfn.ANCHORARRAY(E443)*SF_POTENCIAL_ENERGETICO_POR_UD_BIOMASA_BANANO_BANANO_DE_RECHAZO</f>
        <v>2.81804353726737E-3</v>
      </c>
      <c r="F500" s="2194">
        <v>2.81804353726737E-3</v>
      </c>
      <c r="G500" s="2194">
        <v>2.81804353726737E-3</v>
      </c>
      <c r="H500" s="2194">
        <v>2.81804353726737E-3</v>
      </c>
      <c r="I500" s="2194">
        <v>2.81804353726737E-3</v>
      </c>
      <c r="J500" s="2194">
        <v>2.81804353726737E-3</v>
      </c>
      <c r="K500" s="2194">
        <v>2.81804353726737E-3</v>
      </c>
      <c r="L500" s="2194">
        <v>2.81804353726737E-3</v>
      </c>
      <c r="M500" s="3"/>
      <c r="N500" s="3"/>
    </row>
    <row r="501" spans="4:14">
      <c r="D501" s="554" t="s">
        <v>338</v>
      </c>
      <c r="E501" s="2193" cm="1">
        <f t="array" ref="E501:L501">_xlfn.ANCHORARRAY(E498)+_xlfn.ANCHORARRAY(E499)+_xlfn.ANCHORARRAY(E500)</f>
        <v>3.7524911633085516E-2</v>
      </c>
      <c r="F501" s="2193">
        <v>3.7524911633085516E-2</v>
      </c>
      <c r="G501" s="2193">
        <v>3.7524911633085516E-2</v>
      </c>
      <c r="H501" s="2193">
        <v>3.7524911633085516E-2</v>
      </c>
      <c r="I501" s="2193">
        <v>3.7524911633085516E-2</v>
      </c>
      <c r="J501" s="2193">
        <v>3.7524911633085516E-2</v>
      </c>
      <c r="K501" s="2193">
        <v>3.7524911633085516E-2</v>
      </c>
      <c r="L501" s="2193">
        <v>3.7524911633085516E-2</v>
      </c>
      <c r="M501" s="3"/>
      <c r="N501" s="3"/>
    </row>
    <row r="502" spans="4:14">
      <c r="D502" s="3"/>
      <c r="E502" s="3"/>
      <c r="F502" s="3"/>
      <c r="G502" s="3"/>
      <c r="H502" s="3"/>
      <c r="I502" s="3"/>
      <c r="J502" s="3"/>
      <c r="K502" s="3"/>
      <c r="L502" s="3"/>
      <c r="M502" s="3"/>
      <c r="N502" s="3"/>
    </row>
    <row r="503" spans="4:14">
      <c r="D503" s="2" t="s">
        <v>2490</v>
      </c>
      <c r="E503" s="3"/>
      <c r="F503" s="3"/>
      <c r="G503" s="3"/>
      <c r="H503" s="3"/>
      <c r="I503" s="3"/>
      <c r="J503" s="3"/>
      <c r="K503" s="3"/>
      <c r="L503" s="554" t="s">
        <v>9</v>
      </c>
      <c r="M503" s="3"/>
      <c r="N503" s="3"/>
    </row>
    <row r="504" spans="4:14">
      <c r="D504" s="2191" t="s">
        <v>2470</v>
      </c>
      <c r="E504" s="2192">
        <v>2018</v>
      </c>
      <c r="F504" s="2192">
        <v>2020</v>
      </c>
      <c r="G504" s="2192">
        <v>2025</v>
      </c>
      <c r="H504" s="2192">
        <v>2030</v>
      </c>
      <c r="I504" s="2192">
        <v>2035</v>
      </c>
      <c r="J504" s="2192">
        <v>2040</v>
      </c>
      <c r="K504" s="2192">
        <v>2045</v>
      </c>
      <c r="L504" s="2192">
        <v>2050</v>
      </c>
      <c r="M504" s="3"/>
      <c r="N504" s="3"/>
    </row>
    <row r="505" spans="4:14">
      <c r="D505" s="3" t="s">
        <v>2491</v>
      </c>
      <c r="E505" s="2193" cm="1">
        <f t="array" ref="E505:L505">_xlfn.ANCHORARRAY(E447)*SF_POTENCIAL_ENERGETICO_POR_UD_BIOMASA_PLATANO_RAQUIS_DE_PLATANO</f>
        <v>2.1788697805273524E-2</v>
      </c>
      <c r="F505" s="2193">
        <v>2.1788697805273524E-2</v>
      </c>
      <c r="G505" s="2193">
        <v>2.1788697805273524E-2</v>
      </c>
      <c r="H505" s="2193">
        <v>2.1788697805273524E-2</v>
      </c>
      <c r="I505" s="2193">
        <v>2.1788697805273524E-2</v>
      </c>
      <c r="J505" s="2193">
        <v>2.1788697805273524E-2</v>
      </c>
      <c r="K505" s="2193">
        <v>2.1788697805273524E-2</v>
      </c>
      <c r="L505" s="2193">
        <v>2.1788697805273524E-2</v>
      </c>
      <c r="M505" s="3"/>
      <c r="N505" s="3"/>
    </row>
    <row r="506" spans="4:14">
      <c r="D506" s="3" t="s">
        <v>2492</v>
      </c>
      <c r="E506" s="2193" cm="1">
        <f t="array" ref="E506:L506">_xlfn.ANCHORARRAY(E448)*SF_POTENCIAL_ENERGETICO_POR_UD_BIOMASA_PLATANO_VASTAGO_DE_PLATANO</f>
        <v>0.14306596591770862</v>
      </c>
      <c r="F506" s="2193">
        <v>0.14306596591770862</v>
      </c>
      <c r="G506" s="2193">
        <v>0.14306596591770862</v>
      </c>
      <c r="H506" s="2193">
        <v>0.14306596591770862</v>
      </c>
      <c r="I506" s="2193">
        <v>0.14306596591770862</v>
      </c>
      <c r="J506" s="2193">
        <v>0.14306596591770862</v>
      </c>
      <c r="K506" s="2193">
        <v>0.14306596591770862</v>
      </c>
      <c r="L506" s="2193">
        <v>0.14306596591770862</v>
      </c>
      <c r="M506" s="3"/>
      <c r="N506" s="3"/>
    </row>
    <row r="507" spans="4:14">
      <c r="D507" s="958" t="s">
        <v>2493</v>
      </c>
      <c r="E507" s="2194" cm="1">
        <f t="array" ref="E507:L507">_xlfn.ANCHORARRAY(E449)*SF_POTENCIAL_ENERGETICO_POR_UD_BIOMASA_PLATANO_PLATANO_DE_RECHAZO</f>
        <v>1.3385599803277613E-2</v>
      </c>
      <c r="F507" s="2194">
        <v>1.3385599803277613E-2</v>
      </c>
      <c r="G507" s="2194">
        <v>1.3385599803277613E-2</v>
      </c>
      <c r="H507" s="2194">
        <v>1.3385599803277613E-2</v>
      </c>
      <c r="I507" s="2194">
        <v>1.3385599803277613E-2</v>
      </c>
      <c r="J507" s="2194">
        <v>1.3385599803277613E-2</v>
      </c>
      <c r="K507" s="2194">
        <v>1.3385599803277613E-2</v>
      </c>
      <c r="L507" s="2194">
        <v>1.3385599803277613E-2</v>
      </c>
      <c r="M507" s="3"/>
      <c r="N507" s="3"/>
    </row>
    <row r="508" spans="4:14">
      <c r="D508" s="551" t="s">
        <v>338</v>
      </c>
      <c r="E508" s="2195" cm="1">
        <f t="array" ref="E508:L508">_xlfn.ANCHORARRAY(E505)+_xlfn.ANCHORARRAY(E506)+_xlfn.ANCHORARRAY(E507)</f>
        <v>0.17824026352625974</v>
      </c>
      <c r="F508" s="2195">
        <v>0.17824026352625974</v>
      </c>
      <c r="G508" s="2195">
        <v>0.17824026352625974</v>
      </c>
      <c r="H508" s="2195">
        <v>0.17824026352625974</v>
      </c>
      <c r="I508" s="2195">
        <v>0.17824026352625974</v>
      </c>
      <c r="J508" s="2195">
        <v>0.17824026352625974</v>
      </c>
      <c r="K508" s="2195">
        <v>0.17824026352625974</v>
      </c>
      <c r="L508" s="2195">
        <v>0.17824026352625974</v>
      </c>
      <c r="M508" s="3"/>
      <c r="N508" s="3"/>
    </row>
    <row r="509" spans="4:14">
      <c r="D509" s="554"/>
      <c r="E509" s="2193"/>
      <c r="F509" s="2193"/>
      <c r="G509" s="2193"/>
      <c r="H509" s="2193"/>
      <c r="I509" s="2193"/>
      <c r="J509" s="2193"/>
      <c r="K509" s="2193"/>
      <c r="L509" s="2193"/>
      <c r="M509" s="3"/>
      <c r="N509" s="3"/>
    </row>
    <row r="510" spans="4:14">
      <c r="D510" s="648"/>
      <c r="E510" s="458"/>
      <c r="F510" s="458"/>
      <c r="G510" s="458"/>
      <c r="H510" s="458"/>
      <c r="I510" s="458"/>
      <c r="J510" s="458"/>
      <c r="K510" s="458"/>
      <c r="L510" s="648" t="s">
        <v>9</v>
      </c>
      <c r="M510" s="3"/>
      <c r="N510" s="3"/>
    </row>
    <row r="511" spans="4:14">
      <c r="D511" s="649" t="s">
        <v>2523</v>
      </c>
      <c r="E511" s="2077" cm="1">
        <f t="array" ref="E511:L511">_xlfn.ANCHORARRAY(E462)+_xlfn.ANCHORARRAY(E468)+_xlfn.ANCHORARRAY(E474)+_xlfn.ANCHORARRAY(E481)+_xlfn.ANCHORARRAY(E488)+_xlfn.ANCHORARRAY(E494)+_xlfn.ANCHORARRAY(E501)+_xlfn.ANCHORARRAY(E508)</f>
        <v>34.40332639383027</v>
      </c>
      <c r="F511" s="2077">
        <v>34.361020523427001</v>
      </c>
      <c r="G511" s="2077">
        <v>34.345360568977881</v>
      </c>
      <c r="H511" s="2077">
        <v>34.329720742766206</v>
      </c>
      <c r="I511" s="2077">
        <v>34.314101018920525</v>
      </c>
      <c r="J511" s="2077">
        <v>34.298501371602626</v>
      </c>
      <c r="K511" s="2077">
        <v>34.282921775007509</v>
      </c>
      <c r="L511" s="2077">
        <v>34.267362203363341</v>
      </c>
      <c r="M511" s="3"/>
      <c r="N511" s="3"/>
    </row>
    <row r="512" spans="4:14">
      <c r="D512" s="2078" t="s">
        <v>2524</v>
      </c>
      <c r="E512" s="2079">
        <v>1.35E-2</v>
      </c>
      <c r="F512" s="2079"/>
      <c r="G512" s="2080"/>
      <c r="H512" s="2080"/>
      <c r="I512" s="2080"/>
      <c r="J512" s="2080"/>
      <c r="K512" s="2080"/>
      <c r="L512" s="2080"/>
      <c r="M512" s="3"/>
      <c r="N512" s="3"/>
    </row>
    <row r="513" spans="3:14">
      <c r="D513" s="649" t="s">
        <v>2525</v>
      </c>
      <c r="E513" s="2081" cm="1">
        <f t="array" ref="E513:L513">_xlfn.ANCHORARRAY(E511)*E512</f>
        <v>0.46444490631670865</v>
      </c>
      <c r="F513" s="2082">
        <v>0.46387377706626454</v>
      </c>
      <c r="G513" s="2082">
        <v>0.46366236768120139</v>
      </c>
      <c r="H513" s="2082">
        <v>0.46345123002734379</v>
      </c>
      <c r="I513" s="2082">
        <v>0.4632403637554271</v>
      </c>
      <c r="J513" s="2082">
        <v>0.46302976851663546</v>
      </c>
      <c r="K513" s="2082">
        <v>0.46281944396260138</v>
      </c>
      <c r="L513" s="2082">
        <v>0.46260938974540511</v>
      </c>
      <c r="M513" s="3"/>
      <c r="N513" s="3"/>
    </row>
    <row r="514" spans="3:14">
      <c r="C514" s="3"/>
      <c r="D514" s="415"/>
      <c r="E514" s="458"/>
      <c r="F514" s="458"/>
      <c r="G514" s="458"/>
      <c r="H514" s="458"/>
      <c r="I514" s="458"/>
      <c r="J514" s="458"/>
      <c r="K514" s="458"/>
      <c r="L514" s="458"/>
      <c r="M514" s="3"/>
      <c r="N514" s="3"/>
    </row>
    <row r="515" spans="3:14" ht="15.75">
      <c r="C515" s="3"/>
      <c r="D515" s="2196" t="s">
        <v>111</v>
      </c>
      <c r="E515" s="2193"/>
      <c r="F515" s="2193"/>
      <c r="G515" s="2193"/>
      <c r="H515" s="2193"/>
      <c r="I515" s="2193"/>
      <c r="J515" s="2193"/>
      <c r="K515" s="2193"/>
      <c r="L515" s="2193"/>
      <c r="M515" s="3"/>
    </row>
    <row r="516" spans="3:14">
      <c r="C516" s="3"/>
      <c r="D516" s="3"/>
      <c r="E516" s="2193"/>
      <c r="F516" s="2193"/>
      <c r="G516" s="2193"/>
      <c r="H516" s="2193"/>
      <c r="I516" s="2193"/>
      <c r="J516" s="2193"/>
      <c r="K516" s="2193"/>
      <c r="L516" s="2193"/>
      <c r="M516" s="3"/>
      <c r="N516" s="3"/>
    </row>
    <row r="517" spans="3:14">
      <c r="C517" s="3"/>
      <c r="D517" s="2" t="s">
        <v>2526</v>
      </c>
      <c r="E517" s="2193"/>
      <c r="F517" s="2193"/>
      <c r="G517" s="2193"/>
      <c r="H517" s="2193"/>
      <c r="I517" s="2193"/>
      <c r="J517" s="2193"/>
      <c r="K517" s="2193"/>
      <c r="L517" s="1880" t="s">
        <v>16</v>
      </c>
      <c r="M517" s="3"/>
      <c r="N517" s="3"/>
    </row>
    <row r="518" spans="3:14">
      <c r="C518" s="3"/>
      <c r="D518" s="1180" t="s">
        <v>2460</v>
      </c>
      <c r="E518" s="1333">
        <v>2018</v>
      </c>
      <c r="F518" s="1333">
        <v>2020</v>
      </c>
      <c r="G518" s="1333">
        <v>2025</v>
      </c>
      <c r="H518" s="1333">
        <v>2030</v>
      </c>
      <c r="I518" s="1333">
        <v>2035</v>
      </c>
      <c r="J518" s="1333">
        <v>2040</v>
      </c>
      <c r="K518" s="1333">
        <v>2045</v>
      </c>
      <c r="L518" s="1333">
        <v>2050</v>
      </c>
      <c r="M518" s="3"/>
      <c r="N518" s="3"/>
    </row>
    <row r="519" spans="3:14">
      <c r="C519" s="3"/>
      <c r="D519" s="1877" t="s">
        <v>611</v>
      </c>
      <c r="E519" s="1892" cm="1">
        <f t="array" ref="E519:L519">(E368:L368)*(ST_TIERRA_DEDICADA_A_BIOCOMBUSTIBLES_PALMA_DE_ACEITE_PORCENTAJE)*(H92/100)</f>
        <v>0</v>
      </c>
      <c r="F519" s="1892">
        <v>0</v>
      </c>
      <c r="G519" s="1892">
        <v>0</v>
      </c>
      <c r="H519" s="1892">
        <v>0</v>
      </c>
      <c r="I519" s="1892">
        <v>0</v>
      </c>
      <c r="J519" s="1892">
        <v>0</v>
      </c>
      <c r="K519" s="1892">
        <v>0</v>
      </c>
      <c r="L519" s="1892">
        <v>0</v>
      </c>
      <c r="M519" s="3"/>
      <c r="N519" s="3"/>
    </row>
    <row r="520" spans="3:14">
      <c r="C520" s="3"/>
      <c r="D520" s="1187" t="s">
        <v>612</v>
      </c>
      <c r="E520" s="1893" cm="1">
        <f t="array" ref="E520:L520">E369:L369*(ST_TIERRA_DEDICADA_A_BIOCOMBUSTIBLES_CAÑA_DE_AZUCAR_PORCENTAJE)*(H93/100)</f>
        <v>0</v>
      </c>
      <c r="F520" s="1893">
        <v>0</v>
      </c>
      <c r="G520" s="1893">
        <v>0</v>
      </c>
      <c r="H520" s="1893">
        <v>0</v>
      </c>
      <c r="I520" s="1893">
        <v>0</v>
      </c>
      <c r="J520" s="1893">
        <v>0</v>
      </c>
      <c r="K520" s="1893">
        <v>0</v>
      </c>
      <c r="L520" s="1893">
        <v>0</v>
      </c>
      <c r="M520" s="3"/>
    </row>
    <row r="521" spans="3:14">
      <c r="C521" s="3"/>
      <c r="D521" s="3"/>
      <c r="E521" s="2193"/>
      <c r="F521" s="2193"/>
      <c r="G521" s="2193"/>
      <c r="H521" s="2193"/>
      <c r="I521" s="2193"/>
      <c r="J521" s="2193"/>
      <c r="K521" s="2193"/>
      <c r="L521" s="2193"/>
      <c r="M521" s="3"/>
    </row>
    <row r="522" spans="3:14">
      <c r="C522" s="3"/>
      <c r="D522" s="2" t="s">
        <v>2527</v>
      </c>
      <c r="E522" s="2193"/>
      <c r="F522" s="2193"/>
      <c r="G522" s="2193"/>
      <c r="H522" s="2193"/>
      <c r="I522" s="2193"/>
      <c r="J522" s="2193"/>
      <c r="K522" s="2193"/>
      <c r="L522" s="1880" t="s">
        <v>9</v>
      </c>
      <c r="M522" s="3"/>
    </row>
    <row r="523" spans="3:14">
      <c r="C523" s="3"/>
      <c r="D523" s="1180" t="s">
        <v>2460</v>
      </c>
      <c r="E523" s="1333">
        <v>2018</v>
      </c>
      <c r="F523" s="1333">
        <v>2020</v>
      </c>
      <c r="G523" s="1333">
        <v>2025</v>
      </c>
      <c r="H523" s="1333">
        <v>2030</v>
      </c>
      <c r="I523" s="1333">
        <v>2035</v>
      </c>
      <c r="J523" s="1333">
        <v>2040</v>
      </c>
      <c r="K523" s="1333">
        <v>2045</v>
      </c>
      <c r="L523" s="1333">
        <v>2050</v>
      </c>
      <c r="M523" s="3"/>
    </row>
    <row r="524" spans="3:14">
      <c r="D524" s="1877" t="s">
        <v>611</v>
      </c>
      <c r="E524" s="1878" cm="1">
        <f t="array" ref="E524:L524">(_xlfn.ANCHORARRAY(E519)*H80)</f>
        <v>0</v>
      </c>
      <c r="F524" s="1878">
        <v>0</v>
      </c>
      <c r="G524" s="1879">
        <v>0</v>
      </c>
      <c r="H524" s="1879">
        <v>0</v>
      </c>
      <c r="I524" s="1879">
        <v>0</v>
      </c>
      <c r="J524" s="1879">
        <v>0</v>
      </c>
      <c r="K524" s="1879">
        <v>0</v>
      </c>
      <c r="L524" s="1879">
        <v>0</v>
      </c>
    </row>
    <row r="525" spans="3:14">
      <c r="D525" s="1187" t="s">
        <v>612</v>
      </c>
      <c r="E525" s="1190" cm="1">
        <f t="array" ref="E525:L525">(_xlfn.ANCHORARRAY(E520)*H81*SF_FACTOR_DE_PRODUCCION_DE_BIOCOMBUSTIBLE_ML_HA)</f>
        <v>0</v>
      </c>
      <c r="F525" s="1190">
        <v>0</v>
      </c>
      <c r="G525" s="1190">
        <v>0</v>
      </c>
      <c r="H525" s="1190">
        <v>0</v>
      </c>
      <c r="I525" s="1190">
        <v>0</v>
      </c>
      <c r="J525" s="1190">
        <v>0</v>
      </c>
      <c r="K525" s="1190">
        <v>0</v>
      </c>
      <c r="L525" s="1190">
        <v>0</v>
      </c>
      <c r="N525" s="3"/>
    </row>
    <row r="526" spans="3:14">
      <c r="D526" s="3"/>
      <c r="E526" s="2193"/>
      <c r="F526" s="2193"/>
      <c r="G526" s="2193"/>
      <c r="H526" s="2193"/>
      <c r="I526" s="2193"/>
      <c r="J526" s="2193"/>
      <c r="K526" s="2193"/>
      <c r="L526" s="2193"/>
    </row>
    <row r="527" spans="3:14" ht="21">
      <c r="D527" s="1872" t="s">
        <v>1671</v>
      </c>
      <c r="E527" s="3"/>
      <c r="F527" s="3"/>
      <c r="G527" s="3"/>
      <c r="H527" s="3"/>
      <c r="I527" s="3"/>
      <c r="J527" s="3"/>
      <c r="K527" s="3"/>
      <c r="L527" s="3"/>
    </row>
    <row r="528" spans="3:14">
      <c r="D528" s="1761"/>
      <c r="E528" s="415"/>
      <c r="F528" s="415"/>
      <c r="G528" s="415"/>
      <c r="H528" s="415"/>
      <c r="I528" s="415"/>
      <c r="J528" s="415"/>
      <c r="K528" s="415"/>
      <c r="L528" s="648" t="s">
        <v>29</v>
      </c>
    </row>
    <row r="529" spans="4:12">
      <c r="D529" s="1762" t="s">
        <v>1623</v>
      </c>
      <c r="E529" s="1763">
        <v>2018</v>
      </c>
      <c r="F529" s="1763" t="s">
        <v>322</v>
      </c>
      <c r="G529" s="1763" t="s">
        <v>323</v>
      </c>
      <c r="H529" s="1763" t="s">
        <v>324</v>
      </c>
      <c r="I529" s="1763" t="s">
        <v>325</v>
      </c>
      <c r="J529" s="1763" t="s">
        <v>326</v>
      </c>
      <c r="K529" s="1763" t="s">
        <v>327</v>
      </c>
      <c r="L529" s="1763" t="s">
        <v>328</v>
      </c>
    </row>
    <row r="530" spans="4:12">
      <c r="D530" s="1764" t="s">
        <v>1619</v>
      </c>
      <c r="E530" s="1771" cm="1">
        <f t="array" ref="E530:L530">SF_AREAS_IMPLEMENTACION_MEJORES_PRACTICAS_SISTEMAS_AGROFORESTALES*(1+ST_MEJORES_PRACTICAS_AGRICOLAS_SISTEMAS_AGROFORESTALES)*POTENCIAL_REDUCCION_SISTEMAS_AGROFORESTALES_TCO2_HA*UNIDAD_T_A_MT</f>
        <v>6.7617401354538847E-3</v>
      </c>
      <c r="F530" s="1771">
        <v>6.7617401354538847E-3</v>
      </c>
      <c r="G530" s="1771">
        <v>6.7617401354538847E-3</v>
      </c>
      <c r="H530" s="1771">
        <v>6.7617401354538847E-3</v>
      </c>
      <c r="I530" s="1771">
        <v>6.7617401354538847E-3</v>
      </c>
      <c r="J530" s="1771">
        <v>6.7617401354538847E-3</v>
      </c>
      <c r="K530" s="1771">
        <v>6.7617401354538847E-3</v>
      </c>
      <c r="L530" s="1771">
        <v>6.7617401354538847E-3</v>
      </c>
    </row>
    <row r="531" spans="4:12">
      <c r="D531" s="1764" t="s">
        <v>950</v>
      </c>
      <c r="E531" s="1771" cm="1">
        <f t="array" ref="E531:L531">(SF_AREAS_IMPLEMENTACION_MEJORES_PRACTICAS_USO_EFICIENTE_FERTILIZANTES*(1+ST_MEJORES_PRACTICAS_AGRICOLAS_USO_EFICIENTE_FERTILIZANTES)* POTENCIAL_REDUCCION_USO_EFICIENTE_FERTILIZANTES_TCO2_HA)*UNIDAD_T_A_MT</f>
        <v>1.8404356865803718E-3</v>
      </c>
      <c r="F531" s="1771">
        <v>1.8404356865803718E-3</v>
      </c>
      <c r="G531" s="1771">
        <v>1.8404356865803718E-3</v>
      </c>
      <c r="H531" s="1771">
        <v>1.8404356865803718E-3</v>
      </c>
      <c r="I531" s="1771">
        <v>1.8404356865803718E-3</v>
      </c>
      <c r="J531" s="1771">
        <v>1.8404356865803718E-3</v>
      </c>
      <c r="K531" s="1771">
        <v>1.8404356865803718E-3</v>
      </c>
      <c r="L531" s="1771">
        <v>1.8404356865803718E-3</v>
      </c>
    </row>
    <row r="532" spans="4:12">
      <c r="D532" s="1764" t="s">
        <v>953</v>
      </c>
      <c r="E532" s="1771" cm="1">
        <f t="array" ref="E532:L532">(SF_AREAS_IMPLEMENTACION_MEJORES_PRACTICAS_USO_BIODIGESTORES*(1+ST_MEJORES_PRACTICAS_AGRICOLA_USO_BIODIGESTORES)*POTENCIAL_REDUCCION_USO_BIODIGESTORES_TCO2_HA*UNIDAD_T_A_MT)</f>
        <v>1.2007027089967776E-3</v>
      </c>
      <c r="F532" s="1771">
        <v>1.2007027089967776E-3</v>
      </c>
      <c r="G532" s="1771">
        <v>1.2007027089967776E-3</v>
      </c>
      <c r="H532" s="1771">
        <v>1.2007027089967776E-3</v>
      </c>
      <c r="I532" s="1771">
        <v>1.2007027089967776E-3</v>
      </c>
      <c r="J532" s="1771">
        <v>1.2007027089967776E-3</v>
      </c>
      <c r="K532" s="1771">
        <v>1.2007027089967776E-3</v>
      </c>
      <c r="L532" s="1771">
        <v>1.2007027089967776E-3</v>
      </c>
    </row>
    <row r="533" spans="4:12">
      <c r="D533" s="1764" t="s">
        <v>1620</v>
      </c>
      <c r="E533" s="1771" cm="1">
        <f t="array" ref="E533:L533">(SF_AREAS_IMPLEMENTACION_MEJORES_PRACTICAS_PLANTACIONES_MANGO_AGUACATE*(1+ST_MEJORES_PRACTICAS_AGRICOLAS_PLANTACIONES_MANGO_AGUACATE)*POTENCIAL_REDUCCION_PLANTACIONES_MANGO_AGUACATE_TCO2_HA)*UNIDAD_T_A_MT</f>
        <v>6.2397641868401502E-4</v>
      </c>
      <c r="F533" s="1771">
        <v>6.2397641868401502E-4</v>
      </c>
      <c r="G533" s="1771">
        <v>6.2397641868401502E-4</v>
      </c>
      <c r="H533" s="1771">
        <v>6.2397641868401502E-4</v>
      </c>
      <c r="I533" s="1771">
        <v>6.2397641868401502E-4</v>
      </c>
      <c r="J533" s="1771">
        <v>6.2397641868401502E-4</v>
      </c>
      <c r="K533" s="1771">
        <v>6.2397641868401502E-4</v>
      </c>
      <c r="L533" s="1771">
        <v>6.2397641868401502E-4</v>
      </c>
    </row>
    <row r="534" spans="4:12">
      <c r="D534" s="1765" t="s">
        <v>2506</v>
      </c>
      <c r="E534" s="1882">
        <f t="shared" ref="E534:L534" si="26">SUM(E530:E533)</f>
        <v>1.0426854949715049E-2</v>
      </c>
      <c r="F534" s="1882">
        <f t="shared" si="26"/>
        <v>1.0426854949715049E-2</v>
      </c>
      <c r="G534" s="1882">
        <f t="shared" si="26"/>
        <v>1.0426854949715049E-2</v>
      </c>
      <c r="H534" s="1882">
        <f t="shared" si="26"/>
        <v>1.0426854949715049E-2</v>
      </c>
      <c r="I534" s="1882">
        <f t="shared" si="26"/>
        <v>1.0426854949715049E-2</v>
      </c>
      <c r="J534" s="1882">
        <f t="shared" si="26"/>
        <v>1.0426854949715049E-2</v>
      </c>
      <c r="K534" s="1882">
        <f t="shared" si="26"/>
        <v>1.0426854949715049E-2</v>
      </c>
      <c r="L534" s="1882">
        <f t="shared" si="26"/>
        <v>1.0426854949715049E-2</v>
      </c>
    </row>
    <row r="535" spans="4:12">
      <c r="D535" s="3"/>
      <c r="E535" s="3"/>
      <c r="F535" s="3"/>
      <c r="G535" s="3"/>
      <c r="H535" s="3"/>
      <c r="I535" s="3"/>
      <c r="J535" s="3"/>
      <c r="K535" s="3"/>
      <c r="L535" s="3"/>
    </row>
    <row r="536" spans="4:12">
      <c r="D536" s="2" t="s">
        <v>2504</v>
      </c>
      <c r="E536" s="3"/>
      <c r="F536" s="3"/>
      <c r="G536" s="3"/>
      <c r="H536" s="3"/>
      <c r="I536" s="3"/>
      <c r="J536" s="3"/>
      <c r="K536" s="3"/>
      <c r="L536" s="3"/>
    </row>
    <row r="537" spans="4:12">
      <c r="D537" s="1180" t="s">
        <v>2460</v>
      </c>
      <c r="E537" s="1333">
        <v>2018</v>
      </c>
      <c r="F537" s="1333">
        <v>2020</v>
      </c>
      <c r="G537" s="1333">
        <v>2025</v>
      </c>
      <c r="H537" s="1333">
        <v>2030</v>
      </c>
      <c r="I537" s="1333">
        <v>2035</v>
      </c>
      <c r="J537" s="1333">
        <v>2040</v>
      </c>
      <c r="K537" s="1333">
        <v>2045</v>
      </c>
      <c r="L537" s="1333">
        <v>2050</v>
      </c>
    </row>
    <row r="538" spans="4:12">
      <c r="D538" s="1877" t="s">
        <v>611</v>
      </c>
      <c r="E538" s="1878" cm="1">
        <f t="array" ref="E538:L538">(E519:L519+E368:L368)*H98*UNIDAD_T_A_MT</f>
        <v>0.13166263400196046</v>
      </c>
      <c r="F538" s="1878">
        <v>0.131493403831483</v>
      </c>
      <c r="G538" s="1879">
        <v>0.131493403831483</v>
      </c>
      <c r="H538" s="1879">
        <v>0.131493403831483</v>
      </c>
      <c r="I538" s="1879">
        <v>0.131493403831483</v>
      </c>
      <c r="J538" s="1879">
        <v>0.131493403831483</v>
      </c>
      <c r="K538" s="1879">
        <v>0.131493403831483</v>
      </c>
      <c r="L538" s="1879">
        <v>0.131493403831483</v>
      </c>
    </row>
    <row r="539" spans="4:12">
      <c r="D539" s="1187" t="s">
        <v>612</v>
      </c>
      <c r="E539" s="1190" cm="1">
        <f t="array" ref="E539:L539">(E520:L520+E369:L369)*H99*UNIDAD_T_A_MT</f>
        <v>0.16464070561608729</v>
      </c>
      <c r="F539" s="1190">
        <v>0.16442908768143077</v>
      </c>
      <c r="G539" s="1190">
        <v>0.16442908768143077</v>
      </c>
      <c r="H539" s="1190">
        <v>0.16442908768143077</v>
      </c>
      <c r="I539" s="1190">
        <v>0.16442908768143077</v>
      </c>
      <c r="J539" s="1190">
        <v>0.16442908768143077</v>
      </c>
      <c r="K539" s="1190">
        <v>0.16442908768143077</v>
      </c>
      <c r="L539" s="1190">
        <v>0.16442908768143077</v>
      </c>
    </row>
    <row r="541" spans="4:12">
      <c r="D541" s="2" t="s">
        <v>2528</v>
      </c>
      <c r="E541" s="3"/>
      <c r="F541" s="3"/>
      <c r="G541" s="3"/>
      <c r="H541" s="3"/>
      <c r="I541" s="3"/>
      <c r="J541" s="3"/>
      <c r="K541" s="3"/>
      <c r="L541" s="648" t="s">
        <v>2025</v>
      </c>
    </row>
    <row r="542" spans="4:12">
      <c r="D542" s="1180" t="s">
        <v>2460</v>
      </c>
      <c r="E542" s="1333">
        <v>2018</v>
      </c>
      <c r="F542" s="1333">
        <v>2020</v>
      </c>
      <c r="G542" s="1333">
        <v>2025</v>
      </c>
      <c r="H542" s="1333">
        <v>2030</v>
      </c>
      <c r="I542" s="1333">
        <v>2035</v>
      </c>
      <c r="J542" s="1333">
        <v>2040</v>
      </c>
      <c r="K542" s="1333">
        <v>2045</v>
      </c>
      <c r="L542" s="1333">
        <v>2050</v>
      </c>
    </row>
    <row r="543" spans="4:12">
      <c r="D543" s="1877" t="s">
        <v>695</v>
      </c>
      <c r="E543" s="1878" cm="1">
        <f t="array" ref="E543:L543">_xlfn.ANCHORARRAY(E453)*FE_AGRICULTURA_QUEMA_DE_BIOMASA_CH4*UNIDAD_KG_A_MT</f>
        <v>4.5268674223482908E-2</v>
      </c>
      <c r="F543" s="1878">
        <v>4.5216858738262755E-2</v>
      </c>
      <c r="G543" s="1879">
        <v>4.519899319327722E-2</v>
      </c>
      <c r="H543" s="1879">
        <v>4.5181150611444794E-2</v>
      </c>
      <c r="I543" s="1879">
        <v>4.5163330963250217E-2</v>
      </c>
      <c r="J543" s="1879">
        <v>4.5145534219216132E-2</v>
      </c>
      <c r="K543" s="1879">
        <v>4.5127760349903116E-2</v>
      </c>
      <c r="L543" s="1879">
        <v>4.5110009325909549E-2</v>
      </c>
    </row>
    <row r="544" spans="4:12">
      <c r="D544" s="1187" t="s">
        <v>1616</v>
      </c>
      <c r="E544" s="1190" cm="1">
        <f t="array" ref="E544:L544">_xlfn.ANCHORARRAY(E453)*FE_AGRICULTURA_QUEMA_DE_BIOMASA_N2O*UNIDAD_KG_A_MT</f>
        <v>1.1736322946828903E-3</v>
      </c>
      <c r="F544" s="1190">
        <v>1.1722889302512567E-3</v>
      </c>
      <c r="G544" s="1190">
        <v>1.1718257494553353E-3</v>
      </c>
      <c r="H544" s="1190">
        <v>1.1713631640004206E-3</v>
      </c>
      <c r="I544" s="1190">
        <v>1.1709011731213018E-3</v>
      </c>
      <c r="J544" s="1190">
        <v>1.1704397760537518E-3</v>
      </c>
      <c r="K544" s="1190">
        <v>1.1699789720345253E-3</v>
      </c>
      <c r="L544" s="1190">
        <v>1.1695187603013588E-3</v>
      </c>
    </row>
    <row r="545" spans="4:12">
      <c r="D545" s="2078" t="s">
        <v>2524</v>
      </c>
      <c r="E545" s="2079">
        <v>1.35E-2</v>
      </c>
      <c r="F545" s="2079"/>
      <c r="G545" s="2080"/>
      <c r="H545" s="2080"/>
      <c r="I545" s="2080"/>
      <c r="J545" s="2080"/>
      <c r="K545" s="2080"/>
      <c r="L545" s="2080"/>
    </row>
    <row r="546" spans="4:12">
      <c r="D546" s="1180" t="s">
        <v>2460</v>
      </c>
      <c r="E546" s="1333">
        <v>2018</v>
      </c>
      <c r="F546" s="1333">
        <v>2020</v>
      </c>
      <c r="G546" s="1333">
        <v>2025</v>
      </c>
      <c r="H546" s="1333">
        <v>2030</v>
      </c>
      <c r="I546" s="1333">
        <v>2035</v>
      </c>
      <c r="J546" s="1333">
        <v>2040</v>
      </c>
      <c r="K546" s="1333">
        <v>2045</v>
      </c>
      <c r="L546" s="1333">
        <v>2050</v>
      </c>
    </row>
    <row r="547" spans="4:12">
      <c r="D547" s="1877" t="s">
        <v>695</v>
      </c>
      <c r="E547" s="1878" cm="1">
        <f t="array" ref="E547:L547">_xlfn.ANCHORARRAY(E543)*E545</f>
        <v>6.1112710201701923E-4</v>
      </c>
      <c r="F547" s="1878">
        <v>6.1042759296654715E-4</v>
      </c>
      <c r="G547" s="1879">
        <v>6.1018640810924245E-4</v>
      </c>
      <c r="H547" s="1879">
        <v>6.0994553325450476E-4</v>
      </c>
      <c r="I547" s="1879">
        <v>6.0970496800387788E-4</v>
      </c>
      <c r="J547" s="1879">
        <v>6.0946471195941774E-4</v>
      </c>
      <c r="K547" s="1879">
        <v>6.0922476472369204E-4</v>
      </c>
      <c r="L547" s="1879">
        <v>6.0898512589977892E-4</v>
      </c>
    </row>
    <row r="548" spans="4:12">
      <c r="D548" s="1187" t="s">
        <v>1616</v>
      </c>
      <c r="E548" s="1190" cm="1">
        <f t="array" ref="E548:L548">_xlfn.ANCHORARRAY(E544)*E545</f>
        <v>1.584403597821902E-5</v>
      </c>
      <c r="F548" s="1190">
        <v>1.5825900558391966E-5</v>
      </c>
      <c r="G548" s="1190">
        <v>1.5819647617647025E-5</v>
      </c>
      <c r="H548" s="1190">
        <v>1.5813402714005676E-5</v>
      </c>
      <c r="I548" s="1190">
        <v>1.5807165837137574E-5</v>
      </c>
      <c r="J548" s="1190">
        <v>1.580093697672565E-5</v>
      </c>
      <c r="K548" s="1190">
        <v>1.579471612246609E-5</v>
      </c>
      <c r="L548" s="1190">
        <v>1.5788503264068343E-5</v>
      </c>
    </row>
  </sheetData>
  <sheetProtection algorithmName="SHA-512" hashValue="bl74bh19BRQVds1QWr/gy75Z63ygCfz5W2p1tsTY1PhdByX7h9BGRUFkpxErVK9HNzEaeRm/LY80MZMCdl1hSw==" saltValue="RlE5g19qObBRj8nxWakj8A==" spinCount="100000" sheet="1" objects="1" scenarios="1"/>
  <mergeCells count="6">
    <mergeCell ref="D11:D12"/>
    <mergeCell ref="D9:D10"/>
    <mergeCell ref="D7:D8"/>
    <mergeCell ref="L11:L12"/>
    <mergeCell ref="L9:L10"/>
    <mergeCell ref="L7:L8"/>
  </mergeCells>
  <conditionalFormatting sqref="G72:M72 M73">
    <cfRule type="cellIs" dxfId="14" priority="9" operator="equal">
      <formula>TRUE</formula>
    </cfRule>
  </conditionalFormatting>
  <conditionalFormatting sqref="H74:M74">
    <cfRule type="cellIs" dxfId="13" priority="10" operator="equal">
      <formula>TRUE</formula>
    </cfRule>
  </conditionalFormatting>
  <conditionalFormatting sqref="K198">
    <cfRule type="cellIs" dxfId="12" priority="8" operator="equal">
      <formula>TRUE</formula>
    </cfRule>
  </conditionalFormatting>
  <conditionalFormatting sqref="K205">
    <cfRule type="cellIs" dxfId="11" priority="7" operator="equal">
      <formula>TRUE</formula>
    </cfRule>
  </conditionalFormatting>
  <conditionalFormatting sqref="K212">
    <cfRule type="cellIs" dxfId="10" priority="6" operator="equal">
      <formula>TRUE</formula>
    </cfRule>
  </conditionalFormatting>
  <conditionalFormatting sqref="K221">
    <cfRule type="cellIs" dxfId="9" priority="2" operator="equal">
      <formula>TRUE</formula>
    </cfRule>
  </conditionalFormatting>
  <conditionalFormatting sqref="K227">
    <cfRule type="cellIs" dxfId="8" priority="1" operator="equal">
      <formula>TRUE</formula>
    </cfRule>
  </conditionalFormatting>
  <dataValidations disablePrompts="1" count="1">
    <dataValidation allowBlank="1" showErrorMessage="1" errorTitle="ERROR" error="El valor de trayectoria introducido no es valido. Las trayectorias estan comprendidas entre los valores 1 y 4." sqref="L9 L11" xr:uid="{EC30C5FB-554A-4845-89E0-74B6E5C178FB}"/>
  </dataValidations>
  <pageMargins left="0.7" right="0.7" top="0.75" bottom="0.75" header="0.3" footer="0.3"/>
  <pageSetup paperSize="9" orientation="portrait" r:id="rId1"/>
  <customProperties>
    <customPr name="_pios_id" r:id="rId2"/>
  </customProperties>
  <ignoredErrors>
    <ignoredError sqref="E129" formulaRange="1"/>
  </ignoredErrors>
  <drawing r:id="rId3"/>
  <legacyDrawing r:id="rId4"/>
  <mc:AlternateContent xmlns:mc="http://schemas.openxmlformats.org/markup-compatibility/2006">
    <mc:Choice Requires="x14">
      <controls>
        <mc:AlternateContent xmlns:mc="http://schemas.openxmlformats.org/markup-compatibility/2006">
          <mc:Choice Requires="x14">
            <control shapeId="62465" r:id="rId5" name="Spinner 1">
              <controlPr defaultSize="0" autoPict="0">
                <anchor moveWithCells="1" sizeWithCells="1">
                  <from>
                    <xdr:col>11</xdr:col>
                    <xdr:colOff>923925</xdr:colOff>
                    <xdr:row>6</xdr:row>
                    <xdr:rowOff>57150</xdr:rowOff>
                  </from>
                  <to>
                    <xdr:col>12</xdr:col>
                    <xdr:colOff>180975</xdr:colOff>
                    <xdr:row>7</xdr:row>
                    <xdr:rowOff>161925</xdr:rowOff>
                  </to>
                </anchor>
              </controlPr>
            </control>
          </mc:Choice>
        </mc:AlternateContent>
        <mc:AlternateContent xmlns:mc="http://schemas.openxmlformats.org/markup-compatibility/2006">
          <mc:Choice Requires="x14">
            <control shapeId="62466" r:id="rId6" name="Spinner 2">
              <controlPr defaultSize="0" autoPict="0">
                <anchor moveWithCells="1" sizeWithCells="1">
                  <from>
                    <xdr:col>11</xdr:col>
                    <xdr:colOff>923925</xdr:colOff>
                    <xdr:row>8</xdr:row>
                    <xdr:rowOff>57150</xdr:rowOff>
                  </from>
                  <to>
                    <xdr:col>12</xdr:col>
                    <xdr:colOff>180975</xdr:colOff>
                    <xdr:row>9</xdr:row>
                    <xdr:rowOff>161925</xdr:rowOff>
                  </to>
                </anchor>
              </controlPr>
            </control>
          </mc:Choice>
        </mc:AlternateContent>
        <mc:AlternateContent xmlns:mc="http://schemas.openxmlformats.org/markup-compatibility/2006">
          <mc:Choice Requires="x14">
            <control shapeId="62467" r:id="rId7" name="Spinner 3">
              <controlPr defaultSize="0" autoPict="0">
                <anchor moveWithCells="1" sizeWithCells="1">
                  <from>
                    <xdr:col>11</xdr:col>
                    <xdr:colOff>923925</xdr:colOff>
                    <xdr:row>10</xdr:row>
                    <xdr:rowOff>47625</xdr:rowOff>
                  </from>
                  <to>
                    <xdr:col>12</xdr:col>
                    <xdr:colOff>190500</xdr:colOff>
                    <xdr:row>11</xdr:row>
                    <xdr:rowOff>152400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5F074-B489-4D8B-9F80-4094F53DE97A}">
  <sheetPr codeName="Hoja23"/>
  <dimension ref="A1:P360"/>
  <sheetViews>
    <sheetView showGridLines="0" zoomScale="80" zoomScaleNormal="80" workbookViewId="0">
      <selection activeCell="E102" sqref="E102:E106"/>
    </sheetView>
  </sheetViews>
  <sheetFormatPr baseColWidth="10" defaultColWidth="11.42578125" defaultRowHeight="15"/>
  <cols>
    <col min="1" max="1" width="20.7109375" style="663" customWidth="1"/>
    <col min="2" max="2" width="7.7109375" customWidth="1"/>
    <col min="3" max="3" width="5.7109375" customWidth="1"/>
    <col min="4" max="4" width="42.5703125" customWidth="1"/>
    <col min="5" max="5" width="20.7109375" bestFit="1" customWidth="1"/>
    <col min="6" max="6" width="17.7109375" bestFit="1" customWidth="1"/>
    <col min="7" max="9" width="14.140625" bestFit="1" customWidth="1"/>
    <col min="10" max="10" width="17" bestFit="1" customWidth="1"/>
    <col min="11" max="11" width="22.5703125" bestFit="1" customWidth="1"/>
    <col min="12" max="12" width="14.42578125" customWidth="1"/>
    <col min="13" max="13" width="5.7109375" customWidth="1"/>
  </cols>
  <sheetData>
    <row r="1" spans="1:13" ht="15" customHeight="1"/>
    <row r="2" spans="1:13" ht="15" customHeight="1"/>
    <row r="3" spans="1:13" ht="15" customHeight="1"/>
    <row r="4" spans="1:13" ht="15" customHeight="1">
      <c r="C4" s="8" t="s">
        <v>1622</v>
      </c>
      <c r="D4" s="5"/>
      <c r="E4" s="5"/>
      <c r="F4" s="5"/>
      <c r="G4" s="5"/>
      <c r="H4" s="5"/>
      <c r="I4" s="5"/>
      <c r="J4" s="5"/>
      <c r="K4" s="5"/>
      <c r="L4" s="5"/>
      <c r="M4" s="5"/>
    </row>
    <row r="5" spans="1:13" ht="15" customHeight="1">
      <c r="A5" s="1559"/>
      <c r="C5" s="6"/>
      <c r="D5" s="6"/>
      <c r="E5" s="6"/>
      <c r="F5" s="6"/>
      <c r="G5" s="6"/>
      <c r="H5" s="6"/>
      <c r="I5" s="6"/>
      <c r="J5" s="6"/>
      <c r="K5" s="6"/>
      <c r="L5" s="6"/>
      <c r="M5" s="6"/>
    </row>
    <row r="6" spans="1:13" ht="15" customHeight="1">
      <c r="C6" s="6"/>
      <c r="D6" s="126" t="s">
        <v>1623</v>
      </c>
      <c r="E6" s="127"/>
      <c r="F6" s="127"/>
      <c r="G6" s="127"/>
      <c r="H6" s="127"/>
      <c r="I6" s="127"/>
      <c r="J6" s="127"/>
      <c r="K6" s="127"/>
      <c r="L6" s="128" t="s">
        <v>879</v>
      </c>
      <c r="M6" s="6"/>
    </row>
    <row r="7" spans="1:13" ht="15" customHeight="1">
      <c r="C7" s="6"/>
      <c r="D7" s="3939" t="s">
        <v>112</v>
      </c>
      <c r="E7" s="1863"/>
      <c r="F7" s="1863"/>
      <c r="G7" s="1863"/>
      <c r="H7" s="1863"/>
      <c r="I7" s="1863"/>
      <c r="J7" s="1863"/>
      <c r="K7" s="1863"/>
      <c r="L7" s="3930">
        <f>CONTROL!D84</f>
        <v>1</v>
      </c>
      <c r="M7" s="6"/>
    </row>
    <row r="8" spans="1:13" ht="15" customHeight="1">
      <c r="C8" s="6"/>
      <c r="D8" s="3918"/>
      <c r="E8" s="50"/>
      <c r="F8" s="50"/>
      <c r="G8" s="50"/>
      <c r="H8" s="50"/>
      <c r="I8" s="50"/>
      <c r="J8" s="50"/>
      <c r="K8" s="50"/>
      <c r="L8" s="3914"/>
      <c r="M8" s="6"/>
    </row>
    <row r="9" spans="1:13" ht="15" customHeight="1">
      <c r="C9" s="6"/>
      <c r="D9" s="3937" t="s">
        <v>114</v>
      </c>
      <c r="E9" s="1864"/>
      <c r="F9" s="1864"/>
      <c r="G9" s="1864"/>
      <c r="H9" s="1864"/>
      <c r="I9" s="1864"/>
      <c r="J9" s="1864"/>
      <c r="K9" s="1864"/>
      <c r="L9" s="3940">
        <f>CONTROL!D85</f>
        <v>1</v>
      </c>
      <c r="M9" s="6"/>
    </row>
    <row r="10" spans="1:13" ht="15" customHeight="1">
      <c r="C10" s="6"/>
      <c r="D10" s="3938"/>
      <c r="E10" s="1865"/>
      <c r="F10" s="1865"/>
      <c r="G10" s="1865"/>
      <c r="H10" s="1865"/>
      <c r="I10" s="1865"/>
      <c r="J10" s="1865"/>
      <c r="K10" s="1865"/>
      <c r="L10" s="3941"/>
      <c r="M10" s="6"/>
    </row>
    <row r="11" spans="1:13" ht="15" customHeight="1">
      <c r="C11" s="6"/>
      <c r="D11" s="3918" t="s">
        <v>116</v>
      </c>
      <c r="E11" s="50"/>
      <c r="F11" s="50"/>
      <c r="G11" s="50"/>
      <c r="H11" s="50"/>
      <c r="I11" s="50"/>
      <c r="J11" s="50"/>
      <c r="K11" s="50"/>
      <c r="L11" s="3914">
        <f>CONTROL!D86</f>
        <v>1</v>
      </c>
      <c r="M11" s="6"/>
    </row>
    <row r="12" spans="1:13" ht="15" customHeight="1">
      <c r="C12" s="6"/>
      <c r="D12" s="3919"/>
      <c r="E12" s="666"/>
      <c r="F12" s="666"/>
      <c r="G12" s="666"/>
      <c r="H12" s="666"/>
      <c r="I12" s="666"/>
      <c r="J12" s="666"/>
      <c r="K12" s="666"/>
      <c r="L12" s="3915"/>
      <c r="M12" s="6"/>
    </row>
    <row r="13" spans="1:13" ht="15" customHeight="1">
      <c r="C13" s="6"/>
      <c r="D13" s="6"/>
      <c r="E13" s="6"/>
      <c r="F13" s="6"/>
      <c r="G13" s="6"/>
      <c r="H13" s="6"/>
      <c r="I13" s="6"/>
      <c r="J13" s="6"/>
      <c r="K13" s="6"/>
      <c r="L13" s="6"/>
      <c r="M13" s="6"/>
    </row>
    <row r="14" spans="1:13" ht="15" customHeight="1"/>
    <row r="15" spans="1:13" ht="15" customHeight="1">
      <c r="C15" s="335" t="s">
        <v>1190</v>
      </c>
      <c r="D15" s="336"/>
      <c r="E15" s="336"/>
      <c r="F15" s="336"/>
      <c r="G15" s="336"/>
      <c r="H15" s="336"/>
      <c r="I15" s="336"/>
      <c r="J15" s="336"/>
      <c r="K15" s="336"/>
      <c r="L15" s="336"/>
      <c r="M15" s="336"/>
    </row>
    <row r="16" spans="1:13" ht="15" customHeight="1">
      <c r="C16" s="11"/>
      <c r="D16" s="12"/>
      <c r="E16" s="12"/>
      <c r="F16" s="12"/>
      <c r="G16" s="12"/>
      <c r="H16" s="12"/>
      <c r="I16" s="12"/>
      <c r="J16" s="12"/>
      <c r="K16" s="12"/>
      <c r="L16" s="12"/>
      <c r="M16" s="12"/>
    </row>
    <row r="17" spans="3:13" ht="15" customHeight="1">
      <c r="C17" s="11"/>
      <c r="D17" s="129" t="s">
        <v>1410</v>
      </c>
      <c r="E17" s="129"/>
      <c r="F17" s="129"/>
      <c r="G17" s="129"/>
      <c r="H17" s="129"/>
      <c r="I17" s="129"/>
      <c r="J17" s="129"/>
      <c r="K17" s="129"/>
      <c r="L17" s="129"/>
      <c r="M17" s="12"/>
    </row>
    <row r="18" spans="3:13" ht="15" customHeight="1">
      <c r="C18" s="11"/>
      <c r="D18" s="130"/>
      <c r="E18" s="12"/>
      <c r="F18" s="12"/>
      <c r="G18" s="12"/>
      <c r="H18" s="12"/>
      <c r="I18" s="12"/>
      <c r="J18" s="12"/>
      <c r="K18" s="12"/>
      <c r="L18" s="12"/>
      <c r="M18" s="12"/>
    </row>
    <row r="19" spans="3:13" ht="15" customHeight="1">
      <c r="C19" s="12"/>
      <c r="D19" s="1152" t="s">
        <v>2529</v>
      </c>
      <c r="E19" s="133"/>
      <c r="F19" s="133"/>
      <c r="G19" s="133"/>
      <c r="H19" s="133"/>
      <c r="I19" s="133"/>
      <c r="J19" s="133"/>
      <c r="K19" s="133"/>
      <c r="L19" s="134" t="s">
        <v>788</v>
      </c>
      <c r="M19" s="12"/>
    </row>
    <row r="20" spans="3:13" ht="15" customHeight="1">
      <c r="C20" s="12"/>
      <c r="D20" s="137" t="s">
        <v>879</v>
      </c>
      <c r="E20" s="1159">
        <v>2018</v>
      </c>
      <c r="F20" s="1159">
        <v>2020</v>
      </c>
      <c r="G20" s="1159">
        <v>2025</v>
      </c>
      <c r="H20" s="1159">
        <v>2030</v>
      </c>
      <c r="I20" s="1159">
        <v>2035</v>
      </c>
      <c r="J20" s="1159">
        <v>2040</v>
      </c>
      <c r="K20" s="1159">
        <v>2045</v>
      </c>
      <c r="L20" s="1159">
        <v>2050</v>
      </c>
      <c r="M20" s="12"/>
    </row>
    <row r="21" spans="3:13" ht="15" customHeight="1">
      <c r="C21" s="12"/>
      <c r="D21" s="139">
        <v>1</v>
      </c>
      <c r="E21" s="3539">
        <v>0</v>
      </c>
      <c r="F21" s="3539">
        <v>0</v>
      </c>
      <c r="G21" s="3539">
        <v>0</v>
      </c>
      <c r="H21" s="3539">
        <v>0</v>
      </c>
      <c r="I21" s="3539">
        <v>0</v>
      </c>
      <c r="J21" s="3539">
        <v>0</v>
      </c>
      <c r="K21" s="3539">
        <v>0</v>
      </c>
      <c r="L21" s="3539">
        <v>0</v>
      </c>
      <c r="M21" s="12"/>
    </row>
    <row r="22" spans="3:13" ht="15" customHeight="1">
      <c r="C22" s="12"/>
      <c r="D22" s="139">
        <v>2</v>
      </c>
      <c r="E22" s="3539">
        <v>0</v>
      </c>
      <c r="F22" s="3539">
        <v>0.05</v>
      </c>
      <c r="G22" s="3539">
        <v>0.1</v>
      </c>
      <c r="H22" s="3539">
        <v>0.15</v>
      </c>
      <c r="I22" s="3539">
        <v>0.2</v>
      </c>
      <c r="J22" s="3539">
        <v>0.25</v>
      </c>
      <c r="K22" s="3539">
        <v>0.3</v>
      </c>
      <c r="L22" s="3539">
        <v>0.35</v>
      </c>
      <c r="M22" s="12"/>
    </row>
    <row r="23" spans="3:13" ht="15" customHeight="1">
      <c r="C23" s="12"/>
      <c r="D23" s="139">
        <v>3</v>
      </c>
      <c r="E23" s="3539">
        <v>0</v>
      </c>
      <c r="F23" s="3539">
        <v>7.0000000000000007E-2</v>
      </c>
      <c r="G23" s="3539">
        <v>0.14000000000000001</v>
      </c>
      <c r="H23" s="3539">
        <v>0.21</v>
      </c>
      <c r="I23" s="3539">
        <v>0.28000000000000003</v>
      </c>
      <c r="J23" s="3539">
        <v>0.35</v>
      </c>
      <c r="K23" s="3539">
        <v>0.42</v>
      </c>
      <c r="L23" s="3539">
        <v>0.49</v>
      </c>
      <c r="M23" s="12"/>
    </row>
    <row r="24" spans="3:13" ht="15" customHeight="1">
      <c r="C24" s="12"/>
      <c r="D24" s="142">
        <v>4</v>
      </c>
      <c r="E24" s="3540">
        <v>0</v>
      </c>
      <c r="F24" s="3540">
        <v>0.09</v>
      </c>
      <c r="G24" s="3540">
        <v>0.18</v>
      </c>
      <c r="H24" s="3540">
        <v>0.27</v>
      </c>
      <c r="I24" s="3540">
        <v>0.36</v>
      </c>
      <c r="J24" s="3540">
        <v>0.45</v>
      </c>
      <c r="K24" s="3540">
        <v>0.54</v>
      </c>
      <c r="L24" s="3540">
        <v>0.63</v>
      </c>
      <c r="M24" s="12"/>
    </row>
    <row r="25" spans="3:13" ht="15" customHeight="1">
      <c r="C25" s="12"/>
      <c r="D25" s="12"/>
      <c r="E25" s="2927"/>
      <c r="F25" s="2927"/>
      <c r="G25" s="2927"/>
      <c r="H25" s="2927"/>
      <c r="I25" s="2927"/>
      <c r="J25" s="2927"/>
      <c r="K25" s="2927"/>
      <c r="L25" s="2927"/>
      <c r="M25" s="12"/>
    </row>
    <row r="26" spans="3:13" ht="15" customHeight="1">
      <c r="C26" s="12"/>
      <c r="D26" s="1152" t="s">
        <v>2530</v>
      </c>
      <c r="E26" s="2928"/>
      <c r="F26" s="2928"/>
      <c r="G26" s="2928"/>
      <c r="H26" s="2928"/>
      <c r="I26" s="2928"/>
      <c r="J26" s="2928"/>
      <c r="K26" s="2928"/>
      <c r="L26" s="3541" t="s">
        <v>788</v>
      </c>
      <c r="M26" s="12"/>
    </row>
    <row r="27" spans="3:13" ht="15" customHeight="1">
      <c r="C27" s="12"/>
      <c r="D27" s="137" t="s">
        <v>879</v>
      </c>
      <c r="E27" s="3542">
        <v>2018</v>
      </c>
      <c r="F27" s="3542">
        <v>2020</v>
      </c>
      <c r="G27" s="3542">
        <v>2025</v>
      </c>
      <c r="H27" s="3542">
        <v>2030</v>
      </c>
      <c r="I27" s="3542">
        <v>2035</v>
      </c>
      <c r="J27" s="3542">
        <v>2040</v>
      </c>
      <c r="K27" s="3542">
        <v>2045</v>
      </c>
      <c r="L27" s="3542">
        <v>2050</v>
      </c>
      <c r="M27" s="12"/>
    </row>
    <row r="28" spans="3:13" ht="15" customHeight="1">
      <c r="C28" s="12"/>
      <c r="D28" s="139">
        <v>1</v>
      </c>
      <c r="E28" s="3539">
        <v>0</v>
      </c>
      <c r="F28" s="3539">
        <v>0</v>
      </c>
      <c r="G28" s="3539">
        <v>0</v>
      </c>
      <c r="H28" s="3539">
        <v>0</v>
      </c>
      <c r="I28" s="3539">
        <v>0</v>
      </c>
      <c r="J28" s="3539">
        <v>0</v>
      </c>
      <c r="K28" s="3539">
        <v>0</v>
      </c>
      <c r="L28" s="3539">
        <v>0</v>
      </c>
      <c r="M28" s="12"/>
    </row>
    <row r="29" spans="3:13">
      <c r="C29" s="12"/>
      <c r="D29" s="139">
        <v>2</v>
      </c>
      <c r="E29" s="3539">
        <v>0</v>
      </c>
      <c r="F29" s="3539">
        <v>0.04</v>
      </c>
      <c r="G29" s="3539">
        <v>0.08</v>
      </c>
      <c r="H29" s="3539">
        <v>0.12</v>
      </c>
      <c r="I29" s="3539">
        <v>0.16</v>
      </c>
      <c r="J29" s="3539">
        <v>0.2</v>
      </c>
      <c r="K29" s="3539">
        <v>0.24</v>
      </c>
      <c r="L29" s="3539">
        <v>0.28000000000000003</v>
      </c>
      <c r="M29" s="12"/>
    </row>
    <row r="30" spans="3:13">
      <c r="C30" s="12"/>
      <c r="D30" s="139">
        <v>3</v>
      </c>
      <c r="E30" s="3539">
        <v>0</v>
      </c>
      <c r="F30" s="3539">
        <v>0.06</v>
      </c>
      <c r="G30" s="3539">
        <v>0.12</v>
      </c>
      <c r="H30" s="3539">
        <v>0.18</v>
      </c>
      <c r="I30" s="3539">
        <v>0.24</v>
      </c>
      <c r="J30" s="3539">
        <v>0.3</v>
      </c>
      <c r="K30" s="3539">
        <v>0.36</v>
      </c>
      <c r="L30" s="3539">
        <v>0.42</v>
      </c>
      <c r="M30" s="12"/>
    </row>
    <row r="31" spans="3:13">
      <c r="C31" s="12"/>
      <c r="D31" s="142">
        <v>4</v>
      </c>
      <c r="E31" s="3540">
        <v>0</v>
      </c>
      <c r="F31" s="3540">
        <v>0.08</v>
      </c>
      <c r="G31" s="3540">
        <v>0.16</v>
      </c>
      <c r="H31" s="3540">
        <v>0.24</v>
      </c>
      <c r="I31" s="3540">
        <v>0.32</v>
      </c>
      <c r="J31" s="3540">
        <v>0.4</v>
      </c>
      <c r="K31" s="3540">
        <v>0.48</v>
      </c>
      <c r="L31" s="3540">
        <v>0.56000000000000005</v>
      </c>
      <c r="M31" s="12"/>
    </row>
    <row r="32" spans="3:13">
      <c r="C32" s="12"/>
      <c r="D32" s="139"/>
      <c r="E32" s="2925"/>
      <c r="F32" s="2925"/>
      <c r="G32" s="2925"/>
      <c r="H32" s="2925"/>
      <c r="I32" s="2925"/>
      <c r="J32" s="2925"/>
      <c r="K32" s="2925"/>
      <c r="L32" s="2925"/>
      <c r="M32" s="12"/>
    </row>
    <row r="33" spans="3:13">
      <c r="C33" s="12"/>
      <c r="D33" s="1152" t="s">
        <v>2531</v>
      </c>
      <c r="E33" s="2928"/>
      <c r="F33" s="2928"/>
      <c r="G33" s="2928"/>
      <c r="H33" s="2928"/>
      <c r="I33" s="2928"/>
      <c r="J33" s="2928"/>
      <c r="K33" s="2928"/>
      <c r="L33" s="3541" t="s">
        <v>788</v>
      </c>
      <c r="M33" s="12"/>
    </row>
    <row r="34" spans="3:13">
      <c r="C34" s="12"/>
      <c r="D34" s="137" t="s">
        <v>879</v>
      </c>
      <c r="E34" s="3542">
        <v>2018</v>
      </c>
      <c r="F34" s="3542">
        <v>2020</v>
      </c>
      <c r="G34" s="3542">
        <v>2025</v>
      </c>
      <c r="H34" s="3542">
        <v>2030</v>
      </c>
      <c r="I34" s="3542">
        <v>2035</v>
      </c>
      <c r="J34" s="3542">
        <v>2040</v>
      </c>
      <c r="K34" s="3542">
        <v>2045</v>
      </c>
      <c r="L34" s="3542">
        <v>2050</v>
      </c>
      <c r="M34" s="12"/>
    </row>
    <row r="35" spans="3:13">
      <c r="C35" s="12"/>
      <c r="D35" s="139">
        <v>1</v>
      </c>
      <c r="E35" s="3538">
        <v>0</v>
      </c>
      <c r="F35" s="3538">
        <v>0</v>
      </c>
      <c r="G35" s="3538">
        <v>0</v>
      </c>
      <c r="H35" s="3538">
        <v>0</v>
      </c>
      <c r="I35" s="3538">
        <v>0</v>
      </c>
      <c r="J35" s="3538">
        <v>0</v>
      </c>
      <c r="K35" s="3538">
        <v>0</v>
      </c>
      <c r="L35" s="3538">
        <v>0</v>
      </c>
      <c r="M35" s="12"/>
    </row>
    <row r="36" spans="3:13">
      <c r="C36" s="12"/>
      <c r="D36" s="139">
        <v>2</v>
      </c>
      <c r="E36" s="2925">
        <v>0</v>
      </c>
      <c r="F36" s="3538">
        <v>0.04</v>
      </c>
      <c r="G36" s="3538">
        <v>0.08</v>
      </c>
      <c r="H36" s="3538">
        <v>0.12</v>
      </c>
      <c r="I36" s="3538">
        <v>0.12</v>
      </c>
      <c r="J36" s="3538">
        <v>0.12</v>
      </c>
      <c r="K36" s="3538">
        <v>0.12</v>
      </c>
      <c r="L36" s="3538">
        <v>0.12</v>
      </c>
      <c r="M36" s="12"/>
    </row>
    <row r="37" spans="3:13" ht="15" customHeight="1">
      <c r="C37" s="12"/>
      <c r="D37" s="139">
        <v>3</v>
      </c>
      <c r="E37" s="2925">
        <v>0</v>
      </c>
      <c r="F37" s="3538">
        <v>0.04</v>
      </c>
      <c r="G37" s="3538">
        <v>0.08</v>
      </c>
      <c r="H37" s="3538">
        <v>0.12</v>
      </c>
      <c r="I37" s="3538">
        <v>0.16</v>
      </c>
      <c r="J37" s="3538">
        <v>0.2</v>
      </c>
      <c r="K37" s="3538">
        <v>0.24</v>
      </c>
      <c r="L37" s="2925">
        <v>0.3</v>
      </c>
      <c r="M37" s="12"/>
    </row>
    <row r="38" spans="3:13">
      <c r="C38" s="12"/>
      <c r="D38" s="142">
        <v>4</v>
      </c>
      <c r="E38" s="2926">
        <v>0</v>
      </c>
      <c r="F38" s="2926">
        <v>0.04</v>
      </c>
      <c r="G38" s="2926">
        <v>0.08</v>
      </c>
      <c r="H38" s="2926">
        <v>0.12</v>
      </c>
      <c r="I38" s="2926">
        <v>0.17</v>
      </c>
      <c r="J38" s="2926">
        <v>0.22</v>
      </c>
      <c r="K38" s="2926">
        <v>0.27</v>
      </c>
      <c r="L38" s="2926">
        <v>0.32</v>
      </c>
      <c r="M38" s="12"/>
    </row>
    <row r="39" spans="3:13">
      <c r="C39" s="12"/>
      <c r="D39" s="139"/>
      <c r="E39" s="2925"/>
      <c r="F39" s="2925"/>
      <c r="G39" s="2925"/>
      <c r="H39" s="2925"/>
      <c r="I39" s="2925"/>
      <c r="J39" s="2925"/>
      <c r="K39" s="2925"/>
      <c r="L39" s="2925"/>
      <c r="M39" s="12"/>
    </row>
    <row r="40" spans="3:13">
      <c r="C40" s="12"/>
      <c r="D40" s="1152" t="s">
        <v>2532</v>
      </c>
      <c r="E40" s="2928"/>
      <c r="F40" s="2928"/>
      <c r="G40" s="2928"/>
      <c r="H40" s="2928"/>
      <c r="I40" s="2928"/>
      <c r="J40" s="2928"/>
      <c r="K40" s="2928"/>
      <c r="L40" s="3541" t="s">
        <v>788</v>
      </c>
      <c r="M40" s="12"/>
    </row>
    <row r="41" spans="3:13">
      <c r="C41" s="12"/>
      <c r="D41" s="137" t="s">
        <v>879</v>
      </c>
      <c r="E41" s="3542">
        <v>2018</v>
      </c>
      <c r="F41" s="3542">
        <v>2020</v>
      </c>
      <c r="G41" s="3542">
        <v>2025</v>
      </c>
      <c r="H41" s="3542">
        <v>2030</v>
      </c>
      <c r="I41" s="3542">
        <v>2035</v>
      </c>
      <c r="J41" s="3542">
        <v>2040</v>
      </c>
      <c r="K41" s="3542">
        <v>2045</v>
      </c>
      <c r="L41" s="3542">
        <v>2050</v>
      </c>
      <c r="M41" s="12"/>
    </row>
    <row r="42" spans="3:13">
      <c r="C42" s="12"/>
      <c r="D42" s="139">
        <v>1</v>
      </c>
      <c r="E42" s="3538">
        <v>0</v>
      </c>
      <c r="F42" s="3538">
        <v>0</v>
      </c>
      <c r="G42" s="3538">
        <v>0</v>
      </c>
      <c r="H42" s="3538">
        <v>0</v>
      </c>
      <c r="I42" s="3538">
        <v>0</v>
      </c>
      <c r="J42" s="3538">
        <v>0</v>
      </c>
      <c r="K42" s="3538">
        <v>0</v>
      </c>
      <c r="L42" s="3538">
        <v>0</v>
      </c>
      <c r="M42" s="12"/>
    </row>
    <row r="43" spans="3:13">
      <c r="C43" s="12"/>
      <c r="D43" s="139">
        <v>2</v>
      </c>
      <c r="E43" s="3538">
        <v>0</v>
      </c>
      <c r="F43" s="3538">
        <v>0.04</v>
      </c>
      <c r="G43" s="3538">
        <v>0.08</v>
      </c>
      <c r="H43" s="3538">
        <v>0.12</v>
      </c>
      <c r="I43" s="3538">
        <v>0.12</v>
      </c>
      <c r="J43" s="3538">
        <v>0.12</v>
      </c>
      <c r="K43" s="3538">
        <v>0.12</v>
      </c>
      <c r="L43" s="3538">
        <v>0.12</v>
      </c>
      <c r="M43" s="12"/>
    </row>
    <row r="44" spans="3:13">
      <c r="C44" s="12"/>
      <c r="D44" s="139">
        <v>3</v>
      </c>
      <c r="E44" s="3538">
        <v>0</v>
      </c>
      <c r="F44" s="3538">
        <v>0.04</v>
      </c>
      <c r="G44" s="3538">
        <v>0.08</v>
      </c>
      <c r="H44" s="3538">
        <v>0.12</v>
      </c>
      <c r="I44" s="3538">
        <v>0.16</v>
      </c>
      <c r="J44" s="3538">
        <v>0.2</v>
      </c>
      <c r="K44" s="3538">
        <v>0.24</v>
      </c>
      <c r="L44" s="3538">
        <v>0.3</v>
      </c>
      <c r="M44" s="12"/>
    </row>
    <row r="45" spans="3:13">
      <c r="C45" s="12"/>
      <c r="D45" s="142">
        <v>4</v>
      </c>
      <c r="E45" s="2926">
        <v>0</v>
      </c>
      <c r="F45" s="2926">
        <v>0.04</v>
      </c>
      <c r="G45" s="2926">
        <v>0.08</v>
      </c>
      <c r="H45" s="2926">
        <v>0.12</v>
      </c>
      <c r="I45" s="2926">
        <v>0.17</v>
      </c>
      <c r="J45" s="2926">
        <v>0.22</v>
      </c>
      <c r="K45" s="2926">
        <v>0.27</v>
      </c>
      <c r="L45" s="2926">
        <v>0.32</v>
      </c>
      <c r="M45" s="12"/>
    </row>
    <row r="46" spans="3:13">
      <c r="C46" s="12"/>
      <c r="D46" s="12"/>
      <c r="E46" s="447"/>
      <c r="F46" s="447"/>
      <c r="G46" s="447"/>
      <c r="H46" s="447"/>
      <c r="I46" s="447"/>
      <c r="J46" s="447"/>
      <c r="K46" s="447"/>
      <c r="L46" s="447"/>
      <c r="M46" s="12"/>
    </row>
    <row r="47" spans="3:13" ht="15.75">
      <c r="C47" s="12"/>
      <c r="D47" s="129" t="s">
        <v>1412</v>
      </c>
      <c r="E47" s="129"/>
      <c r="F47" s="129"/>
      <c r="G47" s="129"/>
      <c r="H47" s="129"/>
      <c r="I47" s="129"/>
      <c r="J47" s="129"/>
      <c r="K47" s="129"/>
      <c r="L47" s="129"/>
      <c r="M47" s="12"/>
    </row>
    <row r="48" spans="3:13">
      <c r="C48" s="12"/>
      <c r="D48" s="12"/>
      <c r="E48" s="12"/>
      <c r="F48" s="12"/>
      <c r="G48" s="12"/>
      <c r="H48" s="12"/>
      <c r="I48" s="12"/>
      <c r="J48" s="12"/>
      <c r="K48" s="12"/>
      <c r="L48" s="12"/>
      <c r="M48" s="12"/>
    </row>
    <row r="49" spans="3:14">
      <c r="C49" s="12"/>
      <c r="D49" s="1152" t="s">
        <v>2533</v>
      </c>
      <c r="E49" s="133"/>
      <c r="F49" s="133"/>
      <c r="G49" s="133"/>
      <c r="H49" s="133"/>
      <c r="I49" s="133"/>
      <c r="J49" s="133"/>
      <c r="K49" s="133"/>
      <c r="L49" s="134" t="s">
        <v>788</v>
      </c>
      <c r="M49" s="12"/>
    </row>
    <row r="50" spans="3:14">
      <c r="C50" s="12"/>
      <c r="D50" s="137" t="s">
        <v>879</v>
      </c>
      <c r="E50" s="1159">
        <v>2018</v>
      </c>
      <c r="F50" s="1159">
        <v>2020</v>
      </c>
      <c r="G50" s="1159">
        <v>2025</v>
      </c>
      <c r="H50" s="1159">
        <v>2030</v>
      </c>
      <c r="I50" s="1159">
        <v>2035</v>
      </c>
      <c r="J50" s="1159">
        <v>2040</v>
      </c>
      <c r="K50" s="1159">
        <v>2045</v>
      </c>
      <c r="L50" s="1159">
        <v>2050</v>
      </c>
      <c r="M50" s="12"/>
    </row>
    <row r="51" spans="3:14" ht="21">
      <c r="C51" s="12"/>
      <c r="D51" s="139">
        <v>1</v>
      </c>
      <c r="E51" s="3538">
        <v>0</v>
      </c>
      <c r="F51" s="3538">
        <v>0</v>
      </c>
      <c r="G51" s="3538">
        <v>0</v>
      </c>
      <c r="H51" s="3538">
        <v>0</v>
      </c>
      <c r="I51" s="3538">
        <v>0</v>
      </c>
      <c r="J51" s="3538">
        <v>0</v>
      </c>
      <c r="K51" s="3538">
        <v>0</v>
      </c>
      <c r="L51" s="3538">
        <v>0</v>
      </c>
      <c r="M51" s="1884"/>
    </row>
    <row r="52" spans="3:14">
      <c r="C52" s="12"/>
      <c r="D52" s="139">
        <v>2</v>
      </c>
      <c r="E52" s="3538">
        <v>0</v>
      </c>
      <c r="F52" s="3543">
        <v>5.0000000000000001E-3</v>
      </c>
      <c r="G52" s="3543">
        <v>0.01</v>
      </c>
      <c r="H52" s="3543">
        <v>1.4999999999999999E-2</v>
      </c>
      <c r="I52" s="3543">
        <v>0.02</v>
      </c>
      <c r="J52" s="3543">
        <v>0.03</v>
      </c>
      <c r="K52" s="3543">
        <v>0.04</v>
      </c>
      <c r="L52" s="3538">
        <v>0.05</v>
      </c>
      <c r="M52" s="12"/>
    </row>
    <row r="53" spans="3:14">
      <c r="C53" s="12"/>
      <c r="D53" s="139">
        <v>3</v>
      </c>
      <c r="E53" s="3538">
        <v>0</v>
      </c>
      <c r="F53" s="3543">
        <v>0.02</v>
      </c>
      <c r="G53" s="3543">
        <v>0.04</v>
      </c>
      <c r="H53" s="3543">
        <v>0.06</v>
      </c>
      <c r="I53" s="3543">
        <v>0.08</v>
      </c>
      <c r="J53" s="3543">
        <v>0.1</v>
      </c>
      <c r="K53" s="3543">
        <v>0.12</v>
      </c>
      <c r="L53" s="3538">
        <v>0.15</v>
      </c>
      <c r="M53" s="12"/>
      <c r="N53" s="1891"/>
    </row>
    <row r="54" spans="3:14">
      <c r="C54" s="12"/>
      <c r="D54" s="2022">
        <v>4</v>
      </c>
      <c r="E54" s="2926">
        <v>0</v>
      </c>
      <c r="F54" s="2926">
        <v>0.04</v>
      </c>
      <c r="G54" s="2926">
        <v>0.08</v>
      </c>
      <c r="H54" s="2926">
        <v>0.12</v>
      </c>
      <c r="I54" s="2926">
        <v>0.16</v>
      </c>
      <c r="J54" s="2926">
        <v>0.2</v>
      </c>
      <c r="K54" s="2926">
        <v>0.25</v>
      </c>
      <c r="L54" s="2926">
        <v>0.3</v>
      </c>
      <c r="M54" s="12"/>
    </row>
    <row r="55" spans="3:14">
      <c r="C55" s="12"/>
      <c r="D55" s="12"/>
      <c r="E55" s="2927"/>
      <c r="F55" s="2927"/>
      <c r="G55" s="2927"/>
      <c r="H55" s="2927"/>
      <c r="I55" s="2927"/>
      <c r="J55" s="2927"/>
      <c r="K55" s="2927"/>
      <c r="L55" s="2927"/>
      <c r="M55" s="12"/>
    </row>
    <row r="56" spans="3:14">
      <c r="C56" s="12"/>
      <c r="D56" s="1152" t="s">
        <v>2534</v>
      </c>
      <c r="E56" s="2928"/>
      <c r="F56" s="2928"/>
      <c r="G56" s="2928"/>
      <c r="H56" s="2928"/>
      <c r="I56" s="2928"/>
      <c r="J56" s="2928"/>
      <c r="K56" s="2928"/>
      <c r="L56" s="3541" t="s">
        <v>788</v>
      </c>
      <c r="M56" s="12"/>
    </row>
    <row r="57" spans="3:14">
      <c r="C57" s="12"/>
      <c r="D57" s="137" t="s">
        <v>879</v>
      </c>
      <c r="E57" s="3542">
        <v>2018</v>
      </c>
      <c r="F57" s="3542">
        <v>2020</v>
      </c>
      <c r="G57" s="3542">
        <v>2025</v>
      </c>
      <c r="H57" s="3542">
        <v>2030</v>
      </c>
      <c r="I57" s="3542">
        <v>2035</v>
      </c>
      <c r="J57" s="3542">
        <v>2040</v>
      </c>
      <c r="K57" s="3542">
        <v>2045</v>
      </c>
      <c r="L57" s="3542">
        <v>2050</v>
      </c>
      <c r="M57" s="12"/>
    </row>
    <row r="58" spans="3:14">
      <c r="C58" s="12"/>
      <c r="D58" s="139">
        <v>1</v>
      </c>
      <c r="E58" s="3538">
        <v>0</v>
      </c>
      <c r="F58" s="3538">
        <v>0</v>
      </c>
      <c r="G58" s="3538">
        <v>0</v>
      </c>
      <c r="H58" s="3538">
        <v>0</v>
      </c>
      <c r="I58" s="3538">
        <v>0</v>
      </c>
      <c r="J58" s="3538">
        <v>0</v>
      </c>
      <c r="K58" s="3538">
        <v>0</v>
      </c>
      <c r="L58" s="3538">
        <v>0</v>
      </c>
      <c r="M58" s="12"/>
    </row>
    <row r="59" spans="3:14">
      <c r="C59" s="12"/>
      <c r="D59" s="139">
        <v>2</v>
      </c>
      <c r="E59" s="3538">
        <v>0</v>
      </c>
      <c r="F59" s="3538">
        <v>0.05</v>
      </c>
      <c r="G59" s="3538">
        <v>0.1</v>
      </c>
      <c r="H59" s="3538">
        <v>0.15</v>
      </c>
      <c r="I59" s="3538">
        <v>0.2</v>
      </c>
      <c r="J59" s="3538">
        <v>0.25</v>
      </c>
      <c r="K59" s="3538">
        <v>0.3</v>
      </c>
      <c r="L59" s="3538">
        <v>0.35</v>
      </c>
      <c r="M59" s="12"/>
    </row>
    <row r="60" spans="3:14">
      <c r="C60" s="12"/>
      <c r="D60" s="139">
        <v>3</v>
      </c>
      <c r="E60" s="3538">
        <v>0</v>
      </c>
      <c r="F60" s="3538">
        <v>7.0000000000000007E-2</v>
      </c>
      <c r="G60" s="3538">
        <v>0.14000000000000001</v>
      </c>
      <c r="H60" s="3538">
        <v>0.21</v>
      </c>
      <c r="I60" s="3538">
        <v>0.28000000000000003</v>
      </c>
      <c r="J60" s="3538">
        <v>0.35</v>
      </c>
      <c r="K60" s="3538">
        <v>0.42</v>
      </c>
      <c r="L60" s="3538">
        <v>0.49</v>
      </c>
      <c r="M60" s="12"/>
    </row>
    <row r="61" spans="3:14">
      <c r="C61" s="12"/>
      <c r="D61" s="142">
        <v>4</v>
      </c>
      <c r="E61" s="2926">
        <v>0</v>
      </c>
      <c r="F61" s="2926">
        <v>0.1</v>
      </c>
      <c r="G61" s="2926">
        <v>0.2</v>
      </c>
      <c r="H61" s="2926">
        <v>0.3</v>
      </c>
      <c r="I61" s="2926">
        <v>0.4</v>
      </c>
      <c r="J61" s="2926">
        <v>0.5</v>
      </c>
      <c r="K61" s="2926">
        <v>0.6</v>
      </c>
      <c r="L61" s="2926">
        <v>0.7</v>
      </c>
      <c r="M61" s="12"/>
    </row>
    <row r="62" spans="3:14">
      <c r="C62" s="12"/>
      <c r="D62" s="139"/>
      <c r="E62" s="1160"/>
      <c r="F62" s="1160"/>
      <c r="G62" s="1160"/>
      <c r="H62" s="1160"/>
      <c r="I62" s="1160"/>
      <c r="J62" s="1160"/>
      <c r="K62" s="1160"/>
      <c r="L62" s="1160"/>
      <c r="M62" s="12"/>
    </row>
    <row r="63" spans="3:14" ht="15.75">
      <c r="C63" s="12"/>
      <c r="D63" s="129" t="s">
        <v>116</v>
      </c>
      <c r="E63" s="129"/>
      <c r="F63" s="129"/>
      <c r="G63" s="129"/>
      <c r="H63" s="129"/>
      <c r="I63" s="129"/>
      <c r="J63" s="129"/>
      <c r="K63" s="129"/>
      <c r="L63" s="129"/>
      <c r="M63" s="12"/>
    </row>
    <row r="64" spans="3:14">
      <c r="C64" s="12"/>
      <c r="D64" s="12"/>
      <c r="E64" s="12"/>
      <c r="F64" s="12"/>
      <c r="G64" s="12"/>
      <c r="H64" s="12"/>
      <c r="I64" s="12"/>
      <c r="J64" s="12"/>
      <c r="K64" s="12"/>
      <c r="L64" s="12"/>
      <c r="M64" s="12"/>
    </row>
    <row r="65" spans="3:13">
      <c r="C65" s="12"/>
      <c r="D65" s="1152" t="s">
        <v>2535</v>
      </c>
      <c r="E65" s="133"/>
      <c r="F65" s="133"/>
      <c r="G65" s="133"/>
      <c r="H65" s="133"/>
      <c r="I65" s="133"/>
      <c r="J65" s="133"/>
      <c r="K65" s="133"/>
      <c r="L65" s="134" t="s">
        <v>788</v>
      </c>
      <c r="M65" s="12"/>
    </row>
    <row r="66" spans="3:13">
      <c r="C66" s="12"/>
      <c r="D66" s="137" t="s">
        <v>879</v>
      </c>
      <c r="E66" s="1159">
        <v>2018</v>
      </c>
      <c r="F66" s="1159">
        <v>2020</v>
      </c>
      <c r="G66" s="1159">
        <v>2025</v>
      </c>
      <c r="H66" s="1159">
        <v>2030</v>
      </c>
      <c r="I66" s="1159">
        <v>2035</v>
      </c>
      <c r="J66" s="1159">
        <v>2040</v>
      </c>
      <c r="K66" s="1159">
        <v>2045</v>
      </c>
      <c r="L66" s="1159">
        <v>2050</v>
      </c>
      <c r="M66" s="12"/>
    </row>
    <row r="67" spans="3:13">
      <c r="C67" s="12"/>
      <c r="D67" s="139">
        <v>1</v>
      </c>
      <c r="E67" s="1854">
        <v>0</v>
      </c>
      <c r="F67" s="1854">
        <v>0</v>
      </c>
      <c r="G67" s="1854">
        <v>0</v>
      </c>
      <c r="H67" s="1854">
        <v>0</v>
      </c>
      <c r="I67" s="1854">
        <v>0</v>
      </c>
      <c r="J67" s="1854">
        <v>0</v>
      </c>
      <c r="K67" s="1854">
        <v>0</v>
      </c>
      <c r="L67" s="1854">
        <v>0</v>
      </c>
      <c r="M67" s="12"/>
    </row>
    <row r="68" spans="3:13">
      <c r="C68" s="12"/>
      <c r="D68" s="139">
        <v>2</v>
      </c>
      <c r="E68" s="1854">
        <v>0</v>
      </c>
      <c r="F68" s="1854">
        <v>2.0625000000000001E-2</v>
      </c>
      <c r="G68" s="1854">
        <v>7.2187500000000002E-2</v>
      </c>
      <c r="H68" s="1854">
        <v>0.12375</v>
      </c>
      <c r="I68" s="1854">
        <v>0.17531250000000001</v>
      </c>
      <c r="J68" s="1854">
        <v>0.22687500000000002</v>
      </c>
      <c r="K68" s="1854">
        <v>0.2784375</v>
      </c>
      <c r="L68" s="1854">
        <v>0.33</v>
      </c>
      <c r="M68" s="12"/>
    </row>
    <row r="69" spans="3:13">
      <c r="C69" s="12"/>
      <c r="D69" s="139">
        <v>3</v>
      </c>
      <c r="E69" s="1854">
        <v>0</v>
      </c>
      <c r="F69" s="1854">
        <v>4.1250000000000002E-2</v>
      </c>
      <c r="G69" s="1854">
        <v>0.144375</v>
      </c>
      <c r="H69" s="1854">
        <v>0.2475</v>
      </c>
      <c r="I69" s="1854">
        <v>0.35062500000000002</v>
      </c>
      <c r="J69" s="1854">
        <v>0.45375000000000004</v>
      </c>
      <c r="K69" s="1854">
        <v>0.55687500000000001</v>
      </c>
      <c r="L69" s="1854">
        <v>0.66</v>
      </c>
      <c r="M69" s="12"/>
    </row>
    <row r="70" spans="3:13">
      <c r="C70" s="12"/>
      <c r="D70" s="142">
        <v>4</v>
      </c>
      <c r="E70" s="1855">
        <v>0</v>
      </c>
      <c r="F70" s="1855">
        <v>6.25E-2</v>
      </c>
      <c r="G70" s="1855">
        <v>0.21875</v>
      </c>
      <c r="H70" s="1855">
        <v>0.375</v>
      </c>
      <c r="I70" s="1855">
        <v>0.53125</v>
      </c>
      <c r="J70" s="1855">
        <v>0.6875</v>
      </c>
      <c r="K70" s="1855">
        <v>0.84375</v>
      </c>
      <c r="L70" s="1855">
        <v>1</v>
      </c>
      <c r="M70" s="12"/>
    </row>
    <row r="71" spans="3:13">
      <c r="C71" s="12"/>
      <c r="D71" s="12"/>
      <c r="E71" s="1161"/>
      <c r="F71" s="1161"/>
      <c r="G71" s="1161"/>
      <c r="H71" s="1161"/>
      <c r="I71" s="1161"/>
      <c r="J71" s="1161"/>
      <c r="K71" s="1161"/>
      <c r="L71" s="1161"/>
      <c r="M71" s="12"/>
    </row>
    <row r="72" spans="3:13">
      <c r="C72" s="12"/>
      <c r="D72" s="12"/>
      <c r="E72" s="12"/>
      <c r="F72" s="12"/>
      <c r="G72" s="12"/>
      <c r="H72" s="12"/>
      <c r="I72" s="12"/>
      <c r="J72" s="12"/>
      <c r="K72" s="12"/>
      <c r="L72" s="12"/>
      <c r="M72" s="12"/>
    </row>
    <row r="74" spans="3:13" ht="18.75">
      <c r="C74" s="956" t="s">
        <v>996</v>
      </c>
      <c r="D74" s="336"/>
      <c r="E74" s="908"/>
      <c r="F74" s="908"/>
      <c r="G74" s="908"/>
      <c r="H74" s="908"/>
      <c r="I74" s="908"/>
      <c r="J74" s="908"/>
      <c r="K74" s="908"/>
      <c r="L74" s="908"/>
      <c r="M74" s="336"/>
    </row>
    <row r="75" spans="3:13">
      <c r="C75" s="12"/>
      <c r="D75" s="12"/>
      <c r="E75" s="752"/>
      <c r="F75" s="752"/>
      <c r="G75" s="752"/>
      <c r="H75" s="752"/>
      <c r="I75" s="752"/>
      <c r="J75" s="752"/>
      <c r="K75" s="752"/>
      <c r="L75" s="752"/>
      <c r="M75" s="12"/>
    </row>
    <row r="76" spans="3:13" ht="15.75">
      <c r="C76" s="1860"/>
      <c r="D76" s="180" t="s">
        <v>2536</v>
      </c>
      <c r="E76" s="867"/>
      <c r="F76" s="867"/>
      <c r="G76" s="867"/>
      <c r="H76" s="867"/>
      <c r="I76" s="867"/>
      <c r="J76" s="867"/>
      <c r="K76" s="867"/>
      <c r="L76" s="867"/>
      <c r="M76" s="12"/>
    </row>
    <row r="77" spans="3:13">
      <c r="C77" s="12"/>
      <c r="D77" s="130"/>
      <c r="E77" s="752"/>
      <c r="F77" s="767"/>
      <c r="G77" s="868"/>
      <c r="H77" s="752"/>
      <c r="I77" s="752"/>
      <c r="J77" s="752"/>
      <c r="K77" s="752"/>
      <c r="L77" s="752"/>
      <c r="M77" s="12"/>
    </row>
    <row r="78" spans="3:13">
      <c r="C78" s="12"/>
      <c r="D78" s="1191"/>
      <c r="E78" s="1191"/>
      <c r="F78" s="1192"/>
      <c r="G78" s="1191"/>
      <c r="H78" s="1192" t="s">
        <v>2537</v>
      </c>
      <c r="I78" s="12"/>
      <c r="J78" s="12"/>
      <c r="K78" s="12"/>
      <c r="L78" s="12"/>
      <c r="M78" s="12"/>
    </row>
    <row r="79" spans="3:13">
      <c r="C79" s="12"/>
      <c r="D79" s="1162" t="s">
        <v>869</v>
      </c>
      <c r="E79" s="1193" t="s">
        <v>2451</v>
      </c>
      <c r="F79" s="1195" t="s">
        <v>2453</v>
      </c>
      <c r="G79" s="1194" t="s">
        <v>2454</v>
      </c>
      <c r="H79" s="1194" t="s">
        <v>2455</v>
      </c>
      <c r="I79" s="12"/>
      <c r="J79" s="12"/>
      <c r="K79" s="12"/>
      <c r="L79" s="12"/>
      <c r="M79" s="12"/>
    </row>
    <row r="80" spans="3:13">
      <c r="C80" s="12"/>
      <c r="D80" s="1196" t="s">
        <v>306</v>
      </c>
      <c r="E80" s="1197">
        <v>2.0020000000000002</v>
      </c>
      <c r="F80" s="1199">
        <v>0.203851</v>
      </c>
      <c r="G80" s="1198">
        <v>9.7327458861028449E-2</v>
      </c>
      <c r="H80" s="1200">
        <v>1.7981490000000002</v>
      </c>
      <c r="I80" s="12"/>
      <c r="J80" s="12"/>
      <c r="K80" s="12"/>
      <c r="L80" s="12"/>
      <c r="M80" s="12"/>
    </row>
    <row r="81" spans="3:13">
      <c r="C81" s="12"/>
      <c r="D81" s="1196" t="s">
        <v>354</v>
      </c>
      <c r="E81" s="1197">
        <v>2.7020000000000004</v>
      </c>
      <c r="F81" s="1199">
        <v>1.494129</v>
      </c>
      <c r="G81" s="1198">
        <v>0.71336308765014433</v>
      </c>
      <c r="H81" s="1200">
        <v>1.2078710000000004</v>
      </c>
      <c r="I81" s="12"/>
      <c r="J81" s="12"/>
      <c r="K81" s="12"/>
      <c r="L81" s="12"/>
      <c r="M81" s="12"/>
    </row>
    <row r="82" spans="3:13">
      <c r="C82" s="12"/>
      <c r="D82" s="1196" t="s">
        <v>310</v>
      </c>
      <c r="E82" s="1197">
        <v>10.948000000000002</v>
      </c>
      <c r="F82" s="1199">
        <v>0.334922</v>
      </c>
      <c r="G82" s="1198">
        <v>0.15990653554141684</v>
      </c>
      <c r="H82" s="1200">
        <v>10.613078000000002</v>
      </c>
      <c r="I82" s="12"/>
      <c r="J82" s="12"/>
      <c r="K82" s="12"/>
      <c r="L82" s="12"/>
      <c r="M82" s="12"/>
    </row>
    <row r="83" spans="3:13">
      <c r="C83" s="12"/>
      <c r="D83" s="1196" t="s">
        <v>564</v>
      </c>
      <c r="E83" s="1197">
        <v>0.32200000000000001</v>
      </c>
      <c r="F83" s="1199">
        <v>6.1584E-2</v>
      </c>
      <c r="G83" s="1198">
        <v>2.9402917947410488E-2</v>
      </c>
      <c r="H83" s="1200">
        <v>0.26041599999999998</v>
      </c>
      <c r="I83" s="12"/>
      <c r="J83" s="12"/>
      <c r="K83" s="12"/>
      <c r="L83" s="12"/>
      <c r="M83" s="12"/>
    </row>
    <row r="84" spans="3:13">
      <c r="C84" s="12"/>
      <c r="D84" s="1201" t="s">
        <v>338</v>
      </c>
      <c r="E84" s="1202">
        <v>15.974000000000002</v>
      </c>
      <c r="F84" s="1204">
        <v>2.0944859999999998</v>
      </c>
      <c r="G84" s="1203">
        <v>1.0000000000000002</v>
      </c>
      <c r="H84" s="1205">
        <v>13.879514000000002</v>
      </c>
      <c r="I84" s="12"/>
      <c r="J84" s="12"/>
      <c r="K84" s="12"/>
      <c r="L84" s="12"/>
      <c r="M84" s="12"/>
    </row>
    <row r="85" spans="3:13">
      <c r="C85" s="12"/>
      <c r="D85" s="12"/>
      <c r="E85" s="12"/>
      <c r="F85" s="516"/>
      <c r="G85" s="12"/>
      <c r="H85" s="12"/>
      <c r="I85" s="12"/>
      <c r="J85" s="12"/>
      <c r="K85" s="12"/>
      <c r="L85" s="12"/>
      <c r="M85" s="12"/>
    </row>
    <row r="86" spans="3:13" ht="15.75">
      <c r="C86" s="12"/>
      <c r="D86" s="180" t="s">
        <v>1415</v>
      </c>
      <c r="E86" s="867"/>
      <c r="F86" s="867"/>
      <c r="G86" s="867"/>
      <c r="H86" s="867"/>
      <c r="I86" s="867"/>
      <c r="J86" s="867"/>
      <c r="K86" s="867"/>
      <c r="L86" s="867"/>
      <c r="M86" s="12"/>
    </row>
    <row r="87" spans="3:13">
      <c r="C87" s="12"/>
      <c r="D87" s="12"/>
      <c r="E87" s="12"/>
      <c r="F87" s="12"/>
      <c r="G87" s="12"/>
      <c r="H87" s="12"/>
      <c r="I87" s="12"/>
      <c r="J87" s="12"/>
      <c r="K87" s="12"/>
      <c r="L87" s="12"/>
      <c r="M87" s="12"/>
    </row>
    <row r="88" spans="3:13">
      <c r="C88" s="12"/>
      <c r="D88" s="1152"/>
      <c r="E88" s="133"/>
      <c r="F88" s="133"/>
      <c r="G88" s="133"/>
      <c r="H88" s="133"/>
      <c r="I88" s="133"/>
      <c r="J88" s="133"/>
      <c r="K88" s="133"/>
      <c r="L88" s="134" t="s">
        <v>2538</v>
      </c>
      <c r="M88" s="12"/>
    </row>
    <row r="89" spans="3:13">
      <c r="C89" s="12"/>
      <c r="D89" s="3544" t="s">
        <v>869</v>
      </c>
      <c r="E89" s="1159">
        <v>2018</v>
      </c>
      <c r="F89" s="1159">
        <v>2020</v>
      </c>
      <c r="G89" s="1159">
        <v>2025</v>
      </c>
      <c r="H89" s="1159">
        <v>2030</v>
      </c>
      <c r="I89" s="1159">
        <v>2035</v>
      </c>
      <c r="J89" s="1159">
        <v>2040</v>
      </c>
      <c r="K89" s="1159">
        <v>2045</v>
      </c>
      <c r="L89" s="1159">
        <v>2050</v>
      </c>
      <c r="M89" s="12"/>
    </row>
    <row r="90" spans="3:13">
      <c r="C90" s="12"/>
      <c r="D90" s="1155" t="s">
        <v>2539</v>
      </c>
      <c r="E90" s="3545">
        <v>1422452</v>
      </c>
      <c r="F90" s="3545">
        <v>1483917</v>
      </c>
      <c r="G90" s="3545">
        <v>1611844</v>
      </c>
      <c r="H90" s="3545">
        <v>1747124</v>
      </c>
      <c r="I90" s="3545">
        <v>1882404</v>
      </c>
      <c r="J90" s="3545">
        <v>2017684</v>
      </c>
      <c r="K90" s="3545">
        <v>2152964</v>
      </c>
      <c r="L90" s="3545">
        <v>2288244</v>
      </c>
      <c r="M90" s="12"/>
    </row>
    <row r="91" spans="3:13">
      <c r="C91" s="12"/>
      <c r="D91" s="12"/>
      <c r="E91" s="12"/>
      <c r="F91" s="12"/>
      <c r="G91" s="12"/>
      <c r="H91" s="12"/>
      <c r="I91" s="12"/>
      <c r="J91" s="12"/>
      <c r="K91" s="12"/>
      <c r="L91" s="12"/>
      <c r="M91" s="12"/>
    </row>
    <row r="92" spans="3:13" ht="15.75">
      <c r="C92" s="12"/>
      <c r="D92" s="180" t="s">
        <v>1418</v>
      </c>
      <c r="E92" s="867"/>
      <c r="F92" s="867"/>
      <c r="G92" s="867"/>
      <c r="H92" s="867"/>
      <c r="I92" s="867"/>
      <c r="J92" s="867"/>
      <c r="K92" s="867"/>
      <c r="L92" s="867"/>
      <c r="M92" s="12"/>
    </row>
    <row r="93" spans="3:13">
      <c r="C93" s="12"/>
      <c r="D93" s="12"/>
      <c r="E93" s="12"/>
      <c r="F93" s="12"/>
      <c r="G93" s="12"/>
      <c r="H93" s="12"/>
      <c r="I93" s="12"/>
      <c r="J93" s="12"/>
      <c r="K93" s="12"/>
      <c r="L93" s="12"/>
      <c r="M93" s="12"/>
    </row>
    <row r="94" spans="3:13" ht="27">
      <c r="C94" s="12"/>
      <c r="D94" s="1726" t="s">
        <v>1503</v>
      </c>
      <c r="E94" s="3546" t="s">
        <v>2540</v>
      </c>
      <c r="F94" s="3546" t="s">
        <v>2541</v>
      </c>
      <c r="G94" s="12"/>
      <c r="H94" s="12"/>
      <c r="I94" s="12"/>
      <c r="J94" s="12"/>
      <c r="K94" s="12"/>
      <c r="L94" s="12"/>
      <c r="M94" s="12"/>
    </row>
    <row r="95" spans="3:13">
      <c r="C95" s="12"/>
      <c r="D95" s="1725" t="s">
        <v>2542</v>
      </c>
      <c r="E95" s="3547">
        <v>1.0647</v>
      </c>
      <c r="F95" s="3548">
        <v>0.56000000000000005</v>
      </c>
      <c r="G95" s="12"/>
      <c r="H95" s="12"/>
      <c r="I95" s="12"/>
      <c r="J95" s="12"/>
      <c r="K95" s="12"/>
      <c r="L95" s="12"/>
      <c r="M95" s="12"/>
    </row>
    <row r="96" spans="3:13">
      <c r="C96" s="12"/>
      <c r="D96" s="1207" t="s">
        <v>2543</v>
      </c>
      <c r="E96" s="3549">
        <v>0.69930000000000003</v>
      </c>
      <c r="F96" s="2160">
        <v>0.44</v>
      </c>
      <c r="G96" s="12"/>
      <c r="H96" s="12"/>
      <c r="I96" s="12"/>
      <c r="J96" s="12"/>
      <c r="K96" s="12"/>
      <c r="L96" s="12"/>
      <c r="M96" s="12"/>
    </row>
    <row r="97" spans="3:13">
      <c r="C97" s="12"/>
      <c r="D97" s="12"/>
      <c r="E97" s="12"/>
      <c r="F97" s="12"/>
      <c r="G97" s="12"/>
      <c r="H97" s="12"/>
      <c r="I97" s="12"/>
      <c r="J97" s="12"/>
      <c r="K97" s="12"/>
      <c r="L97" s="12"/>
      <c r="M97" s="12"/>
    </row>
    <row r="98" spans="3:13" ht="15.75">
      <c r="C98" s="12"/>
      <c r="D98" s="180" t="s">
        <v>1420</v>
      </c>
      <c r="E98" s="867"/>
      <c r="F98" s="867"/>
      <c r="G98" s="867"/>
      <c r="H98" s="867"/>
      <c r="I98" s="867"/>
      <c r="J98" s="867"/>
      <c r="K98" s="867"/>
      <c r="L98" s="867"/>
      <c r="M98" s="12"/>
    </row>
    <row r="99" spans="3:13">
      <c r="C99" s="12"/>
      <c r="D99" s="12"/>
      <c r="E99" s="12"/>
      <c r="F99" s="12"/>
      <c r="G99" s="12"/>
      <c r="H99" s="12"/>
      <c r="I99" s="12"/>
      <c r="J99" s="12"/>
      <c r="K99" s="12"/>
      <c r="L99" s="12"/>
      <c r="M99" s="12"/>
    </row>
    <row r="100" spans="3:13">
      <c r="C100" s="12"/>
      <c r="D100" s="130"/>
      <c r="E100" s="183" t="s">
        <v>16</v>
      </c>
      <c r="F100" s="12"/>
      <c r="G100" s="12"/>
      <c r="H100" s="12"/>
      <c r="I100" s="12"/>
      <c r="J100" s="12"/>
      <c r="K100" s="12"/>
      <c r="L100" s="12"/>
      <c r="M100" s="12"/>
    </row>
    <row r="101" spans="3:13">
      <c r="C101" s="12"/>
      <c r="D101" s="1153" t="s">
        <v>2544</v>
      </c>
      <c r="E101" s="1206" t="s">
        <v>2545</v>
      </c>
      <c r="F101" s="12"/>
      <c r="G101" s="12"/>
      <c r="H101" s="12"/>
      <c r="I101" s="12"/>
      <c r="J101" s="12"/>
      <c r="K101" s="12"/>
      <c r="L101" s="12"/>
      <c r="M101" s="12"/>
    </row>
    <row r="102" spans="3:13">
      <c r="C102" s="1860"/>
      <c r="D102" s="1208" t="s">
        <v>2529</v>
      </c>
      <c r="E102" s="3550">
        <v>2083.8741716656641</v>
      </c>
      <c r="F102" s="12"/>
      <c r="G102" s="12"/>
      <c r="H102" s="12"/>
      <c r="I102" s="12"/>
      <c r="J102" s="12"/>
      <c r="K102" s="12"/>
      <c r="L102" s="12"/>
      <c r="M102" s="12"/>
    </row>
    <row r="103" spans="3:13">
      <c r="C103" s="1860"/>
      <c r="D103" s="1208" t="s">
        <v>2530</v>
      </c>
      <c r="E103" s="3551">
        <v>103.93322431182499</v>
      </c>
      <c r="F103" s="12"/>
      <c r="G103" s="12"/>
      <c r="H103" s="12"/>
      <c r="I103" s="12"/>
      <c r="J103" s="12"/>
      <c r="K103" s="12"/>
      <c r="L103" s="12"/>
      <c r="M103" s="12"/>
    </row>
    <row r="104" spans="3:13">
      <c r="C104" s="1860"/>
      <c r="D104" s="1208" t="s">
        <v>2531</v>
      </c>
      <c r="E104" s="2962">
        <v>625.16225149969921</v>
      </c>
      <c r="F104" s="12"/>
      <c r="G104" s="12"/>
      <c r="H104" s="12"/>
      <c r="I104" s="12"/>
      <c r="J104" s="12"/>
      <c r="K104" s="12"/>
      <c r="L104" s="12"/>
      <c r="M104" s="12"/>
    </row>
    <row r="105" spans="3:13">
      <c r="C105" s="1860"/>
      <c r="D105" s="1208" t="s">
        <v>2532</v>
      </c>
      <c r="E105" s="2962">
        <v>625.16225149969921</v>
      </c>
      <c r="F105" s="12"/>
      <c r="G105" s="12"/>
      <c r="H105" s="12"/>
      <c r="I105" s="12"/>
      <c r="J105" s="12"/>
      <c r="K105" s="12"/>
      <c r="L105" s="12"/>
      <c r="M105" s="12"/>
    </row>
    <row r="106" spans="3:13">
      <c r="C106" s="12"/>
      <c r="D106" s="1209" t="s">
        <v>962</v>
      </c>
      <c r="E106" s="3552">
        <v>390.72675175827038</v>
      </c>
      <c r="F106" s="12"/>
      <c r="G106" s="12"/>
      <c r="H106" s="12"/>
      <c r="I106" s="12"/>
      <c r="J106" s="12"/>
      <c r="K106" s="12"/>
      <c r="L106" s="12"/>
      <c r="M106" s="12"/>
    </row>
    <row r="107" spans="3:13">
      <c r="C107" s="12"/>
      <c r="D107" s="12"/>
      <c r="E107" s="12"/>
      <c r="F107" s="12"/>
      <c r="G107" s="12"/>
      <c r="H107" s="12"/>
      <c r="I107" s="12"/>
      <c r="J107" s="12"/>
      <c r="K107" s="12"/>
      <c r="L107" s="12"/>
      <c r="M107" s="12"/>
    </row>
    <row r="108" spans="3:13" ht="15.75">
      <c r="C108" s="12"/>
      <c r="D108" s="180" t="s">
        <v>1423</v>
      </c>
      <c r="E108" s="867"/>
      <c r="F108" s="867"/>
      <c r="G108" s="867"/>
      <c r="H108" s="867"/>
      <c r="I108" s="867"/>
      <c r="J108" s="867"/>
      <c r="K108" s="867"/>
      <c r="L108" s="867"/>
      <c r="M108" s="12"/>
    </row>
    <row r="109" spans="3:13">
      <c r="C109" s="12"/>
      <c r="D109" s="12"/>
      <c r="E109" s="12"/>
      <c r="F109" s="12"/>
      <c r="G109" s="12"/>
      <c r="H109" s="12"/>
      <c r="I109" s="12"/>
      <c r="J109" s="12"/>
      <c r="K109" s="12"/>
      <c r="L109" s="12"/>
      <c r="M109" s="12"/>
    </row>
    <row r="110" spans="3:13">
      <c r="C110" s="12"/>
      <c r="D110" s="1036" t="s">
        <v>869</v>
      </c>
      <c r="E110" s="1211" t="s">
        <v>2546</v>
      </c>
      <c r="F110" s="1211" t="s">
        <v>2547</v>
      </c>
      <c r="G110" s="12"/>
      <c r="H110" s="12"/>
      <c r="I110" s="12"/>
      <c r="J110" s="12"/>
      <c r="K110" s="12"/>
      <c r="L110" s="12"/>
      <c r="M110" s="12"/>
    </row>
    <row r="111" spans="3:13">
      <c r="C111" s="12"/>
      <c r="D111" s="1212" t="s">
        <v>2548</v>
      </c>
      <c r="E111" s="1213">
        <v>3</v>
      </c>
      <c r="F111" s="1214">
        <v>0.58585679840599858</v>
      </c>
      <c r="G111" s="1645"/>
      <c r="H111" s="12"/>
      <c r="I111" s="12"/>
      <c r="J111" s="12"/>
      <c r="K111" s="12"/>
      <c r="L111" s="12"/>
      <c r="M111" s="12"/>
    </row>
    <row r="112" spans="3:13">
      <c r="C112" s="12"/>
      <c r="D112" s="12"/>
      <c r="E112" s="12"/>
      <c r="F112" s="12"/>
      <c r="G112" s="12"/>
      <c r="H112" s="12"/>
      <c r="I112" s="12"/>
      <c r="J112" s="12"/>
      <c r="K112" s="12"/>
      <c r="L112" s="12"/>
      <c r="M112" s="12"/>
    </row>
    <row r="113" spans="3:13" ht="15.75">
      <c r="C113" s="12"/>
      <c r="D113" s="1215" t="s">
        <v>1426</v>
      </c>
      <c r="E113" s="1216"/>
      <c r="F113" s="867"/>
      <c r="G113" s="867"/>
      <c r="H113" s="867"/>
      <c r="I113" s="867"/>
      <c r="J113" s="867"/>
      <c r="K113" s="867"/>
      <c r="L113" s="867"/>
      <c r="M113" s="12"/>
    </row>
    <row r="114" spans="3:13">
      <c r="C114" s="12"/>
      <c r="D114" s="1156"/>
      <c r="E114" s="1217"/>
      <c r="F114" s="12"/>
      <c r="G114" s="12"/>
      <c r="H114" s="12"/>
      <c r="I114" s="12"/>
      <c r="J114" s="12"/>
      <c r="K114" s="12"/>
      <c r="L114" s="12"/>
      <c r="M114" s="12"/>
    </row>
    <row r="115" spans="3:13">
      <c r="C115" s="12"/>
      <c r="D115" s="1156"/>
      <c r="E115" s="1217" t="s">
        <v>2549</v>
      </c>
      <c r="F115" s="12"/>
      <c r="G115" s="12"/>
      <c r="H115" s="12"/>
      <c r="I115" s="12"/>
      <c r="J115" s="12"/>
      <c r="K115" s="12"/>
      <c r="L115" s="12"/>
      <c r="M115" s="12"/>
    </row>
    <row r="116" spans="3:13">
      <c r="C116" s="12"/>
      <c r="D116" s="1153" t="s">
        <v>869</v>
      </c>
      <c r="E116" s="1008"/>
      <c r="F116" s="12"/>
      <c r="G116" s="12"/>
      <c r="H116" s="12"/>
      <c r="I116" s="12"/>
      <c r="J116" s="12"/>
      <c r="K116" s="12"/>
      <c r="L116" s="12"/>
      <c r="M116" s="12"/>
    </row>
    <row r="117" spans="3:13">
      <c r="C117" s="12"/>
      <c r="D117" s="1011" t="s">
        <v>2550</v>
      </c>
      <c r="E117" s="1218">
        <v>3.2553844444444446E-9</v>
      </c>
      <c r="F117" s="12"/>
      <c r="G117" s="12"/>
      <c r="H117" s="12"/>
      <c r="I117" s="12"/>
      <c r="J117" s="12"/>
      <c r="K117" s="12"/>
      <c r="L117" s="12"/>
      <c r="M117" s="12"/>
    </row>
    <row r="118" spans="3:13">
      <c r="C118" s="12"/>
      <c r="D118" s="1219" t="s">
        <v>2551</v>
      </c>
      <c r="E118" s="1220">
        <v>4.3966866666666668E-9</v>
      </c>
      <c r="F118" s="12"/>
      <c r="G118" s="12"/>
      <c r="H118" s="12"/>
      <c r="I118" s="12"/>
      <c r="J118" s="12"/>
      <c r="K118" s="12"/>
      <c r="L118" s="12"/>
      <c r="M118" s="12"/>
    </row>
    <row r="119" spans="3:13">
      <c r="C119" s="12"/>
      <c r="D119" s="12"/>
      <c r="E119" s="12"/>
      <c r="F119" s="12"/>
      <c r="G119" s="12"/>
      <c r="H119" s="12"/>
      <c r="I119" s="12"/>
      <c r="J119" s="12"/>
      <c r="K119" s="12"/>
      <c r="L119" s="12"/>
      <c r="M119" s="12"/>
    </row>
    <row r="120" spans="3:13">
      <c r="C120" s="516"/>
      <c r="D120" s="516"/>
      <c r="E120" s="516"/>
      <c r="F120" s="516"/>
      <c r="G120" s="516"/>
      <c r="H120" s="516"/>
      <c r="I120" s="516"/>
      <c r="J120" s="516"/>
      <c r="K120" s="516"/>
      <c r="L120" s="516"/>
      <c r="M120" s="12"/>
    </row>
    <row r="121" spans="3:13">
      <c r="C121" s="12"/>
      <c r="D121" s="1222" t="s">
        <v>1432</v>
      </c>
      <c r="E121" s="1223"/>
      <c r="F121" s="1223"/>
      <c r="G121" s="1223"/>
      <c r="H121" s="1223"/>
      <c r="I121" s="1223"/>
      <c r="J121" s="1223"/>
      <c r="K121" s="1223"/>
      <c r="L121" s="1223"/>
      <c r="M121" s="12"/>
    </row>
    <row r="122" spans="3:13">
      <c r="C122" s="12"/>
      <c r="D122" s="360"/>
      <c r="E122" s="192"/>
      <c r="F122" s="192"/>
      <c r="G122" s="192"/>
      <c r="H122" s="192"/>
      <c r="I122" s="192"/>
      <c r="J122" s="192"/>
      <c r="K122" s="192"/>
      <c r="L122" s="1217"/>
      <c r="M122" s="12"/>
    </row>
    <row r="123" spans="3:13">
      <c r="C123" s="12"/>
      <c r="D123" s="360"/>
      <c r="E123" s="192"/>
      <c r="F123" s="192"/>
      <c r="G123" s="192"/>
      <c r="H123" s="192"/>
      <c r="I123" s="192"/>
      <c r="J123" s="192"/>
      <c r="K123" s="192"/>
      <c r="L123" s="3553" t="s">
        <v>2552</v>
      </c>
      <c r="M123" s="12"/>
    </row>
    <row r="124" spans="3:13">
      <c r="C124" s="12"/>
      <c r="D124" s="1036" t="s">
        <v>869</v>
      </c>
      <c r="E124" s="3554">
        <v>2018</v>
      </c>
      <c r="F124" s="3554">
        <v>2020</v>
      </c>
      <c r="G124" s="3554">
        <v>2025</v>
      </c>
      <c r="H124" s="3554">
        <v>2030</v>
      </c>
      <c r="I124" s="3554">
        <v>2035</v>
      </c>
      <c r="J124" s="3554">
        <v>2040</v>
      </c>
      <c r="K124" s="3554">
        <v>2045</v>
      </c>
      <c r="L124" s="3554">
        <v>2050</v>
      </c>
      <c r="M124" s="12"/>
    </row>
    <row r="125" spans="3:13">
      <c r="C125" s="12"/>
      <c r="D125" s="2134" t="s">
        <v>2529</v>
      </c>
      <c r="E125" s="3555">
        <v>14.76</v>
      </c>
      <c r="F125" s="3555">
        <v>14.76</v>
      </c>
      <c r="G125" s="3555">
        <v>14.76</v>
      </c>
      <c r="H125" s="3555">
        <v>14.76</v>
      </c>
      <c r="I125" s="3555">
        <v>14.76</v>
      </c>
      <c r="J125" s="3555">
        <v>14.76</v>
      </c>
      <c r="K125" s="3555">
        <v>14.76</v>
      </c>
      <c r="L125" s="3555">
        <v>14.76</v>
      </c>
      <c r="M125" s="12"/>
    </row>
    <row r="126" spans="3:13">
      <c r="C126" s="12"/>
      <c r="D126" s="2134" t="s">
        <v>2531</v>
      </c>
      <c r="E126" s="3555">
        <v>5.3800000000000008</v>
      </c>
      <c r="F126" s="3555">
        <v>5.3800000000000008</v>
      </c>
      <c r="G126" s="3555">
        <v>5.3800000000000008</v>
      </c>
      <c r="H126" s="3555">
        <v>5.3800000000000008</v>
      </c>
      <c r="I126" s="3555">
        <v>5.3800000000000008</v>
      </c>
      <c r="J126" s="3555">
        <v>5.3800000000000008</v>
      </c>
      <c r="K126" s="3555">
        <v>5.3800000000000008</v>
      </c>
      <c r="L126" s="3555">
        <v>5.3800000000000008</v>
      </c>
      <c r="M126" s="12"/>
    </row>
    <row r="127" spans="3:13">
      <c r="C127" s="12"/>
      <c r="D127" s="2134" t="s">
        <v>2532</v>
      </c>
      <c r="E127" s="3098">
        <v>2.9</v>
      </c>
      <c r="F127" s="3098">
        <v>3.25</v>
      </c>
      <c r="G127" s="3098">
        <v>4.125</v>
      </c>
      <c r="H127" s="3098">
        <v>5</v>
      </c>
      <c r="I127" s="3098">
        <v>5.875</v>
      </c>
      <c r="J127" s="3098">
        <v>6.75</v>
      </c>
      <c r="K127" s="3098">
        <v>7.625</v>
      </c>
      <c r="L127" s="3098">
        <v>8.5</v>
      </c>
      <c r="M127" s="12"/>
    </row>
    <row r="128" spans="3:13">
      <c r="C128" s="12"/>
      <c r="D128" s="3565" t="s">
        <v>2530</v>
      </c>
      <c r="E128" s="3556">
        <v>0.29599999999999993</v>
      </c>
      <c r="F128" s="3556">
        <v>0.29599999999999993</v>
      </c>
      <c r="G128" s="3556">
        <v>0.29599999999999993</v>
      </c>
      <c r="H128" s="3556">
        <v>0.29599999999999993</v>
      </c>
      <c r="I128" s="3556">
        <v>0.29599999999999993</v>
      </c>
      <c r="J128" s="3556">
        <v>0.29599999999999993</v>
      </c>
      <c r="K128" s="3556">
        <v>0.29599999999999993</v>
      </c>
      <c r="L128" s="3556">
        <v>0.29599999999999993</v>
      </c>
      <c r="M128" s="12"/>
    </row>
    <row r="129" spans="3:13">
      <c r="C129" s="12"/>
      <c r="D129" s="2134"/>
      <c r="E129" s="3555"/>
      <c r="F129" s="3555"/>
      <c r="G129" s="3555"/>
      <c r="H129" s="3555"/>
      <c r="I129" s="3555"/>
      <c r="J129" s="3555"/>
      <c r="K129" s="3555"/>
      <c r="L129" s="3555"/>
      <c r="M129" s="12"/>
    </row>
    <row r="130" spans="3:13">
      <c r="C130" s="12"/>
      <c r="D130" s="2133" t="s">
        <v>2553</v>
      </c>
      <c r="E130" s="2133"/>
      <c r="F130" s="2133"/>
      <c r="G130" s="2133"/>
      <c r="H130" s="2133"/>
      <c r="I130" s="2133"/>
      <c r="J130" s="2133"/>
      <c r="K130" s="2133"/>
      <c r="L130" s="2133"/>
      <c r="M130" s="12"/>
    </row>
    <row r="131" spans="3:13">
      <c r="C131" s="12"/>
      <c r="D131" s="3557"/>
      <c r="E131" s="3558"/>
      <c r="F131" s="3558"/>
      <c r="G131" s="3558"/>
      <c r="H131" s="3553" t="s">
        <v>2552</v>
      </c>
      <c r="I131" s="3558"/>
      <c r="J131" s="3558"/>
      <c r="K131" s="3558"/>
      <c r="L131" s="3558"/>
      <c r="M131" s="12"/>
    </row>
    <row r="132" spans="3:13" ht="38.25">
      <c r="C132" s="12"/>
      <c r="D132" s="3559" t="s">
        <v>2554</v>
      </c>
      <c r="E132" s="3559"/>
      <c r="F132" s="3560" t="s">
        <v>2555</v>
      </c>
      <c r="G132" s="3561" t="s">
        <v>2556</v>
      </c>
      <c r="H132" s="3561" t="s">
        <v>2531</v>
      </c>
      <c r="I132" s="3555"/>
      <c r="J132" s="3555"/>
      <c r="K132" s="3555"/>
      <c r="L132" s="3555"/>
      <c r="M132" s="12"/>
    </row>
    <row r="133" spans="3:13">
      <c r="C133" s="12"/>
      <c r="D133" s="3557" t="s">
        <v>2557</v>
      </c>
      <c r="E133" s="3557"/>
      <c r="F133" s="3562">
        <v>0.29599999999999999</v>
      </c>
      <c r="G133" s="3563">
        <v>8.9</v>
      </c>
      <c r="H133" s="3563">
        <v>2.9</v>
      </c>
      <c r="I133" s="3555"/>
      <c r="J133" s="3555"/>
      <c r="K133" s="3555"/>
      <c r="L133" s="3555"/>
      <c r="M133" s="12"/>
    </row>
    <row r="134" spans="3:13">
      <c r="C134" s="12"/>
      <c r="D134" s="3557" t="s">
        <v>2558</v>
      </c>
      <c r="E134" s="3557"/>
      <c r="F134" s="3562">
        <v>0.29599999999999999</v>
      </c>
      <c r="G134" s="3563">
        <v>11.5</v>
      </c>
      <c r="H134" s="3563">
        <v>3.7</v>
      </c>
      <c r="I134" s="3555"/>
      <c r="J134" s="3555"/>
      <c r="K134" s="3555"/>
      <c r="L134" s="3555"/>
      <c r="M134" s="12"/>
    </row>
    <row r="135" spans="3:13">
      <c r="C135" s="12"/>
      <c r="D135" s="3557" t="s">
        <v>2559</v>
      </c>
      <c r="E135" s="3557"/>
      <c r="F135" s="3562">
        <v>0.29599999999999999</v>
      </c>
      <c r="G135" s="3563">
        <v>8.9</v>
      </c>
      <c r="H135" s="3563">
        <v>2.9</v>
      </c>
      <c r="I135" s="3555"/>
      <c r="J135" s="3555"/>
      <c r="K135" s="3555"/>
      <c r="L135" s="3555"/>
      <c r="M135" s="12"/>
    </row>
    <row r="136" spans="3:13">
      <c r="C136" s="12"/>
      <c r="D136" s="3557" t="s">
        <v>2560</v>
      </c>
      <c r="E136" s="3557"/>
      <c r="F136" s="3562">
        <v>0.29599999999999999</v>
      </c>
      <c r="G136" s="3563">
        <v>21.6</v>
      </c>
      <c r="H136" s="3563">
        <v>8.5</v>
      </c>
      <c r="I136" s="3555"/>
      <c r="J136" s="3555"/>
      <c r="K136" s="3555"/>
      <c r="L136" s="3555"/>
      <c r="M136" s="12"/>
    </row>
    <row r="137" spans="3:13">
      <c r="C137" s="12"/>
      <c r="D137" s="3557" t="s">
        <v>2561</v>
      </c>
      <c r="E137" s="3557"/>
      <c r="F137" s="3562">
        <v>0.29599999999999999</v>
      </c>
      <c r="G137" s="3563">
        <v>21.6</v>
      </c>
      <c r="H137" s="3563">
        <v>8.5</v>
      </c>
      <c r="I137" s="3555"/>
      <c r="J137" s="3555"/>
      <c r="K137" s="3555"/>
      <c r="L137" s="3555"/>
      <c r="M137" s="12"/>
    </row>
    <row r="138" spans="3:13">
      <c r="C138" s="12"/>
      <c r="D138" s="3557" t="s">
        <v>2562</v>
      </c>
      <c r="E138" s="3557"/>
      <c r="F138" s="3562">
        <v>0.29599999999999999</v>
      </c>
      <c r="G138" s="3563">
        <v>21.6</v>
      </c>
      <c r="H138" s="3563">
        <v>8.5</v>
      </c>
      <c r="I138" s="3555"/>
      <c r="J138" s="3555"/>
      <c r="K138" s="3555"/>
      <c r="L138" s="3555"/>
      <c r="M138" s="12"/>
    </row>
    <row r="139" spans="3:13">
      <c r="C139" s="12"/>
      <c r="D139" s="3557" t="s">
        <v>2563</v>
      </c>
      <c r="E139" s="3557"/>
      <c r="F139" s="3562">
        <v>0.29599999999999999</v>
      </c>
      <c r="G139" s="3563">
        <v>11.5</v>
      </c>
      <c r="H139" s="3563">
        <v>3.7</v>
      </c>
      <c r="I139" s="3555"/>
      <c r="J139" s="3555"/>
      <c r="K139" s="3555"/>
      <c r="L139" s="3555"/>
      <c r="M139" s="12"/>
    </row>
    <row r="140" spans="3:13">
      <c r="C140" s="12"/>
      <c r="D140" s="3557" t="s">
        <v>2564</v>
      </c>
      <c r="E140" s="3557"/>
      <c r="F140" s="3562">
        <v>0.29599999999999999</v>
      </c>
      <c r="G140" s="3563">
        <v>21.6</v>
      </c>
      <c r="H140" s="3563">
        <v>8.5</v>
      </c>
      <c r="I140" s="3555"/>
      <c r="J140" s="3555"/>
      <c r="K140" s="3555"/>
      <c r="L140" s="3555"/>
      <c r="M140" s="12"/>
    </row>
    <row r="141" spans="3:13">
      <c r="C141" s="12"/>
      <c r="D141" s="3557" t="s">
        <v>2565</v>
      </c>
      <c r="E141" s="3557"/>
      <c r="F141" s="3562">
        <v>0.29599999999999999</v>
      </c>
      <c r="G141" s="3563">
        <v>8.9</v>
      </c>
      <c r="H141" s="3563">
        <v>2.9</v>
      </c>
      <c r="I141" s="3555"/>
      <c r="J141" s="3555"/>
      <c r="K141" s="3555"/>
      <c r="L141" s="3555"/>
      <c r="M141" s="12"/>
    </row>
    <row r="142" spans="3:13">
      <c r="C142" s="12"/>
      <c r="D142" s="3557" t="s">
        <v>2566</v>
      </c>
      <c r="E142" s="3557"/>
      <c r="F142" s="3562">
        <v>0.29599999999999999</v>
      </c>
      <c r="G142" s="3563">
        <v>11.5</v>
      </c>
      <c r="H142" s="3563">
        <v>3.7</v>
      </c>
      <c r="I142" s="3555"/>
      <c r="J142" s="3555"/>
      <c r="K142" s="3555"/>
      <c r="L142" s="3555"/>
      <c r="M142" s="12"/>
    </row>
    <row r="143" spans="3:13">
      <c r="C143" s="12"/>
      <c r="D143" s="3559" t="s">
        <v>2567</v>
      </c>
      <c r="E143" s="3559"/>
      <c r="F143" s="3564">
        <f>AVERAGE(F133:F142)</f>
        <v>0.29599999999999993</v>
      </c>
      <c r="G143" s="3564">
        <f>AVERAGE(G133:G142)</f>
        <v>14.76</v>
      </c>
      <c r="H143" s="3564">
        <f>AVERAGE(H133:H142)</f>
        <v>5.3800000000000008</v>
      </c>
      <c r="I143" s="3555"/>
      <c r="J143" s="3555"/>
      <c r="K143" s="3555"/>
      <c r="L143" s="3555"/>
      <c r="M143" s="12"/>
    </row>
    <row r="144" spans="3:13">
      <c r="C144" s="12"/>
      <c r="D144" s="3557"/>
      <c r="E144" s="3555"/>
      <c r="F144" s="3555"/>
      <c r="G144" s="3555"/>
      <c r="H144" s="3555"/>
      <c r="I144" s="3555"/>
      <c r="J144" s="3555"/>
      <c r="K144" s="3555"/>
      <c r="L144" s="3555"/>
      <c r="M144" s="12"/>
    </row>
    <row r="145" spans="3:13">
      <c r="C145" s="12"/>
      <c r="D145" s="12"/>
      <c r="E145" s="12"/>
      <c r="F145" s="12"/>
      <c r="G145" s="12"/>
      <c r="H145" s="12"/>
      <c r="I145" s="12"/>
      <c r="J145" s="12"/>
      <c r="K145" s="12"/>
      <c r="L145" s="12"/>
      <c r="M145" s="12"/>
    </row>
    <row r="146" spans="3:13">
      <c r="C146" s="12"/>
      <c r="D146" s="1222" t="s">
        <v>1435</v>
      </c>
      <c r="E146" s="1223"/>
      <c r="F146" s="1223"/>
      <c r="G146" s="1223"/>
      <c r="H146" s="1223"/>
      <c r="I146" s="1223"/>
      <c r="J146" s="1223"/>
      <c r="K146" s="1223"/>
      <c r="L146" s="1223"/>
      <c r="M146" s="12"/>
    </row>
    <row r="147" spans="3:13">
      <c r="C147" s="12"/>
      <c r="D147" s="192"/>
      <c r="E147" s="192"/>
      <c r="F147" s="192"/>
      <c r="G147" s="192"/>
      <c r="H147" s="192"/>
      <c r="I147" s="192"/>
      <c r="J147" s="192"/>
      <c r="K147" s="192"/>
      <c r="L147" s="1012"/>
      <c r="M147" s="12"/>
    </row>
    <row r="148" spans="3:13">
      <c r="C148" s="12"/>
      <c r="D148" s="192"/>
      <c r="E148" s="192"/>
      <c r="F148" s="192"/>
      <c r="G148" s="192"/>
      <c r="H148" s="192"/>
      <c r="I148" s="192"/>
      <c r="J148" s="192"/>
      <c r="K148" s="192"/>
      <c r="L148" s="1012" t="s">
        <v>788</v>
      </c>
      <c r="M148" s="12"/>
    </row>
    <row r="149" spans="3:13">
      <c r="C149" s="12"/>
      <c r="D149" s="1008" t="s">
        <v>869</v>
      </c>
      <c r="E149" s="1221">
        <v>2018</v>
      </c>
      <c r="F149" s="1221">
        <v>2020</v>
      </c>
      <c r="G149" s="1221">
        <v>2025</v>
      </c>
      <c r="H149" s="1221">
        <v>2030</v>
      </c>
      <c r="I149" s="1221">
        <v>2035</v>
      </c>
      <c r="J149" s="1221">
        <v>2040</v>
      </c>
      <c r="K149" s="1221">
        <v>2045</v>
      </c>
      <c r="L149" s="1221">
        <v>2050</v>
      </c>
      <c r="M149" s="12"/>
    </row>
    <row r="150" spans="3:13">
      <c r="C150" s="12"/>
      <c r="D150" s="1224" t="s">
        <v>2568</v>
      </c>
      <c r="E150" s="3566">
        <v>0.1</v>
      </c>
      <c r="F150" s="3567">
        <v>0.1</v>
      </c>
      <c r="G150" s="3567">
        <v>0.1</v>
      </c>
      <c r="H150" s="3567">
        <v>0.1</v>
      </c>
      <c r="I150" s="3567">
        <v>0.1</v>
      </c>
      <c r="J150" s="3567">
        <v>0.1</v>
      </c>
      <c r="K150" s="3567">
        <v>0.1</v>
      </c>
      <c r="L150" s="3567">
        <v>0.1</v>
      </c>
      <c r="M150" s="12"/>
    </row>
    <row r="151" spans="3:13">
      <c r="C151" s="12"/>
      <c r="D151" s="1010" t="s">
        <v>962</v>
      </c>
      <c r="E151" s="3568">
        <v>1.8592927283787699</v>
      </c>
      <c r="F151" s="3569">
        <v>9.1050281488081009</v>
      </c>
      <c r="G151" s="3569">
        <v>13.126611153882401</v>
      </c>
      <c r="H151" s="3569">
        <v>14.9803891778321</v>
      </c>
      <c r="I151" s="3569">
        <v>15.416453247980501</v>
      </c>
      <c r="J151" s="3569">
        <v>13.726357402193599</v>
      </c>
      <c r="K151" s="3569">
        <v>10.7549601949167</v>
      </c>
      <c r="L151" s="3569">
        <v>8.4267927320439497</v>
      </c>
      <c r="M151" s="12"/>
    </row>
    <row r="152" spans="3:13">
      <c r="C152" s="12"/>
      <c r="D152" s="12"/>
      <c r="E152" s="12"/>
      <c r="F152" s="12"/>
      <c r="G152" s="12"/>
      <c r="H152" s="12"/>
      <c r="I152" s="12"/>
      <c r="J152" s="12"/>
      <c r="K152" s="12"/>
      <c r="L152" s="12"/>
      <c r="M152" s="12"/>
    </row>
    <row r="154" spans="3:13" ht="18.75">
      <c r="C154" s="956" t="s">
        <v>51</v>
      </c>
      <c r="D154" s="336"/>
      <c r="E154" s="908"/>
      <c r="F154" s="908"/>
      <c r="G154" s="908"/>
      <c r="H154" s="908"/>
      <c r="I154" s="908"/>
      <c r="J154" s="908"/>
      <c r="K154" s="908"/>
      <c r="L154" s="908"/>
      <c r="M154" s="336"/>
    </row>
    <row r="155" spans="3:13" ht="15.75">
      <c r="C155" s="25"/>
      <c r="D155" s="19"/>
      <c r="E155" s="754"/>
      <c r="F155" s="754"/>
      <c r="G155" s="754"/>
      <c r="H155" s="754"/>
      <c r="I155" s="754"/>
      <c r="J155" s="754"/>
      <c r="K155" s="754"/>
      <c r="L155" s="754"/>
      <c r="M155" s="40"/>
    </row>
    <row r="156" spans="3:13" ht="15.75">
      <c r="C156" s="25"/>
      <c r="D156" s="1008" t="s">
        <v>869</v>
      </c>
      <c r="E156" s="2745" t="s">
        <v>871</v>
      </c>
      <c r="F156" s="2745" t="s">
        <v>820</v>
      </c>
      <c r="G156" s="2745" t="s">
        <v>821</v>
      </c>
      <c r="H156" s="2745" t="s">
        <v>822</v>
      </c>
      <c r="I156" s="2745" t="s">
        <v>870</v>
      </c>
      <c r="J156" s="2746"/>
      <c r="K156" s="754"/>
      <c r="L156" s="754"/>
      <c r="M156" s="40"/>
    </row>
    <row r="157" spans="3:13" ht="30">
      <c r="C157" s="25"/>
      <c r="D157" s="2692" t="s">
        <v>2569</v>
      </c>
      <c r="E157" s="2747">
        <v>405.59</v>
      </c>
      <c r="F157" s="2747">
        <v>0</v>
      </c>
      <c r="G157" s="2748">
        <f>(0.8^(1/32))-1</f>
        <v>-6.9489793836314817E-3</v>
      </c>
      <c r="H157" s="2749">
        <f>(0.7^(1/32))-1</f>
        <v>-1.1084204462805003E-2</v>
      </c>
      <c r="I157" s="2753" t="s">
        <v>951</v>
      </c>
      <c r="J157" s="754"/>
      <c r="K157" s="754"/>
      <c r="L157" s="754"/>
      <c r="M157" s="40"/>
    </row>
    <row r="158" spans="3:13" ht="30">
      <c r="C158" s="25"/>
      <c r="D158" s="2692" t="s">
        <v>2570</v>
      </c>
      <c r="E158" s="2747">
        <v>540</v>
      </c>
      <c r="F158" s="2747">
        <v>0</v>
      </c>
      <c r="G158" s="2748">
        <f>(0.8^(1/32))-1</f>
        <v>-6.9489793836314817E-3</v>
      </c>
      <c r="H158" s="2749">
        <f>(0.7^(1/32))-1</f>
        <v>-1.1084204462805003E-2</v>
      </c>
      <c r="I158" s="2753" t="s">
        <v>951</v>
      </c>
      <c r="J158" s="754"/>
      <c r="K158" s="754"/>
      <c r="L158" s="754"/>
      <c r="M158" s="40"/>
    </row>
    <row r="159" spans="3:13" ht="30">
      <c r="C159" s="25"/>
      <c r="D159" s="2692" t="s">
        <v>2571</v>
      </c>
      <c r="E159" s="2747">
        <f>150000</f>
        <v>150000</v>
      </c>
      <c r="F159" s="2747">
        <v>0</v>
      </c>
      <c r="G159" s="2748">
        <f>(0.8^(1/32))-1</f>
        <v>-6.9489793836314817E-3</v>
      </c>
      <c r="H159" s="2749">
        <f>(0.7^(1/32))-1</f>
        <v>-1.1084204462805003E-2</v>
      </c>
      <c r="I159" s="2753" t="s">
        <v>961</v>
      </c>
      <c r="J159" s="754"/>
      <c r="K159" s="754"/>
      <c r="L159" s="754"/>
      <c r="M159" s="40"/>
    </row>
    <row r="160" spans="3:13" ht="30">
      <c r="C160" s="25"/>
      <c r="D160" s="2695" t="s">
        <v>2572</v>
      </c>
      <c r="E160" s="2750">
        <v>90</v>
      </c>
      <c r="F160" s="2750">
        <v>0</v>
      </c>
      <c r="G160" s="2751">
        <f>(0.8^(1/32))-1</f>
        <v>-6.9489793836314817E-3</v>
      </c>
      <c r="H160" s="2752">
        <f>(0.7^(1/32))-1</f>
        <v>-1.1084204462805003E-2</v>
      </c>
      <c r="I160" s="2754" t="s">
        <v>951</v>
      </c>
      <c r="J160" s="754"/>
      <c r="K160" s="754"/>
      <c r="L160" s="754"/>
      <c r="M160" s="40"/>
    </row>
    <row r="161" spans="3:13" ht="15.75">
      <c r="C161" s="25"/>
      <c r="D161" s="19"/>
      <c r="E161" s="754"/>
      <c r="F161" s="754"/>
      <c r="G161" s="754"/>
      <c r="H161" s="754"/>
      <c r="I161" s="754"/>
      <c r="J161" s="754"/>
      <c r="K161" s="754"/>
      <c r="L161" s="754"/>
      <c r="M161" s="40"/>
    </row>
    <row r="162" spans="3:13" ht="15.75">
      <c r="C162" s="25"/>
      <c r="D162" s="19"/>
      <c r="E162" s="754"/>
      <c r="F162" s="754"/>
      <c r="G162" s="754"/>
      <c r="H162" s="754"/>
      <c r="I162" s="754"/>
      <c r="J162" s="754"/>
      <c r="K162" s="754"/>
      <c r="L162" s="754"/>
      <c r="M162" s="40"/>
    </row>
    <row r="163" spans="3:13" ht="15.75">
      <c r="C163" s="11"/>
      <c r="D163" s="180" t="s">
        <v>2573</v>
      </c>
      <c r="E163" s="867"/>
      <c r="F163" s="867"/>
      <c r="G163" s="867"/>
      <c r="H163" s="867"/>
      <c r="I163" s="867"/>
      <c r="J163" s="867"/>
      <c r="K163" s="867"/>
      <c r="L163" s="867"/>
      <c r="M163" s="12"/>
    </row>
    <row r="164" spans="3:13">
      <c r="C164" s="11"/>
      <c r="D164" s="130"/>
      <c r="E164" s="752"/>
      <c r="F164" s="752"/>
      <c r="G164" s="876"/>
      <c r="H164" s="876"/>
      <c r="I164" s="876"/>
      <c r="J164" s="876"/>
      <c r="K164" s="876"/>
      <c r="L164" s="752"/>
      <c r="M164" s="12"/>
    </row>
    <row r="165" spans="3:13">
      <c r="C165" s="11"/>
      <c r="D165" s="201" t="s">
        <v>958</v>
      </c>
      <c r="E165" s="752"/>
      <c r="F165" s="752"/>
      <c r="G165" s="752"/>
      <c r="H165" s="752"/>
      <c r="I165" s="752"/>
      <c r="J165" s="752"/>
      <c r="K165" s="752"/>
      <c r="L165" s="868" t="s">
        <v>2495</v>
      </c>
      <c r="M165" s="12"/>
    </row>
    <row r="166" spans="3:13">
      <c r="C166" s="11"/>
      <c r="D166" s="1225" t="s">
        <v>869</v>
      </c>
      <c r="E166" s="870">
        <v>2018</v>
      </c>
      <c r="F166" s="870" t="s">
        <v>322</v>
      </c>
      <c r="G166" s="870">
        <v>2025</v>
      </c>
      <c r="H166" s="870" t="s">
        <v>324</v>
      </c>
      <c r="I166" s="870" t="s">
        <v>325</v>
      </c>
      <c r="J166" s="870" t="s">
        <v>326</v>
      </c>
      <c r="K166" s="870" t="s">
        <v>327</v>
      </c>
      <c r="L166" s="870" t="s">
        <v>328</v>
      </c>
      <c r="M166" s="12"/>
    </row>
    <row r="167" spans="3:13">
      <c r="C167" s="11"/>
      <c r="D167" s="203" t="s">
        <v>820</v>
      </c>
      <c r="E167" s="1226">
        <f>E$102*(1+INDEX(CHOOSE(TRAYECTORIA_1_PRACTICAS_SOSTENIBLES_SUELOS_GANADEROS,E$28,E$29,E$30,E$31),0))*(E$157*(1+F$157)^(E$166-E$166))*COSTOS_2019_US_dolares_MMCOP</f>
        <v>2.4987702761109243</v>
      </c>
      <c r="F167" s="1226" cm="1">
        <f t="array" ref="F167:L167">E$102*(1+INDEX(CHOOSE(TRAYECTORIA_1_PRACTICAS_SOSTENIBLES_SUELOS_GANADEROS,F$28:L$28,F$29:L$29,F$30:L$30,F$31:L$31),0))*(E$157*(1+F$157)^(F$166-E$166))*COSTOS_2019_US_dolares_MMCOP</f>
        <v>2.4987702761109243</v>
      </c>
      <c r="G167" s="1226">
        <v>2.4987702761109243</v>
      </c>
      <c r="H167" s="1226">
        <v>2.4987702761109243</v>
      </c>
      <c r="I167" s="1226">
        <v>2.4987702761109243</v>
      </c>
      <c r="J167" s="1226">
        <v>2.4987702761109243</v>
      </c>
      <c r="K167" s="1226">
        <v>2.4987702761109243</v>
      </c>
      <c r="L167" s="1226">
        <v>2.4987702761109243</v>
      </c>
      <c r="M167" s="12"/>
    </row>
    <row r="168" spans="3:13">
      <c r="C168" s="11"/>
      <c r="D168" s="203" t="s">
        <v>821</v>
      </c>
      <c r="E168" s="1227">
        <f>E$102*(1+INDEX(CHOOSE(TRAYECTORIA_1_PRACTICAS_SOSTENIBLES_SUELOS_GANADEROS,E$28,E$29,E$30,E$31),0))*(E$157*(1+G$157)^(E$166-E$166))*COSTOS_2019_US_dolares_MMCOP</f>
        <v>2.4987702761109243</v>
      </c>
      <c r="F168" s="1227" cm="1">
        <f t="array" ref="F168:L168">E$102*(1+INDEX(CHOOSE(TRAYECTORIA_1_PRACTICAS_SOSTENIBLES_SUELOS_GANADEROS,F$28:L$28,F$29:L$29,F$30:L$30,F$31:L$31),0))*(E$157*(1+G$157)^(F$166-E$166))*COSTOS_2019_US_dolares_MMCOP</f>
        <v>2.4641631312495633</v>
      </c>
      <c r="G168" s="1227">
        <v>2.4641631312495633</v>
      </c>
      <c r="H168" s="1227">
        <v>2.4641631312495633</v>
      </c>
      <c r="I168" s="1227">
        <v>2.4641631312495633</v>
      </c>
      <c r="J168" s="1227">
        <v>2.4641631312495633</v>
      </c>
      <c r="K168" s="1227">
        <v>2.4641631312495633</v>
      </c>
      <c r="L168" s="1227">
        <v>2.4641631312495633</v>
      </c>
      <c r="M168" s="12"/>
    </row>
    <row r="169" spans="3:13">
      <c r="C169" s="11"/>
      <c r="D169" s="204" t="s">
        <v>822</v>
      </c>
      <c r="E169" s="1228">
        <f>E$102*(1+INDEX(CHOOSE(TRAYECTORIA_1_PRACTICAS_SOSTENIBLES_SUELOS_GANADEROS,E$28,E$29,E$30,E$31),0))*(E$157*(1+H$157)^(E$166-E$166))*COSTOS_2019_US_dolares_MMCOP</f>
        <v>2.4987702761109243</v>
      </c>
      <c r="F169" s="1228" cm="1">
        <f t="array" ref="F169:L169">E$102*(1+INDEX(CHOOSE(TRAYECTORIA_1_PRACTICAS_SOSTENIBLES_SUELOS_GANADEROS,F$28:L$28,F$29:L$29,F$30:L$30,F$31:L$31),0))*(E$157*(1+H$157)^(F$166-E$166))*COSTOS_2019_US_dolares_MMCOP</f>
        <v>2.443683512707</v>
      </c>
      <c r="G169" s="1228">
        <v>2.443683512707</v>
      </c>
      <c r="H169" s="1228">
        <v>2.443683512707</v>
      </c>
      <c r="I169" s="1228">
        <v>2.443683512707</v>
      </c>
      <c r="J169" s="1228">
        <v>2.443683512707</v>
      </c>
      <c r="K169" s="1228">
        <v>2.443683512707</v>
      </c>
      <c r="L169" s="1228">
        <v>2.443683512707</v>
      </c>
      <c r="M169" s="12"/>
    </row>
    <row r="170" spans="3:13">
      <c r="C170" s="12"/>
      <c r="D170" s="12"/>
      <c r="E170" s="12"/>
      <c r="F170" s="12"/>
      <c r="G170" s="12"/>
      <c r="H170" s="12"/>
      <c r="I170" s="12"/>
      <c r="J170" s="12"/>
      <c r="K170" s="12"/>
      <c r="L170" s="12"/>
      <c r="M170" s="12"/>
    </row>
    <row r="171" spans="3:13">
      <c r="C171" s="12"/>
      <c r="D171" s="201" t="s">
        <v>2574</v>
      </c>
      <c r="E171" s="752"/>
      <c r="F171" s="752"/>
      <c r="G171" s="752"/>
      <c r="H171" s="752"/>
      <c r="I171" s="752"/>
      <c r="J171" s="752"/>
      <c r="K171" s="752"/>
      <c r="L171" s="868" t="s">
        <v>2495</v>
      </c>
      <c r="M171" s="12"/>
    </row>
    <row r="172" spans="3:13">
      <c r="C172" s="12"/>
      <c r="D172" s="1225" t="s">
        <v>869</v>
      </c>
      <c r="E172" s="870">
        <v>2018</v>
      </c>
      <c r="F172" s="870" t="s">
        <v>322</v>
      </c>
      <c r="G172" s="870">
        <v>2025</v>
      </c>
      <c r="H172" s="870" t="s">
        <v>324</v>
      </c>
      <c r="I172" s="870" t="s">
        <v>325</v>
      </c>
      <c r="J172" s="870" t="s">
        <v>326</v>
      </c>
      <c r="K172" s="870" t="s">
        <v>327</v>
      </c>
      <c r="L172" s="870" t="s">
        <v>328</v>
      </c>
      <c r="M172" s="12"/>
    </row>
    <row r="173" spans="3:13">
      <c r="C173" s="12"/>
      <c r="D173" s="203" t="s">
        <v>820</v>
      </c>
      <c r="E173" s="1226">
        <f>E$103*(1+INDEX(CHOOSE(TRAYECTORIA_1_PRACTICAS_SOSTENIBLES_SUELOS_GANADEROS,E$51,E$52,E$53,E$54),0))*(E$158*(1+F$158)^(E$172-E$172))*COSTOS_2019_US_dolares_MMCOP</f>
        <v>0.1659265032701927</v>
      </c>
      <c r="F173" s="1226" cm="1">
        <f t="array" ref="F173:L173">E$103*(1+INDEX(CHOOSE(TRAYECTORIA_1_PRACTICAS_SOSTENIBLES_SUELOS_GANADEROS,F$51:L$51,F$52:L$52,F$53:L$53,F$54:L$54),0))*(E$158*(1+F$158)^(F$172-E$172))*COSTOS_2019_US_dolares_MMCOP</f>
        <v>0.1659265032701927</v>
      </c>
      <c r="G173" s="1226">
        <v>0.1659265032701927</v>
      </c>
      <c r="H173" s="1226">
        <v>0.1659265032701927</v>
      </c>
      <c r="I173" s="1226">
        <v>0.1659265032701927</v>
      </c>
      <c r="J173" s="1226">
        <v>0.1659265032701927</v>
      </c>
      <c r="K173" s="1226">
        <v>0.1659265032701927</v>
      </c>
      <c r="L173" s="1226">
        <v>0.1659265032701927</v>
      </c>
      <c r="M173" s="12"/>
    </row>
    <row r="174" spans="3:13">
      <c r="C174" s="12"/>
      <c r="D174" s="203" t="s">
        <v>821</v>
      </c>
      <c r="E174" s="1227">
        <f>E$103*(1+INDEX(CHOOSE(TRAYECTORIA_1_PRACTICAS_SOSTENIBLES_SUELOS_GANADEROS,E$51,E$52,E$53,E$54),0))*(E$158*(1+G$158)^(E$172-E$172))*COSTOS_2019_US_dolares_MMCOP</f>
        <v>0.1659265032701927</v>
      </c>
      <c r="F174" s="1227" cm="1">
        <f t="array" ref="F174:L174">E$103*(1+INDEX(CHOOSE(TRAYECTORIA_1_PRACTICAS_SOSTENIBLES_SUELOS_GANADEROS,F$51:L$51,F$52:L$52,F$53:L$53,F$54:L$54),0))*(E$158*(1+G$158)^(F$172-E$172))*COSTOS_2019_US_dolares_MMCOP</f>
        <v>0.16362847588051696</v>
      </c>
      <c r="G174" s="1227">
        <v>0.16362847588051696</v>
      </c>
      <c r="H174" s="1227">
        <v>0.16362847588051696</v>
      </c>
      <c r="I174" s="1227">
        <v>0.16362847588051696</v>
      </c>
      <c r="J174" s="1227">
        <v>0.16362847588051696</v>
      </c>
      <c r="K174" s="1227">
        <v>0.16362847588051696</v>
      </c>
      <c r="L174" s="1227">
        <v>0.16362847588051696</v>
      </c>
      <c r="M174" s="12"/>
    </row>
    <row r="175" spans="3:13">
      <c r="C175" s="12"/>
      <c r="D175" s="204" t="s">
        <v>822</v>
      </c>
      <c r="E175" s="1228">
        <f>E$103*(1+INDEX(CHOOSE(TRAYECTORIA_1_PRACTICAS_SOSTENIBLES_SUELOS_GANADEROS,E$51,E$52,E$53,E$54),0))*(E$158*(1+H$158)^(E$172-E$172))*COSTOS_2019_US_dolares_MMCOP</f>
        <v>0.1659265032701927</v>
      </c>
      <c r="F175" s="1228" cm="1">
        <f t="array" ref="F175:L175">E$103*(1+INDEX(CHOOSE(TRAYECTORIA_1_PRACTICAS_SOSTENIBLES_SUELOS_GANADEROS,F$51:L$51,F$52:L$52,F$53:L$53,F$54:L$54),0))*(E$158*(1+H$158)^(F$172-E$172))*COSTOS_2019_US_dolares_MMCOP</f>
        <v>0.16226856235602768</v>
      </c>
      <c r="G175" s="1228">
        <v>0.16226856235602768</v>
      </c>
      <c r="H175" s="1228">
        <v>0.16226856235602768</v>
      </c>
      <c r="I175" s="1228">
        <v>0.16226856235602768</v>
      </c>
      <c r="J175" s="1228">
        <v>0.16226856235602768</v>
      </c>
      <c r="K175" s="1228">
        <v>0.16226856235602768</v>
      </c>
      <c r="L175" s="1228">
        <v>0.16226856235602768</v>
      </c>
      <c r="M175" s="12"/>
    </row>
    <row r="176" spans="3:13">
      <c r="C176" s="12"/>
      <c r="D176" s="12"/>
      <c r="E176" s="12"/>
      <c r="F176" s="12"/>
      <c r="G176" s="12"/>
      <c r="H176" s="12"/>
      <c r="I176" s="12"/>
      <c r="J176" s="12"/>
      <c r="K176" s="12"/>
      <c r="L176" s="12"/>
      <c r="M176" s="12"/>
    </row>
    <row r="177" spans="3:14" ht="15.75">
      <c r="C177" s="11"/>
      <c r="D177" s="180" t="s">
        <v>2575</v>
      </c>
      <c r="E177" s="867"/>
      <c r="F177" s="867"/>
      <c r="G177" s="867"/>
      <c r="H177" s="867"/>
      <c r="I177" s="867"/>
      <c r="J177" s="867"/>
      <c r="K177" s="867"/>
      <c r="L177" s="867"/>
      <c r="M177" s="12"/>
    </row>
    <row r="178" spans="3:14">
      <c r="C178" s="11"/>
      <c r="D178" s="130"/>
      <c r="E178" s="752"/>
      <c r="F178" s="752"/>
      <c r="G178" s="876"/>
      <c r="H178" s="876"/>
      <c r="I178" s="876"/>
      <c r="J178" s="876"/>
      <c r="K178" s="876"/>
      <c r="L178" s="752"/>
      <c r="M178" s="12"/>
    </row>
    <row r="179" spans="3:14">
      <c r="C179" s="11"/>
      <c r="D179" s="201" t="s">
        <v>960</v>
      </c>
      <c r="E179" s="752"/>
      <c r="F179" s="752"/>
      <c r="G179" s="752"/>
      <c r="H179" s="752"/>
      <c r="I179" s="752"/>
      <c r="J179" s="752"/>
      <c r="K179" s="752"/>
      <c r="L179" s="868" t="s">
        <v>2576</v>
      </c>
      <c r="M179" s="12"/>
    </row>
    <row r="180" spans="3:14">
      <c r="C180" s="11"/>
      <c r="D180" s="1225" t="s">
        <v>869</v>
      </c>
      <c r="E180" s="870">
        <v>2018</v>
      </c>
      <c r="F180" s="870" t="s">
        <v>322</v>
      </c>
      <c r="G180" s="870">
        <v>2025</v>
      </c>
      <c r="H180" s="870" t="s">
        <v>324</v>
      </c>
      <c r="I180" s="870" t="s">
        <v>325</v>
      </c>
      <c r="J180" s="870" t="s">
        <v>326</v>
      </c>
      <c r="K180" s="870" t="s">
        <v>327</v>
      </c>
      <c r="L180" s="870" t="s">
        <v>328</v>
      </c>
      <c r="M180" s="12"/>
    </row>
    <row r="181" spans="3:14">
      <c r="C181" s="11"/>
      <c r="D181" s="203" t="s">
        <v>820</v>
      </c>
      <c r="E181" s="1226">
        <f>E$90*((INDEX(CHOOSE(TRAYECTORIA_2_MEJORES_PRACTICAS_PECUARIAS,E$51,E$52,E$53,E$54),0))*(E$159*(1+F$159)^(E$180-E$180))*COSTOS_2019_US_dolares_MMCOP)</f>
        <v>0</v>
      </c>
      <c r="F181" s="1226" cm="1">
        <f t="array" ref="F181:L181">$F$90:$L$90*(INDEX(CHOOSE(TRAYECTORIA_2_MEJORES_PRACTICAS_PECUARIAS,$F$51:$L$51,$F$52:$L$52,$F$53:$L$53,$F$54:$L$54),0))*($E$159*(1+$F$159)^($F$180-$E$180))*COSTOS_Pesos_Colombianos_COP_MMCOP</f>
        <v>0</v>
      </c>
      <c r="G181" s="1226">
        <v>0</v>
      </c>
      <c r="H181" s="1226">
        <v>0</v>
      </c>
      <c r="I181" s="1226">
        <v>0</v>
      </c>
      <c r="J181" s="1226">
        <v>0</v>
      </c>
      <c r="K181" s="1226">
        <v>0</v>
      </c>
      <c r="L181" s="1226">
        <v>0</v>
      </c>
      <c r="M181" s="12"/>
    </row>
    <row r="182" spans="3:14">
      <c r="C182" s="11"/>
      <c r="D182" s="203" t="s">
        <v>821</v>
      </c>
      <c r="E182" s="1227">
        <f>E$90*((INDEX(CHOOSE(TRAYECTORIA_2_MEJORES_PRACTICAS_PECUARIAS,E$51,E$52,E$53,E$54),0))*(E$159*(1+G$159)^(E$180-E$180))*COSTOS_2019_US_dolares_MMCOP)</f>
        <v>0</v>
      </c>
      <c r="F182" s="1227" cm="1">
        <f t="array" ref="F182:L182">$F$90:$L$90*(INDEX(CHOOSE(TRAYECTORIA_2_MEJORES_PRACTICAS_PECUARIAS,$F$51:$L$51,$F$52:$L$52,$F$53:$L$53,$F$54:$L$54),0))*($E$159*(1+$G$159)^($F$180-$E$180))*COSTOS_Pesos_Colombianos_COP_MMCOP</f>
        <v>0</v>
      </c>
      <c r="G182" s="1227">
        <v>0</v>
      </c>
      <c r="H182" s="1227">
        <v>0</v>
      </c>
      <c r="I182" s="1227">
        <v>0</v>
      </c>
      <c r="J182" s="1227">
        <v>0</v>
      </c>
      <c r="K182" s="1227">
        <v>0</v>
      </c>
      <c r="L182" s="1227">
        <v>0</v>
      </c>
      <c r="M182" s="12"/>
    </row>
    <row r="183" spans="3:14">
      <c r="C183" s="11"/>
      <c r="D183" s="204" t="s">
        <v>822</v>
      </c>
      <c r="E183" s="1228">
        <f>E$90*((INDEX(CHOOSE(TRAYECTORIA_2_MEJORES_PRACTICAS_PECUARIAS,E$51,E$52,E$53,E$54),0))*(E$159*(1+H$159)^(E$180-E$180))*COSTOS_2019_US_dolares_MMCOP)</f>
        <v>0</v>
      </c>
      <c r="F183" s="1228" cm="1">
        <f t="array" ref="F183:L183">$F$90:$L$90*(INDEX(CHOOSE(TRAYECTORIA_2_MEJORES_PRACTICAS_PECUARIAS,$F$51:$L$51,$F$52:$L$52,$F$53:$L$53,$F$54:$L$54),0))*($E$159*(1+$H$159)^($F$180-$E$180))*COSTOS_Pesos_Colombianos_COP_MMCOP</f>
        <v>0</v>
      </c>
      <c r="G183" s="1228">
        <v>0</v>
      </c>
      <c r="H183" s="1228">
        <v>0</v>
      </c>
      <c r="I183" s="1228">
        <v>0</v>
      </c>
      <c r="J183" s="1228">
        <v>0</v>
      </c>
      <c r="K183" s="1228">
        <v>0</v>
      </c>
      <c r="L183" s="1228">
        <v>0</v>
      </c>
      <c r="M183" s="12"/>
    </row>
    <row r="184" spans="3:14">
      <c r="C184" s="12"/>
      <c r="D184" s="12"/>
      <c r="E184" s="12"/>
      <c r="F184" s="12"/>
      <c r="G184" s="12"/>
      <c r="H184" s="12"/>
      <c r="I184" s="12"/>
      <c r="J184" s="12"/>
      <c r="K184" s="12"/>
      <c r="L184" s="12"/>
      <c r="M184" s="12"/>
    </row>
    <row r="185" spans="3:14">
      <c r="C185" s="12"/>
      <c r="D185" s="201" t="s">
        <v>962</v>
      </c>
      <c r="E185" s="752"/>
      <c r="F185" s="752"/>
      <c r="G185" s="752"/>
      <c r="H185" s="752"/>
      <c r="I185" s="752"/>
      <c r="J185" s="752"/>
      <c r="K185" s="752"/>
      <c r="L185" s="868" t="s">
        <v>2495</v>
      </c>
      <c r="M185" s="12"/>
    </row>
    <row r="186" spans="3:14">
      <c r="C186" s="12"/>
      <c r="D186" s="1225" t="s">
        <v>869</v>
      </c>
      <c r="E186" s="870">
        <v>2018</v>
      </c>
      <c r="F186" s="870" t="s">
        <v>322</v>
      </c>
      <c r="G186" s="870">
        <v>2025</v>
      </c>
      <c r="H186" s="870" t="s">
        <v>324</v>
      </c>
      <c r="I186" s="870" t="s">
        <v>325</v>
      </c>
      <c r="J186" s="870" t="s">
        <v>326</v>
      </c>
      <c r="K186" s="870" t="s">
        <v>327</v>
      </c>
      <c r="L186" s="870" t="s">
        <v>328</v>
      </c>
      <c r="M186" s="12"/>
    </row>
    <row r="187" spans="3:14">
      <c r="C187" s="12"/>
      <c r="D187" s="203" t="s">
        <v>820</v>
      </c>
      <c r="E187" s="1226">
        <f>$E$106*(1+INDEX(CHOOSE(TRAYECTORIA_2_MEJORES_PRACTICAS_PECUARIAS,$E$58,$E$59,$E$60,$E$61),0))*($E$160*(1+$F$160)^($E$180-$E$180))*COSTOS_2019_US_dolares_MMCOP</f>
        <v>0.10396406616306329</v>
      </c>
      <c r="F187" s="1226" cm="1">
        <f t="array" ref="F187:L187">$E$106*(1+INDEX(CHOOSE(TRAYECTORIA_2_MEJORES_PRACTICAS_PECUARIAS,$F$58:$L$58,$F$59:$L$59,$F$60:$L$60,$F$61:$L$61),0))*($E$160*(1+$F$160)^($F$186-$E$186))*COSTOS_2019_US_dolares_MMCOP</f>
        <v>0.10396406616306329</v>
      </c>
      <c r="G187" s="1226">
        <v>0.10396406616306329</v>
      </c>
      <c r="H187" s="1226">
        <v>0.10396406616306329</v>
      </c>
      <c r="I187" s="1226">
        <v>0.10396406616306329</v>
      </c>
      <c r="J187" s="1226">
        <v>0.10396406616306329</v>
      </c>
      <c r="K187" s="1226">
        <v>0.10396406616306329</v>
      </c>
      <c r="L187" s="1226">
        <v>0.10396406616306329</v>
      </c>
      <c r="M187" s="12"/>
    </row>
    <row r="188" spans="3:14">
      <c r="C188" s="12"/>
      <c r="D188" s="203" t="s">
        <v>821</v>
      </c>
      <c r="E188" s="1227">
        <f>$E$106*(1+INDEX(CHOOSE(TRAYECTORIA_2_MEJORES_PRACTICAS_PECUARIAS,$E$58,$E$59,$E$60,$E$61),0))*($E$160*(1+$G$160)^($E$180-$E$180))*COSTOS_2019_US_dolares_MMCOP</f>
        <v>0.10396406616306329</v>
      </c>
      <c r="F188" s="1227" cm="1">
        <f t="array" ref="F188:L188">$E$106*(1+INDEX(CHOOSE(TRAYECTORIA_2_MEJORES_PRACTICAS_PECUARIAS,$F$58:$L$58,$F$59:$L$59,$F$60:$L$60,$F$61:$L$61),0))*($E$160*(1+$G$160)^($F$186-$E$186))*COSTOS_2019_US_dolares_MMCOP</f>
        <v>0.10252419810777293</v>
      </c>
      <c r="G188" s="1227">
        <v>0.10252419810777293</v>
      </c>
      <c r="H188" s="1227">
        <v>0.10252419810777293</v>
      </c>
      <c r="I188" s="1227">
        <v>0.10252419810777293</v>
      </c>
      <c r="J188" s="1227">
        <v>0.10252419810777293</v>
      </c>
      <c r="K188" s="1227">
        <v>0.10252419810777293</v>
      </c>
      <c r="L188" s="1227">
        <v>0.10252419810777293</v>
      </c>
      <c r="M188" s="12"/>
      <c r="N188" s="1035"/>
    </row>
    <row r="189" spans="3:14">
      <c r="C189" s="12"/>
      <c r="D189" s="204" t="s">
        <v>822</v>
      </c>
      <c r="E189" s="1228">
        <f>$E$106*(1+INDEX(CHOOSE(TRAYECTORIA_2_MEJORES_PRACTICAS_PECUARIAS,$E$58,$E$59,$E$60,$E$61),0))*($E$160*(1+$H$160)^($E$180-$E$180))*COSTOS_2019_US_dolares_MMCOP</f>
        <v>0.10396406616306329</v>
      </c>
      <c r="F189" s="1228" cm="1">
        <f t="array" ref="F189:L189">$E$106*(1+INDEX(CHOOSE(TRAYECTORIA_2_MEJORES_PRACTICAS_PECUARIAS,$F$58:$L$58,$F$59:$L$59,$F$60:$L$60,$F$61:$L$61),0))*($E$160*(1+$H$160)^($F$186-$E$186))*COSTOS_2019_US_dolares_MMCOP</f>
        <v>0.10167212121318653</v>
      </c>
      <c r="G189" s="1228">
        <v>0.10167212121318653</v>
      </c>
      <c r="H189" s="1228">
        <v>0.10167212121318653</v>
      </c>
      <c r="I189" s="1228">
        <v>0.10167212121318653</v>
      </c>
      <c r="J189" s="1228">
        <v>0.10167212121318653</v>
      </c>
      <c r="K189" s="1228">
        <v>0.10167212121318653</v>
      </c>
      <c r="L189" s="1228">
        <v>0.10167212121318653</v>
      </c>
      <c r="M189" s="12"/>
    </row>
    <row r="190" spans="3:14">
      <c r="C190" s="12"/>
      <c r="D190" s="12"/>
      <c r="E190" s="12"/>
      <c r="F190" s="12"/>
      <c r="G190" s="12"/>
      <c r="H190" s="12"/>
      <c r="I190" s="12"/>
      <c r="J190" s="12"/>
      <c r="K190" s="12"/>
      <c r="L190" s="12"/>
      <c r="M190" s="12"/>
    </row>
    <row r="192" spans="3:14" ht="18.75">
      <c r="C192" s="99" t="s">
        <v>52</v>
      </c>
      <c r="D192" s="49"/>
      <c r="E192" s="49"/>
      <c r="F192" s="49"/>
      <c r="G192" s="49"/>
      <c r="H192" s="49"/>
      <c r="I192" s="49"/>
      <c r="J192" s="49"/>
      <c r="K192" s="49"/>
      <c r="L192" s="49"/>
      <c r="M192" s="49"/>
    </row>
    <row r="193" spans="3:13">
      <c r="C193" s="50"/>
      <c r="D193" s="50"/>
      <c r="E193" s="50"/>
      <c r="F193" s="50"/>
      <c r="G193" s="50"/>
      <c r="H193" s="50"/>
      <c r="I193" s="50"/>
      <c r="J193" s="50"/>
      <c r="K193" s="50"/>
      <c r="L193" s="50"/>
      <c r="M193" s="50"/>
    </row>
    <row r="194" spans="3:13" ht="15.75">
      <c r="C194" s="81"/>
      <c r="D194" s="297" t="s">
        <v>116</v>
      </c>
      <c r="E194" s="390"/>
      <c r="F194" s="391"/>
      <c r="G194" s="390"/>
      <c r="H194" s="391"/>
      <c r="I194" s="390"/>
      <c r="J194" s="390"/>
      <c r="K194" s="390"/>
      <c r="L194" s="390"/>
      <c r="M194" s="81"/>
    </row>
    <row r="195" spans="3:13">
      <c r="C195" s="81"/>
      <c r="D195" s="302"/>
      <c r="E195" s="81"/>
      <c r="F195" s="301"/>
      <c r="G195" s="81"/>
      <c r="H195" s="301"/>
      <c r="I195" s="81"/>
      <c r="J195" s="81"/>
      <c r="K195" s="81"/>
      <c r="L195" s="81"/>
      <c r="M195" s="81"/>
    </row>
    <row r="196" spans="3:13">
      <c r="C196" s="6"/>
      <c r="D196" s="1166" t="s">
        <v>2577</v>
      </c>
      <c r="E196" s="6"/>
      <c r="F196" s="6"/>
      <c r="G196" s="6"/>
      <c r="H196" s="6"/>
      <c r="I196" s="6"/>
      <c r="J196" s="6"/>
      <c r="K196" s="6"/>
      <c r="L196" s="214" t="s">
        <v>9</v>
      </c>
      <c r="M196" s="6"/>
    </row>
    <row r="197" spans="3:13">
      <c r="C197" s="6"/>
      <c r="D197" s="1164" t="s">
        <v>869</v>
      </c>
      <c r="E197" s="1165">
        <v>2018</v>
      </c>
      <c r="F197" s="1165">
        <v>2020</v>
      </c>
      <c r="G197" s="1165">
        <v>2025</v>
      </c>
      <c r="H197" s="1165">
        <v>2030</v>
      </c>
      <c r="I197" s="1165">
        <v>2035</v>
      </c>
      <c r="J197" s="1165">
        <v>2040</v>
      </c>
      <c r="K197" s="1165">
        <v>2045</v>
      </c>
      <c r="L197" s="1165">
        <v>2050</v>
      </c>
      <c r="M197" s="6"/>
    </row>
    <row r="198" spans="3:13">
      <c r="C198" s="6"/>
      <c r="D198" s="6" t="s">
        <v>2578</v>
      </c>
      <c r="E198" s="1748" cm="1">
        <f t="array" ref="E198:L198">_xlfn.ANCHORARRAY(E303)</f>
        <v>0</v>
      </c>
      <c r="F198" s="1341">
        <v>0</v>
      </c>
      <c r="G198" s="1341">
        <v>0</v>
      </c>
      <c r="H198" s="1341">
        <v>0</v>
      </c>
      <c r="I198" s="1341">
        <v>0</v>
      </c>
      <c r="J198" s="1341">
        <v>0</v>
      </c>
      <c r="K198" s="1341">
        <v>0</v>
      </c>
      <c r="L198" s="1341">
        <v>0</v>
      </c>
      <c r="M198" s="6"/>
    </row>
    <row r="199" spans="3:13">
      <c r="C199" s="6"/>
      <c r="D199" s="7" t="s">
        <v>2579</v>
      </c>
      <c r="E199" s="1749" cm="1">
        <f t="array" ref="E199:L199">_xlfn.ANCHORARRAY(E306)</f>
        <v>0</v>
      </c>
      <c r="F199" s="1342">
        <v>0</v>
      </c>
      <c r="G199" s="1342">
        <v>0</v>
      </c>
      <c r="H199" s="1342">
        <v>0</v>
      </c>
      <c r="I199" s="1342">
        <v>0</v>
      </c>
      <c r="J199" s="1342">
        <v>0</v>
      </c>
      <c r="K199" s="1342">
        <v>0</v>
      </c>
      <c r="L199" s="1342">
        <v>0</v>
      </c>
      <c r="M199" s="6"/>
    </row>
    <row r="200" spans="3:13">
      <c r="C200" s="6"/>
      <c r="D200" s="1723" t="s">
        <v>338</v>
      </c>
      <c r="E200" s="1750">
        <f>SUM(E198:E199)</f>
        <v>0</v>
      </c>
      <c r="F200" s="1750">
        <f t="shared" ref="F200:L200" si="0">SUM(F198:F199)</f>
        <v>0</v>
      </c>
      <c r="G200" s="1750">
        <f t="shared" si="0"/>
        <v>0</v>
      </c>
      <c r="H200" s="1750">
        <f t="shared" si="0"/>
        <v>0</v>
      </c>
      <c r="I200" s="1750">
        <f t="shared" si="0"/>
        <v>0</v>
      </c>
      <c r="J200" s="1750">
        <f t="shared" si="0"/>
        <v>0</v>
      </c>
      <c r="K200" s="1750">
        <f t="shared" si="0"/>
        <v>0</v>
      </c>
      <c r="L200" s="1750">
        <f t="shared" si="0"/>
        <v>0</v>
      </c>
      <c r="M200" s="6"/>
    </row>
    <row r="201" spans="3:13">
      <c r="C201" s="6"/>
      <c r="D201" s="6"/>
      <c r="E201" s="6"/>
      <c r="F201" s="6"/>
      <c r="G201" s="6"/>
      <c r="H201" s="6"/>
      <c r="I201" s="6"/>
      <c r="J201" s="6"/>
      <c r="K201" s="6"/>
      <c r="L201" s="6"/>
      <c r="M201" s="6"/>
    </row>
    <row r="203" spans="3:13" ht="18.75">
      <c r="C203" s="105" t="s">
        <v>1671</v>
      </c>
      <c r="D203" s="57"/>
      <c r="E203" s="57"/>
      <c r="F203" s="57"/>
      <c r="G203" s="57"/>
      <c r="H203" s="57"/>
      <c r="I203" s="57"/>
      <c r="J203" s="57"/>
      <c r="K203" s="57"/>
      <c r="L203" s="57"/>
      <c r="M203" s="57"/>
    </row>
    <row r="204" spans="3:13">
      <c r="C204" s="58"/>
      <c r="D204" s="58"/>
      <c r="E204" s="58"/>
      <c r="F204" s="58"/>
      <c r="G204" s="58"/>
      <c r="H204" s="58"/>
      <c r="I204" s="58"/>
      <c r="J204" s="58"/>
      <c r="K204" s="58"/>
      <c r="L204" s="58"/>
      <c r="M204" s="58"/>
    </row>
    <row r="205" spans="3:13">
      <c r="C205" s="58"/>
      <c r="D205" s="56" t="s">
        <v>2580</v>
      </c>
      <c r="E205" s="57"/>
      <c r="F205" s="57"/>
      <c r="G205" s="57"/>
      <c r="H205" s="57"/>
      <c r="I205" s="57"/>
      <c r="J205" s="57"/>
      <c r="K205" s="57"/>
      <c r="L205" s="57"/>
      <c r="M205" s="58"/>
    </row>
    <row r="206" spans="3:13">
      <c r="C206" s="58"/>
      <c r="D206" s="58"/>
      <c r="E206" s="58"/>
      <c r="F206" s="58"/>
      <c r="G206" s="58"/>
      <c r="H206" s="58"/>
      <c r="I206" s="58"/>
      <c r="J206" s="58"/>
      <c r="K206" s="58"/>
      <c r="L206" s="58"/>
      <c r="M206" s="58"/>
    </row>
    <row r="207" spans="3:13">
      <c r="C207" s="58"/>
      <c r="D207" s="58"/>
      <c r="E207" s="58"/>
      <c r="F207" s="58"/>
      <c r="G207" s="58"/>
      <c r="H207" s="58"/>
      <c r="I207" s="58"/>
      <c r="J207" s="58"/>
      <c r="K207" s="58"/>
      <c r="L207" s="479" t="s">
        <v>2581</v>
      </c>
      <c r="M207" s="58"/>
    </row>
    <row r="208" spans="3:13">
      <c r="C208" s="58"/>
      <c r="D208" s="1168" t="s">
        <v>869</v>
      </c>
      <c r="E208" s="1169">
        <v>2018</v>
      </c>
      <c r="F208" s="1169">
        <v>2020</v>
      </c>
      <c r="G208" s="1169">
        <v>2025</v>
      </c>
      <c r="H208" s="1169">
        <v>2030</v>
      </c>
      <c r="I208" s="1169">
        <v>2035</v>
      </c>
      <c r="J208" s="1169">
        <v>2040</v>
      </c>
      <c r="K208" s="1169">
        <v>2045</v>
      </c>
      <c r="L208" s="1169">
        <v>2050</v>
      </c>
      <c r="M208" s="58"/>
    </row>
    <row r="209" spans="3:13">
      <c r="C209" s="58"/>
      <c r="D209" s="1862" t="s">
        <v>2578</v>
      </c>
      <c r="E209" s="1171" cm="1">
        <f t="array" ref="E209:L209">_xlfn.ANCHORARRAY(E321)</f>
        <v>0.84811140086400005</v>
      </c>
      <c r="F209" s="1171">
        <v>0.88475880074400004</v>
      </c>
      <c r="G209" s="1171">
        <v>0.96103297180800007</v>
      </c>
      <c r="H209" s="1171">
        <v>1.041691236768</v>
      </c>
      <c r="I209" s="1171">
        <v>1.1223495017279999</v>
      </c>
      <c r="J209" s="1171">
        <v>1.2030077666879999</v>
      </c>
      <c r="K209" s="1171">
        <v>1.283666031648</v>
      </c>
      <c r="L209" s="1171">
        <v>1.364324296608</v>
      </c>
      <c r="M209" s="58"/>
    </row>
    <row r="210" spans="3:13">
      <c r="C210" s="58"/>
      <c r="D210" s="1862" t="s">
        <v>2579</v>
      </c>
      <c r="E210" s="1171" cm="1">
        <f t="array" ref="E210:L210">_xlfn.ANCHORARRAY(E322)</f>
        <v>0.43767710078400002</v>
      </c>
      <c r="F210" s="1171">
        <v>0.45658938956399997</v>
      </c>
      <c r="G210" s="1171">
        <v>0.49595150404800004</v>
      </c>
      <c r="H210" s="1171">
        <v>0.53757607780799999</v>
      </c>
      <c r="I210" s="1171">
        <v>0.57920065156800005</v>
      </c>
      <c r="J210" s="1171">
        <v>0.620825225328</v>
      </c>
      <c r="K210" s="1171">
        <v>0.66244979908800006</v>
      </c>
      <c r="L210" s="1171">
        <v>0.70407437284800001</v>
      </c>
      <c r="M210" s="58"/>
    </row>
    <row r="211" spans="3:13">
      <c r="C211" s="58"/>
      <c r="D211" s="1724" t="s">
        <v>338</v>
      </c>
      <c r="E211" s="1530" cm="1">
        <f t="array" ref="E211:L211">_xlfn.ANCHORARRAY(E209)+_xlfn.ANCHORARRAY(E210)</f>
        <v>1.2857885016480002</v>
      </c>
      <c r="F211" s="1530">
        <v>1.341348190308</v>
      </c>
      <c r="G211" s="1530">
        <v>1.4569844758560002</v>
      </c>
      <c r="H211" s="1530">
        <v>1.5792673145760001</v>
      </c>
      <c r="I211" s="1530">
        <v>1.701550153296</v>
      </c>
      <c r="J211" s="1530">
        <v>1.8238329920159999</v>
      </c>
      <c r="K211" s="1530">
        <v>1.946115830736</v>
      </c>
      <c r="L211" s="1530">
        <v>2.0683986694560001</v>
      </c>
      <c r="M211" s="58"/>
    </row>
    <row r="212" spans="3:13">
      <c r="C212" s="58"/>
      <c r="D212" s="58"/>
      <c r="E212" s="58"/>
      <c r="F212" s="58"/>
      <c r="G212" s="58"/>
      <c r="H212" s="58"/>
      <c r="I212" s="58"/>
      <c r="J212" s="58"/>
      <c r="K212" s="58"/>
      <c r="L212" s="58"/>
      <c r="M212" s="58"/>
    </row>
    <row r="213" spans="3:13">
      <c r="C213" s="314"/>
      <c r="D213" s="56" t="s">
        <v>2582</v>
      </c>
      <c r="E213" s="57"/>
      <c r="F213" s="57"/>
      <c r="G213" s="57"/>
      <c r="H213" s="57"/>
      <c r="I213" s="57"/>
      <c r="J213" s="57"/>
      <c r="K213" s="57"/>
      <c r="L213" s="57"/>
      <c r="M213" s="314"/>
    </row>
    <row r="214" spans="3:13">
      <c r="C214" s="58"/>
      <c r="D214" s="58"/>
      <c r="E214" s="58"/>
      <c r="F214" s="58"/>
      <c r="G214" s="58"/>
      <c r="H214" s="58"/>
      <c r="I214" s="58"/>
      <c r="J214" s="58"/>
      <c r="K214" s="58"/>
      <c r="L214" s="58"/>
      <c r="M214" s="58"/>
    </row>
    <row r="215" spans="3:13">
      <c r="C215" s="58"/>
      <c r="D215" s="1167"/>
      <c r="E215" s="477"/>
      <c r="F215" s="477"/>
      <c r="G215" s="477"/>
      <c r="H215" s="477"/>
      <c r="I215" s="477"/>
      <c r="J215" s="477"/>
      <c r="K215" s="477"/>
      <c r="L215" s="479" t="s">
        <v>2581</v>
      </c>
      <c r="M215" s="58"/>
    </row>
    <row r="216" spans="3:13">
      <c r="C216" s="58"/>
      <c r="D216" s="1168" t="s">
        <v>869</v>
      </c>
      <c r="E216" s="1169">
        <v>2018</v>
      </c>
      <c r="F216" s="1169" t="s">
        <v>322</v>
      </c>
      <c r="G216" s="1169" t="s">
        <v>323</v>
      </c>
      <c r="H216" s="1169" t="s">
        <v>324</v>
      </c>
      <c r="I216" s="1169" t="s">
        <v>325</v>
      </c>
      <c r="J216" s="1169" t="s">
        <v>326</v>
      </c>
      <c r="K216" s="1169" t="s">
        <v>327</v>
      </c>
      <c r="L216" s="1169" t="s">
        <v>328</v>
      </c>
      <c r="M216" s="58"/>
    </row>
    <row r="217" spans="3:13">
      <c r="C217" s="58"/>
      <c r="D217" s="1862" t="s">
        <v>2529</v>
      </c>
      <c r="E217" s="1171" cm="1">
        <f t="array" ref="E217:L217">SF_POTENCIAL_REDUCCION_PRACTICAS_SOSTENIBLES_SUELOS_GANADEROS_SISTEMAS_SILVOPASTORALES_INTENSIVOS*$E$266:$L$266*UNIDAD_T_A_MT</f>
        <v>3.0757982773785202E-2</v>
      </c>
      <c r="F217" s="1171">
        <v>3.0757982773785202E-2</v>
      </c>
      <c r="G217" s="1171">
        <v>3.0757982773785202E-2</v>
      </c>
      <c r="H217" s="1171">
        <v>3.0757982773785202E-2</v>
      </c>
      <c r="I217" s="1171">
        <v>3.0757982773785202E-2</v>
      </c>
      <c r="J217" s="1171">
        <v>3.0757982773785202E-2</v>
      </c>
      <c r="K217" s="1171">
        <v>3.0757982773785202E-2</v>
      </c>
      <c r="L217" s="1171">
        <v>3.0757982773785202E-2</v>
      </c>
      <c r="M217" s="58"/>
    </row>
    <row r="218" spans="3:13">
      <c r="C218" s="58"/>
      <c r="D218" s="1862" t="s">
        <v>2530</v>
      </c>
      <c r="E218" s="2124" cm="1">
        <f t="array" ref="E218:L218">_xlfn.ANCHORARRAY(E346)</f>
        <v>3.0764234396300186E-5</v>
      </c>
      <c r="F218" s="2124">
        <v>3.0764234396300186E-5</v>
      </c>
      <c r="G218" s="2124">
        <v>3.0764234396300186E-5</v>
      </c>
      <c r="H218" s="2124">
        <v>3.0764234396300186E-5</v>
      </c>
      <c r="I218" s="2124">
        <v>3.0764234396300186E-5</v>
      </c>
      <c r="J218" s="2124">
        <v>3.0764234396300186E-5</v>
      </c>
      <c r="K218" s="2124">
        <v>3.0764234396300186E-5</v>
      </c>
      <c r="L218" s="2124">
        <v>3.0764234396300186E-5</v>
      </c>
      <c r="M218" s="58"/>
    </row>
    <row r="219" spans="3:13">
      <c r="C219" s="58"/>
      <c r="D219" s="1862" t="s">
        <v>2531</v>
      </c>
      <c r="E219" s="2124" cm="1">
        <f t="array" ref="E219:L219">_xlfn.ANCHORARRAY(E347)</f>
        <v>3.3633729130683821E-3</v>
      </c>
      <c r="F219" s="1171">
        <v>3.3633729130683821E-3</v>
      </c>
      <c r="G219" s="1171">
        <v>3.3633729130683821E-3</v>
      </c>
      <c r="H219" s="1171">
        <v>3.3633729130683821E-3</v>
      </c>
      <c r="I219" s="1171">
        <v>3.3633729130683821E-3</v>
      </c>
      <c r="J219" s="1171">
        <v>3.3633729130683821E-3</v>
      </c>
      <c r="K219" s="1171">
        <v>3.3633729130683821E-3</v>
      </c>
      <c r="L219" s="1171">
        <v>3.3633729130683821E-3</v>
      </c>
      <c r="M219" s="58"/>
    </row>
    <row r="220" spans="3:13">
      <c r="C220" s="58"/>
      <c r="D220" s="1862" t="s">
        <v>2532</v>
      </c>
      <c r="E220" s="2124" cm="1">
        <f t="array" ref="E220:L220">_xlfn.ANCHORARRAY(E348)</f>
        <v>1.8129705293491276E-3</v>
      </c>
      <c r="F220" s="1229">
        <v>2.0317773173740223E-3</v>
      </c>
      <c r="G220" s="1229">
        <v>2.5787942874362594E-3</v>
      </c>
      <c r="H220" s="1229">
        <v>3.1258112574984961E-3</v>
      </c>
      <c r="I220" s="1229">
        <v>3.6728282275607328E-3</v>
      </c>
      <c r="J220" s="1229">
        <v>4.2198451976229699E-3</v>
      </c>
      <c r="K220" s="1229">
        <v>4.7668621676852062E-3</v>
      </c>
      <c r="L220" s="1229">
        <v>5.3138791377474433E-3</v>
      </c>
      <c r="M220" s="58"/>
    </row>
    <row r="221" spans="3:13">
      <c r="C221" s="58"/>
      <c r="D221" s="1724" t="s">
        <v>338</v>
      </c>
      <c r="E221" s="1530" cm="1">
        <f t="array" ref="E221:L221">_xlfn.ANCHORARRAY(E217)+_xlfn.ANCHORARRAY(E218)+_xlfn.ANCHORARRAY(E219)+_xlfn.ANCHORARRAY(E220)</f>
        <v>3.5965090450599008E-2</v>
      </c>
      <c r="F221" s="1530">
        <v>3.6183897238623905E-2</v>
      </c>
      <c r="G221" s="1530">
        <v>3.6730914208686141E-2</v>
      </c>
      <c r="H221" s="1530">
        <v>3.7277931178748377E-2</v>
      </c>
      <c r="I221" s="1530">
        <v>3.7824948148810614E-2</v>
      </c>
      <c r="J221" s="1530">
        <v>3.837196511887285E-2</v>
      </c>
      <c r="K221" s="1530">
        <v>3.8918982088935086E-2</v>
      </c>
      <c r="L221" s="1530">
        <v>3.9465999058997329E-2</v>
      </c>
      <c r="M221" s="58"/>
    </row>
    <row r="222" spans="3:13">
      <c r="C222" s="58"/>
      <c r="D222" s="58"/>
      <c r="E222" s="58"/>
      <c r="F222" s="58"/>
      <c r="G222" s="58"/>
      <c r="H222" s="58"/>
      <c r="I222" s="58"/>
      <c r="J222" s="58"/>
      <c r="K222" s="58"/>
      <c r="L222" s="58"/>
      <c r="M222" s="58"/>
    </row>
    <row r="223" spans="3:13">
      <c r="C223" s="58"/>
      <c r="D223" s="56" t="s">
        <v>114</v>
      </c>
      <c r="E223" s="57"/>
      <c r="F223" s="57"/>
      <c r="G223" s="57"/>
      <c r="H223" s="57"/>
      <c r="I223" s="57"/>
      <c r="J223" s="57"/>
      <c r="K223" s="57"/>
      <c r="L223" s="57"/>
      <c r="M223" s="58"/>
    </row>
    <row r="224" spans="3:13">
      <c r="C224" s="58"/>
      <c r="D224" s="58"/>
      <c r="E224" s="58"/>
      <c r="F224" s="58"/>
      <c r="G224" s="58"/>
      <c r="H224" s="58"/>
      <c r="I224" s="58"/>
      <c r="J224" s="58"/>
      <c r="K224" s="58"/>
      <c r="L224" s="58"/>
      <c r="M224" s="58"/>
    </row>
    <row r="225" spans="3:13">
      <c r="C225" s="58"/>
      <c r="D225" s="1167"/>
      <c r="E225" s="477"/>
      <c r="F225" s="477"/>
      <c r="G225" s="477"/>
      <c r="H225" s="477"/>
      <c r="I225" s="477"/>
      <c r="J225" s="477"/>
      <c r="K225" s="477"/>
      <c r="L225" s="479" t="s">
        <v>2581</v>
      </c>
      <c r="M225" s="58"/>
    </row>
    <row r="226" spans="3:13">
      <c r="C226" s="58"/>
      <c r="D226" s="1168" t="s">
        <v>869</v>
      </c>
      <c r="E226" s="1169">
        <v>2018</v>
      </c>
      <c r="F226" s="1169" t="s">
        <v>322</v>
      </c>
      <c r="G226" s="1169" t="s">
        <v>323</v>
      </c>
      <c r="H226" s="1169" t="s">
        <v>324</v>
      </c>
      <c r="I226" s="1169" t="s">
        <v>325</v>
      </c>
      <c r="J226" s="1169" t="s">
        <v>326</v>
      </c>
      <c r="K226" s="1169" t="s">
        <v>327</v>
      </c>
      <c r="L226" s="1169" t="s">
        <v>328</v>
      </c>
      <c r="M226" s="58"/>
    </row>
    <row r="227" spans="3:13">
      <c r="C227" s="58"/>
      <c r="D227" s="107" t="s">
        <v>2568</v>
      </c>
      <c r="E227" s="1231">
        <f>SUM(E228:E229)</f>
        <v>0</v>
      </c>
      <c r="F227" s="1231">
        <f t="shared" ref="F227:L227" si="1">SUM(F228:F229)</f>
        <v>0</v>
      </c>
      <c r="G227" s="1231">
        <f t="shared" si="1"/>
        <v>0</v>
      </c>
      <c r="H227" s="1231">
        <f t="shared" si="1"/>
        <v>0</v>
      </c>
      <c r="I227" s="1231">
        <f t="shared" si="1"/>
        <v>0</v>
      </c>
      <c r="J227" s="1231">
        <f t="shared" si="1"/>
        <v>0</v>
      </c>
      <c r="K227" s="1231">
        <f t="shared" si="1"/>
        <v>0</v>
      </c>
      <c r="L227" s="1231">
        <f t="shared" si="1"/>
        <v>0</v>
      </c>
      <c r="M227" s="58"/>
    </row>
    <row r="228" spans="3:13">
      <c r="C228" s="58"/>
      <c r="D228" s="107" t="s">
        <v>2583</v>
      </c>
      <c r="E228" s="1231" cm="1">
        <f t="array" ref="E228:L228">_xlfn.ANCHORARRAY(E355)</f>
        <v>0</v>
      </c>
      <c r="F228" s="1231">
        <v>0</v>
      </c>
      <c r="G228" s="1231">
        <v>0</v>
      </c>
      <c r="H228" s="1231">
        <v>0</v>
      </c>
      <c r="I228" s="1231">
        <v>0</v>
      </c>
      <c r="J228" s="1231">
        <v>0</v>
      </c>
      <c r="K228" s="1231">
        <v>0</v>
      </c>
      <c r="L228" s="1231">
        <v>0</v>
      </c>
      <c r="M228" s="58"/>
    </row>
    <row r="229" spans="3:13">
      <c r="C229" s="58"/>
      <c r="D229" s="1861" t="s">
        <v>2584</v>
      </c>
      <c r="E229" s="1233" cm="1">
        <f t="array" ref="E229:L229">_xlfn.ANCHORARRAY(E356)</f>
        <v>0</v>
      </c>
      <c r="F229" s="1233">
        <v>0</v>
      </c>
      <c r="G229" s="1233">
        <v>0</v>
      </c>
      <c r="H229" s="1233">
        <v>0</v>
      </c>
      <c r="I229" s="1233">
        <v>0</v>
      </c>
      <c r="J229" s="1233">
        <v>0</v>
      </c>
      <c r="K229" s="1233">
        <v>0</v>
      </c>
      <c r="L229" s="1233">
        <v>0</v>
      </c>
      <c r="M229" s="58"/>
    </row>
    <row r="230" spans="3:13">
      <c r="C230" s="58"/>
      <c r="D230" s="2023" t="s">
        <v>2585</v>
      </c>
      <c r="E230" s="1496" cm="1">
        <f t="array" ref="E230:L230">E227:L227*E150</f>
        <v>0</v>
      </c>
      <c r="F230" s="1496">
        <v>0</v>
      </c>
      <c r="G230" s="1496">
        <v>0</v>
      </c>
      <c r="H230" s="1496">
        <v>0</v>
      </c>
      <c r="I230" s="1496">
        <v>0</v>
      </c>
      <c r="J230" s="1496">
        <v>0</v>
      </c>
      <c r="K230" s="1496">
        <v>0</v>
      </c>
      <c r="L230" s="1496">
        <v>0</v>
      </c>
      <c r="M230" s="58"/>
    </row>
    <row r="231" spans="3:13">
      <c r="C231" s="58"/>
      <c r="D231" s="58"/>
      <c r="E231" s="58"/>
      <c r="F231" s="58"/>
      <c r="G231" s="58"/>
      <c r="H231" s="58"/>
      <c r="I231" s="58"/>
      <c r="J231" s="58"/>
      <c r="K231" s="58"/>
      <c r="L231" s="58"/>
      <c r="M231" s="58"/>
    </row>
    <row r="232" spans="3:13">
      <c r="C232" s="58"/>
      <c r="D232" s="58"/>
      <c r="E232" s="58"/>
      <c r="F232" s="58"/>
      <c r="G232" s="58"/>
      <c r="H232" s="58"/>
      <c r="I232" s="58"/>
      <c r="J232" s="58"/>
      <c r="K232" s="58"/>
      <c r="L232" s="58"/>
      <c r="M232" s="58"/>
    </row>
    <row r="233" spans="3:13">
      <c r="C233" s="58"/>
      <c r="D233" s="56" t="s">
        <v>2586</v>
      </c>
      <c r="E233" s="57"/>
      <c r="F233" s="57"/>
      <c r="G233" s="57"/>
      <c r="H233" s="57"/>
      <c r="I233" s="57"/>
      <c r="J233" s="57"/>
      <c r="K233" s="57"/>
      <c r="L233" s="57"/>
      <c r="M233" s="58"/>
    </row>
    <row r="234" spans="3:13">
      <c r="C234" s="58"/>
      <c r="D234" s="1167"/>
      <c r="E234" s="477"/>
      <c r="F234" s="477"/>
      <c r="G234" s="477"/>
      <c r="H234" s="477"/>
      <c r="I234" s="477"/>
      <c r="J234" s="477"/>
      <c r="K234" s="477"/>
      <c r="L234" s="479" t="s">
        <v>2581</v>
      </c>
      <c r="M234" s="58"/>
    </row>
    <row r="235" spans="3:13">
      <c r="C235" s="58"/>
      <c r="D235" s="1168" t="s">
        <v>869</v>
      </c>
      <c r="E235" s="1169">
        <v>2018</v>
      </c>
      <c r="F235" s="1169" t="s">
        <v>322</v>
      </c>
      <c r="G235" s="1169" t="s">
        <v>323</v>
      </c>
      <c r="H235" s="1169" t="s">
        <v>324</v>
      </c>
      <c r="I235" s="1169" t="s">
        <v>325</v>
      </c>
      <c r="J235" s="1169" t="s">
        <v>326</v>
      </c>
      <c r="K235" s="1169" t="s">
        <v>327</v>
      </c>
      <c r="L235" s="1169" t="s">
        <v>328</v>
      </c>
      <c r="M235" s="58"/>
    </row>
    <row r="236" spans="3:13">
      <c r="C236" s="58"/>
      <c r="D236" s="107" t="s">
        <v>620</v>
      </c>
      <c r="E236" s="1231" cm="1">
        <f t="array" ref="E236:L236">_xlfn.ANCHORARRAY(E333)-_xlfn.ANCHORARRAY(E339)</f>
        <v>0.46667777777947733</v>
      </c>
      <c r="F236" s="1231">
        <v>0.48684320312333124</v>
      </c>
      <c r="G236" s="1231">
        <v>0.52881346860715428</v>
      </c>
      <c r="H236" s="1231">
        <v>0.57319610491263784</v>
      </c>
      <c r="I236" s="1231">
        <v>0.6175787412181214</v>
      </c>
      <c r="J236" s="1231">
        <v>0.66196137752360495</v>
      </c>
      <c r="K236" s="1231">
        <v>0.70634401382908851</v>
      </c>
      <c r="L236" s="1231">
        <v>0.75072665013457218</v>
      </c>
      <c r="M236" s="58"/>
    </row>
    <row r="237" spans="3:13">
      <c r="C237" s="58"/>
      <c r="D237" s="1861" t="s">
        <v>621</v>
      </c>
      <c r="E237" s="1233" cm="1">
        <f t="array" ref="E237:L237">_xlfn.ANCHORARRAY(E334)-_xlfn.ANCHORARRAY(E340)</f>
        <v>0.36667539682673217</v>
      </c>
      <c r="F237" s="1233">
        <v>0.38251965959690298</v>
      </c>
      <c r="G237" s="1233">
        <v>0.41549629676276406</v>
      </c>
      <c r="H237" s="1233">
        <v>0.45036836814564402</v>
      </c>
      <c r="I237" s="1233">
        <v>0.48524043952852391</v>
      </c>
      <c r="J237" s="1233">
        <v>0.52011251091140387</v>
      </c>
      <c r="K237" s="1233">
        <v>0.55498458229428382</v>
      </c>
      <c r="L237" s="1233">
        <v>0.58985665367716378</v>
      </c>
      <c r="M237" s="58"/>
    </row>
    <row r="238" spans="3:13">
      <c r="C238" s="58"/>
      <c r="D238" s="1145" t="s">
        <v>1962</v>
      </c>
      <c r="E238" s="1496">
        <f>SUM(E236:E237)</f>
        <v>0.8333531746062095</v>
      </c>
      <c r="F238" s="1496">
        <f t="shared" ref="F238:L238" si="2">SUM(F236:F237)</f>
        <v>0.86936286272023422</v>
      </c>
      <c r="G238" s="1496">
        <f t="shared" si="2"/>
        <v>0.9443097653699184</v>
      </c>
      <c r="H238" s="1496">
        <f t="shared" si="2"/>
        <v>1.0235644730582818</v>
      </c>
      <c r="I238" s="1496">
        <f t="shared" si="2"/>
        <v>1.1028191807466454</v>
      </c>
      <c r="J238" s="1496">
        <f t="shared" si="2"/>
        <v>1.1820738884350088</v>
      </c>
      <c r="K238" s="1496">
        <f t="shared" si="2"/>
        <v>1.2613285961233722</v>
      </c>
      <c r="L238" s="1496">
        <f t="shared" si="2"/>
        <v>1.3405833038117358</v>
      </c>
      <c r="M238" s="58"/>
    </row>
    <row r="239" spans="3:13">
      <c r="C239" s="58"/>
      <c r="D239" s="58"/>
      <c r="E239" s="1495"/>
      <c r="F239" s="1495"/>
      <c r="G239" s="1495"/>
      <c r="H239" s="1495"/>
      <c r="I239" s="1495"/>
      <c r="J239" s="1495"/>
      <c r="K239" s="1495"/>
      <c r="L239" s="1495"/>
      <c r="M239" s="58"/>
    </row>
    <row r="240" spans="3:13">
      <c r="C240" s="58"/>
      <c r="D240" s="1145" t="s">
        <v>1962</v>
      </c>
      <c r="E240" s="1496" cm="1">
        <f t="array" ref="E240:L240">SALIDA_EMISIONES_GANADERIA_REDUCCION_POR_PRACTICAS_PECUARIAS+E238:L238+_xlfn.ANCHORARRAY(E211)-SALIDA_EMISIONES_GANA_PRACTICAS_SOSTENIBLES_SUELOS_GANADEROS</f>
        <v>2.0831765858036109</v>
      </c>
      <c r="F240" s="1496">
        <v>2.1745271557896104</v>
      </c>
      <c r="G240" s="1496">
        <v>2.3645633270172324</v>
      </c>
      <c r="H240" s="1496">
        <v>2.5655538564555336</v>
      </c>
      <c r="I240" s="1496">
        <v>2.7665443858938348</v>
      </c>
      <c r="J240" s="1496">
        <v>2.9675349153321355</v>
      </c>
      <c r="K240" s="1496">
        <v>3.1685254447704372</v>
      </c>
      <c r="L240" s="1496">
        <v>3.3695159742087388</v>
      </c>
      <c r="M240" s="58"/>
    </row>
    <row r="241" spans="3:16">
      <c r="C241" s="58"/>
      <c r="D241" s="58"/>
      <c r="E241" s="58"/>
      <c r="F241" s="58"/>
      <c r="G241" s="58"/>
      <c r="H241" s="58"/>
      <c r="I241" s="58"/>
      <c r="J241" s="58"/>
      <c r="K241" s="58"/>
      <c r="L241" s="58"/>
      <c r="M241" s="58"/>
      <c r="P241" s="1790"/>
    </row>
    <row r="243" spans="3:16" ht="18.75">
      <c r="C243" s="110" t="s">
        <v>797</v>
      </c>
      <c r="D243" s="65"/>
      <c r="E243" s="65"/>
      <c r="F243" s="65"/>
      <c r="G243" s="65"/>
      <c r="H243" s="65"/>
      <c r="I243" s="65"/>
      <c r="J243" s="65"/>
      <c r="K243" s="65"/>
      <c r="L243" s="65"/>
      <c r="M243" s="65"/>
    </row>
    <row r="244" spans="3:16">
      <c r="C244" s="66"/>
      <c r="D244" s="66"/>
      <c r="E244" s="66"/>
      <c r="F244" s="66"/>
      <c r="G244" s="66"/>
      <c r="H244" s="66"/>
      <c r="I244" s="66"/>
      <c r="J244" s="66"/>
      <c r="K244" s="66"/>
      <c r="L244" s="66"/>
      <c r="M244" s="66"/>
    </row>
    <row r="245" spans="3:16">
      <c r="C245" s="324"/>
      <c r="D245" s="323" t="s">
        <v>2587</v>
      </c>
      <c r="E245" s="324"/>
      <c r="F245" s="324"/>
      <c r="G245" s="324"/>
      <c r="H245" s="324"/>
      <c r="I245" s="324"/>
      <c r="J245" s="324"/>
      <c r="K245" s="324"/>
      <c r="L245" s="324"/>
      <c r="M245" s="324"/>
    </row>
    <row r="246" spans="3:16">
      <c r="C246" s="324"/>
      <c r="D246" s="324"/>
      <c r="E246" s="324"/>
      <c r="F246" s="324"/>
      <c r="G246" s="324"/>
      <c r="H246" s="324"/>
      <c r="I246" s="324"/>
      <c r="J246" s="324"/>
      <c r="K246" s="324"/>
      <c r="L246" s="325" t="s">
        <v>803</v>
      </c>
      <c r="M246" s="66"/>
    </row>
    <row r="247" spans="3:16" ht="15.75">
      <c r="C247" s="394"/>
      <c r="D247" s="2024" t="s">
        <v>699</v>
      </c>
      <c r="E247" s="2025">
        <v>2018</v>
      </c>
      <c r="F247" s="2025" t="s">
        <v>322</v>
      </c>
      <c r="G247" s="2025" t="s">
        <v>323</v>
      </c>
      <c r="H247" s="2025" t="s">
        <v>324</v>
      </c>
      <c r="I247" s="2025" t="s">
        <v>325</v>
      </c>
      <c r="J247" s="2025" t="s">
        <v>326</v>
      </c>
      <c r="K247" s="2025" t="s">
        <v>327</v>
      </c>
      <c r="L247" s="2025" t="s">
        <v>328</v>
      </c>
      <c r="M247" s="66"/>
    </row>
    <row r="248" spans="3:16" ht="15.75">
      <c r="C248" s="394"/>
      <c r="D248" s="329" t="s">
        <v>2107</v>
      </c>
      <c r="E248" s="2804" cm="1">
        <f t="array" ref="E248:L248">E167:L167+E173:L173</f>
        <v>2.6646967793811172</v>
      </c>
      <c r="F248" s="1235">
        <v>2.6646967793811172</v>
      </c>
      <c r="G248" s="1235">
        <v>2.6646967793811172</v>
      </c>
      <c r="H248" s="1235">
        <v>2.6646967793811172</v>
      </c>
      <c r="I248" s="1235">
        <v>2.6646967793811172</v>
      </c>
      <c r="J248" s="1235">
        <v>2.6646967793811172</v>
      </c>
      <c r="K248" s="1235">
        <v>2.6646967793811172</v>
      </c>
      <c r="L248" s="1235">
        <v>2.6646967793811172</v>
      </c>
      <c r="M248" s="66"/>
    </row>
    <row r="249" spans="3:16" ht="15.75">
      <c r="C249" s="394"/>
      <c r="D249" s="331" t="s">
        <v>2108</v>
      </c>
      <c r="E249" s="2805" cm="1">
        <f t="array" ref="E249:L249">E168:L168+E174:L174</f>
        <v>2.6646967793811172</v>
      </c>
      <c r="F249" s="1236">
        <v>2.6277916071300802</v>
      </c>
      <c r="G249" s="1236">
        <v>2.6277916071300802</v>
      </c>
      <c r="H249" s="1236">
        <v>2.6277916071300802</v>
      </c>
      <c r="I249" s="1236">
        <v>2.6277916071300802</v>
      </c>
      <c r="J249" s="1236">
        <v>2.6277916071300802</v>
      </c>
      <c r="K249" s="1236">
        <v>2.6277916071300802</v>
      </c>
      <c r="L249" s="1236">
        <v>2.6277916071300802</v>
      </c>
      <c r="M249" s="66"/>
    </row>
    <row r="250" spans="3:16">
      <c r="C250" s="395"/>
      <c r="D250" s="333" t="s">
        <v>2588</v>
      </c>
      <c r="E250" s="2806" cm="1">
        <f t="array" ref="E250:L250">E169:L169+E175:L175</f>
        <v>2.6646967793811172</v>
      </c>
      <c r="F250" s="1237">
        <v>2.6059520750630276</v>
      </c>
      <c r="G250" s="1237">
        <v>2.6059520750630276</v>
      </c>
      <c r="H250" s="1237">
        <v>2.6059520750630276</v>
      </c>
      <c r="I250" s="1237">
        <v>2.6059520750630276</v>
      </c>
      <c r="J250" s="1237">
        <v>2.6059520750630276</v>
      </c>
      <c r="K250" s="1237">
        <v>2.6059520750630276</v>
      </c>
      <c r="L250" s="1237">
        <v>2.6059520750630276</v>
      </c>
      <c r="M250" s="66"/>
    </row>
    <row r="251" spans="3:16">
      <c r="C251" s="395"/>
      <c r="D251" s="331"/>
      <c r="E251" s="1234"/>
      <c r="F251" s="1234"/>
      <c r="G251" s="1234"/>
      <c r="H251" s="1234"/>
      <c r="I251" s="1234"/>
      <c r="J251" s="1234"/>
      <c r="K251" s="1234"/>
      <c r="L251" s="1234"/>
      <c r="M251" s="66"/>
    </row>
    <row r="252" spans="3:16">
      <c r="C252" s="395"/>
      <c r="D252" s="323" t="s">
        <v>2575</v>
      </c>
      <c r="E252" s="324"/>
      <c r="F252" s="324"/>
      <c r="G252" s="324"/>
      <c r="H252" s="324"/>
      <c r="I252" s="324"/>
      <c r="J252" s="324"/>
      <c r="K252" s="324"/>
      <c r="L252" s="324"/>
      <c r="M252" s="66"/>
    </row>
    <row r="253" spans="3:16">
      <c r="C253" s="395"/>
      <c r="D253" s="324"/>
      <c r="E253" s="324"/>
      <c r="F253" s="324"/>
      <c r="G253" s="324"/>
      <c r="H253" s="324"/>
      <c r="I253" s="324"/>
      <c r="J253" s="324"/>
      <c r="K253" s="324"/>
      <c r="L253" s="325" t="s">
        <v>803</v>
      </c>
      <c r="M253" s="66"/>
    </row>
    <row r="254" spans="3:16">
      <c r="C254" s="324"/>
      <c r="D254" s="2024" t="s">
        <v>699</v>
      </c>
      <c r="E254" s="2025">
        <v>2018</v>
      </c>
      <c r="F254" s="2025" t="s">
        <v>322</v>
      </c>
      <c r="G254" s="2025" t="s">
        <v>323</v>
      </c>
      <c r="H254" s="2025" t="s">
        <v>324</v>
      </c>
      <c r="I254" s="2025" t="s">
        <v>325</v>
      </c>
      <c r="J254" s="2025" t="s">
        <v>326</v>
      </c>
      <c r="K254" s="2025" t="s">
        <v>327</v>
      </c>
      <c r="L254" s="2025" t="s">
        <v>328</v>
      </c>
      <c r="M254" s="66"/>
    </row>
    <row r="255" spans="3:16">
      <c r="C255" s="324"/>
      <c r="D255" s="331" t="s">
        <v>2107</v>
      </c>
      <c r="E255" s="2802" cm="1">
        <f t="array" ref="E255:L255">E181:L181+E187:L187</f>
        <v>0.10396406616306329</v>
      </c>
      <c r="F255" s="2807">
        <v>0.10396406616306329</v>
      </c>
      <c r="G255" s="2807">
        <v>0.10396406616306329</v>
      </c>
      <c r="H255" s="2807">
        <v>0.10396406616306329</v>
      </c>
      <c r="I255" s="2807">
        <v>0.10396406616306329</v>
      </c>
      <c r="J255" s="2807">
        <v>0.10396406616306329</v>
      </c>
      <c r="K255" s="2807">
        <v>0.10396406616306329</v>
      </c>
      <c r="L255" s="2807">
        <v>0.10396406616306329</v>
      </c>
      <c r="M255" s="66"/>
    </row>
    <row r="256" spans="3:16">
      <c r="C256" s="324"/>
      <c r="D256" s="331" t="s">
        <v>2108</v>
      </c>
      <c r="E256" s="2802" cm="1">
        <f t="array" ref="E256:L256">E182:L182+E188:L188</f>
        <v>0.10396406616306329</v>
      </c>
      <c r="F256" s="2807">
        <v>0.10252419810777293</v>
      </c>
      <c r="G256" s="2807">
        <v>0.10252419810777293</v>
      </c>
      <c r="H256" s="2807">
        <v>0.10252419810777293</v>
      </c>
      <c r="I256" s="2807">
        <v>0.10252419810777293</v>
      </c>
      <c r="J256" s="2807">
        <v>0.10252419810777293</v>
      </c>
      <c r="K256" s="2807">
        <v>0.10252419810777293</v>
      </c>
      <c r="L256" s="2807">
        <v>0.10252419810777293</v>
      </c>
      <c r="M256" s="66"/>
    </row>
    <row r="257" spans="3:13" ht="15.75">
      <c r="C257" s="394"/>
      <c r="D257" s="333" t="s">
        <v>2588</v>
      </c>
      <c r="E257" s="2803" cm="1">
        <f t="array" ref="E257:L257">E183:L183+E189:L189</f>
        <v>0.10396406616306329</v>
      </c>
      <c r="F257" s="1237">
        <v>0.10167212121318653</v>
      </c>
      <c r="G257" s="1237">
        <v>0.10167212121318653</v>
      </c>
      <c r="H257" s="1237">
        <v>0.10167212121318653</v>
      </c>
      <c r="I257" s="1237">
        <v>0.10167212121318653</v>
      </c>
      <c r="J257" s="1237">
        <v>0.10167212121318653</v>
      </c>
      <c r="K257" s="1237">
        <v>0.10167212121318653</v>
      </c>
      <c r="L257" s="1237">
        <v>0.10167212121318653</v>
      </c>
      <c r="M257" s="66"/>
    </row>
    <row r="258" spans="3:13" ht="15.75">
      <c r="C258" s="394"/>
      <c r="D258" s="331"/>
      <c r="E258" s="1234"/>
      <c r="F258" s="1234"/>
      <c r="G258" s="1234"/>
      <c r="H258" s="1234"/>
      <c r="I258" s="1234"/>
      <c r="J258" s="1234"/>
      <c r="K258" s="1234"/>
      <c r="L258" s="1234"/>
      <c r="M258" s="66"/>
    </row>
    <row r="261" spans="3:13">
      <c r="C261" s="2" t="s">
        <v>1893</v>
      </c>
    </row>
    <row r="263" spans="3:13">
      <c r="C263" s="2"/>
      <c r="D263" s="1238" t="s">
        <v>2589</v>
      </c>
      <c r="E263" s="72"/>
      <c r="F263" s="1252"/>
      <c r="G263" s="72"/>
      <c r="H263" s="72"/>
      <c r="I263" s="72"/>
      <c r="J263" s="72"/>
      <c r="K263" s="72"/>
    </row>
    <row r="264" spans="3:13">
      <c r="C264" s="2"/>
      <c r="D264" s="1239"/>
      <c r="E264" s="72"/>
      <c r="F264" s="1252"/>
      <c r="G264" s="72"/>
      <c r="H264" s="72"/>
      <c r="I264" s="72"/>
      <c r="J264" s="72"/>
      <c r="K264" s="1991"/>
      <c r="L264" s="624" t="s">
        <v>16</v>
      </c>
    </row>
    <row r="265" spans="3:13">
      <c r="C265" s="2"/>
      <c r="D265" s="1240" t="s">
        <v>869</v>
      </c>
      <c r="E265" s="1741">
        <v>2018</v>
      </c>
      <c r="F265" s="1741">
        <v>2020</v>
      </c>
      <c r="G265" s="1741">
        <v>2025</v>
      </c>
      <c r="H265" s="1741">
        <v>2030</v>
      </c>
      <c r="I265" s="1741">
        <v>2035</v>
      </c>
      <c r="J265" s="1741">
        <v>2040</v>
      </c>
      <c r="K265" s="1741">
        <v>2045</v>
      </c>
      <c r="L265" s="1741">
        <v>2050</v>
      </c>
    </row>
    <row r="266" spans="3:13">
      <c r="C266" s="2"/>
      <c r="D266" s="1241" t="s">
        <v>2529</v>
      </c>
      <c r="E266" s="1992">
        <f>E102</f>
        <v>2083.8741716656641</v>
      </c>
      <c r="F266" s="2965" cm="1">
        <f t="array" ref="F266:L266">E266*((1+INDEX(ST_PRACT_SOSTENIBLES_SUELOS_GANADEROS_SIST_SILVOPASTORILES,TRAYECTORIA_PRACTICAS_SOSTENIBLES_SUELOS_GANADEROS,0)))</f>
        <v>2083.8741716656641</v>
      </c>
      <c r="G266" s="1992">
        <v>2083.8741716656641</v>
      </c>
      <c r="H266" s="1992">
        <v>2083.8741716656641</v>
      </c>
      <c r="I266" s="1992">
        <v>2083.8741716656641</v>
      </c>
      <c r="J266" s="1992">
        <v>2083.8741716656641</v>
      </c>
      <c r="K266" s="1992">
        <v>2083.8741716656641</v>
      </c>
      <c r="L266" s="1992">
        <v>2083.8741716656641</v>
      </c>
    </row>
    <row r="267" spans="3:13">
      <c r="C267" s="2"/>
      <c r="D267" s="1241" t="s">
        <v>2530</v>
      </c>
      <c r="E267" s="2963">
        <f>E103</f>
        <v>103.93322431182499</v>
      </c>
      <c r="F267" s="2963" cm="1">
        <f t="array" ref="F267:L267">E267+E267*INDEX(ST_PRACT_SOSTENIBLES_SUELOS_GANADEROS_REHABILITACION_PASTURAS,TRAYECTORIA_PRACTICAS_SOSTENIBLES_SUELOS_GANADEROS,0)</f>
        <v>103.93322431182499</v>
      </c>
      <c r="G267" s="2963">
        <v>103.93322431182499</v>
      </c>
      <c r="H267" s="2963">
        <v>103.93322431182499</v>
      </c>
      <c r="I267" s="2963">
        <v>103.93322431182499</v>
      </c>
      <c r="J267" s="2963">
        <v>103.93322431182499</v>
      </c>
      <c r="K267" s="2963">
        <v>103.93322431182499</v>
      </c>
      <c r="L267" s="630">
        <v>103.93322431182499</v>
      </c>
    </row>
    <row r="268" spans="3:13">
      <c r="C268" s="2"/>
      <c r="D268" s="1241" t="s">
        <v>2531</v>
      </c>
      <c r="E268" s="2963">
        <f>E104</f>
        <v>625.16225149969921</v>
      </c>
      <c r="F268" s="2963" cm="1">
        <f t="array" ref="F268:L268">E268+E268*INDEX(ST_PRACT_SOSTENIBLES_SUELOS_GANADEROS_CERCAS_VIVAS,TRAYECTORIA_PRACTICAS_SOSTENIBLES_SUELOS_GANADEROS,0)</f>
        <v>625.16225149969921</v>
      </c>
      <c r="G268" s="2963">
        <v>625.16225149969921</v>
      </c>
      <c r="H268" s="2963">
        <v>625.16225149969921</v>
      </c>
      <c r="I268" s="2963">
        <v>625.16225149969921</v>
      </c>
      <c r="J268" s="2963">
        <v>625.16225149969921</v>
      </c>
      <c r="K268" s="2963">
        <v>625.16225149969921</v>
      </c>
      <c r="L268" s="2963">
        <v>625.16225149969921</v>
      </c>
    </row>
    <row r="269" spans="3:13">
      <c r="C269" s="2"/>
      <c r="D269" s="1242" t="s">
        <v>2532</v>
      </c>
      <c r="E269" s="1993">
        <f>E105</f>
        <v>625.16225149969921</v>
      </c>
      <c r="F269" s="1993" cm="1">
        <f t="array" ref="F269:L269">E269+E269*INDEX(ST_PRACT_SOSTENIBLES_SUELOS_GANADEROS_ARBOLES_DISPERSOS,TRAYECTORIA_PRACTICAS_SOSTENIBLES_SUELOS_GANADEROS,0)</f>
        <v>625.16225149969921</v>
      </c>
      <c r="G269" s="1993">
        <v>625.16225149969921</v>
      </c>
      <c r="H269" s="1993">
        <v>625.16225149969921</v>
      </c>
      <c r="I269" s="1993">
        <v>625.16225149969921</v>
      </c>
      <c r="J269" s="1993">
        <v>625.16225149969921</v>
      </c>
      <c r="K269" s="1993">
        <v>625.16225149969921</v>
      </c>
      <c r="L269" s="1769">
        <v>625.16225149969921</v>
      </c>
    </row>
    <row r="270" spans="3:13">
      <c r="C270" s="2"/>
      <c r="D270" s="1243"/>
      <c r="E270" s="625"/>
      <c r="F270" s="1994"/>
      <c r="G270" s="1995"/>
      <c r="H270" s="1996"/>
      <c r="I270" s="1996"/>
      <c r="J270" s="1996"/>
      <c r="K270" s="1991"/>
    </row>
    <row r="271" spans="3:13">
      <c r="C271" s="2"/>
      <c r="D271" s="1243"/>
      <c r="E271" s="625"/>
      <c r="F271" s="1997"/>
      <c r="G271" s="1995"/>
      <c r="H271" s="1998"/>
      <c r="I271" s="1998"/>
      <c r="J271" s="1998"/>
      <c r="K271" s="1998"/>
    </row>
    <row r="272" spans="3:13">
      <c r="C272" s="2"/>
      <c r="D272" s="1238" t="s">
        <v>2590</v>
      </c>
      <c r="E272" s="72"/>
      <c r="F272" s="1252"/>
      <c r="G272" s="72"/>
      <c r="H272" s="72"/>
      <c r="I272" s="72"/>
      <c r="J272" s="72"/>
      <c r="K272" s="72"/>
    </row>
    <row r="273" spans="3:16">
      <c r="C273" s="2"/>
      <c r="D273" s="1239"/>
      <c r="E273" s="72"/>
      <c r="F273" s="1252"/>
      <c r="G273" s="72"/>
      <c r="H273" s="72"/>
      <c r="I273" s="72"/>
      <c r="J273" s="72"/>
      <c r="K273" s="1991"/>
      <c r="L273" s="624" t="s">
        <v>16</v>
      </c>
    </row>
    <row r="274" spans="3:16">
      <c r="C274" s="2"/>
      <c r="D274" s="1240" t="s">
        <v>869</v>
      </c>
      <c r="E274" s="1741">
        <v>2018</v>
      </c>
      <c r="F274" s="1741">
        <v>2020</v>
      </c>
      <c r="G274" s="1741">
        <v>2025</v>
      </c>
      <c r="H274" s="1741">
        <v>2030</v>
      </c>
      <c r="I274" s="1741">
        <v>2035</v>
      </c>
      <c r="J274" s="1741">
        <v>2040</v>
      </c>
      <c r="K274" s="1741">
        <v>2045</v>
      </c>
      <c r="L274" s="1741">
        <v>2050</v>
      </c>
    </row>
    <row r="275" spans="3:16">
      <c r="C275" s="2"/>
      <c r="D275" s="1242" t="s">
        <v>2591</v>
      </c>
      <c r="E275" s="1999">
        <f>E106</f>
        <v>390.72675175827038</v>
      </c>
      <c r="F275" s="1999" cm="1">
        <f t="array" ref="F275:L275">E275+E275*INDEX(ST_MEJORES_PRACTICAS_PECUARIAS_PASTOREO_RACIONAL,0)</f>
        <v>390.72675175827038</v>
      </c>
      <c r="G275" s="1999">
        <v>390.72675175827038</v>
      </c>
      <c r="H275" s="1999">
        <v>390.72675175827038</v>
      </c>
      <c r="I275" s="1999">
        <v>390.72675175827038</v>
      </c>
      <c r="J275" s="1999">
        <v>390.72675175827038</v>
      </c>
      <c r="K275" s="1999">
        <v>390.72675175827038</v>
      </c>
      <c r="L275" s="1999">
        <v>390.72675175827038</v>
      </c>
    </row>
    <row r="276" spans="3:16">
      <c r="C276" s="2"/>
    </row>
    <row r="277" spans="3:16">
      <c r="C277" s="2"/>
    </row>
    <row r="278" spans="3:16">
      <c r="C278" s="3"/>
      <c r="D278" s="1250" t="s">
        <v>114</v>
      </c>
    </row>
    <row r="279" spans="3:16">
      <c r="D279" s="2005"/>
    </row>
    <row r="280" spans="3:16">
      <c r="D280" s="1244" t="s">
        <v>2592</v>
      </c>
      <c r="E280" s="1948"/>
      <c r="F280" s="1948"/>
      <c r="G280" s="1948"/>
      <c r="H280" s="1948"/>
      <c r="I280" s="1948"/>
      <c r="J280" s="1948"/>
      <c r="K280" s="1948"/>
      <c r="L280" s="1948"/>
    </row>
    <row r="281" spans="3:16">
      <c r="D281" s="977"/>
      <c r="E281" s="580"/>
      <c r="F281" s="580"/>
      <c r="G281" s="580"/>
      <c r="H281" s="580"/>
      <c r="I281" s="580"/>
      <c r="J281" s="580"/>
      <c r="K281" s="580"/>
      <c r="L281" s="588" t="s">
        <v>2593</v>
      </c>
      <c r="P281" s="2128"/>
    </row>
    <row r="282" spans="3:16">
      <c r="D282" s="1245" t="s">
        <v>869</v>
      </c>
      <c r="E282" s="1741">
        <v>2018</v>
      </c>
      <c r="F282" s="1741">
        <v>2020</v>
      </c>
      <c r="G282" s="1741">
        <v>2025</v>
      </c>
      <c r="H282" s="1741">
        <v>2030</v>
      </c>
      <c r="I282" s="1741">
        <v>2035</v>
      </c>
      <c r="J282" s="1741">
        <v>2040</v>
      </c>
      <c r="K282" s="1741">
        <v>2045</v>
      </c>
      <c r="L282" s="1741">
        <v>2050</v>
      </c>
    </row>
    <row r="283" spans="3:16">
      <c r="C283" s="623"/>
      <c r="D283" s="1248" t="s">
        <v>2578</v>
      </c>
      <c r="E283" s="2001" cm="1">
        <f t="array" ref="E283:L283">SF_HATO_GANADERO_COLOMBIANO*SF_PROPORCION_HATO_HEMBRAS</f>
        <v>796573.12000000011</v>
      </c>
      <c r="F283" s="2002">
        <v>830993.52000000014</v>
      </c>
      <c r="G283" s="2002">
        <v>902632.64000000013</v>
      </c>
      <c r="H283" s="2002">
        <v>978389.44000000006</v>
      </c>
      <c r="I283" s="2002">
        <v>1054146.24</v>
      </c>
      <c r="J283" s="2002">
        <v>1129903.04</v>
      </c>
      <c r="K283" s="2002">
        <v>1205659.8400000001</v>
      </c>
      <c r="L283" s="2002">
        <v>1281416.6400000001</v>
      </c>
      <c r="O283" s="2128"/>
    </row>
    <row r="284" spans="3:16">
      <c r="C284" s="623"/>
      <c r="D284" s="1249" t="s">
        <v>2579</v>
      </c>
      <c r="E284" s="2003" cm="1">
        <f t="array" ref="E284:L284">SF_HATO_GANADERO_COLOMBIANO*SF_PROPORCION_HATO_MACHOS</f>
        <v>625878.88</v>
      </c>
      <c r="F284" s="2004">
        <v>652923.48</v>
      </c>
      <c r="G284" s="2004">
        <v>709211.36</v>
      </c>
      <c r="H284" s="2004">
        <v>768734.56</v>
      </c>
      <c r="I284" s="2004">
        <v>828257.76</v>
      </c>
      <c r="J284" s="2004">
        <v>887780.96</v>
      </c>
      <c r="K284" s="2004">
        <v>947304.16</v>
      </c>
      <c r="L284" s="2004">
        <v>1006827.36</v>
      </c>
    </row>
    <row r="285" spans="3:16">
      <c r="C285" s="623"/>
      <c r="D285" s="2005"/>
    </row>
    <row r="286" spans="3:16">
      <c r="C286" s="623"/>
      <c r="D286" s="2005"/>
    </row>
    <row r="287" spans="3:16">
      <c r="C287" s="623"/>
      <c r="D287" s="1244" t="s">
        <v>2594</v>
      </c>
      <c r="E287" s="1948"/>
      <c r="F287" s="1948"/>
      <c r="G287" s="1948"/>
      <c r="H287" s="1948"/>
      <c r="I287" s="1948"/>
      <c r="J287" s="1948"/>
      <c r="K287" s="1948"/>
      <c r="L287" s="1948"/>
    </row>
    <row r="288" spans="3:16">
      <c r="C288" s="623"/>
      <c r="D288" s="977"/>
      <c r="E288" s="584"/>
      <c r="F288" s="580"/>
      <c r="G288" s="580"/>
      <c r="H288" s="580"/>
      <c r="I288" s="580"/>
      <c r="J288" s="580"/>
      <c r="K288" s="580"/>
      <c r="L288" s="588" t="s">
        <v>2593</v>
      </c>
    </row>
    <row r="289" spans="3:13">
      <c r="C289" s="623"/>
      <c r="D289" s="1245" t="s">
        <v>869</v>
      </c>
      <c r="E289" s="1741">
        <v>2018</v>
      </c>
      <c r="F289" s="1741">
        <v>2020</v>
      </c>
      <c r="G289" s="1741">
        <v>2025</v>
      </c>
      <c r="H289" s="1741">
        <v>2030</v>
      </c>
      <c r="I289" s="1741">
        <v>2035</v>
      </c>
      <c r="J289" s="1741">
        <v>2040</v>
      </c>
      <c r="K289" s="1741">
        <v>2045</v>
      </c>
      <c r="L289" s="1741">
        <v>2050</v>
      </c>
    </row>
    <row r="290" spans="3:13">
      <c r="D290" s="1246" t="s">
        <v>2568</v>
      </c>
      <c r="E290" s="2020" cm="1">
        <f t="array" ref="E290:L290">SF_HATO_GANADERO_COLOMBIANO*INDEX(ST_MEJORES_PRACTICAS_PECUARIAS_SUPLEMENTACION_ESTRATEGICA,0)</f>
        <v>0</v>
      </c>
      <c r="F290" s="2021">
        <v>0</v>
      </c>
      <c r="G290" s="2021">
        <v>0</v>
      </c>
      <c r="H290" s="2021">
        <v>0</v>
      </c>
      <c r="I290" s="2021">
        <v>0</v>
      </c>
      <c r="J290" s="2021">
        <v>0</v>
      </c>
      <c r="K290" s="2021">
        <v>0</v>
      </c>
      <c r="L290" s="2020">
        <v>0</v>
      </c>
    </row>
    <row r="291" spans="3:13">
      <c r="D291" s="1247"/>
      <c r="E291" s="2000"/>
      <c r="F291" s="1991"/>
      <c r="G291" s="1991"/>
      <c r="H291" s="1991"/>
      <c r="I291" s="1991"/>
      <c r="J291" s="1991"/>
      <c r="K291" s="1991"/>
      <c r="L291" s="1991"/>
    </row>
    <row r="292" spans="3:13">
      <c r="D292" s="1244" t="s">
        <v>2595</v>
      </c>
      <c r="E292" s="1948"/>
      <c r="F292" s="1948"/>
      <c r="G292" s="1948"/>
      <c r="H292" s="1948"/>
      <c r="I292" s="1948"/>
      <c r="J292" s="1948"/>
      <c r="K292" s="1948"/>
      <c r="L292" s="1948"/>
      <c r="M292" s="887"/>
    </row>
    <row r="293" spans="3:13">
      <c r="D293" s="977"/>
      <c r="E293" s="580"/>
      <c r="F293" s="580"/>
      <c r="G293" s="580"/>
      <c r="H293" s="580"/>
      <c r="I293" s="580"/>
      <c r="J293" s="580"/>
      <c r="K293" s="580"/>
      <c r="L293" s="588" t="s">
        <v>2593</v>
      </c>
      <c r="M293" s="887"/>
    </row>
    <row r="294" spans="3:13">
      <c r="D294" s="1245" t="s">
        <v>869</v>
      </c>
      <c r="E294" s="1741">
        <v>2018</v>
      </c>
      <c r="F294" s="1741">
        <v>2020</v>
      </c>
      <c r="G294" s="1741">
        <v>2025</v>
      </c>
      <c r="H294" s="1741">
        <v>2030</v>
      </c>
      <c r="I294" s="1741">
        <v>2035</v>
      </c>
      <c r="J294" s="1741">
        <v>2040</v>
      </c>
      <c r="K294" s="1741">
        <v>2045</v>
      </c>
      <c r="L294" s="1741">
        <v>2050</v>
      </c>
      <c r="M294" s="887"/>
    </row>
    <row r="295" spans="3:13">
      <c r="D295" s="1248" t="s">
        <v>2578</v>
      </c>
      <c r="E295" s="2001" cm="1">
        <f t="array" ref="E295:L295">_xlfn.ANCHORARRAY(E290)*SF_PROPORCION_HATO_HEMBRAS</f>
        <v>0</v>
      </c>
      <c r="F295" s="2002">
        <v>0</v>
      </c>
      <c r="G295" s="2002">
        <v>0</v>
      </c>
      <c r="H295" s="2002">
        <v>0</v>
      </c>
      <c r="I295" s="2002">
        <v>0</v>
      </c>
      <c r="J295" s="2002">
        <v>0</v>
      </c>
      <c r="K295" s="2002">
        <v>0</v>
      </c>
      <c r="L295" s="2002">
        <v>0</v>
      </c>
    </row>
    <row r="296" spans="3:13">
      <c r="D296" s="1249" t="s">
        <v>2579</v>
      </c>
      <c r="E296" s="2003" cm="1">
        <f t="array" ref="E296:L296">_xlfn.ANCHORARRAY(E290)*SF_PROPORCION_HATO_MACHOS</f>
        <v>0</v>
      </c>
      <c r="F296" s="2004">
        <v>0</v>
      </c>
      <c r="G296" s="2004">
        <v>0</v>
      </c>
      <c r="H296" s="2004">
        <v>0</v>
      </c>
      <c r="I296" s="2004">
        <v>0</v>
      </c>
      <c r="J296" s="2004">
        <v>0</v>
      </c>
      <c r="K296" s="2004">
        <v>0</v>
      </c>
      <c r="L296" s="2004">
        <v>0</v>
      </c>
    </row>
    <row r="297" spans="3:13">
      <c r="M297" s="1738"/>
    </row>
    <row r="298" spans="3:13">
      <c r="C298" s="1738"/>
      <c r="D298" s="1250" t="s">
        <v>116</v>
      </c>
      <c r="M298" s="1738"/>
    </row>
    <row r="299" spans="3:13">
      <c r="C299" s="1738"/>
      <c r="D299" s="1738"/>
      <c r="E299" s="1738"/>
      <c r="F299" s="1738"/>
      <c r="G299" s="1738"/>
      <c r="H299" s="1738"/>
      <c r="I299" s="1738"/>
      <c r="J299" s="1738"/>
      <c r="K299" s="1738"/>
      <c r="L299" s="1739"/>
    </row>
    <row r="300" spans="3:13">
      <c r="C300" s="1738"/>
      <c r="D300" s="1740" t="s">
        <v>869</v>
      </c>
      <c r="E300" s="1741">
        <v>2018</v>
      </c>
      <c r="F300" s="1741">
        <v>2020</v>
      </c>
      <c r="G300" s="1741">
        <v>2025</v>
      </c>
      <c r="H300" s="1741">
        <v>2030</v>
      </c>
      <c r="I300" s="1741">
        <v>2035</v>
      </c>
      <c r="J300" s="1741">
        <v>2040</v>
      </c>
      <c r="K300" s="1741">
        <v>2045</v>
      </c>
      <c r="L300" s="1741">
        <v>2050</v>
      </c>
    </row>
    <row r="301" spans="3:13">
      <c r="C301" s="1738"/>
      <c r="D301" s="1734" t="s">
        <v>2596</v>
      </c>
      <c r="E301" s="1736" cm="1">
        <f t="array" ref="E301:L301">E295:L295*FACTOR_DE_PRODUCCION_ESTIERCOL_KG</f>
        <v>0</v>
      </c>
      <c r="F301" s="1747">
        <v>0</v>
      </c>
      <c r="G301" s="1747">
        <v>0</v>
      </c>
      <c r="H301" s="1747">
        <v>0</v>
      </c>
      <c r="I301" s="1747">
        <v>0</v>
      </c>
      <c r="J301" s="1747">
        <v>0</v>
      </c>
      <c r="K301" s="1747">
        <v>0</v>
      </c>
      <c r="L301" s="1747">
        <v>0</v>
      </c>
      <c r="M301" s="661" t="s">
        <v>2407</v>
      </c>
    </row>
    <row r="302" spans="3:13">
      <c r="C302" s="1738"/>
      <c r="D302" s="1856" t="s">
        <v>2597</v>
      </c>
      <c r="E302" s="1857" cm="1">
        <f t="array" ref="E302:L302">_xlfn.ANCHORARRAY(E301)*INDEX(ST_PRODUCCION_ESTIERCOL_BIOENERGIA,0)</f>
        <v>0</v>
      </c>
      <c r="F302" s="1859">
        <v>0</v>
      </c>
      <c r="G302" s="1859">
        <v>0</v>
      </c>
      <c r="H302" s="1859">
        <v>0</v>
      </c>
      <c r="I302" s="1859">
        <v>0</v>
      </c>
      <c r="J302" s="1859">
        <v>0</v>
      </c>
      <c r="K302" s="1859">
        <v>0</v>
      </c>
      <c r="L302" s="1859">
        <v>0</v>
      </c>
      <c r="M302" s="661" t="s">
        <v>2407</v>
      </c>
    </row>
    <row r="303" spans="3:13">
      <c r="C303" s="1738"/>
      <c r="D303" s="1742" t="s">
        <v>2598</v>
      </c>
      <c r="E303" s="1737" cm="1">
        <f t="array" ref="E303:L303">_xlfn.ANCHORARRAY(E302)*E117</f>
        <v>0</v>
      </c>
      <c r="F303" s="1737">
        <v>0</v>
      </c>
      <c r="G303" s="1737">
        <v>0</v>
      </c>
      <c r="H303" s="1737">
        <v>0</v>
      </c>
      <c r="I303" s="1737">
        <v>0</v>
      </c>
      <c r="J303" s="1737">
        <v>0</v>
      </c>
      <c r="K303" s="1737">
        <v>0</v>
      </c>
      <c r="L303" s="1737">
        <v>0</v>
      </c>
      <c r="M303" s="661" t="s">
        <v>9</v>
      </c>
    </row>
    <row r="304" spans="3:13">
      <c r="C304" s="1738"/>
      <c r="D304" s="1735" t="s">
        <v>2599</v>
      </c>
      <c r="E304" s="1736" cm="1">
        <f t="array" ref="E304:L304">E296:L296*FACTOR_DE_PRODUCCION_ESTIERCOL_KG</f>
        <v>0</v>
      </c>
      <c r="F304" s="1746">
        <v>0</v>
      </c>
      <c r="G304" s="1746">
        <v>0</v>
      </c>
      <c r="H304" s="1746">
        <v>0</v>
      </c>
      <c r="I304" s="1746">
        <v>0</v>
      </c>
      <c r="J304" s="1746">
        <v>0</v>
      </c>
      <c r="K304" s="1746">
        <v>0</v>
      </c>
      <c r="L304" s="1746">
        <v>0</v>
      </c>
      <c r="M304" s="661" t="s">
        <v>2407</v>
      </c>
    </row>
    <row r="305" spans="3:13">
      <c r="C305" s="1738"/>
      <c r="D305" s="1856" t="s">
        <v>2597</v>
      </c>
      <c r="E305" s="1857" cm="1">
        <f t="array" ref="E305:L305">_xlfn.ANCHORARRAY(E304)*INDEX(ST_PRODUCCION_ESTIERCOL_BIOENERGIA,0)</f>
        <v>0</v>
      </c>
      <c r="F305" s="1858">
        <v>0</v>
      </c>
      <c r="G305" s="1858">
        <v>0</v>
      </c>
      <c r="H305" s="1858">
        <v>0</v>
      </c>
      <c r="I305" s="1858">
        <v>0</v>
      </c>
      <c r="J305" s="1858">
        <v>0</v>
      </c>
      <c r="K305" s="1858">
        <v>0</v>
      </c>
      <c r="L305" s="1858">
        <v>0</v>
      </c>
      <c r="M305" s="661" t="s">
        <v>2407</v>
      </c>
    </row>
    <row r="306" spans="3:13">
      <c r="C306" s="1738"/>
      <c r="D306" s="1742" t="s">
        <v>2600</v>
      </c>
      <c r="E306" s="1737" cm="1">
        <f t="array" ref="E306:L306">_xlfn.ANCHORARRAY(E305)*E118</f>
        <v>0</v>
      </c>
      <c r="F306" s="1737">
        <v>0</v>
      </c>
      <c r="G306" s="1737">
        <v>0</v>
      </c>
      <c r="H306" s="1737">
        <v>0</v>
      </c>
      <c r="I306" s="1737">
        <v>0</v>
      </c>
      <c r="J306" s="1737">
        <v>0</v>
      </c>
      <c r="K306" s="1737">
        <v>0</v>
      </c>
      <c r="L306" s="1737">
        <v>0</v>
      </c>
      <c r="M306" s="661" t="s">
        <v>9</v>
      </c>
    </row>
    <row r="307" spans="3:13">
      <c r="C307" s="1738"/>
      <c r="D307" s="1743" t="s">
        <v>2601</v>
      </c>
      <c r="E307" s="1744" cm="1">
        <f t="array" ref="E307:L307">_xlfn.ANCHORARRAY(E303)+_xlfn.ANCHORARRAY(E306)</f>
        <v>0</v>
      </c>
      <c r="F307" s="1744">
        <v>0</v>
      </c>
      <c r="G307" s="1744">
        <v>0</v>
      </c>
      <c r="H307" s="1744">
        <v>0</v>
      </c>
      <c r="I307" s="1744">
        <v>0</v>
      </c>
      <c r="J307" s="1744">
        <v>0</v>
      </c>
      <c r="K307" s="1744">
        <v>0</v>
      </c>
      <c r="L307" s="1744">
        <v>0</v>
      </c>
      <c r="M307" s="1751" t="s">
        <v>9</v>
      </c>
    </row>
    <row r="308" spans="3:13">
      <c r="C308" s="1745"/>
      <c r="D308" s="1738"/>
      <c r="E308" s="1738"/>
      <c r="F308" s="1738"/>
      <c r="G308" s="1738"/>
      <c r="H308" s="1738"/>
      <c r="I308" s="1738"/>
      <c r="J308" s="1738"/>
      <c r="K308" s="1738"/>
      <c r="L308" s="1738"/>
      <c r="M308" s="1738"/>
    </row>
    <row r="309" spans="3:13">
      <c r="D309" s="1738"/>
      <c r="E309" s="1738"/>
      <c r="F309" s="1738"/>
      <c r="G309" s="1738"/>
      <c r="H309" s="1738"/>
      <c r="I309" s="1738"/>
      <c r="J309" s="1738"/>
      <c r="K309" s="1738"/>
      <c r="L309" s="1738"/>
      <c r="M309" s="1738"/>
    </row>
    <row r="310" spans="3:13">
      <c r="D310" s="623" t="s">
        <v>2186</v>
      </c>
      <c r="E310" s="1738"/>
      <c r="F310" s="1738"/>
      <c r="G310" s="1738"/>
      <c r="H310" s="1738"/>
      <c r="I310" s="1738"/>
      <c r="J310" s="1738"/>
      <c r="K310" s="1738"/>
      <c r="L310" s="1738"/>
    </row>
    <row r="312" spans="3:13">
      <c r="D312" s="1972" t="s">
        <v>2592</v>
      </c>
      <c r="E312" s="1948"/>
      <c r="F312" s="1948"/>
      <c r="G312" s="1948"/>
      <c r="H312" s="1948"/>
      <c r="I312" s="1948"/>
      <c r="J312" s="1948"/>
      <c r="K312" s="1948"/>
      <c r="L312" s="1948"/>
    </row>
    <row r="313" spans="3:13">
      <c r="D313" s="977"/>
      <c r="E313" s="580"/>
      <c r="F313" s="580"/>
      <c r="G313" s="580"/>
      <c r="H313" s="580"/>
      <c r="I313" s="580"/>
      <c r="J313" s="580"/>
      <c r="K313" s="580"/>
      <c r="L313" s="588" t="s">
        <v>2593</v>
      </c>
    </row>
    <row r="314" spans="3:13">
      <c r="D314" s="1245" t="s">
        <v>869</v>
      </c>
      <c r="E314" s="1741">
        <v>2018</v>
      </c>
      <c r="F314" s="1741">
        <v>2020</v>
      </c>
      <c r="G314" s="1741">
        <v>2025</v>
      </c>
      <c r="H314" s="1741">
        <v>2030</v>
      </c>
      <c r="I314" s="1741">
        <v>2035</v>
      </c>
      <c r="J314" s="1741">
        <v>2040</v>
      </c>
      <c r="K314" s="1741">
        <v>2045</v>
      </c>
      <c r="L314" s="1741">
        <v>2050</v>
      </c>
    </row>
    <row r="315" spans="3:13">
      <c r="D315" s="1248" t="s">
        <v>2578</v>
      </c>
      <c r="E315" s="2001" cm="1">
        <f t="array" ref="E315:L315">SF_HATO_GANADERO_COLOMBIANO*SF_PROPORCION_HATO_HEMBRAS</f>
        <v>796573.12000000011</v>
      </c>
      <c r="F315" s="2002">
        <v>830993.52000000014</v>
      </c>
      <c r="G315" s="2002">
        <v>902632.64000000013</v>
      </c>
      <c r="H315" s="2002">
        <v>978389.44000000006</v>
      </c>
      <c r="I315" s="2002">
        <v>1054146.24</v>
      </c>
      <c r="J315" s="2002">
        <v>1129903.04</v>
      </c>
      <c r="K315" s="2002">
        <v>1205659.8400000001</v>
      </c>
      <c r="L315" s="2002">
        <v>1281416.6400000001</v>
      </c>
    </row>
    <row r="316" spans="3:13">
      <c r="D316" s="1249" t="s">
        <v>2579</v>
      </c>
      <c r="E316" s="2003" cm="1">
        <f t="array" ref="E316:L316">SF_HATO_GANADERO_COLOMBIANO*SF_PROPORCION_HATO_MACHOS</f>
        <v>625878.88</v>
      </c>
      <c r="F316" s="2004">
        <v>652923.48</v>
      </c>
      <c r="G316" s="2004">
        <v>709211.36</v>
      </c>
      <c r="H316" s="2004">
        <v>768734.56</v>
      </c>
      <c r="I316" s="2004">
        <v>828257.76</v>
      </c>
      <c r="J316" s="2004">
        <v>887780.96</v>
      </c>
      <c r="K316" s="2004">
        <v>947304.16</v>
      </c>
      <c r="L316" s="2004">
        <v>1006827.36</v>
      </c>
    </row>
    <row r="317" spans="3:13">
      <c r="D317" s="1247"/>
      <c r="E317" s="2006"/>
      <c r="F317" s="2007"/>
      <c r="G317" s="2007"/>
      <c r="H317" s="2007"/>
      <c r="I317" s="2007"/>
      <c r="J317" s="2007"/>
      <c r="K317" s="2007"/>
      <c r="L317" s="2007"/>
    </row>
    <row r="318" spans="3:13">
      <c r="D318" s="1972" t="s">
        <v>2580</v>
      </c>
      <c r="E318" s="1948"/>
      <c r="F318" s="1948"/>
      <c r="G318" s="1948"/>
      <c r="H318" s="1948"/>
      <c r="I318" s="1948"/>
      <c r="J318" s="1948"/>
      <c r="K318" s="1948"/>
      <c r="L318" s="1948"/>
    </row>
    <row r="319" spans="3:13">
      <c r="D319" s="977"/>
      <c r="E319" s="580"/>
      <c r="F319" s="580"/>
      <c r="G319" s="580"/>
      <c r="H319" s="580"/>
      <c r="I319" s="580"/>
      <c r="J319" s="580"/>
      <c r="K319" s="580"/>
      <c r="L319" s="624" t="s">
        <v>2581</v>
      </c>
    </row>
    <row r="320" spans="3:13">
      <c r="D320" s="1245" t="s">
        <v>869</v>
      </c>
      <c r="E320" s="1741">
        <v>2018</v>
      </c>
      <c r="F320" s="1741">
        <v>2020</v>
      </c>
      <c r="G320" s="1741">
        <v>2025</v>
      </c>
      <c r="H320" s="1741">
        <v>2030</v>
      </c>
      <c r="I320" s="1741">
        <v>2035</v>
      </c>
      <c r="J320" s="1741">
        <v>2040</v>
      </c>
      <c r="K320" s="1741">
        <v>2045</v>
      </c>
      <c r="L320" s="1741">
        <v>2050</v>
      </c>
    </row>
    <row r="321" spans="4:13">
      <c r="D321" s="1248" t="s">
        <v>2578</v>
      </c>
      <c r="E321" s="2001" cm="1">
        <f t="array" ref="E321:L321">_xlfn.ANCHORARRAY(E315)*SF_FE_HEMBRAS*UNIDAD_T_A_MT</f>
        <v>0.84811140086400005</v>
      </c>
      <c r="F321" s="2002">
        <v>0.88475880074400004</v>
      </c>
      <c r="G321" s="2002">
        <v>0.96103297180800007</v>
      </c>
      <c r="H321" s="2002">
        <v>1.041691236768</v>
      </c>
      <c r="I321" s="2002">
        <v>1.1223495017279999</v>
      </c>
      <c r="J321" s="2002">
        <v>1.2030077666879999</v>
      </c>
      <c r="K321" s="2002">
        <v>1.283666031648</v>
      </c>
      <c r="L321" s="2002">
        <v>1.364324296608</v>
      </c>
    </row>
    <row r="322" spans="4:13">
      <c r="D322" s="1249" t="s">
        <v>2579</v>
      </c>
      <c r="E322" s="2003" cm="1">
        <f t="array" ref="E322:L322">_xlfn.ANCHORARRAY(E316)*SF_FE_MACHOS*UNIDAD_T_A_MT</f>
        <v>0.43767710078400002</v>
      </c>
      <c r="F322" s="2004">
        <v>0.45658938956399997</v>
      </c>
      <c r="G322" s="2004">
        <v>0.49595150404800004</v>
      </c>
      <c r="H322" s="2004">
        <v>0.53757607780799999</v>
      </c>
      <c r="I322" s="2004">
        <v>0.57920065156800005</v>
      </c>
      <c r="J322" s="2004">
        <v>0.620825225328</v>
      </c>
      <c r="K322" s="2004">
        <v>0.66244979908800006</v>
      </c>
      <c r="L322" s="2004">
        <v>0.70407437284800001</v>
      </c>
    </row>
    <row r="323" spans="4:13">
      <c r="D323" s="1247"/>
      <c r="E323" s="2006"/>
      <c r="F323" s="2007"/>
      <c r="G323" s="2007"/>
      <c r="H323" s="2007"/>
      <c r="I323" s="2007"/>
      <c r="J323" s="2007"/>
      <c r="K323" s="2007"/>
      <c r="L323" s="2007"/>
    </row>
    <row r="324" spans="4:13">
      <c r="D324" s="1972" t="s">
        <v>2602</v>
      </c>
      <c r="E324" s="1287"/>
      <c r="F324" s="1287"/>
      <c r="G324" s="1287"/>
      <c r="H324" s="1287"/>
      <c r="I324" s="1287"/>
      <c r="J324" s="1287"/>
      <c r="K324" s="1287"/>
      <c r="L324" s="1287"/>
    </row>
    <row r="325" spans="4:13">
      <c r="D325" s="1287"/>
      <c r="E325" s="1287"/>
      <c r="F325" s="1287"/>
      <c r="G325" s="1287"/>
      <c r="H325" s="1287"/>
      <c r="I325" s="1287"/>
      <c r="J325" s="1287"/>
      <c r="K325" s="1287"/>
      <c r="L325" s="1277" t="s">
        <v>2407</v>
      </c>
    </row>
    <row r="326" spans="4:13">
      <c r="D326" s="2008" t="s">
        <v>869</v>
      </c>
      <c r="E326" s="2009">
        <v>2018</v>
      </c>
      <c r="F326" s="2010">
        <v>2020</v>
      </c>
      <c r="G326" s="2010">
        <v>2025</v>
      </c>
      <c r="H326" s="2010">
        <v>2030</v>
      </c>
      <c r="I326" s="2010">
        <v>2035</v>
      </c>
      <c r="J326" s="2010">
        <v>2040</v>
      </c>
      <c r="K326" s="2010">
        <v>2045</v>
      </c>
      <c r="L326" s="2010">
        <v>2050</v>
      </c>
    </row>
    <row r="327" spans="4:13">
      <c r="D327" s="2011" t="s">
        <v>2578</v>
      </c>
      <c r="E327" s="2012" cm="1">
        <f t="array" ref="E327:L327">_xlfn.ANCHORARRAY(E315)*FACTOR_DE_PRODUCCION_ESTIERCOL_KG</f>
        <v>2389719.3600000003</v>
      </c>
      <c r="F327" s="2013">
        <v>2492980.5600000005</v>
      </c>
      <c r="G327" s="2013">
        <v>2707897.9200000004</v>
      </c>
      <c r="H327" s="2013">
        <v>2935168.3200000003</v>
      </c>
      <c r="I327" s="2013">
        <v>3162438.7199999997</v>
      </c>
      <c r="J327" s="2013">
        <v>3389709.12</v>
      </c>
      <c r="K327" s="2013">
        <v>3616979.5200000005</v>
      </c>
      <c r="L327" s="2013">
        <v>3844249.9200000004</v>
      </c>
      <c r="M327" s="1287"/>
    </row>
    <row r="328" spans="4:13">
      <c r="D328" s="2014" t="s">
        <v>2579</v>
      </c>
      <c r="E328" s="2015" cm="1">
        <f t="array" ref="E328:L328">_xlfn.ANCHORARRAY(E316)*FACTOR_DE_PRODUCCION_ESTIERCOL_KG</f>
        <v>1877636.6400000001</v>
      </c>
      <c r="F328" s="2016">
        <v>1958770.44</v>
      </c>
      <c r="G328" s="2016">
        <v>2127634.08</v>
      </c>
      <c r="H328" s="2016">
        <v>2306203.6800000002</v>
      </c>
      <c r="I328" s="2016">
        <v>2484773.2800000003</v>
      </c>
      <c r="J328" s="2016">
        <v>2663342.88</v>
      </c>
      <c r="K328" s="2016">
        <v>2841912.48</v>
      </c>
      <c r="L328" s="2016">
        <v>3020482.08</v>
      </c>
      <c r="M328" s="1287"/>
    </row>
    <row r="329" spans="4:13">
      <c r="D329" s="2017"/>
      <c r="E329" s="2018"/>
      <c r="F329" s="2019"/>
      <c r="G329" s="2019"/>
      <c r="H329" s="2019"/>
      <c r="I329" s="2019"/>
      <c r="J329" s="2019"/>
      <c r="K329" s="2019"/>
      <c r="L329" s="2019"/>
      <c r="M329" s="1287"/>
    </row>
    <row r="330" spans="4:13">
      <c r="D330" s="1972" t="s">
        <v>2603</v>
      </c>
      <c r="E330" s="1287"/>
      <c r="F330" s="1287"/>
      <c r="G330" s="1287"/>
      <c r="H330" s="1287"/>
      <c r="I330" s="1287"/>
      <c r="J330" s="1287"/>
      <c r="K330" s="1287"/>
      <c r="L330" s="1287"/>
      <c r="M330" s="1287"/>
    </row>
    <row r="331" spans="4:13">
      <c r="D331" s="1287"/>
      <c r="E331" s="1287"/>
      <c r="F331" s="1287"/>
      <c r="G331" s="1287"/>
      <c r="H331" s="1287"/>
      <c r="I331" s="1287"/>
      <c r="J331" s="1287"/>
      <c r="K331" s="1287"/>
      <c r="L331" s="624" t="s">
        <v>2581</v>
      </c>
      <c r="M331" s="1287"/>
    </row>
    <row r="332" spans="4:13">
      <c r="D332" s="2008" t="s">
        <v>869</v>
      </c>
      <c r="E332" s="2009">
        <v>2018</v>
      </c>
      <c r="F332" s="2010">
        <v>2020</v>
      </c>
      <c r="G332" s="2010">
        <v>2025</v>
      </c>
      <c r="H332" s="2010">
        <v>2030</v>
      </c>
      <c r="I332" s="2010">
        <v>2035</v>
      </c>
      <c r="J332" s="2010">
        <v>2040</v>
      </c>
      <c r="K332" s="2010">
        <v>2045</v>
      </c>
      <c r="L332" s="2010">
        <v>2050</v>
      </c>
      <c r="M332" s="1287"/>
    </row>
    <row r="333" spans="4:13">
      <c r="D333" s="1248" t="s">
        <v>2578</v>
      </c>
      <c r="E333" s="2001" cm="1">
        <f t="array" ref="E333:L333">_xlfn.ANCHORARRAY(E315)*FE_GENERACION_ESTIERCOL_CG*UNIDAD_T_A_MT</f>
        <v>0.46667777777947733</v>
      </c>
      <c r="F333" s="2002">
        <v>0.48684320312333124</v>
      </c>
      <c r="G333" s="2002">
        <v>0.52881346860715428</v>
      </c>
      <c r="H333" s="2002">
        <v>0.57319610491263784</v>
      </c>
      <c r="I333" s="2002">
        <v>0.6175787412181214</v>
      </c>
      <c r="J333" s="2002">
        <v>0.66196137752360495</v>
      </c>
      <c r="K333" s="2002">
        <v>0.70634401382908851</v>
      </c>
      <c r="L333" s="2002">
        <v>0.75072665013457218</v>
      </c>
      <c r="M333" s="1287"/>
    </row>
    <row r="334" spans="4:13">
      <c r="D334" s="1249" t="s">
        <v>2579</v>
      </c>
      <c r="E334" s="2003" cm="1">
        <f t="array" ref="E334:L334">_xlfn.ANCHORARRAY(E316)*FE_GENERACION_ESTIERCOL_CG*UNIDAD_T_A_MT</f>
        <v>0.36667539682673217</v>
      </c>
      <c r="F334" s="2004">
        <v>0.38251965959690298</v>
      </c>
      <c r="G334" s="2004">
        <v>0.41549629676276406</v>
      </c>
      <c r="H334" s="2004">
        <v>0.45036836814564402</v>
      </c>
      <c r="I334" s="2004">
        <v>0.48524043952852391</v>
      </c>
      <c r="J334" s="2004">
        <v>0.52011251091140387</v>
      </c>
      <c r="K334" s="2004">
        <v>0.55498458229428382</v>
      </c>
      <c r="L334" s="2004">
        <v>0.58985665367716378</v>
      </c>
      <c r="M334" s="1287"/>
    </row>
    <row r="335" spans="4:13">
      <c r="D335" s="1247"/>
      <c r="E335" s="2006"/>
      <c r="F335" s="2007"/>
      <c r="G335" s="2007"/>
      <c r="H335" s="2007"/>
      <c r="I335" s="2007"/>
      <c r="J335" s="2007"/>
      <c r="K335" s="2007"/>
      <c r="L335" s="2007"/>
      <c r="M335" s="1287"/>
    </row>
    <row r="336" spans="4:13">
      <c r="D336" s="1972" t="s">
        <v>2604</v>
      </c>
      <c r="E336" s="1287"/>
      <c r="F336" s="1287"/>
      <c r="G336" s="1287"/>
      <c r="H336" s="1287"/>
      <c r="I336" s="1287"/>
      <c r="J336" s="1287"/>
      <c r="K336" s="1287"/>
      <c r="L336" s="1287"/>
    </row>
    <row r="337" spans="4:14">
      <c r="D337" s="1287"/>
      <c r="E337" s="1287"/>
      <c r="F337" s="1287"/>
      <c r="G337" s="1287"/>
      <c r="H337" s="1287"/>
      <c r="I337" s="1287"/>
      <c r="J337" s="1287"/>
      <c r="K337" s="1287"/>
      <c r="L337" s="624" t="s">
        <v>2581</v>
      </c>
    </row>
    <row r="338" spans="4:14">
      <c r="D338" s="2008" t="s">
        <v>869</v>
      </c>
      <c r="E338" s="2009">
        <v>2018</v>
      </c>
      <c r="F338" s="2010">
        <v>2020</v>
      </c>
      <c r="G338" s="2010">
        <v>2025</v>
      </c>
      <c r="H338" s="2010">
        <v>2030</v>
      </c>
      <c r="I338" s="2010">
        <v>2035</v>
      </c>
      <c r="J338" s="2010">
        <v>2040</v>
      </c>
      <c r="K338" s="2010">
        <v>2045</v>
      </c>
      <c r="L338" s="2010">
        <v>2050</v>
      </c>
    </row>
    <row r="339" spans="4:14">
      <c r="D339" s="1248" t="s">
        <v>2578</v>
      </c>
      <c r="E339" s="2001" cm="1">
        <f t="array" ref="E339:L339">(_xlfn.ANCHORARRAY(E295))*FE_GENERACION_ESTIERCOL_CG*UNIDAD_T_A_MT</f>
        <v>0</v>
      </c>
      <c r="F339" s="2002">
        <v>0</v>
      </c>
      <c r="G339" s="2002">
        <v>0</v>
      </c>
      <c r="H339" s="2002">
        <v>0</v>
      </c>
      <c r="I339" s="2002">
        <v>0</v>
      </c>
      <c r="J339" s="2002">
        <v>0</v>
      </c>
      <c r="K339" s="2002">
        <v>0</v>
      </c>
      <c r="L339" s="2002">
        <v>0</v>
      </c>
      <c r="M339" s="1287"/>
    </row>
    <row r="340" spans="4:14">
      <c r="D340" s="1249" t="s">
        <v>2579</v>
      </c>
      <c r="E340" s="2003" cm="1">
        <f t="array" ref="E340:L340">(_xlfn.ANCHORARRAY(E296))*FE_GENERACION_ESTIERCOL_CG*UNIDAD_T_A_MT</f>
        <v>0</v>
      </c>
      <c r="F340" s="2004">
        <v>0</v>
      </c>
      <c r="G340" s="2004">
        <v>0</v>
      </c>
      <c r="H340" s="2004">
        <v>0</v>
      </c>
      <c r="I340" s="2004">
        <v>0</v>
      </c>
      <c r="J340" s="2004">
        <v>0</v>
      </c>
      <c r="K340" s="2004">
        <v>0</v>
      </c>
      <c r="L340" s="2004">
        <v>0</v>
      </c>
      <c r="M340" s="1287"/>
    </row>
    <row r="341" spans="4:14">
      <c r="D341" s="1247"/>
      <c r="E341" s="2006"/>
      <c r="F341" s="2007"/>
      <c r="G341" s="2007"/>
      <c r="H341" s="2007"/>
      <c r="I341" s="2007"/>
      <c r="J341" s="2007"/>
      <c r="K341" s="2007"/>
      <c r="L341" s="2007"/>
      <c r="M341" s="1287"/>
    </row>
    <row r="342" spans="4:14">
      <c r="D342" s="1745" t="s">
        <v>2582</v>
      </c>
    </row>
    <row r="343" spans="4:14">
      <c r="L343" s="624" t="s">
        <v>2581</v>
      </c>
    </row>
    <row r="344" spans="4:14">
      <c r="D344" s="1740" t="s">
        <v>869</v>
      </c>
      <c r="E344" s="1741">
        <v>2018</v>
      </c>
      <c r="F344" s="1741" t="s">
        <v>322</v>
      </c>
      <c r="G344" s="1741" t="s">
        <v>323</v>
      </c>
      <c r="H344" s="1741" t="s">
        <v>324</v>
      </c>
      <c r="I344" s="1741" t="s">
        <v>325</v>
      </c>
      <c r="J344" s="1741" t="s">
        <v>326</v>
      </c>
      <c r="K344" s="1741" t="s">
        <v>327</v>
      </c>
      <c r="L344" s="1741" t="s">
        <v>328</v>
      </c>
    </row>
    <row r="345" spans="4:14">
      <c r="D345" t="s">
        <v>2529</v>
      </c>
      <c r="E345" s="1771" cm="1">
        <f t="array" ref="E345:L345">SF_POTENCIAL_REDUCCION_PRACTICAS_SOSTENIBLES_SUELOS_GANADEROS_SISTEMAS_SILVOPASTORALES_INTENSIVOS*$E$266:$L$266*UNIDAD_T_A_MT</f>
        <v>3.0757982773785202E-2</v>
      </c>
      <c r="F345" s="980">
        <v>3.0757982773785202E-2</v>
      </c>
      <c r="G345" s="980">
        <v>3.0757982773785202E-2</v>
      </c>
      <c r="H345" s="980">
        <v>3.0757982773785202E-2</v>
      </c>
      <c r="I345" s="980">
        <v>3.0757982773785202E-2</v>
      </c>
      <c r="J345" s="980">
        <v>3.0757982773785202E-2</v>
      </c>
      <c r="K345" s="980">
        <v>3.0757982773785202E-2</v>
      </c>
      <c r="L345" s="980">
        <v>3.0757982773785202E-2</v>
      </c>
    </row>
    <row r="346" spans="4:14">
      <c r="D346" t="s">
        <v>2530</v>
      </c>
      <c r="E346" s="2964" cm="1">
        <f t="array" ref="E346:L346">SF_POTENCIAL_REDUCCION_PRACTICAS_SOSTENIBLES_SUELOS_GANADEROS_REHABILITACION_DE_PASTURAS*E267:L267*UNIDAD_T_A_MT</f>
        <v>3.0764234396300186E-5</v>
      </c>
      <c r="F346" s="980">
        <v>3.0764234396300186E-5</v>
      </c>
      <c r="G346" s="980">
        <v>3.0764234396300186E-5</v>
      </c>
      <c r="H346" s="980">
        <v>3.0764234396300186E-5</v>
      </c>
      <c r="I346" s="980">
        <v>3.0764234396300186E-5</v>
      </c>
      <c r="J346" s="980">
        <v>3.0764234396300186E-5</v>
      </c>
      <c r="K346" s="980">
        <v>3.0764234396300186E-5</v>
      </c>
      <c r="L346" s="980">
        <v>3.0764234396300186E-5</v>
      </c>
    </row>
    <row r="347" spans="4:14">
      <c r="D347" t="s">
        <v>2531</v>
      </c>
      <c r="E347" s="1771" cm="1">
        <f t="array" ref="E347:L347">SF_POTENCIAL_REDUCCION_PRACTICAS_SOSTENIBLES_SUELOS_GANADEROS_CERCAS_VIVAS*E268:L268*UNIDAD_T_A_MT</f>
        <v>3.3633729130683821E-3</v>
      </c>
      <c r="F347" s="980">
        <v>3.3633729130683821E-3</v>
      </c>
      <c r="G347" s="980">
        <v>3.3633729130683821E-3</v>
      </c>
      <c r="H347" s="980">
        <v>3.3633729130683821E-3</v>
      </c>
      <c r="I347" s="980">
        <v>3.3633729130683821E-3</v>
      </c>
      <c r="J347" s="980">
        <v>3.3633729130683821E-3</v>
      </c>
      <c r="K347" s="980">
        <v>3.3633729130683821E-3</v>
      </c>
      <c r="L347" s="980">
        <v>3.3633729130683821E-3</v>
      </c>
    </row>
    <row r="348" spans="4:14">
      <c r="D348" t="s">
        <v>2532</v>
      </c>
      <c r="E348" s="1771" cm="1">
        <f t="array" ref="E348:L348">SF_POTENCIAL_REDUCCION_PRACTICAS_SOSTENIBLES_SUELOS_GANADEROS_ARBOLES_DISPERSOS*E269:L269*UNIDAD_T_A_MT</f>
        <v>1.8129705293491276E-3</v>
      </c>
      <c r="F348" s="980">
        <v>2.0317773173740223E-3</v>
      </c>
      <c r="G348" s="980">
        <v>2.5787942874362594E-3</v>
      </c>
      <c r="H348" s="980">
        <v>3.1258112574984961E-3</v>
      </c>
      <c r="I348" s="980">
        <v>3.6728282275607328E-3</v>
      </c>
      <c r="J348" s="980">
        <v>4.2198451976229699E-3</v>
      </c>
      <c r="K348" s="980">
        <v>4.7668621676852062E-3</v>
      </c>
      <c r="L348" s="980">
        <v>5.3138791377474433E-3</v>
      </c>
    </row>
    <row r="349" spans="4:14">
      <c r="D349" s="1770" t="s">
        <v>338</v>
      </c>
      <c r="E349" s="1772">
        <f>E345+E346</f>
        <v>3.0788747008181502E-2</v>
      </c>
      <c r="F349" s="1772">
        <f t="shared" ref="F349:L349" si="3">F345+F346</f>
        <v>3.0788747008181502E-2</v>
      </c>
      <c r="G349" s="1772">
        <f t="shared" si="3"/>
        <v>3.0788747008181502E-2</v>
      </c>
      <c r="H349" s="1772">
        <f t="shared" si="3"/>
        <v>3.0788747008181502E-2</v>
      </c>
      <c r="I349" s="1772">
        <f t="shared" si="3"/>
        <v>3.0788747008181502E-2</v>
      </c>
      <c r="J349" s="1772">
        <f t="shared" si="3"/>
        <v>3.0788747008181502E-2</v>
      </c>
      <c r="K349" s="1772">
        <f t="shared" si="3"/>
        <v>3.0788747008181502E-2</v>
      </c>
      <c r="L349" s="1772">
        <f t="shared" si="3"/>
        <v>3.0788747008181502E-2</v>
      </c>
    </row>
    <row r="351" spans="4:14">
      <c r="D351" s="1745" t="s">
        <v>114</v>
      </c>
    </row>
    <row r="352" spans="4:14">
      <c r="L352" s="624" t="s">
        <v>2581</v>
      </c>
      <c r="N352" s="887"/>
    </row>
    <row r="353" spans="4:14">
      <c r="D353" s="1740" t="s">
        <v>869</v>
      </c>
      <c r="E353" s="1741">
        <v>2018</v>
      </c>
      <c r="F353" s="1741" t="s">
        <v>322</v>
      </c>
      <c r="G353" s="1741" t="s">
        <v>323</v>
      </c>
      <c r="H353" s="1741" t="s">
        <v>324</v>
      </c>
      <c r="I353" s="1741" t="s">
        <v>325</v>
      </c>
      <c r="J353" s="1741" t="s">
        <v>326</v>
      </c>
      <c r="K353" s="1741" t="s">
        <v>327</v>
      </c>
      <c r="L353" s="1741" t="s">
        <v>328</v>
      </c>
      <c r="N353" s="887"/>
    </row>
    <row r="354" spans="4:14">
      <c r="D354" t="s">
        <v>2568</v>
      </c>
      <c r="E354" s="1773" cm="1">
        <f t="array" ref="E354:L354">_xlfn.ANCHORARRAY(E356)+_xlfn.ANCHORARRAY(E355)</f>
        <v>0</v>
      </c>
      <c r="F354" s="1773">
        <v>0</v>
      </c>
      <c r="G354" s="1773">
        <v>0</v>
      </c>
      <c r="H354" s="1773">
        <v>0</v>
      </c>
      <c r="I354" s="1773">
        <v>0</v>
      </c>
      <c r="J354" s="1773">
        <v>0</v>
      </c>
      <c r="K354" s="1773">
        <v>0</v>
      </c>
      <c r="L354" s="1773">
        <v>0</v>
      </c>
      <c r="N354" s="887"/>
    </row>
    <row r="355" spans="4:14">
      <c r="D355" t="s">
        <v>2583</v>
      </c>
      <c r="E355" s="1773" cm="1">
        <f t="array" ref="E355:L355">_xlfn.ANCHORARRAY(E295)*SF_FE_HEMBRAS*UNIDAD_T_A_MT</f>
        <v>0</v>
      </c>
      <c r="F355" s="1773">
        <v>0</v>
      </c>
      <c r="G355" s="1773">
        <v>0</v>
      </c>
      <c r="H355" s="1773">
        <v>0</v>
      </c>
      <c r="I355" s="1773">
        <v>0</v>
      </c>
      <c r="J355" s="1773">
        <v>0</v>
      </c>
      <c r="K355" s="1773">
        <v>0</v>
      </c>
      <c r="L355" s="1773">
        <v>0</v>
      </c>
    </row>
    <row r="356" spans="4:14">
      <c r="D356" t="s">
        <v>2584</v>
      </c>
      <c r="E356" s="1773" cm="1">
        <f t="array" ref="E356:L356">_xlfn.ANCHORARRAY(E296)*SF_FE_MACHOS*UNIDAD_T_A_MT</f>
        <v>0</v>
      </c>
      <c r="F356" s="1773">
        <v>0</v>
      </c>
      <c r="G356" s="1773">
        <v>0</v>
      </c>
      <c r="H356" s="1773">
        <v>0</v>
      </c>
      <c r="I356" s="1773">
        <v>0</v>
      </c>
      <c r="J356" s="1773">
        <v>0</v>
      </c>
      <c r="K356" s="1773">
        <v>0</v>
      </c>
      <c r="L356" s="1773">
        <v>0</v>
      </c>
    </row>
    <row r="357" spans="4:14">
      <c r="D357" s="1091" t="s">
        <v>2585</v>
      </c>
      <c r="E357" s="1769" cm="1">
        <f t="array" ref="E357:L357">_xlfn.ANCHORARRAY(E354)*SF_POTENCIAL_REDUCCION_MEJORES_PRACTICAS_PECUARIAS_SUPLEMENTACION_ESTRATEGICA_MEJORA_DIETA</f>
        <v>0</v>
      </c>
      <c r="F357" s="2027">
        <v>0</v>
      </c>
      <c r="G357" s="2027">
        <v>0</v>
      </c>
      <c r="H357" s="2027">
        <v>0</v>
      </c>
      <c r="I357" s="2027">
        <v>0</v>
      </c>
      <c r="J357" s="2027">
        <v>0</v>
      </c>
      <c r="K357" s="2027">
        <v>0</v>
      </c>
      <c r="L357" s="2027">
        <v>0</v>
      </c>
    </row>
    <row r="359" spans="4:14">
      <c r="L359" s="624" t="s">
        <v>2581</v>
      </c>
    </row>
    <row r="360" spans="4:14">
      <c r="D360" s="1774" t="s">
        <v>1962</v>
      </c>
      <c r="E360" s="2026" cm="1">
        <f t="array" ref="E360:L360">_xlfn.ANCHORARRAY(E339)+_xlfn.ANCHORARRAY(E340)+_xlfn.ANCHORARRAY(E357)+E349:L349</f>
        <v>3.0788747008181502E-2</v>
      </c>
      <c r="F360" s="2026">
        <v>3.0788747008181502E-2</v>
      </c>
      <c r="G360" s="2026">
        <v>3.0788747008181502E-2</v>
      </c>
      <c r="H360" s="2026">
        <v>3.0788747008181502E-2</v>
      </c>
      <c r="I360" s="2026">
        <v>3.0788747008181502E-2</v>
      </c>
      <c r="J360" s="2026">
        <v>3.0788747008181502E-2</v>
      </c>
      <c r="K360" s="2026">
        <v>3.0788747008181502E-2</v>
      </c>
      <c r="L360" s="2026">
        <v>3.0788747008181502E-2</v>
      </c>
    </row>
  </sheetData>
  <sheetProtection algorithmName="SHA-512" hashValue="2KcRRcer2YNO/U5B4B5iR3ZTd8OgOSvX2CWps+8jtkjzY2p2yzsU6vECboRLdtdGNMSmEagkjdudmkqj/wrEuQ==" saltValue="F8hlunFyxug4R+ZY7TY6TQ==" spinCount="100000" sheet="1" objects="1" scenarios="1"/>
  <mergeCells count="6">
    <mergeCell ref="D11:D12"/>
    <mergeCell ref="D9:D10"/>
    <mergeCell ref="D7:D8"/>
    <mergeCell ref="L11:L12"/>
    <mergeCell ref="L9:L10"/>
    <mergeCell ref="L7:L8"/>
  </mergeCells>
  <conditionalFormatting sqref="G75:M75 M76">
    <cfRule type="cellIs" dxfId="7" priority="5" operator="equal">
      <formula>TRUE</formula>
    </cfRule>
  </conditionalFormatting>
  <conditionalFormatting sqref="H77:M77 M78:M84">
    <cfRule type="cellIs" dxfId="6" priority="6" operator="equal">
      <formula>TRUE</formula>
    </cfRule>
  </conditionalFormatting>
  <conditionalFormatting sqref="K166">
    <cfRule type="cellIs" dxfId="5" priority="4" operator="equal">
      <formula>TRUE</formula>
    </cfRule>
  </conditionalFormatting>
  <conditionalFormatting sqref="K172">
    <cfRule type="cellIs" dxfId="4" priority="3" operator="equal">
      <formula>TRUE</formula>
    </cfRule>
  </conditionalFormatting>
  <conditionalFormatting sqref="K180">
    <cfRule type="cellIs" dxfId="3" priority="2" operator="equal">
      <formula>TRUE</formula>
    </cfRule>
  </conditionalFormatting>
  <conditionalFormatting sqref="K186">
    <cfRule type="cellIs" dxfId="2" priority="1" operator="equal">
      <formula>TRUE</formula>
    </cfRule>
  </conditionalFormatting>
  <dataValidations count="1">
    <dataValidation type="whole" allowBlank="1" showErrorMessage="1" errorTitle="ERROR" error="El valor de trayectoria introducido no es valido. Las trayectorias estan comprendidas entre los valores 1 y 4." sqref="L7" xr:uid="{8022E74B-2A62-41CE-A5E7-6AEB906E3DF8}">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6084" r:id="rId5" name="Spinner 4">
              <controlPr defaultSize="0" autoPict="0">
                <anchor moveWithCells="1" sizeWithCells="1">
                  <from>
                    <xdr:col>11</xdr:col>
                    <xdr:colOff>933450</xdr:colOff>
                    <xdr:row>6</xdr:row>
                    <xdr:rowOff>38100</xdr:rowOff>
                  </from>
                  <to>
                    <xdr:col>12</xdr:col>
                    <xdr:colOff>161925</xdr:colOff>
                    <xdr:row>7</xdr:row>
                    <xdr:rowOff>142875</xdr:rowOff>
                  </to>
                </anchor>
              </controlPr>
            </control>
          </mc:Choice>
        </mc:AlternateContent>
        <mc:AlternateContent xmlns:mc="http://schemas.openxmlformats.org/markup-compatibility/2006">
          <mc:Choice Requires="x14">
            <control shapeId="46085" r:id="rId6" name="Spinner 5">
              <controlPr defaultSize="0" autoPict="0">
                <anchor moveWithCells="1" sizeWithCells="1">
                  <from>
                    <xdr:col>11</xdr:col>
                    <xdr:colOff>933450</xdr:colOff>
                    <xdr:row>8</xdr:row>
                    <xdr:rowOff>47625</xdr:rowOff>
                  </from>
                  <to>
                    <xdr:col>12</xdr:col>
                    <xdr:colOff>161925</xdr:colOff>
                    <xdr:row>9</xdr:row>
                    <xdr:rowOff>152400</xdr:rowOff>
                  </to>
                </anchor>
              </controlPr>
            </control>
          </mc:Choice>
        </mc:AlternateContent>
        <mc:AlternateContent xmlns:mc="http://schemas.openxmlformats.org/markup-compatibility/2006">
          <mc:Choice Requires="x14">
            <control shapeId="46086" r:id="rId7" name="Spinner 6">
              <controlPr defaultSize="0" autoPict="0">
                <anchor moveWithCells="1" sizeWithCells="1">
                  <from>
                    <xdr:col>11</xdr:col>
                    <xdr:colOff>933450</xdr:colOff>
                    <xdr:row>10</xdr:row>
                    <xdr:rowOff>57150</xdr:rowOff>
                  </from>
                  <to>
                    <xdr:col>12</xdr:col>
                    <xdr:colOff>161925</xdr:colOff>
                    <xdr:row>11</xdr:row>
                    <xdr:rowOff>161925</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C16C5-D214-4F36-9858-F742A34192AA}">
  <sheetPr codeName="Hoja48"/>
  <dimension ref="A1:O377"/>
  <sheetViews>
    <sheetView showGridLines="0" zoomScale="80" zoomScaleNormal="80" workbookViewId="0">
      <selection activeCell="A8" sqref="A8"/>
    </sheetView>
  </sheetViews>
  <sheetFormatPr baseColWidth="10" defaultColWidth="11.42578125" defaultRowHeight="15"/>
  <cols>
    <col min="1" max="1" width="20.7109375" style="663" customWidth="1"/>
    <col min="2" max="2" width="7.7109375" customWidth="1"/>
    <col min="3" max="3" width="5.7109375" customWidth="1"/>
    <col min="4" max="4" width="36" customWidth="1"/>
    <col min="5" max="5" width="22" customWidth="1"/>
    <col min="6" max="7" width="18.5703125" bestFit="1" customWidth="1"/>
    <col min="8" max="8" width="23.28515625" bestFit="1" customWidth="1"/>
    <col min="9" max="12" width="18.5703125" bestFit="1" customWidth="1"/>
    <col min="13" max="13" width="15.5703125" customWidth="1"/>
    <col min="14" max="14" width="13.42578125" bestFit="1" customWidth="1"/>
    <col min="15" max="15" width="12.85546875" bestFit="1" customWidth="1"/>
  </cols>
  <sheetData>
    <row r="1" spans="1:13" ht="15" customHeight="1"/>
    <row r="2" spans="1:13" ht="15" customHeight="1"/>
    <row r="3" spans="1:13" ht="15" customHeight="1"/>
    <row r="4" spans="1:13" ht="15" customHeight="1">
      <c r="C4" s="8" t="s">
        <v>1622</v>
      </c>
      <c r="D4" s="5"/>
      <c r="E4" s="5"/>
      <c r="F4" s="5"/>
      <c r="G4" s="5"/>
      <c r="H4" s="5"/>
      <c r="I4" s="5"/>
      <c r="J4" s="5"/>
      <c r="K4" s="5"/>
      <c r="L4" s="5"/>
      <c r="M4" s="5"/>
    </row>
    <row r="5" spans="1:13" ht="15" customHeight="1">
      <c r="A5" s="1559"/>
      <c r="C5" s="6"/>
      <c r="D5" s="6"/>
      <c r="E5" s="6"/>
      <c r="F5" s="6"/>
      <c r="G5" s="6"/>
      <c r="H5" s="6"/>
      <c r="I5" s="6"/>
      <c r="J5" s="6"/>
      <c r="K5" s="6"/>
      <c r="L5" s="6"/>
      <c r="M5" s="6"/>
    </row>
    <row r="6" spans="1:13" ht="15" customHeight="1">
      <c r="C6" s="6"/>
      <c r="D6" s="126" t="s">
        <v>1623</v>
      </c>
      <c r="E6" s="127"/>
      <c r="F6" s="127"/>
      <c r="G6" s="127"/>
      <c r="H6" s="127"/>
      <c r="I6" s="127"/>
      <c r="J6" s="127"/>
      <c r="K6" s="127"/>
      <c r="L6" s="128" t="s">
        <v>879</v>
      </c>
      <c r="M6" s="6"/>
    </row>
    <row r="7" spans="1:13" ht="15" customHeight="1">
      <c r="C7" s="6"/>
      <c r="D7" s="3928" t="s">
        <v>119</v>
      </c>
      <c r="E7" s="3928"/>
      <c r="F7" s="3928"/>
      <c r="G7" s="3928"/>
      <c r="H7" s="3928"/>
      <c r="I7" s="3928"/>
      <c r="J7" s="1885"/>
      <c r="K7" s="1885"/>
      <c r="L7" s="3940">
        <f>TRAYECTORIA_BOSQUES_DESARROLLO_CONSOLIDACION_CADENA_PRODUCTIVA</f>
        <v>1</v>
      </c>
      <c r="M7" s="6"/>
    </row>
    <row r="8" spans="1:13" ht="15" customHeight="1">
      <c r="C8" s="6"/>
      <c r="D8" s="3927"/>
      <c r="E8" s="3927"/>
      <c r="F8" s="3927"/>
      <c r="G8" s="3927"/>
      <c r="H8" s="3927"/>
      <c r="I8" s="3927"/>
      <c r="J8" s="1886"/>
      <c r="K8" s="1886"/>
      <c r="L8" s="3941"/>
      <c r="M8" s="6"/>
    </row>
    <row r="9" spans="1:13" ht="15" customHeight="1">
      <c r="C9" s="6"/>
      <c r="D9" s="3918" t="s">
        <v>121</v>
      </c>
      <c r="E9" s="3918"/>
      <c r="F9" s="3918"/>
      <c r="G9" s="3918"/>
      <c r="H9" s="3918"/>
      <c r="I9" s="3918"/>
      <c r="J9" s="219"/>
      <c r="K9" s="219"/>
      <c r="L9" s="3914">
        <f>TRAYECTORIA_BOSQUES_DESARROLLO_AREAS_VERDES</f>
        <v>1</v>
      </c>
      <c r="M9" s="6"/>
    </row>
    <row r="10" spans="1:13" ht="15" customHeight="1">
      <c r="C10" s="6"/>
      <c r="D10" s="3919"/>
      <c r="E10" s="3919"/>
      <c r="F10" s="3919"/>
      <c r="G10" s="3919"/>
      <c r="H10" s="3919"/>
      <c r="I10" s="3919"/>
      <c r="J10" s="1570"/>
      <c r="K10" s="1570"/>
      <c r="L10" s="3915"/>
      <c r="M10" s="6"/>
    </row>
    <row r="11" spans="1:13" ht="15" customHeight="1">
      <c r="C11" s="6"/>
      <c r="D11" s="6"/>
      <c r="E11" s="6"/>
      <c r="F11" s="6"/>
      <c r="G11" s="6"/>
      <c r="H11" s="6"/>
      <c r="I11" s="6"/>
      <c r="J11" s="6"/>
      <c r="K11" s="6"/>
      <c r="L11" s="6"/>
      <c r="M11" s="6"/>
    </row>
    <row r="12" spans="1:13" ht="15" customHeight="1"/>
    <row r="13" spans="1:13" ht="15" customHeight="1">
      <c r="C13" s="335" t="s">
        <v>1190</v>
      </c>
      <c r="D13" s="336"/>
      <c r="E13" s="336"/>
      <c r="F13" s="336"/>
      <c r="G13" s="336"/>
      <c r="H13" s="336"/>
      <c r="I13" s="336"/>
      <c r="J13" s="336"/>
      <c r="K13" s="336"/>
      <c r="L13" s="336"/>
      <c r="M13" s="336"/>
    </row>
    <row r="14" spans="1:13" ht="15" customHeight="1">
      <c r="C14" s="12"/>
      <c r="D14" s="12"/>
      <c r="E14" s="12"/>
      <c r="F14" s="12"/>
      <c r="G14" s="12"/>
      <c r="H14" s="12"/>
      <c r="I14" s="12"/>
      <c r="J14" s="12"/>
      <c r="K14" s="12"/>
      <c r="L14" s="12"/>
      <c r="M14" s="12"/>
    </row>
    <row r="15" spans="1:13" ht="15" customHeight="1">
      <c r="C15" s="12"/>
      <c r="D15" s="12"/>
      <c r="E15" s="12"/>
      <c r="F15" s="12"/>
      <c r="G15" s="12"/>
      <c r="H15" s="12"/>
      <c r="I15" s="12"/>
      <c r="J15" s="12"/>
      <c r="K15" s="12"/>
      <c r="L15" s="12"/>
      <c r="M15" s="12"/>
    </row>
    <row r="16" spans="1:13" ht="15" customHeight="1">
      <c r="C16" s="12"/>
      <c r="D16" s="939" t="s">
        <v>2605</v>
      </c>
      <c r="E16" s="129"/>
      <c r="F16" s="129"/>
      <c r="G16" s="129"/>
      <c r="H16" s="129"/>
      <c r="I16" s="129"/>
      <c r="J16" s="129"/>
      <c r="K16" s="129"/>
      <c r="L16" s="129"/>
      <c r="M16" s="12"/>
    </row>
    <row r="17" spans="3:15" ht="15" customHeight="1">
      <c r="C17" s="12"/>
      <c r="D17" s="12"/>
      <c r="E17" s="12"/>
      <c r="F17" s="12"/>
      <c r="G17" s="12"/>
      <c r="H17" s="12"/>
      <c r="I17" s="12"/>
      <c r="J17" s="12"/>
      <c r="K17" s="12"/>
      <c r="L17" s="12"/>
      <c r="M17" s="12"/>
    </row>
    <row r="18" spans="3:15" ht="15" customHeight="1">
      <c r="C18" s="12"/>
      <c r="D18" s="399" t="s">
        <v>1726</v>
      </c>
      <c r="E18" s="1424"/>
      <c r="F18" s="1425"/>
      <c r="G18" s="941"/>
      <c r="H18" s="941"/>
      <c r="I18" s="941"/>
      <c r="J18" s="941"/>
      <c r="K18" s="941"/>
      <c r="L18" s="941"/>
      <c r="M18" s="12"/>
    </row>
    <row r="19" spans="3:15" ht="15" customHeight="1">
      <c r="C19" s="12"/>
      <c r="D19" s="12"/>
      <c r="E19" s="12"/>
      <c r="F19" s="12"/>
      <c r="G19" s="12"/>
      <c r="H19" s="12"/>
      <c r="I19" s="12"/>
      <c r="J19" s="12"/>
      <c r="K19" s="12"/>
      <c r="L19" s="134" t="s">
        <v>2606</v>
      </c>
      <c r="M19" s="12"/>
    </row>
    <row r="20" spans="3:15" ht="15" customHeight="1">
      <c r="C20" s="12"/>
      <c r="D20" s="975" t="s">
        <v>869</v>
      </c>
      <c r="E20" s="29">
        <v>2018</v>
      </c>
      <c r="F20" s="29">
        <v>2020</v>
      </c>
      <c r="G20" s="29">
        <v>2025</v>
      </c>
      <c r="H20" s="29">
        <v>2030</v>
      </c>
      <c r="I20" s="29">
        <v>2035</v>
      </c>
      <c r="J20" s="29">
        <v>2040</v>
      </c>
      <c r="K20" s="29">
        <v>2045</v>
      </c>
      <c r="L20" s="29">
        <v>2050</v>
      </c>
      <c r="M20" s="12"/>
      <c r="O20" s="2128"/>
    </row>
    <row r="21" spans="3:15" ht="15" customHeight="1">
      <c r="C21" s="12"/>
      <c r="D21" s="3570" t="s">
        <v>2607</v>
      </c>
      <c r="E21" s="3571">
        <v>294.50528708223351</v>
      </c>
      <c r="F21" s="3571">
        <v>323.14438287077701</v>
      </c>
      <c r="G21" s="3571">
        <v>352.86918823784515</v>
      </c>
      <c r="H21" s="3571">
        <v>319.70027210804261</v>
      </c>
      <c r="I21" s="3571">
        <v>335.11390647251261</v>
      </c>
      <c r="J21" s="3571">
        <v>343.61309256300547</v>
      </c>
      <c r="K21" s="3571">
        <v>352.11227865349844</v>
      </c>
      <c r="L21" s="3571">
        <v>360.61146474399123</v>
      </c>
      <c r="M21" s="12"/>
      <c r="N21" s="887"/>
    </row>
    <row r="22" spans="3:15" ht="15" customHeight="1">
      <c r="C22" s="12"/>
      <c r="D22" s="3572" t="s">
        <v>2608</v>
      </c>
      <c r="E22" s="3573">
        <f t="shared" ref="E22:L22" si="0">SUM(E21:E21)</f>
        <v>294.50528708223351</v>
      </c>
      <c r="F22" s="3573">
        <f t="shared" si="0"/>
        <v>323.14438287077701</v>
      </c>
      <c r="G22" s="3573">
        <f t="shared" si="0"/>
        <v>352.86918823784515</v>
      </c>
      <c r="H22" s="3573">
        <f t="shared" si="0"/>
        <v>319.70027210804261</v>
      </c>
      <c r="I22" s="3573">
        <f t="shared" si="0"/>
        <v>335.11390647251261</v>
      </c>
      <c r="J22" s="3573">
        <f t="shared" si="0"/>
        <v>343.61309256300547</v>
      </c>
      <c r="K22" s="3573">
        <f t="shared" si="0"/>
        <v>352.11227865349844</v>
      </c>
      <c r="L22" s="3573">
        <f t="shared" si="0"/>
        <v>360.61146474399123</v>
      </c>
      <c r="M22" s="12"/>
      <c r="N22" s="2128"/>
    </row>
    <row r="23" spans="3:15" ht="15" customHeight="1">
      <c r="C23" s="12"/>
      <c r="D23" s="12"/>
      <c r="E23" s="1786"/>
      <c r="F23" s="12"/>
      <c r="G23" s="12"/>
      <c r="H23" s="12"/>
      <c r="I23" s="12"/>
      <c r="J23" s="12"/>
      <c r="K23" s="12"/>
      <c r="L23" s="12"/>
      <c r="M23" s="12"/>
    </row>
    <row r="24" spans="3:15" ht="15" customHeight="1">
      <c r="C24" s="1426"/>
      <c r="D24" s="399" t="s">
        <v>1729</v>
      </c>
      <c r="E24" s="1424"/>
      <c r="F24" s="1425"/>
      <c r="G24" s="1424"/>
      <c r="H24" s="1424"/>
      <c r="I24" s="1424"/>
      <c r="J24" s="1424"/>
      <c r="K24" s="1424"/>
      <c r="L24" s="1427"/>
      <c r="M24" s="1156"/>
    </row>
    <row r="25" spans="3:15" ht="15" customHeight="1">
      <c r="C25" s="1426"/>
      <c r="D25" s="1156"/>
      <c r="E25" s="1156"/>
      <c r="F25" s="1428"/>
      <c r="G25" s="1156"/>
      <c r="H25" s="1156"/>
      <c r="I25" s="1156"/>
      <c r="J25" s="1156"/>
      <c r="K25" s="1156"/>
      <c r="L25" s="134" t="s">
        <v>2606</v>
      </c>
      <c r="M25" s="1156"/>
    </row>
    <row r="26" spans="3:15" ht="15" customHeight="1">
      <c r="C26" s="1426"/>
      <c r="D26" s="975" t="s">
        <v>869</v>
      </c>
      <c r="E26" s="29">
        <v>2018</v>
      </c>
      <c r="F26" s="29">
        <v>2020</v>
      </c>
      <c r="G26" s="29">
        <v>2025</v>
      </c>
      <c r="H26" s="29">
        <v>2030</v>
      </c>
      <c r="I26" s="29">
        <v>2035</v>
      </c>
      <c r="J26" s="29">
        <v>2040</v>
      </c>
      <c r="K26" s="29">
        <v>2045</v>
      </c>
      <c r="L26" s="29">
        <v>2050</v>
      </c>
      <c r="M26" s="1156"/>
    </row>
    <row r="27" spans="3:15" ht="15" customHeight="1">
      <c r="C27" s="1426"/>
      <c r="D27" s="3570" t="s">
        <v>2607</v>
      </c>
      <c r="E27" s="3574">
        <v>294.5056781582378</v>
      </c>
      <c r="F27" s="3574">
        <v>251.39533563554775</v>
      </c>
      <c r="G27" s="3574">
        <v>155.71188735994809</v>
      </c>
      <c r="H27" s="3574">
        <v>77.855943679974047</v>
      </c>
      <c r="I27" s="3574">
        <v>77.855943679974047</v>
      </c>
      <c r="J27" s="3574">
        <v>77.855943679974047</v>
      </c>
      <c r="K27" s="3574">
        <v>77.855943679974047</v>
      </c>
      <c r="L27" s="3574">
        <v>77.855943679974047</v>
      </c>
      <c r="M27" s="1156"/>
    </row>
    <row r="28" spans="3:15" ht="15" customHeight="1">
      <c r="C28" s="1426"/>
      <c r="D28" s="3572" t="s">
        <v>2608</v>
      </c>
      <c r="E28" s="3573">
        <f>SUM(E27)</f>
        <v>294.5056781582378</v>
      </c>
      <c r="F28" s="3573">
        <f t="shared" ref="F28:L28" si="1">SUM(F27)</f>
        <v>251.39533563554775</v>
      </c>
      <c r="G28" s="3573">
        <f t="shared" si="1"/>
        <v>155.71188735994809</v>
      </c>
      <c r="H28" s="3573">
        <f t="shared" si="1"/>
        <v>77.855943679974047</v>
      </c>
      <c r="I28" s="3573">
        <f t="shared" si="1"/>
        <v>77.855943679974047</v>
      </c>
      <c r="J28" s="3573">
        <f t="shared" si="1"/>
        <v>77.855943679974047</v>
      </c>
      <c r="K28" s="3573">
        <f t="shared" si="1"/>
        <v>77.855943679974047</v>
      </c>
      <c r="L28" s="3573">
        <f t="shared" si="1"/>
        <v>77.855943679974047</v>
      </c>
      <c r="M28" s="1156"/>
      <c r="N28" s="2128"/>
      <c r="O28" s="2128"/>
    </row>
    <row r="29" spans="3:15" ht="15" customHeight="1">
      <c r="C29" s="1426"/>
      <c r="D29" s="1429"/>
      <c r="E29" s="1429"/>
      <c r="F29" s="1429"/>
      <c r="G29" s="1429"/>
      <c r="H29" s="1429"/>
      <c r="I29" s="1429"/>
      <c r="J29" s="1429"/>
      <c r="K29" s="1429"/>
      <c r="L29" s="1429"/>
      <c r="M29" s="1156"/>
    </row>
    <row r="30" spans="3:15" ht="15" customHeight="1">
      <c r="C30" s="1426"/>
      <c r="D30" s="399" t="s">
        <v>1730</v>
      </c>
      <c r="E30" s="1424"/>
      <c r="F30" s="1425"/>
      <c r="G30" s="1424"/>
      <c r="H30" s="1424"/>
      <c r="I30" s="1424"/>
      <c r="J30" s="1424"/>
      <c r="K30" s="1424"/>
      <c r="L30" s="1427"/>
      <c r="M30" s="1156"/>
    </row>
    <row r="31" spans="3:15">
      <c r="C31" s="1426"/>
      <c r="D31" s="1156"/>
      <c r="E31" s="1156"/>
      <c r="F31" s="1428"/>
      <c r="G31" s="1156"/>
      <c r="H31" s="1156"/>
      <c r="I31" s="1156"/>
      <c r="J31" s="1156"/>
      <c r="K31" s="1156"/>
      <c r="L31" s="134" t="s">
        <v>2606</v>
      </c>
      <c r="M31" s="1156"/>
    </row>
    <row r="32" spans="3:15">
      <c r="C32" s="1426"/>
      <c r="D32" s="975" t="s">
        <v>869</v>
      </c>
      <c r="E32" s="29">
        <v>2018</v>
      </c>
      <c r="F32" s="29">
        <v>2020</v>
      </c>
      <c r="G32" s="29">
        <v>2025</v>
      </c>
      <c r="H32" s="29">
        <v>2030</v>
      </c>
      <c r="I32" s="29">
        <v>2035</v>
      </c>
      <c r="J32" s="29">
        <v>2040</v>
      </c>
      <c r="K32" s="29">
        <v>2045</v>
      </c>
      <c r="L32" s="29">
        <v>2050</v>
      </c>
      <c r="M32" s="1156"/>
    </row>
    <row r="33" spans="3:15">
      <c r="C33" s="1426"/>
      <c r="D33" s="3570" t="s">
        <v>2607</v>
      </c>
      <c r="E33" s="3574">
        <v>294.5056781582378</v>
      </c>
      <c r="F33" s="3574">
        <v>251.3953317373288</v>
      </c>
      <c r="G33" s="3574">
        <v>155.71188735994809</v>
      </c>
      <c r="H33" s="3574">
        <v>77.855943679974047</v>
      </c>
      <c r="I33" s="3574">
        <v>67.282390253551711</v>
      </c>
      <c r="J33" s="3574">
        <v>56.708836827129389</v>
      </c>
      <c r="K33" s="3574">
        <v>13.206688155245258</v>
      </c>
      <c r="L33" s="3574">
        <v>0</v>
      </c>
      <c r="M33" s="1156"/>
    </row>
    <row r="34" spans="3:15">
      <c r="C34" s="1426"/>
      <c r="D34" s="3572" t="s">
        <v>2608</v>
      </c>
      <c r="E34" s="3573">
        <f>SUM(E33)</f>
        <v>294.5056781582378</v>
      </c>
      <c r="F34" s="3573">
        <f t="shared" ref="F34:L34" si="2">SUM(F33)</f>
        <v>251.3953317373288</v>
      </c>
      <c r="G34" s="3573">
        <f t="shared" si="2"/>
        <v>155.71188735994809</v>
      </c>
      <c r="H34" s="3573">
        <f t="shared" si="2"/>
        <v>77.855943679974047</v>
      </c>
      <c r="I34" s="3573">
        <f t="shared" si="2"/>
        <v>67.282390253551711</v>
      </c>
      <c r="J34" s="3573">
        <f t="shared" si="2"/>
        <v>56.708836827129389</v>
      </c>
      <c r="K34" s="3573">
        <f t="shared" si="2"/>
        <v>13.206688155245258</v>
      </c>
      <c r="L34" s="3573">
        <f t="shared" si="2"/>
        <v>0</v>
      </c>
      <c r="M34" s="1156"/>
      <c r="N34" s="2128"/>
      <c r="O34" s="1790"/>
    </row>
    <row r="35" spans="3:15">
      <c r="C35" s="1426"/>
      <c r="D35" s="1175"/>
      <c r="E35" s="1156"/>
      <c r="F35" s="1428"/>
      <c r="G35" s="1156"/>
      <c r="H35" s="1156"/>
      <c r="I35" s="1156"/>
      <c r="J35" s="1157"/>
      <c r="K35" s="1156"/>
      <c r="L35" s="1156"/>
      <c r="M35" s="1156"/>
    </row>
    <row r="36" spans="3:15">
      <c r="C36" s="1426"/>
      <c r="D36" s="399" t="s">
        <v>1731</v>
      </c>
      <c r="E36" s="1424"/>
      <c r="F36" s="1425"/>
      <c r="G36" s="1424"/>
      <c r="H36" s="1424"/>
      <c r="I36" s="1424"/>
      <c r="J36" s="1424"/>
      <c r="K36" s="1424"/>
      <c r="L36" s="1427"/>
      <c r="M36" s="1156"/>
    </row>
    <row r="37" spans="3:15">
      <c r="C37" s="1426"/>
      <c r="D37" s="1156"/>
      <c r="E37" s="1156"/>
      <c r="F37" s="1428"/>
      <c r="G37" s="1156"/>
      <c r="H37" s="1156"/>
      <c r="I37" s="1156"/>
      <c r="J37" s="1156"/>
      <c r="K37" s="1156"/>
      <c r="L37" s="134" t="s">
        <v>2606</v>
      </c>
      <c r="M37" s="1156"/>
    </row>
    <row r="38" spans="3:15">
      <c r="C38" s="1426"/>
      <c r="D38" s="975" t="s">
        <v>869</v>
      </c>
      <c r="E38" s="29">
        <v>2018</v>
      </c>
      <c r="F38" s="29">
        <v>2020</v>
      </c>
      <c r="G38" s="29">
        <v>2025</v>
      </c>
      <c r="H38" s="29">
        <v>2030</v>
      </c>
      <c r="I38" s="29">
        <v>2035</v>
      </c>
      <c r="J38" s="29">
        <v>2040</v>
      </c>
      <c r="K38" s="29">
        <v>2045</v>
      </c>
      <c r="L38" s="29">
        <v>2050</v>
      </c>
      <c r="M38" s="1156"/>
    </row>
    <row r="39" spans="3:15">
      <c r="C39" s="1426"/>
      <c r="D39" s="3570" t="s">
        <v>2607</v>
      </c>
      <c r="E39" s="3574">
        <v>294.5056781582378</v>
      </c>
      <c r="F39" s="3574">
        <v>245.42139846519819</v>
      </c>
      <c r="G39" s="3574">
        <v>122.7106992325991</v>
      </c>
      <c r="H39" s="3574">
        <v>0</v>
      </c>
      <c r="I39" s="3574">
        <v>0</v>
      </c>
      <c r="J39" s="3574">
        <v>0</v>
      </c>
      <c r="K39" s="3574">
        <v>0</v>
      </c>
      <c r="L39" s="3574">
        <v>0</v>
      </c>
      <c r="M39" s="1156"/>
    </row>
    <row r="40" spans="3:15">
      <c r="C40" s="1426"/>
      <c r="D40" s="3572" t="s">
        <v>2608</v>
      </c>
      <c r="E40" s="3573">
        <f>E39</f>
        <v>294.5056781582378</v>
      </c>
      <c r="F40" s="3573">
        <f t="shared" ref="F40:L40" si="3">F39</f>
        <v>245.42139846519819</v>
      </c>
      <c r="G40" s="3573">
        <f t="shared" si="3"/>
        <v>122.7106992325991</v>
      </c>
      <c r="H40" s="3573">
        <f t="shared" si="3"/>
        <v>0</v>
      </c>
      <c r="I40" s="3573">
        <f t="shared" si="3"/>
        <v>0</v>
      </c>
      <c r="J40" s="3573">
        <f t="shared" si="3"/>
        <v>0</v>
      </c>
      <c r="K40" s="3573">
        <f t="shared" si="3"/>
        <v>0</v>
      </c>
      <c r="L40" s="3573">
        <f t="shared" si="3"/>
        <v>0</v>
      </c>
      <c r="M40" s="1156"/>
      <c r="N40" s="2128"/>
      <c r="O40" s="1790"/>
    </row>
    <row r="41" spans="3:15">
      <c r="C41" s="12"/>
      <c r="D41" s="12"/>
      <c r="E41" s="12"/>
      <c r="F41" s="12"/>
      <c r="G41" s="12"/>
      <c r="H41" s="12"/>
      <c r="I41" s="12"/>
      <c r="J41" s="12"/>
      <c r="K41" s="12"/>
      <c r="L41" s="12"/>
      <c r="M41" s="12"/>
      <c r="O41" s="2128"/>
    </row>
    <row r="42" spans="3:15" ht="15.75">
      <c r="C42" s="12"/>
      <c r="D42" s="939" t="s">
        <v>119</v>
      </c>
      <c r="E42" s="129"/>
      <c r="F42" s="129"/>
      <c r="G42" s="129"/>
      <c r="H42" s="129"/>
      <c r="I42" s="129"/>
      <c r="J42" s="129"/>
      <c r="K42" s="129"/>
      <c r="L42" s="129"/>
      <c r="M42" s="12"/>
    </row>
    <row r="43" spans="3:15">
      <c r="C43" s="12"/>
      <c r="D43" s="12"/>
      <c r="E43" s="12"/>
      <c r="F43" s="12"/>
      <c r="G43" s="12"/>
      <c r="H43" s="12"/>
      <c r="I43" s="516"/>
      <c r="J43" s="12"/>
      <c r="K43" s="12"/>
      <c r="L43" s="12"/>
      <c r="M43" s="12"/>
    </row>
    <row r="44" spans="3:15">
      <c r="C44" s="12"/>
      <c r="D44" s="1152" t="s">
        <v>2609</v>
      </c>
      <c r="E44" s="133"/>
      <c r="F44" s="133"/>
      <c r="G44" s="133"/>
      <c r="H44" s="133"/>
      <c r="I44" s="133"/>
      <c r="J44" s="133"/>
      <c r="K44" s="133"/>
      <c r="L44" s="134" t="s">
        <v>16</v>
      </c>
      <c r="M44" s="12"/>
    </row>
    <row r="45" spans="3:15">
      <c r="C45" s="12"/>
      <c r="D45" s="137" t="s">
        <v>879</v>
      </c>
      <c r="E45" s="1159">
        <v>2018</v>
      </c>
      <c r="F45" s="1159">
        <v>2020</v>
      </c>
      <c r="G45" s="1159">
        <v>2025</v>
      </c>
      <c r="H45" s="1159">
        <v>2030</v>
      </c>
      <c r="I45" s="1159">
        <v>2035</v>
      </c>
      <c r="J45" s="1159">
        <v>2040</v>
      </c>
      <c r="K45" s="1159">
        <v>2045</v>
      </c>
      <c r="L45" s="1159">
        <v>2050</v>
      </c>
      <c r="M45" s="12"/>
      <c r="N45" s="887"/>
    </row>
    <row r="46" spans="3:15">
      <c r="C46" s="12"/>
      <c r="D46" s="139">
        <v>1</v>
      </c>
      <c r="E46" s="3575">
        <v>7746.8996558296176</v>
      </c>
      <c r="F46" s="3575">
        <v>8672.7354717539747</v>
      </c>
      <c r="G46" s="3575">
        <v>9667.9459060377849</v>
      </c>
      <c r="H46" s="3575">
        <v>10663.156340321597</v>
      </c>
      <c r="I46" s="3575">
        <v>11949.634490836257</v>
      </c>
      <c r="J46" s="3575">
        <v>13194.658342692903</v>
      </c>
      <c r="K46" s="3575">
        <v>14439.682194549549</v>
      </c>
      <c r="L46" s="3575">
        <v>15684.706046406196</v>
      </c>
      <c r="M46" s="12"/>
      <c r="N46" s="3113"/>
    </row>
    <row r="47" spans="3:15">
      <c r="C47" s="12"/>
      <c r="D47" s="139">
        <v>2</v>
      </c>
      <c r="E47" s="3575">
        <v>7746.8996558296176</v>
      </c>
      <c r="F47" s="3575">
        <v>8983.4496715578352</v>
      </c>
      <c r="G47" s="3575">
        <v>11415.135158114834</v>
      </c>
      <c r="H47" s="3575">
        <v>13846.820644671836</v>
      </c>
      <c r="I47" s="3575">
        <v>15341.583967380273</v>
      </c>
      <c r="J47" s="3575">
        <v>16900.772565504813</v>
      </c>
      <c r="K47" s="3575">
        <v>18553.628830848971</v>
      </c>
      <c r="L47" s="3575">
        <v>20677.885594309439</v>
      </c>
      <c r="M47" s="12"/>
      <c r="N47" s="887"/>
    </row>
    <row r="48" spans="3:15">
      <c r="C48" s="12"/>
      <c r="D48" s="139">
        <v>3</v>
      </c>
      <c r="E48" s="3575">
        <v>7746.8996558296176</v>
      </c>
      <c r="F48" s="3575">
        <v>9294.163871361694</v>
      </c>
      <c r="G48" s="3575">
        <v>13162.324410191884</v>
      </c>
      <c r="H48" s="3575">
        <v>17030.484949022077</v>
      </c>
      <c r="I48" s="3575">
        <v>18733.533443924287</v>
      </c>
      <c r="J48" s="3575">
        <v>20606.886788316719</v>
      </c>
      <c r="K48" s="3575">
        <v>22667.575467148392</v>
      </c>
      <c r="L48" s="3575">
        <v>25671.065142212683</v>
      </c>
      <c r="M48" s="12"/>
      <c r="N48" s="887"/>
    </row>
    <row r="49" spans="3:15">
      <c r="C49" s="12"/>
      <c r="D49" s="142">
        <v>4</v>
      </c>
      <c r="E49" s="3576">
        <v>7746.8996558296176</v>
      </c>
      <c r="F49" s="3576">
        <v>9294.163871361694</v>
      </c>
      <c r="G49" s="3576">
        <v>13162.324410191884</v>
      </c>
      <c r="H49" s="3576">
        <v>17030.484949022077</v>
      </c>
      <c r="I49" s="3576">
        <v>21385.414423242608</v>
      </c>
      <c r="J49" s="3576">
        <v>25671.065142212683</v>
      </c>
      <c r="K49" s="3576">
        <v>29956.715861182765</v>
      </c>
      <c r="L49" s="3576">
        <v>34242.366580152848</v>
      </c>
      <c r="M49" s="12"/>
      <c r="N49" s="887"/>
    </row>
    <row r="50" spans="3:15">
      <c r="C50" s="12"/>
      <c r="D50" s="12"/>
      <c r="E50" s="12"/>
      <c r="F50" s="12"/>
      <c r="G50" s="12"/>
      <c r="H50" s="12"/>
      <c r="I50" s="12"/>
      <c r="J50" s="12"/>
      <c r="K50" s="12"/>
      <c r="L50" s="12"/>
      <c r="M50" s="12"/>
      <c r="N50" s="887"/>
    </row>
    <row r="52" spans="3:15" ht="18.75">
      <c r="C52" s="956" t="s">
        <v>996</v>
      </c>
      <c r="D52" s="336"/>
      <c r="E52" s="908"/>
      <c r="F52" s="908"/>
      <c r="G52" s="908"/>
      <c r="H52" s="908"/>
      <c r="I52" s="908"/>
      <c r="J52" s="908"/>
      <c r="K52" s="908"/>
      <c r="L52" s="908"/>
      <c r="M52" s="336"/>
    </row>
    <row r="53" spans="3:15">
      <c r="C53" s="12"/>
      <c r="D53" s="12"/>
      <c r="E53" s="752"/>
      <c r="F53" s="752"/>
      <c r="G53" s="752"/>
      <c r="H53" s="752"/>
      <c r="I53" s="752"/>
      <c r="J53" s="752"/>
      <c r="K53" s="752"/>
      <c r="L53" s="752"/>
      <c r="M53" s="12"/>
    </row>
    <row r="54" spans="3:15" ht="15.75">
      <c r="C54" s="12"/>
      <c r="D54" s="180" t="s">
        <v>2610</v>
      </c>
      <c r="E54" s="867"/>
      <c r="F54" s="867"/>
      <c r="G54" s="867"/>
      <c r="H54" s="867"/>
      <c r="I54" s="867"/>
      <c r="J54" s="867"/>
      <c r="K54" s="867"/>
      <c r="L54" s="867"/>
      <c r="M54" s="12"/>
    </row>
    <row r="55" spans="3:15">
      <c r="C55" s="12"/>
      <c r="D55" s="3577"/>
      <c r="E55" s="3577"/>
      <c r="F55" s="3578"/>
      <c r="G55" s="3579"/>
      <c r="H55" s="3579"/>
      <c r="I55" s="3579"/>
      <c r="J55" s="3579"/>
      <c r="K55" s="3579"/>
      <c r="L55" s="3580"/>
      <c r="M55" s="3580" t="s">
        <v>16</v>
      </c>
    </row>
    <row r="56" spans="3:15">
      <c r="C56" s="12"/>
      <c r="D56" s="137"/>
      <c r="E56" s="880">
        <v>2018</v>
      </c>
      <c r="F56" s="880">
        <v>2020</v>
      </c>
      <c r="G56" s="880">
        <v>2025</v>
      </c>
      <c r="H56" s="880">
        <v>2030</v>
      </c>
      <c r="I56" s="880">
        <v>2035</v>
      </c>
      <c r="J56" s="880">
        <v>2040</v>
      </c>
      <c r="K56" s="880">
        <v>2045</v>
      </c>
      <c r="L56" s="880">
        <v>2050</v>
      </c>
      <c r="M56" s="3581" t="s">
        <v>2611</v>
      </c>
    </row>
    <row r="57" spans="3:15">
      <c r="C57" s="12"/>
      <c r="D57" s="3570" t="s">
        <v>2607</v>
      </c>
      <c r="E57" s="3571">
        <v>294.50528708223351</v>
      </c>
      <c r="F57" s="3571">
        <v>323.14438287077701</v>
      </c>
      <c r="G57" s="3571">
        <v>352.86918823784515</v>
      </c>
      <c r="H57" s="3571">
        <v>319.70027210804261</v>
      </c>
      <c r="I57" s="3571">
        <v>335.11390647251261</v>
      </c>
      <c r="J57" s="3571">
        <v>343.61309256300547</v>
      </c>
      <c r="K57" s="3571">
        <v>352.11227865349844</v>
      </c>
      <c r="L57" s="3571">
        <v>360.61146474399123</v>
      </c>
      <c r="M57" s="3582">
        <v>2681.6698727319063</v>
      </c>
    </row>
    <row r="58" spans="3:15">
      <c r="C58" s="12"/>
      <c r="D58" s="3572" t="s">
        <v>2608</v>
      </c>
      <c r="E58" s="3573">
        <v>294.50528708223351</v>
      </c>
      <c r="F58" s="3573">
        <v>323.14438287077701</v>
      </c>
      <c r="G58" s="3573">
        <v>352.86918823784515</v>
      </c>
      <c r="H58" s="3573">
        <v>319.70027210804261</v>
      </c>
      <c r="I58" s="3573">
        <v>335.11390647251261</v>
      </c>
      <c r="J58" s="3573">
        <v>343.61309256300547</v>
      </c>
      <c r="K58" s="3573">
        <v>352.11227865349844</v>
      </c>
      <c r="L58" s="3573">
        <v>360.61146474399123</v>
      </c>
      <c r="M58" s="3573">
        <v>2681.6698727319063</v>
      </c>
      <c r="O58" s="1790"/>
    </row>
    <row r="59" spans="3:15">
      <c r="C59" s="12"/>
      <c r="D59" s="12"/>
      <c r="E59" s="12"/>
      <c r="F59" s="12"/>
      <c r="G59" s="12"/>
      <c r="H59" s="12"/>
      <c r="I59" s="12"/>
      <c r="J59" s="12"/>
      <c r="K59" s="12"/>
      <c r="L59" s="12"/>
      <c r="M59" s="3583"/>
    </row>
    <row r="60" spans="3:15">
      <c r="C60" s="12"/>
      <c r="D60" s="12"/>
      <c r="E60" s="752"/>
      <c r="F60" s="752"/>
      <c r="G60" s="752"/>
      <c r="H60" s="752"/>
      <c r="I60" s="752"/>
      <c r="J60" s="752"/>
      <c r="K60" s="752"/>
      <c r="L60" s="752"/>
      <c r="M60" s="12"/>
    </row>
    <row r="61" spans="3:15" ht="15.75">
      <c r="C61" s="12"/>
      <c r="D61" s="180" t="s">
        <v>2612</v>
      </c>
      <c r="E61" s="867"/>
      <c r="F61" s="867"/>
      <c r="G61" s="867"/>
      <c r="H61" s="867"/>
      <c r="I61" s="867"/>
      <c r="J61" s="867"/>
      <c r="K61" s="867"/>
      <c r="L61" s="867"/>
      <c r="M61" s="12"/>
    </row>
    <row r="62" spans="3:15">
      <c r="C62" s="12"/>
      <c r="D62" s="130"/>
      <c r="E62" s="752"/>
      <c r="F62" s="767"/>
      <c r="G62" s="868"/>
      <c r="H62" s="752"/>
      <c r="I62" s="752"/>
      <c r="J62" s="752"/>
      <c r="K62" s="752"/>
      <c r="L62" s="752"/>
      <c r="M62" s="12"/>
    </row>
    <row r="63" spans="3:15">
      <c r="C63" s="12"/>
      <c r="D63" s="1430"/>
      <c r="E63" s="12"/>
      <c r="F63" s="12"/>
      <c r="G63" s="1431" t="s">
        <v>16</v>
      </c>
      <c r="H63" s="1866" t="s">
        <v>788</v>
      </c>
      <c r="I63" s="12"/>
      <c r="J63" s="12"/>
      <c r="K63" s="12"/>
      <c r="L63" s="12"/>
      <c r="M63" s="12"/>
    </row>
    <row r="64" spans="3:15">
      <c r="C64" s="12"/>
      <c r="D64" s="1432" t="s">
        <v>699</v>
      </c>
      <c r="E64" s="1432"/>
      <c r="F64" s="1432"/>
      <c r="G64" s="1486">
        <v>2017</v>
      </c>
      <c r="H64" s="1486">
        <v>2017</v>
      </c>
      <c r="I64" s="12"/>
      <c r="J64" s="12"/>
      <c r="K64" s="12"/>
      <c r="L64" s="12"/>
      <c r="M64" s="12"/>
    </row>
    <row r="65" spans="3:13">
      <c r="C65" s="12"/>
      <c r="D65" s="1208" t="s">
        <v>2607</v>
      </c>
      <c r="E65" s="1208"/>
      <c r="F65" s="1208"/>
      <c r="G65" s="3584">
        <v>36629.361070079998</v>
      </c>
      <c r="H65" s="3585">
        <f>SF_AREA_BOSQUES_HA_ANDINA/SF_AREA_BOSQUES_HA_NACIONAL</f>
        <v>1</v>
      </c>
      <c r="I65" s="12"/>
      <c r="J65" s="12"/>
      <c r="K65" s="12"/>
      <c r="L65" s="12"/>
      <c r="M65" s="12"/>
    </row>
    <row r="66" spans="3:13">
      <c r="C66" s="12"/>
      <c r="D66" s="1433" t="s">
        <v>2613</v>
      </c>
      <c r="E66" s="1433"/>
      <c r="F66" s="1433"/>
      <c r="G66" s="3586">
        <f>SUM(G65:G65)</f>
        <v>36629.361070079998</v>
      </c>
      <c r="H66" s="3587">
        <f>SUM(H65:H65)</f>
        <v>1</v>
      </c>
      <c r="I66" s="12"/>
      <c r="J66" s="12"/>
      <c r="K66" s="12"/>
      <c r="L66" s="12"/>
      <c r="M66" s="12"/>
    </row>
    <row r="67" spans="3:13">
      <c r="C67" s="12"/>
      <c r="D67" s="12"/>
      <c r="E67" s="12"/>
      <c r="F67" s="12"/>
      <c r="G67" s="12"/>
      <c r="H67" s="1784"/>
      <c r="I67" s="12"/>
      <c r="J67" s="12"/>
      <c r="K67" s="12"/>
      <c r="L67" s="12"/>
      <c r="M67" s="12"/>
    </row>
    <row r="68" spans="3:13" ht="15.75">
      <c r="C68" s="12"/>
      <c r="D68" s="180" t="s">
        <v>1445</v>
      </c>
      <c r="E68" s="867"/>
      <c r="F68" s="867"/>
      <c r="G68" s="867"/>
      <c r="H68" s="867"/>
      <c r="I68" s="867"/>
      <c r="J68" s="867"/>
      <c r="K68" s="867"/>
      <c r="L68" s="867"/>
      <c r="M68" s="12"/>
    </row>
    <row r="69" spans="3:13">
      <c r="C69" s="12"/>
      <c r="D69" s="12"/>
      <c r="E69" s="12"/>
      <c r="F69" s="12"/>
      <c r="G69" s="12"/>
      <c r="H69" s="12"/>
      <c r="I69" s="12"/>
      <c r="J69" s="12"/>
      <c r="K69" s="12"/>
      <c r="L69" s="12"/>
      <c r="M69" s="12"/>
    </row>
    <row r="70" spans="3:13" ht="24">
      <c r="C70" s="12"/>
      <c r="D70" s="1430"/>
      <c r="E70" s="12"/>
      <c r="F70" s="12"/>
      <c r="G70" s="3588" t="s">
        <v>2614</v>
      </c>
      <c r="H70" s="1157"/>
      <c r="I70" s="12"/>
      <c r="J70" s="12"/>
      <c r="K70" s="12"/>
      <c r="L70" s="12"/>
      <c r="M70" s="12"/>
    </row>
    <row r="71" spans="3:13">
      <c r="C71" s="12"/>
      <c r="D71" s="1432" t="s">
        <v>699</v>
      </c>
      <c r="E71" s="1432"/>
      <c r="F71" s="1432"/>
      <c r="G71" s="3589" t="s">
        <v>2615</v>
      </c>
      <c r="H71" s="1157"/>
      <c r="I71" s="12"/>
      <c r="J71" s="12"/>
      <c r="K71" s="12"/>
      <c r="L71" s="12"/>
      <c r="M71" s="12"/>
    </row>
    <row r="72" spans="3:13">
      <c r="C72" s="12"/>
      <c r="D72" s="1208" t="s">
        <v>2607</v>
      </c>
      <c r="E72" s="1208"/>
      <c r="F72" s="1208"/>
      <c r="G72" s="3590">
        <v>89</v>
      </c>
      <c r="H72" s="1157"/>
      <c r="I72" s="12"/>
      <c r="J72" s="12"/>
      <c r="K72" s="12"/>
      <c r="L72" s="12"/>
      <c r="M72" s="12"/>
    </row>
    <row r="73" spans="3:13">
      <c r="C73" s="12"/>
      <c r="D73" s="12"/>
      <c r="E73" s="12"/>
      <c r="F73" s="12"/>
      <c r="G73" s="12"/>
      <c r="H73" s="1157"/>
      <c r="I73" s="12"/>
      <c r="J73" s="12"/>
      <c r="K73" s="12"/>
      <c r="L73" s="12"/>
      <c r="M73" s="12"/>
    </row>
    <row r="74" spans="3:13" ht="15.75">
      <c r="C74" s="12"/>
      <c r="D74" s="180" t="s">
        <v>2616</v>
      </c>
      <c r="E74" s="867"/>
      <c r="F74" s="867"/>
      <c r="G74" s="867"/>
      <c r="H74" s="867"/>
      <c r="I74" s="867"/>
      <c r="J74" s="867"/>
      <c r="K74" s="867"/>
      <c r="L74" s="867"/>
      <c r="M74" s="12"/>
    </row>
    <row r="75" spans="3:13">
      <c r="C75" s="12"/>
      <c r="D75" s="12"/>
      <c r="E75" s="12"/>
      <c r="F75" s="12"/>
      <c r="G75" s="12"/>
      <c r="H75" s="12"/>
      <c r="I75" s="12"/>
      <c r="J75" s="12"/>
      <c r="K75" s="12"/>
      <c r="L75" s="12"/>
      <c r="M75" s="12"/>
    </row>
    <row r="76" spans="3:13">
      <c r="C76" s="12"/>
      <c r="D76" s="1434"/>
      <c r="E76" s="12"/>
      <c r="F76" s="12"/>
      <c r="G76" s="1435"/>
      <c r="H76" s="12"/>
      <c r="I76" s="12"/>
      <c r="J76" s="12"/>
      <c r="K76" s="12"/>
      <c r="L76" s="12"/>
      <c r="M76" s="12"/>
    </row>
    <row r="77" spans="3:13">
      <c r="C77" s="12"/>
      <c r="D77" s="1436" t="s">
        <v>869</v>
      </c>
      <c r="E77" s="1436"/>
      <c r="F77" s="3055"/>
      <c r="G77" s="3056" t="s">
        <v>2617</v>
      </c>
      <c r="H77" s="12"/>
      <c r="I77" s="12"/>
      <c r="J77" s="12"/>
      <c r="K77" s="12"/>
      <c r="L77" s="12"/>
      <c r="M77" s="12"/>
    </row>
    <row r="78" spans="3:13">
      <c r="C78" s="12"/>
      <c r="D78" s="1437" t="s">
        <v>2618</v>
      </c>
      <c r="E78" s="1437"/>
      <c r="F78" s="1437"/>
      <c r="G78" s="1438">
        <v>3.67</v>
      </c>
      <c r="H78" s="12"/>
      <c r="I78" s="12"/>
      <c r="J78" s="12"/>
      <c r="K78" s="12"/>
      <c r="L78" s="12"/>
      <c r="M78" s="12"/>
    </row>
    <row r="79" spans="3:13">
      <c r="C79" s="12"/>
      <c r="D79" s="12"/>
      <c r="E79" s="12"/>
      <c r="F79" s="12"/>
      <c r="G79" s="12"/>
      <c r="H79" s="12"/>
      <c r="I79" s="12"/>
      <c r="J79" s="12"/>
      <c r="K79" s="12"/>
      <c r="L79" s="12"/>
      <c r="M79" s="12"/>
    </row>
    <row r="80" spans="3:13">
      <c r="C80" s="12"/>
      <c r="D80" s="1440"/>
      <c r="E80" s="1440"/>
      <c r="F80" s="1440"/>
      <c r="G80" s="1441"/>
      <c r="H80" s="12"/>
      <c r="I80" s="12"/>
      <c r="J80" s="12"/>
      <c r="K80" s="12"/>
      <c r="L80" s="12"/>
      <c r="M80" s="12"/>
    </row>
    <row r="81" spans="3:13" ht="15.75">
      <c r="C81" s="12"/>
      <c r="D81" s="180" t="s">
        <v>1451</v>
      </c>
      <c r="E81" s="867"/>
      <c r="F81" s="867"/>
      <c r="G81" s="867"/>
      <c r="H81" s="867"/>
      <c r="I81" s="867"/>
      <c r="J81" s="867"/>
      <c r="K81" s="867"/>
      <c r="L81" s="867"/>
      <c r="M81" s="12"/>
    </row>
    <row r="82" spans="3:13">
      <c r="C82" s="12"/>
      <c r="D82" s="1440"/>
      <c r="E82" s="1440"/>
      <c r="F82" s="1440"/>
      <c r="G82" s="1441"/>
      <c r="H82" s="12"/>
      <c r="I82" s="12"/>
      <c r="J82" s="12"/>
      <c r="K82" s="12"/>
      <c r="L82" s="1158"/>
      <c r="M82" s="12"/>
    </row>
    <row r="83" spans="3:13">
      <c r="C83" s="12"/>
      <c r="D83" s="1440"/>
      <c r="E83" s="1440"/>
      <c r="F83" s="1440"/>
      <c r="G83" s="1441"/>
      <c r="H83" s="12"/>
      <c r="I83" s="12"/>
      <c r="J83" s="12"/>
      <c r="K83" s="12"/>
      <c r="L83" s="1158" t="s">
        <v>2619</v>
      </c>
      <c r="M83" s="12"/>
    </row>
    <row r="84" spans="3:13">
      <c r="C84" s="12"/>
      <c r="D84" s="3591" t="s">
        <v>2620</v>
      </c>
      <c r="E84" s="1486">
        <v>2018</v>
      </c>
      <c r="F84" s="1486">
        <v>2020</v>
      </c>
      <c r="G84" s="1486">
        <v>2025</v>
      </c>
      <c r="H84" s="1486">
        <v>2030</v>
      </c>
      <c r="I84" s="1486">
        <v>2035</v>
      </c>
      <c r="J84" s="1486">
        <v>2040</v>
      </c>
      <c r="K84" s="1486">
        <v>2045</v>
      </c>
      <c r="L84" s="1486">
        <v>2050</v>
      </c>
      <c r="M84" s="12"/>
    </row>
    <row r="85" spans="3:13">
      <c r="C85" s="12"/>
      <c r="D85" s="3592" t="s">
        <v>2621</v>
      </c>
      <c r="E85" s="3593">
        <v>100</v>
      </c>
      <c r="F85" s="3594">
        <f>662+1570</f>
        <v>2232</v>
      </c>
      <c r="G85" s="3594">
        <f>1570*5</f>
        <v>7850</v>
      </c>
      <c r="H85" s="3594">
        <f t="shared" ref="H85:L85" si="4">1570*5</f>
        <v>7850</v>
      </c>
      <c r="I85" s="3594">
        <f t="shared" si="4"/>
        <v>7850</v>
      </c>
      <c r="J85" s="3594">
        <f t="shared" si="4"/>
        <v>7850</v>
      </c>
      <c r="K85" s="3594">
        <f t="shared" si="4"/>
        <v>7850</v>
      </c>
      <c r="L85" s="3594">
        <f t="shared" si="4"/>
        <v>7850</v>
      </c>
      <c r="M85" s="12"/>
    </row>
    <row r="86" spans="3:13">
      <c r="C86" s="12"/>
      <c r="D86" s="3592" t="s">
        <v>2622</v>
      </c>
      <c r="E86" s="3593">
        <v>0</v>
      </c>
      <c r="F86" s="3594">
        <v>1</v>
      </c>
      <c r="G86" s="3594">
        <v>5</v>
      </c>
      <c r="H86" s="3594">
        <v>5</v>
      </c>
      <c r="I86" s="3594">
        <v>5</v>
      </c>
      <c r="J86" s="3594">
        <v>5</v>
      </c>
      <c r="K86" s="3594">
        <v>5</v>
      </c>
      <c r="L86" s="3594">
        <v>5</v>
      </c>
      <c r="M86" s="12"/>
    </row>
    <row r="87" spans="3:13">
      <c r="C87" s="12"/>
      <c r="D87" s="3592" t="s">
        <v>2623</v>
      </c>
      <c r="E87" s="3593">
        <v>6</v>
      </c>
      <c r="F87" s="3593">
        <f>2+6</f>
        <v>8</v>
      </c>
      <c r="G87" s="3593">
        <f>6*5</f>
        <v>30</v>
      </c>
      <c r="H87" s="3593">
        <f t="shared" ref="H87:L87" si="5">6*5</f>
        <v>30</v>
      </c>
      <c r="I87" s="3593">
        <f t="shared" si="5"/>
        <v>30</v>
      </c>
      <c r="J87" s="3593">
        <f t="shared" si="5"/>
        <v>30</v>
      </c>
      <c r="K87" s="3593">
        <f t="shared" si="5"/>
        <v>30</v>
      </c>
      <c r="L87" s="3593">
        <f t="shared" si="5"/>
        <v>30</v>
      </c>
      <c r="M87" s="12"/>
    </row>
    <row r="88" spans="3:13">
      <c r="C88" s="12"/>
      <c r="D88" s="3592" t="s">
        <v>2624</v>
      </c>
      <c r="E88" s="3593">
        <v>0</v>
      </c>
      <c r="F88" s="3594">
        <f>1+3</f>
        <v>4</v>
      </c>
      <c r="G88" s="3594">
        <f>3*5</f>
        <v>15</v>
      </c>
      <c r="H88" s="3594">
        <f t="shared" ref="H88:L88" si="6">3*5</f>
        <v>15</v>
      </c>
      <c r="I88" s="3594">
        <f t="shared" si="6"/>
        <v>15</v>
      </c>
      <c r="J88" s="3594">
        <f t="shared" si="6"/>
        <v>15</v>
      </c>
      <c r="K88" s="3594">
        <f t="shared" si="6"/>
        <v>15</v>
      </c>
      <c r="L88" s="3594">
        <f t="shared" si="6"/>
        <v>15</v>
      </c>
      <c r="M88" s="12"/>
    </row>
    <row r="89" spans="3:13">
      <c r="C89" s="12"/>
      <c r="D89" s="3592" t="s">
        <v>2625</v>
      </c>
      <c r="E89" s="3593">
        <v>0</v>
      </c>
      <c r="F89" s="3594">
        <f>1+4</f>
        <v>5</v>
      </c>
      <c r="G89" s="3594">
        <f>4*5</f>
        <v>20</v>
      </c>
      <c r="H89" s="3594">
        <f t="shared" ref="H89:L89" si="7">4*5</f>
        <v>20</v>
      </c>
      <c r="I89" s="3594">
        <f t="shared" si="7"/>
        <v>20</v>
      </c>
      <c r="J89" s="3594">
        <f t="shared" si="7"/>
        <v>20</v>
      </c>
      <c r="K89" s="3594">
        <f t="shared" si="7"/>
        <v>20</v>
      </c>
      <c r="L89" s="3594">
        <f t="shared" si="7"/>
        <v>20</v>
      </c>
      <c r="M89" s="12"/>
    </row>
    <row r="90" spans="3:13">
      <c r="C90" s="12"/>
      <c r="D90" s="3592" t="s">
        <v>2626</v>
      </c>
      <c r="E90" s="3593">
        <v>245</v>
      </c>
      <c r="F90" s="3594">
        <f>540+1477</f>
        <v>2017</v>
      </c>
      <c r="G90" s="3594">
        <f>1477*5</f>
        <v>7385</v>
      </c>
      <c r="H90" s="3594">
        <f t="shared" ref="H90:L90" si="8">1477*5</f>
        <v>7385</v>
      </c>
      <c r="I90" s="3594">
        <f t="shared" si="8"/>
        <v>7385</v>
      </c>
      <c r="J90" s="3594">
        <f t="shared" si="8"/>
        <v>7385</v>
      </c>
      <c r="K90" s="3594">
        <f t="shared" si="8"/>
        <v>7385</v>
      </c>
      <c r="L90" s="3594">
        <f t="shared" si="8"/>
        <v>7385</v>
      </c>
      <c r="M90" s="12"/>
    </row>
    <row r="91" spans="3:13">
      <c r="C91" s="12"/>
      <c r="D91" s="3592" t="s">
        <v>2627</v>
      </c>
      <c r="E91" s="3593">
        <v>0</v>
      </c>
      <c r="F91" s="3594">
        <f>6+16</f>
        <v>22</v>
      </c>
      <c r="G91" s="3594">
        <f>16*5</f>
        <v>80</v>
      </c>
      <c r="H91" s="3594">
        <f t="shared" ref="H91:L91" si="9">16*5</f>
        <v>80</v>
      </c>
      <c r="I91" s="3594">
        <f t="shared" si="9"/>
        <v>80</v>
      </c>
      <c r="J91" s="3594">
        <f t="shared" si="9"/>
        <v>80</v>
      </c>
      <c r="K91" s="3594">
        <f t="shared" si="9"/>
        <v>80</v>
      </c>
      <c r="L91" s="3594">
        <f t="shared" si="9"/>
        <v>80</v>
      </c>
      <c r="M91" s="12"/>
    </row>
    <row r="92" spans="3:13">
      <c r="C92" s="12"/>
      <c r="D92" s="3592" t="s">
        <v>2628</v>
      </c>
      <c r="E92" s="3593">
        <v>73</v>
      </c>
      <c r="F92" s="3594">
        <f>325+889</f>
        <v>1214</v>
      </c>
      <c r="G92" s="3594">
        <f>889*5</f>
        <v>4445</v>
      </c>
      <c r="H92" s="3594">
        <f t="shared" ref="H92:L92" si="10">889*5</f>
        <v>4445</v>
      </c>
      <c r="I92" s="3594">
        <f t="shared" si="10"/>
        <v>4445</v>
      </c>
      <c r="J92" s="3594">
        <f t="shared" si="10"/>
        <v>4445</v>
      </c>
      <c r="K92" s="3594">
        <f t="shared" si="10"/>
        <v>4445</v>
      </c>
      <c r="L92" s="3594">
        <f t="shared" si="10"/>
        <v>4445</v>
      </c>
      <c r="M92" s="12"/>
    </row>
    <row r="93" spans="3:13">
      <c r="C93" s="12"/>
      <c r="D93" s="3592" t="s">
        <v>2629</v>
      </c>
      <c r="E93" s="3593">
        <v>5</v>
      </c>
      <c r="F93" s="3594">
        <f>9+24</f>
        <v>33</v>
      </c>
      <c r="G93" s="3594">
        <f>24*5</f>
        <v>120</v>
      </c>
      <c r="H93" s="3594">
        <f t="shared" ref="H93:L93" si="11">24*5</f>
        <v>120</v>
      </c>
      <c r="I93" s="3594">
        <f t="shared" si="11"/>
        <v>120</v>
      </c>
      <c r="J93" s="3594">
        <f t="shared" si="11"/>
        <v>120</v>
      </c>
      <c r="K93" s="3594">
        <f t="shared" si="11"/>
        <v>120</v>
      </c>
      <c r="L93" s="3594">
        <f t="shared" si="11"/>
        <v>120</v>
      </c>
      <c r="M93" s="12"/>
    </row>
    <row r="94" spans="3:13">
      <c r="C94" s="12"/>
      <c r="D94" s="3592" t="s">
        <v>2630</v>
      </c>
      <c r="E94" s="3593">
        <v>0</v>
      </c>
      <c r="F94" s="3594">
        <f>12+32</f>
        <v>44</v>
      </c>
      <c r="G94" s="3594">
        <f>32*5</f>
        <v>160</v>
      </c>
      <c r="H94" s="3594">
        <f t="shared" ref="H94:L94" si="12">32*5</f>
        <v>160</v>
      </c>
      <c r="I94" s="3594">
        <f t="shared" si="12"/>
        <v>160</v>
      </c>
      <c r="J94" s="3594">
        <f t="shared" si="12"/>
        <v>160</v>
      </c>
      <c r="K94" s="3594">
        <f t="shared" si="12"/>
        <v>160</v>
      </c>
      <c r="L94" s="3594">
        <f t="shared" si="12"/>
        <v>160</v>
      </c>
      <c r="M94" s="12"/>
    </row>
    <row r="95" spans="3:13">
      <c r="C95" s="12"/>
      <c r="D95" s="3592" t="s">
        <v>2631</v>
      </c>
      <c r="E95" s="3593">
        <v>18</v>
      </c>
      <c r="F95" s="3594">
        <f>486+1330</f>
        <v>1816</v>
      </c>
      <c r="G95" s="3594">
        <f>1330*5</f>
        <v>6650</v>
      </c>
      <c r="H95" s="3594">
        <f t="shared" ref="H95:L95" si="13">1330*5</f>
        <v>6650</v>
      </c>
      <c r="I95" s="3594">
        <f t="shared" si="13"/>
        <v>6650</v>
      </c>
      <c r="J95" s="3594">
        <f t="shared" si="13"/>
        <v>6650</v>
      </c>
      <c r="K95" s="3594">
        <f t="shared" si="13"/>
        <v>6650</v>
      </c>
      <c r="L95" s="3594">
        <f t="shared" si="13"/>
        <v>6650</v>
      </c>
      <c r="M95" s="12"/>
    </row>
    <row r="96" spans="3:13">
      <c r="C96" s="12"/>
      <c r="D96" s="3592" t="s">
        <v>2632</v>
      </c>
      <c r="E96" s="3593">
        <v>434</v>
      </c>
      <c r="F96" s="3594">
        <f>1135+3104</f>
        <v>4239</v>
      </c>
      <c r="G96" s="3594">
        <f>3104*5</f>
        <v>15520</v>
      </c>
      <c r="H96" s="3594">
        <f t="shared" ref="H96:L96" si="14">3104*5</f>
        <v>15520</v>
      </c>
      <c r="I96" s="3594">
        <f t="shared" si="14"/>
        <v>15520</v>
      </c>
      <c r="J96" s="3594">
        <f t="shared" si="14"/>
        <v>15520</v>
      </c>
      <c r="K96" s="3594">
        <f t="shared" si="14"/>
        <v>15520</v>
      </c>
      <c r="L96" s="3594">
        <f t="shared" si="14"/>
        <v>15520</v>
      </c>
      <c r="M96" s="12"/>
    </row>
    <row r="97" spans="3:13">
      <c r="C97" s="12"/>
      <c r="D97" s="3592" t="s">
        <v>2633</v>
      </c>
      <c r="E97" s="3593">
        <v>0</v>
      </c>
      <c r="F97" s="3593">
        <f>30+83</f>
        <v>113</v>
      </c>
      <c r="G97" s="3593">
        <f>83*5</f>
        <v>415</v>
      </c>
      <c r="H97" s="3593">
        <f t="shared" ref="H97:L97" si="15">83*5</f>
        <v>415</v>
      </c>
      <c r="I97" s="3593">
        <f t="shared" si="15"/>
        <v>415</v>
      </c>
      <c r="J97" s="3593">
        <f t="shared" si="15"/>
        <v>415</v>
      </c>
      <c r="K97" s="3593">
        <f t="shared" si="15"/>
        <v>415</v>
      </c>
      <c r="L97" s="3593">
        <f t="shared" si="15"/>
        <v>415</v>
      </c>
      <c r="M97" s="12"/>
    </row>
    <row r="98" spans="3:13">
      <c r="C98" s="12"/>
      <c r="D98" s="3592" t="s">
        <v>2634</v>
      </c>
      <c r="E98" s="3593">
        <v>0</v>
      </c>
      <c r="F98" s="3593">
        <f>275+753</f>
        <v>1028</v>
      </c>
      <c r="G98" s="3593">
        <f>753*5</f>
        <v>3765</v>
      </c>
      <c r="H98" s="3593">
        <f t="shared" ref="H98:L98" si="16">753*5</f>
        <v>3765</v>
      </c>
      <c r="I98" s="3593">
        <f t="shared" si="16"/>
        <v>3765</v>
      </c>
      <c r="J98" s="3593">
        <f t="shared" si="16"/>
        <v>3765</v>
      </c>
      <c r="K98" s="3593">
        <f t="shared" si="16"/>
        <v>3765</v>
      </c>
      <c r="L98" s="3593">
        <f t="shared" si="16"/>
        <v>3765</v>
      </c>
      <c r="M98" s="12"/>
    </row>
    <row r="99" spans="3:13">
      <c r="C99" s="12"/>
      <c r="D99" s="3592" t="s">
        <v>2635</v>
      </c>
      <c r="E99" s="3593">
        <v>231</v>
      </c>
      <c r="F99" s="3593">
        <f>441+1206</f>
        <v>1647</v>
      </c>
      <c r="G99" s="3593">
        <f>1206*5</f>
        <v>6030</v>
      </c>
      <c r="H99" s="3593">
        <f t="shared" ref="H99:K99" si="17">1206*5</f>
        <v>6030</v>
      </c>
      <c r="I99" s="3593">
        <f t="shared" si="17"/>
        <v>6030</v>
      </c>
      <c r="J99" s="3593">
        <f t="shared" si="17"/>
        <v>6030</v>
      </c>
      <c r="K99" s="3593">
        <f t="shared" si="17"/>
        <v>6030</v>
      </c>
      <c r="L99" s="3593">
        <f>1206*5</f>
        <v>6030</v>
      </c>
      <c r="M99" s="12"/>
    </row>
    <row r="100" spans="3:13">
      <c r="C100" s="12"/>
      <c r="D100" s="3592" t="s">
        <v>2636</v>
      </c>
      <c r="E100" s="3593">
        <v>0</v>
      </c>
      <c r="F100" s="3593">
        <f>11+30</f>
        <v>41</v>
      </c>
      <c r="G100" s="3593">
        <f>30*5</f>
        <v>150</v>
      </c>
      <c r="H100" s="3593">
        <f t="shared" ref="H100:L100" si="18">30*5</f>
        <v>150</v>
      </c>
      <c r="I100" s="3593">
        <f t="shared" si="18"/>
        <v>150</v>
      </c>
      <c r="J100" s="3593">
        <f t="shared" si="18"/>
        <v>150</v>
      </c>
      <c r="K100" s="3593">
        <f t="shared" si="18"/>
        <v>150</v>
      </c>
      <c r="L100" s="3593">
        <f t="shared" si="18"/>
        <v>150</v>
      </c>
      <c r="M100" s="12"/>
    </row>
    <row r="101" spans="3:13">
      <c r="C101" s="12"/>
      <c r="D101" s="3595" t="s">
        <v>2637</v>
      </c>
      <c r="E101" s="3593">
        <v>50</v>
      </c>
      <c r="F101" s="3593">
        <f>165+453</f>
        <v>618</v>
      </c>
      <c r="G101" s="3593">
        <f>453*5</f>
        <v>2265</v>
      </c>
      <c r="H101" s="3593">
        <f t="shared" ref="H101:L101" si="19">453*5</f>
        <v>2265</v>
      </c>
      <c r="I101" s="3593">
        <f t="shared" si="19"/>
        <v>2265</v>
      </c>
      <c r="J101" s="3593">
        <f t="shared" si="19"/>
        <v>2265</v>
      </c>
      <c r="K101" s="3593">
        <f t="shared" si="19"/>
        <v>2265</v>
      </c>
      <c r="L101" s="3593">
        <f t="shared" si="19"/>
        <v>2265</v>
      </c>
      <c r="M101" s="12"/>
    </row>
    <row r="102" spans="3:13">
      <c r="C102" s="12"/>
      <c r="D102" s="3595" t="s">
        <v>2638</v>
      </c>
      <c r="E102" s="3593">
        <v>0</v>
      </c>
      <c r="F102" s="3593">
        <f>1+3</f>
        <v>4</v>
      </c>
      <c r="G102" s="3593">
        <f>3*5</f>
        <v>15</v>
      </c>
      <c r="H102" s="3593">
        <f t="shared" ref="H102:L102" si="20">3*5</f>
        <v>15</v>
      </c>
      <c r="I102" s="3593">
        <f t="shared" si="20"/>
        <v>15</v>
      </c>
      <c r="J102" s="3593">
        <f t="shared" si="20"/>
        <v>15</v>
      </c>
      <c r="K102" s="3593">
        <f t="shared" si="20"/>
        <v>15</v>
      </c>
      <c r="L102" s="3593">
        <f t="shared" si="20"/>
        <v>15</v>
      </c>
      <c r="M102" s="12"/>
    </row>
    <row r="103" spans="3:13">
      <c r="C103" s="12"/>
      <c r="D103" s="3595" t="s">
        <v>2639</v>
      </c>
      <c r="E103" s="3593">
        <v>0</v>
      </c>
      <c r="F103" s="3593">
        <f>3+9</f>
        <v>12</v>
      </c>
      <c r="G103" s="3593">
        <f>9*5</f>
        <v>45</v>
      </c>
      <c r="H103" s="3593">
        <f t="shared" ref="H103:L103" si="21">9*5</f>
        <v>45</v>
      </c>
      <c r="I103" s="3593">
        <f t="shared" si="21"/>
        <v>45</v>
      </c>
      <c r="J103" s="3593">
        <f t="shared" si="21"/>
        <v>45</v>
      </c>
      <c r="K103" s="3593">
        <f t="shared" si="21"/>
        <v>45</v>
      </c>
      <c r="L103" s="3593">
        <f t="shared" si="21"/>
        <v>45</v>
      </c>
      <c r="M103" s="12"/>
    </row>
    <row r="104" spans="3:13">
      <c r="C104" s="12"/>
      <c r="D104" s="3595" t="s">
        <v>2640</v>
      </c>
      <c r="E104" s="3596">
        <v>0</v>
      </c>
      <c r="F104" s="3596">
        <f>219+600</f>
        <v>819</v>
      </c>
      <c r="G104" s="3596">
        <f>600*5</f>
        <v>3000</v>
      </c>
      <c r="H104" s="3596">
        <f t="shared" ref="H104:L104" si="22">600*5</f>
        <v>3000</v>
      </c>
      <c r="I104" s="3596">
        <f t="shared" si="22"/>
        <v>3000</v>
      </c>
      <c r="J104" s="3596">
        <f t="shared" si="22"/>
        <v>3000</v>
      </c>
      <c r="K104" s="3596">
        <f t="shared" si="22"/>
        <v>3000</v>
      </c>
      <c r="L104" s="3596">
        <f t="shared" si="22"/>
        <v>3000</v>
      </c>
      <c r="M104" s="12"/>
    </row>
    <row r="105" spans="3:13">
      <c r="C105" s="12"/>
      <c r="D105" s="3597" t="s">
        <v>2641</v>
      </c>
      <c r="E105" s="3598">
        <f>SUM(E85:E104)</f>
        <v>1162</v>
      </c>
      <c r="F105" s="3598">
        <f t="shared" ref="F105:L105" si="23">SUM(F85:F104)</f>
        <v>15917</v>
      </c>
      <c r="G105" s="3598">
        <f t="shared" si="23"/>
        <v>57965</v>
      </c>
      <c r="H105" s="3598">
        <f t="shared" si="23"/>
        <v>57965</v>
      </c>
      <c r="I105" s="3598">
        <f t="shared" si="23"/>
        <v>57965</v>
      </c>
      <c r="J105" s="3598">
        <f t="shared" si="23"/>
        <v>57965</v>
      </c>
      <c r="K105" s="3598">
        <f t="shared" si="23"/>
        <v>57965</v>
      </c>
      <c r="L105" s="3598">
        <f t="shared" si="23"/>
        <v>57965</v>
      </c>
      <c r="M105" s="12"/>
    </row>
    <row r="106" spans="3:13">
      <c r="C106" s="12"/>
      <c r="D106" s="1487"/>
      <c r="E106" s="3599"/>
      <c r="F106" s="3599"/>
      <c r="G106" s="3599"/>
      <c r="H106" s="3599"/>
      <c r="I106" s="3599"/>
      <c r="J106" s="3599"/>
      <c r="K106" s="3599"/>
      <c r="L106" s="3600" t="s">
        <v>2642</v>
      </c>
      <c r="M106" s="12"/>
    </row>
    <row r="107" spans="3:13">
      <c r="C107" s="12"/>
      <c r="D107" s="3591" t="s">
        <v>2620</v>
      </c>
      <c r="E107" s="1486">
        <v>2018</v>
      </c>
      <c r="F107" s="1486">
        <v>2020</v>
      </c>
      <c r="G107" s="1486">
        <v>2025</v>
      </c>
      <c r="H107" s="1486">
        <v>2030</v>
      </c>
      <c r="I107" s="1486">
        <v>2035</v>
      </c>
      <c r="J107" s="1486">
        <v>2040</v>
      </c>
      <c r="K107" s="1486">
        <v>2045</v>
      </c>
      <c r="L107" s="1486">
        <v>2050</v>
      </c>
      <c r="M107" s="12"/>
    </row>
    <row r="108" spans="3:13">
      <c r="C108" s="12"/>
      <c r="D108" s="3592" t="s">
        <v>2621</v>
      </c>
      <c r="E108" s="3601">
        <f>E85/E$105</f>
        <v>8.6058519793459548E-2</v>
      </c>
      <c r="F108" s="3601">
        <f>F85/F$105</f>
        <v>0.14022742979204625</v>
      </c>
      <c r="G108" s="3601">
        <f t="shared" ref="G108:L108" si="24">G85/G$105</f>
        <v>0.13542655050461486</v>
      </c>
      <c r="H108" s="3601">
        <f t="shared" si="24"/>
        <v>0.13542655050461486</v>
      </c>
      <c r="I108" s="3601">
        <f t="shared" si="24"/>
        <v>0.13542655050461486</v>
      </c>
      <c r="J108" s="3601">
        <f t="shared" si="24"/>
        <v>0.13542655050461486</v>
      </c>
      <c r="K108" s="3601">
        <f t="shared" si="24"/>
        <v>0.13542655050461486</v>
      </c>
      <c r="L108" s="3601">
        <f t="shared" si="24"/>
        <v>0.13542655050461486</v>
      </c>
      <c r="M108" s="12"/>
    </row>
    <row r="109" spans="3:13">
      <c r="C109" s="12"/>
      <c r="D109" s="3592" t="s">
        <v>2622</v>
      </c>
      <c r="E109" s="3601">
        <f t="shared" ref="E109:L109" si="25">E86/E$105</f>
        <v>0</v>
      </c>
      <c r="F109" s="3601">
        <f t="shared" si="25"/>
        <v>6.2825909405038642E-5</v>
      </c>
      <c r="G109" s="3601">
        <f t="shared" si="25"/>
        <v>8.6258949365996718E-5</v>
      </c>
      <c r="H109" s="3601">
        <f t="shared" si="25"/>
        <v>8.6258949365996718E-5</v>
      </c>
      <c r="I109" s="3601">
        <f t="shared" si="25"/>
        <v>8.6258949365996718E-5</v>
      </c>
      <c r="J109" s="3601">
        <f t="shared" si="25"/>
        <v>8.6258949365996718E-5</v>
      </c>
      <c r="K109" s="3601">
        <f t="shared" si="25"/>
        <v>8.6258949365996718E-5</v>
      </c>
      <c r="L109" s="3601">
        <f t="shared" si="25"/>
        <v>8.6258949365996718E-5</v>
      </c>
      <c r="M109" s="12"/>
    </row>
    <row r="110" spans="3:13">
      <c r="C110" s="12"/>
      <c r="D110" s="3592" t="s">
        <v>2623</v>
      </c>
      <c r="E110" s="3601">
        <f t="shared" ref="E110:L110" si="26">E87/E$105</f>
        <v>5.1635111876075735E-3</v>
      </c>
      <c r="F110" s="3601">
        <f t="shared" si="26"/>
        <v>5.0260727524030914E-4</v>
      </c>
      <c r="G110" s="3601">
        <f t="shared" si="26"/>
        <v>5.1755369619598034E-4</v>
      </c>
      <c r="H110" s="3601">
        <f t="shared" si="26"/>
        <v>5.1755369619598034E-4</v>
      </c>
      <c r="I110" s="3601">
        <f t="shared" si="26"/>
        <v>5.1755369619598034E-4</v>
      </c>
      <c r="J110" s="3601">
        <f t="shared" si="26"/>
        <v>5.1755369619598034E-4</v>
      </c>
      <c r="K110" s="3601">
        <f t="shared" si="26"/>
        <v>5.1755369619598034E-4</v>
      </c>
      <c r="L110" s="3601">
        <f t="shared" si="26"/>
        <v>5.1755369619598034E-4</v>
      </c>
      <c r="M110" s="12"/>
    </row>
    <row r="111" spans="3:13">
      <c r="C111" s="12"/>
      <c r="D111" s="3592" t="s">
        <v>2624</v>
      </c>
      <c r="E111" s="3601">
        <f t="shared" ref="E111:L111" si="27">E88/E$105</f>
        <v>0</v>
      </c>
      <c r="F111" s="3601">
        <f t="shared" si="27"/>
        <v>2.5130363762015457E-4</v>
      </c>
      <c r="G111" s="3601">
        <f t="shared" si="27"/>
        <v>2.5877684809799017E-4</v>
      </c>
      <c r="H111" s="3601">
        <f t="shared" si="27"/>
        <v>2.5877684809799017E-4</v>
      </c>
      <c r="I111" s="3601">
        <f t="shared" si="27"/>
        <v>2.5877684809799017E-4</v>
      </c>
      <c r="J111" s="3601">
        <f t="shared" si="27"/>
        <v>2.5877684809799017E-4</v>
      </c>
      <c r="K111" s="3601">
        <f t="shared" si="27"/>
        <v>2.5877684809799017E-4</v>
      </c>
      <c r="L111" s="3601">
        <f t="shared" si="27"/>
        <v>2.5877684809799017E-4</v>
      </c>
      <c r="M111" s="12"/>
    </row>
    <row r="112" spans="3:13">
      <c r="C112" s="12"/>
      <c r="D112" s="3592" t="s">
        <v>2625</v>
      </c>
      <c r="E112" s="3601">
        <f t="shared" ref="E112:L112" si="28">E89/E$105</f>
        <v>0</v>
      </c>
      <c r="F112" s="3601">
        <f t="shared" si="28"/>
        <v>3.1412954702519317E-4</v>
      </c>
      <c r="G112" s="3601">
        <f t="shared" si="28"/>
        <v>3.4503579746398687E-4</v>
      </c>
      <c r="H112" s="3601">
        <f t="shared" si="28"/>
        <v>3.4503579746398687E-4</v>
      </c>
      <c r="I112" s="3601">
        <f t="shared" si="28"/>
        <v>3.4503579746398687E-4</v>
      </c>
      <c r="J112" s="3601">
        <f t="shared" si="28"/>
        <v>3.4503579746398687E-4</v>
      </c>
      <c r="K112" s="3601">
        <f t="shared" si="28"/>
        <v>3.4503579746398687E-4</v>
      </c>
      <c r="L112" s="3601">
        <f t="shared" si="28"/>
        <v>3.4503579746398687E-4</v>
      </c>
      <c r="M112" s="12"/>
    </row>
    <row r="113" spans="3:13">
      <c r="C113" s="12"/>
      <c r="D113" s="3592" t="s">
        <v>2626</v>
      </c>
      <c r="E113" s="3601">
        <f t="shared" ref="E113:L113" si="29">E90/E$105</f>
        <v>0.21084337349397592</v>
      </c>
      <c r="F113" s="3601">
        <f t="shared" si="29"/>
        <v>0.12671985926996293</v>
      </c>
      <c r="G113" s="3601">
        <f t="shared" si="29"/>
        <v>0.12740446821357715</v>
      </c>
      <c r="H113" s="3601">
        <f t="shared" si="29"/>
        <v>0.12740446821357715</v>
      </c>
      <c r="I113" s="3601">
        <f t="shared" si="29"/>
        <v>0.12740446821357715</v>
      </c>
      <c r="J113" s="3601">
        <f t="shared" si="29"/>
        <v>0.12740446821357715</v>
      </c>
      <c r="K113" s="3601">
        <f t="shared" si="29"/>
        <v>0.12740446821357715</v>
      </c>
      <c r="L113" s="3601">
        <f t="shared" si="29"/>
        <v>0.12740446821357715</v>
      </c>
      <c r="M113" s="12"/>
    </row>
    <row r="114" spans="3:13">
      <c r="C114" s="12"/>
      <c r="D114" s="3592" t="s">
        <v>2627</v>
      </c>
      <c r="E114" s="3601">
        <f t="shared" ref="E114:L114" si="30">E91/E$105</f>
        <v>0</v>
      </c>
      <c r="F114" s="3601">
        <f t="shared" si="30"/>
        <v>1.38217000691085E-3</v>
      </c>
      <c r="G114" s="3601">
        <f t="shared" si="30"/>
        <v>1.3801431898559475E-3</v>
      </c>
      <c r="H114" s="3601">
        <f t="shared" si="30"/>
        <v>1.3801431898559475E-3</v>
      </c>
      <c r="I114" s="3601">
        <f t="shared" si="30"/>
        <v>1.3801431898559475E-3</v>
      </c>
      <c r="J114" s="3601">
        <f t="shared" si="30"/>
        <v>1.3801431898559475E-3</v>
      </c>
      <c r="K114" s="3601">
        <f t="shared" si="30"/>
        <v>1.3801431898559475E-3</v>
      </c>
      <c r="L114" s="3601">
        <f t="shared" si="30"/>
        <v>1.3801431898559475E-3</v>
      </c>
      <c r="M114" s="12"/>
    </row>
    <row r="115" spans="3:13">
      <c r="C115" s="12"/>
      <c r="D115" s="3592" t="s">
        <v>2628</v>
      </c>
      <c r="E115" s="3601">
        <f t="shared" ref="E115:L115" si="31">E92/E$105</f>
        <v>6.2822719449225475E-2</v>
      </c>
      <c r="F115" s="3601">
        <f t="shared" si="31"/>
        <v>7.6270654017716905E-2</v>
      </c>
      <c r="G115" s="3601">
        <f t="shared" si="31"/>
        <v>7.6684205986371087E-2</v>
      </c>
      <c r="H115" s="3601">
        <f t="shared" si="31"/>
        <v>7.6684205986371087E-2</v>
      </c>
      <c r="I115" s="3601">
        <f t="shared" si="31"/>
        <v>7.6684205986371087E-2</v>
      </c>
      <c r="J115" s="3601">
        <f t="shared" si="31"/>
        <v>7.6684205986371087E-2</v>
      </c>
      <c r="K115" s="3601">
        <f t="shared" si="31"/>
        <v>7.6684205986371087E-2</v>
      </c>
      <c r="L115" s="3601">
        <f t="shared" si="31"/>
        <v>7.6684205986371087E-2</v>
      </c>
      <c r="M115" s="12"/>
    </row>
    <row r="116" spans="3:13">
      <c r="C116" s="12"/>
      <c r="D116" s="3592" t="s">
        <v>2629</v>
      </c>
      <c r="E116" s="3601">
        <f t="shared" ref="E116:L116" si="32">E93/E$105</f>
        <v>4.3029259896729772E-3</v>
      </c>
      <c r="F116" s="3601">
        <f t="shared" si="32"/>
        <v>2.0732550103662751E-3</v>
      </c>
      <c r="G116" s="3601">
        <f t="shared" si="32"/>
        <v>2.0702147847839214E-3</v>
      </c>
      <c r="H116" s="3601">
        <f t="shared" si="32"/>
        <v>2.0702147847839214E-3</v>
      </c>
      <c r="I116" s="3601">
        <f t="shared" si="32"/>
        <v>2.0702147847839214E-3</v>
      </c>
      <c r="J116" s="3601">
        <f t="shared" si="32"/>
        <v>2.0702147847839214E-3</v>
      </c>
      <c r="K116" s="3601">
        <f t="shared" si="32"/>
        <v>2.0702147847839214E-3</v>
      </c>
      <c r="L116" s="3601">
        <f t="shared" si="32"/>
        <v>2.0702147847839214E-3</v>
      </c>
      <c r="M116" s="12"/>
    </row>
    <row r="117" spans="3:13">
      <c r="C117" s="12"/>
      <c r="D117" s="3592" t="s">
        <v>2630</v>
      </c>
      <c r="E117" s="3601">
        <f t="shared" ref="E117:L117" si="33">E94/E$105</f>
        <v>0</v>
      </c>
      <c r="F117" s="3601">
        <f t="shared" si="33"/>
        <v>2.7643400138217E-3</v>
      </c>
      <c r="G117" s="3601">
        <f t="shared" si="33"/>
        <v>2.760286379711895E-3</v>
      </c>
      <c r="H117" s="3601">
        <f t="shared" si="33"/>
        <v>2.760286379711895E-3</v>
      </c>
      <c r="I117" s="3601">
        <f t="shared" si="33"/>
        <v>2.760286379711895E-3</v>
      </c>
      <c r="J117" s="3601">
        <f t="shared" si="33"/>
        <v>2.760286379711895E-3</v>
      </c>
      <c r="K117" s="3601">
        <f t="shared" si="33"/>
        <v>2.760286379711895E-3</v>
      </c>
      <c r="L117" s="3601">
        <f t="shared" si="33"/>
        <v>2.760286379711895E-3</v>
      </c>
      <c r="M117" s="12"/>
    </row>
    <row r="118" spans="3:13">
      <c r="C118" s="12"/>
      <c r="D118" s="3592" t="s">
        <v>2631</v>
      </c>
      <c r="E118" s="3601">
        <f t="shared" ref="E118:L118" si="34">E95/E$105</f>
        <v>1.549053356282272E-2</v>
      </c>
      <c r="F118" s="3601">
        <f t="shared" si="34"/>
        <v>0.11409185147955017</v>
      </c>
      <c r="G118" s="3601">
        <f t="shared" si="34"/>
        <v>0.11472440265677564</v>
      </c>
      <c r="H118" s="3601">
        <f t="shared" si="34"/>
        <v>0.11472440265677564</v>
      </c>
      <c r="I118" s="3601">
        <f t="shared" si="34"/>
        <v>0.11472440265677564</v>
      </c>
      <c r="J118" s="3601">
        <f t="shared" si="34"/>
        <v>0.11472440265677564</v>
      </c>
      <c r="K118" s="3601">
        <f t="shared" si="34"/>
        <v>0.11472440265677564</v>
      </c>
      <c r="L118" s="3601">
        <f t="shared" si="34"/>
        <v>0.11472440265677564</v>
      </c>
      <c r="M118" s="12"/>
    </row>
    <row r="119" spans="3:13">
      <c r="C119" s="12"/>
      <c r="D119" s="3592" t="s">
        <v>2632</v>
      </c>
      <c r="E119" s="3601">
        <f t="shared" ref="E119:L119" si="35">E96/E$105</f>
        <v>0.37349397590361444</v>
      </c>
      <c r="F119" s="3601">
        <f t="shared" si="35"/>
        <v>0.26631902996795881</v>
      </c>
      <c r="G119" s="3601">
        <f t="shared" si="35"/>
        <v>0.26774777883205381</v>
      </c>
      <c r="H119" s="3601">
        <f t="shared" si="35"/>
        <v>0.26774777883205381</v>
      </c>
      <c r="I119" s="3601">
        <f t="shared" si="35"/>
        <v>0.26774777883205381</v>
      </c>
      <c r="J119" s="3601">
        <f t="shared" si="35"/>
        <v>0.26774777883205381</v>
      </c>
      <c r="K119" s="3601">
        <f t="shared" si="35"/>
        <v>0.26774777883205381</v>
      </c>
      <c r="L119" s="3601">
        <f t="shared" si="35"/>
        <v>0.26774777883205381</v>
      </c>
      <c r="M119" s="12"/>
    </row>
    <row r="120" spans="3:13">
      <c r="C120" s="12"/>
      <c r="D120" s="3592" t="s">
        <v>2633</v>
      </c>
      <c r="E120" s="3601">
        <f t="shared" ref="E120:L120" si="36">E97/E$105</f>
        <v>0</v>
      </c>
      <c r="F120" s="3601">
        <f t="shared" si="36"/>
        <v>7.0993277627693658E-3</v>
      </c>
      <c r="G120" s="3601">
        <f t="shared" si="36"/>
        <v>7.159492797377728E-3</v>
      </c>
      <c r="H120" s="3601">
        <f t="shared" si="36"/>
        <v>7.159492797377728E-3</v>
      </c>
      <c r="I120" s="3601">
        <f t="shared" si="36"/>
        <v>7.159492797377728E-3</v>
      </c>
      <c r="J120" s="3601">
        <f t="shared" si="36"/>
        <v>7.159492797377728E-3</v>
      </c>
      <c r="K120" s="3601">
        <f t="shared" si="36"/>
        <v>7.159492797377728E-3</v>
      </c>
      <c r="L120" s="3601">
        <f t="shared" si="36"/>
        <v>7.159492797377728E-3</v>
      </c>
      <c r="M120" s="12"/>
    </row>
    <row r="121" spans="3:13">
      <c r="C121" s="12"/>
      <c r="D121" s="3592" t="s">
        <v>2634</v>
      </c>
      <c r="E121" s="3601">
        <f t="shared" ref="E121:L121" si="37">E98/E$105</f>
        <v>0</v>
      </c>
      <c r="F121" s="3601">
        <f t="shared" si="37"/>
        <v>6.4585034868379715E-2</v>
      </c>
      <c r="G121" s="3601">
        <f t="shared" si="37"/>
        <v>6.4952988872595527E-2</v>
      </c>
      <c r="H121" s="3601">
        <f t="shared" si="37"/>
        <v>6.4952988872595527E-2</v>
      </c>
      <c r="I121" s="3601">
        <f t="shared" si="37"/>
        <v>6.4952988872595527E-2</v>
      </c>
      <c r="J121" s="3601">
        <f t="shared" si="37"/>
        <v>6.4952988872595527E-2</v>
      </c>
      <c r="K121" s="3601">
        <f t="shared" si="37"/>
        <v>6.4952988872595527E-2</v>
      </c>
      <c r="L121" s="3601">
        <f t="shared" si="37"/>
        <v>6.4952988872595527E-2</v>
      </c>
      <c r="M121" s="12"/>
    </row>
    <row r="122" spans="3:13">
      <c r="C122" s="12"/>
      <c r="D122" s="3592" t="s">
        <v>2635</v>
      </c>
      <c r="E122" s="3601">
        <f t="shared" ref="E122:L122" si="38">E99/E$105</f>
        <v>0.19879518072289157</v>
      </c>
      <c r="F122" s="3601">
        <f t="shared" si="38"/>
        <v>0.10347427279009863</v>
      </c>
      <c r="G122" s="3601">
        <f t="shared" si="38"/>
        <v>0.10402829293539205</v>
      </c>
      <c r="H122" s="3601">
        <f t="shared" si="38"/>
        <v>0.10402829293539205</v>
      </c>
      <c r="I122" s="3601">
        <f t="shared" si="38"/>
        <v>0.10402829293539205</v>
      </c>
      <c r="J122" s="3601">
        <f t="shared" si="38"/>
        <v>0.10402829293539205</v>
      </c>
      <c r="K122" s="3601">
        <f t="shared" si="38"/>
        <v>0.10402829293539205</v>
      </c>
      <c r="L122" s="3601">
        <f t="shared" si="38"/>
        <v>0.10402829293539205</v>
      </c>
      <c r="M122" s="12"/>
    </row>
    <row r="123" spans="3:13">
      <c r="C123" s="12"/>
      <c r="D123" s="3592" t="s">
        <v>2636</v>
      </c>
      <c r="E123" s="3601">
        <f t="shared" ref="E123:L123" si="39">E100/E$105</f>
        <v>0</v>
      </c>
      <c r="F123" s="3601">
        <f t="shared" si="39"/>
        <v>2.5758622856065843E-3</v>
      </c>
      <c r="G123" s="3601">
        <f t="shared" si="39"/>
        <v>2.5877684809799016E-3</v>
      </c>
      <c r="H123" s="3601">
        <f t="shared" si="39"/>
        <v>2.5877684809799016E-3</v>
      </c>
      <c r="I123" s="3601">
        <f t="shared" si="39"/>
        <v>2.5877684809799016E-3</v>
      </c>
      <c r="J123" s="3601">
        <f t="shared" si="39"/>
        <v>2.5877684809799016E-3</v>
      </c>
      <c r="K123" s="3601">
        <f t="shared" si="39"/>
        <v>2.5877684809799016E-3</v>
      </c>
      <c r="L123" s="3601">
        <f t="shared" si="39"/>
        <v>2.5877684809799016E-3</v>
      </c>
      <c r="M123" s="12"/>
    </row>
    <row r="124" spans="3:13">
      <c r="C124" s="12"/>
      <c r="D124" s="3595" t="s">
        <v>2637</v>
      </c>
      <c r="E124" s="3601">
        <f t="shared" ref="E124:L124" si="40">E101/E$105</f>
        <v>4.3029259896729774E-2</v>
      </c>
      <c r="F124" s="3601">
        <f t="shared" si="40"/>
        <v>3.8826412012313877E-2</v>
      </c>
      <c r="G124" s="3601">
        <f t="shared" si="40"/>
        <v>3.9075304062796516E-2</v>
      </c>
      <c r="H124" s="3601">
        <f t="shared" si="40"/>
        <v>3.9075304062796516E-2</v>
      </c>
      <c r="I124" s="3601">
        <f t="shared" si="40"/>
        <v>3.9075304062796516E-2</v>
      </c>
      <c r="J124" s="3601">
        <f t="shared" si="40"/>
        <v>3.9075304062796516E-2</v>
      </c>
      <c r="K124" s="3601">
        <f t="shared" si="40"/>
        <v>3.9075304062796516E-2</v>
      </c>
      <c r="L124" s="3601">
        <f t="shared" si="40"/>
        <v>3.9075304062796516E-2</v>
      </c>
      <c r="M124" s="12"/>
    </row>
    <row r="125" spans="3:13">
      <c r="C125" s="12"/>
      <c r="D125" s="3595" t="s">
        <v>2638</v>
      </c>
      <c r="E125" s="3601">
        <f t="shared" ref="E125:L125" si="41">E102/E$105</f>
        <v>0</v>
      </c>
      <c r="F125" s="3601">
        <f t="shared" si="41"/>
        <v>2.5130363762015457E-4</v>
      </c>
      <c r="G125" s="3601">
        <f t="shared" si="41"/>
        <v>2.5877684809799017E-4</v>
      </c>
      <c r="H125" s="3601">
        <f t="shared" si="41"/>
        <v>2.5877684809799017E-4</v>
      </c>
      <c r="I125" s="3601">
        <f t="shared" si="41"/>
        <v>2.5877684809799017E-4</v>
      </c>
      <c r="J125" s="3601">
        <f t="shared" si="41"/>
        <v>2.5877684809799017E-4</v>
      </c>
      <c r="K125" s="3601">
        <f t="shared" si="41"/>
        <v>2.5877684809799017E-4</v>
      </c>
      <c r="L125" s="3601">
        <f t="shared" si="41"/>
        <v>2.5877684809799017E-4</v>
      </c>
      <c r="M125" s="12"/>
    </row>
    <row r="126" spans="3:13">
      <c r="C126" s="12"/>
      <c r="D126" s="3595" t="s">
        <v>2639</v>
      </c>
      <c r="E126" s="3601">
        <f t="shared" ref="E126:L126" si="42">E103/E$105</f>
        <v>0</v>
      </c>
      <c r="F126" s="3601">
        <f t="shared" si="42"/>
        <v>7.5391091286046365E-4</v>
      </c>
      <c r="G126" s="3601">
        <f t="shared" si="42"/>
        <v>7.7633054429397045E-4</v>
      </c>
      <c r="H126" s="3601">
        <f t="shared" si="42"/>
        <v>7.7633054429397045E-4</v>
      </c>
      <c r="I126" s="3601">
        <f t="shared" si="42"/>
        <v>7.7633054429397045E-4</v>
      </c>
      <c r="J126" s="3601">
        <f t="shared" si="42"/>
        <v>7.7633054429397045E-4</v>
      </c>
      <c r="K126" s="3601">
        <f t="shared" si="42"/>
        <v>7.7633054429397045E-4</v>
      </c>
      <c r="L126" s="3601">
        <f t="shared" si="42"/>
        <v>7.7633054429397045E-4</v>
      </c>
      <c r="M126" s="12"/>
    </row>
    <row r="127" spans="3:13">
      <c r="C127" s="12"/>
      <c r="D127" s="3595" t="s">
        <v>2640</v>
      </c>
      <c r="E127" s="3601">
        <f t="shared" ref="E127:L127" si="43">E104/E$105</f>
        <v>0</v>
      </c>
      <c r="F127" s="3601">
        <f t="shared" si="43"/>
        <v>5.1454419802726643E-2</v>
      </c>
      <c r="G127" s="3601">
        <f t="shared" si="43"/>
        <v>5.1755369619598035E-2</v>
      </c>
      <c r="H127" s="3601">
        <f t="shared" si="43"/>
        <v>5.1755369619598035E-2</v>
      </c>
      <c r="I127" s="3601">
        <f t="shared" si="43"/>
        <v>5.1755369619598035E-2</v>
      </c>
      <c r="J127" s="3601">
        <f t="shared" si="43"/>
        <v>5.1755369619598035E-2</v>
      </c>
      <c r="K127" s="3601">
        <f t="shared" si="43"/>
        <v>5.1755369619598035E-2</v>
      </c>
      <c r="L127" s="3601">
        <f t="shared" si="43"/>
        <v>5.1755369619598035E-2</v>
      </c>
      <c r="M127" s="12"/>
    </row>
    <row r="128" spans="3:13">
      <c r="C128" s="12"/>
      <c r="D128" s="3597" t="s">
        <v>2641</v>
      </c>
      <c r="E128" s="3602">
        <f>SUM(E108:E127)</f>
        <v>1</v>
      </c>
      <c r="F128" s="3602">
        <f t="shared" ref="F128:L128" si="44">SUM(F108:F127)</f>
        <v>1</v>
      </c>
      <c r="G128" s="3602">
        <f t="shared" si="44"/>
        <v>0.99999999999999978</v>
      </c>
      <c r="H128" s="3602">
        <f t="shared" si="44"/>
        <v>0.99999999999999978</v>
      </c>
      <c r="I128" s="3602">
        <f t="shared" si="44"/>
        <v>0.99999999999999978</v>
      </c>
      <c r="J128" s="3602">
        <f t="shared" si="44"/>
        <v>0.99999999999999978</v>
      </c>
      <c r="K128" s="3602">
        <f t="shared" si="44"/>
        <v>0.99999999999999978</v>
      </c>
      <c r="L128" s="3602">
        <f t="shared" si="44"/>
        <v>0.99999999999999978</v>
      </c>
      <c r="M128" s="12"/>
    </row>
    <row r="129" spans="3:13">
      <c r="C129" s="12"/>
      <c r="D129" s="1440"/>
      <c r="E129" s="1440"/>
      <c r="F129" s="1440"/>
      <c r="G129" s="1441"/>
      <c r="H129" s="12"/>
      <c r="I129" s="12"/>
      <c r="J129" s="12"/>
      <c r="K129" s="12"/>
      <c r="L129" s="1158"/>
      <c r="M129" s="12"/>
    </row>
    <row r="130" spans="3:13">
      <c r="C130" s="12"/>
      <c r="D130" s="1487"/>
      <c r="E130" s="1487"/>
      <c r="F130" s="1487"/>
      <c r="G130" s="1488"/>
      <c r="H130" s="12"/>
      <c r="I130" s="12"/>
      <c r="J130" s="12"/>
      <c r="K130" s="12"/>
      <c r="L130" s="12"/>
      <c r="M130" s="12"/>
    </row>
    <row r="131" spans="3:13" ht="15.75">
      <c r="C131" s="12"/>
      <c r="D131" s="180" t="s">
        <v>1454</v>
      </c>
      <c r="E131" s="867"/>
      <c r="F131" s="867"/>
      <c r="G131" s="867"/>
      <c r="H131" s="867"/>
      <c r="I131" s="867"/>
      <c r="J131" s="867"/>
      <c r="K131" s="867"/>
      <c r="L131" s="867"/>
      <c r="M131" s="12"/>
    </row>
    <row r="132" spans="3:13">
      <c r="C132" s="12"/>
      <c r="D132" s="12"/>
      <c r="E132" s="12"/>
      <c r="F132" s="12"/>
      <c r="G132" s="12"/>
      <c r="H132" s="12"/>
      <c r="I132" s="12"/>
      <c r="J132" s="12"/>
      <c r="K132" s="12"/>
      <c r="L132" s="12"/>
      <c r="M132" s="12"/>
    </row>
    <row r="133" spans="3:13">
      <c r="C133" s="12"/>
      <c r="D133" s="12"/>
      <c r="E133" s="12"/>
      <c r="F133" s="12"/>
      <c r="G133" s="1158"/>
      <c r="H133" s="12"/>
      <c r="I133" s="12"/>
      <c r="J133" s="12"/>
      <c r="K133" s="12"/>
      <c r="L133" s="12"/>
      <c r="M133" s="12"/>
    </row>
    <row r="134" spans="3:13">
      <c r="C134" s="12"/>
      <c r="D134" s="1439" t="s">
        <v>869</v>
      </c>
      <c r="E134" s="1439"/>
      <c r="F134" s="1439"/>
      <c r="G134" s="3603" t="s">
        <v>2643</v>
      </c>
      <c r="H134" s="3603" t="s">
        <v>2644</v>
      </c>
      <c r="I134" s="12"/>
      <c r="J134" s="12"/>
      <c r="K134" s="12"/>
      <c r="L134" s="12"/>
      <c r="M134" s="12"/>
    </row>
    <row r="135" spans="3:13">
      <c r="C135" s="12"/>
      <c r="D135" s="3592" t="s">
        <v>2621</v>
      </c>
      <c r="E135" s="1440"/>
      <c r="F135" s="1440"/>
      <c r="G135" s="3604">
        <f>6.98+8.65</f>
        <v>15.63</v>
      </c>
      <c r="H135" s="3604">
        <f>G135*3.67</f>
        <v>57.362100000000005</v>
      </c>
      <c r="I135" s="12"/>
      <c r="J135" s="12"/>
      <c r="K135" s="12"/>
      <c r="L135" s="12"/>
      <c r="M135" s="12"/>
    </row>
    <row r="136" spans="3:13">
      <c r="C136" s="12"/>
      <c r="D136" s="3592" t="s">
        <v>2622</v>
      </c>
      <c r="E136" s="1440"/>
      <c r="F136" s="1440"/>
      <c r="G136" s="3604">
        <f>3.44+4.26</f>
        <v>7.6999999999999993</v>
      </c>
      <c r="H136" s="3604">
        <f>G136*3.67</f>
        <v>28.258999999999997</v>
      </c>
      <c r="I136" s="12"/>
      <c r="J136" s="12"/>
      <c r="K136" s="12"/>
      <c r="L136" s="12"/>
      <c r="M136" s="12"/>
    </row>
    <row r="137" spans="3:13">
      <c r="C137" s="12"/>
      <c r="D137" s="3592" t="s">
        <v>2623</v>
      </c>
      <c r="E137" s="1440"/>
      <c r="F137" s="1440"/>
      <c r="G137" s="3604">
        <f>2.71+3.37</f>
        <v>6.08</v>
      </c>
      <c r="H137" s="3604">
        <f t="shared" ref="H137:H154" si="45">G137*3.67</f>
        <v>22.313600000000001</v>
      </c>
      <c r="I137" s="12"/>
      <c r="J137" s="12"/>
      <c r="K137" s="12"/>
      <c r="L137" s="12"/>
      <c r="M137" s="12"/>
    </row>
    <row r="138" spans="3:13">
      <c r="C138" s="12"/>
      <c r="D138" s="3592" t="s">
        <v>2624</v>
      </c>
      <c r="E138" s="1440"/>
      <c r="F138" s="1440"/>
      <c r="G138" s="3604">
        <f>7.4+9.18</f>
        <v>16.579999999999998</v>
      </c>
      <c r="H138" s="3604">
        <f t="shared" si="45"/>
        <v>60.84859999999999</v>
      </c>
      <c r="I138" s="12"/>
      <c r="J138" s="12"/>
      <c r="K138" s="12"/>
      <c r="L138" s="12"/>
      <c r="M138" s="12"/>
    </row>
    <row r="139" spans="3:13">
      <c r="C139" s="12"/>
      <c r="D139" s="3592" t="s">
        <v>2625</v>
      </c>
      <c r="E139" s="1440"/>
      <c r="F139" s="1440"/>
      <c r="G139" s="3604">
        <f>7.21+8.94</f>
        <v>16.149999999999999</v>
      </c>
      <c r="H139" s="3604">
        <f t="shared" si="45"/>
        <v>59.270499999999991</v>
      </c>
      <c r="I139" s="12"/>
      <c r="J139" s="12"/>
      <c r="K139" s="12"/>
      <c r="L139" s="12"/>
      <c r="M139" s="12"/>
    </row>
    <row r="140" spans="3:13">
      <c r="C140" s="12"/>
      <c r="D140" s="3592" t="s">
        <v>2626</v>
      </c>
      <c r="E140" s="1440"/>
      <c r="F140" s="1440"/>
      <c r="G140" s="3604">
        <f>2.54+3.15</f>
        <v>5.6899999999999995</v>
      </c>
      <c r="H140" s="3604">
        <f t="shared" si="45"/>
        <v>20.882299999999997</v>
      </c>
      <c r="I140" s="12"/>
      <c r="J140" s="12"/>
      <c r="K140" s="12"/>
      <c r="L140" s="12"/>
      <c r="M140" s="12"/>
    </row>
    <row r="141" spans="3:13">
      <c r="C141" s="12"/>
      <c r="D141" s="3592" t="s">
        <v>2627</v>
      </c>
      <c r="E141" s="1440"/>
      <c r="F141" s="1440"/>
      <c r="G141" s="3604">
        <f>5.86+7.26</f>
        <v>13.120000000000001</v>
      </c>
      <c r="H141" s="3604">
        <f t="shared" si="45"/>
        <v>48.150400000000005</v>
      </c>
      <c r="I141" s="12"/>
      <c r="J141" s="12"/>
      <c r="K141" s="12"/>
      <c r="L141" s="12"/>
      <c r="M141" s="12"/>
    </row>
    <row r="142" spans="3:13">
      <c r="C142" s="12"/>
      <c r="D142" s="3592" t="s">
        <v>2628</v>
      </c>
      <c r="E142" s="1440"/>
      <c r="F142" s="1440"/>
      <c r="G142" s="3604">
        <f>10.02+12.42</f>
        <v>22.439999999999998</v>
      </c>
      <c r="H142" s="3604">
        <f t="shared" si="45"/>
        <v>82.354799999999983</v>
      </c>
      <c r="I142" s="12"/>
      <c r="J142" s="12"/>
      <c r="K142" s="12"/>
      <c r="L142" s="12"/>
      <c r="M142" s="12"/>
    </row>
    <row r="143" spans="3:13">
      <c r="C143" s="12"/>
      <c r="D143" s="3592" t="s">
        <v>2629</v>
      </c>
      <c r="E143" s="1440"/>
      <c r="F143" s="1440"/>
      <c r="G143" s="3604">
        <f>2.54+3.15</f>
        <v>5.6899999999999995</v>
      </c>
      <c r="H143" s="3604">
        <f t="shared" si="45"/>
        <v>20.882299999999997</v>
      </c>
      <c r="I143" s="12"/>
      <c r="J143" s="12"/>
      <c r="K143" s="12"/>
      <c r="L143" s="12"/>
      <c r="M143" s="12"/>
    </row>
    <row r="144" spans="3:13">
      <c r="C144" s="12"/>
      <c r="D144" s="3592" t="s">
        <v>2630</v>
      </c>
      <c r="E144" s="1440"/>
      <c r="F144" s="1440"/>
      <c r="G144" s="3604">
        <f>13.57+16.83</f>
        <v>30.4</v>
      </c>
      <c r="H144" s="3604">
        <f t="shared" si="45"/>
        <v>111.568</v>
      </c>
      <c r="I144" s="12"/>
      <c r="J144" s="12"/>
      <c r="K144" s="12"/>
      <c r="L144" s="12"/>
      <c r="M144" s="12"/>
    </row>
    <row r="145" spans="3:13">
      <c r="C145" s="12"/>
      <c r="D145" s="3592" t="s">
        <v>2631</v>
      </c>
      <c r="E145" s="1440"/>
      <c r="F145" s="1440"/>
      <c r="G145" s="3604">
        <f>19.8+24.5</f>
        <v>44.3</v>
      </c>
      <c r="H145" s="3604">
        <f t="shared" si="45"/>
        <v>162.58099999999999</v>
      </c>
      <c r="I145" s="12"/>
      <c r="J145" s="12"/>
      <c r="K145" s="12"/>
      <c r="L145" s="12"/>
      <c r="M145" s="12"/>
    </row>
    <row r="146" spans="3:13">
      <c r="C146" s="12"/>
      <c r="D146" s="3592" t="s">
        <v>2632</v>
      </c>
      <c r="E146" s="1440"/>
      <c r="F146" s="1440"/>
      <c r="G146" s="3604">
        <f>13.54+16.78</f>
        <v>30.32</v>
      </c>
      <c r="H146" s="3604">
        <f t="shared" si="45"/>
        <v>111.2744</v>
      </c>
      <c r="I146" s="12"/>
      <c r="J146" s="12"/>
      <c r="K146" s="12"/>
      <c r="L146" s="12"/>
      <c r="M146" s="12"/>
    </row>
    <row r="147" spans="3:13">
      <c r="C147" s="12"/>
      <c r="D147" s="3592" t="s">
        <v>2633</v>
      </c>
      <c r="E147" s="1440"/>
      <c r="F147" s="1440"/>
      <c r="G147" s="3604">
        <f>9.29+11.52</f>
        <v>20.81</v>
      </c>
      <c r="H147" s="3604">
        <f t="shared" si="45"/>
        <v>76.372699999999995</v>
      </c>
      <c r="I147" s="12"/>
      <c r="J147" s="12"/>
      <c r="K147" s="12"/>
      <c r="L147" s="12"/>
      <c r="M147" s="12"/>
    </row>
    <row r="148" spans="3:13">
      <c r="C148" s="12"/>
      <c r="D148" s="3592" t="s">
        <v>2634</v>
      </c>
      <c r="E148" s="1440"/>
      <c r="F148" s="1440"/>
      <c r="G148" s="3604">
        <f>5.61+6.96</f>
        <v>12.57</v>
      </c>
      <c r="H148" s="3604">
        <f t="shared" si="45"/>
        <v>46.131900000000002</v>
      </c>
      <c r="I148" s="12"/>
      <c r="J148" s="12"/>
      <c r="K148" s="12"/>
      <c r="L148" s="12"/>
      <c r="M148" s="12"/>
    </row>
    <row r="149" spans="3:13">
      <c r="C149" s="12"/>
      <c r="D149" s="3592" t="s">
        <v>2635</v>
      </c>
      <c r="E149" s="1440"/>
      <c r="F149" s="1440"/>
      <c r="G149" s="3604">
        <f>5.03+6.24</f>
        <v>11.27</v>
      </c>
      <c r="H149" s="3604">
        <f t="shared" si="45"/>
        <v>41.360900000000001</v>
      </c>
      <c r="I149" s="12"/>
      <c r="J149" s="12"/>
      <c r="K149" s="12"/>
      <c r="L149" s="12"/>
      <c r="M149" s="12"/>
    </row>
    <row r="150" spans="3:13">
      <c r="C150" s="12"/>
      <c r="D150" s="3592" t="s">
        <v>2636</v>
      </c>
      <c r="E150" s="1440"/>
      <c r="F150" s="1440"/>
      <c r="G150" s="3604">
        <f>7.85+9.73</f>
        <v>17.579999999999998</v>
      </c>
      <c r="H150" s="3604">
        <f t="shared" si="45"/>
        <v>64.518599999999992</v>
      </c>
      <c r="I150" s="12"/>
      <c r="J150" s="12"/>
      <c r="K150" s="12"/>
      <c r="L150" s="12"/>
      <c r="M150" s="12"/>
    </row>
    <row r="151" spans="3:13">
      <c r="C151" s="12"/>
      <c r="D151" s="3595" t="s">
        <v>2637</v>
      </c>
      <c r="E151" s="1440"/>
      <c r="F151" s="1440"/>
      <c r="G151" s="3604">
        <f>5.15+6.39</f>
        <v>11.54</v>
      </c>
      <c r="H151" s="3604">
        <f t="shared" si="45"/>
        <v>42.351799999999997</v>
      </c>
      <c r="I151" s="12"/>
      <c r="J151" s="12"/>
      <c r="K151" s="12"/>
      <c r="L151" s="12"/>
      <c r="M151" s="12"/>
    </row>
    <row r="152" spans="3:13">
      <c r="C152" s="12"/>
      <c r="D152" s="3595" t="s">
        <v>2638</v>
      </c>
      <c r="E152" s="1440"/>
      <c r="F152" s="1440"/>
      <c r="G152" s="3604">
        <f>2.54+3.15</f>
        <v>5.6899999999999995</v>
      </c>
      <c r="H152" s="3604">
        <f t="shared" si="45"/>
        <v>20.882299999999997</v>
      </c>
      <c r="I152" s="12"/>
      <c r="J152" s="12"/>
      <c r="K152" s="12"/>
      <c r="L152" s="12"/>
      <c r="M152" s="12"/>
    </row>
    <row r="153" spans="3:13">
      <c r="C153" s="12"/>
      <c r="D153" s="3595" t="s">
        <v>2639</v>
      </c>
      <c r="E153" s="1440"/>
      <c r="F153" s="1440"/>
      <c r="G153" s="3604">
        <f>5.71+7.08</f>
        <v>12.79</v>
      </c>
      <c r="H153" s="3604">
        <f t="shared" si="45"/>
        <v>46.939299999999996</v>
      </c>
      <c r="I153" s="12"/>
      <c r="J153" s="12"/>
      <c r="K153" s="12"/>
      <c r="L153" s="12"/>
      <c r="M153" s="12"/>
    </row>
    <row r="154" spans="3:13">
      <c r="C154" s="12"/>
      <c r="D154" s="3605" t="s">
        <v>2640</v>
      </c>
      <c r="E154" s="3606"/>
      <c r="F154" s="3606"/>
      <c r="G154" s="3607">
        <f>5.5+6.83</f>
        <v>12.33</v>
      </c>
      <c r="H154" s="3607">
        <f t="shared" si="45"/>
        <v>45.251100000000001</v>
      </c>
      <c r="I154" s="12"/>
      <c r="J154" s="12"/>
      <c r="K154" s="12"/>
      <c r="L154" s="12"/>
      <c r="M154" s="12"/>
    </row>
    <row r="155" spans="3:13">
      <c r="C155" s="12"/>
      <c r="D155" s="3051"/>
      <c r="E155" s="3051"/>
      <c r="F155" s="3051"/>
      <c r="G155" s="3052"/>
      <c r="H155" s="12"/>
      <c r="I155" s="12"/>
      <c r="J155" s="12"/>
      <c r="K155" s="12"/>
      <c r="L155" s="12"/>
      <c r="M155" s="12"/>
    </row>
    <row r="156" spans="3:13">
      <c r="C156" s="12"/>
      <c r="D156" s="3051"/>
      <c r="E156" s="3051"/>
      <c r="F156" s="3051"/>
      <c r="G156" s="3051"/>
      <c r="H156" s="3051"/>
      <c r="I156" s="3051"/>
      <c r="J156" s="3051"/>
      <c r="K156" s="3051"/>
      <c r="L156" s="3051"/>
      <c r="M156" s="3051"/>
    </row>
    <row r="157" spans="3:13">
      <c r="C157" s="12"/>
      <c r="D157" s="3051"/>
      <c r="E157" s="3051"/>
      <c r="F157" s="3051"/>
      <c r="G157" s="3051"/>
      <c r="H157" s="3051"/>
      <c r="I157" s="3051"/>
      <c r="J157" s="3051"/>
      <c r="K157" s="3051"/>
      <c r="L157" s="3051"/>
      <c r="M157" s="3051"/>
    </row>
    <row r="158" spans="3:13" ht="15.75">
      <c r="C158" s="12"/>
      <c r="D158" s="180" t="s">
        <v>2645</v>
      </c>
      <c r="E158" s="867"/>
      <c r="F158" s="867"/>
      <c r="G158" s="867"/>
      <c r="H158" s="867"/>
      <c r="I158" s="867"/>
      <c r="J158" s="867"/>
      <c r="K158" s="867"/>
      <c r="L158" s="867"/>
      <c r="M158" s="3051"/>
    </row>
    <row r="159" spans="3:13">
      <c r="C159" s="12"/>
      <c r="D159" s="12"/>
      <c r="E159" s="12"/>
      <c r="F159" s="12"/>
      <c r="G159" s="12"/>
      <c r="H159" s="12"/>
      <c r="I159" s="12"/>
      <c r="J159" s="12"/>
      <c r="K159" s="12"/>
      <c r="L159" s="12"/>
      <c r="M159" s="3051"/>
    </row>
    <row r="160" spans="3:13">
      <c r="C160" s="12"/>
      <c r="D160" s="1430"/>
      <c r="E160" s="1430"/>
      <c r="F160" s="1430"/>
      <c r="G160" s="1430"/>
      <c r="H160" s="3152"/>
      <c r="I160" s="12"/>
      <c r="J160" s="12"/>
      <c r="K160" s="12"/>
      <c r="L160" s="12"/>
      <c r="M160" s="3051"/>
    </row>
    <row r="161" spans="3:13" ht="25.5">
      <c r="C161" s="12"/>
      <c r="D161" s="1436" t="s">
        <v>869</v>
      </c>
      <c r="E161" s="1439"/>
      <c r="F161" s="3153" t="s">
        <v>2646</v>
      </c>
      <c r="G161" s="3154" t="s">
        <v>2647</v>
      </c>
      <c r="H161" s="3154" t="s">
        <v>2648</v>
      </c>
      <c r="I161" s="12"/>
      <c r="J161" s="12"/>
      <c r="K161" s="12"/>
      <c r="L161" s="12"/>
      <c r="M161" s="3051"/>
    </row>
    <row r="162" spans="3:13">
      <c r="C162" s="12"/>
      <c r="D162" s="3155" t="s">
        <v>2649</v>
      </c>
      <c r="E162" s="3156"/>
      <c r="F162" s="3608">
        <v>0.2</v>
      </c>
      <c r="G162" s="3608">
        <v>0.3</v>
      </c>
      <c r="H162" s="3608">
        <v>0.5</v>
      </c>
      <c r="I162" s="516"/>
      <c r="J162" s="12"/>
      <c r="K162" s="12"/>
      <c r="L162" s="12"/>
      <c r="M162" s="3051"/>
    </row>
    <row r="163" spans="3:13">
      <c r="C163" s="12"/>
      <c r="D163" s="3051"/>
      <c r="E163" s="3051"/>
      <c r="F163" s="3051"/>
      <c r="G163" s="3051"/>
      <c r="H163" s="3051"/>
      <c r="I163" s="3051"/>
      <c r="J163" s="3051"/>
      <c r="K163" s="3051"/>
      <c r="L163" s="3051"/>
      <c r="M163" s="3051"/>
    </row>
    <row r="164" spans="3:13">
      <c r="C164" s="12"/>
      <c r="D164" s="3051"/>
      <c r="E164" s="3051"/>
      <c r="F164" s="3051"/>
      <c r="G164" s="3051"/>
      <c r="H164" s="3051"/>
      <c r="I164" s="3051"/>
      <c r="J164" s="3051"/>
      <c r="K164" s="3051"/>
      <c r="L164" s="3051"/>
      <c r="M164" s="3051"/>
    </row>
    <row r="165" spans="3:13">
      <c r="C165" s="12"/>
      <c r="D165" s="12"/>
      <c r="E165" s="12"/>
      <c r="F165" s="12"/>
      <c r="G165" s="12"/>
      <c r="H165" s="12"/>
      <c r="I165" s="12"/>
      <c r="J165" s="12"/>
      <c r="K165" s="12"/>
      <c r="L165" s="12"/>
      <c r="M165" s="12"/>
    </row>
    <row r="167" spans="3:13" ht="18.75">
      <c r="C167" s="956" t="s">
        <v>51</v>
      </c>
      <c r="D167" s="336"/>
      <c r="E167" s="908"/>
      <c r="F167" s="908"/>
      <c r="G167" s="908"/>
      <c r="H167" s="908"/>
      <c r="I167" s="908"/>
      <c r="J167" s="908"/>
      <c r="K167" s="908"/>
      <c r="L167" s="908"/>
      <c r="M167" s="336"/>
    </row>
    <row r="168" spans="3:13" ht="15.75">
      <c r="C168" s="25"/>
      <c r="D168" s="19"/>
      <c r="E168" s="754"/>
      <c r="F168" s="754"/>
      <c r="G168" s="754"/>
      <c r="H168" s="754"/>
      <c r="I168" s="754"/>
      <c r="J168" s="754"/>
      <c r="K168" s="754"/>
      <c r="L168" s="754"/>
      <c r="M168" s="40"/>
    </row>
    <row r="169" spans="3:13" ht="15.75">
      <c r="C169" s="25"/>
      <c r="D169" s="19"/>
      <c r="E169" s="754"/>
      <c r="F169" s="754"/>
      <c r="G169" s="754"/>
      <c r="H169" s="754"/>
      <c r="I169" s="754"/>
      <c r="J169" s="754"/>
      <c r="K169" s="754"/>
      <c r="L169" s="754"/>
      <c r="M169" s="40"/>
    </row>
    <row r="170" spans="3:13">
      <c r="C170" s="12"/>
      <c r="D170" s="12"/>
      <c r="E170" s="12"/>
      <c r="F170" s="12"/>
      <c r="G170" s="12"/>
      <c r="H170" s="12"/>
      <c r="I170" s="12"/>
      <c r="J170" s="12"/>
      <c r="K170" s="12"/>
      <c r="L170" s="12"/>
      <c r="M170" s="12"/>
    </row>
    <row r="171" spans="3:13" ht="15.75">
      <c r="C171" s="12"/>
      <c r="D171" s="180" t="s">
        <v>2650</v>
      </c>
      <c r="E171" s="867"/>
      <c r="F171" s="867"/>
      <c r="G171" s="867"/>
      <c r="H171" s="867"/>
      <c r="I171" s="867"/>
      <c r="J171" s="867"/>
      <c r="K171" s="867"/>
      <c r="L171" s="867"/>
      <c r="M171" s="12"/>
    </row>
    <row r="172" spans="3:13">
      <c r="C172" s="12"/>
      <c r="D172" s="12"/>
      <c r="E172" s="12"/>
      <c r="F172" s="12"/>
      <c r="G172" s="12"/>
      <c r="H172" s="12"/>
      <c r="I172" s="12"/>
      <c r="J172" s="12"/>
      <c r="K172" s="12"/>
      <c r="L172" s="12"/>
      <c r="M172" s="12"/>
    </row>
    <row r="173" spans="3:13">
      <c r="C173" s="12"/>
      <c r="D173" s="1442" t="s">
        <v>2651</v>
      </c>
      <c r="E173" s="1443"/>
      <c r="F173" s="1443"/>
      <c r="G173" s="1444"/>
      <c r="H173" s="1444"/>
      <c r="I173" s="1445"/>
      <c r="J173" s="1445"/>
      <c r="K173" s="1445"/>
      <c r="L173" s="183" t="s">
        <v>803</v>
      </c>
      <c r="M173" s="12"/>
    </row>
    <row r="174" spans="3:13">
      <c r="C174" s="12"/>
      <c r="D174" s="1446" t="s">
        <v>869</v>
      </c>
      <c r="E174" s="1447">
        <v>2018</v>
      </c>
      <c r="F174" s="1448">
        <v>2020</v>
      </c>
      <c r="G174" s="1448">
        <v>2025</v>
      </c>
      <c r="H174" s="1448">
        <v>2030</v>
      </c>
      <c r="I174" s="1448">
        <v>2035</v>
      </c>
      <c r="J174" s="1448">
        <v>2040</v>
      </c>
      <c r="K174" s="1448">
        <v>2045</v>
      </c>
      <c r="L174" s="1448">
        <v>2050</v>
      </c>
      <c r="M174" s="12"/>
    </row>
    <row r="175" spans="3:13">
      <c r="C175" s="12"/>
      <c r="D175" s="30" t="s">
        <v>2652</v>
      </c>
      <c r="E175" s="2857">
        <f>E213*(DGEN_SupuestosCostos!F398+DGEN_SupuestosCostos!F399)*((1+DGEN_SupuestosCostos!G398)^(E209-E209))*COSTOS_2019_US_dolares_MMCOP</f>
        <v>15689.63101939186</v>
      </c>
      <c r="F175" s="2857">
        <f>(F213-E213)*(DGEN_SupuestosCostos!$F$398+DGEN_SupuestosCostos!$F$399)*((1+DGEN_SupuestosCostos!G398)^(F209-$E$209))*COSTOS_Pesos_Colombianos_COP_MMCOP</f>
        <v>0.63423641901245342</v>
      </c>
      <c r="G175" s="2857">
        <f>(G213-F213)*(DGEN_SupuestosCostos!$F$398+DGEN_SupuestosCostos!$F$399)*((1+DGEN_SupuestosCostos!H398)^(G209-$E$209))*COSTOS_Pesos_Colombianos_COP_MMCOP</f>
        <v>0.64928153835491054</v>
      </c>
      <c r="H175" s="2857">
        <f>(H213-G213)*(DGEN_SupuestosCostos!$F$398+DGEN_SupuestosCostos!$F$399)*((1+DGEN_SupuestosCostos!I398)^(H209-$E$209))*COSTOS_Pesos_Colombianos_COP_MMCOP</f>
        <v>0.59640858281918863</v>
      </c>
      <c r="I175" s="2857">
        <f>(I213-H213)*(DGEN_SupuestosCostos!$F$398+DGEN_SupuestosCostos!$F$399)*((1+DGEN_SupuestosCostos!J398)^(I209-$E$209))*COSTOS_Pesos_Colombianos_COP_MMCOP</f>
        <v>0.88129156518486396</v>
      </c>
      <c r="J175" s="2857">
        <f>(J213-I213)*(DGEN_SupuestosCostos!$F$398+DGEN_SupuestosCostos!$F$399)*((1+DGEN_SupuestosCostos!K398)^(J209-$E$209))*COSTOS_Pesos_Colombianos_COP_MMCOP</f>
        <v>0.85289362952357906</v>
      </c>
      <c r="K175" s="2857">
        <f>(K213-J213)*(DGEN_SupuestosCostos!$F$398+DGEN_SupuestosCostos!$F$399)*((1+DGEN_SupuestosCostos!L398)^(K209-$E$209))*COSTOS_Pesos_Colombianos_COP_MMCOP</f>
        <v>0.85289362952358039</v>
      </c>
      <c r="L175" s="2857">
        <f>(L213-K213)*(DGEN_SupuestosCostos!$F$398+DGEN_SupuestosCostos!$F$399)*((1+DGEN_SupuestosCostos!M398)^(L209-$E$209))*COSTOS_Pesos_Colombianos_COP_MMCOP</f>
        <v>0.85289362952358161</v>
      </c>
      <c r="M175" s="12"/>
    </row>
    <row r="176" spans="3:13">
      <c r="C176" s="12"/>
      <c r="D176" s="2827" t="s">
        <v>2653</v>
      </c>
      <c r="E176" s="2857">
        <f>E213*(DGEN_SupuestosCostos!F401+DGEN_SupuestosCostos!G401)*((1+DGEN_SupuestosCostos!G401)^(E209-E209))*COSTOS_2019_US_dolares_MMCOP</f>
        <v>221.32474995094205</v>
      </c>
      <c r="F176" s="2857">
        <f>(F213-E213)*(DGEN_SupuestosCostos!$F$401+DGEN_SupuestosCostos!$F$402)*((1+DGEN_SupuestosCostos!G399)^(F209-$E$209))*COSTOS_Pesos_Colombianos_COP_MMCOP</f>
        <v>3.6979734159650668E-2</v>
      </c>
      <c r="G176" s="2857">
        <f>(G213-F213)*(DGEN_SupuestosCostos!$F$401+DGEN_SupuestosCostos!$F$402)*((1+DGEN_SupuestosCostos!H399)^(G209-$E$209))*COSTOS_Pesos_Colombianos_COP_MMCOP</f>
        <v>3.7856953595504859E-2</v>
      </c>
      <c r="H176" s="2857">
        <f>(H213-G213)*(DGEN_SupuestosCostos!$F$401+DGEN_SupuestosCostos!$F$402)*((1+DGEN_SupuestosCostos!I399)^(H209-$E$209))*COSTOS_Pesos_Colombianos_COP_MMCOP</f>
        <v>3.4774147592357883E-2</v>
      </c>
      <c r="I176" s="2857">
        <f>(I213-H213)*(DGEN_SupuestosCostos!$F$401+DGEN_SupuestosCostos!$F$402)*((1+DGEN_SupuestosCostos!J399)^(I209-$E$209))*COSTOS_Pesos_Colombianos_COP_MMCOP</f>
        <v>5.1384510287856559E-2</v>
      </c>
      <c r="J176" s="2857">
        <f>(J213-I213)*(DGEN_SupuestosCostos!$F$401+DGEN_SupuestosCostos!$F$402)*((1+DGEN_SupuestosCostos!K399)^(J209-$E$209))*COSTOS_Pesos_Colombianos_COP_MMCOP</f>
        <v>4.9728742690858078E-2</v>
      </c>
      <c r="K176" s="2857">
        <f>(K213-J213)*(DGEN_SupuestosCostos!$F$401+DGEN_SupuestosCostos!$F$402)*((1+DGEN_SupuestosCostos!L399)^(K209-$E$209))*COSTOS_Pesos_Colombianos_COP_MMCOP</f>
        <v>4.9728742690858141E-2</v>
      </c>
      <c r="L176" s="2857">
        <f>(L213-K213)*(DGEN_SupuestosCostos!$F$401+DGEN_SupuestosCostos!$F$402)*((1+DGEN_SupuestosCostos!M399)^(L209-$E$209))*COSTOS_Pesos_Colombianos_COP_MMCOP</f>
        <v>4.9728742690858217E-2</v>
      </c>
      <c r="M176" s="12"/>
    </row>
    <row r="177" spans="3:13">
      <c r="C177" s="12"/>
      <c r="D177" s="2829" t="s">
        <v>2654</v>
      </c>
      <c r="E177" s="2858">
        <f>SUM(E175:E176)</f>
        <v>15910.955769342801</v>
      </c>
      <c r="F177" s="2858">
        <f t="shared" ref="F177:L177" si="46">SUM(F175:F176)</f>
        <v>0.67121615317210415</v>
      </c>
      <c r="G177" s="2858">
        <f t="shared" si="46"/>
        <v>0.68713849195041543</v>
      </c>
      <c r="H177" s="2858">
        <f t="shared" si="46"/>
        <v>0.63118273041154649</v>
      </c>
      <c r="I177" s="2858">
        <f t="shared" si="46"/>
        <v>0.93267607547272047</v>
      </c>
      <c r="J177" s="2858">
        <f t="shared" si="46"/>
        <v>0.90262237221443709</v>
      </c>
      <c r="K177" s="2858">
        <f t="shared" si="46"/>
        <v>0.90262237221443853</v>
      </c>
      <c r="L177" s="2858">
        <f t="shared" si="46"/>
        <v>0.90262237221443986</v>
      </c>
      <c r="M177" s="12"/>
    </row>
    <row r="178" spans="3:13">
      <c r="C178" s="12"/>
      <c r="D178" s="1452"/>
      <c r="E178" s="2831"/>
      <c r="F178" s="2832"/>
      <c r="G178" s="2832"/>
      <c r="H178" s="2832"/>
      <c r="I178" s="2832"/>
      <c r="J178" s="2832"/>
      <c r="K178" s="2832"/>
      <c r="L178" s="2832"/>
      <c r="M178" s="12"/>
    </row>
    <row r="179" spans="3:13">
      <c r="C179" s="12"/>
      <c r="D179" s="30" t="s">
        <v>2655</v>
      </c>
      <c r="E179" s="2857">
        <f>E213*(DGEN_SupuestosCostos!F407+DGEN_SupuestosCostos!F408)*((1+DGEN_SupuestosCostos!G407)^(E209-E209))*COSTOS_2019_US_dolares_MMCOP</f>
        <v>5138.4170280430126</v>
      </c>
      <c r="F179" s="2857">
        <f>(F213)*(DGEN_SupuestosCostos!$F$407+DGEN_SupuestosCostos!$F$408)*((1+DGEN_SupuestosCostos!G407)^(F209-$E$209))*COSTOS_Pesos_Colombianos_COP_MMCOP</f>
        <v>1.9457628940298914</v>
      </c>
      <c r="G179" s="2857">
        <f>(G213)*(DGEN_SupuestosCostos!$F$407+DGEN_SupuestosCostos!$F$408)*((1+DGEN_SupuestosCostos!H407)^(G209-$E$209))*COSTOS_Pesos_Colombianos_COP_MMCOP</f>
        <v>2.0657081520195093</v>
      </c>
      <c r="H179" s="2857">
        <f>(H213)*(DGEN_SupuestosCostos!$F$407+DGEN_SupuestosCostos!$F$408)*((1+DGEN_SupuestosCostos!I407)^(H209-$E$209))*COSTOS_Pesos_Colombianos_COP_MMCOP</f>
        <v>2.0928175025394298</v>
      </c>
      <c r="I179" s="2857">
        <f>(I213)*(DGEN_SupuestosCostos!$F$407+DGEN_SupuestosCostos!$F$408)*((1+DGEN_SupuestosCostos!J407)^(I209-$E$209))*COSTOS_Pesos_Colombianos_COP_MMCOP</f>
        <v>2.6809482965570774</v>
      </c>
      <c r="J179" s="2857">
        <f>(J213)*(DGEN_SupuestosCostos!$F$407+DGEN_SupuestosCostos!$F$408)*((1+DGEN_SupuestosCostos!K407)^(J209-$E$209))*COSTOS_Pesos_Colombianos_COP_MMCOP</f>
        <v>2.9602743778165226</v>
      </c>
      <c r="K179" s="2857">
        <f>(K213)*(DGEN_SupuestosCostos!$F$407+DGEN_SupuestosCostos!$F$408)*((1+DGEN_SupuestosCostos!L407)^(K209-$E$209))*COSTOS_Pesos_Colombianos_COP_MMCOP</f>
        <v>3.2396004590759691</v>
      </c>
      <c r="L179" s="2857">
        <f>(L213)*(DGEN_SupuestosCostos!$F$407+DGEN_SupuestosCostos!$F$408)*((1+DGEN_SupuestosCostos!M407)^(L209-$E$209))*COSTOS_Pesos_Colombianos_COP_MMCOP</f>
        <v>3.5189265403354151</v>
      </c>
      <c r="M179" s="12"/>
    </row>
    <row r="180" spans="3:13">
      <c r="C180" s="12"/>
      <c r="D180" s="2827" t="s">
        <v>2656</v>
      </c>
      <c r="E180" s="2857">
        <f>E213*(DGEN_SupuestosCostos!F407+DGEN_SupuestosCostos!F408)*((1+DGEN_SupuestosCostos!G407)^(E209-E209))*COSTOS_2019_US_dolares_MMCOP</f>
        <v>5138.4170280430126</v>
      </c>
      <c r="F180" s="2857">
        <f>(F213)*(DGEN_SupuestosCostos!$F$410+DGEN_SupuestosCostos!$F$411)*((1+DGEN_SupuestosCostos!G410)^(F209-$E$209))*COSTOS_Pesos_Colombianos_COP_MMCOP</f>
        <v>3.8567654642889929E-2</v>
      </c>
      <c r="G180" s="2857">
        <f>(G213)*(DGEN_SupuestosCostos!$F$410+DGEN_SupuestosCostos!$F$411)*((1+DGEN_SupuestosCostos!H410)^(G209-$E$209))*COSTOS_Pesos_Colombianos_COP_MMCOP</f>
        <v>4.0945132032550166E-2</v>
      </c>
      <c r="H180" s="2857">
        <f>(H213)*(DGEN_SupuestosCostos!$F$410+DGEN_SupuestosCostos!$F$411)*((1+DGEN_SupuestosCostos!I410)^(H209-$E$209))*COSTOS_Pesos_Colombianos_COP_MMCOP</f>
        <v>4.1482476059231596E-2</v>
      </c>
      <c r="I180" s="2857">
        <f>(I213)*(DGEN_SupuestosCostos!$F$410+DGEN_SupuestosCostos!$F$411)*((1+DGEN_SupuestosCostos!J410)^(I209-$E$209))*COSTOS_Pesos_Colombianos_COP_MMCOP</f>
        <v>5.3140024580748832E-2</v>
      </c>
      <c r="J180" s="2857">
        <f>(J213)*(DGEN_SupuestosCostos!$F$410+DGEN_SupuestosCostos!$F$411)*((1+DGEN_SupuestosCostos!K410)^(J209-$E$209))*COSTOS_Pesos_Colombianos_COP_MMCOP</f>
        <v>5.8676645649955325E-2</v>
      </c>
      <c r="K180" s="2857">
        <f>(K213)*(DGEN_SupuestosCostos!$F$410+DGEN_SupuestosCostos!$F$411)*((1+DGEN_SupuestosCostos!L410)^(K209-$E$209))*COSTOS_Pesos_Colombianos_COP_MMCOP</f>
        <v>6.4213266719161832E-2</v>
      </c>
      <c r="L180" s="2857">
        <f>(L213)*(DGEN_SupuestosCostos!$F$410+DGEN_SupuestosCostos!$F$411)*((1+DGEN_SupuestosCostos!M410)^(L209-$E$209))*COSTOS_Pesos_Colombianos_COP_MMCOP</f>
        <v>6.9749887788368353E-2</v>
      </c>
      <c r="M180" s="12"/>
    </row>
    <row r="181" spans="3:13">
      <c r="C181" s="12"/>
      <c r="D181" s="2829" t="s">
        <v>2657</v>
      </c>
      <c r="E181" s="2858">
        <f>SUM(E179:E180)</f>
        <v>10276.834056086025</v>
      </c>
      <c r="F181" s="2858">
        <f t="shared" ref="F181:L181" si="47">SUM(F179:F180)</f>
        <v>1.9843305486727814</v>
      </c>
      <c r="G181" s="2858">
        <f t="shared" si="47"/>
        <v>2.1066532840520593</v>
      </c>
      <c r="H181" s="2858">
        <f t="shared" si="47"/>
        <v>2.1342999785986612</v>
      </c>
      <c r="I181" s="2858">
        <f t="shared" si="47"/>
        <v>2.7340883211378264</v>
      </c>
      <c r="J181" s="2858">
        <f t="shared" si="47"/>
        <v>3.018951023466478</v>
      </c>
      <c r="K181" s="2858">
        <f t="shared" si="47"/>
        <v>3.303813725795131</v>
      </c>
      <c r="L181" s="2858">
        <f t="shared" si="47"/>
        <v>3.5886764281237835</v>
      </c>
      <c r="M181" s="12"/>
    </row>
    <row r="182" spans="3:13">
      <c r="C182" s="12"/>
      <c r="D182" s="346"/>
      <c r="E182" s="1449"/>
      <c r="F182" s="1450"/>
      <c r="G182" s="1450"/>
      <c r="H182" s="1450"/>
      <c r="I182" s="1450"/>
      <c r="J182" s="1450"/>
      <c r="K182" s="1450"/>
      <c r="L182" s="1450"/>
      <c r="M182" s="12"/>
    </row>
    <row r="183" spans="3:13">
      <c r="C183" s="12"/>
      <c r="D183" s="1442" t="s">
        <v>2658</v>
      </c>
      <c r="E183" s="1451"/>
      <c r="F183" s="1445"/>
      <c r="G183" s="1445"/>
      <c r="H183" s="1445"/>
      <c r="I183" s="130"/>
      <c r="J183" s="1443"/>
      <c r="K183" s="1443"/>
      <c r="L183" s="183" t="s">
        <v>803</v>
      </c>
      <c r="M183" s="12"/>
    </row>
    <row r="184" spans="3:13">
      <c r="C184" s="12"/>
      <c r="D184" s="1446" t="s">
        <v>869</v>
      </c>
      <c r="E184" s="1447">
        <v>2018</v>
      </c>
      <c r="F184" s="1448">
        <v>2020</v>
      </c>
      <c r="G184" s="1448">
        <v>2025</v>
      </c>
      <c r="H184" s="1448">
        <v>2030</v>
      </c>
      <c r="I184" s="1448">
        <v>2035</v>
      </c>
      <c r="J184" s="1448">
        <v>2040</v>
      </c>
      <c r="K184" s="1448">
        <v>2045</v>
      </c>
      <c r="L184" s="1448">
        <v>2050</v>
      </c>
      <c r="M184" s="12"/>
    </row>
    <row r="185" spans="3:13">
      <c r="C185" s="12"/>
      <c r="D185" s="30" t="s">
        <v>2652</v>
      </c>
      <c r="E185" s="2834">
        <f>E213*(DGEN_SupuestosCostos!F398+DGEN_SupuestosCostos!F399)*((1+DGEN_SupuestosCostos!H398)^(E209-E209))*COSTOS_2019_US_dolares_MMCOP</f>
        <v>15689.63101939186</v>
      </c>
      <c r="F185" s="2834">
        <f>(F213-E213)*(DGEN_SupuestosCostos!$F$398+DGEN_SupuestosCostos!$F$399)*((1+DGEN_SupuestosCostos!H398)^(F209-$E$209))*COSTOS_Pesos_Colombianos_COP_MMCOP</f>
        <v>0.62545245361997404</v>
      </c>
      <c r="G185" s="2834">
        <f>(G213-F213)*(DGEN_SupuestosCostos!$F$398+DGEN_SupuestosCostos!$F$399)*((1+DGEN_SupuestosCostos!I398)^(G209-$E$209))*COSTOS_Pesos_Colombianos_COP_MMCOP</f>
        <v>0.63059034351415355</v>
      </c>
      <c r="H185" s="2834">
        <f>(H213-G213)*(DGEN_SupuestosCostos!$F$398+DGEN_SupuestosCostos!$F$399)*((1+DGEN_SupuestosCostos!J398)^(H209-$E$209))*COSTOS_Pesos_Colombianos_COP_MMCOP</f>
        <v>0.68176094632265116</v>
      </c>
      <c r="I185" s="2834">
        <f>(I213-H213)*(DGEN_SupuestosCostos!$F$398+DGEN_SupuestosCostos!$F$399)*((1+DGEN_SupuestosCostos!K398)^(I209-$E$209))*COSTOS_Pesos_Colombianos_COP_MMCOP</f>
        <v>0.88129156518486396</v>
      </c>
      <c r="J185" s="2834">
        <f>(J213-I213)*(DGEN_SupuestosCostos!$F$398+DGEN_SupuestosCostos!$F$399)*((1+DGEN_SupuestosCostos!L398)^(J209-$E$209))*COSTOS_Pesos_Colombianos_COP_MMCOP</f>
        <v>0.85289362952357906</v>
      </c>
      <c r="K185" s="2834">
        <f>(K213-J213)*(DGEN_SupuestosCostos!$F$398+DGEN_SupuestosCostos!$F$399)*((1+DGEN_SupuestosCostos!M398)^(K209-$E$209))*COSTOS_Pesos_Colombianos_COP_MMCOP</f>
        <v>0.85289362952358039</v>
      </c>
      <c r="L185" s="2834">
        <f>(L213-K213)*(DGEN_SupuestosCostos!$F$398+DGEN_SupuestosCostos!$F$399)*((1+DGEN_SupuestosCostos!N398)^(L209-$E$209))*COSTOS_Pesos_Colombianos_COP_MMCOP</f>
        <v>0.85289362952358161</v>
      </c>
      <c r="M185" s="12"/>
    </row>
    <row r="186" spans="3:13">
      <c r="C186" s="12"/>
      <c r="D186" s="2827" t="s">
        <v>2653</v>
      </c>
      <c r="E186" s="2834">
        <f>E213*(DGEN_SupuestosCostos!F401+DGEN_SupuestosCostos!F402)*((1+DGEN_SupuestosCostos!H401)^(E209-E209))*COSTOS_2019_US_dolares_MMCOP</f>
        <v>914.79827831950411</v>
      </c>
      <c r="F186" s="2834">
        <f>(F213-E213)*(DGEN_SupuestosCostos!$F$401+DGEN_SupuestosCostos!$F$402)*((1+DGEN_SupuestosCostos!H401)^(F209-$E$209))*COSTOS_Pesos_Colombianos_COP_MMCOP</f>
        <v>3.6467577028107774E-2</v>
      </c>
      <c r="G186" s="2834">
        <f>(G213-F213)*(DGEN_SupuestosCostos!$F$401+DGEN_SupuestosCostos!$F$402)*((1+DGEN_SupuestosCostos!I401)^(G209-$E$209))*COSTOS_Pesos_Colombianos_COP_MMCOP</f>
        <v>3.6767146394881371E-2</v>
      </c>
      <c r="H186" s="2834">
        <f>(H213-G213)*(DGEN_SupuestosCostos!$F$401+DGEN_SupuestosCostos!$F$402)*((1+DGEN_SupuestosCostos!J401)^(H209-$E$209))*COSTOS_Pesos_Colombianos_COP_MMCOP</f>
        <v>3.9750695166164023E-2</v>
      </c>
      <c r="I186" s="2834">
        <f>(I213-H213)*(DGEN_SupuestosCostos!$F$401+DGEN_SupuestosCostos!$F$402)*((1+DGEN_SupuestosCostos!K401)^(I209-$E$209))*COSTOS_Pesos_Colombianos_COP_MMCOP</f>
        <v>5.1384510287856559E-2</v>
      </c>
      <c r="J186" s="2834">
        <f>(J213-I213)*(DGEN_SupuestosCostos!$F$401+DGEN_SupuestosCostos!$F$402)*((1+DGEN_SupuestosCostos!L401)^(J209-$E$209))*COSTOS_Pesos_Colombianos_COP_MMCOP</f>
        <v>4.9728742690858078E-2</v>
      </c>
      <c r="K186" s="2834">
        <f>(K213-J213)*(DGEN_SupuestosCostos!$F$401+DGEN_SupuestosCostos!$F$402)*((1+DGEN_SupuestosCostos!M401)^(K209-$E$209))*COSTOS_Pesos_Colombianos_COP_MMCOP</f>
        <v>4.9728742690858141E-2</v>
      </c>
      <c r="L186" s="2834">
        <f>(L213-K213)*(DGEN_SupuestosCostos!$F$401+DGEN_SupuestosCostos!$F$402)*((1+DGEN_SupuestosCostos!N401)^(L209-$E$209))*COSTOS_Pesos_Colombianos_COP_MMCOP</f>
        <v>4.9728742690858217E-2</v>
      </c>
      <c r="M186" s="12"/>
    </row>
    <row r="187" spans="3:13">
      <c r="C187" s="12"/>
      <c r="D187" s="2829" t="s">
        <v>2654</v>
      </c>
      <c r="E187" s="2835">
        <f>SUM(E185:E186)</f>
        <v>16604.429297711366</v>
      </c>
      <c r="F187" s="2835">
        <f t="shared" ref="F187:L187" si="48">SUM(F185:F186)</f>
        <v>0.6619200306480818</v>
      </c>
      <c r="G187" s="2835">
        <f t="shared" si="48"/>
        <v>0.66735748990903487</v>
      </c>
      <c r="H187" s="2835">
        <f t="shared" si="48"/>
        <v>0.72151164148881519</v>
      </c>
      <c r="I187" s="2835">
        <f t="shared" si="48"/>
        <v>0.93267607547272047</v>
      </c>
      <c r="J187" s="2835">
        <f t="shared" si="48"/>
        <v>0.90262237221443709</v>
      </c>
      <c r="K187" s="2835">
        <f t="shared" si="48"/>
        <v>0.90262237221443853</v>
      </c>
      <c r="L187" s="2835">
        <f t="shared" si="48"/>
        <v>0.90262237221443986</v>
      </c>
      <c r="M187" s="12"/>
    </row>
    <row r="188" spans="3:13">
      <c r="C188" s="12"/>
      <c r="D188" s="1452"/>
      <c r="E188" s="2831"/>
      <c r="F188" s="2832"/>
      <c r="G188" s="2832"/>
      <c r="H188" s="2832"/>
      <c r="I188" s="2832"/>
      <c r="J188" s="2832"/>
      <c r="K188" s="2832"/>
      <c r="L188" s="2832"/>
      <c r="M188" s="12"/>
    </row>
    <row r="189" spans="3:13">
      <c r="C189" s="12"/>
      <c r="D189" s="30" t="s">
        <v>2655</v>
      </c>
      <c r="E189" s="2836">
        <f>E213*(DGEN_SupuestosCostos!F407+DGEN_SupuestosCostos!F408)*((1+DGEN_SupuestosCostos!H407)^(E209-E209))*COSTOS_2019_US_dolares_MMCOP</f>
        <v>5138.4170280430126</v>
      </c>
      <c r="F189" s="2836">
        <f>(F213)*(DGEN_SupuestosCostos!$F$407+DGEN_SupuestosCostos!$F$408)*((1+DGEN_SupuestosCostos!H407)^(F209-$E$209))*COSTOS_Pesos_Colombianos_COP_MMCOP</f>
        <v>1.9188147191683127</v>
      </c>
      <c r="G189" s="2836">
        <f>(G213)*(DGEN_SupuestosCostos!$F$407+DGEN_SupuestosCostos!$F$408)*((1+DGEN_SupuestosCostos!I407)^(G209-$E$209))*COSTOS_Pesos_Colombianos_COP_MMCOP</f>
        <v>2.0062415704632794</v>
      </c>
      <c r="H189" s="2836">
        <f>(H213)*(DGEN_SupuestosCostos!$F$407+DGEN_SupuestosCostos!$F$408)*((1+DGEN_SupuestosCostos!J407)^(H209-$E$209))*COSTOS_Pesos_Colombianos_COP_MMCOP</f>
        <v>2.3923217775765111</v>
      </c>
      <c r="I189" s="2836">
        <f>(I213)*(DGEN_SupuestosCostos!$F$407+DGEN_SupuestosCostos!$F$408)*((1+DGEN_SupuestosCostos!K407)^(I209-$E$209))*COSTOS_Pesos_Colombianos_COP_MMCOP</f>
        <v>2.6809482965570774</v>
      </c>
      <c r="J189" s="2836">
        <f>(J213)*(DGEN_SupuestosCostos!$F$407+DGEN_SupuestosCostos!$F$408)*((1+DGEN_SupuestosCostos!L407)^(J209-$E$209))*COSTOS_Pesos_Colombianos_COP_MMCOP</f>
        <v>2.9602743778165226</v>
      </c>
      <c r="K189" s="2836">
        <f>(K213)*(DGEN_SupuestosCostos!$F$407+DGEN_SupuestosCostos!$F$408)*((1+DGEN_SupuestosCostos!M407)^(K209-$E$209))*COSTOS_Pesos_Colombianos_COP_MMCOP</f>
        <v>3.2396004590759691</v>
      </c>
      <c r="L189" s="2836">
        <f>(L213)*(DGEN_SupuestosCostos!$F$407+DGEN_SupuestosCostos!$F$408)*((1+DGEN_SupuestosCostos!N407)^(L209-$E$209))*COSTOS_Pesos_Colombianos_COP_MMCOP</f>
        <v>3.5189265403354151</v>
      </c>
      <c r="M189" s="12"/>
    </row>
    <row r="190" spans="3:13">
      <c r="C190" s="12"/>
      <c r="D190" s="2827" t="s">
        <v>2656</v>
      </c>
      <c r="E190" s="2828">
        <f>E213*(DGEN_SupuestosCostos!F407+DGEN_SupuestosCostos!F408)*((1+DGEN_SupuestosCostos!H407)^(E209-E209))*COSTOS_2019_US_dolares_MMCOP</f>
        <v>5138.4170280430126</v>
      </c>
      <c r="F190" s="2836">
        <f>(F213)*(DGEN_SupuestosCostos!$F$410+DGEN_SupuestosCostos!$F$411)*((1+DGEN_SupuestosCostos!H410)^(F209-$E$209))*COSTOS_Pesos_Colombianos_COP_MMCOP</f>
        <v>3.8033505335948931E-2</v>
      </c>
      <c r="G190" s="2836">
        <f>(G213)*(DGEN_SupuestosCostos!$F$410+DGEN_SupuestosCostos!$F$411)*((1+DGEN_SupuestosCostos!I410)^(G209-$E$209))*COSTOS_Pesos_Colombianos_COP_MMCOP</f>
        <v>3.9766423883016148E-2</v>
      </c>
      <c r="H190" s="2836">
        <f>(H213)*(DGEN_SupuestosCostos!$F$410+DGEN_SupuestosCostos!$F$411)*((1+DGEN_SupuestosCostos!J410)^(H209-$E$209))*COSTOS_Pesos_Colombianos_COP_MMCOP</f>
        <v>4.7419056245410138E-2</v>
      </c>
      <c r="I190" s="2836">
        <f>(I213)*(DGEN_SupuestosCostos!$F$410+DGEN_SupuestosCostos!$F$411)*((1+DGEN_SupuestosCostos!K410)^(I209-$E$209))*COSTOS_Pesos_Colombianos_COP_MMCOP</f>
        <v>5.3140024580748832E-2</v>
      </c>
      <c r="J190" s="2836">
        <f>(J213)*(DGEN_SupuestosCostos!$F$410+DGEN_SupuestosCostos!$F$411)*((1+DGEN_SupuestosCostos!L410)^(J209-$E$209))*COSTOS_Pesos_Colombianos_COP_MMCOP</f>
        <v>5.8676645649955325E-2</v>
      </c>
      <c r="K190" s="2836">
        <f>(K213)*(DGEN_SupuestosCostos!$F$410+DGEN_SupuestosCostos!$F$411)*((1+DGEN_SupuestosCostos!M410)^(K209-$E$209))*COSTOS_Pesos_Colombianos_COP_MMCOP</f>
        <v>6.4213266719161832E-2</v>
      </c>
      <c r="L190" s="2836">
        <f>(L213)*(DGEN_SupuestosCostos!$F$410+DGEN_SupuestosCostos!$F$411)*((1+DGEN_SupuestosCostos!N410)^(L209-$E$209))*COSTOS_Pesos_Colombianos_COP_MMCOP</f>
        <v>6.9749887788368353E-2</v>
      </c>
      <c r="M190" s="12"/>
    </row>
    <row r="191" spans="3:13">
      <c r="C191" s="12"/>
      <c r="D191" s="2829" t="s">
        <v>2657</v>
      </c>
      <c r="E191" s="2830">
        <f>SUM(E189:E190)</f>
        <v>10276.834056086025</v>
      </c>
      <c r="F191" s="2830">
        <f t="shared" ref="F191:L191" si="49">SUM(F189:F190)</f>
        <v>1.9568482245042615</v>
      </c>
      <c r="G191" s="2830">
        <f t="shared" si="49"/>
        <v>2.0460079943462954</v>
      </c>
      <c r="H191" s="2830">
        <f t="shared" si="49"/>
        <v>2.4397408338219213</v>
      </c>
      <c r="I191" s="2830">
        <f t="shared" si="49"/>
        <v>2.7340883211378264</v>
      </c>
      <c r="J191" s="2830">
        <f t="shared" si="49"/>
        <v>3.018951023466478</v>
      </c>
      <c r="K191" s="2830">
        <f t="shared" si="49"/>
        <v>3.303813725795131</v>
      </c>
      <c r="L191" s="2830">
        <f t="shared" si="49"/>
        <v>3.5886764281237835</v>
      </c>
      <c r="M191" s="12"/>
    </row>
    <row r="192" spans="3:13">
      <c r="C192" s="12"/>
      <c r="D192" s="1452"/>
      <c r="E192" s="2852"/>
      <c r="F192" s="2852"/>
      <c r="G192" s="2852"/>
      <c r="H192" s="2852"/>
      <c r="I192" s="2852"/>
      <c r="J192" s="2852"/>
      <c r="K192" s="2852"/>
      <c r="L192" s="2852"/>
      <c r="M192" s="12"/>
    </row>
    <row r="193" spans="3:13">
      <c r="C193" s="12"/>
      <c r="D193" s="1442" t="s">
        <v>2659</v>
      </c>
      <c r="E193" s="1451"/>
      <c r="F193" s="2853"/>
      <c r="G193" s="2853"/>
      <c r="H193" s="2853"/>
      <c r="I193" s="2854"/>
      <c r="J193" s="2855"/>
      <c r="K193" s="2855"/>
      <c r="L193" s="2856" t="s">
        <v>803</v>
      </c>
      <c r="M193" s="12"/>
    </row>
    <row r="194" spans="3:13">
      <c r="C194" s="12"/>
      <c r="D194" s="1446" t="s">
        <v>869</v>
      </c>
      <c r="E194" s="1447"/>
      <c r="F194" s="1447"/>
      <c r="G194" s="1447"/>
      <c r="H194" s="1447"/>
      <c r="I194" s="1447"/>
      <c r="J194" s="1447"/>
      <c r="K194" s="1447"/>
      <c r="L194" s="1447"/>
      <c r="M194" s="12"/>
    </row>
    <row r="195" spans="3:13">
      <c r="C195" s="12"/>
      <c r="D195" s="30" t="s">
        <v>2652</v>
      </c>
      <c r="E195" s="2836">
        <f>E213*(DGEN_SupuestosCostos!F398+DGEN_SupuestosCostos!F399)*((1+DGEN_SupuestosCostos!I398)^(E209-E209))*COSTOS_2019_US_dolares_MMCOP</f>
        <v>15689.63101939186</v>
      </c>
      <c r="F195" s="2836">
        <f>(F213-E213)*(DGEN_SupuestosCostos!$F$398+DGEN_SupuestosCostos!$F$399)*((1+DGEN_SupuestosCostos!I398)^(F209-$E$209))*COSTOS_Pesos_Colombianos_COP_MMCOP</f>
        <v>0.62025432874576891</v>
      </c>
      <c r="G195" s="2836">
        <f>(G213-F213)*(DGEN_SupuestosCostos!$F$398+DGEN_SupuestosCostos!$F$399)*((1+DGEN_SupuestosCostos!J398)^(G209-$E$209))*COSTOS_Pesos_Colombianos_COP_MMCOP</f>
        <v>0.68176094632264872</v>
      </c>
      <c r="H195" s="2836">
        <f>(H213-G213)*(DGEN_SupuestosCostos!$F$398+DGEN_SupuestosCostos!$F$399)*((1+DGEN_SupuestosCostos!K398)^(H209-$E$209))*COSTOS_Pesos_Colombianos_COP_MMCOP</f>
        <v>0.68176094632265116</v>
      </c>
      <c r="I195" s="2836">
        <f>(I213-H213)*(DGEN_SupuestosCostos!$F$398+DGEN_SupuestosCostos!$F$399)*((1+DGEN_SupuestosCostos!L398)^(I209-$E$209))*COSTOS_Pesos_Colombianos_COP_MMCOP</f>
        <v>0.88129156518486396</v>
      </c>
      <c r="J195" s="2836">
        <f>(J213-I213)*(DGEN_SupuestosCostos!$F$398+DGEN_SupuestosCostos!$F$399)*((1+DGEN_SupuestosCostos!M398)^(J209-$E$209))*COSTOS_Pesos_Colombianos_COP_MMCOP</f>
        <v>0.85289362952357906</v>
      </c>
      <c r="K195" s="2836">
        <f>(K213-J213)*(DGEN_SupuestosCostos!$F$398+DGEN_SupuestosCostos!$F$399)*((1+DGEN_SupuestosCostos!N398)^(K209-$E$209))*COSTOS_Pesos_Colombianos_COP_MMCOP</f>
        <v>0.85289362952358039</v>
      </c>
      <c r="L195" s="2836">
        <f>(L213-K213)*(DGEN_SupuestosCostos!$F$398+DGEN_SupuestosCostos!$F$399)*((1+DGEN_SupuestosCostos!O398)^(L209-$E$209))*COSTOS_Pesos_Colombianos_COP_MMCOP</f>
        <v>0.85289362952358161</v>
      </c>
      <c r="M195" s="12"/>
    </row>
    <row r="196" spans="3:13">
      <c r="C196" s="12"/>
      <c r="D196" s="2827" t="s">
        <v>2653</v>
      </c>
      <c r="E196" s="2828">
        <f>E213*(DGEN_SupuestosCostos!F401+DGEN_SupuestosCostos!F402)*((1+DGEN_SupuestosCostos!I401)^(E209-E209))*COSTOS_2019_US_dolares_MMCOP</f>
        <v>914.79827831950411</v>
      </c>
      <c r="F196" s="2836">
        <f>(F213-E213)*(DGEN_SupuestosCostos!$F$401+DGEN_SupuestosCostos!$F$402)*((1+DGEN_SupuestosCostos!I401)^(F209-$E$209))*COSTOS_Pesos_Colombianos_COP_MMCOP</f>
        <v>3.616449560576359E-2</v>
      </c>
      <c r="G196" s="2836">
        <f>(G213-F213)*(DGEN_SupuestosCostos!$F$401+DGEN_SupuestosCostos!$F$402)*((1+DGEN_SupuestosCostos!J401)^(G209-$E$209))*COSTOS_Pesos_Colombianos_COP_MMCOP</f>
        <v>3.9750695166163877E-2</v>
      </c>
      <c r="H196" s="2836">
        <f>(H213-G213)*(DGEN_SupuestosCostos!$F$401+DGEN_SupuestosCostos!$F$402)*((1+DGEN_SupuestosCostos!K401)^(H209-$E$209))*COSTOS_Pesos_Colombianos_COP_MMCOP</f>
        <v>3.9750695166164023E-2</v>
      </c>
      <c r="I196" s="2836">
        <f>(I213-H213)*(DGEN_SupuestosCostos!$F$401+DGEN_SupuestosCostos!$F$402)*((1+DGEN_SupuestosCostos!L401)^(I209-$E$209))*COSTOS_Pesos_Colombianos_COP_MMCOP</f>
        <v>5.1384510287856559E-2</v>
      </c>
      <c r="J196" s="2836">
        <f>(J213-I213)*(DGEN_SupuestosCostos!$F$401+DGEN_SupuestosCostos!$F$402)*((1+DGEN_SupuestosCostos!M401)^(J209-$E$209))*COSTOS_Pesos_Colombianos_COP_MMCOP</f>
        <v>4.9728742690858078E-2</v>
      </c>
      <c r="K196" s="2836">
        <f>(K213-J213)*(DGEN_SupuestosCostos!$F$401+DGEN_SupuestosCostos!$F$402)*((1+DGEN_SupuestosCostos!N401)^(K209-$E$209))*COSTOS_Pesos_Colombianos_COP_MMCOP</f>
        <v>4.9728742690858141E-2</v>
      </c>
      <c r="L196" s="2836">
        <f>(L213-K213)*(DGEN_SupuestosCostos!$F$401+DGEN_SupuestosCostos!$F$402)*((1+DGEN_SupuestosCostos!O401)^(L209-$E$209))*COSTOS_Pesos_Colombianos_COP_MMCOP</f>
        <v>4.9728742690858217E-2</v>
      </c>
      <c r="M196" s="12"/>
    </row>
    <row r="197" spans="3:13">
      <c r="C197" s="12"/>
      <c r="D197" s="2829" t="s">
        <v>2654</v>
      </c>
      <c r="E197" s="2830">
        <f>SUM(E195:E196)</f>
        <v>16604.429297711366</v>
      </c>
      <c r="F197" s="2830">
        <f t="shared" ref="F197:L197" si="50">SUM(F195:F196)</f>
        <v>0.65641882435153254</v>
      </c>
      <c r="G197" s="2830">
        <f t="shared" si="50"/>
        <v>0.72151164148881264</v>
      </c>
      <c r="H197" s="2830">
        <f t="shared" si="50"/>
        <v>0.72151164148881519</v>
      </c>
      <c r="I197" s="2830">
        <f t="shared" si="50"/>
        <v>0.93267607547272047</v>
      </c>
      <c r="J197" s="2830">
        <f t="shared" si="50"/>
        <v>0.90262237221443709</v>
      </c>
      <c r="K197" s="2830">
        <f t="shared" si="50"/>
        <v>0.90262237221443853</v>
      </c>
      <c r="L197" s="2830">
        <f t="shared" si="50"/>
        <v>0.90262237221443986</v>
      </c>
      <c r="M197" s="12"/>
    </row>
    <row r="198" spans="3:13">
      <c r="C198" s="12"/>
      <c r="D198" s="1452"/>
      <c r="E198" s="2831"/>
      <c r="F198" s="2831"/>
      <c r="G198" s="2831"/>
      <c r="H198" s="2831"/>
      <c r="I198" s="2831"/>
      <c r="J198" s="2831"/>
      <c r="K198" s="2831"/>
      <c r="L198" s="2831"/>
      <c r="M198" s="12"/>
    </row>
    <row r="199" spans="3:13">
      <c r="C199" s="12"/>
      <c r="D199" s="30" t="s">
        <v>2655</v>
      </c>
      <c r="E199" s="2836">
        <f>E213*(DGEN_SupuestosCostos!F407+DGEN_SupuestosCostos!F408)*((1+DGEN_SupuestosCostos!I407)^(E209-E209))*COSTOS_2019_US_dolares_MMCOP</f>
        <v>5138.4170280430126</v>
      </c>
      <c r="F199" s="2836">
        <f>(F213)*(DGEN_SupuestosCostos!$F$407+DGEN_SupuestosCostos!$F$408)*((1+DGEN_SupuestosCostos!I407)^(F209-$E$209))*COSTOS_Pesos_Colombianos_COP_MMCOP</f>
        <v>1.90286748215138</v>
      </c>
      <c r="G199" s="2836">
        <f>(G213)*(DGEN_SupuestosCostos!$F$407+DGEN_SupuestosCostos!$F$408)*((1+DGEN_SupuestosCostos!J407)^(G209-$E$209))*COSTOS_Pesos_Colombianos_COP_MMCOP</f>
        <v>2.1690423358032009</v>
      </c>
      <c r="H199" s="2836">
        <f>(H213)*(DGEN_SupuestosCostos!$F$407+DGEN_SupuestosCostos!$F$408)*((1+DGEN_SupuestosCostos!K407)^(H209-$E$209))*COSTOS_Pesos_Colombianos_COP_MMCOP</f>
        <v>2.3923217775765111</v>
      </c>
      <c r="I199" s="2836">
        <f>(I213)*(DGEN_SupuestosCostos!$F$407+DGEN_SupuestosCostos!$F$408)*((1+DGEN_SupuestosCostos!L407)^(I209-$E$209))*COSTOS_Pesos_Colombianos_COP_MMCOP</f>
        <v>2.6809482965570774</v>
      </c>
      <c r="J199" s="2836">
        <f>(J213)*(DGEN_SupuestosCostos!$F$407+DGEN_SupuestosCostos!$F$408)*((1+DGEN_SupuestosCostos!M407)^(J209-$E$209))*COSTOS_Pesos_Colombianos_COP_MMCOP</f>
        <v>2.9602743778165226</v>
      </c>
      <c r="K199" s="2836">
        <f>(K213)*(DGEN_SupuestosCostos!$F$407+DGEN_SupuestosCostos!$F$408)*((1+DGEN_SupuestosCostos!N407)^(K209-$E$209))*COSTOS_Pesos_Colombianos_COP_MMCOP</f>
        <v>3.2396004590759691</v>
      </c>
      <c r="L199" s="2836">
        <f>(L213)*(DGEN_SupuestosCostos!$F$407+DGEN_SupuestosCostos!$F$408)*((1+DGEN_SupuestosCostos!O407)^(L209-$E$209))*COSTOS_Pesos_Colombianos_COP_MMCOP</f>
        <v>3.5189265403354151</v>
      </c>
      <c r="M199" s="12"/>
    </row>
    <row r="200" spans="3:13">
      <c r="C200" s="12"/>
      <c r="D200" s="2827" t="s">
        <v>2656</v>
      </c>
      <c r="E200" s="2828">
        <f>E213*(DGEN_SupuestosCostos!F407+DGEN_SupuestosCostos!F408)*((1+DGEN_SupuestosCostos!I407)^(E209-E209))*COSTOS_2019_US_dolares_MMCOP</f>
        <v>5138.4170280430126</v>
      </c>
      <c r="F200" s="2836">
        <f>(F213)*(DGEN_SupuestosCostos!$F$410+DGEN_SupuestosCostos!$F$411)*((1+DGEN_SupuestosCostos!I410)^(F209-$E$209))*COSTOS_Pesos_Colombianos_COP_MMCOP</f>
        <v>3.7717409509646305E-2</v>
      </c>
      <c r="G200" s="2836">
        <f>(G213)*(DGEN_SupuestosCostos!$F$410+DGEN_SupuestosCostos!$F$411)*((1+DGEN_SupuestosCostos!J410)^(G209-$E$209))*COSTOS_Pesos_Colombianos_COP_MMCOP</f>
        <v>4.2993355444150026E-2</v>
      </c>
      <c r="H200" s="2836">
        <f>(H213)*(DGEN_SupuestosCostos!$F$410+DGEN_SupuestosCostos!$F$411)*((1+DGEN_SupuestosCostos!K410)^(H209-$E$209))*COSTOS_Pesos_Colombianos_COP_MMCOP</f>
        <v>4.7419056245410138E-2</v>
      </c>
      <c r="I200" s="2836">
        <f>(I213)*(DGEN_SupuestosCostos!$F$410+DGEN_SupuestosCostos!$F$411)*((1+DGEN_SupuestosCostos!L410)^(I209-$E$209))*COSTOS_Pesos_Colombianos_COP_MMCOP</f>
        <v>5.3140024580748832E-2</v>
      </c>
      <c r="J200" s="2836">
        <f>(J213)*(DGEN_SupuestosCostos!$F$410+DGEN_SupuestosCostos!$F$411)*((1+DGEN_SupuestosCostos!M410)^(J209-$E$209))*COSTOS_Pesos_Colombianos_COP_MMCOP</f>
        <v>5.8676645649955325E-2</v>
      </c>
      <c r="K200" s="2836">
        <f>(K213)*(DGEN_SupuestosCostos!$F$410+DGEN_SupuestosCostos!$F$411)*((1+DGEN_SupuestosCostos!N410)^(K209-$E$209))*COSTOS_Pesos_Colombianos_COP_MMCOP</f>
        <v>6.4213266719161832E-2</v>
      </c>
      <c r="L200" s="2836">
        <f>(L213)*(DGEN_SupuestosCostos!$F$410+DGEN_SupuestosCostos!$F$411)*((1+DGEN_SupuestosCostos!O410)^(L209-$E$209))*COSTOS_Pesos_Colombianos_COP_MMCOP</f>
        <v>6.9749887788368353E-2</v>
      </c>
      <c r="M200" s="12"/>
    </row>
    <row r="201" spans="3:13">
      <c r="C201" s="12"/>
      <c r="D201" s="2829" t="s">
        <v>2657</v>
      </c>
      <c r="E201" s="2830">
        <f>SUM(E199:E200)</f>
        <v>10276.834056086025</v>
      </c>
      <c r="F201" s="2830">
        <f t="shared" ref="F201:L201" si="51">SUM(F199:F200)</f>
        <v>1.9405848916610262</v>
      </c>
      <c r="G201" s="2830">
        <f t="shared" si="51"/>
        <v>2.2120356912473511</v>
      </c>
      <c r="H201" s="2830">
        <f t="shared" si="51"/>
        <v>2.4397408338219213</v>
      </c>
      <c r="I201" s="2830">
        <f t="shared" si="51"/>
        <v>2.7340883211378264</v>
      </c>
      <c r="J201" s="2830">
        <f t="shared" si="51"/>
        <v>3.018951023466478</v>
      </c>
      <c r="K201" s="2830">
        <f t="shared" si="51"/>
        <v>3.303813725795131</v>
      </c>
      <c r="L201" s="2830">
        <f t="shared" si="51"/>
        <v>3.5886764281237835</v>
      </c>
      <c r="M201" s="12"/>
    </row>
    <row r="202" spans="3:13">
      <c r="C202" s="12"/>
      <c r="D202" s="1452"/>
      <c r="E202" s="2833"/>
      <c r="F202" s="2833"/>
      <c r="G202" s="2833"/>
      <c r="H202" s="2833"/>
      <c r="I202" s="2833"/>
      <c r="J202" s="2833"/>
      <c r="K202" s="2833"/>
      <c r="L202" s="2833"/>
      <c r="M202" s="12"/>
    </row>
    <row r="204" spans="3:13" ht="18.75">
      <c r="C204" s="99" t="s">
        <v>52</v>
      </c>
      <c r="D204" s="49"/>
      <c r="E204" s="49"/>
      <c r="F204" s="49"/>
      <c r="G204" s="49"/>
      <c r="H204" s="49"/>
      <c r="I204" s="49"/>
      <c r="J204" s="49"/>
      <c r="K204" s="49"/>
      <c r="L204" s="49"/>
      <c r="M204" s="49"/>
    </row>
    <row r="205" spans="3:13">
      <c r="C205" s="50"/>
      <c r="D205" s="50"/>
      <c r="E205" s="50"/>
      <c r="F205" s="50"/>
      <c r="G205" s="50"/>
      <c r="H205" s="50"/>
      <c r="I205" s="50"/>
      <c r="J205" s="50"/>
      <c r="K205" s="50"/>
      <c r="L205" s="50"/>
      <c r="M205" s="50"/>
    </row>
    <row r="206" spans="3:13" ht="15.75">
      <c r="C206" s="296"/>
      <c r="D206" s="297" t="s">
        <v>2660</v>
      </c>
      <c r="E206" s="390"/>
      <c r="F206" s="391"/>
      <c r="G206" s="390"/>
      <c r="H206" s="391"/>
      <c r="I206" s="390"/>
      <c r="J206" s="390"/>
      <c r="K206" s="390"/>
      <c r="L206" s="390"/>
      <c r="M206" s="81"/>
    </row>
    <row r="207" spans="3:13">
      <c r="C207" s="296"/>
      <c r="D207" s="302"/>
      <c r="E207" s="81"/>
      <c r="F207" s="301"/>
      <c r="G207" s="81"/>
      <c r="H207" s="301"/>
      <c r="I207" s="81"/>
      <c r="J207" s="81"/>
      <c r="K207" s="81"/>
      <c r="L207" s="81"/>
      <c r="M207" s="81"/>
    </row>
    <row r="208" spans="3:13">
      <c r="C208" s="81"/>
      <c r="D208" s="1453"/>
      <c r="E208" s="150"/>
      <c r="F208" s="150"/>
      <c r="G208" s="150"/>
      <c r="H208" s="150"/>
      <c r="I208" s="150"/>
      <c r="J208" s="150"/>
      <c r="K208" s="150"/>
      <c r="L208" s="1454" t="s">
        <v>16</v>
      </c>
      <c r="M208" s="81"/>
    </row>
    <row r="209" spans="3:15">
      <c r="C209" s="81"/>
      <c r="D209" s="1455"/>
      <c r="E209" s="1456">
        <v>2018</v>
      </c>
      <c r="F209" s="1456">
        <v>2020</v>
      </c>
      <c r="G209" s="1456">
        <v>2025</v>
      </c>
      <c r="H209" s="1456">
        <v>2030</v>
      </c>
      <c r="I209" s="1456">
        <v>2035</v>
      </c>
      <c r="J209" s="1456">
        <v>2040</v>
      </c>
      <c r="K209" s="1456">
        <v>2045</v>
      </c>
      <c r="L209" s="1456">
        <v>2050</v>
      </c>
      <c r="M209" s="81"/>
    </row>
    <row r="210" spans="3:15">
      <c r="C210" s="81"/>
      <c r="D210" s="1624" t="s">
        <v>2661</v>
      </c>
      <c r="E210" s="3618" cm="1">
        <f t="array" ref="E210:L210">E253:L253-E259:L259</f>
        <v>294.50528708223351</v>
      </c>
      <c r="F210" s="3618">
        <v>323.14438287077701</v>
      </c>
      <c r="G210" s="3618">
        <v>352.86918823784515</v>
      </c>
      <c r="H210" s="3618">
        <v>319.70027210804261</v>
      </c>
      <c r="I210" s="3618">
        <v>335.11390647251261</v>
      </c>
      <c r="J210" s="3618">
        <v>343.61309256300547</v>
      </c>
      <c r="K210" s="3618">
        <v>352.11227865349844</v>
      </c>
      <c r="L210" s="3618">
        <v>360.61146474399123</v>
      </c>
      <c r="M210" s="81"/>
    </row>
    <row r="211" spans="3:15">
      <c r="C211" s="81"/>
      <c r="D211" s="1625"/>
      <c r="E211" s="3619"/>
      <c r="F211" s="3619"/>
      <c r="G211" s="3619"/>
      <c r="H211" s="3619"/>
      <c r="I211" s="3619"/>
      <c r="J211" s="3619"/>
      <c r="K211" s="3619"/>
      <c r="L211" s="3619"/>
      <c r="M211" s="81"/>
      <c r="O211" s="2128"/>
    </row>
    <row r="212" spans="3:15">
      <c r="C212" s="81"/>
      <c r="D212" s="1457"/>
      <c r="E212" s="3620"/>
      <c r="F212" s="3620"/>
      <c r="G212" s="3620"/>
      <c r="H212" s="3620"/>
      <c r="I212" s="3620"/>
      <c r="J212" s="3620"/>
      <c r="K212" s="3620"/>
      <c r="L212" s="3621" t="s">
        <v>16</v>
      </c>
      <c r="M212" s="81"/>
    </row>
    <row r="213" spans="3:15">
      <c r="C213" s="81"/>
      <c r="D213" s="1624" t="s">
        <v>2662</v>
      </c>
      <c r="E213" s="3618" cm="1">
        <f t="array" ref="E213:L213">E284:L284</f>
        <v>3873.4498279148088</v>
      </c>
      <c r="F213" s="3618">
        <v>4336.3677358769874</v>
      </c>
      <c r="G213" s="3618">
        <v>4833.9729530188915</v>
      </c>
      <c r="H213" s="3618">
        <v>5331.5781701607975</v>
      </c>
      <c r="I213" s="3618">
        <v>5974.8172454181276</v>
      </c>
      <c r="J213" s="3618">
        <v>6597.3291713464496</v>
      </c>
      <c r="K213" s="3618">
        <v>7219.8410972747724</v>
      </c>
      <c r="L213" s="3618">
        <v>7842.3530232030962</v>
      </c>
      <c r="M213" s="81"/>
    </row>
    <row r="214" spans="3:15">
      <c r="C214" s="81"/>
      <c r="D214" s="1625"/>
      <c r="E214" s="1824"/>
      <c r="F214" s="1824"/>
      <c r="G214" s="1824"/>
      <c r="H214" s="1824"/>
      <c r="I214" s="1824"/>
      <c r="J214" s="1824"/>
      <c r="K214" s="1824"/>
      <c r="L214" s="1824"/>
      <c r="M214" s="81"/>
    </row>
    <row r="215" spans="3:15">
      <c r="C215" s="6"/>
      <c r="D215" s="1457"/>
      <c r="E215" s="1826"/>
      <c r="F215" s="1826"/>
      <c r="G215" s="1826"/>
      <c r="H215" s="1826"/>
      <c r="I215" s="1826"/>
      <c r="J215" s="1826"/>
      <c r="K215" s="1826"/>
      <c r="L215" s="1825"/>
      <c r="M215" s="6"/>
    </row>
    <row r="217" spans="3:15" ht="18.75">
      <c r="C217" s="105" t="s">
        <v>1671</v>
      </c>
      <c r="D217" s="57"/>
      <c r="E217" s="57"/>
      <c r="F217" s="57"/>
      <c r="G217" s="57"/>
      <c r="H217" s="57"/>
      <c r="I217" s="57"/>
      <c r="J217" s="57"/>
      <c r="K217" s="57"/>
      <c r="L217" s="57"/>
      <c r="M217" s="57"/>
    </row>
    <row r="218" spans="3:15">
      <c r="C218" s="58"/>
      <c r="D218" s="58"/>
      <c r="E218" s="58"/>
      <c r="F218" s="58"/>
      <c r="G218" s="58"/>
      <c r="H218" s="58"/>
      <c r="I218" s="58"/>
      <c r="J218" s="58"/>
      <c r="K218" s="58"/>
      <c r="L218" s="58"/>
      <c r="M218" s="58"/>
    </row>
    <row r="219" spans="3:15">
      <c r="C219" s="314"/>
      <c r="D219" s="56" t="s">
        <v>2663</v>
      </c>
      <c r="E219" s="57"/>
      <c r="F219" s="57"/>
      <c r="G219" s="57"/>
      <c r="H219" s="57"/>
      <c r="I219" s="57"/>
      <c r="J219" s="57"/>
      <c r="K219" s="57"/>
      <c r="L219" s="57"/>
      <c r="M219" s="314"/>
    </row>
    <row r="220" spans="3:15">
      <c r="C220" s="58"/>
      <c r="D220" s="58"/>
      <c r="E220" s="58"/>
      <c r="F220" s="58"/>
      <c r="G220" s="58"/>
      <c r="H220" s="58"/>
      <c r="I220" s="58"/>
      <c r="J220" s="58"/>
      <c r="K220" s="58"/>
      <c r="L220" s="58"/>
      <c r="M220" s="58"/>
    </row>
    <row r="221" spans="3:15">
      <c r="C221" s="58"/>
      <c r="D221" s="1458"/>
      <c r="E221" s="161"/>
      <c r="F221" s="161"/>
      <c r="G221" s="161"/>
      <c r="H221" s="161"/>
      <c r="I221" s="161"/>
      <c r="J221" s="161"/>
      <c r="K221" s="161"/>
      <c r="L221" s="1459" t="s">
        <v>2664</v>
      </c>
      <c r="M221" s="58"/>
    </row>
    <row r="222" spans="3:15">
      <c r="C222" s="58"/>
      <c r="D222" s="1460"/>
      <c r="E222" s="1461">
        <v>2018</v>
      </c>
      <c r="F222" s="1461">
        <v>2020</v>
      </c>
      <c r="G222" s="1461">
        <v>2025</v>
      </c>
      <c r="H222" s="1461">
        <v>2030</v>
      </c>
      <c r="I222" s="1461">
        <v>2035</v>
      </c>
      <c r="J222" s="1461">
        <v>2040</v>
      </c>
      <c r="K222" s="1461">
        <v>2045</v>
      </c>
      <c r="L222" s="1461">
        <v>2050</v>
      </c>
      <c r="M222" s="58"/>
    </row>
    <row r="223" spans="3:15">
      <c r="C223" s="58"/>
      <c r="D223" s="1462"/>
      <c r="E223" s="3611"/>
      <c r="F223" s="3611"/>
      <c r="G223" s="3611"/>
      <c r="H223" s="3611"/>
      <c r="I223" s="3611"/>
      <c r="J223" s="3611"/>
      <c r="K223" s="3611"/>
      <c r="L223" s="3611"/>
      <c r="M223" s="58"/>
    </row>
    <row r="224" spans="3:15">
      <c r="C224" s="58"/>
      <c r="D224" s="1462" t="s">
        <v>624</v>
      </c>
      <c r="E224" s="3611" cm="1">
        <f t="array" ref="E224:L224">_xlfn.ANCHORARRAY(E328)</f>
        <v>-0.13332746401003859</v>
      </c>
      <c r="F224" s="3611">
        <v>-0.16320488533435534</v>
      </c>
      <c r="G224" s="3611">
        <v>-0.18216121952620817</v>
      </c>
      <c r="H224" s="3611">
        <v>-0.20091274628859196</v>
      </c>
      <c r="I224" s="3611">
        <v>-0.22515227256120157</v>
      </c>
      <c r="J224" s="3611">
        <v>-0.24861072644557705</v>
      </c>
      <c r="K224" s="3611">
        <v>-0.27206918032995248</v>
      </c>
      <c r="L224" s="3611">
        <v>-0.29552763421432798</v>
      </c>
      <c r="M224" s="58"/>
    </row>
    <row r="225" spans="3:13">
      <c r="C225" s="58"/>
      <c r="D225" s="3609" t="s">
        <v>2665</v>
      </c>
      <c r="E225" s="3611" cm="1">
        <f t="array" ref="E225">E291*UNIDAD_T_A_MT</f>
        <v>0</v>
      </c>
      <c r="F225" s="3611" cm="1">
        <f t="array" ref="F225">F291*UNIDAD_T_A_MT</f>
        <v>0</v>
      </c>
      <c r="G225" s="3611" cm="1">
        <f t="array" ref="G225">G291*UNIDAD_T_A_MT</f>
        <v>0</v>
      </c>
      <c r="H225" s="3611" cm="1">
        <f t="array" ref="H225">H291*UNIDAD_T_A_MT</f>
        <v>0</v>
      </c>
      <c r="I225" s="3611" cm="1">
        <f t="array" ref="I225">I291*UNIDAD_T_A_MT</f>
        <v>0</v>
      </c>
      <c r="J225" s="3611" cm="1">
        <f t="array" ref="J225">J291*UNIDAD_T_A_MT</f>
        <v>0</v>
      </c>
      <c r="K225" s="3611" cm="1">
        <f t="array" ref="K225">K291*UNIDAD_T_A_MT</f>
        <v>0</v>
      </c>
      <c r="L225" s="3611" cm="1">
        <f t="array" ref="L225">L291*UNIDAD_T_A_MT</f>
        <v>0</v>
      </c>
      <c r="M225" s="58"/>
    </row>
    <row r="226" spans="3:13">
      <c r="C226" s="58"/>
      <c r="D226" s="3610" t="s">
        <v>625</v>
      </c>
      <c r="E226" s="3611" cm="1">
        <f t="array" ref="E226:L226">E298:L298</f>
        <v>9.6194261919669927E-2</v>
      </c>
      <c r="F226" s="3611">
        <v>0.10554864977708189</v>
      </c>
      <c r="G226" s="3611">
        <v>0.11525766295412736</v>
      </c>
      <c r="H226" s="3611">
        <v>0.10442369987864994</v>
      </c>
      <c r="I226" s="3611">
        <v>0.10945825527111679</v>
      </c>
      <c r="J226" s="3611">
        <v>0.11223434442385447</v>
      </c>
      <c r="K226" s="3611">
        <v>0.1150104335765922</v>
      </c>
      <c r="L226" s="3611">
        <v>0.11778652272932985</v>
      </c>
      <c r="M226" s="58"/>
    </row>
    <row r="227" spans="3:13" ht="15.75">
      <c r="C227" s="58"/>
      <c r="D227" s="1671" t="s">
        <v>2666</v>
      </c>
      <c r="E227" s="3175">
        <f t="shared" ref="E227:L227" si="52">E226+E224-E225</f>
        <v>-3.7133202090368661E-2</v>
      </c>
      <c r="F227" s="3175">
        <f t="shared" si="52"/>
        <v>-5.765623555727345E-2</v>
      </c>
      <c r="G227" s="3175">
        <f t="shared" si="52"/>
        <v>-6.6903556572080816E-2</v>
      </c>
      <c r="H227" s="3175">
        <f t="shared" si="52"/>
        <v>-9.648904640994202E-2</v>
      </c>
      <c r="I227" s="3175">
        <f t="shared" si="52"/>
        <v>-0.11569401729008479</v>
      </c>
      <c r="J227" s="3175">
        <f t="shared" si="52"/>
        <v>-0.13637638202172259</v>
      </c>
      <c r="K227" s="3175">
        <f t="shared" si="52"/>
        <v>-0.15705874675336029</v>
      </c>
      <c r="L227" s="3175">
        <f t="shared" si="52"/>
        <v>-0.17774111148499813</v>
      </c>
      <c r="M227" s="58"/>
    </row>
    <row r="228" spans="3:13">
      <c r="C228" s="58"/>
      <c r="D228" s="58"/>
      <c r="E228" s="58"/>
      <c r="F228" s="58"/>
      <c r="G228" s="58"/>
      <c r="H228" s="58"/>
      <c r="I228" s="58"/>
      <c r="J228" s="58"/>
      <c r="K228" s="58"/>
      <c r="L228" s="58"/>
      <c r="M228" s="58"/>
    </row>
    <row r="230" spans="3:13" ht="18.75">
      <c r="C230" s="110" t="s">
        <v>797</v>
      </c>
      <c r="D230" s="65"/>
      <c r="E230" s="65"/>
      <c r="F230" s="65"/>
      <c r="G230" s="65"/>
      <c r="H230" s="65"/>
      <c r="I230" s="65"/>
      <c r="J230" s="65"/>
      <c r="K230" s="65"/>
      <c r="L230" s="65"/>
      <c r="M230" s="65"/>
    </row>
    <row r="231" spans="3:13">
      <c r="C231" s="66"/>
      <c r="D231" s="66"/>
      <c r="E231" s="66"/>
      <c r="F231" s="66"/>
      <c r="G231" s="66"/>
      <c r="H231" s="66"/>
      <c r="I231" s="66"/>
      <c r="J231" s="66"/>
      <c r="K231" s="66"/>
      <c r="L231" s="66"/>
      <c r="M231" s="66"/>
    </row>
    <row r="232" spans="3:13">
      <c r="C232" s="324"/>
      <c r="D232" s="323" t="s">
        <v>2667</v>
      </c>
      <c r="E232" s="324"/>
      <c r="F232" s="324"/>
      <c r="G232" s="324"/>
      <c r="H232" s="324"/>
      <c r="I232" s="324"/>
      <c r="J232" s="324"/>
      <c r="K232" s="324"/>
      <c r="L232" s="324"/>
      <c r="M232" s="324"/>
    </row>
    <row r="233" spans="3:13">
      <c r="C233" s="324"/>
      <c r="D233" s="324"/>
      <c r="E233" s="324"/>
      <c r="F233" s="324"/>
      <c r="G233" s="324"/>
      <c r="H233" s="324"/>
      <c r="I233" s="324"/>
      <c r="J233" s="324"/>
      <c r="K233" s="324"/>
      <c r="L233" s="325" t="s">
        <v>803</v>
      </c>
      <c r="M233" s="66"/>
    </row>
    <row r="234" spans="3:13" ht="15.75">
      <c r="C234" s="394"/>
      <c r="D234" s="327" t="s">
        <v>699</v>
      </c>
      <c r="E234" s="328">
        <v>2018</v>
      </c>
      <c r="F234" s="328">
        <v>2020</v>
      </c>
      <c r="G234" s="328">
        <v>2025</v>
      </c>
      <c r="H234" s="328">
        <v>2030</v>
      </c>
      <c r="I234" s="328">
        <v>2035</v>
      </c>
      <c r="J234" s="328">
        <v>2040</v>
      </c>
      <c r="K234" s="328">
        <v>2045</v>
      </c>
      <c r="L234" s="328">
        <v>2050</v>
      </c>
      <c r="M234" s="66"/>
    </row>
    <row r="235" spans="3:13" ht="15.75">
      <c r="C235" s="394"/>
      <c r="D235" s="329" t="s">
        <v>2175</v>
      </c>
      <c r="E235" s="3071" cm="1">
        <f t="array" ref="E235:L235">E197:L197</f>
        <v>16604.429297711366</v>
      </c>
      <c r="F235" s="3071">
        <v>0.65641882435153254</v>
      </c>
      <c r="G235" s="3071">
        <v>0.72151164148881264</v>
      </c>
      <c r="H235" s="3071">
        <v>0.72151164148881519</v>
      </c>
      <c r="I235" s="3071">
        <v>0.93267607547272047</v>
      </c>
      <c r="J235" s="3071">
        <v>0.90262237221443709</v>
      </c>
      <c r="K235" s="3071">
        <v>0.90262237221443853</v>
      </c>
      <c r="L235" s="3071">
        <v>0.90262237221443986</v>
      </c>
      <c r="M235" s="66"/>
    </row>
    <row r="236" spans="3:13" ht="15.75">
      <c r="C236" s="394"/>
      <c r="D236" s="331" t="s">
        <v>2108</v>
      </c>
      <c r="E236" s="3072" cm="1">
        <f t="array" ref="E236:L236">E187:L187</f>
        <v>16604.429297711366</v>
      </c>
      <c r="F236" s="3072">
        <v>0.6619200306480818</v>
      </c>
      <c r="G236" s="3072">
        <v>0.66735748990903487</v>
      </c>
      <c r="H236" s="3072">
        <v>0.72151164148881519</v>
      </c>
      <c r="I236" s="3072">
        <v>0.93267607547272047</v>
      </c>
      <c r="J236" s="3072">
        <v>0.90262237221443709</v>
      </c>
      <c r="K236" s="3072">
        <v>0.90262237221443853</v>
      </c>
      <c r="L236" s="3072">
        <v>0.90262237221443986</v>
      </c>
      <c r="M236" s="66"/>
    </row>
    <row r="237" spans="3:13">
      <c r="C237" s="395"/>
      <c r="D237" s="333" t="s">
        <v>2107</v>
      </c>
      <c r="E237" s="3073" cm="1">
        <f t="array" ref="E237:L237">E177:L177</f>
        <v>15910.955769342801</v>
      </c>
      <c r="F237" s="3073">
        <v>0.67121615317210415</v>
      </c>
      <c r="G237" s="3073">
        <v>0.68713849195041543</v>
      </c>
      <c r="H237" s="3073">
        <v>0.63118273041154649</v>
      </c>
      <c r="I237" s="3073">
        <v>0.93267607547272047</v>
      </c>
      <c r="J237" s="3073">
        <v>0.90262237221443709</v>
      </c>
      <c r="K237" s="3073">
        <v>0.90262237221443853</v>
      </c>
      <c r="L237" s="3073">
        <v>0.90262237221443986</v>
      </c>
      <c r="M237" s="66"/>
    </row>
    <row r="238" spans="3:13">
      <c r="C238" s="395"/>
      <c r="D238" s="331"/>
      <c r="E238" s="1234"/>
      <c r="F238" s="1234"/>
      <c r="G238" s="1234"/>
      <c r="H238" s="1234"/>
      <c r="I238" s="1234"/>
      <c r="J238" s="1234"/>
      <c r="K238" s="1234"/>
      <c r="L238" s="1234"/>
      <c r="M238" s="66"/>
    </row>
    <row r="239" spans="3:13">
      <c r="C239" s="324"/>
      <c r="D239" s="323" t="s">
        <v>2668</v>
      </c>
      <c r="E239" s="324"/>
      <c r="F239" s="324"/>
      <c r="G239" s="324"/>
      <c r="H239" s="324"/>
      <c r="I239" s="324"/>
      <c r="J239" s="324"/>
      <c r="K239" s="324"/>
      <c r="L239" s="324"/>
      <c r="M239" s="324"/>
    </row>
    <row r="240" spans="3:13">
      <c r="C240" s="324"/>
      <c r="D240" s="324"/>
      <c r="E240" s="324"/>
      <c r="F240" s="324"/>
      <c r="G240" s="324"/>
      <c r="H240" s="324"/>
      <c r="I240" s="324"/>
      <c r="J240" s="324"/>
      <c r="K240" s="324"/>
      <c r="L240" s="325" t="s">
        <v>803</v>
      </c>
      <c r="M240" s="66"/>
    </row>
    <row r="241" spans="3:13" ht="15.75">
      <c r="C241" s="394"/>
      <c r="D241" s="327" t="s">
        <v>699</v>
      </c>
      <c r="E241" s="328">
        <v>2018</v>
      </c>
      <c r="F241" s="328">
        <v>2020</v>
      </c>
      <c r="G241" s="328">
        <v>2025</v>
      </c>
      <c r="H241" s="328">
        <v>2030</v>
      </c>
      <c r="I241" s="328">
        <v>2035</v>
      </c>
      <c r="J241" s="328">
        <v>2040</v>
      </c>
      <c r="K241" s="328">
        <v>2045</v>
      </c>
      <c r="L241" s="328">
        <v>2050</v>
      </c>
      <c r="M241" s="66"/>
    </row>
    <row r="242" spans="3:13" ht="15.75">
      <c r="C242" s="394"/>
      <c r="D242" s="329" t="s">
        <v>2175</v>
      </c>
      <c r="E242" s="3071" cm="1">
        <f t="array" ref="E242:L242">E201:L201</f>
        <v>10276.834056086025</v>
      </c>
      <c r="F242" s="3071">
        <v>1.9405848916610262</v>
      </c>
      <c r="G242" s="3071">
        <v>2.2120356912473511</v>
      </c>
      <c r="H242" s="3071">
        <v>2.4397408338219213</v>
      </c>
      <c r="I242" s="3071">
        <v>2.7340883211378264</v>
      </c>
      <c r="J242" s="3071">
        <v>3.018951023466478</v>
      </c>
      <c r="K242" s="3071">
        <v>3.303813725795131</v>
      </c>
      <c r="L242" s="3071">
        <v>3.5886764281237835</v>
      </c>
      <c r="M242" s="66"/>
    </row>
    <row r="243" spans="3:13" ht="15.75">
      <c r="C243" s="394"/>
      <c r="D243" s="331" t="s">
        <v>2108</v>
      </c>
      <c r="E243" s="3072" cm="1">
        <f t="array" ref="E243:L243">E191:L191</f>
        <v>10276.834056086025</v>
      </c>
      <c r="F243" s="3072">
        <v>1.9568482245042615</v>
      </c>
      <c r="G243" s="3072">
        <v>2.0460079943462954</v>
      </c>
      <c r="H243" s="3072">
        <v>2.4397408338219213</v>
      </c>
      <c r="I243" s="3072">
        <v>2.7340883211378264</v>
      </c>
      <c r="J243" s="3072">
        <v>3.018951023466478</v>
      </c>
      <c r="K243" s="3072">
        <v>3.303813725795131</v>
      </c>
      <c r="L243" s="3072">
        <v>3.5886764281237835</v>
      </c>
      <c r="M243" s="66"/>
    </row>
    <row r="244" spans="3:13">
      <c r="C244" s="395"/>
      <c r="D244" s="333" t="s">
        <v>2107</v>
      </c>
      <c r="E244" s="3073" cm="1">
        <f t="array" ref="E244:L244">E181:L181</f>
        <v>10276.834056086025</v>
      </c>
      <c r="F244" s="3073">
        <v>1.9843305486727814</v>
      </c>
      <c r="G244" s="3073">
        <v>2.1066532840520593</v>
      </c>
      <c r="H244" s="3073">
        <v>2.1342999785986612</v>
      </c>
      <c r="I244" s="3073">
        <v>2.7340883211378264</v>
      </c>
      <c r="J244" s="3073">
        <v>3.018951023466478</v>
      </c>
      <c r="K244" s="3073">
        <v>3.303813725795131</v>
      </c>
      <c r="L244" s="3073">
        <v>3.5886764281237835</v>
      </c>
      <c r="M244" s="66"/>
    </row>
    <row r="245" spans="3:13">
      <c r="C245" s="395"/>
      <c r="D245" s="331"/>
      <c r="E245" s="1234"/>
      <c r="F245" s="1234"/>
      <c r="G245" s="1234"/>
      <c r="H245" s="1234"/>
      <c r="I245" s="1234"/>
      <c r="J245" s="1234"/>
      <c r="K245" s="1234"/>
      <c r="L245" s="1234"/>
      <c r="M245" s="66"/>
    </row>
    <row r="246" spans="3:13" ht="21">
      <c r="K246" s="1785"/>
    </row>
    <row r="247" spans="3:13" ht="18.75">
      <c r="C247" s="2241" t="s">
        <v>1893</v>
      </c>
      <c r="D247" s="1287"/>
      <c r="E247" s="887"/>
      <c r="F247" s="887"/>
      <c r="G247" s="887"/>
      <c r="H247" s="887"/>
      <c r="I247" s="887"/>
      <c r="J247" s="887"/>
      <c r="K247" s="887"/>
      <c r="L247" s="887"/>
    </row>
    <row r="248" spans="3:13">
      <c r="C248" s="1469"/>
      <c r="D248" s="1472"/>
      <c r="E248" s="1469"/>
      <c r="F248" s="1469"/>
      <c r="G248" s="1476"/>
      <c r="H248" s="1476"/>
      <c r="I248" s="1476"/>
      <c r="J248" s="1476"/>
      <c r="K248" s="1476"/>
      <c r="L248" s="1476"/>
      <c r="M248" s="1476"/>
    </row>
    <row r="249" spans="3:13">
      <c r="C249" s="1469"/>
      <c r="D249" s="1472" t="s">
        <v>2610</v>
      </c>
      <c r="E249" s="1469"/>
      <c r="F249" s="1469"/>
      <c r="G249" s="1476"/>
      <c r="H249" s="1476"/>
      <c r="I249" s="1476"/>
      <c r="J249" s="1476"/>
      <c r="K249" s="1476"/>
      <c r="L249" s="1476"/>
      <c r="M249" s="1476"/>
    </row>
    <row r="250" spans="3:13">
      <c r="C250" s="1469"/>
      <c r="D250" s="1472"/>
      <c r="E250" s="1469"/>
      <c r="F250" s="1469"/>
      <c r="G250" s="1476"/>
      <c r="H250" s="1476"/>
      <c r="I250" s="1476"/>
      <c r="J250" s="1476"/>
      <c r="K250" s="1476"/>
      <c r="L250" s="1788"/>
      <c r="M250" s="1788" t="s">
        <v>16</v>
      </c>
    </row>
    <row r="251" spans="3:13">
      <c r="C251" s="1469"/>
      <c r="D251" s="1466"/>
      <c r="E251" s="1326">
        <v>2018</v>
      </c>
      <c r="F251" s="1326">
        <v>2020</v>
      </c>
      <c r="G251" s="1326">
        <v>2025</v>
      </c>
      <c r="H251" s="1326">
        <v>2030</v>
      </c>
      <c r="I251" s="1326">
        <v>2035</v>
      </c>
      <c r="J251" s="1326">
        <v>2040</v>
      </c>
      <c r="K251" s="1326">
        <v>2045</v>
      </c>
      <c r="L251" s="1326">
        <v>2050</v>
      </c>
      <c r="M251" s="1791" t="s">
        <v>2611</v>
      </c>
    </row>
    <row r="252" spans="3:13">
      <c r="C252" s="1469"/>
      <c r="D252" s="1467" t="s">
        <v>2607</v>
      </c>
      <c r="E252" s="1775" cm="1">
        <f t="array" ref="E252:M253">SF_AREA_ANUAL_DEFORESTADA_PUNTUAL</f>
        <v>294.50528708223351</v>
      </c>
      <c r="F252" s="1775">
        <v>323.14438287077701</v>
      </c>
      <c r="G252" s="1775">
        <v>352.86918823784515</v>
      </c>
      <c r="H252" s="1775">
        <v>319.70027210804261</v>
      </c>
      <c r="I252" s="1775">
        <v>335.11390647251261</v>
      </c>
      <c r="J252" s="1775">
        <v>343.61309256300547</v>
      </c>
      <c r="K252" s="1775">
        <v>352.11227865349844</v>
      </c>
      <c r="L252" s="1775">
        <v>360.61146474399123</v>
      </c>
      <c r="M252" s="1792">
        <v>2681.6698727319063</v>
      </c>
    </row>
    <row r="253" spans="3:13">
      <c r="C253" s="1469"/>
      <c r="D253" s="1789" t="s">
        <v>2608</v>
      </c>
      <c r="E253" s="1787">
        <v>294.50528708223351</v>
      </c>
      <c r="F253" s="1787">
        <v>323.14438287077701</v>
      </c>
      <c r="G253" s="1787">
        <v>352.86918823784515</v>
      </c>
      <c r="H253" s="1787">
        <v>319.70027210804261</v>
      </c>
      <c r="I253" s="1787">
        <v>335.11390647251261</v>
      </c>
      <c r="J253" s="1787">
        <v>343.61309256300547</v>
      </c>
      <c r="K253" s="1787">
        <v>352.11227865349844</v>
      </c>
      <c r="L253" s="1787">
        <v>360.61146474399123</v>
      </c>
      <c r="M253" s="1793">
        <v>2681.6698727319063</v>
      </c>
    </row>
    <row r="254" spans="3:13">
      <c r="C254" s="1469"/>
      <c r="D254" s="2041"/>
      <c r="E254" s="2042"/>
      <c r="F254" s="2042"/>
      <c r="G254" s="2042"/>
      <c r="H254" s="2042"/>
      <c r="I254" s="2042"/>
      <c r="J254" s="2042"/>
      <c r="K254" s="2042"/>
      <c r="L254" s="2042"/>
      <c r="M254" s="2043"/>
    </row>
    <row r="255" spans="3:13">
      <c r="C255" s="1469"/>
      <c r="D255" s="1473" t="s">
        <v>2669</v>
      </c>
      <c r="E255" s="2042"/>
      <c r="F255" s="2042"/>
      <c r="G255" s="2042"/>
      <c r="H255" s="2042"/>
      <c r="I255" s="2042"/>
      <c r="J255" s="2042"/>
      <c r="K255" s="2042"/>
      <c r="L255" s="2042"/>
      <c r="M255" s="2043"/>
    </row>
    <row r="256" spans="3:13">
      <c r="C256" s="1469"/>
      <c r="D256" s="1471"/>
      <c r="E256" s="1467"/>
      <c r="F256" s="1470"/>
      <c r="G256" s="1474"/>
      <c r="H256" s="1474"/>
      <c r="I256" s="1474"/>
      <c r="J256" s="1474"/>
      <c r="K256" s="1474"/>
      <c r="L256" s="1474"/>
      <c r="M256" s="1474"/>
    </row>
    <row r="257" spans="3:13">
      <c r="D257" s="1466"/>
      <c r="E257" s="1326">
        <v>2018</v>
      </c>
      <c r="F257" s="1326">
        <v>2020</v>
      </c>
      <c r="G257" s="1326">
        <v>2025</v>
      </c>
      <c r="H257" s="1326">
        <v>2030</v>
      </c>
      <c r="I257" s="1326">
        <v>2035</v>
      </c>
      <c r="J257" s="1326">
        <v>2040</v>
      </c>
      <c r="K257" s="1326">
        <v>2045</v>
      </c>
      <c r="L257" s="1326">
        <v>2050</v>
      </c>
      <c r="M257" s="1791" t="s">
        <v>2611</v>
      </c>
    </row>
    <row r="258" spans="3:13">
      <c r="D258" s="1467" t="s">
        <v>2607</v>
      </c>
      <c r="E258" s="1775" cm="1">
        <f t="array" ref="E258:M259">SF_AREA_ANUAL_DEFORESTADA_PUNTUAL-ST_ESCENARIOS_DEFORESTACION</f>
        <v>0</v>
      </c>
      <c r="F258" s="1775">
        <v>0</v>
      </c>
      <c r="G258" s="1775">
        <v>0</v>
      </c>
      <c r="H258" s="1775">
        <v>0</v>
      </c>
      <c r="I258" s="1775">
        <v>0</v>
      </c>
      <c r="J258" s="1775">
        <v>0</v>
      </c>
      <c r="K258" s="1775">
        <v>0</v>
      </c>
      <c r="L258" s="1775">
        <v>0</v>
      </c>
      <c r="M258" s="1792" t="e">
        <v>#N/A</v>
      </c>
    </row>
    <row r="259" spans="3:13">
      <c r="D259" s="1789" t="s">
        <v>2608</v>
      </c>
      <c r="E259" s="1787">
        <v>0</v>
      </c>
      <c r="F259" s="1787">
        <v>0</v>
      </c>
      <c r="G259" s="1787">
        <v>0</v>
      </c>
      <c r="H259" s="1787">
        <v>0</v>
      </c>
      <c r="I259" s="1787">
        <v>0</v>
      </c>
      <c r="J259" s="1787">
        <v>0</v>
      </c>
      <c r="K259" s="1787">
        <v>0</v>
      </c>
      <c r="L259" s="1787">
        <v>0</v>
      </c>
      <c r="M259" s="1793" t="e">
        <v>#N/A</v>
      </c>
    </row>
    <row r="260" spans="3:13">
      <c r="C260" s="1472"/>
      <c r="D260" s="1471"/>
      <c r="E260" s="1467"/>
      <c r="F260" s="1470"/>
      <c r="G260" s="1474"/>
      <c r="H260" s="1474"/>
      <c r="I260" s="1474"/>
      <c r="J260" s="1474"/>
      <c r="K260" s="1474"/>
      <c r="L260" s="1474"/>
      <c r="M260" s="1798"/>
    </row>
    <row r="261" spans="3:13">
      <c r="C261" s="1472"/>
      <c r="D261" s="1472" t="s">
        <v>2670</v>
      </c>
      <c r="E261" s="1469"/>
      <c r="F261" s="1469"/>
      <c r="G261" s="1476"/>
      <c r="H261" s="1476"/>
      <c r="I261" s="1476"/>
      <c r="J261" s="1476"/>
      <c r="K261" s="1476"/>
      <c r="L261" s="1476"/>
      <c r="M261" s="1475"/>
    </row>
    <row r="262" spans="3:13">
      <c r="C262" s="1472"/>
      <c r="D262" s="1463"/>
      <c r="E262" s="1464"/>
      <c r="F262" s="1464"/>
      <c r="G262" s="1464"/>
      <c r="H262" s="1464"/>
      <c r="I262" s="1464"/>
      <c r="J262" s="1464"/>
      <c r="K262" s="1464"/>
      <c r="L262" s="1465" t="s">
        <v>16</v>
      </c>
      <c r="M262" s="1476"/>
    </row>
    <row r="263" spans="3:13">
      <c r="C263" s="1473"/>
      <c r="D263" s="1466"/>
      <c r="E263" s="1326">
        <v>2018</v>
      </c>
      <c r="F263" s="1326">
        <v>2020</v>
      </c>
      <c r="G263" s="1326">
        <v>2025</v>
      </c>
      <c r="H263" s="1326">
        <v>2030</v>
      </c>
      <c r="I263" s="1326">
        <v>2035</v>
      </c>
      <c r="J263" s="1326">
        <v>2040</v>
      </c>
      <c r="K263" s="1326">
        <v>2045</v>
      </c>
      <c r="L263" s="1326">
        <v>2050</v>
      </c>
      <c r="M263" s="1788"/>
    </row>
    <row r="264" spans="3:13">
      <c r="C264" s="1473"/>
      <c r="D264" s="3057" t="s">
        <v>2621</v>
      </c>
      <c r="E264" s="3053" cm="1">
        <f t="array" ref="E264:L284">ST_DESARROLLO_CONSOLIDACION_CADENA_PRODUCTIVA_PLANTACIONES_FORESTALES_FINES_COMERCIALES*SF_TOTAL_DESCUENTO_5_ANOS*SF_AREA_PARA_REFORESTACION_COMERCIAL_POR_ESPECIE</f>
        <v>333.34335868457907</v>
      </c>
      <c r="F264" s="3053">
        <v>608.0777022351848</v>
      </c>
      <c r="G264" s="3053">
        <v>654.64828225995529</v>
      </c>
      <c r="H264" s="3053">
        <v>722.03724033058347</v>
      </c>
      <c r="I264" s="3053">
        <v>809.14888944246195</v>
      </c>
      <c r="J264" s="3053">
        <v>893.45353221891912</v>
      </c>
      <c r="K264" s="3053">
        <v>977.75817499537618</v>
      </c>
      <c r="L264" s="3053">
        <v>1062.0628177718334</v>
      </c>
      <c r="M264" s="1473"/>
    </row>
    <row r="265" spans="3:13">
      <c r="C265" s="1473"/>
      <c r="D265" s="3057" t="s">
        <v>2622</v>
      </c>
      <c r="E265" s="3053">
        <v>0</v>
      </c>
      <c r="F265" s="3053">
        <v>0.27243624652114012</v>
      </c>
      <c r="G265" s="3053">
        <v>0.41697342819105426</v>
      </c>
      <c r="H265" s="3053">
        <v>0.45989633142075376</v>
      </c>
      <c r="I265" s="3053">
        <v>0.51538145824360637</v>
      </c>
      <c r="J265" s="3053">
        <v>0.5690786829419866</v>
      </c>
      <c r="K265" s="3053">
        <v>0.62277590764036694</v>
      </c>
      <c r="L265" s="3053">
        <v>0.67647313233874728</v>
      </c>
      <c r="M265" s="1473"/>
    </row>
    <row r="266" spans="3:13">
      <c r="C266" s="207"/>
      <c r="D266" s="3057" t="s">
        <v>2623</v>
      </c>
      <c r="E266" s="3058">
        <v>20.000601521074746</v>
      </c>
      <c r="F266" s="3058">
        <v>2.179489972169121</v>
      </c>
      <c r="G266" s="3058">
        <v>2.5018405691463257</v>
      </c>
      <c r="H266" s="3058">
        <v>2.7593779885245224</v>
      </c>
      <c r="I266" s="3058">
        <v>3.092288749461638</v>
      </c>
      <c r="J266" s="3054">
        <v>3.4144720976519198</v>
      </c>
      <c r="K266" s="3054">
        <v>3.7366554458422017</v>
      </c>
      <c r="L266" s="3054">
        <v>4.0588387940324839</v>
      </c>
      <c r="M266" s="207"/>
    </row>
    <row r="267" spans="3:13">
      <c r="D267" s="3057" t="s">
        <v>2624</v>
      </c>
      <c r="E267" s="639">
        <v>0</v>
      </c>
      <c r="F267" s="639">
        <v>1.0897449860845605</v>
      </c>
      <c r="G267" s="639">
        <v>1.2509202845731628</v>
      </c>
      <c r="H267" s="639">
        <v>1.3796889942622612</v>
      </c>
      <c r="I267" s="639">
        <v>1.546144374730819</v>
      </c>
      <c r="J267" s="1773">
        <v>1.7072360488259599</v>
      </c>
      <c r="K267" s="1773">
        <v>1.8683277229211008</v>
      </c>
      <c r="L267" s="1773">
        <v>2.029419397016242</v>
      </c>
    </row>
    <row r="268" spans="3:13">
      <c r="D268" s="3057" t="s">
        <v>2625</v>
      </c>
      <c r="E268" s="639">
        <v>0</v>
      </c>
      <c r="F268" s="639">
        <v>1.3621812326057006</v>
      </c>
      <c r="G268" s="639">
        <v>1.6678937127642171</v>
      </c>
      <c r="H268" s="639">
        <v>1.839585325683015</v>
      </c>
      <c r="I268" s="639">
        <v>2.0615258329744255</v>
      </c>
      <c r="J268" s="1773">
        <v>2.2763147317679464</v>
      </c>
      <c r="K268" s="1773">
        <v>2.4911036305614678</v>
      </c>
      <c r="L268" s="1773">
        <v>2.7058925293549891</v>
      </c>
    </row>
    <row r="269" spans="3:13">
      <c r="D269" s="3057" t="s">
        <v>2626</v>
      </c>
      <c r="E269" s="639">
        <v>816.69122877721873</v>
      </c>
      <c r="F269" s="639">
        <v>549.50390923313967</v>
      </c>
      <c r="G269" s="639">
        <v>615.8697534381871</v>
      </c>
      <c r="H269" s="639">
        <v>679.26688150845325</v>
      </c>
      <c r="I269" s="639">
        <v>761.21841382580658</v>
      </c>
      <c r="J269" s="1773">
        <v>840.52921470531419</v>
      </c>
      <c r="K269" s="1773">
        <v>919.84001558482191</v>
      </c>
      <c r="L269" s="1773">
        <v>999.15081646432975</v>
      </c>
    </row>
    <row r="270" spans="3:13">
      <c r="D270" s="3057" t="s">
        <v>2627</v>
      </c>
      <c r="E270" s="639">
        <v>0</v>
      </c>
      <c r="F270" s="639">
        <v>5.9935974234650828</v>
      </c>
      <c r="G270" s="639">
        <v>6.6715748510568682</v>
      </c>
      <c r="H270" s="639">
        <v>7.3583413027320601</v>
      </c>
      <c r="I270" s="639">
        <v>8.2461033318977019</v>
      </c>
      <c r="J270" s="1773">
        <v>9.1052589270717856</v>
      </c>
      <c r="K270" s="1773">
        <v>9.9644145222458711</v>
      </c>
      <c r="L270" s="1773">
        <v>10.823570117419957</v>
      </c>
    </row>
    <row r="271" spans="3:13">
      <c r="D271" s="3057" t="s">
        <v>2628</v>
      </c>
      <c r="E271" s="3059">
        <v>243.34065183974272</v>
      </c>
      <c r="F271" s="3059">
        <v>330.73760327666412</v>
      </c>
      <c r="G271" s="3059">
        <v>370.68937766184729</v>
      </c>
      <c r="H271" s="3059">
        <v>408.84783863305012</v>
      </c>
      <c r="I271" s="3059">
        <v>458.17411637856605</v>
      </c>
      <c r="J271" s="2042">
        <v>505.91094913542616</v>
      </c>
      <c r="K271" s="2042">
        <v>553.64778189228628</v>
      </c>
      <c r="L271" s="2042">
        <v>601.38461464914644</v>
      </c>
      <c r="M271" s="2043"/>
    </row>
    <row r="272" spans="3:13">
      <c r="D272" s="3057" t="s">
        <v>2629</v>
      </c>
      <c r="E272" s="639">
        <v>16.667167934228953</v>
      </c>
      <c r="F272" s="639">
        <v>8.9903961351976243</v>
      </c>
      <c r="G272" s="639">
        <v>10.007362276585303</v>
      </c>
      <c r="H272" s="639">
        <v>11.03751195409809</v>
      </c>
      <c r="I272" s="639">
        <v>12.369154997846552</v>
      </c>
      <c r="J272" s="1773">
        <v>13.657888390607679</v>
      </c>
      <c r="K272" s="1773">
        <v>14.946621783368807</v>
      </c>
      <c r="L272" s="1773">
        <v>16.235355176129936</v>
      </c>
    </row>
    <row r="273" spans="4:13">
      <c r="D273" s="3057" t="s">
        <v>2630</v>
      </c>
      <c r="E273" s="639">
        <v>0</v>
      </c>
      <c r="F273" s="639">
        <v>11.987194846930166</v>
      </c>
      <c r="G273" s="639">
        <v>13.343149702113736</v>
      </c>
      <c r="H273" s="639">
        <v>14.71668260546412</v>
      </c>
      <c r="I273" s="639">
        <v>16.492206663795404</v>
      </c>
      <c r="J273" s="1773">
        <v>18.210517854143571</v>
      </c>
      <c r="K273" s="1773">
        <v>19.928829044491742</v>
      </c>
      <c r="L273" s="1773">
        <v>21.647140234839913</v>
      </c>
    </row>
    <row r="274" spans="4:13">
      <c r="D274" s="3057" t="s">
        <v>2631</v>
      </c>
      <c r="E274" s="639">
        <v>60.001804563224233</v>
      </c>
      <c r="F274" s="639">
        <v>494.7442236823905</v>
      </c>
      <c r="G274" s="639">
        <v>554.57465949410221</v>
      </c>
      <c r="H274" s="639">
        <v>611.66212078960245</v>
      </c>
      <c r="I274" s="639">
        <v>685.45733946399639</v>
      </c>
      <c r="J274" s="1773">
        <v>756.87464831284228</v>
      </c>
      <c r="K274" s="1773">
        <v>828.29195716168806</v>
      </c>
      <c r="L274" s="1773">
        <v>899.70926601053395</v>
      </c>
    </row>
    <row r="275" spans="4:13">
      <c r="D275" s="3057" t="s">
        <v>2632</v>
      </c>
      <c r="E275" s="639">
        <v>1446.710176691073</v>
      </c>
      <c r="F275" s="639">
        <v>1154.8572490031131</v>
      </c>
      <c r="G275" s="639">
        <v>1294.2855211050323</v>
      </c>
      <c r="H275" s="639">
        <v>1427.5182127300195</v>
      </c>
      <c r="I275" s="639">
        <v>1599.7440463881539</v>
      </c>
      <c r="J275" s="1773">
        <v>1766.4202318519265</v>
      </c>
      <c r="K275" s="1773">
        <v>1933.096417315699</v>
      </c>
      <c r="L275" s="1773">
        <v>2099.7726027794715</v>
      </c>
    </row>
    <row r="276" spans="4:13">
      <c r="D276" s="3057" t="s">
        <v>2633</v>
      </c>
      <c r="E276" s="639">
        <v>0</v>
      </c>
      <c r="F276" s="639">
        <v>30.785295856888833</v>
      </c>
      <c r="G276" s="639">
        <v>34.608794539857506</v>
      </c>
      <c r="H276" s="639">
        <v>38.171395507922561</v>
      </c>
      <c r="I276" s="639">
        <v>42.77666103421933</v>
      </c>
      <c r="J276" s="1773">
        <v>47.233530684184892</v>
      </c>
      <c r="K276" s="1773">
        <v>51.690400334150461</v>
      </c>
      <c r="L276" s="1773">
        <v>56.147269984116029</v>
      </c>
    </row>
    <row r="277" spans="4:13">
      <c r="D277" s="3057" t="s">
        <v>2634</v>
      </c>
      <c r="E277" s="3060">
        <v>0</v>
      </c>
      <c r="F277" s="3060">
        <v>280.06446142373204</v>
      </c>
      <c r="G277" s="3060">
        <v>313.98099142786384</v>
      </c>
      <c r="H277" s="3060">
        <v>346.30193755982754</v>
      </c>
      <c r="I277" s="3060">
        <v>388.08223805743557</v>
      </c>
      <c r="J277" s="1776">
        <v>428.51624825531593</v>
      </c>
      <c r="K277" s="1776">
        <v>468.95025845319628</v>
      </c>
      <c r="L277" s="1776">
        <v>509.3842686510767</v>
      </c>
    </row>
    <row r="278" spans="4:13">
      <c r="D278" s="3057" t="s">
        <v>2635</v>
      </c>
      <c r="E278" s="3060">
        <v>770.02315856137761</v>
      </c>
      <c r="F278" s="3060">
        <v>448.70249802031776</v>
      </c>
      <c r="G278" s="3060">
        <v>502.86995439841149</v>
      </c>
      <c r="H278" s="3060">
        <v>554.63497569342906</v>
      </c>
      <c r="I278" s="3060">
        <v>621.55003864178934</v>
      </c>
      <c r="J278" s="1776">
        <v>686.30889162803589</v>
      </c>
      <c r="K278" s="1776">
        <v>751.06774461428256</v>
      </c>
      <c r="L278" s="1776">
        <v>815.82659760052934</v>
      </c>
    </row>
    <row r="279" spans="4:13">
      <c r="D279" s="3057" t="s">
        <v>2636</v>
      </c>
      <c r="E279" s="3060">
        <v>0</v>
      </c>
      <c r="F279" s="3060">
        <v>11.169886107366747</v>
      </c>
      <c r="G279" s="3060">
        <v>12.509202845731629</v>
      </c>
      <c r="H279" s="3060">
        <v>13.796889942622613</v>
      </c>
      <c r="I279" s="3060">
        <v>15.46144374730819</v>
      </c>
      <c r="J279" s="1776">
        <v>17.072360488259598</v>
      </c>
      <c r="K279" s="1776">
        <v>18.683277229211008</v>
      </c>
      <c r="L279" s="1776">
        <v>20.294193970162421</v>
      </c>
    </row>
    <row r="280" spans="4:13">
      <c r="D280" s="3057" t="s">
        <v>2637</v>
      </c>
      <c r="E280" s="3060">
        <v>166.67167934228954</v>
      </c>
      <c r="F280" s="3060">
        <v>168.3656003500646</v>
      </c>
      <c r="G280" s="3060">
        <v>188.8889629705476</v>
      </c>
      <c r="H280" s="3060">
        <v>208.33303813360146</v>
      </c>
      <c r="I280" s="3060">
        <v>233.46780058435368</v>
      </c>
      <c r="J280" s="1776">
        <v>257.79264337271997</v>
      </c>
      <c r="K280" s="1776">
        <v>282.11748616108622</v>
      </c>
      <c r="L280" s="1776">
        <v>306.44232894945253</v>
      </c>
    </row>
    <row r="281" spans="4:13">
      <c r="D281" s="3057" t="s">
        <v>2638</v>
      </c>
      <c r="E281" s="3060">
        <v>0</v>
      </c>
      <c r="F281" s="3060">
        <v>1.0897449860845605</v>
      </c>
      <c r="G281" s="3060">
        <v>1.2509202845731628</v>
      </c>
      <c r="H281" s="3060">
        <v>1.3796889942622612</v>
      </c>
      <c r="I281" s="3060">
        <v>1.546144374730819</v>
      </c>
      <c r="J281" s="1776">
        <v>1.7072360488259599</v>
      </c>
      <c r="K281" s="1776">
        <v>1.8683277229211008</v>
      </c>
      <c r="L281" s="1776">
        <v>2.029419397016242</v>
      </c>
    </row>
    <row r="282" spans="4:13">
      <c r="D282" s="3057" t="s">
        <v>2639</v>
      </c>
      <c r="E282" s="3060">
        <v>0</v>
      </c>
      <c r="F282" s="3060">
        <v>3.2692349582536813</v>
      </c>
      <c r="G282" s="3060">
        <v>3.7527608537194883</v>
      </c>
      <c r="H282" s="3060">
        <v>4.1390669827867841</v>
      </c>
      <c r="I282" s="3060">
        <v>4.6384331241924572</v>
      </c>
      <c r="J282" s="1776">
        <v>5.1217081464778795</v>
      </c>
      <c r="K282" s="1776">
        <v>5.6049831687633027</v>
      </c>
      <c r="L282" s="1776">
        <v>6.0882581910487259</v>
      </c>
    </row>
    <row r="283" spans="4:13">
      <c r="D283" s="3057" t="s">
        <v>2640</v>
      </c>
      <c r="E283" s="3060">
        <v>0</v>
      </c>
      <c r="F283" s="3061">
        <v>223.12528590081376</v>
      </c>
      <c r="G283" s="3061">
        <v>250.18405691463258</v>
      </c>
      <c r="H283" s="3061">
        <v>275.93779885245226</v>
      </c>
      <c r="I283" s="3061">
        <v>309.22887494616384</v>
      </c>
      <c r="J283" s="1794">
        <v>341.44720976519199</v>
      </c>
      <c r="K283" s="1794">
        <v>373.66554458422019</v>
      </c>
      <c r="L283" s="1794">
        <v>405.88387940324844</v>
      </c>
    </row>
    <row r="284" spans="4:13" ht="15.75">
      <c r="D284" s="3062" t="s">
        <v>1962</v>
      </c>
      <c r="E284" s="3063">
        <v>3873.4498279148088</v>
      </c>
      <c r="F284" s="3063">
        <v>4336.3677358769874</v>
      </c>
      <c r="G284" s="3063">
        <v>4833.9729530188915</v>
      </c>
      <c r="H284" s="3063">
        <v>5331.5781701607975</v>
      </c>
      <c r="I284" s="3063">
        <v>5974.8172454181276</v>
      </c>
      <c r="J284" s="1797">
        <v>6597.3291713464496</v>
      </c>
      <c r="K284" s="1797">
        <v>7219.8410972747724</v>
      </c>
      <c r="L284" s="1797">
        <v>7842.3530232030962</v>
      </c>
    </row>
    <row r="285" spans="4:13">
      <c r="D285" s="1472"/>
      <c r="E285" s="1469"/>
      <c r="F285" s="1469"/>
      <c r="G285" s="1472"/>
      <c r="H285" s="1472"/>
      <c r="I285" s="1472"/>
      <c r="J285" s="1472"/>
      <c r="K285" s="1472"/>
      <c r="L285" s="1472"/>
    </row>
    <row r="286" spans="4:13">
      <c r="M286" s="1790"/>
    </row>
    <row r="287" spans="4:13">
      <c r="D287" s="2" t="s">
        <v>2665</v>
      </c>
    </row>
    <row r="288" spans="4:13">
      <c r="D288" s="2"/>
    </row>
    <row r="289" spans="3:13">
      <c r="D289" s="1466"/>
      <c r="E289" s="1326">
        <v>2018</v>
      </c>
      <c r="F289" s="1326">
        <v>2020</v>
      </c>
      <c r="G289" s="1326">
        <v>2025</v>
      </c>
      <c r="H289" s="1326">
        <v>2030</v>
      </c>
      <c r="I289" s="1326">
        <v>2035</v>
      </c>
      <c r="J289" s="1326">
        <v>2040</v>
      </c>
      <c r="K289" s="1326">
        <v>2045</v>
      </c>
      <c r="L289" s="1326">
        <v>2050</v>
      </c>
      <c r="M289" s="1503"/>
    </row>
    <row r="290" spans="3:13">
      <c r="D290" s="3064" t="s">
        <v>2671</v>
      </c>
      <c r="E290" s="1775" cm="1">
        <f t="array" ref="E290:L290">E258:L258*SF_CONTENIDO_CARBONO_ANDINA_TCA_HA*SF_FACTOR_CONVERSION_BIOMASA_TCO2_TC</f>
        <v>0</v>
      </c>
      <c r="F290" s="1775">
        <v>0</v>
      </c>
      <c r="G290" s="1775">
        <v>0</v>
      </c>
      <c r="H290" s="1775">
        <v>0</v>
      </c>
      <c r="I290" s="1775">
        <v>0</v>
      </c>
      <c r="J290" s="1775">
        <v>0</v>
      </c>
      <c r="K290" s="1775">
        <v>0</v>
      </c>
      <c r="L290" s="1775">
        <v>0</v>
      </c>
      <c r="M290" s="1503"/>
    </row>
    <row r="291" spans="3:13">
      <c r="D291" s="3065" t="s">
        <v>2608</v>
      </c>
      <c r="E291" s="1787">
        <f t="shared" ref="E291:L291" si="53">SUM(E290:E290)</f>
        <v>0</v>
      </c>
      <c r="F291" s="1787">
        <f t="shared" si="53"/>
        <v>0</v>
      </c>
      <c r="G291" s="1787">
        <f t="shared" si="53"/>
        <v>0</v>
      </c>
      <c r="H291" s="1787">
        <f t="shared" si="53"/>
        <v>0</v>
      </c>
      <c r="I291" s="1787">
        <f t="shared" si="53"/>
        <v>0</v>
      </c>
      <c r="J291" s="1787">
        <f t="shared" si="53"/>
        <v>0</v>
      </c>
      <c r="K291" s="1787">
        <f t="shared" si="53"/>
        <v>0</v>
      </c>
      <c r="L291" s="1787">
        <f t="shared" si="53"/>
        <v>0</v>
      </c>
    </row>
    <row r="292" spans="3:13">
      <c r="D292" s="3066"/>
      <c r="E292" s="2042"/>
      <c r="F292" s="2042"/>
      <c r="G292" s="2042"/>
      <c r="H292" s="2042"/>
      <c r="I292" s="2042"/>
      <c r="J292" s="2042"/>
      <c r="K292" s="2042"/>
      <c r="L292" s="2042"/>
    </row>
    <row r="293" spans="3:13">
      <c r="C293" s="623"/>
      <c r="D293" s="3067"/>
      <c r="E293" s="3059"/>
      <c r="F293" s="3059"/>
      <c r="G293" s="3059"/>
      <c r="H293" s="3059"/>
      <c r="I293" s="3059"/>
      <c r="J293" s="3059"/>
      <c r="K293" s="3059"/>
      <c r="L293" s="3059"/>
    </row>
    <row r="294" spans="3:13">
      <c r="C294" s="623"/>
      <c r="D294" s="3067" t="s">
        <v>2672</v>
      </c>
      <c r="E294" s="3612"/>
      <c r="F294" s="3612"/>
      <c r="G294" s="3612"/>
      <c r="H294" s="3612"/>
      <c r="I294" s="3612"/>
      <c r="J294" s="3612"/>
      <c r="K294" s="3612"/>
      <c r="L294" s="3612" t="s">
        <v>2673</v>
      </c>
    </row>
    <row r="295" spans="3:13">
      <c r="C295" s="623"/>
      <c r="D295" s="3067"/>
      <c r="E295" s="3612"/>
      <c r="F295" s="3612"/>
      <c r="G295" s="3612"/>
      <c r="H295" s="3612"/>
      <c r="I295" s="3612"/>
      <c r="J295" s="3612"/>
      <c r="K295" s="3612"/>
      <c r="L295" s="3612"/>
    </row>
    <row r="296" spans="3:13">
      <c r="C296" s="623"/>
      <c r="D296" s="1466"/>
      <c r="E296" s="1326">
        <v>2018</v>
      </c>
      <c r="F296" s="1326">
        <v>2020</v>
      </c>
      <c r="G296" s="1326">
        <v>2025</v>
      </c>
      <c r="H296" s="1326">
        <v>2030</v>
      </c>
      <c r="I296" s="1326">
        <v>2035</v>
      </c>
      <c r="J296" s="1326">
        <v>2040</v>
      </c>
      <c r="K296" s="1326">
        <v>2045</v>
      </c>
      <c r="L296" s="1326">
        <v>2050</v>
      </c>
    </row>
    <row r="297" spans="3:13">
      <c r="C297" s="623"/>
      <c r="D297" s="3064" t="s">
        <v>2607</v>
      </c>
      <c r="E297" s="3613" cm="1">
        <f t="array" ref="E297:L297">(CHOOSE(TRAYECTORIA_4_DESARROLLO_AREAS_VERDES,E21:L21,E27:L27,E33:L33,E39:L39))*SF_CONTENIDO_CARBONO_ANDINA_TCA_HA*SF_FACTOR_CONVERSION_BIOMASA_TCO2_TC*UNIDAD_T_A_MT</f>
        <v>9.6194261919669927E-2</v>
      </c>
      <c r="F297" s="3613">
        <v>0.10554864977708189</v>
      </c>
      <c r="G297" s="3613">
        <v>0.11525766295412736</v>
      </c>
      <c r="H297" s="3613">
        <v>0.10442369987864994</v>
      </c>
      <c r="I297" s="3613">
        <v>0.10945825527111679</v>
      </c>
      <c r="J297" s="3613">
        <v>0.11223434442385447</v>
      </c>
      <c r="K297" s="3613">
        <v>0.1150104335765922</v>
      </c>
      <c r="L297" s="3613">
        <v>0.11778652272932985</v>
      </c>
    </row>
    <row r="298" spans="3:13">
      <c r="C298" s="623"/>
      <c r="D298" s="3065" t="s">
        <v>2608</v>
      </c>
      <c r="E298" s="3614">
        <f t="shared" ref="E298:L298" si="54">SUM(E297:E297)</f>
        <v>9.6194261919669927E-2</v>
      </c>
      <c r="F298" s="3614">
        <f t="shared" si="54"/>
        <v>0.10554864977708189</v>
      </c>
      <c r="G298" s="3614">
        <f t="shared" si="54"/>
        <v>0.11525766295412736</v>
      </c>
      <c r="H298" s="3614">
        <f t="shared" si="54"/>
        <v>0.10442369987864994</v>
      </c>
      <c r="I298" s="3614">
        <f t="shared" si="54"/>
        <v>0.10945825527111679</v>
      </c>
      <c r="J298" s="3614">
        <f t="shared" si="54"/>
        <v>0.11223434442385447</v>
      </c>
      <c r="K298" s="3614">
        <f t="shared" si="54"/>
        <v>0.1150104335765922</v>
      </c>
      <c r="L298" s="3614">
        <f t="shared" si="54"/>
        <v>0.11778652272932985</v>
      </c>
    </row>
    <row r="299" spans="3:13">
      <c r="C299" s="623"/>
      <c r="D299" s="3067"/>
      <c r="E299" s="3612"/>
      <c r="F299" s="3612"/>
      <c r="G299" s="3612"/>
      <c r="H299" s="3612"/>
      <c r="I299" s="3612"/>
      <c r="J299" s="3612"/>
      <c r="K299" s="3612"/>
      <c r="L299" s="3612"/>
    </row>
    <row r="300" spans="3:13">
      <c r="D300" s="1354" t="s">
        <v>2674</v>
      </c>
      <c r="E300" s="3615"/>
      <c r="F300" s="3615"/>
      <c r="G300" s="3616"/>
      <c r="H300" s="3616"/>
      <c r="I300" s="3616"/>
      <c r="J300" s="3616"/>
      <c r="K300" s="3616"/>
      <c r="L300" s="3616"/>
    </row>
    <row r="301" spans="3:13">
      <c r="D301" s="1463"/>
      <c r="E301" s="1464"/>
      <c r="F301" s="1464"/>
      <c r="G301" s="1464"/>
      <c r="H301" s="1464"/>
      <c r="I301" s="1464"/>
      <c r="J301" s="1464"/>
      <c r="K301" s="1464"/>
      <c r="L301" s="1465" t="s">
        <v>2675</v>
      </c>
    </row>
    <row r="302" spans="3:13">
      <c r="D302" s="1466"/>
      <c r="E302" s="1326">
        <v>2018</v>
      </c>
      <c r="F302" s="1326">
        <v>2020</v>
      </c>
      <c r="G302" s="1326">
        <v>2025</v>
      </c>
      <c r="H302" s="1326">
        <v>2030</v>
      </c>
      <c r="I302" s="1326">
        <v>2035</v>
      </c>
      <c r="J302" s="1326">
        <v>2040</v>
      </c>
      <c r="K302" s="1326">
        <v>2045</v>
      </c>
      <c r="L302" s="1326">
        <v>2050</v>
      </c>
    </row>
    <row r="303" spans="3:13">
      <c r="D303" s="3057" t="s">
        <v>2621</v>
      </c>
      <c r="E303" s="1367" cm="1">
        <f t="array" ref="E303:L322">E264:L283*SF_BIOMASA_AEREA_SUBTERRANEA_REFORESTACION_COMERCIAL*SF_TOTAL_DESCUENTO_5_ANOS</f>
        <v>9560.6375376003471</v>
      </c>
      <c r="F303" s="1773">
        <v>17440.306981692447</v>
      </c>
      <c r="G303" s="1773">
        <v>18776.000115911891</v>
      </c>
      <c r="H303" s="1773">
        <v>20708.786191783482</v>
      </c>
      <c r="I303" s="1773">
        <v>23207.239755543724</v>
      </c>
      <c r="J303" s="1773">
        <v>25625.185430247431</v>
      </c>
      <c r="K303" s="1773">
        <v>28043.131104951135</v>
      </c>
      <c r="L303" s="1773">
        <v>30461.076779654843</v>
      </c>
    </row>
    <row r="304" spans="3:13">
      <c r="D304" s="3057" t="s">
        <v>2622</v>
      </c>
      <c r="E304" s="1773">
        <v>0</v>
      </c>
      <c r="F304" s="1773">
        <v>3.8493879452204491</v>
      </c>
      <c r="G304" s="1773">
        <v>5.891626053625501</v>
      </c>
      <c r="H304" s="1773">
        <v>6.4981052148095397</v>
      </c>
      <c r="I304" s="1773">
        <v>7.2820823142530351</v>
      </c>
      <c r="J304" s="1773">
        <v>8.040797250628799</v>
      </c>
      <c r="K304" s="1773">
        <v>8.7995121870045629</v>
      </c>
      <c r="L304" s="1773">
        <v>9.5582271233803286</v>
      </c>
    </row>
    <row r="305" spans="4:13">
      <c r="D305" s="3057" t="s">
        <v>2623</v>
      </c>
      <c r="E305" s="1773">
        <v>223.14271105032674</v>
      </c>
      <c r="F305" s="1773">
        <v>24.316133721496449</v>
      </c>
      <c r="G305" s="1773">
        <v>27.912534861851729</v>
      </c>
      <c r="H305" s="1773">
        <v>30.785828342370394</v>
      </c>
      <c r="I305" s="1773">
        <v>34.500047119993603</v>
      </c>
      <c r="J305" s="1773">
        <v>38.094582299082944</v>
      </c>
      <c r="K305" s="1773">
        <v>41.689117478172278</v>
      </c>
      <c r="L305" s="1773">
        <v>45.283652657261619</v>
      </c>
    </row>
    <row r="306" spans="4:13">
      <c r="D306" s="3057" t="s">
        <v>2624</v>
      </c>
      <c r="E306" s="1773">
        <v>0</v>
      </c>
      <c r="F306" s="1773">
        <v>33.154728380132489</v>
      </c>
      <c r="G306" s="1773">
        <v>38.058374013939272</v>
      </c>
      <c r="H306" s="1773">
        <v>41.97607186813331</v>
      </c>
      <c r="I306" s="1773">
        <v>47.040360300122849</v>
      </c>
      <c r="J306" s="1773">
        <v>51.941461720295642</v>
      </c>
      <c r="K306" s="1773">
        <v>56.842563140468442</v>
      </c>
      <c r="L306" s="1773">
        <v>61.743664560641243</v>
      </c>
    </row>
    <row r="307" spans="4:13">
      <c r="D307" s="3057" t="s">
        <v>2625</v>
      </c>
      <c r="E307" s="1773">
        <v>0</v>
      </c>
      <c r="F307" s="1773">
        <v>40.368581373578081</v>
      </c>
      <c r="G307" s="1773">
        <v>49.428447151195755</v>
      </c>
      <c r="H307" s="1773">
        <v>54.516571022947566</v>
      </c>
      <c r="I307" s="1773">
        <v>61.093833441655335</v>
      </c>
      <c r="J307" s="1773">
        <v>67.459156154626029</v>
      </c>
      <c r="K307" s="1773">
        <v>73.824478867596724</v>
      </c>
      <c r="L307" s="1773">
        <v>80.189801580567433</v>
      </c>
    </row>
    <row r="308" spans="4:13" ht="15.75" customHeight="1">
      <c r="D308" s="3057" t="s">
        <v>2626</v>
      </c>
      <c r="E308" s="1773">
        <v>8527.1956233472556</v>
      </c>
      <c r="F308" s="1773">
        <v>5737.452741889595</v>
      </c>
      <c r="G308" s="1773">
        <v>6430.3884761111267</v>
      </c>
      <c r="H308" s="1773">
        <v>7092.3273998619861</v>
      </c>
      <c r="I308" s="1773">
        <v>7947.9956415173192</v>
      </c>
      <c r="J308" s="1773">
        <v>8776.0916101203893</v>
      </c>
      <c r="K308" s="1773">
        <v>9604.1875787234621</v>
      </c>
      <c r="L308" s="1773">
        <v>10432.283547326535</v>
      </c>
    </row>
    <row r="309" spans="4:13">
      <c r="D309" s="3057" t="s">
        <v>2627</v>
      </c>
      <c r="E309" s="1773">
        <v>0</v>
      </c>
      <c r="F309" s="1773">
        <v>144.29705668940659</v>
      </c>
      <c r="G309" s="1773">
        <v>160.61949885416433</v>
      </c>
      <c r="H309" s="1773">
        <v>177.15353853153491</v>
      </c>
      <c r="I309" s="1773">
        <v>198.52658693610357</v>
      </c>
      <c r="J309" s="1773">
        <v>219.21092972103867</v>
      </c>
      <c r="K309" s="1773">
        <v>239.89527250597382</v>
      </c>
      <c r="L309" s="1773">
        <v>260.57961529090898</v>
      </c>
    </row>
    <row r="310" spans="4:13">
      <c r="D310" s="3057" t="s">
        <v>2628</v>
      </c>
      <c r="E310" s="1773">
        <v>10020.135357065819</v>
      </c>
      <c r="F310" s="1773">
        <v>13618.914585164506</v>
      </c>
      <c r="G310" s="1773">
        <v>15264.024779732947</v>
      </c>
      <c r="H310" s="1773">
        <v>16835.290990528556</v>
      </c>
      <c r="I310" s="1773">
        <v>18866.418859766763</v>
      </c>
      <c r="J310" s="1773">
        <v>20832.097516929094</v>
      </c>
      <c r="K310" s="1773">
        <v>22797.776174091425</v>
      </c>
      <c r="L310" s="1773">
        <v>24763.454831253759</v>
      </c>
    </row>
    <row r="311" spans="4:13">
      <c r="D311" s="3057" t="s">
        <v>2629</v>
      </c>
      <c r="E311" s="1773">
        <v>174.0244004764746</v>
      </c>
      <c r="F311" s="1773">
        <v>93.870074607018665</v>
      </c>
      <c r="G311" s="1773">
        <v>104.48837063416862</v>
      </c>
      <c r="H311" s="1773">
        <v>115.24431793953126</v>
      </c>
      <c r="I311" s="1773">
        <v>129.1482027057655</v>
      </c>
      <c r="J311" s="1773">
        <v>142.60406136959335</v>
      </c>
      <c r="K311" s="1773">
        <v>156.05992003342121</v>
      </c>
      <c r="L311" s="1773">
        <v>169.51577869724906</v>
      </c>
    </row>
    <row r="312" spans="4:13">
      <c r="D312" s="3057" t="s">
        <v>2630</v>
      </c>
      <c r="E312" s="1773">
        <v>0</v>
      </c>
      <c r="F312" s="1773">
        <v>668.69367734115235</v>
      </c>
      <c r="G312" s="1773">
        <v>744.33426298271263</v>
      </c>
      <c r="H312" s="1773">
        <v>820.95542246321043</v>
      </c>
      <c r="I312" s="1773">
        <v>920.00125653316275</v>
      </c>
      <c r="J312" s="1773">
        <v>1015.855527975545</v>
      </c>
      <c r="K312" s="1773">
        <v>1111.7097994179273</v>
      </c>
      <c r="L312" s="1773">
        <v>1207.5640708603096</v>
      </c>
    </row>
    <row r="313" spans="4:13">
      <c r="D313" s="3057" t="s">
        <v>2631</v>
      </c>
      <c r="E313" s="1773">
        <v>4877.5766938467796</v>
      </c>
      <c r="F313" s="1773">
        <v>40218.005315253366</v>
      </c>
      <c r="G313" s="1773">
        <v>45081.651357605311</v>
      </c>
      <c r="H313" s="1773">
        <v>49722.319630047175</v>
      </c>
      <c r="I313" s="1773">
        <v>55721.169853697997</v>
      </c>
      <c r="J313" s="1773">
        <v>61526.718598675099</v>
      </c>
      <c r="K313" s="1773">
        <v>67332.267343652202</v>
      </c>
      <c r="L313" s="1773">
        <v>73137.816088629304</v>
      </c>
    </row>
    <row r="314" spans="4:13">
      <c r="D314" s="3057" t="s">
        <v>2632</v>
      </c>
      <c r="E314" s="1773">
        <v>80490.903442596566</v>
      </c>
      <c r="F314" s="1773">
        <v>64253.023734236005</v>
      </c>
      <c r="G314" s="1773">
        <v>72010.422394824898</v>
      </c>
      <c r="H314" s="1773">
        <v>79423.116305302639</v>
      </c>
      <c r="I314" s="1773">
        <v>89005.279457707002</v>
      </c>
      <c r="J314" s="1773">
        <v>98278.675723592009</v>
      </c>
      <c r="K314" s="1773">
        <v>107552.07198947702</v>
      </c>
      <c r="L314" s="1773">
        <v>116825.46825536201</v>
      </c>
      <c r="M314" s="1792"/>
    </row>
    <row r="315" spans="4:13">
      <c r="D315" s="3057" t="s">
        <v>2633</v>
      </c>
      <c r="E315" s="1773">
        <v>0</v>
      </c>
      <c r="F315" s="1773">
        <v>1175.5780824447068</v>
      </c>
      <c r="G315" s="1773">
        <v>1321.5835413770876</v>
      </c>
      <c r="H315" s="1773">
        <v>1457.6262688539587</v>
      </c>
      <c r="I315" s="1773">
        <v>1633.4845500840613</v>
      </c>
      <c r="J315" s="1773">
        <v>1803.6761344420236</v>
      </c>
      <c r="K315" s="1773">
        <v>1973.8677187999863</v>
      </c>
      <c r="L315" s="1773">
        <v>2144.0593031579488</v>
      </c>
      <c r="M315" s="1792"/>
    </row>
    <row r="316" spans="4:13">
      <c r="D316" s="3057" t="s">
        <v>2634</v>
      </c>
      <c r="E316" s="1773">
        <v>0</v>
      </c>
      <c r="F316" s="1773">
        <v>6459.9528639767323</v>
      </c>
      <c r="G316" s="1773">
        <v>7242.2698492255358</v>
      </c>
      <c r="H316" s="1773">
        <v>7987.7831766581039</v>
      </c>
      <c r="I316" s="1773">
        <v>8951.485498920907</v>
      </c>
      <c r="J316" s="1773">
        <v>9884.1343564447052</v>
      </c>
      <c r="K316" s="1773">
        <v>10816.783213968503</v>
      </c>
      <c r="L316" s="1773">
        <v>11749.432071492303</v>
      </c>
    </row>
    <row r="317" spans="4:13">
      <c r="D317" s="3057" t="s">
        <v>2635</v>
      </c>
      <c r="E317" s="1773">
        <v>15924.425429470642</v>
      </c>
      <c r="F317" s="1773">
        <v>9279.3695751842806</v>
      </c>
      <c r="G317" s="1773">
        <v>10399.576948438629</v>
      </c>
      <c r="H317" s="1773">
        <v>11470.100883079174</v>
      </c>
      <c r="I317" s="1773">
        <v>12853.934496629592</v>
      </c>
      <c r="J317" s="1773">
        <v>14193.176717869015</v>
      </c>
      <c r="K317" s="1773">
        <v>15532.41893910844</v>
      </c>
      <c r="L317" s="1773">
        <v>16871.661160347867</v>
      </c>
    </row>
    <row r="318" spans="4:13">
      <c r="D318" s="3057" t="s">
        <v>2636</v>
      </c>
      <c r="E318" s="1773">
        <v>0</v>
      </c>
      <c r="F318" s="1773">
        <v>360.33270690337605</v>
      </c>
      <c r="G318" s="1773">
        <v>403.53812736131027</v>
      </c>
      <c r="H318" s="1773">
        <v>445.07801172604559</v>
      </c>
      <c r="I318" s="1773">
        <v>498.77535227753901</v>
      </c>
      <c r="J318" s="1773">
        <v>550.74239869891278</v>
      </c>
      <c r="K318" s="1773">
        <v>602.70944512028655</v>
      </c>
      <c r="L318" s="1773">
        <v>654.67649154166054</v>
      </c>
    </row>
    <row r="319" spans="4:13">
      <c r="D319" s="3057" t="s">
        <v>2637</v>
      </c>
      <c r="E319" s="1773">
        <v>3529.4228145843886</v>
      </c>
      <c r="F319" s="1773">
        <v>3565.2931164529327</v>
      </c>
      <c r="G319" s="1773">
        <v>3999.8937909680185</v>
      </c>
      <c r="H319" s="1773">
        <v>4411.6395822133309</v>
      </c>
      <c r="I319" s="1773">
        <v>4943.8907983942145</v>
      </c>
      <c r="J319" s="1773">
        <v>5458.9912367963807</v>
      </c>
      <c r="K319" s="1773">
        <v>5974.0916751985451</v>
      </c>
      <c r="L319" s="1773">
        <v>6489.1921136007113</v>
      </c>
    </row>
    <row r="320" spans="4:13">
      <c r="D320" s="3057" t="s">
        <v>2638</v>
      </c>
      <c r="E320" s="1773">
        <v>0</v>
      </c>
      <c r="F320" s="1773">
        <v>11.378190861456808</v>
      </c>
      <c r="G320" s="1773">
        <v>13.061046329271077</v>
      </c>
      <c r="H320" s="1773">
        <v>14.405539742441407</v>
      </c>
      <c r="I320" s="1773">
        <v>16.143525338220687</v>
      </c>
      <c r="J320" s="1773">
        <v>17.825507671199169</v>
      </c>
      <c r="K320" s="1773">
        <v>19.507490004177651</v>
      </c>
      <c r="L320" s="1773">
        <v>21.189472337156133</v>
      </c>
    </row>
    <row r="321" spans="4:12">
      <c r="D321" s="3057" t="s">
        <v>2639</v>
      </c>
      <c r="E321" s="1773">
        <v>0</v>
      </c>
      <c r="F321" s="1773">
        <v>76.727800237978499</v>
      </c>
      <c r="G321" s="1773">
        <v>88.075983770497587</v>
      </c>
      <c r="H321" s="1773">
        <v>97.142453412561835</v>
      </c>
      <c r="I321" s="1773">
        <v>108.86240197320349</v>
      </c>
      <c r="J321" s="1773">
        <v>120.20469759998456</v>
      </c>
      <c r="K321" s="1773">
        <v>131.54699322676564</v>
      </c>
      <c r="L321" s="1773">
        <v>142.88928885354673</v>
      </c>
    </row>
    <row r="322" spans="4:12">
      <c r="D322" s="3057" t="s">
        <v>2640</v>
      </c>
      <c r="E322" s="1773">
        <v>0</v>
      </c>
      <c r="F322" s="1773">
        <v>5048.3323124131566</v>
      </c>
      <c r="G322" s="1773">
        <v>5660.5518889248651</v>
      </c>
      <c r="H322" s="1773">
        <v>6243.2444648261016</v>
      </c>
      <c r="I322" s="1773">
        <v>6996.4733715381772</v>
      </c>
      <c r="J322" s="1773">
        <v>7725.4309169028393</v>
      </c>
      <c r="K322" s="1773">
        <v>8454.3884622675032</v>
      </c>
      <c r="L322" s="1773">
        <v>9183.346007632168</v>
      </c>
    </row>
    <row r="323" spans="4:12" ht="15.75">
      <c r="D323" s="3062" t="s">
        <v>1962</v>
      </c>
      <c r="E323" s="1797">
        <f t="shared" ref="E323:L323" si="55">SUM(E303:E321)</f>
        <v>133327.46401003859</v>
      </c>
      <c r="F323" s="1797">
        <f t="shared" si="55"/>
        <v>163204.88533435535</v>
      </c>
      <c r="G323" s="1797">
        <f t="shared" si="55"/>
        <v>182161.21952620818</v>
      </c>
      <c r="H323" s="1797">
        <f t="shared" si="55"/>
        <v>200912.74628859197</v>
      </c>
      <c r="I323" s="1797">
        <f t="shared" si="55"/>
        <v>225152.27256120159</v>
      </c>
      <c r="J323" s="1797">
        <f t="shared" si="55"/>
        <v>248610.72644557705</v>
      </c>
      <c r="K323" s="1797">
        <f t="shared" si="55"/>
        <v>272069.18032995251</v>
      </c>
      <c r="L323" s="1797">
        <f t="shared" si="55"/>
        <v>295527.63421432802</v>
      </c>
    </row>
    <row r="324" spans="4:12">
      <c r="D324" s="1472"/>
      <c r="E324" s="1469"/>
      <c r="F324" s="1469"/>
      <c r="G324" s="1472"/>
      <c r="H324" s="1472"/>
      <c r="I324" s="1472"/>
      <c r="J324" s="1472"/>
      <c r="K324" s="1472"/>
      <c r="L324" s="1472"/>
    </row>
    <row r="325" spans="4:12">
      <c r="D325" s="2135"/>
      <c r="E325" s="1468"/>
      <c r="F325" s="1775"/>
      <c r="G325" s="1775"/>
      <c r="H325" s="1775"/>
      <c r="I325" s="1775"/>
      <c r="J325" s="1775"/>
      <c r="K325" s="1775"/>
      <c r="L325" s="1775"/>
    </row>
    <row r="326" spans="4:12">
      <c r="L326" s="3074" t="s">
        <v>1716</v>
      </c>
    </row>
    <row r="327" spans="4:12">
      <c r="D327" s="1466"/>
      <c r="E327" s="1326">
        <v>2018</v>
      </c>
      <c r="F327" s="1326">
        <v>2020</v>
      </c>
      <c r="G327" s="1326">
        <v>2025</v>
      </c>
      <c r="H327" s="1326">
        <v>2030</v>
      </c>
      <c r="I327" s="1326">
        <v>2035</v>
      </c>
      <c r="J327" s="1326">
        <v>2040</v>
      </c>
      <c r="K327" s="1326">
        <v>2045</v>
      </c>
      <c r="L327" s="1326">
        <v>2050</v>
      </c>
    </row>
    <row r="328" spans="4:12">
      <c r="D328" s="3617" t="s">
        <v>2676</v>
      </c>
      <c r="E328" s="1468" cm="1">
        <f t="array" ref="E328:L328">-(E323:L323)*UNIDAD_T_A_MT</f>
        <v>-0.13332746401003859</v>
      </c>
      <c r="F328" s="1468">
        <v>-0.16320488533435534</v>
      </c>
      <c r="G328" s="1468">
        <v>-0.18216121952620817</v>
      </c>
      <c r="H328" s="1468">
        <v>-0.20091274628859196</v>
      </c>
      <c r="I328" s="1468">
        <v>-0.22515227256120157</v>
      </c>
      <c r="J328" s="1468">
        <v>-0.24861072644557705</v>
      </c>
      <c r="K328" s="1468">
        <v>-0.27206918032995248</v>
      </c>
      <c r="L328" s="1468">
        <v>-0.29552763421432798</v>
      </c>
    </row>
    <row r="329" spans="4:12" ht="15.75">
      <c r="D329" s="1795" t="s">
        <v>1962</v>
      </c>
      <c r="E329" s="1796" cm="1">
        <f t="array" ref="E329:L329">_xlfn.ANCHORARRAY(E328)</f>
        <v>-0.13332746401003859</v>
      </c>
      <c r="F329" s="1796">
        <v>-0.16320488533435534</v>
      </c>
      <c r="G329" s="1796">
        <v>-0.18216121952620817</v>
      </c>
      <c r="H329" s="1796">
        <v>-0.20091274628859196</v>
      </c>
      <c r="I329" s="1796">
        <v>-0.22515227256120157</v>
      </c>
      <c r="J329" s="1796">
        <v>-0.24861072644557705</v>
      </c>
      <c r="K329" s="1796">
        <v>-0.27206918032995248</v>
      </c>
      <c r="L329" s="1796">
        <v>-0.29552763421432798</v>
      </c>
    </row>
    <row r="375" spans="14:15">
      <c r="N375" s="1473"/>
      <c r="O375" s="1473"/>
    </row>
    <row r="376" spans="14:15">
      <c r="N376" s="1473"/>
      <c r="O376" s="1473"/>
    </row>
    <row r="377" spans="14:15">
      <c r="N377" s="207"/>
      <c r="O377" s="207"/>
    </row>
  </sheetData>
  <sheetProtection algorithmName="SHA-512" hashValue="59SS0IZD6y0K8I9066hUhcrBiaAp5MEImKns37JxXVJt8p+X65aKVGmwqEeP78aArUz38F/cazczfT+VLwYTWA==" saltValue="v60NqiMMjhM20ZSLw3Zjmw==" spinCount="100000" sheet="1" objects="1" scenarios="1"/>
  <mergeCells count="4">
    <mergeCell ref="D7:I8"/>
    <mergeCell ref="L9:L10"/>
    <mergeCell ref="L7:L8"/>
    <mergeCell ref="D9:I10"/>
  </mergeCells>
  <conditionalFormatting sqref="M61 G53:M53 G60:M60 M54">
    <cfRule type="cellIs" dxfId="1" priority="2" operator="equal">
      <formula>TRUE</formula>
    </cfRule>
  </conditionalFormatting>
  <conditionalFormatting sqref="H62:M62">
    <cfRule type="cellIs" dxfId="0" priority="3" operator="equal">
      <formula>TRUE</formula>
    </cfRule>
  </conditionalFormatting>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7108" r:id="rId5" name="Spinner 4">
              <controlPr defaultSize="0" autoPict="0">
                <anchor moveWithCells="1" sizeWithCells="1">
                  <from>
                    <xdr:col>12</xdr:col>
                    <xdr:colOff>9525</xdr:colOff>
                    <xdr:row>6</xdr:row>
                    <xdr:rowOff>57150</xdr:rowOff>
                  </from>
                  <to>
                    <xdr:col>12</xdr:col>
                    <xdr:colOff>200025</xdr:colOff>
                    <xdr:row>7</xdr:row>
                    <xdr:rowOff>161925</xdr:rowOff>
                  </to>
                </anchor>
              </controlPr>
            </control>
          </mc:Choice>
        </mc:AlternateContent>
        <mc:AlternateContent xmlns:mc="http://schemas.openxmlformats.org/markup-compatibility/2006">
          <mc:Choice Requires="x14">
            <control shapeId="47110" r:id="rId6" name="Spinner 6">
              <controlPr defaultSize="0" autoPict="0">
                <anchor moveWithCells="1" sizeWithCells="1">
                  <from>
                    <xdr:col>12</xdr:col>
                    <xdr:colOff>9525</xdr:colOff>
                    <xdr:row>8</xdr:row>
                    <xdr:rowOff>76200</xdr:rowOff>
                  </from>
                  <to>
                    <xdr:col>12</xdr:col>
                    <xdr:colOff>200025</xdr:colOff>
                    <xdr:row>9</xdr:row>
                    <xdr:rowOff>180975</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f2f4ec4-6a74-4d17-aed2-db434afbe957">
      <Terms xmlns="http://schemas.microsoft.com/office/infopath/2007/PartnerControls"/>
    </lcf76f155ced4ddcb4097134ff3c332f>
    <TaxCatchAll xmlns="7cc2443d-44ce-4d77-be2f-ce6dab12cb1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2CAFA5443E01DB49ABF7C5A29F095DD8" ma:contentTypeVersion="17" ma:contentTypeDescription="Crear nuevo documento." ma:contentTypeScope="" ma:versionID="89d274649d276a1cc2667366ab0cc0e9">
  <xsd:schema xmlns:xsd="http://www.w3.org/2001/XMLSchema" xmlns:xs="http://www.w3.org/2001/XMLSchema" xmlns:p="http://schemas.microsoft.com/office/2006/metadata/properties" xmlns:ns2="0f2f4ec4-6a74-4d17-aed2-db434afbe957" xmlns:ns3="7cc2443d-44ce-4d77-be2f-ce6dab12cb1e" targetNamespace="http://schemas.microsoft.com/office/2006/metadata/properties" ma:root="true" ma:fieldsID="194c6f98af2b2f2e8766dabebb54b124" ns2:_="" ns3:_="">
    <xsd:import namespace="0f2f4ec4-6a74-4d17-aed2-db434afbe957"/>
    <xsd:import namespace="7cc2443d-44ce-4d77-be2f-ce6dab12cb1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2f4ec4-6a74-4d17-aed2-db434afbe9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Etiquetas de imagen" ma:readOnly="false" ma:fieldId="{5cf76f15-5ced-4ddc-b409-7134ff3c332f}" ma:taxonomyMulti="true" ma:sspId="022c8e44-81e4-4e05-b6ee-54b8eab20e48"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cc2443d-44ce-4d77-be2f-ce6dab12cb1e"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22" nillable="true" ma:displayName="Taxonomy Catch All Column" ma:hidden="true" ma:list="{ad7eb819-a630-4408-81c1-f3c79c7ac97f}" ma:internalName="TaxCatchAll" ma:showField="CatchAllData" ma:web="7cc2443d-44ce-4d77-be2f-ce6dab12cb1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516B20C-7AAA-4618-AEB9-23503066A08D}">
  <ds:schemaRefs>
    <ds:schemaRef ds:uri="http://schemas.microsoft.com/sharepoint/v3/contenttype/forms"/>
  </ds:schemaRefs>
</ds:datastoreItem>
</file>

<file path=customXml/itemProps2.xml><?xml version="1.0" encoding="utf-8"?>
<ds:datastoreItem xmlns:ds="http://schemas.openxmlformats.org/officeDocument/2006/customXml" ds:itemID="{7F4F378B-FA76-489F-86CF-49D339438528}">
  <ds:schemaRefs>
    <ds:schemaRef ds:uri="http://schemas.microsoft.com/office/2006/metadata/properties"/>
    <ds:schemaRef ds:uri="http://schemas.microsoft.com/office/infopath/2007/PartnerControls"/>
    <ds:schemaRef ds:uri="0f2f4ec4-6a74-4d17-aed2-db434afbe957"/>
    <ds:schemaRef ds:uri="7cc2443d-44ce-4d77-be2f-ce6dab12cb1e"/>
  </ds:schemaRefs>
</ds:datastoreItem>
</file>

<file path=customXml/itemProps3.xml><?xml version="1.0" encoding="utf-8"?>
<ds:datastoreItem xmlns:ds="http://schemas.openxmlformats.org/officeDocument/2006/customXml" ds:itemID="{DAFF6979-2937-4BA4-BA07-3F7634781F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2f4ec4-6a74-4d17-aed2-db434afbe957"/>
    <ds:schemaRef ds:uri="7cc2443d-44ce-4d77-be2f-ce6dab12cb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54</vt:i4>
      </vt:variant>
      <vt:variant>
        <vt:lpstr>Rangos con nombre</vt:lpstr>
      </vt:variant>
      <vt:variant>
        <vt:i4>1088</vt:i4>
      </vt:variant>
    </vt:vector>
  </HeadingPairs>
  <TitlesOfParts>
    <vt:vector size="1142" baseType="lpstr">
      <vt:lpstr>INICIO</vt:lpstr>
      <vt:lpstr>DESPLEGABLES (ocultar)</vt:lpstr>
      <vt:lpstr>AJUSTES</vt:lpstr>
      <vt:lpstr>INFORMACIÓN</vt:lpstr>
      <vt:lpstr>EQUIVALENCIAS_IPCC</vt:lpstr>
      <vt:lpstr>CONTROL</vt:lpstr>
      <vt:lpstr>GLOSARIO</vt:lpstr>
      <vt:lpstr>COBENEFICIOS</vt:lpstr>
      <vt:lpstr>RESULTADOS_COBENEFICIOS_GENERAL</vt:lpstr>
      <vt:lpstr>RESULTADOS_COBENEFICIOS_CA</vt:lpstr>
      <vt:lpstr>RESULTADOS_COBENEFICIOS_SALUD</vt:lpstr>
      <vt:lpstr>RESULTADOS_COBENEFICIOS_EMPLEO</vt:lpstr>
      <vt:lpstr>INFO_TRAYECTORIAS</vt:lpstr>
      <vt:lpstr>RESULTADOS_Tipo</vt:lpstr>
      <vt:lpstr>RESULTADOS_Generales</vt:lpstr>
      <vt:lpstr>RESULTADOS_sectoriales</vt:lpstr>
      <vt:lpstr>RESULTADOS_ENERGÍA</vt:lpstr>
      <vt:lpstr>RESULTADOS_ELECTRICIDAD</vt:lpstr>
      <vt:lpstr>RESULTADOS_INDUSTRIA</vt:lpstr>
      <vt:lpstr>RESULTADOS_RESIDUOS</vt:lpstr>
      <vt:lpstr>RESULTADOS_EDIFICACIONES</vt:lpstr>
      <vt:lpstr>RESULTADOS_TRANSPORTE</vt:lpstr>
      <vt:lpstr>RESULTADOS_AGRICULTURA</vt:lpstr>
      <vt:lpstr>RESULTADOS_GANADERIA</vt:lpstr>
      <vt:lpstr>RESULTADOS_BOSQUES</vt:lpstr>
      <vt:lpstr>ESCENARIOS</vt:lpstr>
      <vt:lpstr>ESCENARIOS_DatosGen</vt:lpstr>
      <vt:lpstr>DGEN_CONSTANTES</vt:lpstr>
      <vt:lpstr>DGEN_CONVERSIONES</vt:lpstr>
      <vt:lpstr>DGEN_SupuestosGen</vt:lpstr>
      <vt:lpstr>DGEN_SupuestosCostos</vt:lpstr>
      <vt:lpstr>FUENTES</vt:lpstr>
      <vt:lpstr>DGEN_FE</vt:lpstr>
      <vt:lpstr>ENER_CombFosil</vt:lpstr>
      <vt:lpstr>ENER_Bioener</vt:lpstr>
      <vt:lpstr>ENER_Comb_fosil_IMPORT_EXPORT</vt:lpstr>
      <vt:lpstr>ELECT_ Electricidad</vt:lpstr>
      <vt:lpstr>ELECT_ Autogen</vt:lpstr>
      <vt:lpstr>ELECT_ IMPORTEXPORT</vt:lpstr>
      <vt:lpstr>IND_</vt:lpstr>
      <vt:lpstr>RES_SOL</vt:lpstr>
      <vt:lpstr>RES_AGU</vt:lpstr>
      <vt:lpstr>EDI_RES_URB_AER</vt:lpstr>
      <vt:lpstr>EDI_RES_URB_IRCO</vt:lpstr>
      <vt:lpstr>EDI_RES_RURAL</vt:lpstr>
      <vt:lpstr>EDI_COM_AEC</vt:lpstr>
      <vt:lpstr>EDI_COM_UTE</vt:lpstr>
      <vt:lpstr>TRANS_PAS</vt:lpstr>
      <vt:lpstr>TRANS_CAR</vt:lpstr>
      <vt:lpstr>TRANS_AVI</vt:lpstr>
      <vt:lpstr>TRANS_NAV</vt:lpstr>
      <vt:lpstr>AGRO_</vt:lpstr>
      <vt:lpstr>GANA_</vt:lpstr>
      <vt:lpstr>BOSQ_</vt:lpstr>
      <vt:lpstr>AJUSTES_PCG_</vt:lpstr>
      <vt:lpstr>AJUSTES_UNIDADES_AGRICULTURA_EMISIONES</vt:lpstr>
      <vt:lpstr>AJUSTES_UNIDADES_AGRICULTURA_ENERGIA</vt:lpstr>
      <vt:lpstr>AJUSTES_UNIDADES_BOSQUES_EMISIONES</vt:lpstr>
      <vt:lpstr>AJUSTES_UNIDADES_BOSQUES_SUPERFICIE</vt:lpstr>
      <vt:lpstr>AJUSTES_UNIDADES_EDIFICACIONES_EMISIONES</vt:lpstr>
      <vt:lpstr>AJUSTES_UNIDADES_EDIFICACIONES_ENERGIA</vt:lpstr>
      <vt:lpstr>AJUSTES_UNIDADES_ELECTRICIDAD_EMISIONES</vt:lpstr>
      <vt:lpstr>AJUSTES_UNIDADES_ELECTRICIDAD_ENERGIA</vt:lpstr>
      <vt:lpstr>AJUSTES_UNIDADES_ENERGIA_EMISIONES</vt:lpstr>
      <vt:lpstr>AJUSTES_UNIDADES_ENERGIA_ENERGIA</vt:lpstr>
      <vt:lpstr>AJUSTES_UNIDADES_GANADERIA_EMISIONES</vt:lpstr>
      <vt:lpstr>AJUSTES_UNIDADES_GANADERIA_ENERGIA</vt:lpstr>
      <vt:lpstr>AJUSTES_UNIDADES_GENERAL_EMISIONES</vt:lpstr>
      <vt:lpstr>AJUSTES_UNIDADES_GENERAL_ENERGIA</vt:lpstr>
      <vt:lpstr>AJUSTES_UNIDADES_INDUSTRIA_EMISIONES</vt:lpstr>
      <vt:lpstr>AJUSTES_UNIDADES_INDUSTRIA_ENERGIA</vt:lpstr>
      <vt:lpstr>AJUSTES_UNIDADES_RESIDUOS_EMISIONES</vt:lpstr>
      <vt:lpstr>AJUSTES_UNIDADES_RESIDUOS_ENERGIA</vt:lpstr>
      <vt:lpstr>AJUSTES_UNIDADES_TRANSPORTE_EMISIONES</vt:lpstr>
      <vt:lpstr>AJUSTES_UNIDADES_TRANSPORTE_ENERGIA</vt:lpstr>
      <vt:lpstr>TRANS_CAR!CAMBIO_UNIDAD_TJ</vt:lpstr>
      <vt:lpstr>RES_SOL!CANTIDAD_RESIDUOS_TIPO_GESTION</vt:lpstr>
      <vt:lpstr>EDI_COM_UTE!CONSUMO_ELECTRICIDAD_EQUIPAMIENTO</vt:lpstr>
      <vt:lpstr>COSTOS_2019_Euros_MMCOP</vt:lpstr>
      <vt:lpstr>COSTOS_2019_US_dolares_MMCOP</vt:lpstr>
      <vt:lpstr>COSTOS_AGRO_CAÑA_AZUCAR</vt:lpstr>
      <vt:lpstr>COSTOS_AGRO_ESCENARIO_ALTO_CAÑA_AZUCAR</vt:lpstr>
      <vt:lpstr>COSTOS_AGRO_ESCENARIO_ALTO_PALMA_ACEITE</vt:lpstr>
      <vt:lpstr>COSTOS_AGRO_ESCENARIO_ALTO_PLANTACIONES_MANGO_AGUACATE</vt:lpstr>
      <vt:lpstr>COSTOS_AGRO_ESCENARIO_ALTO_SISTEMAS_AGROFORESTALES</vt:lpstr>
      <vt:lpstr>COSTOS_AGRO_ESCENARIO_ALTO_USO_BIODIGESTORES</vt:lpstr>
      <vt:lpstr>COSTOS_AGRO_ESCENARIO_ALTO_USO_EFICIENTE_FERTILIZANTES</vt:lpstr>
      <vt:lpstr>COSTOS_AGRO_ESCENARIO_BAJO_CAÑA_AZUCAR</vt:lpstr>
      <vt:lpstr>COSTOS_AGRO_ESCENARIO_BAJO_PALMA_ACEITE</vt:lpstr>
      <vt:lpstr>COSTOS_AGRO_ESCENARIO_BAJO_PLANTACIONES_MANGO_AGUACATE</vt:lpstr>
      <vt:lpstr>COSTOS_AGRO_ESCENARIO_BAJO_USO_BIODIGESTORES</vt:lpstr>
      <vt:lpstr>COSTOS_AGRO_ESCENARIO_BAJO_USO_EFICIENTE_FERTILIZANTES</vt:lpstr>
      <vt:lpstr>COSTOS_AGRO_ESCENARIO_MEDIO_CAÑA_AZUCAR</vt:lpstr>
      <vt:lpstr>COSTOS_AGRO_ESCENARIO_MEDIO_PALMA_ACEITE</vt:lpstr>
      <vt:lpstr>COSTOS_AGRO_ESCENARIO_MEDIO_PLANTACIONES_MANGO_AGUACATE</vt:lpstr>
      <vt:lpstr>COSTOS_AGRO_ESCENARIO_MEDIO_SISTEMAS_AGROFORESTALES</vt:lpstr>
      <vt:lpstr>COSTOS_AGRO_ESCENARIO_MEDIO_USO_BIODIGESTORES</vt:lpstr>
      <vt:lpstr>COSTOS_AGRO_ESCENARIO_MEDIO_USO_EFICIENTE_FERTILIZANTES</vt:lpstr>
      <vt:lpstr>COSTOS_AGRO_PLANTACIONES_MANGO_AGUACATE</vt:lpstr>
      <vt:lpstr>COSTOS_AGRO_SISTEMAS_AGROFORESTALES</vt:lpstr>
      <vt:lpstr>COSTOS_AGRO_USO_BIODIGESTORES</vt:lpstr>
      <vt:lpstr>COSTOS_AGRO_USO_EFICIENTE_FERTILIZANTES</vt:lpstr>
      <vt:lpstr>COSTOS_ALTO</vt:lpstr>
      <vt:lpstr>COSTOS_BAJO</vt:lpstr>
      <vt:lpstr>COSTOS_Billones_de_pesos_Colombianos_BCOP_MMCOP</vt:lpstr>
      <vt:lpstr>COSTOS_CAPITAL_AGUAS_RESIDUALES_TRATAMIENTO_CON_EXTRACCIÓN</vt:lpstr>
      <vt:lpstr>COSTOS_CAPITAL_AGUAS_RESIDUALES_TRATAMIENTO_SIN_EXTRACCIÓN</vt:lpstr>
      <vt:lpstr>COSTOS_CAPITAL_BAGAZO_USD_KW_ALTO</vt:lpstr>
      <vt:lpstr>COSTOS_CAPITAL_BAGAZO_USD_KW_BAJO</vt:lpstr>
      <vt:lpstr>COSTOS_CAPITAL_BAGAZO_USD_KW_MEDIO</vt:lpstr>
      <vt:lpstr>COSTOS_CAPITAL_BIOMASA_USD_KW_ALTO</vt:lpstr>
      <vt:lpstr>COSTOS_CAPITAL_BIOMASA_USD_KW_BAJO</vt:lpstr>
      <vt:lpstr>COSTOS_CAPITAL_BIOMASA_USD_KW_MEDIO</vt:lpstr>
      <vt:lpstr>COSTOS_CAPITAL_ELECTRICIDAD_ACPM_DIESEL_USD_KW_ALTO</vt:lpstr>
      <vt:lpstr>COSTOS_CAPITAL_ELECTRICIDAD_ACPM_DIESEL_USD_KW_BAJO</vt:lpstr>
      <vt:lpstr>COSTOS_CAPITAL_ELECTRICIDAD_ACPM_DIESEL_USD_KW_MEDIO</vt:lpstr>
      <vt:lpstr>COSTOS_CAPITAL_ELECTRICIDAD_FUEL_OIL_USD_KW_ALTO</vt:lpstr>
      <vt:lpstr>COSTOS_CAPITAL_ELECTRICIDAD_FUEL_OIL_USD_KW_BAJO</vt:lpstr>
      <vt:lpstr>COSTOS_CAPITAL_ELECTRICIDAD_FUEL_OIL_USD_KW_MEDIO</vt:lpstr>
      <vt:lpstr>COSTOS_CAPITAL_ELECTRICIDAD_GLP_USD_KW_ALTO</vt:lpstr>
      <vt:lpstr>COSTOS_CAPITAL_ELECTRICIDAD_GLP_USD_KW_BAJO</vt:lpstr>
      <vt:lpstr>COSTOS_CAPITAL_ELECTRICIDAD_GLP_USD_KW_MEIDO</vt:lpstr>
      <vt:lpstr>COSTOS_CAPITAL_ELECTRICIDAD_PETRÓLEO_USD_KW_ALTO</vt:lpstr>
      <vt:lpstr>COSTOS_CAPITAL_ELECTRICIDAD_PETROLEO_USD_KW_BAJO</vt:lpstr>
      <vt:lpstr>COSTOS_CAPITAL_ELECTRICIDAD_PETROLEO_USD_KW_MEDIO</vt:lpstr>
      <vt:lpstr>COSTOS_CAPITAL_ELECTRICIDAD_TERMOELECTRICA_CARBON_CCUS_USD_KW_ALTO</vt:lpstr>
      <vt:lpstr>COSTOS_CAPITAL_ELECTRICIDAD_TERMOELECTRICA_CARBON_CCUS_USD_KW_BAJO</vt:lpstr>
      <vt:lpstr>COSTOS_CAPITAL_ELECTRICIDAD_TERMOELECTRICA_CARBON_CCUS_USD_KW_MEDIO</vt:lpstr>
      <vt:lpstr>COSTOS_CAPITAL_ELECTRICIDAD_TERMOELECTRICA_CARBON_USD_KW_ALTO</vt:lpstr>
      <vt:lpstr>COSTOS_CAPITAL_ELECTRICIDAD_TERMOELECTRICA_CARBON_USD_KW_BAJO</vt:lpstr>
      <vt:lpstr>COSTOS_CAPITAL_ELECTRICIDAD_TERMOELECTRICA_CARBON_USD_KW_MEDIO</vt:lpstr>
      <vt:lpstr>COSTOS_CAPITAL_ELECTRICIDAD_TERMOELECTRICA_GN_CCUS_USD_KW_ALTO</vt:lpstr>
      <vt:lpstr>COSTOS_CAPITAL_ELECTRICIDAD_TERMOELECTRICA_GN_CCUS_USD_KW_BAJO</vt:lpstr>
      <vt:lpstr>COSTOS_CAPITAL_ELECTRICIDAD_TERMOELECTRICA_GN_CCUS_USD_KW_MEDIO</vt:lpstr>
      <vt:lpstr>COSTOS_CAPITAL_ELECTRICIDAD_TERMOELECTRICA_GN_USD_KW_ALTO</vt:lpstr>
      <vt:lpstr>COSTOS_CAPITAL_ELECTRICIDAD_TERMOELECTRICA_GN_USD_KW_BAJO</vt:lpstr>
      <vt:lpstr>COSTOS_CAPITAL_ELECTRICIDAD_TERMOELECTRICA_GN_USD_KW_MEDIO</vt:lpstr>
      <vt:lpstr>COSTOS_CAPITAL_EOLICA_COSTA_AFUERA_USD_KW_ALTO</vt:lpstr>
      <vt:lpstr>COSTOS_CAPITAL_EOLICA_COSTA_AFUERA_USD_KW_BAJO</vt:lpstr>
      <vt:lpstr>COSTOS_CAPITAL_EOLICA_COSTA_AFUERA_USD_KW_MEDIO</vt:lpstr>
      <vt:lpstr>COSTOS_CAPITAL_EOLICA_COSTA_DENTRO_JEPIRACHI_USD_KW_ALTO</vt:lpstr>
      <vt:lpstr>COSTOS_CAPITAL_EOLICA_COSTA_DENTRO_JEPIRACHI_USD_KW_BAJO</vt:lpstr>
      <vt:lpstr>COSTOS_CAPITAL_EOLICA_COSTA_DENTRO_JEPIRACHI_USD_KW_MEDIO</vt:lpstr>
      <vt:lpstr>COSTOS_CAPITAL_EOLICA_COSTA_DENTRO_RESTO_USD_KW_ALTO</vt:lpstr>
      <vt:lpstr>COSTOS_CAPITAL_EOLICA_COSTA_DENTRO_RESTO_USD_KW_BAJO</vt:lpstr>
      <vt:lpstr>COSTOS_CAPITAL_EOLICA_COSTA_DENTRO_RESTO_USD_KW_MEDIO</vt:lpstr>
      <vt:lpstr>COSTOS_CAPITAL_GRANDES_CENTRALES_HIDROELECTRICAS_USD_KW_ALTO</vt:lpstr>
      <vt:lpstr>COSTOS_CAPITAL_GRANDES_CENTRALES_HIDROELECTRICAS_USD_KW_BAJO</vt:lpstr>
      <vt:lpstr>COSTOS_CAPITAL_GRANDES_CENTRALES_HIDROELECTRICAS_USD_KW_MEDIO</vt:lpstr>
      <vt:lpstr>COSTOS_CAPITAL_H2_USD_KW_ALTO</vt:lpstr>
      <vt:lpstr>COSTOS_CAPITAL_H2_USD_KW_BAJO</vt:lpstr>
      <vt:lpstr>COSTOS_CAPITAL_H2_USD_KW_MEDIO</vt:lpstr>
      <vt:lpstr>COSTOS_CAPITAL_PEQUEÑAS_CENTRALES_HIDROELECTRICAS_USD_KW_ALTO</vt:lpstr>
      <vt:lpstr>COSTOS_CAPITAL_PEQUEÑAS_CENTRALES_HIDROELECTRICAS_USD_KW_BAJO</vt:lpstr>
      <vt:lpstr>COSTOS_CAPITAL_PEQUEÑAS_CENTRALES_HIDROELECTRICAS_USD_KW_MEDIO</vt:lpstr>
      <vt:lpstr>COSTOS_CAPITAL_RESIDUOS_SOLIDOS_APROVECHAMIENTO_BIOGAS</vt:lpstr>
      <vt:lpstr>COSTOS_CAPITAL_RESIDUOS_SOLIDOS_CDM_USD_TON</vt:lpstr>
      <vt:lpstr>COSTOS_CAPITAL_RESIDUOS_SOLIDOS_CELDA_CONTINGENCIA_USD_TON</vt:lpstr>
      <vt:lpstr>COSTOS_CAPITAL_RESIDUOS_SOLIDOS_INCINERACION_USD_TON</vt:lpstr>
      <vt:lpstr>COSTOS_CAPITAL_RESIDUOS_SOLIDOS_QUEMA_BIOGAS_USD_M3</vt:lpstr>
      <vt:lpstr>COSTOS_CAPITAL_RESIDUOS_SOLIDOS_RECICLADO_USD_TON</vt:lpstr>
      <vt:lpstr>COSTOS_CAPITAL_RESIDUOS_SOLIDOS_TMB_COMPOSTAJE_USD_TON</vt:lpstr>
      <vt:lpstr>COSTOS_CAPITAL_RESIDUOS_SOLIDOS_TRATAMIENTO_RESIDUOS_RELLENO_USD_TON</vt:lpstr>
      <vt:lpstr>COSTOS_CAPITAL_SOLAR_FOTOVOLTAICA_USD_KW_ALTO</vt:lpstr>
      <vt:lpstr>COSTOS_CAPITAL_SOLAR_FOTOVOLTAICA_USD_KW_BAJO</vt:lpstr>
      <vt:lpstr>COSTOS_CAPITAL_SOLAR_FOTOVOLTAICA_USD_KW_MEDIO</vt:lpstr>
      <vt:lpstr>COSTOS_CAPITAL_SOLAR_TERMICA_USD_KW_ALTO</vt:lpstr>
      <vt:lpstr>COSTOS_CAPITAL_SOLAR_TERMICA_USD_KW_BAJO</vt:lpstr>
      <vt:lpstr>COSTOS_CAPITAL_SOLAR_TERMICA_USD_KW_MEDIO</vt:lpstr>
      <vt:lpstr>COSTOS_CAPITAL_TRANSPORTE_CAR_FERREO_DIESEL</vt:lpstr>
      <vt:lpstr>COSTOS_CAPITAL_TRANSPORTE_CARGA_COMBUSTION_CONVENCIONAL_DIESEL</vt:lpstr>
      <vt:lpstr>COSTOS_CAPITAL_TRANSPORTE_CARGA_COMBUSTION_CONVENCIONAL_GASOLINA</vt:lpstr>
      <vt:lpstr>COSTOS_CAPITAL_TRANSPORTE_CARGA_COMBUSTION_CONVENCIONAL_GLP</vt:lpstr>
      <vt:lpstr>COSTOS_CAPITAL_TRANSPORTE_CARGA_COMBUSTION_CONVENCIONAL_GN_COMPRIMIDO</vt:lpstr>
      <vt:lpstr>COSTOS_CAPITAL_TRANSPORTE_CARGA_COMBUSTION_CONVENCIONAL_GN_LICUADO</vt:lpstr>
      <vt:lpstr>COSTOS_CAPITAL_TRANSPORTE_CARGA_COMBUSTION_CONVENCIONAL_H2</vt:lpstr>
      <vt:lpstr>COSTOS_CAPITAL_TRANSPORTE_CARGA_ELECTRICO</vt:lpstr>
      <vt:lpstr>COSTOS_CAPITAL_TRANSPORTE_CARGA_FERREO_ELECTRICO</vt:lpstr>
      <vt:lpstr>COSTOS_CAPITAL_TRANSPORTE_CARGA_HIBRIDO_DIESEL</vt:lpstr>
      <vt:lpstr>COSTOS_CAPITAL_TRANSPORTE_CARGA_HIBRIDO_GASOLINA</vt:lpstr>
      <vt:lpstr>COSTOS_COMB_FOSIL_FACTOR_AGRICULTURA</vt:lpstr>
      <vt:lpstr>COSTOS_COMB_FOSIL_FACTOR_EDIFICACIONES</vt:lpstr>
      <vt:lpstr>COSTOS_COMB_FOSIL_FACTOR_ELECTRICIDAD</vt:lpstr>
      <vt:lpstr>COSTOS_COMB_FOSIL_FACTOR_GANADERIA</vt:lpstr>
      <vt:lpstr>COSTOS_COMB_FOSIL_FACTOR_INDUSTRIA</vt:lpstr>
      <vt:lpstr>COSTOS_COMB_FOSIL_FACTOR_RESIDUOS</vt:lpstr>
      <vt:lpstr>COSTOS_COMB_FOSIL_FACTOR_TRANSPORTE</vt:lpstr>
      <vt:lpstr>COSTOS_COMBUSTIBLES_CARBON_ALTO</vt:lpstr>
      <vt:lpstr>COSTOS_COMBUSTIBLES_CARBON_BAJO</vt:lpstr>
      <vt:lpstr>COSTOS_COMBUSTIBLES_CARBON_MEDIO</vt:lpstr>
      <vt:lpstr>COSTOS_COMBUSTIBLES_CRUDO_ALTO</vt:lpstr>
      <vt:lpstr>COSTOS_COMBUSTIBLES_CRUDO_BAJO</vt:lpstr>
      <vt:lpstr>COSTOS_COMBUSTIBLES_CRUDO_MEDIO</vt:lpstr>
      <vt:lpstr>COSTOS_COMBUSTIBLES_GAS_NATURAL_ALTO</vt:lpstr>
      <vt:lpstr>COSTOS_COMBUSTIBLES_GAS_NATURAL_BAJO</vt:lpstr>
      <vt:lpstr>COSTOS_COMBUSTIBLES_GAS_NATURAL_MEDIO</vt:lpstr>
      <vt:lpstr>COSTOS_COSTOS_OPERACION_MANTENIMIENTO_RESIDUOS_SOLIDOS_CDR_USD_TON</vt:lpstr>
      <vt:lpstr>COSTOS_COSTOS_OPERACION_MANTENIMIENTO_RESIDUOS_SOLIDOS_CELDA_CONTINGENCIA_USD_TON</vt:lpstr>
      <vt:lpstr>COSTOS_COSTOS_OPERACION_MANTENIMIENTO_RESIDUOS_SOLIDOS_DISPOSICION_Y_TRANSPORTE_USD_TON</vt:lpstr>
      <vt:lpstr>COSTOS_COSTOS_OPERACION_MANTENIMIENTO_RESIDUOS_SOLIDOS_INCINERACION_USD_TON</vt:lpstr>
      <vt:lpstr>COSTOS_COSTOS_OPERACION_MANTENIMIENTO_RESIDUOS_SOLIDOS_QUEMA_BIOGAS_USD_TON</vt:lpstr>
      <vt:lpstr>COSTOS_COSTOS_OPERACION_MANTENIMIENTO_RESIDUOS_SOLIDOS_RECICLADO_USD_TON</vt:lpstr>
      <vt:lpstr>COSTOS_COSTOS_OPERACION_MANTENIMIENTO_RESIDUOS_SOLIDOS_TMB_COMPOSTAJE_USD_TON</vt:lpstr>
      <vt:lpstr>COSTOS_COSTOS_OPERACION_MANTENIMIENTO_RESIDUOS_SOLIDOS_TRATEMIENTO_RESIDUOS_EN_RELLENO_USD_TON</vt:lpstr>
      <vt:lpstr>COSTOS_Costosdecapital_NEVERASYESTUFAS_ALTO</vt:lpstr>
      <vt:lpstr>COSTOS_Costosdecapital_NEVERASYESTUFAS_BAJO</vt:lpstr>
      <vt:lpstr>COSTOS_Costosdecapital_NEVERASYESTUFAS_MEDIO</vt:lpstr>
      <vt:lpstr>COSTOS_DE_CAPITAL_edif_res_urb_aer_ALTO</vt:lpstr>
      <vt:lpstr>COSTOS_DE_CAPITAL_edif_res_urb_aer_BAJO</vt:lpstr>
      <vt:lpstr>COSTOS_DE_CAPITAL_edif_res_urb_aer_MEDIO</vt:lpstr>
      <vt:lpstr>COSTOS_DE_OPERACION_edif_res_urb_aer_ALTO</vt:lpstr>
      <vt:lpstr>COSTOS_DE_OPERACION_edif_res_urb_aer_BAJO</vt:lpstr>
      <vt:lpstr>COSTOS_DE_OPERACION_edif_res_urb_aer_MEDIO</vt:lpstr>
      <vt:lpstr>COSTOS_Iluminacion_Costosdecapital_ALTO_</vt:lpstr>
      <vt:lpstr>COSTOS_Iluminacion_Costosdecapital_BAJO</vt:lpstr>
      <vt:lpstr>COSTOS_Iluminacion_Costosdecapital_MEDIO</vt:lpstr>
      <vt:lpstr>COSTOS_INDUSTRIA_PARTIDA_GASTO_CAPITAL_NETO_ALIMENTOS</vt:lpstr>
      <vt:lpstr>COSTOS_INDUSTRIA_PARTIDA_GASTO_CAPITAL_NETO_CEMENTO</vt:lpstr>
      <vt:lpstr>COSTOS_INDUSTRIA_PARTIDA_GASTO_CAPITAL_NETO_HIERRO</vt:lpstr>
      <vt:lpstr>COSTOS_INDUSTRIA_PARTIDA_GASTO_CAPITAL_NETO_LADRILLERAS</vt:lpstr>
      <vt:lpstr>COSTOS_INDUSTRIA_PARTIDA_GASTO_CAPITAL_NETO_OTROS</vt:lpstr>
      <vt:lpstr>COSTOS_INDUSTRIA_PARTIDA_GASTO_CAPITAL_NETO_PAPEL</vt:lpstr>
      <vt:lpstr>COSTOS_INDUSTRIA_PARTIDA_GASTO_CAPITAL_NETO_QUIMICOS</vt:lpstr>
      <vt:lpstr>COSTOS_INDUSTRIA_PARTIDA_GASTO_CAPITAL_NETO_TEXTIL</vt:lpstr>
      <vt:lpstr>COSTOS_INDUSTRIA_PARTIDA_OM_ALIMENTOS</vt:lpstr>
      <vt:lpstr>COSTOS_INDUSTRIA_PARTIDA_OM_CEMENTO</vt:lpstr>
      <vt:lpstr>COSTOS_INDUSTRIA_PARTIDA_OM_HIERRO</vt:lpstr>
      <vt:lpstr>COSTOS_INDUSTRIA_PARTIDA_OM_LADRILLERAS</vt:lpstr>
      <vt:lpstr>COSTOS_INDUSTRIA_PARTIDA_OM_OTROS</vt:lpstr>
      <vt:lpstr>COSTOS_INDUSTRIA_PARTIDA_OM_PAPEL</vt:lpstr>
      <vt:lpstr>COSTOS_INDUSTRIA_PARTIDA_OM_QUIMICOS</vt:lpstr>
      <vt:lpstr>COSTOS_INDUSTRIA_PARTIDA_OM_TEXTIL</vt:lpstr>
      <vt:lpstr>COSTOS_MEDIO</vt:lpstr>
      <vt:lpstr>COSTOS_Miles_de_millones_de_pesos_Colombianos___MMCOP_MMCOP</vt:lpstr>
      <vt:lpstr>COSTOS_Miles_de_pesos_Colombianos___KCOP_MMCOP</vt:lpstr>
      <vt:lpstr>COSTOS_Millones_de_pesos_Colombianos___MCOP_MMCOP</vt:lpstr>
      <vt:lpstr>COSTOS_OPERACION_MANTENIMIENTO_AGUAS_RESIDUALES_TRATAMIENTO_CON_EXTRACCIÓN</vt:lpstr>
      <vt:lpstr>COSTOS_OPERACION_MANTENIMIENTO_AGUAS_RESIDUALES_TRATAMIENTO_SIN_EXTRACCIÓN</vt:lpstr>
      <vt:lpstr>COSTOS_OPERACION_MANTENIMIENTO_BAGAZO_USD_KW_ALTO</vt:lpstr>
      <vt:lpstr>COSTOS_OPERACION_MANTENIMIENTO_BAGAZO_USD_KW_BAJO</vt:lpstr>
      <vt:lpstr>COSTOS_OPERACION_MANTENIMIENTO_BAGAZO_USD_KW_MEDIO</vt:lpstr>
      <vt:lpstr>COSTOS_OPERACION_MANTENIMIENTO_BIOMASA_USD_KW_ALTO</vt:lpstr>
      <vt:lpstr>COSTOS_OPERACION_MANTENIMIENTO_BIOMASA_USD_KW_BAJO</vt:lpstr>
      <vt:lpstr>COSTOS_OPERACION_MANTENIMIENTO_BIOMASA_USD_KW_MEDIO</vt:lpstr>
      <vt:lpstr>COSTOS_OPERACION_MANTENIMIENTO_ELECTRICIDAD_DIESEL_USD_KW_ALTO</vt:lpstr>
      <vt:lpstr>COSTOS_OPERACION_MANTENIMIENTO_ELECTRICIDAD_DIESEL_USD_KW_BAJO</vt:lpstr>
      <vt:lpstr>COSTOS_OPERACION_MANTENIMIENTO_ELECTRICIDAD_DIESEL_USD_KW_MEDIO</vt:lpstr>
      <vt:lpstr>COSTOS_OPERACION_MANTENIMIENTO_ELECTRICIDAD_FUEL_OIL_USD_KW_ALTO</vt:lpstr>
      <vt:lpstr>COSTOS_OPERACION_MANTENIMIENTO_ELECTRICIDAD_FUEL_OIL_USD_KW_BAJO</vt:lpstr>
      <vt:lpstr>COSTOS_OPERACION_MANTENIMIENTO_ELECTRICIDAD_FUEL_OIL_USD_KW_MEDIO</vt:lpstr>
      <vt:lpstr>COSTOS_OPERACION_MANTENIMIENTO_ELECTRICIDAD_GLP_USD_KW_ALTO</vt:lpstr>
      <vt:lpstr>COSTOS_OPERACION_MANTENIMIENTO_ELECTRICIDAD_GLP_USD_KW_BAJO</vt:lpstr>
      <vt:lpstr>COSTOS_OPERACION_MANTENIMIENTO_ELECTRICIDAD_GLP_USD_KW_MEDIO</vt:lpstr>
      <vt:lpstr>COSTOS_OPERACION_MANTENIMIENTO_ELECTRICIDAD_PETROLEO_USD_KW_ALTO</vt:lpstr>
      <vt:lpstr>COSTOS_OPERACION_MANTENIMIENTO_ELECTRICIDAD_PETROLEO_USD_KW_BAJO</vt:lpstr>
      <vt:lpstr>COSTOS_OPERACION_MANTENIMIENTO_ELECTRICIDAD_PETROLEO_USD_KW_MEDIO</vt:lpstr>
      <vt:lpstr>COSTOS_OPERACION_MANTENIMIENTO_ELECTRICIDAD_TERMOELECTRICA_CARBON_CCUS_USD_KW_ALTO</vt:lpstr>
      <vt:lpstr>COSTOS_OPERACION_MANTENIMIENTO_ELECTRICIDAD_TERMOELECTRICA_CARBON_CCUS_USD_KW_BAJO</vt:lpstr>
      <vt:lpstr>COSTOS_OPERACION_MANTENIMIENTO_ELECTRICIDAD_TERMOELECTRICA_CARBON_CCUS_USD_KW_MEDIO</vt:lpstr>
      <vt:lpstr>COSTOS_OPERACION_MANTENIMIENTO_ELECTRICIDAD_TERMOELECTRICA_CARBON_USD_KW_ABAJO</vt:lpstr>
      <vt:lpstr>COSTOS_OPERACION_MANTENIMIENTO_ELECTRICIDAD_TERMOELECTRICA_CARBON_USD_KW_ALTO</vt:lpstr>
      <vt:lpstr>COSTOS_OPERACION_MANTENIMIENTO_ELECTRICIDAD_TERMOELECTRICA_CARBON_USD_KW_MEDIO</vt:lpstr>
      <vt:lpstr>COSTOS_OPERACION_MANTENIMIENTO_ELECTRICIDAD_TERMOELECTRICA_GN_CCUS_USD_KW_ALTO</vt:lpstr>
      <vt:lpstr>COSTOS_OPERACION_MANTENIMIENTO_ELECTRICIDAD_TERMOELECTRICA_GN_CCUS_USD_KW_BAJO</vt:lpstr>
      <vt:lpstr>COSTOS_OPERACION_MANTENIMIENTO_ELECTRICIDAD_TERMOELECTRICA_GN_CCUS_USD_KW_MEDIO</vt:lpstr>
      <vt:lpstr>COSTOS_OPERACION_MANTENIMIENTO_ELECTRICIDAD_TERMOELECTRICA_GN_USD_KW_ALTO</vt:lpstr>
      <vt:lpstr>COSTOS_OPERACION_MANTENIMIENTO_ELECTRICIDAD_TERMOELECTRICA_GN_USD_KW_BAJO</vt:lpstr>
      <vt:lpstr>COSTOS_OPERACION_MANTENIMIENTO_ELECTRICIDAD_TERMOELECTRICA_GN_USD_KW_MEDIO</vt:lpstr>
      <vt:lpstr>COSTOS_OPERACION_MANTENIMIENTO_EOLICA_COSTA_ADENTRO_JEPIRACHI_USD_KW_ALTO</vt:lpstr>
      <vt:lpstr>COSTOS_OPERACION_MANTENIMIENTO_EOLICA_COSTA_ADENTRO_JEPIRACHI_USD_KW_BAJO</vt:lpstr>
      <vt:lpstr>COSTOS_OPERACION_MANTENIMIENTO_EOLICA_COSTA_ADENTRO_JEPIRACHI_USD_KW_MEDIO</vt:lpstr>
      <vt:lpstr>COSTOS_OPERACION_MANTENIMIENTO_EOLICA_COSTA_ADENTRO_RESTO_USD_KW_ALTO</vt:lpstr>
      <vt:lpstr>COSTOS_OPERACION_MANTENIMIENTO_EOLICA_COSTA_ADENTRO_RESTO_USD_KW_BAJO</vt:lpstr>
      <vt:lpstr>COSTOS_OPERACION_MANTENIMIENTO_EOLICA_COSTA_ADENTRO_RESTO_USD_KW_MEDIO</vt:lpstr>
      <vt:lpstr>COSTOS_OPERACION_MANTENIMIENTO_EOLICA_COSTA_AFUERA_RESTO_USD_KW_ALTO</vt:lpstr>
      <vt:lpstr>COSTOS_OPERACION_MANTENIMIENTO_EOLICA_COSTA_AFUERA_RESTO_USD_KW_BAJO</vt:lpstr>
      <vt:lpstr>COSTOS_OPERACION_MANTENIMIENTO_EOLICA_COSTA_AFUERA_RESTO_USD_KW_MEDIO</vt:lpstr>
      <vt:lpstr>COSTOS_OPERACION_MANTENIMIENTO_GRANDES_CENTRALES_HIDROELECTRICAS_USD_KW_ALTO</vt:lpstr>
      <vt:lpstr>COSTOS_OPERACION_MANTENIMIENTO_GRANDES_CENTRALES_HIDROELECTRICAS_USD_KW_BAJO</vt:lpstr>
      <vt:lpstr>COSTOS_OPERACION_MANTENIMIENTO_GRANDES_CENTRALES_HIDROELECTRICAS_USD_KW_MEDIO</vt:lpstr>
      <vt:lpstr>COSTOS_OPERACION_MANTENIMIENTO_H2_USD_KW_ALTO</vt:lpstr>
      <vt:lpstr>COSTOS_OPERACION_MANTENIMIENTO_H2_USD_KW_BAJO</vt:lpstr>
      <vt:lpstr>COSTOS_OPERACION_MANTENIMIENTO_H2_USD_KW_MEDIO</vt:lpstr>
      <vt:lpstr>COSTOS_OPERACION_MANTENIMIENTO_PEQUEÑAS_CENTRALES_HIDROELECTRICAS_USD_KW_ALTO</vt:lpstr>
      <vt:lpstr>COSTOS_OPERACION_MANTENIMIENTO_PEQUEÑAS_CENTRALES_HIDROELECTRICAS_USD_KW_BAJO</vt:lpstr>
      <vt:lpstr>COSTOS_OPERACION_MANTENIMIENTO_PEQUEÑAS_CENTRALES_HIDROELECTRICAS_USD_KW_MEDIO</vt:lpstr>
      <vt:lpstr>COSTOS_OPERACION_MANTENIMIENTO_RESIDUOS_SOLIDOS_APROVECHAMIENTO_BIOGAS_USD_TON</vt:lpstr>
      <vt:lpstr>COSTOS_OPERACION_MANTENIMIENTO_SOLAR_FOTOVOLTAICA_USD_KW_ALTO</vt:lpstr>
      <vt:lpstr>COSTOS_OPERACION_MANTENIMIENTO_SOLAR_FOTOVOLTAICA_USD_KW_BAJO</vt:lpstr>
      <vt:lpstr>COSTOS_OPERACION_MANTENIMIENTO_SOLAR_FOTOVOLTAICA_USD_KW_MEDIO</vt:lpstr>
      <vt:lpstr>COSTOS_OPERACION_MANTENIMIENTO_SOLAR_TERMICA_USD_KW_ALTO</vt:lpstr>
      <vt:lpstr>COSTOS_OPERACION_MANTENIMIENTO_SOLAR_TERMICA_USD_KW_BAJO</vt:lpstr>
      <vt:lpstr>COSTOS_OPERACION_MANTENIMIENTO_SOLAR_TERMICA_USD_KW_MEDIO</vt:lpstr>
      <vt:lpstr>COSTOS_OPERACION_MANTENIMIENTO_TRANSPORTE_CAR_FERREO_DIESEL</vt:lpstr>
      <vt:lpstr>COSTOS_OPERACION_MANTENIMIENTO_TRANSPORTE_CAR_FERREO_ELECTRICO</vt:lpstr>
      <vt:lpstr>COSTOS_OPERACION_MANTENIMIENTO_TRANSPORTE_CARGA_COMBUSTION_CONVENCIONAL_DIESEL</vt:lpstr>
      <vt:lpstr>COSTOS_OPERACION_MANTENIMIENTO_TRANSPORTE_CARGA_COMBUSTION_CONVENCIONAL_GASOLINA</vt:lpstr>
      <vt:lpstr>COSTOS_OPERACION_MANTENIMIENTO_TRANSPORTE_CARGA_ELECTRICO</vt:lpstr>
      <vt:lpstr>COSTOS_OPERACION_MANTENIMIENTO_TRANSPORTE_CARGA_GLP</vt:lpstr>
      <vt:lpstr>COSTOS_OPERACION_MANTENIMIENTO_TRANSPORTE_CARGA_GN_COMPRIMIDO</vt:lpstr>
      <vt:lpstr>COSTOS_OPERACION_MANTENIMIENTO_TRANSPORTE_CARGA_GN_LICUADO</vt:lpstr>
      <vt:lpstr>COSTOS_OPERACION_MANTENIMIENTO_TRANSPORTE_CARGA_H2</vt:lpstr>
      <vt:lpstr>COSTOS_OPERACION_MANTENIMIENTO_TRANSPORTE_CARGA_HIBRIDO_DIESEL</vt:lpstr>
      <vt:lpstr>COSTOS_OPERACION_MANTENIMIENTO_TRANSPORTE_CARGA_HIBRIDO_GASOLINA</vt:lpstr>
      <vt:lpstr>COSTOS_Pesos_Colombianos_COP_MMCOP</vt:lpstr>
      <vt:lpstr>COSTOS_TRANSPORTE_PASAJEROS_BICICLETA</vt:lpstr>
      <vt:lpstr>COSTOS_TRANSPORTE_PASAJEROS_TAXI</vt:lpstr>
      <vt:lpstr>COSTOS_TRANSPORTE_PASAJEROS_VEHICULOS</vt:lpstr>
      <vt:lpstr>COSTOS_TRASPORTE_PASAJEROS_BUSES</vt:lpstr>
      <vt:lpstr>COSTOS_TRASPORTE_PASAJEROS_BUSES_BRT</vt:lpstr>
      <vt:lpstr>COSTOS_TRASPORTE_PASAJEROS_FERREO</vt:lpstr>
      <vt:lpstr>COSTOS_TRASPORTE_PASAJEROS_MOTOS</vt:lpstr>
      <vt:lpstr>COSTOS_VIDA_UTIL_AGUAS_RESIDUALES_TRATAMIENTO_CON_EXTRACCIÓN</vt:lpstr>
      <vt:lpstr>COSTOS_VIDA_UTIL_AGUAS_RESIDUALES_TRATAMIENTO_SIN_EXTRACCIÓN</vt:lpstr>
      <vt:lpstr>COSTOS_VIDA_UTIL_RESIDUOS_SOLIDOS_CDM</vt:lpstr>
      <vt:lpstr>COSTOS_VIDA_UTIL_RESIDUOS_SOLIDOS_CELDA_CONTINGENCIA</vt:lpstr>
      <vt:lpstr>COSTOS_VIDA_UTIL_RESIDUOS_SOLIDOS_INCINERACION</vt:lpstr>
      <vt:lpstr>COSTOS_VIDA_UTIL_RESIDUOS_SOLIDOS_QUEMA_BIOGAS</vt:lpstr>
      <vt:lpstr>COSTOS_VIDA_UTIL_RESIDUOS_SOLIDOS_RECICLADO</vt:lpstr>
      <vt:lpstr>COSTOS_VIDA_UTIL_RESIDUOS_SOLIDOS_TMB_COMPOSTAJE</vt:lpstr>
      <vt:lpstr>COSTOS_VIDA_UTIL_RESIDUOS_SOLIDOS_TRATAMIENTO_APROVECHAMIENTO_BIOGAS</vt:lpstr>
      <vt:lpstr>COSTOS_VIDA_UTIL_RESIDUOS_SOLIDOS_TRATAMIENTO_RES_RELLENO</vt:lpstr>
      <vt:lpstr>RES_AGU!DBO_GENERADO_AGUAS_DOMESTICAS</vt:lpstr>
      <vt:lpstr>RES_AGU!DBO_GENERADO_AGUAS_INDUSTRIALES</vt:lpstr>
      <vt:lpstr>EDI_RES_URB_IRCO!DEMANDA_TOTAL_POR_ZONA_CLIMATICA_Y_ENERGETICO</vt:lpstr>
      <vt:lpstr>DENSIDAD_BIOGAS</vt:lpstr>
      <vt:lpstr>DENSIDAD_CH4_M3_A_KG</vt:lpstr>
      <vt:lpstr>DENSIDAD_CO2_M3_A_KG</vt:lpstr>
      <vt:lpstr>DENSIDAD_COKE_GAS_KG_M3</vt:lpstr>
      <vt:lpstr>DENSIDAD_CRUDO_L_A_KG</vt:lpstr>
      <vt:lpstr>DGEN_CONSTANTES!DENSIDAD_DIESEL</vt:lpstr>
      <vt:lpstr>DENSIDAD_GAS_NATURAL_GENERICO_M3_A_KG</vt:lpstr>
      <vt:lpstr>DGEN_CONSTANTES!DENSIDAD_GASOLINA</vt:lpstr>
      <vt:lpstr>DENSIDAD_GLP_GENERICO</vt:lpstr>
      <vt:lpstr>DENSIDAD_N2O_M3_A_T</vt:lpstr>
      <vt:lpstr>DENSIDAD_QUEROSENE_KG_L</vt:lpstr>
      <vt:lpstr>DGEN_CONSTANTES!DIESEL_PODER_CALORIFICO</vt:lpstr>
      <vt:lpstr>TRANS_PAS!DISTANCIA_TOTAL_POR_MODO</vt:lpstr>
      <vt:lpstr>EDI_RESIDENCIALES_IRCO_GENERACION_SOLAR_FOTOVOLTAICA</vt:lpstr>
      <vt:lpstr>IND_!EMISION_TOTAL_SAO</vt:lpstr>
      <vt:lpstr>IND_!EMISIONES_PRODUCCION_CO2_AMONIACO</vt:lpstr>
      <vt:lpstr>IND_!EMISIONES_PRODUCCION_CO2_CAL</vt:lpstr>
      <vt:lpstr>IND_!EMISIONES_PRODUCCION_CO2_CEMENTO</vt:lpstr>
      <vt:lpstr>IND_!EMISIONES_PRODUCCION_CO2_FERROALEACIONES</vt:lpstr>
      <vt:lpstr>IND_!EMISIONES_PRODUCCION_CO2_HIERRO</vt:lpstr>
      <vt:lpstr>IND_!EMISIONES_PRODUCCION_CO2_PLOMO</vt:lpstr>
      <vt:lpstr>EMISIONES_PRODUCCION_CO2_VIDRIO</vt:lpstr>
      <vt:lpstr>IND_!EMISIONES_TOTALES_CH4_ALIMENTACION</vt:lpstr>
      <vt:lpstr>IND_!EMISIONES_TOTALES_CH4_CEMENTO</vt:lpstr>
      <vt:lpstr>IND_!EMISIONES_TOTALES_CH4_HIERRO</vt:lpstr>
      <vt:lpstr>IND_!EMISIONES_TOTALES_CH4_LADRILLERAS</vt:lpstr>
      <vt:lpstr>IND_!EMISIONES_TOTALES_CH4_OTROS</vt:lpstr>
      <vt:lpstr>IND_!EMISIONES_TOTALES_CH4_PAPEL</vt:lpstr>
      <vt:lpstr>IND_!EMISIONES_TOTALES_CH4_QUIMICO</vt:lpstr>
      <vt:lpstr>IND_!EMISIONES_TOTALES_CH4_TEXTIL</vt:lpstr>
      <vt:lpstr>IND_!EMISIONES_TOTALES_CO2_ALIMENTACION</vt:lpstr>
      <vt:lpstr>IND_!EMISIONES_TOTALES_CO2_CEMENTO</vt:lpstr>
      <vt:lpstr>IND_!EMISIONES_TOTALES_CO2_HIERRO</vt:lpstr>
      <vt:lpstr>IND_!EMISIONES_TOTALES_CO2_LADRILLERAS</vt:lpstr>
      <vt:lpstr>IND_!EMISIONES_TOTALES_CO2_OTROS</vt:lpstr>
      <vt:lpstr>IND_!EMISIONES_TOTALES_CO2_PAPEL</vt:lpstr>
      <vt:lpstr>IND_!EMISIONES_TOTALES_CO2_QUIMICO</vt:lpstr>
      <vt:lpstr>IND_!EMISIONES_TOTALES_CO2_TEXTIL</vt:lpstr>
      <vt:lpstr>IND_!EMISIONES_TOTALES_N2O_ALIMENTACION</vt:lpstr>
      <vt:lpstr>IND_!EMISIONES_TOTALES_N2O_CEMENTO</vt:lpstr>
      <vt:lpstr>IND_!EMISIONES_TOTALES_N2O_HIERRO</vt:lpstr>
      <vt:lpstr>IND_!EMISIONES_TOTALES_N2O_LADRILLERAS</vt:lpstr>
      <vt:lpstr>IND_!EMISIONES_TOTALES_N2O_OTROS</vt:lpstr>
      <vt:lpstr>IND_!EMISIONES_TOTALES_N2O_PAPEL</vt:lpstr>
      <vt:lpstr>IND_!EMISIONES_TOTALES_N2O_QUIMICO</vt:lpstr>
      <vt:lpstr>IND_!EMISIONES_TOTALES_N2O_TEXTIL</vt:lpstr>
      <vt:lpstr>'ELECT_ Electricidad'!ENTRADA_AUTOGENERACION</vt:lpstr>
      <vt:lpstr>TRANS_CAR!FACTOR_ACTIVIDAD_CARGA_INTERURBANA_POR_TECNOLOGIA</vt:lpstr>
      <vt:lpstr>TRANS_CAR!FACTOR_ACTIVIDAD_CARGA_URBANA_POR_TECNOLOGIA</vt:lpstr>
      <vt:lpstr>FACTOR_DE_PRODUCCION_ESTIERCOL_KG</vt:lpstr>
      <vt:lpstr>FE_AGRICULTURA_QUEMA_DE_BIOMASA_CH4</vt:lpstr>
      <vt:lpstr>FE_AGRICULTURA_QUEMA_DE_BIOMASA_N2O</vt:lpstr>
      <vt:lpstr>FE_AVIACION_CH4_QUEROSENO</vt:lpstr>
      <vt:lpstr>FE_AVIACION_CO2_QUEROSENO</vt:lpstr>
      <vt:lpstr>FE_AVIACION_N2O_QUEROSENO</vt:lpstr>
      <vt:lpstr>FE_COMBUSTION_REFINACION_CREUDO_CH4_CARBON_MINERAL_KGCH4_TJ</vt:lpstr>
      <vt:lpstr>FE_COMBUSTION_REFINACION_CREUDO_CH4_DIESEL_OIL_KGCH4_TJ</vt:lpstr>
      <vt:lpstr>FE_COMBUSTION_REFINACION_CREUDO_CH4_FUEL_OIL_KGCH4_TJ</vt:lpstr>
      <vt:lpstr>FE_COMBUSTION_REFINACION_CREUDO_CH4_GAS_NATURAL_KGCH4_TJ</vt:lpstr>
      <vt:lpstr>FE_COMBUSTION_REFINACION_CREUDO_CH4_GAS_REFINERIA_KGCH4_TJ</vt:lpstr>
      <vt:lpstr>FE_COMBUSTION_REFINACION_CREUDO_CH4_GASOLINA_MOTORES_KGCH4_TJ</vt:lpstr>
      <vt:lpstr>FE_COMBUSTION_REFINACION_CREUDO_CH4_GLP_KGCH4_TJ</vt:lpstr>
      <vt:lpstr>FE_COMBUSTION_REFINACION_CREUDO_CH4_PETROLEO_KGCH4_TJ</vt:lpstr>
      <vt:lpstr>FE_COMBUSTION_REFINACION_CREUDO_CH4_QUEROSENO_MOTORES_KGCH4_TJ</vt:lpstr>
      <vt:lpstr>FE_COMBUSTION_REFINACION_CREUDO_CO2_CARBON_MINERAL_CO2_TJ</vt:lpstr>
      <vt:lpstr>FE_COMBUSTION_REFINACION_CREUDO_CO2_DIESEL_OIL_CO2_TJ</vt:lpstr>
      <vt:lpstr>FE_COMBUSTION_REFINACION_CREUDO_CO2_FUEL_OIL_CO2_TJ</vt:lpstr>
      <vt:lpstr>FE_COMBUSTION_REFINACION_CREUDO_CO2_GAS_NATURAL_CO2_TJ</vt:lpstr>
      <vt:lpstr>FE_COMBUSTION_REFINACION_CREUDO_CO2_GAS_REFINERIA_CO2_TJ</vt:lpstr>
      <vt:lpstr>FE_COMBUSTION_REFINACION_CREUDO_CO2_GASOLINA_MOTORES_CO2_TJ</vt:lpstr>
      <vt:lpstr>FE_COMBUSTION_REFINACION_CREUDO_CO2_GLP_CO2_TJ</vt:lpstr>
      <vt:lpstr>FE_COMBUSTION_REFINACION_CREUDO_CO2_PETROLEO_CO2_TJ</vt:lpstr>
      <vt:lpstr>FE_COMBUSTION_REFINACION_CREUDO_CO2_QUEROSENO_CO2_TJ</vt:lpstr>
      <vt:lpstr>FE_COMBUSTION_REFINACION_CREUDO_N2O_CARBON_MINERAL_KGN2O_TJ</vt:lpstr>
      <vt:lpstr>FE_COMBUSTION_REFINACION_CREUDO_N2O_DIESEL_OIL_KGN2O_TJ</vt:lpstr>
      <vt:lpstr>FE_COMBUSTION_REFINACION_CREUDO_N2O_FUEL_OIL_KGN2O_TJ</vt:lpstr>
      <vt:lpstr>FE_COMBUSTION_REFINACION_CREUDO_N2O_GAS_NATURAL_KGN2O_TJ</vt:lpstr>
      <vt:lpstr>FE_COMBUSTION_REFINACION_CREUDO_N2O_GAS_REFINERIA_KGN2O_TJ</vt:lpstr>
      <vt:lpstr>FE_COMBUSTION_REFINACION_CREUDO_N2O_GASOLINA_MOTORES_KGN2O_TJ</vt:lpstr>
      <vt:lpstr>FE_COMBUSTION_REFINACION_CREUDO_N2O_GLP_KGN2O_TJ</vt:lpstr>
      <vt:lpstr>FE_COMBUSTION_REFINACION_CREUDO_N2O_PETROLEO_KGN2O_TJ</vt:lpstr>
      <vt:lpstr>FE_COMBUSTION_REFINACION_CREUDO_N2O_QUEROSENO_MOTORES_KGN2O_TJ</vt:lpstr>
      <vt:lpstr>FE_CRUDO_PERFORACION_POZO_CH4_MT_TPC</vt:lpstr>
      <vt:lpstr>FE_CRUDO_PERFORACION_POZO_CO2_GG_DA</vt:lpstr>
      <vt:lpstr>FE_CRUDO_PERFORACION_POZO_N2O_MT_TPC</vt:lpstr>
      <vt:lpstr>FE_CRUDO_PRODUCCION_CH4_MT_TPC</vt:lpstr>
      <vt:lpstr>FE_CRUDO_PRODUCCION_CO2_MT_TPC</vt:lpstr>
      <vt:lpstr>FE_CRUDO_PRODUCCION_N2O_MT_TPC</vt:lpstr>
      <vt:lpstr>FE_CRUDO_PRUEBA_POZO_CH4_MT_TPC</vt:lpstr>
      <vt:lpstr>FE_CRUDO_PRUEBA_POZO_CO2_MT_TPC</vt:lpstr>
      <vt:lpstr>FE_CRUDO_PRUEBA_POZO_N2O_MT_TPC</vt:lpstr>
      <vt:lpstr>FE_CRUDO_REFINACION_CH4_MT_TPC</vt:lpstr>
      <vt:lpstr>FE_CRUDO_REFINACION_CO2_MT_TPC</vt:lpstr>
      <vt:lpstr>FE_CRUDO_REFINACION_N2O_MT_TPC</vt:lpstr>
      <vt:lpstr>FE_CRUDO_SERVICIO_POZO_CH4_MT_TPC</vt:lpstr>
      <vt:lpstr>FE_CRUDO_SERVICIO_POZO_CO2_MT_TPC</vt:lpstr>
      <vt:lpstr>FE_CRUDO_SERVICIO_POZO_N2O_MT_TPC</vt:lpstr>
      <vt:lpstr>FE_CRUDO_TRANSPORTE_GLP_CH4_MT_TPC</vt:lpstr>
      <vt:lpstr>FE_CRUDO_TRANSPORTE_GLP_CO2_MT_TPC</vt:lpstr>
      <vt:lpstr>FE_CRUDO_TRANSPORTE_GLP_N2O_MT_TPC</vt:lpstr>
      <vt:lpstr>FE_CRUDO_TRANSPORTE_OLEODUCTO_CH4_MT_TPC</vt:lpstr>
      <vt:lpstr>FE_CRUDO_TRANSPORTE_OLEODUCTO_CO2_MT_TPC</vt:lpstr>
      <vt:lpstr>FE_CRUDO_TRANSPORTE_OLEODUCTO_N2O_MT_TPC</vt:lpstr>
      <vt:lpstr>FE_EDIFICACIONES_COMERCIAL_DIESEL_CH4</vt:lpstr>
      <vt:lpstr>FE_EDIFICACIONES_COMERCIAL_DIESEL_CO2</vt:lpstr>
      <vt:lpstr>FE_EDIFICACIONES_COMERCIAL_DIESEL_N2O</vt:lpstr>
      <vt:lpstr>FE_EDIFICACIONES_COMERCIAL_FUEL_OIL_CH4</vt:lpstr>
      <vt:lpstr>FE_EDIFICACIONES_COMERCIAL_FUEL_OIL_CO2</vt:lpstr>
      <vt:lpstr>FE_EDIFICACIONES_COMERCIAL_FUEL_OIL_N2O</vt:lpstr>
      <vt:lpstr>FE_EDIFICACIONES_COMERCIAL_GLP_CH4_TJ</vt:lpstr>
      <vt:lpstr>FE_EDIFICACIONES_COMERCIAL_GLP_CO2_TJ</vt:lpstr>
      <vt:lpstr>FE_EDIFICACIONES_COMERCIAL_GLP_N2O_TJ</vt:lpstr>
      <vt:lpstr>FE_EDIFICACIONES_COMERCIAL_GN_CH4_TJ</vt:lpstr>
      <vt:lpstr>FE_EDIFICACIONES_COMERCIAL_GN_CO2_TJ</vt:lpstr>
      <vt:lpstr>FE_EDIFICACIONES_COMERCIAL_GN_N2O_TJ</vt:lpstr>
      <vt:lpstr>FE_EDIFICACIONES_COMERCIAL_QUEROSENO_CH4</vt:lpstr>
      <vt:lpstr>FE_EDIFICACIONES_COMERCIAL_QUEROSENO_CO2</vt:lpstr>
      <vt:lpstr>FE_EDIFICACIONES_COMERCIAL_QUEROSENO_N2O</vt:lpstr>
      <vt:lpstr>FE_EDIFICACIONES_RESIDENCIAL_GAS_NATURAL_CH4</vt:lpstr>
      <vt:lpstr>FE_EDIFICACIONES_RESIDENCIAL_GAS_NATURAL_CO2</vt:lpstr>
      <vt:lpstr>FE_EDIFICACIONES_RESIDENCIAL_GAS_NATURAL_N2O</vt:lpstr>
      <vt:lpstr>FE_EDIFICACIONES_RESIDENCIAL_GLP_CH4</vt:lpstr>
      <vt:lpstr>FE_EDIFICACIONES_RESIDENCIAL_GLP_CO2</vt:lpstr>
      <vt:lpstr>FE_EDIFICACIONES_RESIDENCIAL_GLP_N2O</vt:lpstr>
      <vt:lpstr>FE_EDIFICACIONES_RESIDENCIAL_LENA_CH4</vt:lpstr>
      <vt:lpstr>FE_EDIFICACIONES_RESIDENCIAL_LENA_CO2</vt:lpstr>
      <vt:lpstr>FE_EDIFICACIONES_RESIDENCIAL_LENA_N2O</vt:lpstr>
      <vt:lpstr>FE_GAS_DISTRIBUCION_CH4_MT_CO2E_TPC</vt:lpstr>
      <vt:lpstr>FE_GAS_DISTRIBUCION_CO2_MT_CO2E_TPC</vt:lpstr>
      <vt:lpstr>FE_GAS_DISTRIBUCION_N2O_MT_CO2E_TPC</vt:lpstr>
      <vt:lpstr>FE_GAS_PERFORACION_POZO_CH4_MT_CO2E_TPC</vt:lpstr>
      <vt:lpstr>FE_GAS_PERFORACION_POZO_CO2_CO2E_TPC</vt:lpstr>
      <vt:lpstr>FE_GAS_PERFORACION_POZO_N2O_MT_CO2E_TPC</vt:lpstr>
      <vt:lpstr>FE_GAS_PROCESAMIENTO_GAS_GAS_CH4_MT_CO2E_TPC</vt:lpstr>
      <vt:lpstr>FE_GAS_PROCESAMIENTO_GAS_GAS_CO2_MT_CO2E_TPC</vt:lpstr>
      <vt:lpstr>FE_GAS_PROCESAMIENTO_GAS_GAS_N2O_MT_CO2E_TPC</vt:lpstr>
      <vt:lpstr>FE_GAS_PRODUCCION_GAS_CH4_MT_CO2E_TPC</vt:lpstr>
      <vt:lpstr>FE_GAS_PRODUCCION_GAS_CO2_MT_CO2E_TPC</vt:lpstr>
      <vt:lpstr>FE_GAS_PRODUCCION_GAS_N2O_MT_CO2E_TPC</vt:lpstr>
      <vt:lpstr>FE_GAS_PRUEBA_POZO_CH4_MT_CO2E_TPC</vt:lpstr>
      <vt:lpstr>FE_GAS_PRUEBA_POZO_CO2_MT_CO2E_TPC</vt:lpstr>
      <vt:lpstr>FE_GAS_PRUEBA_POZO_N2O_MT_CO2E_TPC</vt:lpstr>
      <vt:lpstr>FE_GAS_SERVICIO_POZO_CH4_MT_CO2E_TPC</vt:lpstr>
      <vt:lpstr>FE_GAS_SERVICIO_POZO_CO2_MT_CO2E_TPC</vt:lpstr>
      <vt:lpstr>FE_GAS_SERVICIO_POZO_N2O_MT_CO2E_TPC</vt:lpstr>
      <vt:lpstr>FE_GAS_TRANSMISION_ALMACENAMIENTO_GAS_CH4_MT_CO2E_TPC</vt:lpstr>
      <vt:lpstr>FE_GAS_TRANSMISION_ALMACENAMIENTO_GAS_CO2_MT_CO2E_TPC</vt:lpstr>
      <vt:lpstr>FE_GAS_TRANSMISION_ALMACENAMIENTO_GAS_N2O_MT_CO2E_TPC</vt:lpstr>
      <vt:lpstr>FE_GENERACION_DIESEL_MTCO2_TWH</vt:lpstr>
      <vt:lpstr>FE_GENERACION_ESTIERCOL_CG</vt:lpstr>
      <vt:lpstr>FE_GENERACION_FUEL_OIL_MTCO2_TWH</vt:lpstr>
      <vt:lpstr>FE_GENERACION_TERMOELECTRICA_CARBON_CCUS_MTCO2_TWH</vt:lpstr>
      <vt:lpstr>FE_GENERACION_TERMOELECTRICA_CARBON_MTCO2_TWH</vt:lpstr>
      <vt:lpstr>FE_GENERACION_TERMOELECTRICA_GAS_NATURAL_CCUS_MTCO2_TWH</vt:lpstr>
      <vt:lpstr>FE_GENERACION_TERMOELECTRICA_GAS_NATURAL_MTCO2_TWH</vt:lpstr>
      <vt:lpstr>FE_INCINERACION</vt:lpstr>
      <vt:lpstr>FE_INCINERACION_CH4</vt:lpstr>
      <vt:lpstr>FE_INCINERACION_N2O</vt:lpstr>
      <vt:lpstr>FE_INCINERACION_RSM</vt:lpstr>
      <vt:lpstr>FE_INDUSTRIA_CH4_BAGAZO</vt:lpstr>
      <vt:lpstr>FE_INDUSTRIA_CH4_BIODIESEL</vt:lpstr>
      <vt:lpstr>FE_INDUSTRIA_CH4_CARBON_MINERAL</vt:lpstr>
      <vt:lpstr>FE_INDUSTRIA_CH4_CARBON_VEGETAL</vt:lpstr>
      <vt:lpstr>FE_INDUSTRIA_CH4_COQUE</vt:lpstr>
      <vt:lpstr>FE_INDUSTRIA_CH4_DIESEL_OIL</vt:lpstr>
      <vt:lpstr>FE_INDUSTRIA_CH4_FUEL_OIL</vt:lpstr>
      <vt:lpstr>FE_INDUSTRIA_CH4_GAS_NATURAL</vt:lpstr>
      <vt:lpstr>FE_INDUSTRIA_CH4_GASOLINA</vt:lpstr>
      <vt:lpstr>FE_INDUSTRIA_CH4_GLP</vt:lpstr>
      <vt:lpstr>FE_INDUSTRIA_CH4_LENA</vt:lpstr>
      <vt:lpstr>FE_INDUSTRIA_CH4_PETROLEP</vt:lpstr>
      <vt:lpstr>FE_INDUSTRIA_CH4_QUEROSENO</vt:lpstr>
      <vt:lpstr>FE_INDUSTRIA_CH4_RESIDUOS</vt:lpstr>
      <vt:lpstr>FE_INDUSTRIA_CO2_BAGAZO</vt:lpstr>
      <vt:lpstr>FE_INDUSTRIA_CO2_BIODIESEL</vt:lpstr>
      <vt:lpstr>FE_INDUSTRIA_CO2_CARBON_MINERAL</vt:lpstr>
      <vt:lpstr>FE_INDUSTRIA_CO2_CARBON_VEGETAL</vt:lpstr>
      <vt:lpstr>FE_INDUSTRIA_CO2_COQUE</vt:lpstr>
      <vt:lpstr>FE_INDUSTRIA_CO2_DIESEL_OIL</vt:lpstr>
      <vt:lpstr>FE_INDUSTRIA_CO2_FUEL_OIL</vt:lpstr>
      <vt:lpstr>FE_INDUSTRIA_CO2_GAS_NATURAL</vt:lpstr>
      <vt:lpstr>FE_INDUSTRIA_CO2_GASOLINA</vt:lpstr>
      <vt:lpstr>FE_INDUSTRIA_CO2_GLP</vt:lpstr>
      <vt:lpstr>FE_INDUSTRIA_CO2_LEÑA</vt:lpstr>
      <vt:lpstr>FE_INDUSTRIA_CO2_PETROLEO</vt:lpstr>
      <vt:lpstr>FE_INDUSTRIA_CO2_QUEROSENO</vt:lpstr>
      <vt:lpstr>FE_INDUSTRIA_CO2_RESIDUOS</vt:lpstr>
      <vt:lpstr>FE_INDUSTRIA_N2O_BAGAZO</vt:lpstr>
      <vt:lpstr>FE_INDUSTRIA_N2O_BIODIESEL</vt:lpstr>
      <vt:lpstr>FE_INDUSTRIA_N2O_CARBON_MINERAL</vt:lpstr>
      <vt:lpstr>FE_INDUSTRIA_N2O_CARBON_VEGETAL</vt:lpstr>
      <vt:lpstr>FE_INDUSTRIA_N2O_COQUE</vt:lpstr>
      <vt:lpstr>FE_INDUSTRIA_N2O_DIESEL_OIL</vt:lpstr>
      <vt:lpstr>FE_INDUSTRIA_N2O_FUEL_OIL</vt:lpstr>
      <vt:lpstr>FE_INDUSTRIA_N2O_GAS_NATURAL</vt:lpstr>
      <vt:lpstr>FE_INDUSTRIA_N2O_GASOLINA</vt:lpstr>
      <vt:lpstr>FE_INDUSTRIA_N2O_GLP</vt:lpstr>
      <vt:lpstr>FE_INDUSTRIA_N2O_LENA</vt:lpstr>
      <vt:lpstr>FE_INDUSTRIA_N2O_PETROLEO</vt:lpstr>
      <vt:lpstr>FE_INDUSTRIA_N2O_QUEROSENO</vt:lpstr>
      <vt:lpstr>FE_INDUSTRIA_N2O_RESIDUOS</vt:lpstr>
      <vt:lpstr>ENER_CombFosil!FE_PROD_CARBON_EXTRACCION_CIELO_ABIERTO_M3_CH4_T</vt:lpstr>
      <vt:lpstr>ENER_CombFosil!FE_PROD_CARBON_EXTRACCION_SUBTERRANEA_M3_CO2_T</vt:lpstr>
      <vt:lpstr>ENER_CombFosil!FE_PROD_CARBON_EXTRACCION_SUBTERRANEA_VENTEO_M3_CH4_T</vt:lpstr>
      <vt:lpstr>ENER_CombFosil!FE_PROD_CARBON_POST_EXTRACCION_CIELO_ABIERTO</vt:lpstr>
      <vt:lpstr>ENER_CombFosil!FE_PROD_CARBON_POST_EXTRACCION_SUBTERRANEA_M3_CH4_T</vt:lpstr>
      <vt:lpstr>ENER_CombFosil!FE_PROD_CARBON_POST_EXTRACCION_SUBTERRANEA_M3_CO2_T</vt:lpstr>
      <vt:lpstr>FE_PRODUCCION_CEMENTO_CO2</vt:lpstr>
      <vt:lpstr>FE_PRODUCCION_CEMENTO_CO2_CFCKD</vt:lpstr>
      <vt:lpstr>FE_PRODUCCION_CH4_ACERO</vt:lpstr>
      <vt:lpstr>FE_PRODUCCION_CO2_ACERO</vt:lpstr>
      <vt:lpstr>FE_PRODUCCION_CO2_CAL</vt:lpstr>
      <vt:lpstr>FE_PRODUCCION_CO2_FERRONIQUEL</vt:lpstr>
      <vt:lpstr>FE_PRODUCCION_CO2_PLOMO</vt:lpstr>
      <vt:lpstr>FE_PRODUCCION_CO2_VIDRIO</vt:lpstr>
      <vt:lpstr>FE_RES_SOL_TMB_CH4</vt:lpstr>
      <vt:lpstr>FE_RES_SOL_TMB_N2O</vt:lpstr>
      <vt:lpstr>FE_TRANSPORTE_MARITIMO_FLUVIAL_CH4_DIESEL</vt:lpstr>
      <vt:lpstr>FE_TRANSPORTE_MARITIMO_FLUVIAL_CO2_DIESEL</vt:lpstr>
      <vt:lpstr>FE_TRANSPORTE_MARITIMO_FLUVIAL_N2O_DIESEL</vt:lpstr>
      <vt:lpstr>FE_TRANSPORTE_TERRESTRE_CH4_DIESEL</vt:lpstr>
      <vt:lpstr>FE_TRANSPORTE_TERRESTRE_CH4_GAS_NATURAL</vt:lpstr>
      <vt:lpstr>FE_TRANSPORTE_TERRESTRE_CH4_GASOLINA_MOTOCICLETAS</vt:lpstr>
      <vt:lpstr>FE_TRANSPORTE_TERRESTRE_CH4_GASOLINA_MOTORES</vt:lpstr>
      <vt:lpstr>FE_TRANSPORTE_TERRESTRE_CO2_DIESEL</vt:lpstr>
      <vt:lpstr>FE_TRANSPORTE_TERRESTRE_CO2_GAS_NATURAL</vt:lpstr>
      <vt:lpstr>FE_TRANSPORTE_TERRESTRE_CO2_GASOLINA_MOTOCICLETAS</vt:lpstr>
      <vt:lpstr>FE_TRANSPORTE_TERRESTRE_CO2_GASOLINA_MOTORES</vt:lpstr>
      <vt:lpstr>FE_TRANSPORTE_TERRESTRE_CO2_MOTORES</vt:lpstr>
      <vt:lpstr>FE_TRANSPORTE_TERRESTRE_N2O_DIESEL</vt:lpstr>
      <vt:lpstr>FE_TRANSPORTE_TERRESTRE_N2O_GAS_NATURAL</vt:lpstr>
      <vt:lpstr>FE_TRANSPORTE_TERRESTRE_N2O_GASOLINA_MOTOCICLETAS</vt:lpstr>
      <vt:lpstr>FE_TRANSPORTE_TERRESTRE_N2O_GASOLINA_MOTORES</vt:lpstr>
      <vt:lpstr>DGEN_CONSTANTES!GAL_LITRO</vt:lpstr>
      <vt:lpstr>GASOLINA</vt:lpstr>
      <vt:lpstr>DGEN_CONSTANTES!GASOLINA_PODER_CALORIFICO</vt:lpstr>
      <vt:lpstr>GEN_HOGARES</vt:lpstr>
      <vt:lpstr>GEN_HOGARES_URBANOS_NUEVOS</vt:lpstr>
      <vt:lpstr>GEN_POBLACION</vt:lpstr>
      <vt:lpstr>GEN_POBLACION_CABECERA</vt:lpstr>
      <vt:lpstr>DGEN_SupuestosCostos!GEN_PORCENTAJE_HOGARES_POR_ZONA_CLIMATICA</vt:lpstr>
      <vt:lpstr>GEN_PORCENTAJE_HOGARES_POR_ZONA_CLIMATICA</vt:lpstr>
      <vt:lpstr>GEN_PORCENTAJE_POBLACION_URBANA</vt:lpstr>
      <vt:lpstr>RES_AGU!GENERACION_CH4_KG_DBO_NO_TRATADO</vt:lpstr>
      <vt:lpstr>RES_AGU!GENERACION_CH4_KG_DBO_TRATADO</vt:lpstr>
      <vt:lpstr>RES_AGU!GENERACIÓN_DBO_AGUA_DOMESTICA_NO_TRATADA</vt:lpstr>
      <vt:lpstr>DGEN_FE!GENERACIÓN_DBO_AGUA_DOMESTICA_TRATADA</vt:lpstr>
      <vt:lpstr>RES_AGU!GENERACIÓN_DBO_AGUA_DOMESTICA_TRATADA</vt:lpstr>
      <vt:lpstr>RES_AGU!GENERACIÓN_DBO_AGUA_INDUSTRIAL_NO_TRATADA</vt:lpstr>
      <vt:lpstr>DGEN_FE!GENERACIÓN_DBO_AGUA_INDUSTRIAL_TRATADA</vt:lpstr>
      <vt:lpstr>RES_AGU!GENERACIÓN_DBO_AGUA_INDUSTRIAL_TRATADA</vt:lpstr>
      <vt:lpstr>RES_SOL!GENERACION_METANO_ZONA_CLIMATICA_1</vt:lpstr>
      <vt:lpstr>RES_SOL!GENERACION_METANO_ZONA_CLIMATICA_2</vt:lpstr>
      <vt:lpstr>RES_SOL!GENERACION_METANO_ZONA_CLIMATICA_3</vt:lpstr>
      <vt:lpstr>RES_SOL!GENERACION_METANO_ZONA_CLIMATICA_4</vt:lpstr>
      <vt:lpstr>RES_SOL!GESTION_RELLENO_SANITARIO</vt:lpstr>
      <vt:lpstr>'ELECT_ Electricidad'!HORAS_OPERACION_AÑO</vt:lpstr>
      <vt:lpstr>RES_SOL!METANO_GENERADO_ZONA_CLIMATICA_1</vt:lpstr>
      <vt:lpstr>RES_SOL!METANO_GENERADO_ZONA_CLIMATICA_2</vt:lpstr>
      <vt:lpstr>RES_SOL!METANO_GENERADO_ZONA_CLIMATICA_3</vt:lpstr>
      <vt:lpstr>RES_SOL!METANO_GENERADO_ZONA_CLIMATICA_4</vt:lpstr>
      <vt:lpstr>PCB_CARBON_MINERAL_TWH_KG</vt:lpstr>
      <vt:lpstr>PCB_GAS_NATURAL_KG_A_TWH</vt:lpstr>
      <vt:lpstr>PCB_PETROLEO_L_A_TWH</vt:lpstr>
      <vt:lpstr>PCG_CH4_AR5</vt:lpstr>
      <vt:lpstr>PCG_CH4_AR6</vt:lpstr>
      <vt:lpstr>PCG_CO2_AR5</vt:lpstr>
      <vt:lpstr>PCG_CO2_AR6</vt:lpstr>
      <vt:lpstr>PCG_N2O_AR5</vt:lpstr>
      <vt:lpstr>PCG_N2O_AR6</vt:lpstr>
      <vt:lpstr>RES_SOL!PORCENTAJE_METANO_BIOGÁS</vt:lpstr>
      <vt:lpstr>POTENCIAL_REDUCCION_MANEJO_EFICIENTE_AGUA_CULTIVO_ARROZ_TCO2_HA</vt:lpstr>
      <vt:lpstr>POTENCIAL_REDUCCION_PLANTACIONES_MANGO_AGUACATE_TCO2_HA</vt:lpstr>
      <vt:lpstr>POTENCIAL_REDUCCION_SISTEMAS_AGROFORESTALES_TCO2_HA</vt:lpstr>
      <vt:lpstr>POTENCIAL_REDUCCION_USO_BIODIGESTORES_TCO2_HA</vt:lpstr>
      <vt:lpstr>POTENCIAL_REDUCCION_USO_EFICIENTE_FERTILIZANTES_TCO2_HA</vt:lpstr>
      <vt:lpstr>SALIDA_BOSQUES_TOTAL_DEFORECTADA_ACUMULADA</vt:lpstr>
      <vt:lpstr>SALIDA_BOSQUES_TOTAL_REFORESTACIÓN_COMERCIAL</vt:lpstr>
      <vt:lpstr>SALIDA_DEMANADA_RES_AGU_ELECTRICIDAD</vt:lpstr>
      <vt:lpstr>SALIDA_DEMANDA_AGUAS_RES_ENERGETICO</vt:lpstr>
      <vt:lpstr>SALIDA_DEMANDA_EDI_COM_AEC_ACONDICIONAMIENTO</vt:lpstr>
      <vt:lpstr>SALIDA_DEMANDA_EDI_COM_AEC_ELECTRICIDAD</vt:lpstr>
      <vt:lpstr>SALIDA_DEMANDA_EDI_COM_UTE_CONSUMOTOTAL</vt:lpstr>
      <vt:lpstr>SALIDA_DEMANDA_EDI_COM_UTE_DIESEL</vt:lpstr>
      <vt:lpstr>SALIDA_DEMANDA_EDI_COM_UTE_ELECTRICIDAD</vt:lpstr>
      <vt:lpstr>SALIDA_DEMANDA_EDI_COM_UTE_FUELOIL</vt:lpstr>
      <vt:lpstr>SALIDA_DEMANDA_EDI_COM_UTE_GLP</vt:lpstr>
      <vt:lpstr>SALIDA_DEMANDA_EDI_COM_UTE_GN</vt:lpstr>
      <vt:lpstr>SALIDA_DEMANDA_EDI_COM_UTE_PETROLEO</vt:lpstr>
      <vt:lpstr>SALIDA_DEMANDA_EDI_COM_UTE_QUEROSENO</vt:lpstr>
      <vt:lpstr>SALIDA_DEMANDA_EDI_RES_RURAL_CONSUMOTOTAL</vt:lpstr>
      <vt:lpstr>SALIDA_DEMANDA_EDI_RES_RURAL_ELECTRICIDAD</vt:lpstr>
      <vt:lpstr>SALIDA_DEMANDA_EDI_RES_RURAL_HIDROCARBUROS_GLP</vt:lpstr>
      <vt:lpstr>SALIDA_DEMANDA_EDI_RES_RURAL_LEÑA</vt:lpstr>
      <vt:lpstr>SALIDA_DEMANDA_EDI_RES_URB_AER_ACONDICIONAMIENTO_ESPACIOS</vt:lpstr>
      <vt:lpstr>SALIDA_DEMANDA_EDI_RES_URB_AER_ELECTRICIDAD</vt:lpstr>
      <vt:lpstr>SALIDA_DEMANDA_EDI_RES_URB_IRCO_CONSUMOTOTAL</vt:lpstr>
      <vt:lpstr>SALIDA_DEMANDA_EDI_RES_URB_IRCO_ELECTRICIDAD</vt:lpstr>
      <vt:lpstr>SALIDA_DEMANDA_EDI_RES_URB_IRCO_GLP</vt:lpstr>
      <vt:lpstr>SALIDA_DEMANDA_EDI_RES_URB_IRCO_GN</vt:lpstr>
      <vt:lpstr>SALIDA_DEMANDA_ENER_TOTAL_COMBUSTIBLES_FOSILES</vt:lpstr>
      <vt:lpstr>SALIDA_DEMANDA_ENERG_COMBUSTIBLES_FOSILES_DIESEL</vt:lpstr>
      <vt:lpstr>SALIDA_DEMANDA_ENERG_COMBUSTIBLES_FOSILES_FUEL_OIL</vt:lpstr>
      <vt:lpstr>SALIDA_DEMANDA_ENERG_COMBUSTIBLES_FOSILES_GAS_NATURAL</vt:lpstr>
      <vt:lpstr>SALIDA_DEMANDA_ENERG_COMBUSTIBLES_FOSILES_GASOLINA_MOTOR</vt:lpstr>
      <vt:lpstr>SALIDA_DEMANDA_ENERG_COMBUSTIBLES_FOSILES_GLP</vt:lpstr>
      <vt:lpstr>SALIDA_DEMANDA_ENERG_COMBUSTIBLES_FOSILES_PETROLEO</vt:lpstr>
      <vt:lpstr>SALIDA_DEMANDA_ENERG_COMBUSTIBLES_FOSILES_QUEROSENO</vt:lpstr>
      <vt:lpstr>SALIDA_DEMANDA_IND_ALIMENTOS_Y_BEBIDAS</vt:lpstr>
      <vt:lpstr>SALIDA_DEMANDA_IND_BAGAZO</vt:lpstr>
      <vt:lpstr>SALIDA_DEMANDA_IND_CARBONDELEÑA</vt:lpstr>
      <vt:lpstr>SALIDA_DEMANDA_IND_CARBONMINERAL</vt:lpstr>
      <vt:lpstr>SALIDA_DEMANDA_IND_CEMENTO</vt:lpstr>
      <vt:lpstr>SALIDA_DEMANDA_IND_CONSUMO_TOTAL_COMBUSTIBLES</vt:lpstr>
      <vt:lpstr>SALIDA_DEMANDA_IND_COQUE</vt:lpstr>
      <vt:lpstr>SALIDA_DEMANDA_IND_DIESEL</vt:lpstr>
      <vt:lpstr>SALIDA_DEMANDA_IND_ELECTRICIDAD</vt:lpstr>
      <vt:lpstr>SALIDA_DEMANDA_IND_FUELOIL</vt:lpstr>
      <vt:lpstr>SALIDA_DEMANDA_IND_GASOLINA</vt:lpstr>
      <vt:lpstr>SALIDA_DEMANDA_IND_GLP</vt:lpstr>
      <vt:lpstr>SALIDA_DEMANDA_IND_GN</vt:lpstr>
      <vt:lpstr>SALIDA_DEMANDA_IND_HIDROGENO_AZUL</vt:lpstr>
      <vt:lpstr>SALIDA_DEMANDA_IND_HIDROGENO_VERDE</vt:lpstr>
      <vt:lpstr>SALIDA_DEMANDA_IND_HIERRO_Y_ACERO</vt:lpstr>
      <vt:lpstr>SALIDA_DEMANDA_IND_LADRILLERAS</vt:lpstr>
      <vt:lpstr>SALIDA_DEMANDA_IND_LEÑA</vt:lpstr>
      <vt:lpstr>SALIDA_DEMANDA_IND_OTROS_Y_PTP</vt:lpstr>
      <vt:lpstr>SALIDA_DEMANDA_IND_PAPEL</vt:lpstr>
      <vt:lpstr>SALIDA_DEMANDA_IND_PETROLEO</vt:lpstr>
      <vt:lpstr>SALIDA_DEMANDA_IND_QUEROSENO</vt:lpstr>
      <vt:lpstr>SALIDA_DEMANDA_IND_QUIMICOS</vt:lpstr>
      <vt:lpstr>SALIDA_DEMANDA_IND_TEXTIL</vt:lpstr>
      <vt:lpstr>SALIDA_DEMANDA_IND_TOTAL</vt:lpstr>
      <vt:lpstr>SALIDA_DEMANDA_RES_AGU_DOMESTICAS</vt:lpstr>
      <vt:lpstr>SALIDA_DEMANDA_RES_AGU_INDUSTRIALES</vt:lpstr>
      <vt:lpstr>SALIDA_DEMANDA_RES_SOL_CELDACONTINGENCIA</vt:lpstr>
      <vt:lpstr>SALIDA_DEMANDA_RES_SOL_ELECTRICIDAD</vt:lpstr>
      <vt:lpstr>SALIDA_DEMANDA_RES_SOL_PLANTA_CDM</vt:lpstr>
      <vt:lpstr>SALIDA_DEMANDA_RES_SOL_PLANTA_INCINERACION</vt:lpstr>
      <vt:lpstr>SALIDA_DEMANDA_RES_SOL_PLANTA_RECICLADO</vt:lpstr>
      <vt:lpstr>SALIDA_DEMANDA_RES_SOL_PLANTA_TMB</vt:lpstr>
      <vt:lpstr>SALIDA_DEMANDA_RES_SOL_RELLENOSANITARIO</vt:lpstr>
      <vt:lpstr>SALIDA_DEMANDA_TRANS_AVI_AVIACION_INTERNACIONAL</vt:lpstr>
      <vt:lpstr>SALIDA_DEMANDA_TRANS_AVI_QUEROSENO</vt:lpstr>
      <vt:lpstr>SALIDA_DEMANDA_TRANS_CAR_DIESEL</vt:lpstr>
      <vt:lpstr>SALIDA_DEMANDA_TRANS_CAR_Electricidad</vt:lpstr>
      <vt:lpstr>SALIDA_DEMANDA_TRANS_CAR_GASOLINA</vt:lpstr>
      <vt:lpstr>SALIDA_DEMANDA_TRANS_CAR_GLP</vt:lpstr>
      <vt:lpstr>SALIDA_DEMANDA_TRANS_CAR_GNC</vt:lpstr>
      <vt:lpstr>SALIDA_DEMANDA_TRANS_CAR_GNL</vt:lpstr>
      <vt:lpstr>SALIDA_DEMANDA_TRANS_CAR_Hidrógeno</vt:lpstr>
      <vt:lpstr>SALIDA_DEMANDA_TRANS_CAR_Queroseno</vt:lpstr>
      <vt:lpstr>SALIDA_DEMANDA_TRANS_CAR_TOTAL</vt:lpstr>
      <vt:lpstr>SALIDA_DEMANDA_TRANS_NAV_DIESEL</vt:lpstr>
      <vt:lpstr>SALIDA_DEMANDA_TRANS_PAS_DIESEL</vt:lpstr>
      <vt:lpstr>SALIDA_DEMANDA_TRANS_PAS_ELECTRICIDAD</vt:lpstr>
      <vt:lpstr>SALIDA_DEMANDA_TRANS_PAS_GASOLINA</vt:lpstr>
      <vt:lpstr>SALIDA_DEMANDA_TRANS_PAS_GLP</vt:lpstr>
      <vt:lpstr>SALIDA_DEMANDA_TRANS_PAS_GN</vt:lpstr>
      <vt:lpstr>SALIDA_DEMANDA_TRANS_PAS_HIDROGENO</vt:lpstr>
      <vt:lpstr>SALIDA_DEMANDA_TRANS_PAS_QUEROSENO</vt:lpstr>
      <vt:lpstr>SALIDA_DEMANDA_TRANS_PAS_TOTAL</vt:lpstr>
      <vt:lpstr>SALIDA_EDI_RES_IRCO_BALANCE_TOTAL_FINAL</vt:lpstr>
      <vt:lpstr>SALIDA_EMISIONES_AGRICULTURA</vt:lpstr>
      <vt:lpstr>SALIDA_EMISIONES_AGRO_BIOCOMBUSTIBLES</vt:lpstr>
      <vt:lpstr>SALIDA_EMISIONES_AGRO_BIODIGESTORES</vt:lpstr>
      <vt:lpstr>SALIDA_EMISIONES_AGRO_FERTILIZANTES</vt:lpstr>
      <vt:lpstr>SALIDA_EMISIONES_AGRO_PLANTACIONES_MANGO_AGUACATE</vt:lpstr>
      <vt:lpstr>SALIDA_EMISIONES_AGRO_REDUCCION_MEDIDAS</vt:lpstr>
      <vt:lpstr>SALIDA_EMISIONES_AGRO_SISTEMAS_AGROFORESTALES</vt:lpstr>
      <vt:lpstr>SALIDA_EMISIONES_AUTOGENERACION_AGUAS_RESIDUALES</vt:lpstr>
      <vt:lpstr>SALIDA_EMISIONES_AUTOGENERACION_RESIDUOS_SOLIDOS</vt:lpstr>
      <vt:lpstr>SALIDA_EMISIONES_BOSQUES_REDUCCION_POR_REFORESTACION_COMERCIAL</vt:lpstr>
      <vt:lpstr>SALIDA_EMISIONES_BOSQUES_REDUCCION_POR_REFORESTACION_PROTECTORA</vt:lpstr>
      <vt:lpstr>SALIDA_EMISIONES_BOSQUES_TOTAL_POR_DEFORESTACION</vt:lpstr>
      <vt:lpstr>SALIDA_EMISIONES_CULTIVOS_BAGAZO_Y_OTROS_A_INDUSTRIA</vt:lpstr>
      <vt:lpstr>SALIDA_EMISIONES_EDI_COM_AEC_TOTALCO2e</vt:lpstr>
      <vt:lpstr>SALIDA_EMISIONES_EDI_COM_UTE_DIESEL</vt:lpstr>
      <vt:lpstr>SALIDA_EMISIONES_EDI_COM_UTE_FUEL_OIL</vt:lpstr>
      <vt:lpstr>SALIDA_EMISIONES_EDI_COM_UTE_GLP</vt:lpstr>
      <vt:lpstr>SALIDA_EMISIONES_EDI_COM_UTE_GN</vt:lpstr>
      <vt:lpstr>SALIDA_EMISIONES_EDI_COM_UTE_PETROLEO</vt:lpstr>
      <vt:lpstr>SALIDA_EMISIONES_EDI_COM_UTE_QUEROSENO</vt:lpstr>
      <vt:lpstr>SALIDA_EMISIONES_EDI_COM_UTE_TOTALCO2e</vt:lpstr>
      <vt:lpstr>SALIDA_EMISIONES_EDI_RES_RURAL_TOTALCO2e</vt:lpstr>
      <vt:lpstr>SALIDA_EMISIONES_EDI_RES_URB_ACONDICIONAMIENTO_TOTALCO2e</vt:lpstr>
      <vt:lpstr>SALIDA_EMISIONES_EDI_RES_URB_EEYHABITOSCONSUMO_TOTALCO2e</vt:lpstr>
      <vt:lpstr>SALIDA_EMISIONES_ELEC_DIESEL</vt:lpstr>
      <vt:lpstr>SALIDA_EMISIONES_ELEC_FUEL_OIL</vt:lpstr>
      <vt:lpstr>SALIDA_EMISIONES_ELEC_GLP</vt:lpstr>
      <vt:lpstr>SALIDA_EMISIONES_ELEC_PETROLEO</vt:lpstr>
      <vt:lpstr>SALIDA_EMISIONES_ELEC_TERMOELECTRICA_CARBON</vt:lpstr>
      <vt:lpstr>SALIDA_EMISIONES_ELEC_TERMOELECTRICA_CARBON_CCUS</vt:lpstr>
      <vt:lpstr>SALIDA_EMISIONES_ELEC_TERMOELECTRICA_GAS_NATURAL</vt:lpstr>
      <vt:lpstr>SALIDA_EMISIONES_ELEC_TERMOELECTRICA_GAS_NATURAL_CCUS</vt:lpstr>
      <vt:lpstr>SALIDA_EMISIONES_ELECT_TOTAL_RENOVABLES</vt:lpstr>
      <vt:lpstr>SALIDA_EMISIONES_ELECTRICIDAD</vt:lpstr>
      <vt:lpstr>SALIDA_EMISIONES_ENER_COMBUST_FOSIL_CONSUMO_DIESEL</vt:lpstr>
      <vt:lpstr>SALIDA_EMISIONES_ENER_COMBUST_FOSIL_CONSUMO_FUEL_OIL</vt:lpstr>
      <vt:lpstr>SALIDA_EMISIONES_ENER_COMBUST_FOSIL_CONSUMO_GAS_NATURAL</vt:lpstr>
      <vt:lpstr>SALIDA_EMISIONES_ENER_COMBUST_FOSIL_CONSUMO_GASOLINA_MOTORES</vt:lpstr>
      <vt:lpstr>SALIDA_EMISIONES_ENER_COMBUST_FOSIL_CONSUMO_GLP</vt:lpstr>
      <vt:lpstr>SALIDA_EMISIONES_ENER_COMBUST_FOSIL_CONSUMO_PETROLEO</vt:lpstr>
      <vt:lpstr>SALIDA_EMISIONES_ENER_COMBUST_FOSIL_CONSUMO_QUEROSENO</vt:lpstr>
      <vt:lpstr>SALIDA_EMISIONES_ENER_COMBUST_FOSIL_PRODUCCION_CARBÓN</vt:lpstr>
      <vt:lpstr>SALIDA_EMISIONES_ENER_COMBUST_FOSIL_PRODUCCION_CRUDO</vt:lpstr>
      <vt:lpstr>SALIDA_EMISIONES_ENER_COMBUST_FOSIL_PRODUCCION_GAS_NATURAL</vt:lpstr>
      <vt:lpstr>SALIDA_EMISIONES_ENERGIA_RES_SOL_APROVECHAMIENTO</vt:lpstr>
      <vt:lpstr>SALIDA_EMISIONES_ENERGIA_RES_SOL_INCINERACION</vt:lpstr>
      <vt:lpstr>SALIDA_EMISIONES_ENERGIA_RES_SOL_TOTAL</vt:lpstr>
      <vt:lpstr>SALIDA_EMISIONES_GANA_HATO_GANADERO</vt:lpstr>
      <vt:lpstr>SALIDA_EMISIONES_GANA_MANEJO_ESTIERCOL</vt:lpstr>
      <vt:lpstr>SALIDA_EMISIONES_GANA_MEJORES_PRACTICAS_PECUARIA</vt:lpstr>
      <vt:lpstr>SALIDA_EMISIONES_GANA_PRACTICAS_SOSTENIBLES_SUELOS_GANADEROS</vt:lpstr>
      <vt:lpstr>SALIDA_EMISIONES_GANADERIA</vt:lpstr>
      <vt:lpstr>SALIDA_EMISIONES_GANADERIA_MANEJO_ESTIERCOL</vt:lpstr>
      <vt:lpstr>SALIDA_EMISIONES_GANADERIA_PRACTICAS_SOSTENIBLES</vt:lpstr>
      <vt:lpstr>SALIDA_EMISIONES_GANADERIA_REDUCCION_POR_PRACTICAS_PECUARIAS</vt:lpstr>
      <vt:lpstr>SALIDA_EMISIONES_IND_ALIMENTOS_Y_BEBIDAS</vt:lpstr>
      <vt:lpstr>SALIDA_EMISIONES_IND_CEMENTO</vt:lpstr>
      <vt:lpstr>SALIDA_EMISIONES_IND_EMISIONES_SAO</vt:lpstr>
      <vt:lpstr>SALIDA_EMISIONES_IND_HIERRO_Y_NO_FERROSOS</vt:lpstr>
      <vt:lpstr>SALIDA_EMISIONES_IND_LADRILLERAS</vt:lpstr>
      <vt:lpstr>SALIDA_EMISIONES_IND_OTROS</vt:lpstr>
      <vt:lpstr>SALIDA_EMISIONES_IND_PAPEL</vt:lpstr>
      <vt:lpstr>SALIDA_EMISIONES_IND_QUIMICOS</vt:lpstr>
      <vt:lpstr>SALIDA_EMISIONES_IND_TEXTIL</vt:lpstr>
      <vt:lpstr>SALIDA_EMISIONES_RES_AGU_TOTALCO2e</vt:lpstr>
      <vt:lpstr>SALIDA_EMISIONES_RES_AGUA_RESIDUALES_DOMESTICAS</vt:lpstr>
      <vt:lpstr>SALIDA_EMISIONES_RES_AGUA_RESIDUALES_INDUSTRIALES</vt:lpstr>
      <vt:lpstr>SALIDA_EMISIONES_RES_SOL_RELLENO_SANITARIO_CELDA_CONTINGENCIA</vt:lpstr>
      <vt:lpstr>SALIDA_EMISIONES_RES_SOL_RELLENO_SANITARIO_QUEMA_ANTORCHA</vt:lpstr>
      <vt:lpstr>SALIDA_EMISIONES_RES_SOL_RELLENO_SANITARIO_SIN_CAPTACION</vt:lpstr>
      <vt:lpstr>SALIDA_EMISIONES_RES_SOL_TMB</vt:lpstr>
      <vt:lpstr>SALIDA_EMISIONES_RES_SOL_TOTALCO2e</vt:lpstr>
      <vt:lpstr>SALIDA_EMISIONES_TOTAL_COMBUSTIBLES_FOSILES</vt:lpstr>
      <vt:lpstr>SALIDA_EMISIONES_TOTAL_INDUSTRIA</vt:lpstr>
      <vt:lpstr>SALIDA_EMISIONES_TRANS_AVI_TOTALCO2e</vt:lpstr>
      <vt:lpstr>SALIDA_EMISIONES_TRANS_CAR_TOTALESCO2E</vt:lpstr>
      <vt:lpstr>SALIDA_EMISIONES_TRANS_NAVI_TOTALCO2e</vt:lpstr>
      <vt:lpstr>SALIDA_EMISIONES_TRANS_PAS_EMISIONESCO2E</vt:lpstr>
      <vt:lpstr>SALIDA_EXPORTACIONES_COMB_FOSIL_CARBON_KT</vt:lpstr>
      <vt:lpstr>SALIDA_EXPORTACIONES_COMB_FOSIL_CRUDO_M3</vt:lpstr>
      <vt:lpstr>SALIDA_EXPORTACIONES_COMB_FOSIL_GAS_M3</vt:lpstr>
      <vt:lpstr>SALIDA_EXPORTACIONES_ELECTRICIDAD</vt:lpstr>
      <vt:lpstr>SALIDA_GENERACION_AGRO_BIOCOMBUSTIBLES</vt:lpstr>
      <vt:lpstr>SALIDA_GENERACION_AGRO_CULTIVOS</vt:lpstr>
      <vt:lpstr>SALIDA_GENERACION_AGUAS_RES_INYECTADA_RED</vt:lpstr>
      <vt:lpstr>SALIDA_GENERACION_EDI_RES_IRCO_INYECTADO_A_RED</vt:lpstr>
      <vt:lpstr>SALIDA_GENERACION_EDIF_RES_IRCO_SOLAR</vt:lpstr>
      <vt:lpstr>SALIDA_GENERACION_ELECT_total_combustibles_fosiles</vt:lpstr>
      <vt:lpstr>SALIDA_GENERACION_ELECT_total_renovables</vt:lpstr>
      <vt:lpstr>SALIDA_GENERACION_ELECTRICIDAD_DIESEL</vt:lpstr>
      <vt:lpstr>SALIDA_GENERACION_ELECTRICIDAD_FUEL_OIL</vt:lpstr>
      <vt:lpstr>SALIDA_GENERACION_ELECTRICIDAD_GLP</vt:lpstr>
      <vt:lpstr>SALIDA_GENERACION_ELECTRICIDAD_PETROLEO</vt:lpstr>
      <vt:lpstr>SALIDA_GENERACION_ELECTRICIDAD_TERMOELECTRICA_BAGAZO</vt:lpstr>
      <vt:lpstr>SALIDA_GENERACION_ELECTRICIDAD_TERMOELECTRICA_BIOMASA</vt:lpstr>
      <vt:lpstr>SALIDA_GENERACION_ELECTRICIDAD_TERMOELECTRICA_CARBON</vt:lpstr>
      <vt:lpstr>SALIDA_GENERACION_ELECTRICIDAD_TERMOELECTRICA_CARBON_CCUS</vt:lpstr>
      <vt:lpstr>SALIDA_GENERACION_ELECTRICIDAD_TERMOELECTRICA_EOLICA_COSTA_ADENTRO_JEPIRACHI</vt:lpstr>
      <vt:lpstr>SALIDA_GENERACION_ELECTRICIDAD_TERMOELECTRICA_EOLICA_COSTA_ADENTRO_RESTO_PAIS</vt:lpstr>
      <vt:lpstr>SALIDA_GENERACION_ELECTRICIDAD_TERMOELECTRICA_EOLICA_COSTA_AFUERA</vt:lpstr>
      <vt:lpstr>SALIDA_GENERACION_ELECTRICIDAD_TERMOELECTRICA_GAS_NATURAL</vt:lpstr>
      <vt:lpstr>SALIDA_GENERACION_ELECTRICIDAD_TERMOELECTRICA_GAS_NATURAL_CCUS</vt:lpstr>
      <vt:lpstr>SALIDA_GENERACION_ELECTRICIDAD_TERMOELECTRICA_GRANDES_HIDROELECTRICAS</vt:lpstr>
      <vt:lpstr>SALIDA_GENERACION_ELECTRICIDAD_TERMOELECTRICA_HIDROGENO_VERDE</vt:lpstr>
      <vt:lpstr>SALIDA_GENERACION_ELECTRICIDAD_TERMOELECTRICA_PEQUEÑAS_HIDROELECTRICAS</vt:lpstr>
      <vt:lpstr>SALIDA_GENERACION_ELECTRICIDAD_TERMOELECTRICA_SOLAR_FOTOVOLTAICA</vt:lpstr>
      <vt:lpstr>SALIDA_GENERACION_ELECTRICIDAD_TERMOELECTRICA_SOLAR_TERMICA</vt:lpstr>
      <vt:lpstr>SALIDA_GENERACION_ENER_CARBÓN</vt:lpstr>
      <vt:lpstr>SALIDA_GENERACION_ENER_CRUDO</vt:lpstr>
      <vt:lpstr>SALIDA_GENERACION_ENER_GN</vt:lpstr>
      <vt:lpstr>SALIDA_GENERACION_ENER_TOTAL_COMBUSTIBLES_FOSILES</vt:lpstr>
      <vt:lpstr>SALIDA_GENERACION_GANA_BIOENERGÍA_HEMBRAS</vt:lpstr>
      <vt:lpstr>SALIDA_GENERACION_GANA_BIOENERGÍA_MACHOS</vt:lpstr>
      <vt:lpstr>SALIDA_GENERACION_GANA_TWH</vt:lpstr>
      <vt:lpstr>SALIDA_GENERACION_IND_AUTO_COGENERACION</vt:lpstr>
      <vt:lpstr>SALIDA_GENERACION_IND_INYECTADO_A_RED</vt:lpstr>
      <vt:lpstr>SALIDA_GENERACION_RES_AGU_DOMESTICAS</vt:lpstr>
      <vt:lpstr>SALIDA_GENERACION_RES_AGU_INDUSTRIALES</vt:lpstr>
      <vt:lpstr>SALIDA_GENERACION_RES_AGU_TOT_GENERACION</vt:lpstr>
      <vt:lpstr>SALIDA_GENERACION_RES_GENERACION</vt:lpstr>
      <vt:lpstr>SALIDA_GENERACION_RES_SOL_CELDA</vt:lpstr>
      <vt:lpstr>SALIDA_GENERACION_RES_SOL_INYECT_RED</vt:lpstr>
      <vt:lpstr>SALIDA_GENERACION_RES_SOL_PLANTA_INCINERACION</vt:lpstr>
      <vt:lpstr>SALIDA_GENERACION_RES_SOL_PLANTA_TMB</vt:lpstr>
      <vt:lpstr>SALIDA_GENERACION_RES_SOL_RECICLADO</vt:lpstr>
      <vt:lpstr>SALIDA_GENERACION_RES_SOL_RELLENO</vt:lpstr>
      <vt:lpstr>SALIDA_IMPORTACIONES_COMB_FOSIL_CARBOM_KT</vt:lpstr>
      <vt:lpstr>SALIDA_IMPORTACIONES_COMB_FOSIL_CRUDO_M3</vt:lpstr>
      <vt:lpstr>SALIDA_IMPORTACIONES_COMB_FOSIL_GAS_M3</vt:lpstr>
      <vt:lpstr>SALIDA_IMPORTACIONES_ELECTRICIDAD</vt:lpstr>
      <vt:lpstr>SALIDA_RESIDUOS_BALANCE_TOTAL</vt:lpstr>
      <vt:lpstr>BOSQ_!SF_AREA_ANUAL_DEFORESTADA_PUNTUAL</vt:lpstr>
      <vt:lpstr>BOSQ_!SF_AREA_BOSQUES_HA_ANDINA</vt:lpstr>
      <vt:lpstr>BOSQ_!SF_AREA_BOSQUES_HA_NACIONAL</vt:lpstr>
      <vt:lpstr>BOSQ_!SF_AREA_PARA_REFORESTACION_COMERCIAL_POR_ESPECIE</vt:lpstr>
      <vt:lpstr>AGRO_!SF_AREAS_IMPLEMENTACION_MEJORES_PRACTICAS_PLANTACIONES_MANGO_AGUACATE</vt:lpstr>
      <vt:lpstr>AGRO_!SF_AREAS_IMPLEMENTACION_MEJORES_PRACTICAS_SISTEMAS_AGROFORESTALES</vt:lpstr>
      <vt:lpstr>AGRO_!SF_AREAS_IMPLEMENTACION_MEJORES_PRACTICAS_USO_BIODIGESTORES</vt:lpstr>
      <vt:lpstr>AGRO_!SF_AREAS_IMPLEMENTACION_MEJORES_PRACTICAS_USO_EFICIENTE_FERTILIZANTES</vt:lpstr>
      <vt:lpstr>BOSQ_!SF_BIOMASA_AEREA_SUBTERRANEA_REFORESTACION_COMERCIAL</vt:lpstr>
      <vt:lpstr>EDI_RES_URB_IRCO!SF_BOMBILLOS_INCANDESCENTES</vt:lpstr>
      <vt:lpstr>EDI_RES_URB_IRCO!SF_BOMBILLOS_LED</vt:lpstr>
      <vt:lpstr>EDI_RES_URB_IRCO!SF_BOMBILLOS_LFC</vt:lpstr>
      <vt:lpstr>EDI_RES_URB_IRCO!SF_BOMBILLOS_OTROS</vt:lpstr>
      <vt:lpstr>RES_SOL!SF_CARACTERIZACION_RESIDUOS</vt:lpstr>
      <vt:lpstr>ENER_CombFosil!SF_CONSUMO_ENERGETICOS_REFINERIA_DIESEL</vt:lpstr>
      <vt:lpstr>ENER_CombFosil!SF_CONSUMO_ENERGETICOS_REFINERIA_FUEL_OIL</vt:lpstr>
      <vt:lpstr>ENER_CombFosil!SF_CONSUMO_ENERGETICOS_REFINERIA_GAS_DE_REFINERIA</vt:lpstr>
      <vt:lpstr>ENER_CombFosil!SF_CONSUMO_ENERGETICOS_REFINERIA_GAS_NATURAL</vt:lpstr>
      <vt:lpstr>ENER_CombFosil!SF_CONSUMO_ENERGETICOS_REFINERIA_GASOLINA_MOTOR</vt:lpstr>
      <vt:lpstr>ENER_CombFosil!SF_CONSUMO_ENERGETICOS_REFINERIA_GLP</vt:lpstr>
      <vt:lpstr>ENER_CombFosil!SF_CONSUMO_ENERGETICOS_REFINERIA_PETROLEO</vt:lpstr>
      <vt:lpstr>ENER_CombFosil!SF_CONSUMO_ENERGETICOS_REFINERIA_QUEROSENO</vt:lpstr>
      <vt:lpstr>EDI_COM_UTE!SF_CONSUMO_TOTAL_ENERGIA_EQUIPAMIENTO</vt:lpstr>
      <vt:lpstr>EDI_COM_UTE!SF_CONSUMO_TOTAL_ENERGIA_USOS_TERMICOS</vt:lpstr>
      <vt:lpstr>BOSQ_!SF_CONTENIDO_CARBONO_ANDINA_TCA_HA</vt:lpstr>
      <vt:lpstr>EDI_RES_URB_IRCO!SF_DEMANDA_ELECTRICIDAD_CALENTAR_AGUA</vt:lpstr>
      <vt:lpstr>EDI_RES_URB_IRCO!SF_DEMANDA_ELECTRICIDAD_COCCION</vt:lpstr>
      <vt:lpstr>EDI_RES_URB_IRCO!SF_DEMANDA_ELECTRICIDAD_OTROS</vt:lpstr>
      <vt:lpstr>TRANS_PAS!SF_DEMANDA_ELECTRICIDAD_OTROS_MODOS_AEREO</vt:lpstr>
      <vt:lpstr>TRANS_PAS!SF_DEMANDA_ELECTRICIDAD_OTROS_MODOS_FERREO</vt:lpstr>
      <vt:lpstr>TRANS_PAS!SF_DEMANDA_ELECTRICIDAD_OTROS_MODOS_FLUVIAL</vt:lpstr>
      <vt:lpstr>EDI_RES_URB_IRCO!SF_DEMANDA_GAS_NATURAL_CALENTAR_AGUA</vt:lpstr>
      <vt:lpstr>EDI_RES_URB_IRCO!SF_DEMANDA_GAS_NATURAL_OTROS</vt:lpstr>
      <vt:lpstr>EDI_RES_URB_IRCO!SF_DEMANDA_GLP_CALENTAR_AGUA</vt:lpstr>
      <vt:lpstr>TRANS_CAR!SF_DISTANCIA_MODO_INTERURBANO</vt:lpstr>
      <vt:lpstr>TRANS_CAR!SF_DISTANCIA_MODO_URBANO</vt:lpstr>
      <vt:lpstr>TRANS_PAS!SF_DISTRIBUCION_MODO_CARRETERO_TRANSPORTE_INTERURBANO</vt:lpstr>
      <vt:lpstr>SF_EFICIENCIA_MOTOR_GENERADOR</vt:lpstr>
      <vt:lpstr>SF_EMISION_SAO</vt:lpstr>
      <vt:lpstr>TRANS_CAR!SF_FACTOR_ACTIVIDAD_CARGA_INTERURBANA_FERREO</vt:lpstr>
      <vt:lpstr>BOSQ_!SF_FACTOR_CONVERSION_BIOMASA_TCO2_TC</vt:lpstr>
      <vt:lpstr>'ELECT_ Electricidad'!SF_FACTOR_DE_CARGA_COMBUSTIBLES_FOSILES</vt:lpstr>
      <vt:lpstr>'ELECT_ Electricidad'!SF_FACTOR_DE_CARGA_ENERGIAS_RENOVABLES_NO_CONVENCIONALES</vt:lpstr>
      <vt:lpstr>SF_FACTOR_DE_PRODUCCION_DE_BIOCOMBUSTIBLE_ML_HA</vt:lpstr>
      <vt:lpstr>AGRO_!SF_FACTOR_PRODUCCION_BIOMASA_CULTIVO_ARROZ</vt:lpstr>
      <vt:lpstr>AGRO_!SF_FACTOR_PRODUCCION_BIOMASA_CULTIVO_BANANO</vt:lpstr>
      <vt:lpstr>GANA_!SF_FACTOR_PRODUCCION_BIOMASA_CULTIVO_BANANO</vt:lpstr>
      <vt:lpstr>AGRO_!SF_FACTOR_PRODUCCION_BIOMASA_CULTIVO_CAFE</vt:lpstr>
      <vt:lpstr>AGRO_!SF_FACTOR_PRODUCCION_BIOMASA_CULTIVO_CAÑA_DE_AZUCAR</vt:lpstr>
      <vt:lpstr>AGRO_!SF_FACTOR_PRODUCCION_BIOMASA_CULTIVO_CAÑA_PANELERA</vt:lpstr>
      <vt:lpstr>AGRO_!SF_FACTOR_PRODUCCION_BIOMASA_CULTIVO_MAIZ</vt:lpstr>
      <vt:lpstr>AGRO_!SF_FACTOR_PRODUCCION_BIOMASA_CULTIVO_PALMA_DE_ACEITE</vt:lpstr>
      <vt:lpstr>AGRO_!SF_FACTOR_PRODUCCION_BIOMASA_CULTIVO_PLATANO</vt:lpstr>
      <vt:lpstr>AGRO_!SF_FACTOR_PRODUCCION_RESIDUO_ARROZ_CASCARILLA</vt:lpstr>
      <vt:lpstr>AGRO_!SF_FACTOR_PRODUCCION_RESIDUO_ARROZ_TAMP</vt:lpstr>
      <vt:lpstr>AGRO_!SF_FACTOR_PRODUCCION_RESIDUO_BANANO_RAQUIS</vt:lpstr>
      <vt:lpstr>AGRO_!SF_FACTOR_PRODUCCION_RESIDUO_BANANO_RECHAZO</vt:lpstr>
      <vt:lpstr>AGRO_!SF_FACTOR_PRODUCCION_RESIDUO_BANANO_VASTAGO</vt:lpstr>
      <vt:lpstr>AGRO_!SF_FACTOR_PRODUCCION_RESIDUO_CAFE_CISCO</vt:lpstr>
      <vt:lpstr>AGRO_!SF_FACTOR_PRODUCCION_RESIDUO_CAFE_PULPA</vt:lpstr>
      <vt:lpstr>AGRO_!SF_FACTOR_PRODUCCION_RESIDUO_CAFE_TALLOS</vt:lpstr>
      <vt:lpstr>AGRO_!SF_FACTOR_PRODUCCION_RESIDUO_CAÑA_DE_AZUCAR_BAGAZO</vt:lpstr>
      <vt:lpstr>AGRO_!SF_FACTOR_PRODUCCION_RESIDUO_CAÑA_DE_AZUCAR_COGOLLO</vt:lpstr>
      <vt:lpstr>AGRO_!SF_FACTOR_PRODUCCION_RESIDUO_CAÑA_PANELERA_BAGAZO</vt:lpstr>
      <vt:lpstr>AGRO_!SF_FACTOR_PRODUCCION_RESIDUO_CAÑA_PANELERA_HOJAS_COGOLLO</vt:lpstr>
      <vt:lpstr>AGRO_!SF_FACTOR_PRODUCCION_RESIDUO_MAIZ_CAPACHO</vt:lpstr>
      <vt:lpstr>AGRO_!SF_FACTOR_PRODUCCION_RESIDUO_MAIZ_RASTROJO</vt:lpstr>
      <vt:lpstr>AGRO_!SF_FACTOR_PRODUCCION_RESIDUO_MAIZ_TUSA</vt:lpstr>
      <vt:lpstr>AGRO_!SF_FACTOR_PRODUCCION_RESIDUO_PALMA_DE_ACEITE_CUESCO</vt:lpstr>
      <vt:lpstr>AGRO_!SF_FACTOR_PRODUCCION_RESIDUO_PALMA_DE_ACEITE_RAQUIS</vt:lpstr>
      <vt:lpstr>AGRO_!SF_FACTOR_PRODUCCION_RESIDUO_PALMA_DE_ACEITEFIBRA</vt:lpstr>
      <vt:lpstr>AGRO_!SF_FACTOR_PRODUCCION_RESIDUO_PLATANO_RAQUIS</vt:lpstr>
      <vt:lpstr>AGRO_!SF_FACTOR_PRODUCCION_RESIDUO_PLATANO_RECHAZO</vt:lpstr>
      <vt:lpstr>AGRO_!SF_FACTOR_PRODUCCION_RESIDUO_PLATANO_VASTAGO</vt:lpstr>
      <vt:lpstr>GANA_!SF_FE_HEMBRAS</vt:lpstr>
      <vt:lpstr>GANA_!SF_FE_MACHOS</vt:lpstr>
      <vt:lpstr>GANA_!SF_HATO_GANADERO_COLOMBIANO</vt:lpstr>
      <vt:lpstr>EDI_RES_URB_IRCO!SF_HORAS_UTILES_SOLAR_FOTOVOLTAICA</vt:lpstr>
      <vt:lpstr>TRANS_PAS!SF_KM_TOTALES_MODO_CARRETERO_TRANSPORTE_INTERURBANO</vt:lpstr>
      <vt:lpstr>SF_NUMERO_DE_POZOS_EN_PRODUCCION_CRUDO</vt:lpstr>
      <vt:lpstr>ENER_CombFosil!SF_NUMERO_DE_POZOS_EN_PRODUCCION_GAS</vt:lpstr>
      <vt:lpstr>ENER_CombFosil!SF_NUMERO_DE_POZOS_PERFORACION_POZO_crudo</vt:lpstr>
      <vt:lpstr>SF_NUMERO_DE_POZOS_PERFORACION_POZO_gas</vt:lpstr>
      <vt:lpstr>TRANS_CAR!SF_NUMERO_VEHICULOS_CARGA_INTER_URBANO</vt:lpstr>
      <vt:lpstr>TRANS_CAR!SF_NUMERO_VEHICULOS_CARGA_URBANO</vt:lpstr>
      <vt:lpstr>TRANS_PAS!SF_NUMERO_VEHICULOS_URBANO_BICICLETAS</vt:lpstr>
      <vt:lpstr>TRANS_PAS!SF_NUMERO_VEHICULOS_URBANO_BUSES</vt:lpstr>
      <vt:lpstr>TRANS_PAS!SF_NUMERO_VEHICULOS_URBANO_BUSES_BRT</vt:lpstr>
      <vt:lpstr>TRANS_PAS!SF_NUMERO_VEHICULOS_URBANO_FERREO</vt:lpstr>
      <vt:lpstr>TRANS_PAS!SF_NUMERO_VEHICULOS_URBANO_MOTOS</vt:lpstr>
      <vt:lpstr>TRANS_PAS!SF_NUMERO_VEHICULOS_URBANO_TAXI</vt:lpstr>
      <vt:lpstr>TRANS_PAS!SF_NUMERO_VEHICULOS_URBANO_VEHICULOS</vt:lpstr>
      <vt:lpstr>EDI_COM_UTE!SF_PARTICIPACION_ENERGETICOS_EN_EQUIPAMIENTO_DIESEL</vt:lpstr>
      <vt:lpstr>EDI_COM_UTE!SF_PARTICIPACION_ENERGETICOS_EN_EQUIPAMIENTO_ELECTRICIDAD</vt:lpstr>
      <vt:lpstr>EDI_COM_UTE!SF_PARTICIPACION_ENERGETICOS_EN_EQUIPAMIENTO_FUEL_OIL</vt:lpstr>
      <vt:lpstr>EDI_COM_UTE!SF_PARTICIPACION_ENERGETICOS_EN_EQUIPAMIENTO_QUEROSENO</vt:lpstr>
      <vt:lpstr>EDI_COM_UTE!SF_PARTICIPACION_ENERGETICOS_USOS_TERMICOS_GAS_NATURAL</vt:lpstr>
      <vt:lpstr>EDI_COM_UTE!SF_PARTICIPACION_ENERGETICOS_USOS_TERMICOS_GLP</vt:lpstr>
      <vt:lpstr>EDI_COM_UTE!SF_PARTICIPACION_ENERGETICOS_USOS_TERMICOS_PETROLEO</vt:lpstr>
      <vt:lpstr>EDI_COM_UTE!SF_PARTICIPACION_USOS_EQUIPAMIENTO_ILUMINACION</vt:lpstr>
      <vt:lpstr>EDI_COM_UTE!SF_PARTICIPACION_USOS_EQUIPAMIENTO_OTROS</vt:lpstr>
      <vt:lpstr>EDI_COM_UTE!SF_PARTICIPACION_USOS_EQUIPAMIENTO_REFRIGERACION</vt:lpstr>
      <vt:lpstr>ENER_CombFosil!SF_PORCENTAJE_CRUDO_REFINERIA</vt:lpstr>
      <vt:lpstr>ENER_CombFosil!SF_PORCENTAJE_CRUDO_TRANSPORTADO_OLEODUCTO</vt:lpstr>
      <vt:lpstr>TRANS_PAS!SF_PORCENTAJE_DEMANDA_ELECTRICA_MODO_FERREO</vt:lpstr>
      <vt:lpstr>ENER_CombFosil!SF_PORCENTAJE_GLP_PRODUCIDO</vt:lpstr>
      <vt:lpstr>ENER_CombFosil!SF_PORCENTAJE_PROCESAMIENTO_GAS</vt:lpstr>
      <vt:lpstr>ENER_CombFosil!SF_PORCENTAJE_TRANSMISION_ALMACENAMIENTO</vt:lpstr>
      <vt:lpstr>TRANS_PAS!SF_PORCENTAJE_USO_COMBUSTIBLES_VEHICULOS_HIBRIDOS_BUSES</vt:lpstr>
      <vt:lpstr>TRANS_PAS!SF_PORCENTAJE_USO_COMBUSTIBLES_VEHICULOS_HIBRIDOS_BUSES_BRT</vt:lpstr>
      <vt:lpstr>TRANS_PAS!SF_PORCENTAJE_USO_COMBUSTIBLES_VEHICULOS_HIBRIDOS_TAXI</vt:lpstr>
      <vt:lpstr>TRANS_PAS!SF_PORCENTAJE_USO_COMBUSTIBLES_VEHICULOS_HIBRIDOS_VEHICULOS</vt:lpstr>
      <vt:lpstr>TRANS_PAS!SF_PORCENTAJE_VEHICULOS_NUEVOS_TRANSPORTE_INTERURBANO_HIDROCARBUROS_LIQUIDOS</vt:lpstr>
      <vt:lpstr>RES_SOL!SF_POTENCIAL_ELECTRICO_RELLENO_SANITARIO_CH4_KWH_M3</vt:lpstr>
      <vt:lpstr>AGRO_!SF_POTENCIAL_ENERGETICO_BIOMASA_PALMA_DE_ACEITE_FIBRA</vt:lpstr>
      <vt:lpstr>AGRO_!SF_POTENCIAL_ENERGETICO_BIOMASA_PALMA_DE_ACEITE_RAQUIS</vt:lpstr>
      <vt:lpstr>AGRO_!SF_POTENCIAL_ENERGETICO_POR_UD_BIOMASA_ARROZ_TAMO</vt:lpstr>
      <vt:lpstr>AGRO_!SF_POTENCIAL_ENERGETICO_POR_UD_BIOMASA_BANANO_BANANO_DE_RECHAZO</vt:lpstr>
      <vt:lpstr>AGRO_!SF_POTENCIAL_ENERGETICO_POR_UD_BIOMASA_BANANO_RAQUIS_DE_BANANO</vt:lpstr>
      <vt:lpstr>AGRO_!SF_POTENCIAL_ENERGETICO_POR_UD_BIOMASA_BANANO_VASTAGO</vt:lpstr>
      <vt:lpstr>AGRO_!SF_POTENCIAL_ENERGETICO_POR_UD_BIOMASA_CAFE_CISCO</vt:lpstr>
      <vt:lpstr>AGRO_!SF_POTENCIAL_ENERGETICO_POR_UD_BIOMASA_CAFE_PULPÀ</vt:lpstr>
      <vt:lpstr>AGRO_!SF_POTENCIAL_ENERGETICO_POR_UD_BIOMASA_CAFE_TALLOS</vt:lpstr>
      <vt:lpstr>AGRO_!SF_POTENCIAL_ENERGETICO_POR_UD_BIOMASA_CAÑA_DE_AZUCAR_BAGAZO</vt:lpstr>
      <vt:lpstr>AGRO_!SF_POTENCIAL_ENERGETICO_POR_UD_BIOMASA_CAÑA_DE_AZUCAR_COGOLLO</vt:lpstr>
      <vt:lpstr>AGRO_!SF_POTENCIAL_ENERGETICO_POR_UD_BIOMASA_CAÑA_PANELERA_BAGAZO</vt:lpstr>
      <vt:lpstr>AGRO_!SF_POTENCIAL_ENERGETICO_POR_UD_BIOMASA_CAÑA_PANELERA_HOJAS_COGOLLO</vt:lpstr>
      <vt:lpstr>AGRO_!SF_POTENCIAL_ENERGETICO_POR_UD_BIOMASA_CASCARILLA</vt:lpstr>
      <vt:lpstr>AGRO_!SF_POTENCIAL_ENERGETICO_POR_UD_BIOMASA_FIBRA_CUESCO</vt:lpstr>
      <vt:lpstr>AGRO_!SF_POTENCIAL_ENERGETICO_POR_UD_BIOMASA_MAIZ_CAPACHO</vt:lpstr>
      <vt:lpstr>SF_POTENCIAL_ENERGETICO_POR_UD_BIOMASA_MAIZ_RASTROJO</vt:lpstr>
      <vt:lpstr>AGRO_!SF_POTENCIAL_ENERGETICO_POR_UD_BIOMASA_MAIZ_TUSA</vt:lpstr>
      <vt:lpstr>AGRO_!SF_POTENCIAL_ENERGETICO_POR_UD_BIOMASA_PLATANO_PLATANO_DE_RECHAZO</vt:lpstr>
      <vt:lpstr>AGRO_!SF_POTENCIAL_ENERGETICO_POR_UD_BIOMASA_PLATANO_RAQUIS_DE_PLATANO</vt:lpstr>
      <vt:lpstr>AGRO_!SF_POTENCIAL_ENERGETICO_POR_UD_BIOMASA_PLATANO_VASTAGO_DE_PLATANO</vt:lpstr>
      <vt:lpstr>AGRO_!SF_POTENCIAL_REDUCCION_MANEJO_EFICIENTE_AGUA_CULTIVO_ARROZ</vt:lpstr>
      <vt:lpstr>GANA_!SF_POTENCIAL_REDUCCION_MEJORES_PRACTICAS_PECUARIAS_PASTOREO_RACIONAL</vt:lpstr>
      <vt:lpstr>GANA_!SF_POTENCIAL_REDUCCION_MEJORES_PRACTICAS_PECUARIAS_SUPLEMENTACION_ESTRATEGICA_MEJORA_DIETA</vt:lpstr>
      <vt:lpstr>AGRO_!SF_POTENCIAL_REDUCCION_PLANTACIONES_MANGO_AGUACATE</vt:lpstr>
      <vt:lpstr>GANA_!SF_POTENCIAL_REDUCCION_PRACTICAS_SOSTENIBLES_SUELOS_GANADEROS_ARBOLES_DISPERSOS</vt:lpstr>
      <vt:lpstr>GANA_!SF_POTENCIAL_REDUCCION_PRACTICAS_SOSTENIBLES_SUELOS_GANADEROS_CERCAS_VIVAS</vt:lpstr>
      <vt:lpstr>GANA_!SF_POTENCIAL_REDUCCION_PRACTICAS_SOSTENIBLES_SUELOS_GANADEROS_REHABILITACION_DE_PASTURAS</vt:lpstr>
      <vt:lpstr>GANA_!SF_POTENCIAL_REDUCCION_PRACTICAS_SOSTENIBLES_SUELOS_GANADEROS_SISTEMAS_SILVOPASTORALES_INTENSIVOS</vt:lpstr>
      <vt:lpstr>AGRO_!SF_POTENCIAL_REDUCCION_SISTEMAS_AGROFORESTALES</vt:lpstr>
      <vt:lpstr>AGRO_!SF_POTENCIAL_REDUCCION_USO_BIODIGESTORES</vt:lpstr>
      <vt:lpstr>AGRO_!SF_POTENCIAL_REDUCCION_USO_EFICIENTE_FERTILIZANTES</vt:lpstr>
      <vt:lpstr>ENER_CombFosil!SF_PRODUCCION_CARBON_CIELO_ABIERTO_PORCENTAJE</vt:lpstr>
      <vt:lpstr>ENER_CombFosil!SF_PRODUCCION_CARBON_SUBTERRANEA_PORCENTAJE</vt:lpstr>
      <vt:lpstr>SF_PRODUCCION_CARBON_T</vt:lpstr>
      <vt:lpstr>ENER_CombFosil!SF_PRODUCCION_CRUDO</vt:lpstr>
      <vt:lpstr>ENER_CombFosil!SF_PRODUCCION_GAS_NATURAL</vt:lpstr>
      <vt:lpstr>TRANS_AVI!SF_PROPORCION_COMBUSTIBLE_DESPEGUE_ATERRIZAJE</vt:lpstr>
      <vt:lpstr>GANA_!SF_PROPORCION_HATO_HEMBRAS</vt:lpstr>
      <vt:lpstr>SF_PROPORCION_HATO_MACHOS</vt:lpstr>
      <vt:lpstr>RES_SOL!SF_RELLENO_SANITARIO_CAPTACION_APROVECHAMIENTO</vt:lpstr>
      <vt:lpstr>TRANS_CAR!SF_RENDIMIENTO_MODO_CARRETERO_INTERURBANO</vt:lpstr>
      <vt:lpstr>TRANS_CAR!SF_RENDIMIENTO_MODO_CARRETERO_URBANO</vt:lpstr>
      <vt:lpstr>TRANS_PAS!SF_RENDIMIENTO_MODO_TECNOLOGIA_TRANSPORTE_URBANO_BUSES</vt:lpstr>
      <vt:lpstr>TRANS_PAS!SF_RENDIMIENTO_MODO_TECNOLOGIA_TRANSPORTE_URBANO_BUSES_BRT</vt:lpstr>
      <vt:lpstr>TRANS_PAS!SF_RENDIMIENTO_MODO_TECNOLOGIA_TRANSPORTE_URBANO_FERREO_DIESEL</vt:lpstr>
      <vt:lpstr>TRANS_PAS!SF_RENDIMIENTO_MODO_TECNOLOGIA_TRANSPORTE_URBANO_MOTOS</vt:lpstr>
      <vt:lpstr>TRANS_PAS!SF_RENDIMIENTO_MODO_TECNOLOGIA_TRANSPORTE_URBANO_TAXIS</vt:lpstr>
      <vt:lpstr>TRANS_PAS!SF_RENDIMIENTO_MODO_TECNOLOGIA_TRANSPORTE_URBANO_VEHICULOS</vt:lpstr>
      <vt:lpstr>TRANS_PAS!SF_RENDIMIENTO_TRANSPORTE_URBANO_ELECTRICOS_BUSES</vt:lpstr>
      <vt:lpstr>TRANS_PAS!SF_RENDIMIENTO_TRANSPORTE_URBANO_ELECTRICOS_BUSES_BRT</vt:lpstr>
      <vt:lpstr>SF_RENDIMIENTO_TRANSPORTE_URBANO_ELECTRICOS_BUSES_BRT</vt:lpstr>
      <vt:lpstr>TRANS_PAS!SF_RENDIMIENTO_TRANSPORTE_URBANO_ELECTRICOS_FERREO</vt:lpstr>
      <vt:lpstr>TRANS_PAS!SF_RENDIMIENTO_TRANSPORTE_URBANO_ELECTRICOS_MOTOS</vt:lpstr>
      <vt:lpstr>TRANS_PAS!SF_RENDIMIENTO_TRANSPORTE_URBANO_ELECTRICOS_TAXIS</vt:lpstr>
      <vt:lpstr>TRANS_PAS!SF_RENDIMIENTO_TRANSPORTE_URBANO_ELECTRICOS_VEHICULOS</vt:lpstr>
      <vt:lpstr>TRANS_PAS!SF_RENDIMIENTO_TRANSPORTE_URBANO_GAS_NATURAL</vt:lpstr>
      <vt:lpstr>TRANS_PAS!SF_RENDIMIENTO_TRANSPORTE_URBANO_NUEVOS_BUSES</vt:lpstr>
      <vt:lpstr>TRANS_PAS!SF_RENDIMIENTO_TRANSPORTE_URBANO_NUEVOS_BUSES_BRT</vt:lpstr>
      <vt:lpstr>TRANS_PAS!SF_RENDIMIENTO_TRANSPORTE_URBANO_NUEVOS_TAXI</vt:lpstr>
      <vt:lpstr>TRANS_PAS!SF_RENDIMIENTO_TRANSPORTE_URBANO_NUEVOS_VEHICULOS</vt:lpstr>
      <vt:lpstr>AGRO_!SF_TASA_CRECIMIENTO_PIB_SECTOR_AGRARIO</vt:lpstr>
      <vt:lpstr>EDI_RES_URB_AER!SF_TENENCIA</vt:lpstr>
      <vt:lpstr>EDI_RES_URB_IRCO!SF_TENENCIA</vt:lpstr>
      <vt:lpstr>EDI_RES_URB_IRCO!SF_TENENCIA_ELECTRICIDAD_CALENTAR_AGUA</vt:lpstr>
      <vt:lpstr>EDI_RES_URB_IRCO!SF_TENENCIA_ELECTRICIDAD_COCCION</vt:lpstr>
      <vt:lpstr>EDI_RES_URB_IRCO!SF_TENENCIA_ELECTRICIDAD_OTROS</vt:lpstr>
      <vt:lpstr>EDI_RES_URB_IRCO!SF_TENENCIA_GAS_NATURAL_CALENTAR_AGUA</vt:lpstr>
      <vt:lpstr>EDI_RES_URB_IRCO!SF_TENENCIA_GAS_NATURAL_COCCION</vt:lpstr>
      <vt:lpstr>EDI_RES_URB_IRCO!SF_TENENCIA_GAS_NATURAL_OTROS</vt:lpstr>
      <vt:lpstr>EDI_RES_URB_IRCO!SF_TENENCIA_GLP_CALENTAR_AGUA</vt:lpstr>
      <vt:lpstr>EDI_RES_URB_IRCO!SF_TENENCIA_GLP_COCCION</vt:lpstr>
      <vt:lpstr>EDI_RES_URB_IRCO!SF_TENENCIA_REFRIGERADORES</vt:lpstr>
      <vt:lpstr>BOSQ_!SF_TOTAL_DESCUENTO_5_ANOS</vt:lpstr>
      <vt:lpstr>TRANS_PAS!SF_TOTAL_VIAJES_ANUALES</vt:lpstr>
      <vt:lpstr>SF_TRANSPORTE_INTERUBANO_DISTANCIA_TIPICA_VIAJADA_POR_MODO</vt:lpstr>
      <vt:lpstr>TRANS_PAS!SF_TRANSPORTE_INTERURBANO_DISTANCIA_TIPICA_VIAJADA_POR_MODO</vt:lpstr>
      <vt:lpstr>TRANS_PAS!SF_TRANSPORTE_INTERURBANO_EXISTENTES_RENDIMIENTO_MODO_TECNOLOGIA</vt:lpstr>
      <vt:lpstr>TRANS_PAS!SF_TRANSPORTE_INTERURBANO_EXISTENTES_RENDIMIENTO_MODO_TECNOLOGIA_ELECTRICOS</vt:lpstr>
      <vt:lpstr>TRANS_PAS!SF_TRANSPORTE_INTERURBANO_EXISTENTES_RENDIMIENTO_MODO_TECNOLOGIA_GAS_NATURAL</vt:lpstr>
      <vt:lpstr>TRANS_PAS!SF_TRANSPORTE_INTERURBANO_NUEVOS_RENDIMIENTO_MODO_TECNOLOGIA</vt:lpstr>
      <vt:lpstr>TRANS_PAS!SF_TRANSPORTE_URBANO_DISTANCIA_VIAJADA_POR_MODO</vt:lpstr>
      <vt:lpstr>TRANS_PAS!SF_TRANSPORTE_URBANO_EXISTENTES_RENDIMIENTO_MODO_TECNOLOGIA</vt:lpstr>
      <vt:lpstr>TRANS_PAS!SF_TRANSPORTE_URBANO_EXISTENTES_RENDIMIENTO_MODO_TECNOLOGIA_BUSES</vt:lpstr>
      <vt:lpstr>TRANS_PAS!SF_TRANSPORTE_URBANO_EXISTENTES_RENDIMIENTO_MODO_TECNOLOGIA_BUSESBRT</vt:lpstr>
      <vt:lpstr>TRANS_PAS!SF_TRANSPORTE_URBANO_EXISTENTES_RENDIMIENTO_MODO_TECNOLOGIA_TAXIS</vt:lpstr>
      <vt:lpstr>SF_TRANSPORTE_URBANO_EXISTENTES_RENDIMIENTO_MODO_TECNOLOGIA_VEHICULOS</vt:lpstr>
      <vt:lpstr>TRANS_CAR!SF_TRANSPORTE_URBANO_FACTOR_ACTIVIDAD</vt:lpstr>
      <vt:lpstr>TRANS_PAS!SF_TRANSPORTE_URBANO_PORCENTAJE_VEHICULOS_NUEVOS_BUSES</vt:lpstr>
      <vt:lpstr>SF_TRANSPORTE_URBANO_PORCENTAJE_VEHICULOS_NUEVOS_BUSESBRT</vt:lpstr>
      <vt:lpstr>TRANS_PAS!SF_TRANSPORTE_URBANO_PORCENTAJE_VEHICULOS_NUEVOS_TAXIS</vt:lpstr>
      <vt:lpstr>TRANS_PAS!SF_TRANSPORTE_URBANO_PORCENTAJE_VEHICULOS_NUEVOS_VEHICULOS</vt:lpstr>
      <vt:lpstr>TRANS_AVI!SF_USO_COMBUSTIBLE_AVIACION_INTERNACIONAL</vt:lpstr>
      <vt:lpstr>TRANS_PAS!SF_VIDA_UTIL_BICICLETA</vt:lpstr>
      <vt:lpstr>TRANS_PAS!SF_VIDA_UTIL_BUSES</vt:lpstr>
      <vt:lpstr>TRANS_PAS!SF_VIDA_UTIL_BUSES_BRT</vt:lpstr>
      <vt:lpstr>TRANS_PAS!SF_VIDA_UTIL_FERREO</vt:lpstr>
      <vt:lpstr>TRANS_PAS!SF_VIDA_UTIL_MOTOS</vt:lpstr>
      <vt:lpstr>TRANS_PAS!SF_VIDA_UTIL_TAXI</vt:lpstr>
      <vt:lpstr>TRANS_PAS!SF_VIDA_UTIL_VEHICULOS</vt:lpstr>
      <vt:lpstr>RES_SOL!SISTEMA_AUTORIZADO</vt:lpstr>
      <vt:lpstr>GANA_!ST_PRACT_SOSTENIBLES_SUELOS_GANADEROS_ARBOLES_DISPERSOS</vt:lpstr>
      <vt:lpstr>GANA_!ST_PRACT_SOSTENIBLES_SUELOS_GANADEROS_CERCAS_VIVAS</vt:lpstr>
      <vt:lpstr>GANA_!ST_PRACT_SOSTENIBLES_SUELOS_GANADEROS_REHABILITACION_PASTURAS</vt:lpstr>
      <vt:lpstr>GANA_!ST_PRACT_SOSTENIBLES_SUELOS_GANADEROS_SIST_SILVOPASTORILES</vt:lpstr>
      <vt:lpstr>EDI_COM_AEC!TRAYECTORIA</vt:lpstr>
      <vt:lpstr>EDI_COM_UTE!TRAYECTORIA</vt:lpstr>
      <vt:lpstr>EDI_RES_RURAL!TRAYECTORIA</vt:lpstr>
      <vt:lpstr>RES_SOL!TRAYECTORIA</vt:lpstr>
      <vt:lpstr>TRANS_AVI!TRAYECTORIA</vt:lpstr>
      <vt:lpstr>RES_AGU!TRAYECTORIA_1</vt:lpstr>
      <vt:lpstr>AGRO_!TRAYECTORIA_1_MEJORES_PRACTICAS_AGRICOLAS</vt:lpstr>
      <vt:lpstr>TRAYECTORIA_1_PRACTICAS_SOSTENIBLES_SUELOS_GANADEROS</vt:lpstr>
      <vt:lpstr>RES_AGU!TRAYECTORIA_2</vt:lpstr>
      <vt:lpstr>GANA_!TRAYECTORIA_2_MEJORES_PRACTICAS_PECUARIAS</vt:lpstr>
      <vt:lpstr>BOSQ_!TRAYECTORIA_3_DESARROLLO_CONSOLIDACION_CADENA_PRODUCTIVA</vt:lpstr>
      <vt:lpstr>TRAYECTORIA_3_PRODUCCION_ESTIERCOL_BIOENERGIA</vt:lpstr>
      <vt:lpstr>BOSQ_!TRAYECTORIA_4_DESARROLLO_AREAS_VERDES</vt:lpstr>
      <vt:lpstr>TRAYECTORIA_AGRICULTURA_PRODUCCION_DE_BIOMASA</vt:lpstr>
      <vt:lpstr>TRAYECTORIA_AGRICULTURA_TIERRA_DEDICADA_BIOCOMBUSTIBLES</vt:lpstr>
      <vt:lpstr>TRAYECTORIA_APROVECHAMIENTO_BIOGAS</vt:lpstr>
      <vt:lpstr>TRAYECTORIA_AUMENTO_TRAT_AGUA</vt:lpstr>
      <vt:lpstr>EDI_RES_URB_IRCO!TRAYECTORIA_AUTOGEN_FV</vt:lpstr>
      <vt:lpstr>TRAYECTORIA_BOSQUES_DESARROLLO_AREAS_VERDES</vt:lpstr>
      <vt:lpstr>TRAYECTORIA_BOSQUES_DESARROLLO_CONSOLIDACION_CADENA_PRODUCTIVA</vt:lpstr>
      <vt:lpstr>EDI_RES_URB_AER!TRAYECTORIA_EDI_RES_URB_AER</vt:lpstr>
      <vt:lpstr>TRAYECTORIA_EDIF_COMERCIALES_ACONDI</vt:lpstr>
      <vt:lpstr>TRAYECTORIA_EDIF_COMERCIALES_EQUIPAMIENTO</vt:lpstr>
      <vt:lpstr>TRAYECTORIA_EDIF_RES__RURAL</vt:lpstr>
      <vt:lpstr>TRAYECTORIA_EDIF_RES_ACONDICI</vt:lpstr>
      <vt:lpstr>TRAYECTORIA_EDIF_RES_EQUIPOS_EFICIENTES</vt:lpstr>
      <vt:lpstr>TRAYECTORIA_EDIF_RES_EQUIPOS_USO_HABITOS</vt:lpstr>
      <vt:lpstr>TRAYECTORIA_EDIFICACIONES_RESIDENCIALES_AUTOGENERACION_SOLAR</vt:lpstr>
      <vt:lpstr>EDI_RES_URB_IRCO!TRAYECTORIA_EEEE</vt:lpstr>
      <vt:lpstr>TRANS_CAR!TRAYECTORIA_EEUTLTC</vt:lpstr>
      <vt:lpstr>TRANS_PAS!TRAYECTORIA_EEUTLTP</vt:lpstr>
      <vt:lpstr>TRAYECTORIA_EFICIENCIA_ENERGETICA_PRODUCCION_HIDROCARBUROS</vt:lpstr>
      <vt:lpstr>TRAYECTORIA_EFICIENCIA_OPTIMIZACION_INDUSTRIA</vt:lpstr>
      <vt:lpstr>TRAYECTORIA_GANADERIA_MEJORES_PRACTICAS_PECUARIAS</vt:lpstr>
      <vt:lpstr>TRAYECTORIA_GANADERIA_PACTICAS_SOSTENIBLES_EN_SUELOS_GANADEROS</vt:lpstr>
      <vt:lpstr>TRAYECTORIA_GANADERIA_PRODUCCION_ESTIERCOL</vt:lpstr>
      <vt:lpstr>TRANS_CAR!TRAYECTORIA_GDTC</vt:lpstr>
      <vt:lpstr>TRANS_PAS!TRAYECTORIA_GDTP</vt:lpstr>
      <vt:lpstr>TRAYECTORIA_GESTION_LADRILLERAS</vt:lpstr>
      <vt:lpstr>TRAYECTORIA_MEJORES_PRACTICAS_AGRICOLAS</vt:lpstr>
      <vt:lpstr>TRAYECTORIA_PARTICIPACION_COMBUSTIBLES_FOSILES_GENERACION_ELECTRICA</vt:lpstr>
      <vt:lpstr>GANA_!TRAYECTORIA_PRACTICAS_SOSTENIBLES_SUELOS_GANADEROS</vt:lpstr>
      <vt:lpstr>TRAYECTORIA_PROCESOS_PRODUCTIVOS_SOSTENIBLES</vt:lpstr>
      <vt:lpstr>AGRO_!TRAYECTORIA_PRODUCCION_BIOMASA</vt:lpstr>
      <vt:lpstr>GANA_!TRAYECTORIA_PRODUCCION_ESTIERCOL_BIOENERGIA</vt:lpstr>
      <vt:lpstr>TRAYECTORIA_RESIDUOS_SOLIDOS</vt:lpstr>
      <vt:lpstr>TRAYECTORIA_SUSTITUCION_GASES_REFRIGERANTES</vt:lpstr>
      <vt:lpstr>AGRO_!TRAYECTORIA_TIERRA_DEDICADA_BIOCOMBUSTIBLE</vt:lpstr>
      <vt:lpstr>TRAYECTORIA_TRANSPORTE_AVIACION</vt:lpstr>
      <vt:lpstr>TRAYECTORIA_TRANSPORTE_CARGA_EFICIENCIA</vt:lpstr>
      <vt:lpstr>TRAYECTORIA_TRANSPORTE_GESTION_DEMANDA_TRANSPORTE_CARGA</vt:lpstr>
      <vt:lpstr>TRAYECTORIA_TRANSPORTE_NAVEGA</vt:lpstr>
      <vt:lpstr>TRAYECTORIA_TRANSPORTE_PAS_EFICIENCIA</vt:lpstr>
      <vt:lpstr>TRAYECTORIA_TRANSPORTE_PASAJEROS_GESTION_DEMANDA</vt:lpstr>
      <vt:lpstr>EDI_RES_URB_IRCO!TRAYECTORIA_UHC</vt:lpstr>
      <vt:lpstr>UNIDAD_AÑO_A_SEGUNDO</vt:lpstr>
      <vt:lpstr>UNIDAD_BCM_A_TWH</vt:lpstr>
      <vt:lpstr>UNIDAD_BI_A_GAL</vt:lpstr>
      <vt:lpstr>UNIDAD_BOE_A_TEH</vt:lpstr>
      <vt:lpstr>UNIDAD_BTU_A_JOULE</vt:lpstr>
      <vt:lpstr>UNIDAD_CALORIA_A_TWH</vt:lpstr>
      <vt:lpstr>UNIDAD_DENSIDAD_BIODIESEL_PALMA</vt:lpstr>
      <vt:lpstr>UNIDAD_DENSIDAD_FUEL_OIL</vt:lpstr>
      <vt:lpstr>UNIDAD_DIA_A_SEGUNDO</vt:lpstr>
      <vt:lpstr>UNIDAD_GAL_A_IT</vt:lpstr>
      <vt:lpstr>UNIDAD_GJ_A_TWH</vt:lpstr>
      <vt:lpstr>UNIDAD_GW_A_GW</vt:lpstr>
      <vt:lpstr>UNIDAD_GWH_A_TWH</vt:lpstr>
      <vt:lpstr>UNIDAD_HA_A_HA</vt:lpstr>
      <vt:lpstr>UNIDAD_HORA_A_SEGUNDO</vt:lpstr>
      <vt:lpstr>UNIDAD_IT_A_KBI</vt:lpstr>
      <vt:lpstr>UNIDAD_J_A_TWH</vt:lpstr>
      <vt:lpstr>UNIDAD_KBI_A_BL</vt:lpstr>
      <vt:lpstr>UNIDAD_KM2_A_HA</vt:lpstr>
      <vt:lpstr>UNIDAD_KTOE_A_TWH</vt:lpstr>
      <vt:lpstr>UNIDAD_KW_A_GW</vt:lpstr>
      <vt:lpstr>UNIDAD_KWH_A_TWH</vt:lpstr>
      <vt:lpstr>UNIDAD_M2_A_HA</vt:lpstr>
      <vt:lpstr>UNIDAD_M3_A_BL</vt:lpstr>
      <vt:lpstr>UNIDAD_M3_A_GAL</vt:lpstr>
      <vt:lpstr>UNIDAD_M3_A_IT</vt:lpstr>
      <vt:lpstr>UNIDAD_M3_A_PC</vt:lpstr>
      <vt:lpstr>UNIDAD_MBOE_A_TWH</vt:lpstr>
      <vt:lpstr>UNIDAD_MBTU_A_TWH</vt:lpstr>
      <vt:lpstr>UNIDAD_MCM.D_GN_A_GW</vt:lpstr>
      <vt:lpstr>UNIDAD_MHA_A_HA</vt:lpstr>
      <vt:lpstr>UNIDAD_MINUTO_A_SEGUNDO</vt:lpstr>
      <vt:lpstr>UNIDAD_MJ_A_TWH</vt:lpstr>
      <vt:lpstr>UNIDAD_MPC_A_M3</vt:lpstr>
      <vt:lpstr>UNIDAD_MPIE3_A_MTBU</vt:lpstr>
      <vt:lpstr>UNIDAD_MTOE_A_TWH</vt:lpstr>
      <vt:lpstr>UNIDAD_MTOE_POR_ANO_A_GW</vt:lpstr>
      <vt:lpstr>UNIDAD_MW_A_GW</vt:lpstr>
      <vt:lpstr>UNIDAD_PG_A_TWH</vt:lpstr>
      <vt:lpstr>UNIDAD_TJ_A_TWH</vt:lpstr>
      <vt:lpstr>UNIDAD_TOE_A_TWH</vt:lpstr>
      <vt:lpstr>UNIDAD_TWH_A_TWH</vt:lpstr>
      <vt:lpstr>UNIDAD_W_A_GW</vt:lpstr>
      <vt:lpstr>UNIDAD_WH_A_JOULE</vt:lpstr>
      <vt:lpstr>TRANS_CAR!VF_VIDA_UTIL</vt:lpstr>
      <vt:lpstr>RES_SOL!ZONA_CLIMATICA_EXCESIVAMENTE_HUMEDO</vt:lpstr>
      <vt:lpstr>RES_SOL!ZONA_CLIMATICA_HUMEDO</vt:lpstr>
      <vt:lpstr>RES_SOL!ZONA_CLIMATICA_MODERADAMENTE_HUMEDO</vt:lpstr>
      <vt:lpstr>RES_SOL!ZONA_CLIMATICA_MODERADAMENTE_SECO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Angel Armando García González</dc:creator>
  <cp:keywords/>
  <dc:description/>
  <cp:lastModifiedBy>Jaime Jesus Montalvo Piñeiro</cp:lastModifiedBy>
  <cp:revision/>
  <dcterms:created xsi:type="dcterms:W3CDTF">2015-06-05T18:19:34Z</dcterms:created>
  <dcterms:modified xsi:type="dcterms:W3CDTF">2023-07-26T11:12:34Z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0x0101002CAFA5443E01DB49ABF7C5A29F095DD8</vt:lpwstr>
  </property>
  <property fmtid="{D5CDD505-2E9C-101B-9397-08002B2CF9AE}" pid="3" name="MediaServiceImageTags">
    <vt:lpwstr/>
  </property>
</Properties>
</file>